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ign Off &amp; Other Checks" sheetId="1" r:id="rId5"/>
    <sheet state="visible" name="2. Daily Client Money Report" sheetId="2" r:id="rId6"/>
    <sheet state="visible" name="3. Unalloc Rec" sheetId="3" r:id="rId7"/>
    <sheet state="visible" name="Unalloc_Data" sheetId="4" r:id="rId8"/>
    <sheet state="visible" name="4. CISA - CASS Internal Rec" sheetId="5" r:id="rId9"/>
    <sheet state="visible" name="5. CISA Internal Workings" sheetId="6" r:id="rId10"/>
    <sheet state="visible" name="6. CISA - CASS External Rec" sheetId="7" r:id="rId11"/>
    <sheet state="visible" name="7. CISA External Workings" sheetId="8" r:id="rId12"/>
    <sheet state="visible" name="8. CISA Citi v Ledger" sheetId="9" r:id="rId13"/>
    <sheet state="visible" name="9. LISA - CASS Internal Rec" sheetId="10" r:id="rId14"/>
    <sheet state="visible" name="10. LISA Internal Workings" sheetId="11" r:id="rId15"/>
    <sheet state="visible" name="11. LISA - CASS External Rec" sheetId="12" r:id="rId16"/>
    <sheet state="visible" name="12. LISA External Workings" sheetId="13" r:id="rId17"/>
    <sheet state="visible" name="13. LISA Citi v Ledger" sheetId="14" r:id="rId18"/>
    <sheet state="hidden" name="CISA Funding" sheetId="15" r:id="rId19"/>
    <sheet state="hidden" name="LISA Funding" sheetId="16" r:id="rId20"/>
    <sheet state="hidden" name="CISA Breaks" sheetId="17" r:id="rId21"/>
    <sheet state="hidden" name="LISA Breaks" sheetId="18" r:id="rId22"/>
    <sheet state="visible" name="14. Client Money Account Detail" sheetId="19" r:id="rId23"/>
    <sheet state="visible" name="15. Reconciliation actions (aut" sheetId="20" r:id="rId24"/>
  </sheets>
  <definedNames>
    <definedName hidden="1" localSheetId="14" name="_xlnm._FilterDatabase">'CISA Funding'!$B$5:$E$5</definedName>
    <definedName hidden="1" localSheetId="15" name="_xlnm._FilterDatabase">'LISA Funding'!$B$5:$E$5</definedName>
    <definedName hidden="1" localSheetId="16" name="_xlnm._FilterDatabase">'CISA Breaks'!$B$5:$N$74</definedName>
    <definedName hidden="1" localSheetId="17" name="_xlnm._FilterDatabase">'LISA Breaks'!$B$5:$M$7</definedName>
  </definedNames>
  <calcPr/>
</workbook>
</file>

<file path=xl/sharedStrings.xml><?xml version="1.0" encoding="utf-8"?>
<sst xmlns="http://schemas.openxmlformats.org/spreadsheetml/2006/main" count="8082" uniqueCount="2692">
  <si>
    <t>Client Money Reconciliations Sign Off</t>
  </si>
  <si>
    <t>Internal Reconciliation CISA &amp; LISA</t>
  </si>
  <si>
    <t>Negative Balance check</t>
  </si>
  <si>
    <t>Checks</t>
  </si>
  <si>
    <t>Inputter</t>
  </si>
  <si>
    <t>Checker</t>
  </si>
  <si>
    <t>Check to ensure no user has a negative balance</t>
  </si>
  <si>
    <t>Update underlying Workings tabs</t>
  </si>
  <si>
    <t>LK</t>
  </si>
  <si>
    <t>Looker:</t>
  </si>
  <si>
    <t>Explore Tax Wrapper Money Flows &amp; Balances</t>
  </si>
  <si>
    <t xml:space="preserve">Combined User Balance from Ledger vs Bulk Plum Ledger Balance for reconcilation date has been updated </t>
  </si>
  <si>
    <t>DB</t>
  </si>
  <si>
    <t>Screenshot of report</t>
  </si>
  <si>
    <t>External Ledger balance matches that of Plum Ledger balance on Internal workings tab</t>
  </si>
  <si>
    <t>Reconciliation difference at 0</t>
  </si>
  <si>
    <t>All adjustments have relevant commentary and explaination</t>
  </si>
  <si>
    <t>All breaks have relevant details (user ID, order ID, explanation)</t>
  </si>
  <si>
    <t>Check all cells are mapped correctly to workings</t>
  </si>
  <si>
    <t>Add comments for any signficant changes or omissions</t>
  </si>
  <si>
    <t>Update the overall conclusion on Daily CM report</t>
  </si>
  <si>
    <t>Final sign off</t>
  </si>
  <si>
    <t>No negative balances</t>
  </si>
  <si>
    <t>External Reconciliation CISA &amp; LISA</t>
  </si>
  <si>
    <t>Check</t>
  </si>
  <si>
    <t>Update underlying Working tabs</t>
  </si>
  <si>
    <t>External balances (Citi, Lloyds, HSBC, QNB cash) updated</t>
  </si>
  <si>
    <t>All breaks have relevant details (transaction ID, order ID, explanation)</t>
  </si>
  <si>
    <t>CASS Internal Reconciliation tab</t>
  </si>
  <si>
    <t>Update the overall conclusion</t>
  </si>
  <si>
    <t>Unalloc Account Reconciled</t>
  </si>
  <si>
    <t>Unalloc holdings accounted for</t>
  </si>
  <si>
    <t>10 day check</t>
  </si>
  <si>
    <t>Number</t>
  </si>
  <si>
    <t>Date</t>
  </si>
  <si>
    <t>User ID</t>
  </si>
  <si>
    <t>Subscription ID</t>
  </si>
  <si>
    <t>Product name</t>
  </si>
  <si>
    <t>Subscription status</t>
  </si>
  <si>
    <t>Balance</t>
  </si>
  <si>
    <t>Notes</t>
  </si>
  <si>
    <t>Manual combined user balace check</t>
  </si>
  <si>
    <t>Total</t>
  </si>
  <si>
    <t>Difference to prev day</t>
  </si>
  <si>
    <t>Combined User Balance Check - CISA</t>
  </si>
  <si>
    <t>Amounts</t>
  </si>
  <si>
    <t>Internal CUB from previous day</t>
  </si>
  <si>
    <t>Debits (Recon data) from Rec data</t>
  </si>
  <si>
    <t>Credits (Recon data) from Rec data</t>
  </si>
  <si>
    <t>Internal CUB from Rec Date</t>
  </si>
  <si>
    <t>Difference</t>
  </si>
  <si>
    <t>Combined User Balance Check - LISA</t>
  </si>
  <si>
    <t>Saveable Daily Client Money and Asset Reporting</t>
  </si>
  <si>
    <t>Close of Business Date</t>
  </si>
  <si>
    <t>Cash ISA Client Money Balances - GBP</t>
  </si>
  <si>
    <t>Bank</t>
  </si>
  <si>
    <t>Account</t>
  </si>
  <si>
    <t>Previous Day Balance</t>
  </si>
  <si>
    <t>COB Balance</t>
  </si>
  <si>
    <t>Variance</t>
  </si>
  <si>
    <t>Entity</t>
  </si>
  <si>
    <t>Citi Bank NA London</t>
  </si>
  <si>
    <t>Saveable Cash ISA UK Client Money (14747801)</t>
  </si>
  <si>
    <t>Saveable Limited</t>
  </si>
  <si>
    <t>Lloyds Bank Plc</t>
  </si>
  <si>
    <t>Saveable Cash ISA Client Account (27551460)</t>
  </si>
  <si>
    <t>Saveable Cash ISA 30D Notice Client Account (27571468)</t>
  </si>
  <si>
    <t>QNB</t>
  </si>
  <si>
    <t>Qatar National Bank (4311-000545-310)</t>
  </si>
  <si>
    <t>BlackRock QMMF</t>
  </si>
  <si>
    <t>Blackrock QMMF</t>
  </si>
  <si>
    <t>BBVA</t>
  </si>
  <si>
    <t>BBVA Easy access (01778650)</t>
  </si>
  <si>
    <t xml:space="preserve">BBVA </t>
  </si>
  <si>
    <t>BBVA Notice account (06758170)</t>
  </si>
  <si>
    <t>Clydesdale Bank PLC TA Virgin Money</t>
  </si>
  <si>
    <t>Saveable Cash ISA 95 Day Notice (12204224)</t>
  </si>
  <si>
    <t>Saveable Cash ISA 65 Day Notice (12204316)</t>
  </si>
  <si>
    <t>Saveable Cash ISA 30 Day Notice (12204161)</t>
  </si>
  <si>
    <t>Saveable Cash ISA Instant access (12204414)</t>
  </si>
  <si>
    <t>JP Morgan</t>
  </si>
  <si>
    <t>JP Morgan Client Money account (76919500)</t>
  </si>
  <si>
    <t>CISA Net Increase/decrease</t>
  </si>
  <si>
    <t>Lifetime ISA Client Money Balances - GBP</t>
  </si>
  <si>
    <t>CitiBank NA London</t>
  </si>
  <si>
    <t>Saveable Lifetime ISA UK Client Money (15242487)</t>
  </si>
  <si>
    <t>Saveable Lifetime ISA Client Account (27561260)</t>
  </si>
  <si>
    <t>Saveable Lifetime ISA 30D Notice Client Account (27571060)</t>
  </si>
  <si>
    <t>Qatar National Bank (4311-000545-311)</t>
  </si>
  <si>
    <t>LISA Net Increase/decrease</t>
  </si>
  <si>
    <t>Total ISA increase/decrease</t>
  </si>
  <si>
    <t>Cash ISA</t>
  </si>
  <si>
    <t>Lifetime ISA</t>
  </si>
  <si>
    <t>Commentary on Variances</t>
  </si>
  <si>
    <r>
      <rPr>
        <rFont val="Arial"/>
        <color theme="1"/>
        <sz val="9.0"/>
      </rPr>
      <t xml:space="preserve">Citibank
</t>
    </r>
    <r>
      <rPr>
        <rFont val="Arial"/>
        <i/>
        <color theme="1"/>
        <sz val="9.0"/>
      </rPr>
      <t>*This account is used for user transfers, deposits and withdrawals</t>
    </r>
  </si>
  <si>
    <t>N/A</t>
  </si>
  <si>
    <r>
      <rPr>
        <rFont val="Arial"/>
        <color theme="1"/>
        <sz val="9.0"/>
      </rPr>
      <t xml:space="preserve">Citibank
</t>
    </r>
    <r>
      <rPr>
        <rFont val="Arial"/>
        <i/>
        <color theme="1"/>
        <sz val="9.0"/>
      </rPr>
      <t>*This account is used for user transfers, deposits and withdrawals</t>
    </r>
  </si>
  <si>
    <t>Lloyds EA</t>
  </si>
  <si>
    <t>Lloyds Notice</t>
  </si>
  <si>
    <t xml:space="preserve">Daily Reconciliation </t>
  </si>
  <si>
    <t>Requirement</t>
  </si>
  <si>
    <t>Inclusive of transfers in to apply</t>
  </si>
  <si>
    <t>Total Requirement (inclusive of Quai)</t>
  </si>
  <si>
    <t>Resource (inclusive of Quai)</t>
  </si>
  <si>
    <t>Shortfall / Surplus (inclusive of Quai)</t>
  </si>
  <si>
    <t>Reason for internal movements</t>
  </si>
  <si>
    <t>Additional Comments</t>
  </si>
  <si>
    <t xml:space="preserve">Amount of £1,315.68 is currently being held on LISA Unalloc as unidentified funds as part of ongoing HMRC government bonus differences.
</t>
  </si>
  <si>
    <t>Stocks/Shares ISA</t>
  </si>
  <si>
    <t>Reconciliation Performed by</t>
  </si>
  <si>
    <t>Barclays UK PLC</t>
  </si>
  <si>
    <t>SAVEABLE LTD (90314552) - Pending Sells/Buys - Awaiting settlement</t>
  </si>
  <si>
    <t>Quai - Cash Held</t>
  </si>
  <si>
    <t>Winterfloods</t>
  </si>
  <si>
    <t>SAVEABLE LTD</t>
  </si>
  <si>
    <t>Quai - Units Held</t>
  </si>
  <si>
    <t>Quai Resource &amp; requirement</t>
  </si>
  <si>
    <t>Resource</t>
  </si>
  <si>
    <t>Shortfall / Surplus</t>
  </si>
  <si>
    <t>Other Client Money Accounts</t>
  </si>
  <si>
    <t>Saveable UK Client Money EUR (14747763)</t>
  </si>
  <si>
    <t>€0</t>
  </si>
  <si>
    <t>Saveable Limited Account Cash ISA</t>
  </si>
  <si>
    <t>0 Units</t>
  </si>
  <si>
    <t>Saveable Limited Lifetime Account Client Account</t>
  </si>
  <si>
    <t>UNALLOC Balance</t>
  </si>
  <si>
    <t>Date:</t>
  </si>
  <si>
    <t>Unallocated Cash Review</t>
  </si>
  <si>
    <t>Client money temporarily held in our Unalloc account</t>
  </si>
  <si>
    <t>Value</t>
  </si>
  <si>
    <t>Tolerance</t>
  </si>
  <si>
    <t>These amounts count towards the 'Combined User Balance' in the Internal Rec</t>
  </si>
  <si>
    <t>CISA total unallocated</t>
  </si>
  <si>
    <t>Note: Client money must be allocated in 10 business days</t>
  </si>
  <si>
    <t>LISA total unallocated</t>
  </si>
  <si>
    <t>0-2 days</t>
  </si>
  <si>
    <t xml:space="preserve"> </t>
  </si>
  <si>
    <t>3-5 days</t>
  </si>
  <si>
    <t>6-9 days</t>
  </si>
  <si>
    <t>10+ days</t>
  </si>
  <si>
    <t>CISA</t>
  </si>
  <si>
    <t xml:space="preserve">Source: </t>
  </si>
  <si>
    <t>Explore Wealth Money Flows &amp; Balances</t>
  </si>
  <si>
    <t>Live Unalloc sheet</t>
  </si>
  <si>
    <r>
      <rPr>
        <rFont val="Arial"/>
        <color rgb="FF1155CC"/>
        <u/>
      </rPr>
      <t>CISA Unalloc Ledger and Payins - Google Sheets</t>
    </r>
  </si>
  <si>
    <t>Looker UNALLOC balance</t>
  </si>
  <si>
    <t>COB Balance according to Looker</t>
  </si>
  <si>
    <t>Looker Balance</t>
  </si>
  <si>
    <t>CISA Money</t>
  </si>
  <si>
    <t>user_id</t>
  </si>
  <si>
    <t>ledger_entry_id</t>
  </si>
  <si>
    <t>ledger_entry_created_at</t>
  </si>
  <si>
    <t>ledger_entry_type</t>
  </si>
  <si>
    <t>ledger_entry_amount</t>
  </si>
  <si>
    <t>product</t>
  </si>
  <si>
    <t>subscription_id</t>
  </si>
  <si>
    <t>collection_id</t>
  </si>
  <si>
    <t>transaction_id</t>
  </si>
  <si>
    <t>provider_id</t>
  </si>
  <si>
    <t>payin_amount</t>
  </si>
  <si>
    <t>transaction_type</t>
  </si>
  <si>
    <t>payin_created_at</t>
  </si>
  <si>
    <t>Days Aged</t>
  </si>
  <si>
    <t>Breach notes</t>
  </si>
  <si>
    <t>Commentary</t>
  </si>
  <si>
    <t>73df5aae-f42a-49a0-9d8f-616ca6dbebaa</t>
  </si>
  <si>
    <t>019eb1df-f256-71a1-b1ce-7c7ae8b244bc</t>
  </si>
  <si>
    <t>credit</t>
  </si>
  <si>
    <t>29997.68</t>
  </si>
  <si>
    <t>cash_isa</t>
  </si>
  <si>
    <t>9bc00e6b-ce5f-48c5-ae3a-1baabe00f337</t>
  </si>
  <si>
    <t>e3a86178-e782-4b8e-a5af-c71a91f91e51</t>
  </si>
  <si>
    <t>400250 51421336-2136136478</t>
  </si>
  <si>
    <t>payin</t>
  </si>
  <si>
    <t>26-PLU-126 - CISA</t>
  </si>
  <si>
    <t>019eb6b9-c0a2-7317-ab4a-c235d039858e</t>
  </si>
  <si>
    <t>8a36818d-cb4b-4b51-98cd-feffaecfad30</t>
  </si>
  <si>
    <t>13267202-51989231</t>
  </si>
  <si>
    <t>019ecb64-c843-7d12-81ee-f6401245704f</t>
  </si>
  <si>
    <t>79376e9a-a2d9-4da6-80da-2fccb69993e9</t>
  </si>
  <si>
    <t>NOREF-878813225</t>
  </si>
  <si>
    <t>019ecb64-c733-7ae4-944c-db2cb0274f72</t>
  </si>
  <si>
    <t>d1610b83-cb8b-45f0-bea4-69fec40f5e82</t>
  </si>
  <si>
    <t>NOREF-1362020235</t>
  </si>
  <si>
    <t>019ed024-854b-7377-878e-9bd25cd97072</t>
  </si>
  <si>
    <t>228cd2f5-1ee0-4962-a649-82c9f17961ae</t>
  </si>
  <si>
    <t>WK648730Ba-580073357</t>
  </si>
  <si>
    <t>019ed024-864c-78df-b53a-e34f6f766c49</t>
  </si>
  <si>
    <t>084ad475-9333-4dbe-8fb5-7d7b8ad84064</t>
  </si>
  <si>
    <t>NZ656284A-1098901635</t>
  </si>
  <si>
    <t>019ed024-873d-7252-be6e-6e408eb5a4cb</t>
  </si>
  <si>
    <t>a7a2dae7-bd10-44fc-9b1b-25271dcf0442</t>
  </si>
  <si>
    <t>JX825895D-940686763</t>
  </si>
  <si>
    <t>019ed024-8a33-7fb5-96a0-78ffd98b3516</t>
  </si>
  <si>
    <t>42c3a58b-fec1-43e1-b86e-f071b829ba7a</t>
  </si>
  <si>
    <t>NOREF-910332414</t>
  </si>
  <si>
    <t>019ed024-88f1-789c-a803-e90f28c9087e</t>
  </si>
  <si>
    <t>5a92f897-6035-4172-9831-90028a8a98c2</t>
  </si>
  <si>
    <t>JC321715Da-518647334</t>
  </si>
  <si>
    <t>019ed024-8817-7d80-9685-39944e000a98</t>
  </si>
  <si>
    <t>a50f2b4e-4ed2-48c6-ae8b-f3052f76d926</t>
  </si>
  <si>
    <t>YM189882D-95846103</t>
  </si>
  <si>
    <t>019ed0b1-3052-7f73-9d08-db917a292c59</t>
  </si>
  <si>
    <t>37db9098-7f00-401d-be6f-68777404753c</t>
  </si>
  <si>
    <t>019ed0fa-b1c2-7819-857e-40a98c4e3541</t>
  </si>
  <si>
    <t>fc861623-56a0-47e2-bd62-7aa9db1633a8</t>
  </si>
  <si>
    <t>Sum</t>
  </si>
  <si>
    <t>Diff</t>
  </si>
  <si>
    <t>LISA</t>
  </si>
  <si>
    <r>
      <rPr>
        <rFont val="Arial"/>
        <color rgb="FF1155CC"/>
        <u/>
      </rPr>
      <t>CISA Unalloc Ledger and Payins - Google Sheets</t>
    </r>
  </si>
  <si>
    <t>LISA Money</t>
  </si>
  <si>
    <t>0199816b-0e35-745a-bffb-2eb385b18f78</t>
  </si>
  <si>
    <t>25.82</t>
  </si>
  <si>
    <t>lisa</t>
  </si>
  <si>
    <t>b7a59586-5d10-4989-91c2-f2376c7a6ab2</t>
  </si>
  <si>
    <t>8ecd675b-d3b5-4b51-9aee-fc2c558679b5</t>
  </si>
  <si>
    <t>Breach raised 09/10 - added to 25-PLU-079</t>
  </si>
  <si>
    <t>Amount of 25.82 applies to HMRC gov bonus. Breach raised with engineering and product 09/10</t>
  </si>
  <si>
    <t>019a265f-0027-7d29-8ff1-8f39f64358c1</t>
  </si>
  <si>
    <t>39.36</t>
  </si>
  <si>
    <t>7464d141-4aaa-46a8-ae96-c3c7997dfc03</t>
  </si>
  <si>
    <t>Amount of 39.36 applies to HMRC gov bonus. Breach raised with engineering and product 09/10</t>
  </si>
  <si>
    <t>019c0522-3a07-719b-bcbd-b2f0eb14e013</t>
  </si>
  <si>
    <t>1250.5</t>
  </si>
  <si>
    <t>Amount of 1,250.50 applies to HMRC gov bonus. Breach raised with engineering and product 09/10</t>
  </si>
  <si>
    <t>019c9e6e-9ac8-7b3e-a27b-af919f6932b8</t>
  </si>
  <si>
    <t>2509.51</t>
  </si>
  <si>
    <t>- Amount of £2,509.51 applies to HMRC gov bonus. Breach raised with engineering and product 09/10.
- Engineering corrected £341.50 on 23/03 and debited from the overall amount of 2,509.51 on 24/03 bringing the total difference to £2,168.01.</t>
  </si>
  <si>
    <t>019e986b-6909-779a-852a-fdf77fb1f880</t>
  </si>
  <si>
    <t>6e288a26-6f54-4606-af76-43cc91f9103c</t>
  </si>
  <si>
    <t>NOREF-190470356</t>
  </si>
  <si>
    <t>019ead2b-a847-7e9b-9cf2-ad8d1ba559ad</t>
  </si>
  <si>
    <t>ffe80a3e-ca2c-49f7-99e0-1fea99be39b5</t>
  </si>
  <si>
    <t>RETURN-810653200</t>
  </si>
  <si>
    <t>019eb0ad-e1f7-7848-a2f9-cb38e5c86b1d</t>
  </si>
  <si>
    <t>429d3d03-20ce-4949-97bc-52dd443bc473</t>
  </si>
  <si>
    <t>NOREF-905760162</t>
  </si>
  <si>
    <t>019eb2b6-0f93-7b2a-8031-39c79ca623c7</t>
  </si>
  <si>
    <t>04016f15-a048-4e2f-ab88-ad6abdf6ed72</t>
  </si>
  <si>
    <t>FRESCO.21302.GFX.20-45732139</t>
  </si>
  <si>
    <t>019eb6b9-6a8d-73ef-87dc-cb539797754d</t>
  </si>
  <si>
    <t>11ab5e3b-6091-443a-9edf-dd35b41adeb6</t>
  </si>
  <si>
    <t>72FEE306a-571949853</t>
  </si>
  <si>
    <t>019ebcb7-d5e1-7bf7-b141-b8a6e63065d4</t>
  </si>
  <si>
    <t>70f1e299-11ac-4280-a6e2-1dc1137e001b</t>
  </si>
  <si>
    <t>NOREF-838618946</t>
  </si>
  <si>
    <t>019ecc1e-fb7b-7adf-a1b5-209ce9f1e444</t>
  </si>
  <si>
    <t>cc9da595-2186-4ffd-b8d8-6ec93cfb525a</t>
  </si>
  <si>
    <t>b413ebba-1125098511</t>
  </si>
  <si>
    <t>019ecc1e-f9c0-7af4-98a2-f8ee6e2cc3bc</t>
  </si>
  <si>
    <t>ac9ac199-2324-4ca2-a5db-61b4463bb5e1</t>
  </si>
  <si>
    <t>5520f7fd-1754025676</t>
  </si>
  <si>
    <t>019ecc1e-fc07-76a6-ae0d-2b27455a3529</t>
  </si>
  <si>
    <t>e3ede257-3bac-4de0-b9e1-bdf3a2e4663b</t>
  </si>
  <si>
    <t>65FA81EB-1878983804</t>
  </si>
  <si>
    <t>019ed124-a6d9-770c-a0e0-67d2a0908bde</t>
  </si>
  <si>
    <t>6c7ca4f4-7fef-4b08-8ff8-2f8d2c79a1e2</t>
  </si>
  <si>
    <t>CDF50426-712770789</t>
  </si>
  <si>
    <t>Copy data from "CISA Unalloc Ledger and Payins" with previous day's date</t>
  </si>
  <si>
    <t>Brings previous day's data from Unalloc_Rec tab</t>
  </si>
  <si>
    <t>Brings previous day's data from Unalloc_Rec sheet for comparison with the new data</t>
  </si>
  <si>
    <t>Brings the final data sorted that need to be put on the Unalloc Rec tab</t>
  </si>
  <si>
    <t>019ecf66-4e5f-7d1d-ab8b-3f663490584d</t>
  </si>
  <si>
    <t>91d3f2bc-40eb-40b5-abfd-b8c37565b61e</t>
  </si>
  <si>
    <t>019ecf67-f3f8-7864-b2db-1d9be3c1983e</t>
  </si>
  <si>
    <t>debit</t>
  </si>
  <si>
    <t>019ecf6b-b130-7c98-ab0b-5639f735de4f</t>
  </si>
  <si>
    <t>594e43b2-4c16-4cdd-9a32-89078ce028d1</t>
  </si>
  <si>
    <t>019ecf6d-7783-75cc-a067-1d4535a564d3</t>
  </si>
  <si>
    <t>019ecf6e-8f11-753c-8898-9bf70a4b7f21</t>
  </si>
  <si>
    <t>9438e43a-27ed-4543-a6a9-a8d6dcc297fa</t>
  </si>
  <si>
    <t>019ecf6f-d53d-72ab-945b-6e5f498392aa</t>
  </si>
  <si>
    <t>019ecf71-0f39-7517-ba66-2d9a255cf8fb</t>
  </si>
  <si>
    <t>43fda8b1-46b9-42e8-ae27-47e24487252b</t>
  </si>
  <si>
    <t>019ecf73-786f-735a-8d04-a5ef897c515a</t>
  </si>
  <si>
    <t>019ecf74-d8d6-7b98-aed4-3cd32fccee78</t>
  </si>
  <si>
    <t>68bf96ba-6b4e-4626-989e-f5394ed71986</t>
  </si>
  <si>
    <t>019ecf76-bf63-76d6-aa04-0abf78a5d505</t>
  </si>
  <si>
    <t>019ecf7a-e489-72cd-9b73-1bd7516d5e2f</t>
  </si>
  <si>
    <t>205cdd7c-d2ed-4603-9ba0-b085b08ee3ed</t>
  </si>
  <si>
    <t>019ecf7c-55ad-7427-9bb9-58b36cfaddae</t>
  </si>
  <si>
    <t>019ecf7e-7e01-76e2-ad1b-8a434ab054a0</t>
  </si>
  <si>
    <t>5d9ab65f-d47d-440b-86fc-aada0df5983e</t>
  </si>
  <si>
    <t>019ecf7f-4053-7b98-956f-d28b77a4465d</t>
  </si>
  <si>
    <t>0e6bf5a2-5f83-4dba-882b-f61da8185090</t>
  </si>
  <si>
    <t>019ecf80-33b1-7893-b131-a45c80eb3ade</t>
  </si>
  <si>
    <t>019ecf81-99d5-7b76-843e-8be19854b4e5</t>
  </si>
  <si>
    <t>c2e67f69-0639-42c8-ad6e-b466688be698</t>
  </si>
  <si>
    <t>019ecf82-6586-7984-9b18-d51401b605bd</t>
  </si>
  <si>
    <t>019ecf82-dc4b-7660-bc65-34689d6a0cb5</t>
  </si>
  <si>
    <t>019ecf84-2564-7568-86d7-f5bc38db90ce</t>
  </si>
  <si>
    <t>d7cdd0e3-4ed8-45e6-9437-21b31d2214e9</t>
  </si>
  <si>
    <t>019ecf85-3437-7732-9d69-781ef136ee47</t>
  </si>
  <si>
    <t>b62bdbfd-3364-49ee-bdea-86f10c50c819</t>
  </si>
  <si>
    <t>019ecf85-8c83-7334-b02c-3507c1e46c82</t>
  </si>
  <si>
    <t>019ecf85-cc66-7aff-abb6-e421b907b077</t>
  </si>
  <si>
    <t>c5f9e2a7-273d-4d39-9244-99e807cc62bb</t>
  </si>
  <si>
    <t>019ecf86-7090-7d46-93ff-eadf6515cf6a</t>
  </si>
  <si>
    <t>019ecf88-6644-7bb9-ad1c-7b69816bf46a</t>
  </si>
  <si>
    <t>8b616f8a-bd8e-41d8-90df-75136e898d98</t>
  </si>
  <si>
    <t>019ecf88-dd66-75bc-a72c-3d4ed0285cd1</t>
  </si>
  <si>
    <t>019ecf89-311d-7d31-a446-1a62bd0f20e0</t>
  </si>
  <si>
    <t>845dcc7b-e80c-47ba-978d-eaf51da59982</t>
  </si>
  <si>
    <t>019ecf8a-5132-7f8f-a6e1-5446a97d8314</t>
  </si>
  <si>
    <t>019ecf8a-53f3-7688-812f-62e1e9ae6177</t>
  </si>
  <si>
    <t>019ecf8a-bd53-71e8-baeb-d5cc3ee5c011</t>
  </si>
  <si>
    <t>0ca1b8b4-66c3-47cf-9239-c860dddc4cc9</t>
  </si>
  <si>
    <t>019ecf8b-0bd9-7b32-9575-e7e5238114eb</t>
  </si>
  <si>
    <t>1162a08c-59f0-42e2-9c3a-dc7b5d58bef3</t>
  </si>
  <si>
    <t>019ecf8c-1110-78f0-aa0c-9d38f0eb2166</t>
  </si>
  <si>
    <t>5500a291-d4a3-4c20-8f81-385002437c7b</t>
  </si>
  <si>
    <t>019ecf8c-3fa7-7dfe-beb5-d12f795a9f26</t>
  </si>
  <si>
    <t>019ecf8d-3769-76ca-b384-c2cb88dd928a</t>
  </si>
  <si>
    <t>019ecf8d-42ca-73b4-9e10-9485842d30d5</t>
  </si>
  <si>
    <t>0b60b1f8-e681-4814-9643-b035fc4c3e8c</t>
  </si>
  <si>
    <t>019ecf8e-2d29-7ad4-b61a-380cbb8924fb</t>
  </si>
  <si>
    <t>019ecf8f-25aa-766e-97c7-ca1f7294dff4</t>
  </si>
  <si>
    <t>14a3d68f-c132-4f17-8952-1c4b7e23fe77</t>
  </si>
  <si>
    <t>019ecf90-396e-705f-9580-362a52fee9e5</t>
  </si>
  <si>
    <t>019ecf91-8372-70ee-9010-f68eefd42fb9</t>
  </si>
  <si>
    <t>019ecf98-733d-72a0-a05c-1a32af726a8d</t>
  </si>
  <si>
    <t>0285c1e8-83b6-480d-816e-e296ce32b465</t>
  </si>
  <si>
    <t>019ecf9a-3fb2-726a-9cfc-134ad8836621</t>
  </si>
  <si>
    <t>1b095b3a-bec1-4b04-b23d-6104525e3eb2</t>
  </si>
  <si>
    <t>019ecf9b-58da-7469-9667-1796b687fa1c</t>
  </si>
  <si>
    <t>019ecf9c-8fb5-7f14-bc37-2c5eddcd0c9c</t>
  </si>
  <si>
    <t>019ecf9c-e80e-7ff5-b563-e60cf12dd0a3</t>
  </si>
  <si>
    <t>7431ff90-4b3c-41d6-b433-d7eb0ee49d31</t>
  </si>
  <si>
    <t>019ecf9f-8449-7522-9db7-a30e43628c8e</t>
  </si>
  <si>
    <t>019ecf9f-861e-7c86-bcca-0ec31ba3c4e5</t>
  </si>
  <si>
    <t>b66586bc-b32a-4693-b8da-db48ee5bceb3</t>
  </si>
  <si>
    <t>019ecfa1-69af-7300-9a1f-616dd17b956a</t>
  </si>
  <si>
    <t>7656788e-1cb3-4ca4-89c4-a220c453ea4c</t>
  </si>
  <si>
    <t>019ecfa1-ea2d-7221-8eda-3be9471854a7</t>
  </si>
  <si>
    <t>019ecfa3-36bf-76b9-a6ee-d5038c340978</t>
  </si>
  <si>
    <t>887de5c0-de23-4ec2-8e28-5f7a3d8297b1</t>
  </si>
  <si>
    <t>019ecfa3-c30a-7245-a1b8-e52f58dce3a8</t>
  </si>
  <si>
    <t>e7447f5e-e526-4c5f-adf1-8e8cd0b72125</t>
  </si>
  <si>
    <t>019ecfa4-1488-7afd-9c60-e29637613cce</t>
  </si>
  <si>
    <t>085b2804-8667-41d1-bb69-7a8e9fc6fb9c</t>
  </si>
  <si>
    <t>019ecfa4-95ab-78b2-9df6-0cc0395860c0</t>
  </si>
  <si>
    <t>019ecfa5-a521-7820-94ee-27e0e26b36f4</t>
  </si>
  <si>
    <t>cc1d8e4c-a245-4b9d-a206-5c73b7275d86</t>
  </si>
  <si>
    <t>019ecfa5-f985-75d7-9239-6f575e107b7b</t>
  </si>
  <si>
    <t>019ecfa6-3ef4-7337-b7fd-41d0ca08caa1</t>
  </si>
  <si>
    <t>019ecfa6-40b7-76ab-ae6c-74db43f45680</t>
  </si>
  <si>
    <t>019ecfa8-36c0-75fc-b091-53d4fd822c98</t>
  </si>
  <si>
    <t>806f931e-51a6-4b29-8854-3f9befa1d615</t>
  </si>
  <si>
    <t>019ecfa8-a63d-7ba2-9de3-567700e8661e</t>
  </si>
  <si>
    <t>d64c241a-b8b6-4195-9500-aaa8e44ec56d</t>
  </si>
  <si>
    <t>019ecfa8-c18d-7ac0-baeb-e1e953df29fb</t>
  </si>
  <si>
    <t>019ecfaa-c79a-7a3d-b3c5-2d6e0a16ac20</t>
  </si>
  <si>
    <t>019ecfab-c336-7820-8c3d-91db6724f641</t>
  </si>
  <si>
    <t>019ecfb0-a778-78e7-97d2-b6f41f176b36</t>
  </si>
  <si>
    <t>e9d9ba53-346f-47d3-8481-c47875d3b472</t>
  </si>
  <si>
    <t>019ecfb2-c757-7ad1-9dea-6d577be8f156</t>
  </si>
  <si>
    <t>019ecfb4-549d-755e-958e-c721ba1b4f5d</t>
  </si>
  <si>
    <t>c3ff4fac-5b26-4300-8002-b1da8163bf53</t>
  </si>
  <si>
    <t>019ecfb6-9633-7d5d-95b8-5d83498d1997</t>
  </si>
  <si>
    <t>019ecfb7-09d3-771c-8873-eae6cacf3a3c</t>
  </si>
  <si>
    <t>1c32520d-4809-42ef-b7cd-8930d841a73e</t>
  </si>
  <si>
    <t>019ecfb8-7bab-798c-8afe-74ae2e042828</t>
  </si>
  <si>
    <t>464c3adf-be90-4c81-865b-cd45ec0d11a2</t>
  </si>
  <si>
    <t>019ecfb8-b6c2-7b9b-8ba0-e446d15e83a5</t>
  </si>
  <si>
    <t>e6e73ee3-1c63-4f16-ad0c-75d3997b34a6</t>
  </si>
  <si>
    <t>019ecfba-2b4b-76d0-b0bf-997507f4f4bf</t>
  </si>
  <si>
    <t>019ecfba-ccd3-7b68-b37a-47b443a61147</t>
  </si>
  <si>
    <t>019ecfba-ccd2-7d45-85bf-aef5ff813610</t>
  </si>
  <si>
    <t>019ecfbb-eaf2-7fd6-a472-412280385a3c</t>
  </si>
  <si>
    <t>fca929dd-d228-47be-a9b0-9603fc297783</t>
  </si>
  <si>
    <t>019ecfbe-e647-71f6-8eb4-23c8df6d89a2</t>
  </si>
  <si>
    <t>019ecfc1-bcd5-75e8-a3be-5273a90af382</t>
  </si>
  <si>
    <t>acf2f3fe-9ef9-4b48-88da-0cef6f9c4128</t>
  </si>
  <si>
    <t>019ecfc2-ca60-761b-b9bc-f79157ae8bf9</t>
  </si>
  <si>
    <t>99c5b718-fa4f-4da0-9e40-18baded50ea4</t>
  </si>
  <si>
    <t>019ecfc4-b46a-77b1-8061-f706ea491aca</t>
  </si>
  <si>
    <t>019ecfc7-60c5-71bb-bfb1-31d095f78e71</t>
  </si>
  <si>
    <t>019ecfcc-0878-7774-b253-f925a4cc049c</t>
  </si>
  <si>
    <t>9a195fee-945d-4055-924e-a8914679c8f8</t>
  </si>
  <si>
    <t>019ecfcc-a214-77e5-b232-d9c31fdf2cc1</t>
  </si>
  <si>
    <t>d06ca8c3-926d-48dd-bd9f-648d61167466</t>
  </si>
  <si>
    <t>019ecfce-b2b0-7d81-b536-40ac01b6aee5</t>
  </si>
  <si>
    <t>50844745-d144-4d29-a09e-4f8144026e9b</t>
  </si>
  <si>
    <t>019ecfcf-543d-70fa-9bdb-1e981ed4c0ef</t>
  </si>
  <si>
    <t>75751cf9-1175-44c2-86b1-1d34fd23a9ed</t>
  </si>
  <si>
    <t>019ecfd2-4ed0-7080-9e06-0c36c56c0a7c</t>
  </si>
  <si>
    <t>e9d4408b-c07c-4972-840d-7a7f65a2929b</t>
  </si>
  <si>
    <t>019ecfd2-8466-7367-b5e2-a7f2c9a8343e</t>
  </si>
  <si>
    <t>85316de7-3c6a-4eac-bfbe-698ff3ec9240</t>
  </si>
  <si>
    <t>019ecfd3-1206-7f52-ae95-60443c5f908d</t>
  </si>
  <si>
    <t>019ecfd4-085d-7b81-bfb8-3eb32f33d7cc</t>
  </si>
  <si>
    <t>af943799-ebd2-4832-a144-a32b4c3e4e52</t>
  </si>
  <si>
    <t>019ecfd4-6d4a-7c05-ae7c-81c49cc861fa</t>
  </si>
  <si>
    <t>019ecfd4-8389-73f0-a4bd-b01c0be37427</t>
  </si>
  <si>
    <t>019ecfd4-ee0b-7d5b-8cbe-f6904f4ae5df</t>
  </si>
  <si>
    <t>019ecfd5-86ee-7db6-ac70-d06b71d7556a</t>
  </si>
  <si>
    <t>019ecfd5-ea3b-74f1-969f-43cf1b17274c</t>
  </si>
  <si>
    <t>984de537-45ec-4eec-8cd3-9e1e99073ac8</t>
  </si>
  <si>
    <t>019ecfd7-8cbf-7edf-9b89-6da6438015aa</t>
  </si>
  <si>
    <t>37a5ace5-d5b7-4f7d-9dd0-311ba95756be</t>
  </si>
  <si>
    <t>019ecfd8-3d3b-71c4-b989-de8e93431036</t>
  </si>
  <si>
    <t>7b3a6887-2bc2-43a1-8a39-8f79bc8d0bb5</t>
  </si>
  <si>
    <t>019ecfda-1105-7596-b7d3-f9b71a1e89b4</t>
  </si>
  <si>
    <t>019ecfda-d11f-7bbc-bd50-68fad6742d66</t>
  </si>
  <si>
    <t>6afccf8a-4161-47b8-b09c-170c1cb01d2f</t>
  </si>
  <si>
    <t>019ecfda-d404-77b4-86a0-d94de9a1d86a</t>
  </si>
  <si>
    <t>dabd6b93-ef72-40a5-b95c-414bc162f360</t>
  </si>
  <si>
    <t>019ecfda-f8ab-7b1b-9880-101f05f6351a</t>
  </si>
  <si>
    <t>019ecfdb-4fee-7202-90c4-21fe0d88c49a</t>
  </si>
  <si>
    <t>019ecfdb-e9e9-7bf0-8995-f2d42439db77</t>
  </si>
  <si>
    <t>019ecfdc-7fd6-75c0-aff0-2130ab5d2651</t>
  </si>
  <si>
    <t>05386179-1729-4c16-b37b-597b7b1156a6</t>
  </si>
  <si>
    <t>019ecfdc-f6f3-705d-9598-bdb4df32530e</t>
  </si>
  <si>
    <t>019ecfe1-4bdf-74ea-aa7c-f91b938e38b5</t>
  </si>
  <si>
    <t>019ecfe1-b3a6-7dd5-a8bf-22d41499f54b</t>
  </si>
  <si>
    <t>019ecfe1-fd3c-758e-9983-b6e2911c5dc9</t>
  </si>
  <si>
    <t>95ad8cd2-710a-4039-9696-9cea9b8bc9f7</t>
  </si>
  <si>
    <t>019ecfe2-0ffa-74b7-b461-0a9396982981</t>
  </si>
  <si>
    <t>019ecfe4-b938-7a81-ac9c-400794620593</t>
  </si>
  <si>
    <t>019ecfe6-5a92-78ac-a9f8-11fb51c7d0f7</t>
  </si>
  <si>
    <t>c3534356-94a7-4f98-9418-aecb2ac19d2a</t>
  </si>
  <si>
    <t>019ecfe7-47ed-7e53-a1e0-3d91e8fd6735</t>
  </si>
  <si>
    <t>d4671432-c6d2-4fc3-8839-3461ae7b1760</t>
  </si>
  <si>
    <t>019ecfe8-83a4-7c6c-b3b1-b4e874529a29</t>
  </si>
  <si>
    <t>019ecfe8-e90c-73bf-85aa-7bdd7a0ff9ff</t>
  </si>
  <si>
    <t>019ecfec-6d66-76e7-8c55-b29676b29a6b</t>
  </si>
  <si>
    <t>c9359381-7d45-4095-8b40-992e44e6b975</t>
  </si>
  <si>
    <t>019ecfef-8a39-78c5-9592-1e472ef26b5b</t>
  </si>
  <si>
    <t>019ecff1-639a-7cd4-85fc-17fb64912826</t>
  </si>
  <si>
    <t>f13d5a05-7b74-4c2a-8510-e5e0bb8a659a</t>
  </si>
  <si>
    <t>019ecff2-1aa5-72b3-ac9e-47746a478142</t>
  </si>
  <si>
    <t>74ca6fef-ecdf-46c2-bccd-48b9c63dde40</t>
  </si>
  <si>
    <t>019ecff3-4abb-70bf-b8bd-2910d17704d9</t>
  </si>
  <si>
    <t>019ecff4-03cb-70eb-92f7-4864b4e3ea47</t>
  </si>
  <si>
    <t>08f64c16-842a-4dd6-8b07-320a4ce99b2f</t>
  </si>
  <si>
    <t>019ecff4-505c-70da-97a3-bcac90dfe94e</t>
  </si>
  <si>
    <t>019ecff4-acc3-7afa-a7de-bc633cd71d12</t>
  </si>
  <si>
    <t>d60a6d76-7fc3-4977-96c4-2aa320c895c8</t>
  </si>
  <si>
    <t>019ecff7-6463-74c3-8a2b-78bab1d02365</t>
  </si>
  <si>
    <t>019ecff7-679d-70c2-a836-103324c0d90c</t>
  </si>
  <si>
    <t>019ecff9-0a91-7d12-bbd5-593a025f1941</t>
  </si>
  <si>
    <t>f4ee3d99-fd77-4502-bd40-9926f2e8b5c5</t>
  </si>
  <si>
    <t>019ecffa-efd8-7a7f-94ac-20d9152e0934</t>
  </si>
  <si>
    <t>019ecffd-bf93-72e7-aa2a-c310bac24641</t>
  </si>
  <si>
    <t>e1d028a1-bc5a-4ae9-b711-3375c2443760</t>
  </si>
  <si>
    <t>019ecffe-3196-79f7-bcaf-8edb3b102638</t>
  </si>
  <si>
    <t>a205a3f4-c6cf-4a8d-a22e-3b167f82931a</t>
  </si>
  <si>
    <t>019ed000-7b75-7818-aff3-b94ed798205a</t>
  </si>
  <si>
    <t>019ed000-88be-7097-a17f-746fe56edbdc</t>
  </si>
  <si>
    <t>019ed000-fec6-7615-bb6e-465c1845f6f7</t>
  </si>
  <si>
    <t>e0677982-f0a9-452c-8d00-dd5f9f617bce</t>
  </si>
  <si>
    <t>019ed002-2e30-7730-be6a-f4f2ac4c6149</t>
  </si>
  <si>
    <t>81d14da7-c519-452d-958c-849afc37607f</t>
  </si>
  <si>
    <t>019ed004-8a0d-7195-ab68-655c59616846</t>
  </si>
  <si>
    <t>019ed008-02d0-7fde-a4a7-e196bbc8fad4</t>
  </si>
  <si>
    <t>193ad4bb-6f45-42d3-bdfa-768376641602</t>
  </si>
  <si>
    <t>019ed00a-4f1a-7d04-b070-9c247512ac34</t>
  </si>
  <si>
    <t>95595b40-d639-4aed-a8ab-b9945a463474</t>
  </si>
  <si>
    <t>019ed00b-93f3-7792-8cf5-70fa2c0fb27f</t>
  </si>
  <si>
    <t>019ed00c-3e30-783e-a4a4-bc2573cb6c89</t>
  </si>
  <si>
    <t>60cc9b7c-6c80-4ab0-b03e-fa1b845e23c4</t>
  </si>
  <si>
    <t>019ed00d-2039-70ce-8315-56995b263d0d</t>
  </si>
  <si>
    <t>019ed00d-9cf1-7e12-9e1c-882e5e1f15fc</t>
  </si>
  <si>
    <t>5ae634e8-9b7c-42a9-8377-a9328425b0d8</t>
  </si>
  <si>
    <t>019ed00d-d7ab-74fd-9790-a30d9fad1565</t>
  </si>
  <si>
    <t>a41baabc-b5f9-49f4-a294-cf48f37d7a8d</t>
  </si>
  <si>
    <t>019ed00f-77a4-7c00-be01-db7d4230f0bb</t>
  </si>
  <si>
    <t>019ed010-6f12-7af0-97d0-8c1538f793c4</t>
  </si>
  <si>
    <t>019ed011-a7c2-72ac-a034-a55279b56485</t>
  </si>
  <si>
    <t>97c284de-ed64-4e97-b802-4719346b6c7c</t>
  </si>
  <si>
    <t>019ed014-4518-7b43-8af4-9b20f5d8242a</t>
  </si>
  <si>
    <t>019ed015-c5dc-794f-b403-b3a6b5e5bcb3</t>
  </si>
  <si>
    <t>484d47c0-4ba1-45b5-8762-e933a96e2578</t>
  </si>
  <si>
    <t>019ed015-d33d-7f61-8bb3-deadbf0d9c07</t>
  </si>
  <si>
    <t>635da7fc-5835-4ab2-807a-a13c63aab420</t>
  </si>
  <si>
    <t>019ed01c-4924-7670-b88f-261779886156</t>
  </si>
  <si>
    <t>f730ff9f-6ac9-4ca3-9602-52abdefb2b75</t>
  </si>
  <si>
    <t>019ed01c-5049-782f-8cc6-252351206537</t>
  </si>
  <si>
    <t>6a40f337-61d0-47ae-9ba0-b5393d2cfbb6</t>
  </si>
  <si>
    <t>019ed01e-b535-7d43-8ed1-abc3ae17034f</t>
  </si>
  <si>
    <t>3359f22a-2384-4262-a97a-574c1dcce80f</t>
  </si>
  <si>
    <t>019ed01f-cc1b-7ea9-bb81-74c81aa9634e</t>
  </si>
  <si>
    <t>019ed020-4845-750d-bd87-cf1e755b00cb</t>
  </si>
  <si>
    <t>dcf08b04-e80e-4124-abcb-cde8a85403f0</t>
  </si>
  <si>
    <t>019ed020-d0ba-7c69-9d3d-6ef8d237671e</t>
  </si>
  <si>
    <t>019ed021-df5d-7576-82fc-37939f734fbd</t>
  </si>
  <si>
    <t>c0ac7020-b1ef-4f60-8792-90463b44fbad</t>
  </si>
  <si>
    <t>019ed022-c1b5-7837-acca-2dd9129eaf20</t>
  </si>
  <si>
    <t>019ed026-912f-7834-bf65-b4287eb45e8b</t>
  </si>
  <si>
    <t>019ed039-7a67-777d-8d74-70245766c2e3</t>
  </si>
  <si>
    <t>462284d8-d2b2-4fff-a407-5de3087260e0</t>
  </si>
  <si>
    <t>019ed03b-171f-709a-80a0-24eba2fcda41</t>
  </si>
  <si>
    <t>b312db61-1ad3-41b0-8ccf-26d722af1eef</t>
  </si>
  <si>
    <t>019ed03b-5ed7-713b-a7c9-a8eeabce68be</t>
  </si>
  <si>
    <t>019ed03d-349b-79ca-b194-42b3704d2a13</t>
  </si>
  <si>
    <t>8cf24a8d-4d22-45b0-88b1-6feed7cf07d5</t>
  </si>
  <si>
    <t>019ed03e-1020-71df-899a-35e05b6ba16c</t>
  </si>
  <si>
    <t>019ed03e-f2ab-7994-a3de-6ee37710b988</t>
  </si>
  <si>
    <t>019ed040-7126-78d4-96ef-f88ad1c97055</t>
  </si>
  <si>
    <t>07c9463e-6a77-4a00-ac92-7621e56d3378</t>
  </si>
  <si>
    <t>019ed041-db9e-780e-a8b3-7edf6d599c7a</t>
  </si>
  <si>
    <t>019ed042-1709-7322-9ddf-ab59d1f096ab</t>
  </si>
  <si>
    <t>c161f8f2-0bdb-4ed8-b8d2-372337424c0e</t>
  </si>
  <si>
    <t>019ed043-be03-7049-ae7c-7cd2fd1b8267</t>
  </si>
  <si>
    <t>a7b5ac2b-c73b-47d4-ba8a-0a8b5f222b9a</t>
  </si>
  <si>
    <t>019ed044-b7f5-74ae-9602-dea0dc29b845</t>
  </si>
  <si>
    <t>019ed045-a3d3-788c-a34d-ad6cb6659ab7</t>
  </si>
  <si>
    <t>019ed046-18d9-7fb3-b908-b18d09cf1975</t>
  </si>
  <si>
    <t>c2062727-5ce9-4615-86a4-b8169e7d14b8</t>
  </si>
  <si>
    <t>019ed048-7ccc-7434-9810-ee34f98ae51d</t>
  </si>
  <si>
    <t>019ed048-96f2-7487-abb5-7d201be516ca</t>
  </si>
  <si>
    <t>70ebe030-691f-497e-92a5-1e266a1b28cb</t>
  </si>
  <si>
    <t>019ed049-a92b-73b0-ba48-b4fd11c7da66</t>
  </si>
  <si>
    <t>e97c109f-4b44-4e4f-af31-71980205dc48</t>
  </si>
  <si>
    <t>019ed04b-a409-76a6-9e7a-9f1cb6f8d983</t>
  </si>
  <si>
    <t>019ed04b-cc8f-7ec1-8c62-ead9d4419bc2</t>
  </si>
  <si>
    <t>a77681e7-af79-4f52-a4d8-4e79b090a163</t>
  </si>
  <si>
    <t>019ed04b-d704-706c-9c88-565053d4cdf6</t>
  </si>
  <si>
    <t>019ed04d-7da9-7694-9516-fec013ea4ec6</t>
  </si>
  <si>
    <t>019ed04d-96fb-7bd9-8b44-63d8d25da57f</t>
  </si>
  <si>
    <t>a056b682-97a9-4250-a4ff-e48285ec5fe4</t>
  </si>
  <si>
    <t>019ed04e-3d28-7b14-a978-3b0fdb3cbe6c</t>
  </si>
  <si>
    <t>8cd62a46-18ca-4865-be65-0bcaaa6de493</t>
  </si>
  <si>
    <t>019ed04f-41ac-71e3-944f-ab2432b366b3</t>
  </si>
  <si>
    <t>019ed04f-efe4-7584-a8d4-4142bffe18aa</t>
  </si>
  <si>
    <t>592c3a0a-a0d0-442b-828f-86495a945059</t>
  </si>
  <si>
    <t>019ed050-482a-7b8a-8ada-89cade9a2a47</t>
  </si>
  <si>
    <t>019ed051-2473-78aa-94b9-3081e5dfbed5</t>
  </si>
  <si>
    <t>4a8df8b1-7088-4100-901d-329fddacbcc6</t>
  </si>
  <si>
    <t>019ed051-c980-7330-9849-ffa7af0f9bb3</t>
  </si>
  <si>
    <t>5993c105-978b-49f1-8fd1-6054862dfc89</t>
  </si>
  <si>
    <t>019ed053-1729-7018-8a5a-62239b185f9f</t>
  </si>
  <si>
    <t>019ed053-2673-7b36-bb8b-14c6fcd92f45</t>
  </si>
  <si>
    <t>cc61bae4-1231-4c4d-a31d-d62c86d64402</t>
  </si>
  <si>
    <t>019ed053-40ca-721f-a782-b6b455ad51a1</t>
  </si>
  <si>
    <t>019ed053-4122-78b7-b7dd-69103db10fec</t>
  </si>
  <si>
    <t>019ed053-cdb0-7bab-9908-ff28fbe9ba23</t>
  </si>
  <si>
    <t>c70fc41d-318a-4d3c-8c92-0af99d8f3ad9</t>
  </si>
  <si>
    <t>019ed054-0ec8-774d-be20-8fb265fa361b</t>
  </si>
  <si>
    <t>019ed055-081f-74ac-a070-d58e214f6fd8</t>
  </si>
  <si>
    <t>019ed057-2ddc-79a0-bfc7-e972c15eff6e</t>
  </si>
  <si>
    <t>ef237cc7-2338-48ae-8667-1176aa4d18a9</t>
  </si>
  <si>
    <t>019ed059-dd53-7f13-9343-d6c1865a6df7</t>
  </si>
  <si>
    <t>019ed05b-7448-73d6-b950-0117699ecd41</t>
  </si>
  <si>
    <t>84d0a80b-c5f6-4ace-947b-109a4d13b52e</t>
  </si>
  <si>
    <t>019ed05c-ae2c-70ab-b778-6ca7e3b21b53</t>
  </si>
  <si>
    <t>019ed05e-3202-7425-9b8a-612fff993c53</t>
  </si>
  <si>
    <t>04da9d4b-863e-4ac3-a5db-46626f02501d</t>
  </si>
  <si>
    <t>019ed060-7af9-71ed-8c5c-5fe8644eeb60</t>
  </si>
  <si>
    <t>019ed060-96d1-71d2-b647-c81890daea60</t>
  </si>
  <si>
    <t>310c34f6-7b95-4fcb-ab10-4a54e0ce23cc</t>
  </si>
  <si>
    <t>019ed060-babe-79cf-9e35-480a74ea0be1</t>
  </si>
  <si>
    <t>557abc9d-987a-4bf8-a4f1-e2f11f3be0f8</t>
  </si>
  <si>
    <t>019ed062-6c21-73ed-bcea-a1b839e95815</t>
  </si>
  <si>
    <t>019ed062-6c8c-7d74-af71-547a11e72bc3</t>
  </si>
  <si>
    <t>019ed063-b289-79f6-bf46-1855f16ed9ab</t>
  </si>
  <si>
    <t>d68b88c3-2d21-4ee5-b77f-fa22c59b41bb</t>
  </si>
  <si>
    <t>019ed066-de0d-72fb-b2dc-5f3189ca7ae2</t>
  </si>
  <si>
    <t>3c79f161-5919-4a8e-bde3-d468f109617e</t>
  </si>
  <si>
    <t>019ed067-101e-7a3c-a3cb-906bd403260e</t>
  </si>
  <si>
    <t>019ed068-8a68-7efc-89ef-48960621118e</t>
  </si>
  <si>
    <t>718d6e41-62b1-4b6d-9b7a-c6313afe596c</t>
  </si>
  <si>
    <t>019ed068-a14c-7adc-8891-87fa8f9cc2ce</t>
  </si>
  <si>
    <t>019ed069-ed08-7d72-af2c-724a017fa3c5</t>
  </si>
  <si>
    <t>bb4de603-ff37-4395-91ee-fd1d752fd311</t>
  </si>
  <si>
    <t>019ed06a-abcd-7c57-9ae9-2486dbf8fd91</t>
  </si>
  <si>
    <t>4174678f-bb13-4f47-9580-353559dfc646</t>
  </si>
  <si>
    <t>019ed06b-2c53-7752-bb3d-6510ed443110</t>
  </si>
  <si>
    <t>019ed06d-1134-7841-a0b0-578281bf044d</t>
  </si>
  <si>
    <t>a53479dd-42b4-450f-be4c-ae4843abdde8</t>
  </si>
  <si>
    <t>019ed06d-4ba6-792c-a100-2e4d64ad671a</t>
  </si>
  <si>
    <t>caef60ab-4641-479e-b3f7-c32ee3d07c9d</t>
  </si>
  <si>
    <t>019ed06d-d1a3-7d67-8602-3cea3751629e</t>
  </si>
  <si>
    <t>019ed06e-0c34-7941-8f06-9054f97022bc</t>
  </si>
  <si>
    <t>019ed06f-09cb-704a-af80-60efa8d01a45</t>
  </si>
  <si>
    <t>019ed06f-0c61-7d9a-b6ec-e45f99723240</t>
  </si>
  <si>
    <t>019ed06f-68c5-7778-912e-c22bc0c9789b</t>
  </si>
  <si>
    <t>e25ecffc-927c-4447-8964-58ec5a36200d</t>
  </si>
  <si>
    <t>019ed06f-bd2f-77eb-b337-1b75b192a10e</t>
  </si>
  <si>
    <t>df09bf35-5a73-4694-9ad1-5790d208239c</t>
  </si>
  <si>
    <t>019ed06f-f6e7-743e-878f-792fa1c52c04</t>
  </si>
  <si>
    <t>5712cb3f-dbea-43a1-96dd-7baaba0ff466</t>
  </si>
  <si>
    <t>019ed070-b80a-7a9f-89dd-057a4be7267a</t>
  </si>
  <si>
    <t>90232a8f-729f-4c04-ae09-48b292dd4e6e</t>
  </si>
  <si>
    <t>019ed071-5beb-790c-9adf-2008af17cae0</t>
  </si>
  <si>
    <t>019ed072-53eb-79cf-bfc4-17b71e2be62f</t>
  </si>
  <si>
    <t>019ed072-56a9-7695-a8fb-4276dd06200d</t>
  </si>
  <si>
    <t>019ed072-5798-7968-b644-a22dbcd35d59</t>
  </si>
  <si>
    <t>fef64c80-0ea4-4c44-814d-028d3ee386e3</t>
  </si>
  <si>
    <t>019ed072-772f-74e1-8974-d449a712857f</t>
  </si>
  <si>
    <t>1fc37854-e7db-4acc-bc99-4a175f9c1f08</t>
  </si>
  <si>
    <t>019ed073-e5c2-7bfc-a00e-49d315d85512</t>
  </si>
  <si>
    <t>0f34ca27-d8d0-4733-85d4-99ff8e9f070a</t>
  </si>
  <si>
    <t>019ed074-ec2b-7b5b-9138-1ccd23a6cd3c</t>
  </si>
  <si>
    <t>019ed075-0cb4-7056-9ad4-2662185f848c</t>
  </si>
  <si>
    <t>019ed075-193b-73d9-8a3d-db22fd0d0096</t>
  </si>
  <si>
    <t>c916217e-1b28-42a6-bc37-9cf00856689f</t>
  </si>
  <si>
    <t>019ed075-a557-7c94-b2fc-b04cb5205740</t>
  </si>
  <si>
    <t>019ed076-92b7-7aa0-b829-0155c9af6fc2</t>
  </si>
  <si>
    <t>bd0efc3d-6879-422e-a24f-07895f8fd51a</t>
  </si>
  <si>
    <t>019ed076-9c21-7bac-9c14-94e96ce5a25f</t>
  </si>
  <si>
    <t>019ed077-74c2-788e-96ab-e1cf9029f8eb</t>
  </si>
  <si>
    <t>292859f5-5a84-453d-a06d-407ddcaae2fd</t>
  </si>
  <si>
    <t>019ed078-0856-7dcf-8912-89af69941005</t>
  </si>
  <si>
    <t>019ed079-67d2-77d2-a69b-39b4b4105f4f</t>
  </si>
  <si>
    <t>019ed07a-0457-7bc1-ac06-70b490c1284f</t>
  </si>
  <si>
    <t>0b3d7800-d5ec-48f7-b3a2-336ba616d2e9</t>
  </si>
  <si>
    <t>019ed07b-82f3-77eb-afec-6fda8363c93f</t>
  </si>
  <si>
    <t>8f2c7155-004e-4eed-b683-2d3088325f7d</t>
  </si>
  <si>
    <t>019ed07c-43dc-71c1-a952-62f2d3f91101</t>
  </si>
  <si>
    <t>019ed07d-2b51-7bb8-910b-70a1e0783857</t>
  </si>
  <si>
    <t>019ed07e-49d3-7adb-935e-95ec49bb1999</t>
  </si>
  <si>
    <t>b052dce0-d8a4-40fe-a566-3ed9c5e97ee9</t>
  </si>
  <si>
    <t>019ed07f-45d4-7070-9f63-e400a338939f</t>
  </si>
  <si>
    <t>ce8013d9-6610-43dc-94ea-4bafd068467b</t>
  </si>
  <si>
    <t>019ed080-0823-7825-be67-5a4f0c956f7f</t>
  </si>
  <si>
    <t>019ed080-dbc4-7bbc-9750-f7d9c47e8044</t>
  </si>
  <si>
    <t>3b6b5876-0c68-4637-b215-341a42eb6f66</t>
  </si>
  <si>
    <t>019ed081-5f45-736a-b6ea-1000d1952dd0</t>
  </si>
  <si>
    <t>b384fd6e-4480-4212-b502-30648a71da97</t>
  </si>
  <si>
    <t>019ed082-29b1-725a-95d2-18af36a42c8b</t>
  </si>
  <si>
    <t>019ed082-4654-7ed4-bf10-552f71928dfb</t>
  </si>
  <si>
    <t>21191714-7956-47af-ad47-8965fa30aa65</t>
  </si>
  <si>
    <t>019ed083-d77e-77d6-b493-e0db9b11ce75</t>
  </si>
  <si>
    <t>019ed084-6d31-7a65-9f3f-d032d571d0e7</t>
  </si>
  <si>
    <t>143c89e7-2b93-4774-8b4c-7431fb252ef0</t>
  </si>
  <si>
    <t>019ed084-c903-7bb9-af70-6f68f44209d3</t>
  </si>
  <si>
    <t>019ed085-3905-7b99-8c69-ef7bc03601f9</t>
  </si>
  <si>
    <t>db00904e-357a-49a5-80a7-a1705832d3af</t>
  </si>
  <si>
    <t>019ed086-cb4e-720d-b8b7-b5e9e47d5c90</t>
  </si>
  <si>
    <t>019ed088-c9d1-7743-8989-3e81a22e3ec0</t>
  </si>
  <si>
    <t>019ed088-e3ac-71f8-bb8f-cacdd27ed96c</t>
  </si>
  <si>
    <t>b87b6c6d-8a77-48a7-b063-d70d500c7168</t>
  </si>
  <si>
    <t>019ed08c-0a33-771a-987b-36e43d54c47a</t>
  </si>
  <si>
    <t>019ed08c-b911-7283-b9a6-6ef6960acdec</t>
  </si>
  <si>
    <t>8d4dbb38-4cf9-4622-b95b-63a581b74153</t>
  </si>
  <si>
    <t>019ed08e-726d-72b7-bf6f-550625414218</t>
  </si>
  <si>
    <t>019ed093-6721-719c-a848-336e7fbe39f4</t>
  </si>
  <si>
    <t>fa389ecf-516b-4118-84c4-a0d88561da48</t>
  </si>
  <si>
    <t>019ed094-aebe-7ef4-b9e3-595ecee2c965</t>
  </si>
  <si>
    <t>019ed096-f7d1-7818-9e8f-f47f1bebd032</t>
  </si>
  <si>
    <t>cad2a83e-b1b1-4978-bf3e-0e846584e5e9</t>
  </si>
  <si>
    <t>019ed099-5928-76ab-bf6a-16673ffcd66d</t>
  </si>
  <si>
    <t>62322cdc-debb-4f9a-875b-8ccbe68b80e8</t>
  </si>
  <si>
    <t>019ed099-762b-7181-9345-8b2dbca881a0</t>
  </si>
  <si>
    <t>019ed09b-1cd6-7c49-a1b4-4b45065610f2</t>
  </si>
  <si>
    <t>76ff0d9b-5de6-463b-a1c0-871c8cedeae1</t>
  </si>
  <si>
    <t>019ed09b-24b6-7d6b-8007-623ab6e8b527</t>
  </si>
  <si>
    <t>1de20172-837b-4c0a-8b46-49d5f64e4db4</t>
  </si>
  <si>
    <t>019ed09b-6227-77a3-8365-4374d1e89b4f</t>
  </si>
  <si>
    <t>019ed09c-e65a-7a22-b2fe-9d2a2e7f888b</t>
  </si>
  <si>
    <t>19d8cbd6-bf6a-47fc-9552-65715777c1a3</t>
  </si>
  <si>
    <t>019ed09e-6d2e-79fa-841f-be349ae9e3cd</t>
  </si>
  <si>
    <t>019ed09e-6f63-7663-87ba-a7243a1779d4</t>
  </si>
  <si>
    <t>019ed09f-4b34-765e-81da-0415f738a5a1</t>
  </si>
  <si>
    <t>019ed09f-7936-7ec9-98ef-4d467047316f</t>
  </si>
  <si>
    <t>2b18974c-93a5-49ef-9481-490aa1f5683b</t>
  </si>
  <si>
    <t>019ed0a1-ab1a-7f97-8c94-bdcf596184be</t>
  </si>
  <si>
    <t>019ed0a1-bfa3-79c5-9720-be705d9fa612</t>
  </si>
  <si>
    <t>294add22-1f1e-4a87-a4b9-3dc38496dfae</t>
  </si>
  <si>
    <t>019ed0a3-d499-7e1c-bde5-3c4976126bf7</t>
  </si>
  <si>
    <t>019ed0a4-9553-7608-8494-99833df98d17</t>
  </si>
  <si>
    <t>994b618a-ad5d-4781-b3b4-c8dbfd9493f5</t>
  </si>
  <si>
    <t>019ed0a4-e769-7131-9a2f-bbcaf03413ac</t>
  </si>
  <si>
    <t>0e1c5912-4e20-4840-a5b1-bd17d792d0f1</t>
  </si>
  <si>
    <t>019ed0a6-5512-7569-b11f-1858a9a13458</t>
  </si>
  <si>
    <t>005e70e1-a8c5-4000-b67d-bbe552bdfe5e</t>
  </si>
  <si>
    <t>019ed0a6-82c8-7ced-9cb1-e57d28f5ce51</t>
  </si>
  <si>
    <t>17c98068-bdd3-4865-ad5d-1bfd760a6bb3</t>
  </si>
  <si>
    <t>019ed0a6-9d8a-7bcf-8975-791c2771d2f0</t>
  </si>
  <si>
    <t>019ed0a6-9f08-7f4e-b07f-02c72ca8e8b7</t>
  </si>
  <si>
    <t>019ed0a8-7049-76de-b5e8-b09451c7b7ff</t>
  </si>
  <si>
    <t>019ed0a8-70aa-7aca-afdc-63ea4d163a36</t>
  </si>
  <si>
    <t>019ed0a8-e181-7a57-bcb1-2911b2ac8c4e</t>
  </si>
  <si>
    <t>62022b53-a22d-4001-be8c-8e03107d4460</t>
  </si>
  <si>
    <t>019ed0a9-84bc-7821-9feb-1fbc4b202a42</t>
  </si>
  <si>
    <t>686748e1-d759-4dc1-8ed8-4326d4a90bfe</t>
  </si>
  <si>
    <t>019ed0aa-c8de-79e8-a0b0-20068c1c8998</t>
  </si>
  <si>
    <t>019ed0aa-c9bc-75b1-8335-e0526c071763</t>
  </si>
  <si>
    <t>019ed0ab-5614-7d48-8410-0fdfba11eabc</t>
  </si>
  <si>
    <t>a4ba2ab1-c93d-420e-939d-b01668b6680b</t>
  </si>
  <si>
    <t>019ed0ab-7d6a-766c-9f85-2d31ffac2718</t>
  </si>
  <si>
    <t>3409547f-6837-4398-8701-cd88ddd06adf</t>
  </si>
  <si>
    <t>019ed0ac-516e-70dd-b2a8-dcfbbf88cb72</t>
  </si>
  <si>
    <t>88cbd619-0e1f-48cd-8cc0-87ea8a9d748d</t>
  </si>
  <si>
    <t>019ed0ad-b23c-7140-9bd6-43b9578cebd8</t>
  </si>
  <si>
    <t>d7a8b957-b3f4-437d-ba2a-c87fe3a28de3</t>
  </si>
  <si>
    <t>019ed0ad-c19f-7b2f-9078-4bd1cc1e73f7</t>
  </si>
  <si>
    <t>019ed0ae-3722-7299-beb1-b1c650533cde</t>
  </si>
  <si>
    <t>019ed0ae-38af-7dc6-9063-b7019dd730ed</t>
  </si>
  <si>
    <t>019ed0af-856e-7c8b-bc96-87367e10892d</t>
  </si>
  <si>
    <t>b48f012d-c041-424a-b5d8-c6561c71395c</t>
  </si>
  <si>
    <t>019ed0af-90f5-7750-b268-97f3758798d5</t>
  </si>
  <si>
    <t>019ed0b2-40b5-7567-924f-38f16bbda209</t>
  </si>
  <si>
    <t>8d1ae1d8-e340-42fe-a52a-478b2fa1d9f3</t>
  </si>
  <si>
    <t>019ed0b4-236b-736b-9669-215abcb77c99</t>
  </si>
  <si>
    <t>18c90dd9-8235-4ae3-977a-afd209f77949</t>
  </si>
  <si>
    <t>019ed0b4-894a-7735-875b-7e6aaa5c5950</t>
  </si>
  <si>
    <t>019ed0b5-7232-7098-a47c-bad4af6f57c8</t>
  </si>
  <si>
    <t>019ed0b5-cadd-7e56-9272-1ea42793d0a7</t>
  </si>
  <si>
    <t>019ed0b6-8e82-7a4a-9e4f-aff0be9a770f</t>
  </si>
  <si>
    <t>20129313-94c9-45d0-9646-1e167da2747e</t>
  </si>
  <si>
    <t>019ed0b8-583b-7ab7-af2e-6d8b1a8cc137</t>
  </si>
  <si>
    <t>019ed0b9-1777-7d57-90cd-9f4c40247d25</t>
  </si>
  <si>
    <t>a4f53530-b6d5-4972-84ff-32aa964fdc19</t>
  </si>
  <si>
    <t>019ed0b9-6737-7979-92ef-50aa6a3bf75b</t>
  </si>
  <si>
    <t>2928f2fb-212c-4075-9771-bff8f1af876d</t>
  </si>
  <si>
    <t>019ed0bb-ecf2-7bd9-8623-20b9bb77864c</t>
  </si>
  <si>
    <t>019ed0bb-fd46-7ff6-b741-7f2ebfe3ffb2</t>
  </si>
  <si>
    <t>02904c73-8f73-41f9-bb22-9e7d1dd81c3a</t>
  </si>
  <si>
    <t>019ed0bc-1534-7e6f-be13-2346db19f8ea</t>
  </si>
  <si>
    <t>cc11124b-a388-43e7-b188-0d5d594e8ca0</t>
  </si>
  <si>
    <t>019ed0bc-4885-7540-a732-92946c90a5a2</t>
  </si>
  <si>
    <t>019ed0bd-9472-7b7e-9b7e-2b159bceed9f</t>
  </si>
  <si>
    <t>019ed0bd-97d7-7856-a481-81c4761974d4</t>
  </si>
  <si>
    <t>019ed0c1-361e-7513-affc-9e2566eaeb43</t>
  </si>
  <si>
    <t>2f9b8c85-073e-4f85-832c-b91ab38a4e5b</t>
  </si>
  <si>
    <t>019ed0c2-9c8b-7666-9287-05c79317941f</t>
  </si>
  <si>
    <t>019ed0c4-fc8f-7226-bde0-1dc4306481fc</t>
  </si>
  <si>
    <t>274b82d1-be47-4cb0-84d0-b471a14dd14d</t>
  </si>
  <si>
    <t>019ed0c8-84b3-7448-8b6b-0c4ba695f625</t>
  </si>
  <si>
    <t>019ed0c9-7c45-70ef-825f-8236136bc85e</t>
  </si>
  <si>
    <t>d4473e08-9779-4d6a-a418-505d65901a60</t>
  </si>
  <si>
    <t>019ed0ca-f2b4-7f79-ba9f-88d7b690fa9b</t>
  </si>
  <si>
    <t>019ed0d7-6c7b-7107-b383-19331384d098</t>
  </si>
  <si>
    <t>9924f791-7819-46bb-a524-e82398dc6b4a</t>
  </si>
  <si>
    <t>019ed0d8-5b03-7daa-ad6e-197694c6154c</t>
  </si>
  <si>
    <t>575f4ec5-1244-4efd-b3a2-11bdb336a89f</t>
  </si>
  <si>
    <t>019ed0d9-36bc-7da4-b119-40d769c33720</t>
  </si>
  <si>
    <t>858bbf62-072c-48dc-aa58-64f2fdca12ba</t>
  </si>
  <si>
    <t>019ed0d9-a0e4-7b0b-94cd-a99dce85d991</t>
  </si>
  <si>
    <t>019ed0dc-745f-7c0b-8ab9-d98f0c7e4a9d</t>
  </si>
  <si>
    <t>a8885808-ec7e-49e8-90c6-5ec3d20e7a70</t>
  </si>
  <si>
    <t>019ed0dd-6ddb-7b1f-aa51-a3945c2f58f1</t>
  </si>
  <si>
    <t>019ed0dd-6fa7-75c6-be69-02469a42b38f</t>
  </si>
  <si>
    <t>019ed0dd-9453-78b9-955a-0682457c6cab</t>
  </si>
  <si>
    <t>3631454d-b65f-4055-ab1a-08a8d41348b7</t>
  </si>
  <si>
    <t>019ed0df-1685-7e7f-ba33-00b3a83c3c96</t>
  </si>
  <si>
    <t>019ed0df-a7c0-732d-9736-eff61ed42818</t>
  </si>
  <si>
    <t>3d657ec0-7ef0-4a10-87b3-1b07c7c95969</t>
  </si>
  <si>
    <t>019ed0df-d34f-70b4-b4b9-09e453022b7a</t>
  </si>
  <si>
    <t>dbb9b7fc-e297-4fa3-873a-50bc5ad6bbab</t>
  </si>
  <si>
    <t>019ed0df-fb4b-723a-b83b-e428daf5a529</t>
  </si>
  <si>
    <t>019ed0e1-a97e-7e3a-b353-5d9c9294304e</t>
  </si>
  <si>
    <t>cd36314e-9765-4382-af8a-8a42258cdd90</t>
  </si>
  <si>
    <t>019ed0e2-e73b-79c9-8ba6-cff6744efc70</t>
  </si>
  <si>
    <t>60e14ee1-eea8-4d74-b6e3-27bbf4c5b855</t>
  </si>
  <si>
    <t>019ed0e3-2d9c-767e-a87d-24878c3f0008</t>
  </si>
  <si>
    <t>24861303-30c8-45d3-9f58-f41ebc70e36f</t>
  </si>
  <si>
    <t>019ed0e3-f952-75d1-8fba-d704fe402df6</t>
  </si>
  <si>
    <t>026cceba-4730-401d-866f-23b592ac5a5e</t>
  </si>
  <si>
    <t>019ed0e4-3ba1-7422-97bd-ede339d7a095</t>
  </si>
  <si>
    <t>019ed0e4-3fb6-7ce7-9f38-976864b1edb2</t>
  </si>
  <si>
    <t>019ed0e4-b3ec-71ad-871f-daca2d28c55f</t>
  </si>
  <si>
    <t>c20e37ad-4f39-4a5f-9e4d-d46d14b56e7e</t>
  </si>
  <si>
    <t>019ed0e4-dc06-75d4-8620-9b4d4939c9ac</t>
  </si>
  <si>
    <t>019ed0e5-5e9b-795f-8750-8b711a40ff2b</t>
  </si>
  <si>
    <t>019ed0e5-5e9c-7392-bae3-a425e1e8da40</t>
  </si>
  <si>
    <t>019ed0e5-ed94-726f-a86b-f7102cbac668</t>
  </si>
  <si>
    <t>af16192e-7bc3-4f74-aa60-cda90af31e76</t>
  </si>
  <si>
    <t>019ed0e6-2448-7745-90dc-1a8497e52838</t>
  </si>
  <si>
    <t>019ed0e7-194d-7d63-9226-f5022ee1bb89</t>
  </si>
  <si>
    <t>019ed0e8-96b0-7bdf-87db-77713fdbbfa2</t>
  </si>
  <si>
    <t>019ed0e8-ddc6-7f2d-a459-a32e9e6204e0</t>
  </si>
  <si>
    <t>801a06ed-ea4e-4213-bc7a-a7367f672925</t>
  </si>
  <si>
    <t>019ed0ea-696f-7f8a-a2c1-4c948e9d8f1c</t>
  </si>
  <si>
    <t>937631d6-278a-44cb-93e9-f182371e664b</t>
  </si>
  <si>
    <t>019ed0eb-8d9c-7d6c-b9f1-86e04ddda7d3</t>
  </si>
  <si>
    <t>f812a94d-9bbe-4c38-88ab-78c0e01a8493</t>
  </si>
  <si>
    <t>019ed0eb-b153-76ab-a76a-7a527705a992</t>
  </si>
  <si>
    <t>019ed0ec-ff50-7f47-ba1c-e41dae2ae33a</t>
  </si>
  <si>
    <t>019ed0ee-e0cd-7bf8-b4fb-033d21aae0fa</t>
  </si>
  <si>
    <t>019ed0ee-ee1f-74ca-9b98-8a8e264b2036</t>
  </si>
  <si>
    <t>9478f659-c105-4ca0-9cb2-245ee6771690</t>
  </si>
  <si>
    <t>019ed0f1-bfb2-73f4-92d1-06064cc0184c</t>
  </si>
  <si>
    <t>9a797704-7028-4b19-85fd-16e6820f59e1</t>
  </si>
  <si>
    <t>019ed0f1-f423-776c-a7e1-137a714380d8</t>
  </si>
  <si>
    <t>019ed0f2-4289-7373-806e-2ee85405c533</t>
  </si>
  <si>
    <t>2d569cf4-8a36-4935-a4bf-15d8afe846e5</t>
  </si>
  <si>
    <t>019ed0f4-3106-748e-847e-9ebb769c45b2</t>
  </si>
  <si>
    <t>019ed0f4-596d-7e89-9e15-4b3fcf9cb2e3</t>
  </si>
  <si>
    <t>019ed0f5-20ea-703c-8f89-694be690bec8</t>
  </si>
  <si>
    <t>2d591b47-9e44-4795-805a-5ab24619acc1</t>
  </si>
  <si>
    <t>019ed0f7-bb76-77c4-8e83-3ec4a2368be6</t>
  </si>
  <si>
    <t>82840bc4-1ec9-4c52-9e25-6e73cd8be803</t>
  </si>
  <si>
    <t>019ed0f8-b810-79dd-9a2d-ac97ff7f7f64</t>
  </si>
  <si>
    <t>0eb8b49c-3070-4465-a385-a09b5bc3d2ce</t>
  </si>
  <si>
    <t>019ed0f8-bdd5-706b-a4be-6c6deb6282fe</t>
  </si>
  <si>
    <t>a606ece4-fe56-4f9f-b895-14d88c351855</t>
  </si>
  <si>
    <t>019ed0f8-ffb7-74a1-9b4a-0828c78512c5</t>
  </si>
  <si>
    <t>019ed0fa-1e98-7d05-bcc4-3afd526b31d2</t>
  </si>
  <si>
    <t>019ed0fa-9c15-7595-8c99-ebd41c73bd87</t>
  </si>
  <si>
    <t>019ed0fa-a75d-7b87-b240-96677aa00a3b</t>
  </si>
  <si>
    <t>019ed0fc-8712-73d8-b670-02231e18e34c</t>
  </si>
  <si>
    <t>4c799ac0-650b-4d82-8620-3297bb2df568</t>
  </si>
  <si>
    <t>019ed0fc-b8b4-76a0-b5cf-125025ceaadc</t>
  </si>
  <si>
    <t>644ad806-dd57-43a7-9d30-504c8da1323d</t>
  </si>
  <si>
    <t>019ed0fc-bf02-70db-9802-e75429ecf1ac</t>
  </si>
  <si>
    <t>019ed0ff-6b95-7130-a20e-aa32f5123a05</t>
  </si>
  <si>
    <t>746b2c9c-544a-4552-98d7-46ae2a0d3ba1</t>
  </si>
  <si>
    <t>019ed0ff-df53-77ad-9d84-8e2013cf6c72</t>
  </si>
  <si>
    <t>019ed0ff-dffe-7cfd-8de5-72524873bebb</t>
  </si>
  <si>
    <t>019ed101-b209-7942-b93a-9b915a16cecd</t>
  </si>
  <si>
    <t>019ed101-d0df-7096-bc3c-94087a4ba178</t>
  </si>
  <si>
    <t>109ce1de-e609-47ac-b9ed-8a97392f7f74</t>
  </si>
  <si>
    <t>019ed104-6596-75c0-bad4-af3117556974</t>
  </si>
  <si>
    <t>019ed106-8d18-738d-8a7e-5bc8a77ccb6c</t>
  </si>
  <si>
    <t>629fffa4-8403-483e-bfcf-bd8f562531f6</t>
  </si>
  <si>
    <t>019ed106-c39f-7b30-97d6-4d85a6f93ebe</t>
  </si>
  <si>
    <t>c15787bd-94f8-4e0b-9586-fd410ad7e51f</t>
  </si>
  <si>
    <t>019ed108-e2c3-7189-9517-c717084e1ad2</t>
  </si>
  <si>
    <t>64b41fc6-f7bf-4c14-a338-d852cf7c25ab</t>
  </si>
  <si>
    <t>019ed109-4d6c-73d5-a5f5-03720523f372</t>
  </si>
  <si>
    <t>019ed10b-39bf-7a6c-8a7a-76751eddf2da</t>
  </si>
  <si>
    <t>019ed10b-87fe-7bfe-9ab3-43b1831a7655</t>
  </si>
  <si>
    <t>abd21e39-3692-4dad-953e-1ce78659b0dc</t>
  </si>
  <si>
    <t>019ed10b-9c69-76d0-a25c-70853f00d7ce</t>
  </si>
  <si>
    <t>45e9e269-f356-4b00-8928-c66a89a066e0</t>
  </si>
  <si>
    <t>019ed10e-c95e-7385-85da-4610da8ec41d</t>
  </si>
  <si>
    <t>422fddac-6442-4981-a853-f69f70a6b24e</t>
  </si>
  <si>
    <t>019ed10f-0b4a-72ef-9695-14561923946e</t>
  </si>
  <si>
    <t>019ed111-1791-7664-9231-6185c0e5cb13</t>
  </si>
  <si>
    <t>9228160d-f25a-43ef-9906-4d2fe62662a2</t>
  </si>
  <si>
    <t>019ed113-4afc-7452-ac8c-6d893d9aff62</t>
  </si>
  <si>
    <t>019ed113-db36-7cc1-bf1f-f2778d3e3a69</t>
  </si>
  <si>
    <t>98dfe598-22b1-4ae2-919c-cdeeecf42108</t>
  </si>
  <si>
    <t>NOREF-2119575534</t>
  </si>
  <si>
    <t>019ed111-80c9-71c2-80c7-3a0950730587</t>
  </si>
  <si>
    <t>4e841ef5-73e4-4848-91ba-916bf1dd82de</t>
  </si>
  <si>
    <t>6362d774-321174183</t>
  </si>
  <si>
    <t>019ed112-f8af-78aa-8996-cea5aa226d4d</t>
  </si>
  <si>
    <t>269f467b-4dc9-4274-b31d-aced2ae027f2</t>
  </si>
  <si>
    <t>OPF620134950-422241025</t>
  </si>
  <si>
    <t>019ed112-f7af-7caa-9686-de7b4e8d9dfb</t>
  </si>
  <si>
    <t>3bcaf2ad-dac4-40c4-9479-a43fde56f84f</t>
  </si>
  <si>
    <t>NOREF-1340928121</t>
  </si>
  <si>
    <t>019ecfa0-3f18-7e31-adfb-8ce2d8bdb8ee</t>
  </si>
  <si>
    <t>1935cc33-9511-4da6-9e60-9efd3b40b01f</t>
  </si>
  <si>
    <t>2B5BA2F8-2009140117</t>
  </si>
  <si>
    <t>019ecfb2-4980-7229-903f-40db4994fdf1</t>
  </si>
  <si>
    <t>d02fd859-d682-4368-bc53-bdd594a15f1b</t>
  </si>
  <si>
    <t>Return of Funds-501102174</t>
  </si>
  <si>
    <t>019ecfae-a956-7cee-9cd6-cc020e483641</t>
  </si>
  <si>
    <t>f0a37a7e-0033-47e7-97ae-2a9b66aa8fa6</t>
  </si>
  <si>
    <t>payout</t>
  </si>
  <si>
    <t>019ed129-5b0c-7dce-adaa-6bdb0e9e7e19</t>
  </si>
  <si>
    <t>0007e97e-74a0-43ac-b3f7-38fcfed1342d</t>
  </si>
  <si>
    <t>NOREF-1430831478</t>
  </si>
  <si>
    <t>019ed119-0d06-7305-887b-bea851e02e7c</t>
  </si>
  <si>
    <t>c3704b90-6ee3-4441-a76b-af7641bd865e</t>
  </si>
  <si>
    <t>28f40f33-1429865569</t>
  </si>
  <si>
    <t>019ed004-33d3-7742-9856-f2de8d6a4baa</t>
  </si>
  <si>
    <t>7461ad1c-1a4e-4e1c-830a-653cba72c89b</t>
  </si>
  <si>
    <t>ELI-0015-000001</t>
  </si>
  <si>
    <t>019ed010-5928-738e-8e35-96967bd5512d</t>
  </si>
  <si>
    <t>9ef5c6cd-07e0-46bc-8c36-a1ac11b3d92f</t>
  </si>
  <si>
    <t>CMT-14424</t>
  </si>
  <si>
    <t>019ed020-8c9b-7575-905b-530cc76ddc4a</t>
  </si>
  <si>
    <t>16417ef8-cb14-46e6-9fd0-dd166accab80</t>
  </si>
  <si>
    <t>6989Monks</t>
  </si>
  <si>
    <t>Plum</t>
  </si>
  <si>
    <t>Internal Client Money Reconciliation (v4.1)</t>
  </si>
  <si>
    <t>Note: Take immediate action if ever a Shortfall or Surplus</t>
  </si>
  <si>
    <t>Daily Surplus or Shortfall calculated</t>
  </si>
  <si>
    <t>Breaks</t>
  </si>
  <si>
    <t>Discrepancies</t>
  </si>
  <si>
    <t>Key transactions</t>
  </si>
  <si>
    <t>Actions Taken</t>
  </si>
  <si>
    <t>C</t>
  </si>
  <si>
    <t>User Credits/Surplus not applied to ledger</t>
  </si>
  <si>
    <t>D</t>
  </si>
  <si>
    <t>User Debits/Shortfall not applied to ledger</t>
  </si>
  <si>
    <t>A</t>
  </si>
  <si>
    <r>
      <rPr>
        <rFont val="Arial"/>
        <color theme="1"/>
        <sz val="10.0"/>
      </rPr>
      <t xml:space="preserve">Bulk Ledger Credits/Surplus not applied to users
</t>
    </r>
    <r>
      <rPr>
        <rFont val="Arial"/>
        <b/>
        <color theme="1"/>
        <sz val="10.0"/>
      </rPr>
      <t>[Note: excluding Transfer Ins]</t>
    </r>
  </si>
  <si>
    <t xml:space="preserve">Users transfers in from other providers
</t>
  </si>
  <si>
    <t>Applied to users on a T+1 basis</t>
  </si>
  <si>
    <t>B</t>
  </si>
  <si>
    <t>Bulk Ledger Debits/Shortfall not applied to users</t>
  </si>
  <si>
    <t>Movements not yet reflected in Internal Records</t>
  </si>
  <si>
    <t>Client money requirement</t>
  </si>
  <si>
    <t>CASS 7.16.22 (E)</t>
  </si>
  <si>
    <t>(1)</t>
  </si>
  <si>
    <t>Approach</t>
  </si>
  <si>
    <t>One individual balance for each individual client 
(per product)</t>
  </si>
  <si>
    <t>CASS 7.16.22 
(E)</t>
  </si>
  <si>
    <t>(2a + 3)</t>
  </si>
  <si>
    <t>Combined User Balance</t>
  </si>
  <si>
    <t>Less Unallocated</t>
  </si>
  <si>
    <t>Transfers in from ISA providers</t>
  </si>
  <si>
    <t>Individual Client Balances</t>
  </si>
  <si>
    <t>Actions Taken or Recommended</t>
  </si>
  <si>
    <t>Unallocated balances</t>
  </si>
  <si>
    <t>Temporary Transaction Funding</t>
  </si>
  <si>
    <t>Current Funding Outstanding</t>
  </si>
  <si>
    <t>Open breaks under investigation</t>
  </si>
  <si>
    <t>Shortfall in Assets</t>
  </si>
  <si>
    <t>Other Prudent funding</t>
  </si>
  <si>
    <t>Prudent Funding</t>
  </si>
  <si>
    <t>Check matches 'LISA WORKINGS Internal Rec' tab</t>
  </si>
  <si>
    <r>
      <rPr>
        <rFont val="Arial"/>
        <b/>
        <color rgb="FF000000"/>
        <sz val="12.0"/>
      </rPr>
      <t xml:space="preserve">Sub-Total </t>
    </r>
    <r>
      <rPr>
        <rFont val="Arial"/>
        <b val="0"/>
        <color rgb="FF000000"/>
        <sz val="12.0"/>
      </rPr>
      <t>(pre-Interest)</t>
    </r>
  </si>
  <si>
    <t>User Base Calculated Interest Accrual</t>
  </si>
  <si>
    <t>Related to QMMF holding - currently 0</t>
  </si>
  <si>
    <t>Interest due</t>
  </si>
  <si>
    <t>CISA Internal Cash Reconciliation (Workings)</t>
  </si>
  <si>
    <t>Data Source</t>
  </si>
  <si>
    <t>Looker Dashboard</t>
  </si>
  <si>
    <t>Cash ISA Reconciliations</t>
  </si>
  <si>
    <t>Citi Ledger (CISA)</t>
  </si>
  <si>
    <t>Plum Admin</t>
  </si>
  <si>
    <t>Lloyds EA Ledger</t>
  </si>
  <si>
    <t>Lloyds 30D Ledger</t>
  </si>
  <si>
    <t>HSBC Ledger</t>
  </si>
  <si>
    <t>Internal Balance Rec</t>
  </si>
  <si>
    <t>Combined User Balance from Ledger vs Plum Ledger Balance</t>
  </si>
  <si>
    <t>D Date</t>
  </si>
  <si>
    <t>Product ID</t>
  </si>
  <si>
    <t>Plum Ledger Balance</t>
  </si>
  <si>
    <t>Balance Diff Rec</t>
  </si>
  <si>
    <t>Data is taken from Looker Dashboard</t>
  </si>
  <si>
    <t>46b993ff-4a87-44e2-8419-7c0b86153f06</t>
  </si>
  <si>
    <t>User Balance / Ledger Adjustments</t>
  </si>
  <si>
    <t>Break Type</t>
  </si>
  <si>
    <t>Breeak Amount</t>
  </si>
  <si>
    <t>Product</t>
  </si>
  <si>
    <t>Commentary / Description</t>
  </si>
  <si>
    <t>Action taken</t>
  </si>
  <si>
    <t>Aggregate Difference</t>
  </si>
  <si>
    <r>
      <rPr>
        <rFont val="Arial"/>
        <b/>
        <color theme="1"/>
      </rPr>
      <t>Engineering</t>
    </r>
    <r>
      <rPr>
        <rFont val="Arial"/>
        <color theme="1"/>
      </rPr>
      <t>: Amount of £15.91 is due to Aggregate difference. Amount has been debited from the user however not debited from the bank.</t>
    </r>
  </si>
  <si>
    <t>CASS Recs have chased Engineering for an update 02/06.</t>
  </si>
  <si>
    <r>
      <rPr>
        <rFont val="Arial"/>
        <b/>
        <color theme="1"/>
      </rPr>
      <t>Engineering</t>
    </r>
    <r>
      <rPr>
        <rFont val="Arial"/>
        <color theme="1"/>
      </rPr>
      <t>: Amount of £1.21 is due to Aggregate difference. Amount has been debited from the user however not debited from the bank.</t>
    </r>
  </si>
  <si>
    <t>Transfer error</t>
  </si>
  <si>
    <r>
      <rPr>
        <rFont val="Arial"/>
        <b/>
        <color theme="1"/>
      </rPr>
      <t xml:space="preserve">Wealth ops: </t>
    </r>
    <r>
      <rPr>
        <rFont val="Arial"/>
        <color theme="1"/>
      </rPr>
      <t>Amount of £2,634 transfer out marked as cancelled.</t>
    </r>
  </si>
  <si>
    <t>CASS Recs have chased Wops for an update 09/06.</t>
  </si>
  <si>
    <r>
      <rPr>
        <rFont val="Arial"/>
        <b/>
        <color theme="1"/>
      </rPr>
      <t xml:space="preserve">Wealth ops: </t>
    </r>
    <r>
      <rPr>
        <rFont val="Arial"/>
        <b val="0"/>
        <color theme="1"/>
      </rPr>
      <t xml:space="preserve">Amount of £59,986.67 paid out, to be debited off unalloc </t>
    </r>
  </si>
  <si>
    <r>
      <rPr>
        <rFont val="Arial"/>
        <b/>
        <color theme="1"/>
      </rPr>
      <t xml:space="preserve">Engineering: </t>
    </r>
    <r>
      <rPr>
        <rFont val="Arial"/>
        <color theme="1"/>
      </rPr>
      <t>Amount of £80 showing as a difference on aggregate debits 21/05</t>
    </r>
  </si>
  <si>
    <r>
      <rPr>
        <rFont val="Arial"/>
        <b/>
        <color theme="1"/>
      </rPr>
      <t>Wealth ops:</t>
    </r>
    <r>
      <rPr>
        <rFont val="Arial"/>
        <color theme="1"/>
      </rPr>
      <t xml:space="preserve"> Amount of £62,377.29 transfer in marked as cancelled.</t>
    </r>
  </si>
  <si>
    <r>
      <rPr>
        <rFont val="Arial"/>
        <b/>
        <color theme="1"/>
      </rPr>
      <t>Engineering</t>
    </r>
    <r>
      <rPr>
        <rFont val="Arial"/>
        <color theme="1"/>
      </rPr>
      <t>: Amount of £7,555.56 unknown reconciliation difference due to aggregate debits</t>
    </r>
  </si>
  <si>
    <r>
      <rPr>
        <rFont val="Arial"/>
        <b/>
        <color theme="1"/>
      </rPr>
      <t xml:space="preserve">Engineering: </t>
    </r>
    <r>
      <rPr>
        <rFont val="Arial"/>
        <color theme="1"/>
      </rPr>
      <t>Aggregate difference of -8,508.50 on 04/06 due to an amount stuck in Modulr. Correction completed on 05/06 for the amount of 8,509.00 however no reconciliation break is caused.</t>
    </r>
  </si>
  <si>
    <t>To be investigated by CASS Recs and Engineering to resolve £0.50 difference.</t>
  </si>
  <si>
    <r>
      <rPr>
        <rFont val="Arial"/>
        <b/>
        <color theme="1"/>
      </rPr>
      <t xml:space="preserve">Engineering: </t>
    </r>
    <r>
      <rPr>
        <rFont val="Arial"/>
        <color theme="1"/>
      </rPr>
      <t>Amount of £20,050.00 showing as a difference on aggregate credits 08/06</t>
    </r>
  </si>
  <si>
    <t>Engineering to investigate and solve the difference</t>
  </si>
  <si>
    <r>
      <rPr>
        <rFont val="Arial"/>
        <b/>
        <color theme="1"/>
      </rPr>
      <t xml:space="preserve">Wealth ops: </t>
    </r>
    <r>
      <rPr>
        <rFont val="Arial"/>
        <color theme="1"/>
      </rPr>
      <t>Amount of £20,988.41 left the bank but transfer errored due to transaction status on the payment being cancelled. The payment was in compliance review 04/06 and cancelled on 05/06 mistakenly</t>
    </r>
  </si>
  <si>
    <t>Wealth Ops to resolve with engineering to debit off user balance</t>
  </si>
  <si>
    <r>
      <rPr>
        <rFont val="Arial"/>
        <b/>
        <color theme="1"/>
      </rPr>
      <t>Wealth Ops:</t>
    </r>
    <r>
      <rPr>
        <rFont val="Arial"/>
        <color theme="1"/>
      </rPr>
      <t xml:space="preserve"> Amount of £20,000 has been added to Unalloc in error 09/06.</t>
    </r>
  </si>
  <si>
    <t>Wealth Ops investigating, awaiting amount to be debited from unalloc.</t>
  </si>
  <si>
    <r>
      <rPr>
        <rFont val="Arial"/>
        <b/>
        <color theme="1"/>
      </rPr>
      <t>Wealth Ops:</t>
    </r>
    <r>
      <rPr>
        <rFont val="Arial"/>
        <color theme="1"/>
      </rPr>
      <t xml:space="preserve"> Amount of £18,184.43 has has been credited to unalloc 16/06 however no bank credits have been received on previous day</t>
    </r>
  </si>
  <si>
    <t>Wealth Ops to investigate and debit from unalloc</t>
  </si>
  <si>
    <r>
      <rPr>
        <rFont val="Arial"/>
        <b/>
        <color theme="1"/>
      </rPr>
      <t>Wealth Ops:</t>
    </r>
    <r>
      <rPr>
        <rFont val="Arial"/>
        <color theme="1"/>
      </rPr>
      <t xml:space="preserve"> Amount of £21,672.66 has has been debited from unalloc 16/06 however the amount wasn't transferred in</t>
    </r>
  </si>
  <si>
    <r>
      <rPr>
        <rFont val="Arial"/>
      </rPr>
      <t xml:space="preserve">Wealth Ops to investigate and resolve with  Eng, ticket raised: </t>
    </r>
    <r>
      <rPr>
        <rFont val="Arial"/>
        <color rgb="FF1155CC"/>
        <u/>
      </rPr>
      <t>https://withplum.atlassian.net/servicedesk/customer/portal/10/EST-42849?created=true</t>
    </r>
  </si>
  <si>
    <t xml:space="preserve">Amount of £18,184.43 has debited the bank however no ledger entry has been created. </t>
  </si>
  <si>
    <t>To be backfilled by CASS team 17/06.</t>
  </si>
  <si>
    <r>
      <rPr>
        <rFont val="Arial"/>
        <b/>
        <color theme="1"/>
      </rPr>
      <t>Wealth Ops:</t>
    </r>
    <r>
      <rPr>
        <rFont val="Arial"/>
        <color theme="1"/>
      </rPr>
      <t xml:space="preserve"> Amount of £14,930.71 has has been credited to unalloc 16/06 however no bank credits have been received on previous day</t>
    </r>
  </si>
  <si>
    <t>Adjusted Combined User Balance from Ledger vs Plum Ledger Balance</t>
  </si>
  <si>
    <t>Sum of Breaks</t>
  </si>
  <si>
    <t>Sum of the below break totals</t>
  </si>
  <si>
    <t>Total difference</t>
  </si>
  <si>
    <t>Bulk Ledger credits not applied to user balance</t>
  </si>
  <si>
    <t>Errored Order ID/break details</t>
  </si>
  <si>
    <t>Admin Link</t>
  </si>
  <si>
    <t>Action</t>
  </si>
  <si>
    <t>Jira Ticket</t>
  </si>
  <si>
    <t>Amount</t>
  </si>
  <si>
    <t>Transfer in not yet applied to users</t>
  </si>
  <si>
    <t>Bulk Ledger debits not applied to user balance</t>
  </si>
  <si>
    <t>User surplus not applied to bulk ledger</t>
  </si>
  <si>
    <t>User shortfall not applied to bulk ledger</t>
  </si>
  <si>
    <t>Amount of £4,393.67 residual interest paid to users as part of the transfer out process</t>
  </si>
  <si>
    <t>To be moved from CISA corporate interest to CM 17/06</t>
  </si>
  <si>
    <t>External Client Money Reconciliation (v4.1)</t>
  </si>
  <si>
    <t>External Reconciliation Difference</t>
  </si>
  <si>
    <t>Conclusion: No external breaks.</t>
  </si>
  <si>
    <t>Provider</t>
  </si>
  <si>
    <t>Type of Account</t>
  </si>
  <si>
    <t>Internal Holdings 
Client money resource (Ledger)</t>
  </si>
  <si>
    <t>External Holdings 
Statement confirmation</t>
  </si>
  <si>
    <t>Citibank</t>
  </si>
  <si>
    <t>Main Activity</t>
  </si>
  <si>
    <t>Lloyds</t>
  </si>
  <si>
    <t>Easy Access</t>
  </si>
  <si>
    <t>Notice</t>
  </si>
  <si>
    <t>HSBC</t>
  </si>
  <si>
    <t>Blackrock</t>
  </si>
  <si>
    <t>QMMF</t>
  </si>
  <si>
    <t>Easy access</t>
  </si>
  <si>
    <t xml:space="preserve">Notice account </t>
  </si>
  <si>
    <t>Clydedale Bank PLC TA Virgin Money</t>
  </si>
  <si>
    <t>Saveable Cash ISA 95 Day Notice</t>
  </si>
  <si>
    <t>Saveable Cash ISA 65 Day Notice</t>
  </si>
  <si>
    <t>Saveable Cash ISA 30 Day Notice</t>
  </si>
  <si>
    <t>Saveable Cash ISA Instant access</t>
  </si>
  <si>
    <t>JP Morgan Client Money account</t>
  </si>
  <si>
    <t>TOTAL</t>
  </si>
  <si>
    <r>
      <rPr>
        <rFont val="Arial"/>
        <color theme="1"/>
        <sz val="10.0"/>
        <u/>
      </rPr>
      <t>€0</t>
    </r>
  </si>
  <si>
    <r>
      <rPr>
        <rFont val="Arial"/>
        <color theme="1"/>
        <sz val="10.0"/>
        <u/>
      </rPr>
      <t>€0</t>
    </r>
  </si>
  <si>
    <t>Investigation of differences</t>
  </si>
  <si>
    <t>Summary of key transactions</t>
  </si>
  <si>
    <t>Bank credits with no ledger entry</t>
  </si>
  <si>
    <t>Bank debits with no ledger entry</t>
  </si>
  <si>
    <t>Ledger debits with no bank entry</t>
  </si>
  <si>
    <t>Ledger credits with no bank entry</t>
  </si>
  <si>
    <t>Other remaining difference</t>
  </si>
  <si>
    <t>CISA External Cash Reconciliation (Workings)</t>
  </si>
  <si>
    <t>Citi Ledger</t>
  </si>
  <si>
    <t>Citi Direct</t>
  </si>
  <si>
    <t>CitiDirect ® Login</t>
  </si>
  <si>
    <t>Lloyds Bank</t>
  </si>
  <si>
    <t>Commercial Banking Online</t>
  </si>
  <si>
    <t>HSBCnet</t>
  </si>
  <si>
    <t>External Balance Rec</t>
  </si>
  <si>
    <t>Looker Balance Reconciliation (vs Citi + Lloyds)</t>
  </si>
  <si>
    <t>Citi Balance</t>
  </si>
  <si>
    <t>Lloyds Easy Access Balance</t>
  </si>
  <si>
    <t>Lloyds Notice Account Balance</t>
  </si>
  <si>
    <t>QNB Balance</t>
  </si>
  <si>
    <t>Blackrock Balance</t>
  </si>
  <si>
    <t>BBVA Easy access</t>
  </si>
  <si>
    <t>BBVA Notice access</t>
  </si>
  <si>
    <t>Clydedale Bank PLC TA Virgin Money 95 Day notice account</t>
  </si>
  <si>
    <t>Clydedale Bank PLC TA Virgin Money 60 Day notice account</t>
  </si>
  <si>
    <t>Clydedale Bank PLC TA Virgin Money 30 Day notice account</t>
  </si>
  <si>
    <t>Clydedale Bank PLC TA Virgin Money Instant Access</t>
  </si>
  <si>
    <t>JPMorgan</t>
  </si>
  <si>
    <t>Formula - do not change</t>
  </si>
  <si>
    <t>Combined Plum Ledger Balance</t>
  </si>
  <si>
    <t>Citi + Lloyds + QNB</t>
  </si>
  <si>
    <t>External Accounts &amp; Ledger Variance</t>
  </si>
  <si>
    <t>Data is taken from Looker Dashboard
Note: HSBC &amp; Blackrock is filled in manually</t>
  </si>
  <si>
    <t>Plum Ledger Balance vs Citi</t>
  </si>
  <si>
    <t>Plum Citi Ledger Balance</t>
  </si>
  <si>
    <t>Citi Diff Rec</t>
  </si>
  <si>
    <t>Adjusted Ledger Balance</t>
  </si>
  <si>
    <t>Adjusted Citi Balance</t>
  </si>
  <si>
    <t>Adjusted Citi Diff Rec</t>
  </si>
  <si>
    <t>- Amount of £2,634 to be investigated further by CASS team (15/05) - Awaiting confirmation from Wealth ops/engineering                                                                                                                                                                                                 - Amount of £18,184.43 has debited the bank however no ledger entry has been created. To be backfilled by CASS team 17/06.                                                                                                                                          - Amount of £14,930.71 has has been credited to unalloc 16/06 however no bank credits have been received on previous day</t>
  </si>
  <si>
    <t xml:space="preserve">- Amount of £2,634 to be investigated further by CASS team (15/05) - Awaiting confirmation from Wealth ops/engineering                                                                                                                                                                                                </t>
  </si>
  <si>
    <t>Plum Ledger Balance vs Lloyds Easy Access</t>
  </si>
  <si>
    <t>Plum Lloyds Easy Access Ledger Balance</t>
  </si>
  <si>
    <t>Lloyds Easy Access Diff Rec</t>
  </si>
  <si>
    <t>Adjusted Lloyds EA Balance</t>
  </si>
  <si>
    <t>Adjusted Lloyds EA Diff Rec</t>
  </si>
  <si>
    <t>Plum Ledger Balance vs Lloyds Notice Account</t>
  </si>
  <si>
    <t>Plum Lloyds Notice Account Ledger Balance</t>
  </si>
  <si>
    <t xml:space="preserve"> Lloyds Notice Account Balance</t>
  </si>
  <si>
    <t>Lloyds Notice Diff Rec</t>
  </si>
  <si>
    <t>Adjusted Lloyds 30D Balance</t>
  </si>
  <si>
    <t>Adjusted Lloyds 30D Diff Rec</t>
  </si>
  <si>
    <t>Plum Ledger Balance vs QNB Balance</t>
  </si>
  <si>
    <t>QNB Ledger Balance</t>
  </si>
  <si>
    <t>QNB Diff Rec</t>
  </si>
  <si>
    <t>Adjusted QNB Balance</t>
  </si>
  <si>
    <t>Adjusted QNB Diff Rec</t>
  </si>
  <si>
    <t>Plum Ledger Balance vs HSBC Balance</t>
  </si>
  <si>
    <t>HSBC Ledger Balance</t>
  </si>
  <si>
    <t>HSBC Balance</t>
  </si>
  <si>
    <t>HSBC Diff Rec</t>
  </si>
  <si>
    <t>Adjusted HSBC Balance</t>
  </si>
  <si>
    <t>Adjusted HSBC Diff Rec</t>
  </si>
  <si>
    <t>Plum Ledger Balance vs Blackrock QMMF</t>
  </si>
  <si>
    <t>Blackrock Ledger Balance</t>
  </si>
  <si>
    <t>Blackrock Diff Rec</t>
  </si>
  <si>
    <t>Adjusted Blackrock Balance</t>
  </si>
  <si>
    <t>Adjusted Blackrock Diff Rec</t>
  </si>
  <si>
    <t xml:space="preserve">Plum Ledger Balance vs BBVA Easy Access
</t>
  </si>
  <si>
    <t>BBVA Ledger Balance</t>
  </si>
  <si>
    <t>BBVA Balance</t>
  </si>
  <si>
    <t>BBVA Diff Rec</t>
  </si>
  <si>
    <t>Adjusted BBVA Balance</t>
  </si>
  <si>
    <t>Adjusted BBVA Diff Rec</t>
  </si>
  <si>
    <t>Plum Ledger Balance vs BBVA Notice Account</t>
  </si>
  <si>
    <t>Adjusted Clydedale bank Balance</t>
  </si>
  <si>
    <t>Plum Ledger Balance vs Clydedale Bank PLC TA Virgin Money 95 Day notice account</t>
  </si>
  <si>
    <t>Clydedale Bank Ledger Balance</t>
  </si>
  <si>
    <t>Clydedale Bank Balance</t>
  </si>
  <si>
    <t>Clydedale bank Diff Rec</t>
  </si>
  <si>
    <t>Adjusted Clydedale bank Diff Rec</t>
  </si>
  <si>
    <t>Plum Ledger Balance vs Clydedale Bank PLC TA Virgin Money 60 Day notice account</t>
  </si>
  <si>
    <t>Plum Ledger Balance vs Clydedale Bank PLC TA Virgin Money 30 Day notice account</t>
  </si>
  <si>
    <t>Plum Ledger Balance vs Clydedale Bank PLC TA Virgin Money Instant access</t>
  </si>
  <si>
    <t>Plum Ledger Balance vs JP Morgan</t>
  </si>
  <si>
    <t>JP Morgan Ledger Balance</t>
  </si>
  <si>
    <t>JP Morgan Balance</t>
  </si>
  <si>
    <t>JP Morgan Diff Rec</t>
  </si>
  <si>
    <t>Adjusted JP Morgan Balance</t>
  </si>
  <si>
    <t>Adjusted JP Morgan Diff Rec</t>
  </si>
  <si>
    <t>Citi EUR Account</t>
  </si>
  <si>
    <t>Citi EUR Balance</t>
  </si>
  <si>
    <t>Backup Saved Down</t>
  </si>
  <si>
    <t>CISA - Plum Transaction vs Citi Transaction</t>
  </si>
  <si>
    <t>Source:</t>
  </si>
  <si>
    <t>Ledger Entries
(Repeated to match Citi entries)</t>
  </si>
  <si>
    <t>Citi Entries</t>
  </si>
  <si>
    <t>User Balance Change Total
Cash ISA User Ledger Changes table on Dashboard</t>
  </si>
  <si>
    <t>Investigation Status</t>
  </si>
  <si>
    <t>Date Date</t>
  </si>
  <si>
    <t>Citi Statement Date</t>
  </si>
  <si>
    <t>Plum Completed Date</t>
  </si>
  <si>
    <t>Citi Statement Number</t>
  </si>
  <si>
    <t>Citi Reference Part</t>
  </si>
  <si>
    <t>Plum Transaction Reference</t>
  </si>
  <si>
    <t>Plum Order Type</t>
  </si>
  <si>
    <t>Plum ID</t>
  </si>
  <si>
    <t>Transaction Type</t>
  </si>
  <si>
    <t>Plum Amount</t>
  </si>
  <si>
    <t>Combined Citi Amount</t>
  </si>
  <si>
    <t>Citi Amount</t>
  </si>
  <si>
    <t>Citi Description</t>
  </si>
  <si>
    <t>Amount Diff Rec</t>
  </si>
  <si>
    <t>RESOLVED</t>
  </si>
  <si>
    <t>118/1</t>
  </si>
  <si>
    <t>P2114ZG8XZ</t>
  </si>
  <si>
    <t>aggregate</t>
  </si>
  <si>
    <t>625878f0-2939-4b7a-a209-37236657b1fb</t>
  </si>
  <si>
    <t>/PT/FT/PY/P2114ZG8XZ                         PLUM FINTECH/BI/
14747801/OB/043479 PLUM FINTECH LIMITED/OB3/MODULR/BO/13699296/BO
1/Saveable Limited/BO2/Floor 2 2-7 Clerkenwell Green GB/BO3/Londo
n EC1R 0DE</t>
  </si>
  <si>
    <t>P2114ZHRMC</t>
  </si>
  <si>
    <t>19218b49-d0dd-4495-94df-ea075063992e</t>
  </si>
  <si>
    <t>/PT/FT/PY/P2114ZHRMC                         PLUM FINTECH/BI/
14747801/OB/043479 PLUM FINTECH LIMITED/OB3/MODULR/BO/13699296/BO
1/Saveable Limited/BO2/Floor 2 2-7 Clerkenwell Green GB/BO3/Londo
n EC1R 0DE</t>
  </si>
  <si>
    <t>P2114ZRYZK</t>
  </si>
  <si>
    <t>eaba9bd9-5066-4a04-a1ea-f178c1a2d51a</t>
  </si>
  <si>
    <t>/PT/FT/PY/P2114ZRYZK                         PLUM FINTECH/BI/
14747801/OB/043479 PLUM FINTECH LIMITED/OB3/MODULR/BO/13699296/BO
1/Saveable Limited/BO2/Floor 2 2-7 Clerkenwell Green GB/BO3/Londo
n EC1R 0DE</t>
  </si>
  <si>
    <t>P2114Z9CFE</t>
  </si>
  <si>
    <t>2623dd13-0988-4a05-b277-49b3b2690157</t>
  </si>
  <si>
    <t>/PT/FT/PY/P2114Z9CFE                         PLUM FINTECH/BI/
14747801/OB/043479 PLUM FINTECH LIMITED/OB3/MODULR/BO/13699296/BO
1/Saveable Limited/BO2/Floor 2 2-7 Clerkenwell Green GB/BO3/Londo
n EC1R 0DE</t>
  </si>
  <si>
    <t>P2114Z2533</t>
  </si>
  <si>
    <t>d230407b-195d-4276-aa06-d95afd5f3b3b</t>
  </si>
  <si>
    <t>/PT/FT/PY/P2114Z2533                         PLUM FINTECH/BI/
14747801/OB/043479 PLUM FINTECH LIMITED/OB3/MODULR/BO/13699296/BO
1/Saveable Limited/BO2/Floor 2 2-7 Clerkenwell Green GB/BO3/Londo
n EC1R 0DE</t>
  </si>
  <si>
    <t>P2114Z9GVN</t>
  </si>
  <si>
    <t>/PT/FT/PY/P2114Z9GVN                         PLUM FINTECH/BI/
14747801/OB/043479 PLUM FINTECH LIMITED/OB3/MODULR/BO/13699296/BO
1/Saveable Limited/BO2/Floor 2 2-7 Clerkenwell Green GB/BO3/Londo
n EC1R 0DE</t>
  </si>
  <si>
    <t>P2114ZNCTS</t>
  </si>
  <si>
    <t>b4d5d580-39a7-4420-b0d1-3155a7120a37</t>
  </si>
  <si>
    <t>/PT/FT/PY/P2114ZNCTS                         PLUM FINTECH/BI/
14747801/OB/043479 PLUM FINTECH LIMITED/OB3/MODULR/BO/13699296/BO
1/Saveable Limited/BO2/Floor 2 2-7 Clerkenwell Green GB/BO3/Londo
n EC1R 0DE</t>
  </si>
  <si>
    <t>P2114ZCGHE</t>
  </si>
  <si>
    <t>/PT/FT/PY/P2114ZCGHE                         PLUM FINTECH/BI/
14747801/OB/043479 PLUM FINTECH LIMITED/OB3/MODULR/BO/13699296/BO
1/Saveable Limited/BO2/Floor 2 2-7 Clerkenwell Green GB/BO3/Londo
n EC1R 0DE</t>
  </si>
  <si>
    <t>P2114ZHRKP</t>
  </si>
  <si>
    <t>/PT/FT/PY/P2114ZHRKP                         PLUM FINTECH/BI/
14747801/OB/043479 PLUM FINTECH LIMITED/OB3/MODULR/BO/13699296/BO
1/Saveable Limited/BO2/Floor 2 2-7 Clerkenwell Green GB/BO3/Londo
n EC1R 0DE</t>
  </si>
  <si>
    <t>P2114Z9CFH</t>
  </si>
  <si>
    <t>/PT/FT/PY/P2114Z9CFH                         PLUM FINTECH/BI/
14747801/OB/043479 PLUM FINTECH LIMITED/OB3/MODULR/BO/13699296/BO
1/Saveable Limited/BO2/Floor 2 2-7 Clerkenwell Green GB/BO3/Londo
n EC1R 0DE</t>
  </si>
  <si>
    <t>P2114ZRYZC</t>
  </si>
  <si>
    <t>/PT/FT/PY/P2114ZRYZC                         PLUM FINTECH/BI/
14747801/OB/043479 PLUM FINTECH LIMITED/OB3/MODULR/BO/13699296/BO
1/Saveable Limited/BO2/Floor 2 2-7 Clerkenwell Green GB/BO3/Londo
n EC1R 0DE</t>
  </si>
  <si>
    <t>P2114Z2536</t>
  </si>
  <si>
    <t>/PT/FT/PY/P2114Z2536                         PLUM FINTECH/BI/
14747801/OB/043479 PLUM FINTECH LIMITED/OB3/MODULR/BO/13699296/BO
1/Saveable Limited/BO2/Floor 2 2-7 Clerkenwell Green GB/BO3/Londo
n EC1R 0DE</t>
  </si>
  <si>
    <t>TOTAL AGGREGATE CREDIT:</t>
  </si>
  <si>
    <t>Agrees with the Recon Data</t>
  </si>
  <si>
    <t>TOTAL UNKNOWN CREDIT &amp; DEPOSIT:</t>
  </si>
  <si>
    <t>9b9b3c01-3</t>
  </si>
  <si>
    <t>9eb3ba10-d640-4475-b52a-8569579aca88</t>
  </si>
  <si>
    <t>/PT/FT/PY/9b9b3c01-3                                         
                                                      9b9b3c01-3/
BI/13745484/BN/Plum Fintech Ltd 2-7 Clerkenwell Grn/AB/043479 PLU
M FINTECH LIMITED/AB3/MODULR/OB/185008 LONDON,  CANARY WHARF E14/
OB3/CITIBANK NA/BO/Plum Fintech Ltd 2-7 Clerkenwell Grn</t>
  </si>
  <si>
    <t>ad3cfdd9-b</t>
  </si>
  <si>
    <t>1cb309d8-85fc-4eaa-bfc6-f90a217d65d4</t>
  </si>
  <si>
    <t>/PT/FT/PY/ad3cfdd9-b                                         
                                                      ad3cfdd9-b/
BI/13745484/BN/Plum Fintech Ltd 2-7 Clerkenwell Grn/AB/043479 PLU
M FINTECH LIMITED/AB3/MODULR/OB/185008 LONDON,  CANARY WHARF E14/
OB3/CITIBANK NA/BO/Plum Fintech Ltd 2-7 Clerkenwell Grn</t>
  </si>
  <si>
    <t>ee43361a-a</t>
  </si>
  <si>
    <t>/PT/FT/PY/ee43361a-a                                         
                                                      ee43361a-a/
BI/13745484/BN/Plum Fintech Ltd 2-7 Clerkenwell Grn/AB/043479 PLU
M FINTECH LIMITED/AB3/MODULR/OB/185008 LONDON,  CANARY WHARF E14/
OB3/CITIBANK NA/BO/Plum Fintech Ltd 2-7 Clerkenwell Grn</t>
  </si>
  <si>
    <t>42e2a033-d</t>
  </si>
  <si>
    <t>/PT/FT/PY/42e2a033-d                                         
                                                      42e2a033-d/
BI/13745484/BN/Plum Fintech Ltd 2-7 Clerkenwell Grn/AB/043479 PLU
M FINTECH LIMITED/AB3/MODULR/OB/185008 LONDON,  CANARY WHARF E14/
OB3/CITIBANK NA/BO/Plum Fintech Ltd 2-7 Clerkenwell Grn</t>
  </si>
  <si>
    <t>cb82e182-a</t>
  </si>
  <si>
    <t>/PT/FT/PY/cb82e182-a                                         
                                                      cb82e182-a/
BI/13745484/BN/Plum Fintech Ltd 2-7 Clerkenwell Grn/AB/043479 PLU
M FINTECH LIMITED/AB3/MODULR/OB/185008 LONDON,  CANARY WHARF E14/
OB3/CITIBANK NA/BO/Plum Fintech Ltd 2-7 Clerkenwell Grn</t>
  </si>
  <si>
    <t>5f219cf4-f</t>
  </si>
  <si>
    <t>/PT/FT/PY/5f219cf4-f                                         
                                                      5f219cf4-f/
BI/13745484/BN/Plum Fintech Ltd 2-7 Clerkenwell Grn/AB/043479 PLU
M FINTECH LIMITED/AB3/MODULR/OB/185008 LONDON,  CANARY WHARF E14/
OB3/CITIBANK NA/BO/Plum Fintech Ltd 2-7 Clerkenwell Grn</t>
  </si>
  <si>
    <t>f0785e1b-6</t>
  </si>
  <si>
    <t>/PT/FT/PY/f0785e1b-6                                         
                                                      f0785e1b-6/
BI/13745484/BN/Plum Fintech Ltd 2-7 Clerkenwell Grn/AB/043479 PLU
M FINTECH LIMITED/AB3/MODULR/OB/185008 LONDON,  CANARY WHARF E14/
OB3/CITIBANK NA/BO/Plum Fintech Ltd 2-7 Clerkenwell Grn</t>
  </si>
  <si>
    <t>1ada55b3-8</t>
  </si>
  <si>
    <t>/PT/FT/PY/1ada55b3-8                                         
                                                      1ada55b3-8/
BI/13745484/BN/Plum Fintech Ltd 2-7 Clerkenwell Grn/AB/043479 PLU
M FINTECH LIMITED/AB3/MODULR/OB/185008 LONDON,  CANARY WHARF E14/
OB3/CITIBANK NA/BO/Plum Fintech Ltd 2-7 Clerkenwell Grn</t>
  </si>
  <si>
    <t>d0b3d143-3</t>
  </si>
  <si>
    <t>/PT/FT/PY/d0b3d143-3                                         
                                                      d0b3d143-3/
BI/13745484/BN/Plum Fintech Ltd 2-7 Clerkenwell Grn/AB/043479 PLU
M FINTECH LIMITED/AB3/MODULR/OB/185008 LONDON,  CANARY WHARF E14/
OB3/CITIBANK NA/BO/Plum Fintech Ltd 2-7 Clerkenwell Grn</t>
  </si>
  <si>
    <t>c47d0f8e-4</t>
  </si>
  <si>
    <t>/PT/FT/PY/c47d0f8e-4                                         
                                                      c47d0f8e-4/
BI/13745484/BN/Plum Fintech Ltd 2-7 Clerkenwell Grn/AB/043479 PLU
M FINTECH LIMITED/AB3/MODULR/OB/185008 LONDON,  CANARY WHARF E14/
OB3/CITIBANK NA/BO/Plum Fintech Ltd 2-7 Clerkenwell Grn</t>
  </si>
  <si>
    <t>TOTAL AGGREGATE DEBIT:</t>
  </si>
  <si>
    <t>TOTAL WITHDRAWAL:</t>
  </si>
  <si>
    <t>3CF12FA2</t>
  </si>
  <si>
    <t>internal_transaction</t>
  </si>
  <si>
    <t>b9b39550-2a56-4d00-af4f-07d78d4955f4</t>
  </si>
  <si>
    <t>/PT/FT/PY/3CF12FA2                                           
                   3CF12FA2                           3CF12FA2/BI
/14747801/OB/400530 City of London (400530)/OB3/HSBC BANK PLC/BO/
33694879/BO1/Moneybox/BO2/Hatfields 1-2 Cargo Works SE1 9PG L/BO3
/ondon London GB</t>
  </si>
  <si>
    <t>cdfffac6-958f-4b37-a4f7-ddd2ed4f8de9</t>
  </si>
  <si>
    <t>/PT/FT/PY/ca1a8c2f                                           
                   13501827                           ca1a8c2f/BI
/14747801/OB/609242 EMEA Treasury Services Oper/OB3/JPMORGAN CHAS
E BK/BO/71003704/BO1/Trading 212 UK Limited/BO2/London EC4N 1TX L
N GB 10-15 Queen S/BO3/treet Aldermary House</t>
  </si>
  <si>
    <t>NOREF</t>
  </si>
  <si>
    <t>fd4fb3e0-8eea-4067-8eeb-eef12494638e</t>
  </si>
  <si>
    <t>/PT/FT/PY/a3f58704d6f746e2b5                 308b63ba/BI/1474
7801/OB/040657 Chip Financial Ltd/OB3/CLEARBANK/BO/138/BO1/CHIP F
INANCIAL ISA TRANSFER/BO2/United Kingdom London Bell Yard 7 W/BO3
/C2A 2JR</t>
  </si>
  <si>
    <t>64f15929-fcd7-4402-b50a-3fdad29ab976</t>
  </si>
  <si>
    <t>/PT/FT/PY/8a0b6c2b04fc4b698d                 56c3064d/BI/1474
7801/OB/040657 Chip Financial Ltd/OB3/CLEARBANK/BO/138/BO1/CHIP F
INANCIAL ISA TRANSFER/BO2/United Kingdom London Bell Yard 7 W/BO3
/C2A 2JR</t>
  </si>
  <si>
    <t>b516b577-0bfe-4db4-beb0-8b8dd5c98663</t>
  </si>
  <si>
    <t>/PT/FT/PY/1d2d9710493949eead                 1a084980/BI/1474
7801/OB/040657 Chip Financial Ltd/OB3/CLEARBANK/BO/138/BO1/CHIP F
INANCIAL ISA TRANSFER/BO2/United Kingdom London Bell Yard 7 W/BO3
/C2A 2JR</t>
  </si>
  <si>
    <t>ce307062-1891-4dbb-bdf2-d78aa1167c4d</t>
  </si>
  <si>
    <t>/PT/FT/PY/0a503d91bc17432da7                 0bc1a0db/BI/1474
7801/OB/040657 Chip Financial Ltd/OB3/CLEARBANK/BO/138/BO1/CHIP F
INANCIAL ISA TRANSFER/BO2/United Kingdom London Bell Yard 7 W/BO3
/C2A 2JR</t>
  </si>
  <si>
    <t>GBA16066KFFB4OG0</t>
  </si>
  <si>
    <t>5bc18f18-f5e5-442b-b5dc-7b2b2075d7e6</t>
  </si>
  <si>
    <t>/PT/FT/PY/TRANSFER OUT TEAM TWO              2C059D01/OA/GBP6
65,35/BI/14747801/OB/TRANSFER OUT TEAM TWO NATIONWIDE BUILDING SO
CIETY/OB3/CALEDONIA HOUSE/OB4/ORDER BANK: NATIONWIDE BUILDING SOC
/BO/1578-123456785/BO1/TRANSFER OUT TEAM TWO/BO2/NATIONWIDE BUILD
ING SOCIETY/BO3/CALEDONIA HOUSE/BO4/CARNEGIE AVENUE, KY11 8PJ</t>
  </si>
  <si>
    <t>66f65b4d-9792-40c1-aad3-014475bb77e7</t>
  </si>
  <si>
    <t>/PT/FT/PY/16aefb971ec141ffba                 c3a71537/BI/1474
7801/OB/040657 Chip Financial Ltd/OB3/CLEARBANK/BO/138/BO1/CHIP F
INANCIAL ISA TRANSFER/BO2/United Kingdom London Bell Yard 7 W/BO3
/C2A 2JR</t>
  </si>
  <si>
    <t>0e748be0ee015SIP</t>
  </si>
  <si>
    <t>0E748BE0EE015SIP</t>
  </si>
  <si>
    <t>36f7c8a3-fa1d-48a7-a75b-23d2ddb018aa</t>
  </si>
  <si>
    <t>/PT/FT/PY/6211AB6C                                           
                   0e748be0ee015SIP                   6211AB6C/BI
/14747801/OB/608400 ZOPA BANK LIMITED/OB3/ZOPA BANK LIMITED/BO/71
808248/BO1/KOK WAN/BO2/10TIDWELLS LEABRACKNELLBERKSHIRERG4/BO3/2 
3TP</t>
  </si>
  <si>
    <t>48096471-39f5-458d-9c9a-f11d23f39feb</t>
  </si>
  <si>
    <t>/PT/FT/PY/c272069fa6ef4cc794                 93a893ad/BI/1474
7801/OB/040657 Chip Financial Ltd/OB3/CLEARBANK/BO/138/BO1/CHIP F
INANCIAL ISA TRANSFER/BO2/United Kingdom London Bell Yard 7 W/BO3
/C2A 2JR</t>
  </si>
  <si>
    <t>CIS-260615000356</t>
  </si>
  <si>
    <t>CIS 260615000356</t>
  </si>
  <si>
    <t>6d01608d-a34a-44ff-a92a-77ebd9506716</t>
  </si>
  <si>
    <t>/PT/FT/PY/HALIFAX                            /ROC/b7ae0077///
URI/b7ae0077  Weiji Gao/OA/GBP21832,80/BI/14747801/OB/HALIFAX ORD
ER BANK: HALIFAX/BO/11766399059194/BO1/HALIFAX</t>
  </si>
  <si>
    <t>24e2cfd7-ad37-4c75-9171-a0327222bc33</t>
  </si>
  <si>
    <t>/PT/FT/PY/440e536d                                           
                   1166871493                         440e536d/BI
/14747801/OB/802260 THE DIRECT BUSINESS BANK/OB3/Bank of Scotland
 plc/BO/27245467/BO1/TEMBO SAVINGS LIMITED/BO2/18 Crucifix Lane, 
London United Kin/BO3/gdom SE1 3JW</t>
  </si>
  <si>
    <t>RBN16066JEFBZ5Q9</t>
  </si>
  <si>
    <t>b19d0f3b-ff0f-4928-9a7b-8e4b88362c44</t>
  </si>
  <si>
    <t>/PT/FT/PY/MR DAVID EDWARD MARRITT            365E0C0F/OA/GBP5
4000,00/BI/14747801/OB/MR DAVID EDWARD MARRITT 87 HIGHFIELD SUTTO
N-ON-HULL HULL HU/OB3/7 4TN GB/OB4/ORDER BANK: HBUKGB4BXXX/BO/402
51691417126/BO1/MR DAVID EDWARD MARRITT/BO2/87 HIGHFIELD SUTTON-O
N-HULL HULL HU/BO3/7 4TN GB</t>
  </si>
  <si>
    <t>9a4eca36-0223-4945-8608-d6a8cf3ec52f</t>
  </si>
  <si>
    <t>/PT/FT/PY/27440d49                                           
                   13511934                           27440d49/BI
/14747801/OB/609242 EMEA Treasury Services Oper/OB3/JPMORGAN CHAS
E BK/BO/71003704/BO1/Trading 212 UK Limited/BO2/London EC4N 1TX L
N GB 10-15 Queen S/BO3/treet Aldermary House</t>
  </si>
  <si>
    <t>db1fe1dc-175b-4452-85d4-82633c07c242</t>
  </si>
  <si>
    <t>/PT/FT/PY/001529463000000450                 0E81CDC3/BI/1474
7801/OB/090127 SANTANDER BANK ACCOUNT/OB3/Santander/BO/46997300/B
O1/ISA TRANSFER OUT IPA</t>
  </si>
  <si>
    <t>CIS-260615000388</t>
  </si>
  <si>
    <t>CIS 260615000388</t>
  </si>
  <si>
    <t>4f1b2c46-afa0-413e-8bd1-c8aab167d4a5</t>
  </si>
  <si>
    <t>/PT/FT/PY/HALIFAX                            /ROC/2a2a1d8f///
URI/2a2a1d8f  Kerry Hennessy/OA/GBP15159,64/BI/14747801/OB/HALIFA
X ORDER BANK: HALIFAX/BO/11766399059194/BO1/HALIFAX</t>
  </si>
  <si>
    <t>6d897df9-9911-437a-9d39-090f8c1f1871</t>
  </si>
  <si>
    <t>/PT/FT/PY/76bf7f02114e428280                 b8a7b7ae/BI/1474
7801/OB/040657 Chip Financial Ltd/OB3/CLEARBANK/BO/138/BO1/CHIP F
INANCIAL ISA TRANSFER/BO2/United Kingdom London Bell Yard 7 W/BO3
/C2A 2JR</t>
  </si>
  <si>
    <t>8f3c57a2-1321-43eb-bf5a-4638ea795acf</t>
  </si>
  <si>
    <t>/PT/FT/PY/6fca043a                                           
                   13493265                           6fca043a/BI
/14747801/OB/609242 EMEA Treasury Services Oper/OB3/JPMORGAN CHAS
E BK/BO/71003704/BO1/Trading 212 UK Limited/BO2/London EC4N 1TX L
N GB 10-15 Queen S/BO3/treet Aldermary House</t>
  </si>
  <si>
    <t>10898FD2</t>
  </si>
  <si>
    <t>568ec2c5-6be9-475e-a4b3-846823d03199</t>
  </si>
  <si>
    <t>/PT/FT/PY/10898FD2                           10898FD2 HBFHBIK
H/BI/14747801/OB/400250 GPS Operations/OB3/HSBC BANK PLC/BO/81369
679/BO1/VANGUARD ASSET MANAGEMENT LIMITED C/BO2/VANGUARD ASSET MA
NAGEMENT LTD 4TH/BO3/FLOOR 25 WALBROOK LONDON EC4N 8AF/BO4/UNITED
 KINGDOM</t>
  </si>
  <si>
    <t>4ac8ac87-1ea2-4b5a-aef9-d43ce49380aa</t>
  </si>
  <si>
    <t>/PT/FT/PY/RP4659980886265800                 BD6B315E/BI/1474
7801/OB/204662 BARCLAYS ISA 103/OB3/BARCLAYS BANK UK PLC/BO/13959
074/BO1/RICHARDS-GASKI P</t>
  </si>
  <si>
    <t>8ce1e169-23bd-4202-be57-800e62ea3ced</t>
  </si>
  <si>
    <t>/PT/FT/PY/137ef1ece75b498391                 c85dc586/BI/1474
7801/OB/040657 Chip Financial Ltd/OB3/CLEARBANK/BO/138/BO1/CHIP F
INANCIAL ISA TRANSFER/BO2/United Kingdom London Bell Yard 7 W/BO3
/C2A 2JR</t>
  </si>
  <si>
    <t>A0E6C4B0</t>
  </si>
  <si>
    <t>e68a9d11-6334-4f71-a5e2-c86f572e1f83</t>
  </si>
  <si>
    <t>/PT/FT/PY/A0E6C4B0                                           
                   A0E6C4B0                           A0E6C4B0/BI
/14747801/OB/400530 City of London (400530)/OB3/HSBC BANK PLC/BO/
33694879/BO1/Moneybox/BO2/Hatfields 1-2 Cargo Works SE1 9PG L/BO3
/ondon London GB</t>
  </si>
  <si>
    <t>77956543-115a-4f7f-95d3-fd812c343ce8</t>
  </si>
  <si>
    <t>/PT/FT/PY/260616145751305476                 14d34d7d/BI/1474
7801/OB/776969 LUTON/OB3/TSB/BO/157433</t>
  </si>
  <si>
    <t>58d1e6f5-14a5-4184-aeea-3b8c9869c978</t>
  </si>
  <si>
    <t>/PT/FT/PY/e4f6b4f215c340a798                 13d48766/BI/1474
7801/OB/040657 Chip Financial Ltd/OB3/CLEARBANK/BO/138/BO1/CHIP F
INANCIAL ISA TRANSFER/BO2/United Kingdom London Bell Yard 7 W/BO3
/C2A 2JR</t>
  </si>
  <si>
    <t>692C0E33</t>
  </si>
  <si>
    <t>05d2e454-4ea1-4d60-aa06-e43b81cc5794</t>
  </si>
  <si>
    <t>/PT/FT/PY/692C0E33                                           
                   692C0E33                           692C0E33/BI
/14747801/OB/400530 City of London (400530)/OB3/HSBC BANK PLC/BO/
33694879/BO1/Moneybox/BO2/Hatfields 1-2 Cargo Works SE1 9PG L/BO3
/ondon London GB</t>
  </si>
  <si>
    <t>f51c85ed-fe0b-4cfd-9586-62c942148db8</t>
  </si>
  <si>
    <t>/PT/FT/PY/26c777672a4942dd84                 7a0692ba/BI/1474
7801/OB/040657 Chip Financial Ltd/OB3/CLEARBANK/BO/138/BO1/CHIP F
INANCIAL ISA TRANSFER/BO2/United Kingdom London Bell Yard 7 W/BO3
/C2A 2JR</t>
  </si>
  <si>
    <t>8bbb3bdc-c285-4ae2-abf8-be2004c5b832</t>
  </si>
  <si>
    <t>/PT/FT/PY/337097064116196XCN                 B7177ACD/BI/1474
7801/OB/406388 Coventry Building Society 1/OB3/COVENTRY B/S/BO/82
247833/BO1/COLLINS C B</t>
  </si>
  <si>
    <t>98dc64b3-c74a-4eb6-a793-8e11e4e68088</t>
  </si>
  <si>
    <t>/PT/FT/PY/a8d9823b92004032a8                 5693dbdf/BI/1474
7801/OB/040657 Chip Financial Ltd/OB3/CLEARBANK/BO/138/BO1/CHIP F
INANCIAL ISA TRANSFER/BO2/United Kingdom London Bell Yard 7 W/BO3
/C2A 2JR</t>
  </si>
  <si>
    <t>661a8eb4-febe-46d1-a34b-828ccf97fde1</t>
  </si>
  <si>
    <t>/PT/FT/PY/56052E78                                           
                   56052E78                           56052E78/BI
/14747801/OB/400530 City of London (400530)/OB3/HSBC BANK PLC/BO/
33694879/BO1/Moneybox/BO2/Hatfields 1-2 Cargo Works SE1 9PG L/BO3
/ondon London GB</t>
  </si>
  <si>
    <t>3d2984dc-1ebf-417f-9049-feeb927e982d</t>
  </si>
  <si>
    <t>/PT/FT/PY/b11f53f9                                           
                   13514756                           b11f53f9/BI
/14747801/OB/609242 EMEA Treasury Services Oper/OB3/JPMORGAN CHAS
E BK/BO/71003704/BO1/Trading 212 UK Limited/BO2/London EC4N 1TX L
N GB 10-15 Queen S/BO3/treet Aldermary House</t>
  </si>
  <si>
    <t>1f93bea3-6bdc-4a4b-b1b4-c465f425e31f</t>
  </si>
  <si>
    <t>/PT/FT/PY/eff74be7                                           
                   1166904204                         eff74be7/BI
/14747801/OB/802260 THE DIRECT BUSINESS BANK/OB3/Bank of Scotland
 plc/BO/27816667/BO1/TEMBO SAVINGS LIMITED/BO2/18 Crucifix Lane, 
London United Kin/BO3/gdom SE1 3JW</t>
  </si>
  <si>
    <t>feb86439-7020-419b-bfcf-bd3929911bb3</t>
  </si>
  <si>
    <t>/PT/FT/PY/0ad33b83                                           
                   1166871621                         0ad33b83/BI
/14747801/OB/802260 THE DIRECT BUSINESS BANK/OB3/Bank of Scotland
 plc/BO/27245467/BO1/TEMBO SAVINGS LIMITED/BO2/18 Crucifix Lane, 
London United Kin/BO3/gdom SE1 3JW</t>
  </si>
  <si>
    <t>509189cb-2dd9-41ff-8deb-c7c0d213775f</t>
  </si>
  <si>
    <t>/PT/FT/PY/f0c177eb                                           
                   13507669                           f0c177eb/BI
/14747801/OB/609242 EMEA Treasury Services Oper/OB3/JPMORGAN CHAS
E BK/BO/71003704/BO1/Trading 212 UK Limited/BO2/London EC4N 1TX L
N GB 10-15 Queen S/BO3/treet Aldermary House</t>
  </si>
  <si>
    <t>EF4BADB7</t>
  </si>
  <si>
    <t>9cc091b7-4d64-453f-bb64-a7a33eba971d</t>
  </si>
  <si>
    <t>/PT/FT/PY/EF4BADB7                                           
                   EF4BADB7                           EF4BADB7/BI
/14747801/OB/400530 City of London (400530)/OB3/HSBC BANK PLC/BO/
33694879/BO1/Moneybox/BO2/Hatfields 1-2 Cargo Works SE1 9PG L/BO3
/ondon London GB</t>
  </si>
  <si>
    <t>71740631-01a7-4a50-9e1a-4657304eacd4</t>
  </si>
  <si>
    <t>/PT/FT/PY/9cf9b121                                           
                   13496018                           9cf9b121/BI
/14747801/OB/609242 EMEA Treasury Services Oper/OB3/JPMORGAN CHAS
E BK/BO/71003704/BO1/Trading 212 UK Limited/BO2/London EC4N 1TX L
N GB 10-15 Queen S/BO3/treet Aldermary House</t>
  </si>
  <si>
    <t>9E7A3C57</t>
  </si>
  <si>
    <t>8aa6ddce-c390-41ae-8141-4e0c41b89280</t>
  </si>
  <si>
    <t>/PT/FT/PY/9E7A3C57                           9E7A3C57/BI/1474
7801/OB/200000 1 CHURCHILL  PLACE/OB3/BARCLAYS BANK PLC/BO/134360
98/BO1/MFM INV CLIENT A</t>
  </si>
  <si>
    <t>32a9b791-07fa-4ee8-8b7b-4437082470c4</t>
  </si>
  <si>
    <t>/PT/FT/PY/56302239                                           
                   46165555950214000N                 56302239/BI
/14747801/OB/504224 CHATHAM AMC/OB3/NAT WEST BANK PLC/BO/98090003
/BO1/MS LJ MARTIN</t>
  </si>
  <si>
    <t>09db38c0-2282-4865-bbf9-a8f95aaea017</t>
  </si>
  <si>
    <t>/PT/FT/PY/e520bc3b0fd744c3a8                 c9ec7408/BI/1474
7801/OB/040657 Chip Financial Ltd/OB3/CLEARBANK/BO/138/BO1/CHIP F
INANCIAL ISA TRANSFER/BO2/United Kingdom London Bell Yard 7 W/BO3
/C2A 2JR</t>
  </si>
  <si>
    <t>400250 51421336</t>
  </si>
  <si>
    <t>10542717-b78f-46cf-b256-21a124ce2342</t>
  </si>
  <si>
    <t>/PT/DE/EI/400250 51421336 0000000000     LBS ADE18A9B        
   972368/BC/BL400250/BO/51421336/BO1/0000000000     LBS</t>
  </si>
  <si>
    <t>49bee499-60a7-4216-bd61-2027f50fd8eb</t>
  </si>
  <si>
    <t>/PT/FT/PY/63a5ce6b                                           
                   13503903                           63a5ce6b/BI
/14747801/OB/609242 EMEA Treasury Services Oper/OB3/JPMORGAN CHAS
E BK/BO/71003704/BO1/Trading 212 UK Limited/BO2/London EC4N 1TX L
N GB 10-15 Queen S/BO3/treet Aldermary House</t>
  </si>
  <si>
    <t>f344d419-f273-447d-bd22-2e1525ea433a</t>
  </si>
  <si>
    <t>/PT/FT/PY/459f26fe6a9d486d9d                 982cddc1/BI/1474
7801/OB/040657 Chip Financial Ltd/OB3/CLEARBANK/BO/138/BO1/CHIP F
INANCIAL ISA TRANSFER/BO2/United Kingdom London Bell Yard 7 W/BO3
/C2A 2JR</t>
  </si>
  <si>
    <t>5944e430-6a33-4256-8e1d-a3576c176948</t>
  </si>
  <si>
    <t>/PT/FT/PY/5d3c0de4                                           
                   13506646                           5d3c0de4/BI
/14747801/OB/609242 EMEA Treasury Services Oper/OB3/JPMORGAN CHAS
E BK/BO/71003704/BO1/Trading 212 UK Limited/BO2/London EC4N 1TX L
N GB 10-15 Queen S/BO3/treet Aldermary House</t>
  </si>
  <si>
    <t>05f02a06-02b1-40d4-ba68-3466821e9c94</t>
  </si>
  <si>
    <t>/PT/FT/PY/67a5fcf1                                           
                   1166871619                         67a5fcf1/BI
/14747801/OB/802260 THE DIRECT BUSINESS BANK/OB3/Bank of Scotland
 plc/BO/27245467/BO1/TEMBO SAVINGS LIMITED/BO2/18 Crucifix Lane, 
London United Kin/BO3/gdom SE1 3JW</t>
  </si>
  <si>
    <t>88580947-35f6-4ea4-98f0-e573c907bfd0</t>
  </si>
  <si>
    <t>/PT/FT/PY/b5faa50d7bbf47f488                 dc793bbc/BI/1474
7801/OB/040657 Chip Financial Ltd/OB3/CLEARBANK/BO/138/BO1/CHIP F
INANCIAL ISA TRANSFER/BO2/United Kingdom London Bell Yard 7 W/BO3
/C2A 2JR</t>
  </si>
  <si>
    <t>0e44c480-2182-4602-ba34-100781fe1428</t>
  </si>
  <si>
    <t>/PT/FT/PY/dd860cd42742412895                 ae9a33c5/BI/1474
7801/OB/040657 Chip Financial Ltd/OB3/CLEARBANK/BO/138/BO1/CHIP F
INANCIAL ISA TRANSFER/BO2/United Kingdom London Bell Yard 7 W/BO3
/C2A 2JR</t>
  </si>
  <si>
    <t>79371D1E</t>
  </si>
  <si>
    <t>8093dffc-7246-4420-a368-9e72fa12837a</t>
  </si>
  <si>
    <t>/PT/FT/PY/79371D1E                                           
                   79371D1E                           79371D1E/BI
/14747801/OB/400530 City of London (400530)/OB3/HSBC BANK PLC/BO/
33694879/BO1/Moneybox/BO2/Hatfields 1-2 Cargo Works SE1 9PG L/BO3
/ondon London GB</t>
  </si>
  <si>
    <t>b4ac7a65-33ce-4a44-974e-6c32acd1b5f7</t>
  </si>
  <si>
    <t>/PT/FT/PY/2835858a02954150a5                 576a4632/BI/1474
7801/OB/040657 Chip Financial Ltd/OB3/CLEARBANK/BO/138/BO1/CHIP F
INANCIAL ISA TRANSFER/BO2/United Kingdom London Bell Yard 7 W/BO3
/C2A 2JR</t>
  </si>
  <si>
    <t>bd72f185-6b0a-4325-9bfa-afde581914b8</t>
  </si>
  <si>
    <t>/PT/FT/PY/ebf3295a                                           
                   13515132                           ebf3295a/BI
/14747801/OB/609242 EMEA Treasury Services Oper/OB3/JPMORGAN CHAS
E BK/BO/71003704/BO1/Trading 212 UK Limited/BO2/London EC4N 1TX L
N GB 10-15 Queen S/BO3/treet Aldermary House</t>
  </si>
  <si>
    <t>a04f849d-0bd1-4b13-8b6b-8d93cbc26ba5</t>
  </si>
  <si>
    <t>/PT/FT/PY/001529463000000450                 3F9C1ADB/BI/1474
7801/OB/090127 SANTANDER BANK ACCOUNT/OB3/Santander/BO/46997300/B
O1/ISA TRANSFER OUT IPA</t>
  </si>
  <si>
    <t>aaf6e227-1d75-4366-9c21-b11497260b8f</t>
  </si>
  <si>
    <t>/PT/FT/PY/f11ffa92dd7c40e3b6                 ad29cf9e/BI/1474
7801/OB/040657 Chip Financial Ltd/OB3/CLEARBANK/BO/138/BO1/CHIP F
INANCIAL ISA TRANSFER/BO2/United Kingdom London Bell Yard 7 W/BO3
/C2A 2JR</t>
  </si>
  <si>
    <t>07b4bd02-9349-4784-aaf2-12b161194a9d</t>
  </si>
  <si>
    <t>/PT/FT/PY/692f27d031274ad68b                 7757c884/BI/1474
7801/OB/040657 Chip Financial Ltd/OB3/CLEARBANK/BO/138/BO1/CHIP F
INANCIAL ISA TRANSFER/BO2/United Kingdom London Bell Yard 7 W/BO3
/C2A 2JR</t>
  </si>
  <si>
    <t>eb1ef66d-1637-40e1-8373-db1497da2ec3</t>
  </si>
  <si>
    <t>/PT/FT/PY/dc6183839f5f4c5993                 dc532848/BI/1474
7801/OB/040657 Chip Financial Ltd/OB3/CLEARBANK/BO/138/BO1/CHIP F
INANCIAL ISA TRANSFER/BO2/United Kingdom London Bell Yard 7 W/BO3
/C2A 2JR</t>
  </si>
  <si>
    <t>03562fc2-3d8d-4a46-8d15-26533498b644</t>
  </si>
  <si>
    <t>/PT/FT/PY/36e17de0                                           
                   13506450                           36e17de0/BI
/14747801/OB/609242 EMEA Treasury Services Oper/OB3/JPMORGAN CHAS
E BK/BO/71003704/BO1/Trading 212 UK Limited/BO2/London EC4N 1TX L
N GB 10-15 Queen S/BO3/treet Aldermary House</t>
  </si>
  <si>
    <t>e95dfeb9-01e3-475f-831a-ceab37353259</t>
  </si>
  <si>
    <t>/PT/FT/PY/b2222e7ba48b4247bb                 30550866/BI/1474
7801/OB/040657 Chip Financial Ltd/OB3/CLEARBANK/BO/138/BO1/CHIP F
INANCIAL ISA TRANSFER/BO2/United Kingdom London Bell Yard 7 W/BO3
/C2A 2JR</t>
  </si>
  <si>
    <t>fbcbcd06-ebea-4066-b52c-22fbb028fdcb</t>
  </si>
  <si>
    <t>/PT/FT/PY/f90c02bec4dd4dad97                 92d09a1f/BI/1474
7801/OB/040657 Chip Financial Ltd/OB3/CLEARBANK/BO/138/BO1/CHIP F
INANCIAL ISA TRANSFER/BO2/United Kingdom London Bell Yard 7 W/BO3
/C2A 2JR</t>
  </si>
  <si>
    <t>f6bcb511-aab7-47e1-b191-022c1ba92ac4</t>
  </si>
  <si>
    <t>/PT/FT/PY/f0768af6555d4abf83                 78d9b4d4/BI/1474
7801/OB/040657 Chip Financial Ltd/OB3/CLEARBANK/BO/138/BO1/CHIP F
INANCIAL ISA TRANSFER/BO2/United Kingdom London Bell Yard 7 W/BO3
/C2A 2JR</t>
  </si>
  <si>
    <t>32c9df39-1d52-41a8-993c-7e13c72e8030</t>
  </si>
  <si>
    <t>/PT/FT/PY/54f869b9fe384e4eb0                 7372c99b/BI/1474
7801/OB/040657 Chip Financial Ltd/OB3/CLEARBANK/BO/138/BO1/CHIP F
INANCIAL ISA TRANSFER/BO2/United Kingdom London Bell Yard 7 W/BO3
/C2A 2JR</t>
  </si>
  <si>
    <t>a3488768-257c-47c3-b38f-b6571d41e844</t>
  </si>
  <si>
    <t>/PT/FT/PY/bdaf34f24b9e48c3a5                 e4b0bd44/BI/1474
7801/OB/040657 Chip Financial Ltd/OB3/CLEARBANK/BO/138/BO1/CHIP F
INANCIAL ISA TRANSFER/BO2/United Kingdom London Bell Yard 7 W/BO3
/C2A 2JR</t>
  </si>
  <si>
    <t>5ef9b336-de95-4ed4-b93e-c02ad1f5176d</t>
  </si>
  <si>
    <t>/PT/FT/PY/FP36032959000002                   FB683903/BI/1474
7801/OB/406409 Tesco Bank-ISA/OB3/BARCLAYS UK TESCO/BO/13891389/B
O1/MRS SARAH MURRAY/BO2/HOLLYTHORN COTTAGE OLD HALL LANE/BO3/HARG
RAVE                    CH3 7RT</t>
  </si>
  <si>
    <t>8c95c1de-30c5-43ec-800c-b61c554601bf</t>
  </si>
  <si>
    <t>/PT/FT/PY/596f90d9115f45b493                 1b811497/BI/1474
7801/OB/040657 Chip Financial Ltd/OB3/CLEARBANK/BO/138/BO1/CHIP F
INANCIAL ISA TRANSFER/BO2/United Kingdom London Bell Yard 7 W/BO3
/C2A 2JR</t>
  </si>
  <si>
    <t>9544c6c8-70d0-42f4-93bb-44da6aa117d5</t>
  </si>
  <si>
    <t>/PT/FT/PY/000000041092155401                 35C733FC/BI/1474
7801/OB/203253 CORRESPONDENT BANKING/OB3/BARCLAYS BANK PLC/BO/636
04551/BO1/FORD MONEY</t>
  </si>
  <si>
    <t>e91feafc-f7b9-41d3-8056-8bf541737ccf</t>
  </si>
  <si>
    <t>/PT/FT/PY/1c957665559b44ed89                 f47c75e8/BI/1474
7801/OB/040657 Chip Financial Ltd/OB3/CLEARBANK/BO/138/BO1/CHIP F
INANCIAL ISA TRANSFER/BO2/United Kingdom London Bell Yard 7 W/BO3
/C2A 2JR</t>
  </si>
  <si>
    <t>E083E296</t>
  </si>
  <si>
    <t>6898332f-2b5d-44cb-b2d1-64e2f759a08d</t>
  </si>
  <si>
    <t>/PT/FT/PY/E083E296                                           
                   E083E296                           E083E296/BI
/14747801/OB/400530 City of London (400530)/OB3/HSBC BANK PLC/BO/
33694879/BO1/Moneybox/BO2/Hatfields 1-2 Cargo Works SE1 9PG L/BO3
/ondon London GB</t>
  </si>
  <si>
    <t>69EE96E5</t>
  </si>
  <si>
    <t>d054cda7-13eb-4de3-9383-99d7d0f8be4b</t>
  </si>
  <si>
    <t>/PT/FT/PY/69EE96E5                                           
                   69EE96E5                           69EE96E5/BI
/14747801/OB/400530 City of London (400530)/OB3/HSBC BANK PLC/BO/
33694879/BO1/Moneybox/BO2/Hatfields 1-2 Cargo Works SE1 9PG L/BO3
/ondon London GB</t>
  </si>
  <si>
    <t>138dde5d-77fd-4af3-b3a0-3d8c0193ab4d</t>
  </si>
  <si>
    <t>/PT/FT/PY/e170c15a                                           
                   13506520                           e170c15a/BI
/14747801/OB/609242 EMEA Treasury Services Oper/OB3/JPMORGAN CHAS
E BK/BO/71003704/BO1/Trading 212 UK Limited/BO2/London EC4N 1TX L
N GB 10-15 Queen S/BO3/treet Aldermary House</t>
  </si>
  <si>
    <t>183e4bea-681a-4c3c-a73c-c7890a2ad3a0</t>
  </si>
  <si>
    <t>/PT/FT/PY/RP4659980887500900                 25DD7D0A/BI/1474
7801/OB/204661 BARCLAYS ISA 102/OB3/BARCLAYS BANK UK PLC/BO/80621
285/BO1/PLOUMIS N</t>
  </si>
  <si>
    <t>462f3b88-712d-4011-bf24-eba8d01690f1</t>
  </si>
  <si>
    <t>/PT/FT/PY/527961a3b23b4c3889                 b91d67de/BI/1474
7801/OB/040657 Chip Financial Ltd/OB3/CLEARBANK/BO/138/BO1/CHIP F
INANCIAL ISA TRANSFER/BO2/United Kingdom London Bell Yard 7 W/BO3
/C2A 2JR</t>
  </si>
  <si>
    <t>6a153995-88e4-44ad-8e3c-184d761f22bc</t>
  </si>
  <si>
    <t>/PT/FT/PY/640870cadf0d4ef497                 2c24e5a7/BI/1474
7801/OB/040657 Chip Financial Ltd/OB3/CLEARBANK/BO/138/BO1/CHIP F
INANCIAL ISA TRANSFER/BO2/United Kingdom London Bell Yard 7 W/BO3
/C2A 2JR</t>
  </si>
  <si>
    <t>12532E3E</t>
  </si>
  <si>
    <t>481fb01a-e027-4a00-8141-d5b60543aad2</t>
  </si>
  <si>
    <t>/PT/FT/PY/12532E3E                           12532E3E 7FFR5AX
F/BI/14747801/OB/400250 GPS Operations/OB3/HSBC BANK PLC/BO/81369
679/BO1/VANGUARD ASSET MANAGEMENT LIMITED C/BO2/VANGUARD ASSET MA
NAGEMENT LTD 4TH/BO3/FLOOR 25 WALBROOK LONDON EC4N 8AF/BO4/UNITED
 KINGDOM</t>
  </si>
  <si>
    <t>5e783631-7884-475c-8a71-2e606cb7b0e9</t>
  </si>
  <si>
    <t>/PT/FT/PY/670291f05d91485eb9                 a2b9b035/BI/1474
7801/OB/040657 Chip Financial Ltd/OB3/CLEARBANK/BO/138/BO1/CHIP F
INANCIAL ISA TRANSFER/BO2/United Kingdom London Bell Yard 7 W/BO3
/C2A 2JR</t>
  </si>
  <si>
    <t>2ac07d4b-0985-4242-a319-5904c679164b</t>
  </si>
  <si>
    <t>/PT/FT/PY/82126048                                           
                   1166871517                         82126048/BI
/14747801/OB/802260 THE DIRECT BUSINESS BANK/OB3/Bank of Scotland
 plc/BO/27245467/BO1/TEMBO SAVINGS LIMITED/BO2/18 Crucifix Lane, 
London United Kin/BO3/gdom SE1 3JW</t>
  </si>
  <si>
    <t>d2033a3c-023e-4dd5-b53a-3d8ac81ad0ec</t>
  </si>
  <si>
    <t>/PT/FT/PY//PURP/IPAY///URI/                                  
                   66133572509075F4SW                 HAWKER/BI/1
4747801/OB/406377 CYNERGY BANK LIMITED/OB3/CYNERGY BANK LTD/BO/26
275942/BO1/MR JAMES HAWKER</t>
  </si>
  <si>
    <t>f2df7399-e7fd-4c72-957d-a05109918c7c</t>
  </si>
  <si>
    <t>/PT/FT/PY/5b0e3c7b                                           
                   13506510                           5b0e3c7b/BI
/14747801/OB/609242 EMEA Treasury Services Oper/OB3/JPMORGAN CHAS
E BK/BO/71003704/BO1/Trading 212 UK Limited/BO2/London EC4N 1TX L
N GB 10-15 Queen S/BO3/treet Aldermary House</t>
  </si>
  <si>
    <t>11723434-15a2-47fa-b584-9ac95db757c7</t>
  </si>
  <si>
    <t>/PT/FT/PY/f8fb043e6afe474b92                 68034bcf/BI/1474
7801/OB/040657 Chip Financial Ltd/OB3/CLEARBANK/BO/138/BO1/CHIP F
INANCIAL ISA TRANSFER/BO2/United Kingdom London Bell Yard 7 W/BO3
/C2A 2JR</t>
  </si>
  <si>
    <t>443d899a-c37d-419c-ad72-c7b928d6e194</t>
  </si>
  <si>
    <t>/PT/FT/PY/d70fa332112d4d3fae                 6452bb71/BI/1474
7801/OB/040657 Chip Financial Ltd/OB3/CLEARBANK/BO/138/BO1/CHIP F
INANCIAL ISA TRANSFER/BO2/United Kingdom London Bell Yard 7 W/BO3
/C2A 2JR</t>
  </si>
  <si>
    <t>0a1cc18a-6649-4a8f-9932-d75a2e52cbf0</t>
  </si>
  <si>
    <t>/PT/FT/PY/b41590ad                                           
                   13505520                           b41590ad/BI
/14747801/OB/609242 EMEA Treasury Services Oper/OB3/JPMORGAN CHAS
E BK/BO/71003704/BO1/Trading 212 UK Limited/BO2/London EC4N 1TX L
N GB 10-15 Queen S/BO3/treet Aldermary House</t>
  </si>
  <si>
    <t>1bafc2c5-c245-4709-a48c-3d2273c07cba</t>
  </si>
  <si>
    <t>/PT/FT/PY/da739068cb174d489a                 f7529826/BI/1474
7801/OB/040657 Chip Financial Ltd/OB3/CLEARBANK/BO/138/BO1/CHIP F
INANCIAL ISA TRANSFER/BO2/United Kingdom London Bell Yard 7 W/BO3
/C2A 2JR</t>
  </si>
  <si>
    <t>3112731b-1ef1-4808-b8c6-1827bb5de556</t>
  </si>
  <si>
    <t>/PT/FT/PY/8d288644                                           
                   1166871491                         8d288644/BI
/14747801/OB/802260 THE DIRECT BUSINESS BANK/OB3/Bank of Scotland
 plc/BO/27245467/BO1/TEMBO SAVINGS LIMITED/BO2/18 Crucifix Lane, 
London United Kin/BO3/gdom SE1 3JW</t>
  </si>
  <si>
    <t>F6F6EBBB</t>
  </si>
  <si>
    <t>1906039a-9df1-4df6-b424-d0411b1f7105</t>
  </si>
  <si>
    <t>/PT/FT/PY/F6F6EBBB                                           
                   F6F6EBBB                           F6F6EBBB/BI
/14747801/OB/400530 City of London (400530)/OB3/HSBC BANK PLC/BO/
33694879/BO1/Moneybox/BO2/Hatfields 1-2 Cargo Works SE1 9PG L/BO3
/ondon London GB</t>
  </si>
  <si>
    <t>FRESCO.21302.GFX</t>
  </si>
  <si>
    <t>FRESCO.21302.GFX.20</t>
  </si>
  <si>
    <t>1ba55ff9-8048-419b-afcb-6dcada9f11d9</t>
  </si>
  <si>
    <t>/PT/FT/PY/231ad5bf-4027-4f8a-9b5e-26dd977f9af5               
                   FRESCO.21302.GFX.20                7232868c/BI
/14747801/OB/309213 CABOT CIRCUS (309213)/OB3/LLOYDS BANK PLC/BO/
1149417/BO1/Hargreaves Lansdown Asset Managemen</t>
  </si>
  <si>
    <t>86b402e2-2c5b-46d2-9bc9-6ffece581cdf</t>
  </si>
  <si>
    <t>/PT/FT/PY/6fc7560724fe460880                 2a616d16/BI/1474
7801/OB/040657 Chip Financial Ltd/OB3/CLEARBANK/BO/138/BO1/CHIP F
INANCIAL ISA TRANSFER/BO2/United Kingdom London Bell Yard 7 W/BO3
/C2A 2JR</t>
  </si>
  <si>
    <t>19ffb1e5-1d93-46c8-a806-92a3fdc9dcdd</t>
  </si>
  <si>
    <t>/PT/FT/PY/0AFA3FF5                                           
                   25171603100237000N                 0AFA3FF5/BI
/14747801/OB/600001 MOORGATE (M)/OB3/NAT WEST BANK PLC/BO/4895082
3/BO1/CMC MARKETS INVEST</t>
  </si>
  <si>
    <t>395ef560-3f5c-42a2-aa75-1f3dbf5d4a88</t>
  </si>
  <si>
    <t>/PT/FT/PY/b896e0174a084987ba                 44110c33/BI/1474
7801/OB/040657 Chip Financial Ltd/OB3/CLEARBANK/BO/138/BO1/CHIP F
INANCIAL ISA TRANSFER/BO2/United Kingdom London Bell Yard 7 W/BO3
/C2A 2JR</t>
  </si>
  <si>
    <t>65c29ab5-5799-465b-b7d8-1747902c4f4f</t>
  </si>
  <si>
    <t>/PT/FT/PY/2B5B8595                                           
                   51023248488759000N                 2B5B8595/BI
/14747801/OB/011001 MANCHESTER,CITY CENTRE/OB3/NAT WEST BANK PLC/
BO/41216229/BO1/IISL CLIENT GBP SE</t>
  </si>
  <si>
    <t>a0d5a28e-cb21-4ed0-bc23-52e2b4d94fb7</t>
  </si>
  <si>
    <t>/PT/FT/PY/ccef7ce8edc0406bbf                 3cc190e7/BI/1474
7801/OB/040657 Chip Financial Ltd/OB3/CLEARBANK/BO/138/BO1/CHIP F
INANCIAL ISA TRANSFER/BO2/United Kingdom London Bell Yard 7 W/BO3
/C2A 2JR</t>
  </si>
  <si>
    <t>60e2f951-e3b5-4460-bf37-36c41a957120</t>
  </si>
  <si>
    <t>/PT/FT/PY/001529463000000450                 29BA79B3/BI/1474
7801/OB/090127 SANTANDER BANK ACCOUNT/OB3/Santander/BO/46997300/B
O1/ISA TRANSFER OUT IPA</t>
  </si>
  <si>
    <t>795DA2C0</t>
  </si>
  <si>
    <t>9a76b712-a5e2-4f54-88ea-d99ffeb7a241</t>
  </si>
  <si>
    <t>/PT/FT/PY/795DA2C0                                           
                   795DA2C0                           795DA2C0/BI
/14747801/OB/400530 City of London (400530)/OB3/HSBC BANK PLC/BO/
33694879/BO1/Moneybox/BO2/Hatfields 1-2 Cargo Works SE1 9PG L/BO3
/ondon London GB</t>
  </si>
  <si>
    <t>cbc32607-9189-46e8-8d5c-29b80f94fdc6</t>
  </si>
  <si>
    <t>/PT/FT/PY/b02260d1c9da4df1b7                 90764c40/BI/1474
7801/OB/040657 Chip Financial Ltd/OB3/CLEARBANK/BO/138/BO1/CHIP F
INANCIAL ISA TRANSFER/BO2/United Kingdom London Bell Yard 7 W/BO3
/C2A 2JR</t>
  </si>
  <si>
    <t>35E6B65F</t>
  </si>
  <si>
    <t>eff0e310-cc49-4b5d-85e2-2c0b63ef049f</t>
  </si>
  <si>
    <t>/PT/FT/PY/35E6B65F                                           
                   35E6B65F                           35E6B65F/BI
/14747801/OB/400530 City of London (400530)/OB3/HSBC BANK PLC/BO/
33694879/BO1/Moneybox/BO2/Hatfields 1-2 Cargo Works SE1 9PG L/BO3
/ondon London GB</t>
  </si>
  <si>
    <t>878aef60-18a0-4978-919e-cfd9a41c5787</t>
  </si>
  <si>
    <t>/PT/FT/PY/f636690e27924cbf8b                 775a62c6/BI/1474
7801/OB/040657 Chip Financial Ltd/OB3/CLEARBANK/BO/138/BO1/CHIP F
INANCIAL ISA TRANSFER/BO2/United Kingdom London Bell Yard 7 W/BO3
/C2A 2JR</t>
  </si>
  <si>
    <t>26394b78-c5fa-445e-b479-95426c20993d</t>
  </si>
  <si>
    <t>/PT/FT/PY/c3edbf67e69a42a2be                 37b8fcf9/BI/1474
7801/OB/040657 Chip Financial Ltd/OB3/CLEARBANK/BO/138/BO1/CHIP F
INANCIAL ISA TRANSFER/BO2/United Kingdom London Bell Yard 7 W/BO3
/C2A 2JR</t>
  </si>
  <si>
    <t>CIS-260616000017</t>
  </si>
  <si>
    <t>CIS 260616000017</t>
  </si>
  <si>
    <t>370c18bc-ea4c-4f9b-ad43-ad77ad2ddb5f</t>
  </si>
  <si>
    <t>/PT/FT/PY/HALIFAX                            /ROC/9d5e191a///
URI/9d5e191a  Michael Ramsbottom/OA/GBP4508,32/BI/14747801/OB/HAL
IFAX ORDER BANK: HALIFAX/BO/11766399059194/BO1/HALIFAX</t>
  </si>
  <si>
    <t>a455f360-ec89-4721-a3d7-c14265bfd8e8</t>
  </si>
  <si>
    <t>/PT/FT/PY/59a0f5b6                                           
                   13509999                           59a0f5b6/BI
/14747801/OB/609242 EMEA Treasury Services Oper/OB3/JPMORGAN CHAS
E BK/BO/71003704/BO1/Trading 212 UK Limited/BO2/London EC4N 1TX L
N GB 10-15 Queen S/BO3/treet Aldermary House</t>
  </si>
  <si>
    <t>5449202b-6147-428c-b99e-62d90b186072</t>
  </si>
  <si>
    <t>/PT/FT/PY/d60f0de461cc460c99                 48084bd3/BI/1474
7801/OB/040657 Chip Financial Ltd/OB3/CLEARBANK/BO/138/BO1/CHIP F
INANCIAL ISA TRANSFER/BO2/United Kingdom London Bell Yard 7 W/BO3
/C2A 2JR</t>
  </si>
  <si>
    <t>b5a6929f-e876-4796-9ef2-8b2f450c85b3</t>
  </si>
  <si>
    <t>/PT/FT/PY/da65a7d113444d279f                 d4dbfbe2/BI/1474
7801/OB/040657 Chip Financial Ltd/OB3/CLEARBANK/BO/138/BO1/CHIP F
INANCIAL ISA TRANSFER/BO2/United Kingdom London Bell Yard 7 W/BO3
/C2A 2JR</t>
  </si>
  <si>
    <t>8494c125-efbc-43cd-9b4d-779bc27c6e2f</t>
  </si>
  <si>
    <t>/PT/FT/PY/62e28303c1784ae2bb                 4fe95db8/BI/1474
7801/OB/040657 Chip Financial Ltd/OB3/CLEARBANK/BO/138/BO1/CHIP F
INANCIAL ISA TRANSFER/BO2/United Kingdom London Bell Yard 7 W/BO3
/C2A 2JR</t>
  </si>
  <si>
    <t>9ee8d08a-72f9-442d-b93c-de0ebf58ec96</t>
  </si>
  <si>
    <t>/PT/FT/PY/57fbdeb88d3d4eae9d                 b55f8516/BI/1474
7801/OB/040657 Chip Financial Ltd/OB3/CLEARBANK/BO/138/BO1/CHIP F
INANCIAL ISA TRANSFER/BO2/United Kingdom London Bell Yard 7 W/BO3
/C2A 2JR</t>
  </si>
  <si>
    <t>c474570a-215e-4d3b-bbf1-8f5043b2f045</t>
  </si>
  <si>
    <t>/PT/FT/PY/ad4dece165ce4a0fbf                 37b5028d/BI/1474
7801/OB/040657 Chip Financial Ltd/OB3/CLEARBANK/BO/138/BO1/CHIP F
INANCIAL ISA TRANSFER/BO2/United Kingdom London Bell Yard 7 W/BO3
/C2A 2JR</t>
  </si>
  <si>
    <t>9ab9b3ce-3bb4-432c-b87a-1db4e38de491</t>
  </si>
  <si>
    <t>/PT/FT/PY/001529463000000450                 CE522FB2/BI/1474
7801/OB/090127 SANTANDER BANK ACCOUNT/OB3/Santander/BO/46997300/B
O1/ISA TRANSFER OUT IPA</t>
  </si>
  <si>
    <t>GBA16066EKFAYKAO</t>
  </si>
  <si>
    <t>60acfcfd-05ea-44a9-9ef2-637e5e7925d1</t>
  </si>
  <si>
    <t>/PT/FT/PY/TRANSFER OUT TEAM TWO              EE193BEA/OA/GBP2
0802,89/BI/14747801/OB/TRANSFER OUT TEAM TWO NATIONWIDE BUILDING 
SOCIETY/OB3/CALEDONIA HOUSE/OB4/ORDER BANK: NATIONWIDE BUILDING S
OC/BO/1578-123456785/BO1/TRANSFER OUT TEAM TWO/BO2/NATIONWIDE BUI
LDING SOCIETY/BO3/CALEDONIA HOUSE/BO4/CARNEGIE AVENUE, KY11 8PJ</t>
  </si>
  <si>
    <t>5C840BEB</t>
  </si>
  <si>
    <t>ba37b067-f7ce-43d4-a6bb-03e7daf45f80</t>
  </si>
  <si>
    <t>/PT/FT/PY/5C840BEB                                           
                   5C840BEB                           5C840BEB/BI
/14747801/OB/400530 City of London (400530)/OB3/HSBC BANK PLC/BO/
33694879/BO1/Moneybox/BO2/Hatfields 1-2 Cargo Works SE1 9PG L/BO3
/ondon London GB</t>
  </si>
  <si>
    <t>ff80635e-dcd9-425b-a949-efa69848d11b</t>
  </si>
  <si>
    <t>7BF332B4</t>
  </si>
  <si>
    <t>ce5608bc-851c-4c5a-bbb3-df5859c93770</t>
  </si>
  <si>
    <t>/PT/FT/PY/7BF332B4                                           
                   7BF332B4                           7BF332B4/BI
/14747801/OB/400530 City of London (400530)/OB3/HSBC BANK PLC/BO/
33694879/BO1/Moneybox/BO2/Hatfields 1-2 Cargo Works SE1 9PG L/BO3
/ondon London GB</t>
  </si>
  <si>
    <t>f1baab55-be09-464f-b07d-44b36a5eecf8</t>
  </si>
  <si>
    <t>/PT/DE/EI/400250 51421336 0000000000     LBS 2F9ADF97        
   972368/BC/BL400250/BO/51421336/BO1/0000000000     LBS</t>
  </si>
  <si>
    <t>76bbc725-8199-490e-aa27-e6ba70e554c3</t>
  </si>
  <si>
    <t>/PT/FT/PY/3ee7cceb                                           
                   13497249                           3ee7cceb/BI
/14747801/OB/609242 EMEA Treasury Services Oper/OB3/JPMORGAN CHAS
E BK/BO/71003704/BO1/Trading 212 UK Limited/BO2/London EC4N 1TX L
N GB 10-15 Queen S/BO3/treet Aldermary House</t>
  </si>
  <si>
    <t>ae97fb5e-940d-40d1-a610-0be604387419</t>
  </si>
  <si>
    <t>/PT/FT/PY/6b1ffc46e5cd42b9a0                 7b171cec/BI/1474
7801/OB/040657 Chip Financial Ltd/OB3/CLEARBANK/BO/138/BO1/CHIP F
INANCIAL ISA TRANSFER/BO2/United Kingdom London Bell Yard 7 W/BO3
/C2A 2JR</t>
  </si>
  <si>
    <t>40f2b29d-3bac-490f-be2d-5ee48e9cdd41</t>
  </si>
  <si>
    <t>/PT/FT/PY/9ec45a0cca9d4b57b8                 312b2bbb/BI/1474
7801/OB/040657 Chip Financial Ltd/OB3/CLEARBANK/BO/138/BO1/CHIP F
INANCIAL ISA TRANSFER/BO2/United Kingdom London Bell Yard 7 W/BO3
/C2A 2JR</t>
  </si>
  <si>
    <t>68918899-5926-498c-9436-bdd549a1bc1c</t>
  </si>
  <si>
    <t>/PT/FT/PY/fbb03cb3                                           
                   13496710                           fbb03cb3/BI
/14747801/OB/609242 EMEA Treasury Services Oper/OB3/JPMORGAN CHAS
E BK/BO/71003704/BO1/Trading 212 UK Limited/BO2/London EC4N 1TX L
N GB 10-15 Queen S/BO3/treet Aldermary House</t>
  </si>
  <si>
    <t>e34fc4c3-d3f9-4f18-96d1-5c1a2e5b4025</t>
  </si>
  <si>
    <t>/PT/FT/PY/6ae7b214                                           
                   13505386                           6ae7b214/BI
/14747801/OB/609242 EMEA Treasury Services Oper/OB3/JPMORGAN CHAS
E BK/BO/71003704/BO1/Trading 212 UK Limited/BO2/London EC4N 1TX L
N GB 10-15 Queen S/BO3/treet Aldermary House</t>
  </si>
  <si>
    <t>FQTB0PJIVMNU3Y0A</t>
  </si>
  <si>
    <t>FQTB0PJIVMNU3Y0A00</t>
  </si>
  <si>
    <t>b6f6b555-ac80-4f27-8345-bc0e651eda5f</t>
  </si>
  <si>
    <t>/PT/FT/PY/FQTB0PJIVMNU3Y0A00                 e7db4da3/BI/1474
7801/OB/086064 SAVINGS GOSFORTH (C/A)/OB3/VIRGIN MONEY (28)/BO/72
341102/BO1/MR B SMART/BO2/16 NEWLANDS DRIVE,DONCASTER,DN5 8HU/BO3
/,GB</t>
  </si>
  <si>
    <t>GBA16066H8FAUTC0</t>
  </si>
  <si>
    <t>a1a0d9d8-4b28-49fc-8dfb-52f6c4be2bc4</t>
  </si>
  <si>
    <t>/PT/FT/PY/TRANSFER OUT TEAM TWO              9D20282D/OA/GBP5
177,39/BI/14747801/OB/TRANSFER OUT TEAM TWO NATIONWIDE BUILDING S
OCIETY/OB3/CALEDONIA HOUSE/OB4/ORDER BANK: NATIONWIDE BUILDING SO
C/BO/1578-123456785/BO1/TRANSFER OUT TEAM TWO/BO2/NATIONWIDE BUIL
DING SOCIETY/BO3/CALEDONIA HOUSE/BO4/CARNEGIE AVENUE, KY11 8PJ</t>
  </si>
  <si>
    <t>e26776ae-34db-4ce5-b146-30612ca111cb</t>
  </si>
  <si>
    <t>/PT/FT/PY/f10e34de                                           
                   13499727                           f10e34de/BI
/14747801/OB/609242 EMEA Treasury Services Oper/OB3/JPMORGAN CHAS
E BK/BO/71003704/BO1/Trading 212 UK Limited/BO2/London EC4N 1TX L
N GB 10-15 Queen S/BO3/treet Aldermary House</t>
  </si>
  <si>
    <t>EEA1C26D</t>
  </si>
  <si>
    <t>366df89f-ed2b-470a-8f50-34e6fb189aaf</t>
  </si>
  <si>
    <t>/PT/FT/PY/EEA1C26D                                           
                   EEA1C26D                           EEA1C26D/BI
/14747801/OB/400530 City of London (400530)/OB3/HSBC BANK PLC/BO/
33694879/BO1/Moneybox/BO2/Hatfields 1-2 Cargo Works SE1 9PG L/BO3
/ondon London GB</t>
  </si>
  <si>
    <t>TOTAL INTERNAL CREDIT:</t>
  </si>
  <si>
    <t>48657129TR728283</t>
  </si>
  <si>
    <t>40f092dc-6652-4bbf-99a5-e407a81303af</t>
  </si>
  <si>
    <t>/PT/FT/PY/48657129TR728283                                   
                                                      48657129TR7
28283/BI/71003704/BN/Plum Fintech Ltd 2-7 Clerkenwell Grn/AB/6092
42 EMEA Treasury Services Oper/AB3/JPMORGAN CHASE BK/OB/185008 LO
NDON,  CANARY WHARF E14/OB3/CITIBANK NA/BO/Plum Fintech Ltd 2-7 C
lerkenwell Grn</t>
  </si>
  <si>
    <t>44233798TR728376</t>
  </si>
  <si>
    <t>6f1d65c8-3ea6-49af-9910-d3113f3ce6de</t>
  </si>
  <si>
    <t>/PT/FT/PY/44233798TR728376                                   
                                                      44233798TR7
28376/BI/71003704/BN/Plum Fintech Ltd 2-7 Clerkenwell Grn/AB/6092
42 EMEA Treasury Services Oper/AB3/JPMORGAN CHASE BK/OB/185008 LO
NDON,  CANARY WHARF E14/OB3/CITIBANK NA/BO/Plum Fintech Ltd 2-7 C
lerkenwell Grn</t>
  </si>
  <si>
    <t>34098403TR728780</t>
  </si>
  <si>
    <t>16a99712-b97d-4532-8c75-727a8195f0b7</t>
  </si>
  <si>
    <t>/PT/FT/PY/34098403TR728780                                   
                                                      34098403TR7
28780/BI/71003704/BN/Plum Fintech Ltd 2-7 Clerkenwell Grn/AB/6092
42 EMEA Treasury Services Oper/AB3/JPMORGAN CHASE BK/OB/185008 LO
NDON,  CANARY WHARF E14/OB3/CITIBANK NA/BO/Plum Fintech Ltd 2-7 C
lerkenwell Grn</t>
  </si>
  <si>
    <t>MBKKEPNY</t>
  </si>
  <si>
    <t>7cc3555a-146f-4727-aa42-f38cc426d90a</t>
  </si>
  <si>
    <t>/PT/FT/PY/MBKKEPNY                                           
                                                      MBKKEPNY/BI
/33694879/BN/Plum Fintech Ltd 2-7 Clerkenwell Grn/AB/400530 City 
of London (400530)/AB3/HSBC BANK PLC/OB/185008 LONDON,  CANARY WH
ARF E14/OB3/CITIBANK NA/BO/Plum Fintech Ltd 2-7 Clerkenwell Grn</t>
  </si>
  <si>
    <t>MBJL9XZ4</t>
  </si>
  <si>
    <t>1db72383-c439-43e2-b354-73cb00d2c380</t>
  </si>
  <si>
    <t>/PT/FT/PY/MBJL9XZ4                                           
                                                      MBJL9XZ4/BI
/33694879/BN/Plum Fintech Ltd 2-7 Clerkenwell Grn/AB/400530 City 
of London (400530)/AB3/HSBC BANK PLC/OB/185008 LONDON,  CANARY WH
ARF E14/OB3/CITIBANK NA/BO/Plum Fintech Ltd 2-7 Clerkenwell Grn</t>
  </si>
  <si>
    <t>MBVZDCJK</t>
  </si>
  <si>
    <t>56d3a63b-0a11-43da-9890-34cadaea7f4a</t>
  </si>
  <si>
    <t>/PT/FT/PY/MBVZDCJK                                           
                                                      MBVZDCJK/BI
/33694879/BN/Plum Fintech Ltd 2-7 Clerkenwell Grn/AB/400530 City 
of London (400530)/AB3/HSBC BANK PLC/OB/185008 LONDON,  CANARY WH
ARF E14/OB3/CITIBANK NA/BO/Plum Fintech Ltd 2-7 Clerkenwell Grn</t>
  </si>
  <si>
    <t>dc2eb9ac-8667-4537-b987-4ce2fbc1d4c3</t>
  </si>
  <si>
    <t>/PT/FT/PY/36836555                                           
                                                      36836555/BI
/54324503/BN/Plum Fintech Ltd 2-7 Clerkenwell Grn/AB/086064 SAVIN
GS GOSFORTH (C/A)/AB3/VIRGIN MONEY (28)/OB/185008 LONDON,  CANARY
 WHARF E14/OB3/CITIBANK NA/BO/Plum Fintech Ltd 2-7 Clerkenwell Gr
n</t>
  </si>
  <si>
    <t>PISA440204051716</t>
  </si>
  <si>
    <t>a12b0994-a688-484d-a922-cf7de4f5a658</t>
  </si>
  <si>
    <t>/PT/FT/PY/PISA440204051716                                   
                                                      PISA4402040
51716/BI/63684431/BN/Plum Fintech Ltd 2-7 Clerkenwell Grn/AB/2019
90 BROADGATE/AB3/BARCLAYS BANK PLC/OB/185008 LONDON,  CANARY WHAR
F E14/OB3/CITIBANK NA/BO/Plum Fintech Ltd 2-7 Clerkenwell Grn</t>
  </si>
  <si>
    <t>MB99PRWR</t>
  </si>
  <si>
    <t>e47b2f4a-1790-47b9-8cfc-db5e69038fba</t>
  </si>
  <si>
    <t>/PT/FT/PY/MB99PRWR                                           
                                                      MB99PRWR/BI
/33694879/BN/Plum Fintech Ltd 2-7 Clerkenwell Grn/AB/400530 City 
of London (400530)/AB3/HSBC BANK PLC/OB/185008 LONDON,  CANARY WH
ARF E14/OB3/CITIBANK NA/BO/Plum Fintech Ltd 2-7 Clerkenwell Grn</t>
  </si>
  <si>
    <t>48616500TR727908</t>
  </si>
  <si>
    <t>df97b269-ed66-4f94-a41d-859a0374f60b</t>
  </si>
  <si>
    <t>/PT/FT/PY/48616500TR727908                                   
                                                      48616500TR7
27908/BI/71003704/BN/Plum Fintech Ltd 2-7 Clerkenwell Grn/AB/6092
42 EMEA Treasury Services Oper/AB3/JPMORGAN CHASE BK/OB/185008 LO
NDON,  CANARY WHARF E14/OB3/CITIBANK NA/BO/Plum Fintech Ltd 2-7 C
lerkenwell Grn</t>
  </si>
  <si>
    <t>38925454TR726766</t>
  </si>
  <si>
    <t>53d780f2-53e3-4025-82be-165d6e4dc9c4</t>
  </si>
  <si>
    <t>/PT/FT/PY/38925454TR726766                                   
                                                      38925454TR7
26766/BI/71003704/BN/Plum Fintech Ltd 2-7 Clerkenwell Grn/AB/6092
42 EMEA Treasury Services Oper/AB3/JPMORGAN CHASE BK/OB/185008 LO
NDON,  CANARY WHARF E14/OB3/CITIBANK NA/BO/Plum Fintech Ltd 2-7 C
lerkenwell Grn</t>
  </si>
  <si>
    <t>MBDY2AAE</t>
  </si>
  <si>
    <t>bf6ab588-61fd-4b57-8ab1-50ed3e9bbd4c</t>
  </si>
  <si>
    <t>/PT/FT/PY/MBDY2AAE                                           
                                                      MBDY2AAE/BI
/33694879/BN/Plum Fintech Ltd 2-7 Clerkenwell Grn/AB/400530 City 
of London (400530)/AB3/HSBC BANK PLC/OB/185008 LONDON,  CANARY WH
ARF E14/OB3/CITIBANK NA/BO/Plum Fintech Ltd 2-7 Clerkenwell Grn</t>
  </si>
  <si>
    <t>MBMFZTXX</t>
  </si>
  <si>
    <t>5ec9ec3f-089d-4c90-bb1f-8ec16fe801e3</t>
  </si>
  <si>
    <t>/PT/FT/PY/MBMFZTXX                                           
                                                      MBMFZTXX/BI
/33694879/BN/Plum Fintech Ltd 2-7 Clerkenwell Grn/AB/400530 City 
of London (400530)/AB3/HSBC BANK PLC/OB/185008 LONDON,  CANARY WH
ARF E14/OB3/CITIBANK NA/BO/Plum Fintech Ltd 2-7 Clerkenwell Grn</t>
  </si>
  <si>
    <t>MBCC7W7R</t>
  </si>
  <si>
    <t>074f1d1b-f012-4f26-ab72-d3f839d9b060</t>
  </si>
  <si>
    <t>/PT/FT/PY/MBCC7W7R                                           
                                                      MBCC7W7R/BI
/33694879/BN/Plum Fintech Ltd 2-7 Clerkenwell Grn/AB/400530 City 
of London (400530)/AB3/HSBC BANK PLC/OB/185008 LONDON,  CANARY WH
ARF E14/OB3/CITIBANK NA/BO/Plum Fintech Ltd 2-7 Clerkenwell Grn</t>
  </si>
  <si>
    <t>MB3KFL2P</t>
  </si>
  <si>
    <t>34e12018-1a3d-46a3-8d74-6569c0de36c8</t>
  </si>
  <si>
    <t>/PT/FT/PY/MB3KFL2P                                           
                                                      MB3KFL2P/BI
/33694879/BN/Plum Fintech Ltd 2-7 Clerkenwell Grn/AB/400530 City 
of London (400530)/AB3/HSBC BANK PLC/OB/185008 LONDON,  CANARY WH
ARF E14/OB3/CITIBANK NA/BO/Plum Fintech Ltd 2-7 Clerkenwell Grn</t>
  </si>
  <si>
    <t>MBAP2WKY</t>
  </si>
  <si>
    <t>164feed1-a58f-4b23-865f-f9d4b8713042</t>
  </si>
  <si>
    <t>/PT/FT/PY/MBAP2WKY                                           
                                                      MBAP2WKY/BI
/33694879/BN/Plum Fintech Ltd 2-7 Clerkenwell Grn/AB/400530 City 
of London (400530)/AB3/HSBC BANK PLC/OB/185008 LONDON,  CANARY WH
ARF E14/OB3/CITIBANK NA/BO/Plum Fintech Ltd 2-7 Clerkenwell Grn</t>
  </si>
  <si>
    <t>ST759YS084394C</t>
  </si>
  <si>
    <t>1b98af93-36ce-4a07-ad62-c33ebd8a234d</t>
  </si>
  <si>
    <t>/PT/FT/PY/ST759YS084394C                                     
                                                      ST759YS0843
94C/BI/2945/BN/Plum Fintech Ltd 2-7 Clerkenwell Grn/AB/070116 Fle
xAccount (Original)/AB3/NATIONWIDE BLDG SCTY/OB/185008 LONDON,  C
ANARY WHARF E14/OB3/CITIBANK NA/BO/Plum Fintech Ltd 2-7 Clerkenwe
ll Grn</t>
  </si>
  <si>
    <t>MBCFXKY9</t>
  </si>
  <si>
    <t>75bb5cc9-e6dd-4efa-978e-ee6780740d14</t>
  </si>
  <si>
    <t>/PT/FT/PY/MBCFXKY9                                           
                                                      MBCFXKY9/BI
/33694879/BN/Plum Fintech Ltd 2-7 Clerkenwell Grn/AB/400530 City 
of London (400530)/AB3/HSBC BANK PLC/OB/185008 LONDON,  CANARY WH
ARF E14/OB3/CITIBANK NA/BO/Plum Fintech Ltd 2-7 Clerkenwell Grn</t>
  </si>
  <si>
    <t>JG543606C0</t>
  </si>
  <si>
    <t>2bf3490b-e219-41c7-959b-1a15b9c2cb88</t>
  </si>
  <si>
    <t>/PT/FT/PY/JG543606C0                                         
                                                      JG543606C0/
BI/90314552/BN/Saveable Limited Saveable Limited/AB/203206 MOORGA
TE 2/AB3/BARCLAYS BANK UK PLC/OB/185008 LONDON,  CANARY WHARF E14
/OB3/CITIBANK NA/BO/Plum Fintech Ltd 2-7 Clerkenwell Grn</t>
  </si>
  <si>
    <t>45867875TR727760</t>
  </si>
  <si>
    <t>24bffe72-814a-4681-bdd2-26db3bd86f1d</t>
  </si>
  <si>
    <t>/PT/FT/PY/45867875TR727760                                   
                                                      45867875TR7
27760/BI/71003704/BN/Plum Fintech Ltd 2-7 Clerkenwell Grn/AB/6092
42 EMEA Treasury Services Oper/AB3/JPMORGAN CHASE BK/OB/185008 LO
NDON,  CANARY WHARF E14/OB3/CITIBANK NA/BO/Plum Fintech Ltd 2-7 C
lerkenwell Grn</t>
  </si>
  <si>
    <t>MBDDVDYP</t>
  </si>
  <si>
    <t>69e980d9-5c34-4068-a34c-8d6c2104ac94</t>
  </si>
  <si>
    <t>/PT/FT/PY/MBDDVDYP                                           
                                                      MBDDVDYP/BI
/33694879/BN/Plum Fintech Ltd 2-7 Clerkenwell Grn/AB/400530 City 
of London (400530)/AB3/HSBC BANK PLC/OB/185008 LONDON,  CANARY WH
ARF E14/OB3/CITIBANK NA/BO/Plum Fintech Ltd 2-7 Clerkenwell Grn</t>
  </si>
  <si>
    <t>41662064TR728386</t>
  </si>
  <si>
    <t>4d2178da-81c9-492a-98e5-a707a4a268ac</t>
  </si>
  <si>
    <t>/PT/FT/PY/41662064TR728386                                   
                                                      41662064TR7
28386/BI/71003704/BN/Plum Fintech Ltd 2-7 Clerkenwell Grn/AB/6092
42 EMEA Treasury Services Oper/AB3/JPMORGAN CHASE BK/OB/185008 LO
NDON,  CANARY WHARF E14/OB3/CITIBANK NA/BO/Plum Fintech Ltd 2-7 C
lerkenwell Grn</t>
  </si>
  <si>
    <t>ST759NR214198C</t>
  </si>
  <si>
    <t>605f6164-9c67-43bf-9372-0090b981de23</t>
  </si>
  <si>
    <t>/PT/FT/PY/ST759NR214198C                                     
                                                      ST759NR2141
98C/BI/2945/BN/Plum Fintech Ltd 2-7 Clerkenwell Grn/AB/070116 Fle
xAccount (Original)/AB3/NATIONWIDE BLDG SCTY/OB/185008 LONDON,  C
ANARY WHARF E14/OB3/CITIBANK NA/BO/Plum Fintech Ltd 2-7 Clerkenwe
ll Grn</t>
  </si>
  <si>
    <t>MBXYVVXY</t>
  </si>
  <si>
    <t>fb21c275-f7c7-42e4-a769-da84e5a4616a</t>
  </si>
  <si>
    <t>/PT/FT/PY/MBXYVVXY                                           
                                                      MBXYVVXY/BI
/33694879/BN/Plum Fintech Ltd 2-7 Clerkenwell Grn/AB/400530 City 
of London (400530)/AB3/HSBC BANK PLC/OB/185008 LONDON,  CANARY WH
ARF E14/OB3/CITIBANK NA/BO/Plum Fintech Ltd 2-7 Clerkenwell Grn</t>
  </si>
  <si>
    <t>ISA1780913491620</t>
  </si>
  <si>
    <t>61a9c91d-73ac-45df-b743-ec51963b7bce</t>
  </si>
  <si>
    <t>/PT/FT/PY/ISA1780913491620                                   
                                                      ISA17809134
91620/BI/13436098/BN/Plum Fintech Ltd 2-7 Clerkenwell Grn/AB/2000
00 1 CHURCHILL  PLACE/AB3/BARCLAYS BANK PLC/OB/185008 LONDON,  CA
NARY WHARF E14/OB3/CITIBANK NA/BO/Plum Fintech Ltd 2-7 Clerkenwel
l Grn</t>
  </si>
  <si>
    <t>MBCANNVV</t>
  </si>
  <si>
    <t>346b183e-37bd-4905-b1a8-8ad949a92c59</t>
  </si>
  <si>
    <t>/PT/FT/PY/MBCANNVV                                           
                                                      MBCANNVV/BI
/33694879/BN/Plum Fintech Ltd 2-7 Clerkenwell Grn/AB/400530 City 
of London (400530)/AB3/HSBC BANK PLC/OB/185008 LONDON,  CANARY WH
ARF E14/OB3/CITIBANK NA/BO/Plum Fintech Ltd 2-7 Clerkenwell Grn</t>
  </si>
  <si>
    <t>34580145TR728452</t>
  </si>
  <si>
    <t>338d5a23-dbc3-4157-ae6f-c640401e7318</t>
  </si>
  <si>
    <t>/PT/FT/PY/34580145TR728452                                   
                                                      34580145TR7
28452/BI/71003704/BN/Plum Fintech Ltd 2-7 Clerkenwell Grn/AB/6092
42 EMEA Treasury Services Oper/AB3/JPMORGAN CHASE BK/OB/185008 LO
NDON,  CANARY WHARF E14/OB3/CITIBANK NA/BO/Plum Fintech Ltd 2-7 C
lerkenwell Grn</t>
  </si>
  <si>
    <t>42484333TR728698</t>
  </si>
  <si>
    <t>34f3b740-46d7-4945-aa66-7cb4c79ad385</t>
  </si>
  <si>
    <t>/PT/FT/PY/42484333TR728698                                   
                                                      42484333TR7
28698/BI/71003704/BN/Plum Fintech Ltd 2-7 Clerkenwell Grn/AB/6092
42 EMEA Treasury Services Oper/AB3/JPMORGAN CHASE BK/OB/185008 LO
NDON,  CANARY WHARF E14/OB3/CITIBANK NA/BO/Plum Fintech Ltd 2-7 C
lerkenwell Grn</t>
  </si>
  <si>
    <t>MB7MKMZM</t>
  </si>
  <si>
    <t>299653ca-5ca6-4f9e-b845-7b66925a9ddb</t>
  </si>
  <si>
    <t>/PT/FT/PY/MB7MKMZM                                           
                                                      MB7MKMZM/BI
/33694879/BN/Plum Fintech Ltd 2-7 Clerkenwell Grn/AB/400530 City 
of London (400530)/AB3/HSBC BANK PLC/OB/185008 LONDON,  CANARY WH
ARF E14/OB3/CITIBANK NA/BO/Plum Fintech Ltd 2-7 Clerkenwell Grn</t>
  </si>
  <si>
    <t>MBYYEANM</t>
  </si>
  <si>
    <t>c5f8965f-30b6-435a-8768-17b186a2bea6</t>
  </si>
  <si>
    <t>/PT/FT/PY/MBYYEANM                                           
                                                      MBYYEANM/BI
/33694879/BN/Plum Fintech Ltd 2-7 Clerkenwell Grn/AB/400530 City 
of London (400530)/AB3/HSBC BANK PLC/OB/185008 LONDON,  CANARY WH
ARF E14/OB3/CITIBANK NA/BO/Plum Fintech Ltd 2-7 Clerkenwell Grn</t>
  </si>
  <si>
    <t>MBUJ72A4</t>
  </si>
  <si>
    <t>889ab889-6949-487d-853a-8fe02d98fd4c</t>
  </si>
  <si>
    <t>/PT/FT/PY/MBUJ72A4                                           
                                                      MBUJ72A4/BI
/33694879/BN/Plum Fintech Ltd 2-7 Clerkenwell Grn/AB/400530 City 
of London (400530)/AB3/HSBC BANK PLC/OB/185008 LONDON,  CANARY WH
ARF E14/OB3/CITIBANK NA/BO/Plum Fintech Ltd 2-7 Clerkenwell Grn</t>
  </si>
  <si>
    <t>MBCTWCVP</t>
  </si>
  <si>
    <t>72117819-fb45-42f1-8164-dcc1a4f20a0d</t>
  </si>
  <si>
    <t>/PT/FT/PY/MBCTWCVP                                           
                                                      MBCTWCVP/BI
/33694879/BN/Plum Fintech Ltd 2-7 Clerkenwell Grn/AB/400530 City 
of London (400530)/AB3/HSBC BANK PLC/OB/185008 LONDON,  CANARY WH
ARF E14/OB3/CITIBANK NA/BO/Plum Fintech Ltd 2-7 Clerkenwell Grn</t>
  </si>
  <si>
    <t>MBWYDKWR</t>
  </si>
  <si>
    <t>1f7c952a-cb5a-4209-b8a1-dc1a3d81fe2f</t>
  </si>
  <si>
    <t>/PT/FT/PY/MBWYDKWR                                           
                                                      MBWYDKWR/BI
/33694879/BN/Plum Fintech Ltd 2-7 Clerkenwell Grn/AB/400530 City 
of London (400530)/AB3/HSBC BANK PLC/OB/185008 LONDON,  CANARY WH
ARF E14/OB3/CITIBANK NA/BO/Plum Fintech Ltd 2-7 Clerkenwell Grn</t>
  </si>
  <si>
    <t>MBNXVZ9D</t>
  </si>
  <si>
    <t>536033fb-4446-4e1c-9d9a-b8b8323152ea</t>
  </si>
  <si>
    <t>/PT/FT/PY/MBNXVZ9D                                           
                                                      MBNXVZ9D/BI
/33694879/BN/Plum Fintech Ltd 2-7 Clerkenwell Grn/AB/400530 City 
of London (400530)/AB3/HSBC BANK PLC/OB/185008 LONDON,  CANARY WH
ARF E14/OB3/CITIBANK NA/BO/Plum Fintech Ltd 2-7 Clerkenwell Grn</t>
  </si>
  <si>
    <t>f4577b50-c996-4c75-9d7e-c0f7ae00d9c2</t>
  </si>
  <si>
    <t>/PT/FT/PY/4011045090                                         
                                                      4011045090/
BI/14383282/BN/Plum Fintech Ltd 2-7 Clerkenwell Grn/AB/406409 Tes
co Bank-ISA/AB3/BARCLAYS UK TESCO/OB/185008 LONDON,  CANARY WHARF
 E14/OB3/CITIBANK NA/BO/Plum Fintech Ltd 2-7 Clerkenwell Grn</t>
  </si>
  <si>
    <t>PL407877B</t>
  </si>
  <si>
    <t>8a64c60b-d1a6-4e37-a096-87d3680e1443</t>
  </si>
  <si>
    <t>/PT/FT/PY/PL407877B                                          
                                                      PL407877B/B
I/33920462/BN/Plum Fintech Ltd 2-7 Clerkenwell Grn/AB/306799 READ
ING (306799)/AB3/LLOYDS BANK PLC/OB/185008 LONDON,  CANARY WHARF 
E14/OB3/CITIBANK NA/BO/Plum Fintech Ltd 2-7 Clerkenwell Grn</t>
  </si>
  <si>
    <t>MBCCRMT3</t>
  </si>
  <si>
    <t>aefd0f62-0766-4781-957b-1cf89492d448</t>
  </si>
  <si>
    <t>/PT/FT/PY/MBCCRMT3                                           
                                                      MBCCRMT3/BI
/33694879/BN/Plum Fintech Ltd 2-7 Clerkenwell Grn/AB/400530 City 
of London (400530)/AB3/HSBC BANK PLC/OB/185008 LONDON,  CANARY WH
ARF E14/OB3/CITIBANK NA/BO/Plum Fintech Ltd 2-7 Clerkenwell Grn</t>
  </si>
  <si>
    <t>MBVNLTZD</t>
  </si>
  <si>
    <t>0c99978e-d3f5-4a0c-8373-330f47318b17</t>
  </si>
  <si>
    <t>/PT/FT/PY/MBVNLTZD                                           
                                                      MBVNLTZD/BI
/33694879/BN/Plum Fintech Ltd 2-7 Clerkenwell Grn/AB/400530 City 
of London (400530)/AB3/HSBC BANK PLC/OB/185008 LONDON,  CANARY WH
ARF E14/OB3/CITIBANK NA/BO/Plum Fintech Ltd 2-7 Clerkenwell Grn</t>
  </si>
  <si>
    <t>MBFLDADN</t>
  </si>
  <si>
    <t>3ce4d1a9-82e8-47b7-952b-53fc8a1a70ce</t>
  </si>
  <si>
    <t>/PT/FT/PY/MBFLDADN                                           
                                                      MBFLDADN/BI
/33694879/BN/Plum Fintech Ltd 2-7 Clerkenwell Grn/AB/400530 City 
of London (400530)/AB3/HSBC BANK PLC/OB/185008 LONDON,  CANARY WH
ARF E14/OB3/CITIBANK NA/BO/Plum Fintech Ltd 2-7 Clerkenwell Grn</t>
  </si>
  <si>
    <t>48676305TR728555</t>
  </si>
  <si>
    <t>c73a9758-4fa8-4421-889d-72a4e7e74f67</t>
  </si>
  <si>
    <t>/PT/FT/PY/48676305TR728555                                   
                                                      48676305TR7
28555/BI/71003704/BN/Plum Fintech Ltd 2-7 Clerkenwell Grn/AB/6092
42 EMEA Treasury Services Oper/AB3/JPMORGAN CHASE BK/OB/185008 LO
NDON,  CANARY WHARF E14/OB3/CITIBANK NA/BO/Plum Fintech Ltd 2-7 C
lerkenwell Grn</t>
  </si>
  <si>
    <t>MBARFJ4L</t>
  </si>
  <si>
    <t>85b70282-3992-4153-a720-57a5a8d5c547</t>
  </si>
  <si>
    <t>/PT/FT/PY/MBARFJ4L                                           
                                                      MBARFJ4L/BI
/33694879/BN/Plum Fintech Ltd 2-7 Clerkenwell Grn/AB/400530 City 
of London (400530)/AB3/HSBC BANK PLC/OB/185008 LONDON,  CANARY WH
ARF E14/OB3/CITIBANK NA/BO/Plum Fintech Ltd 2-7 Clerkenwell Grn</t>
  </si>
  <si>
    <t>MBLPU4XA</t>
  </si>
  <si>
    <t>2bef9c69-7aa9-4e2f-977b-55ea562a0b8b</t>
  </si>
  <si>
    <t>/PT/FT/PY/MBLPU4XA                                           
                                                      MBLPU4XA/BI
/33694879/BN/Plum Fintech Ltd 2-7 Clerkenwell Grn/AB/400530 City 
of London (400530)/AB3/HSBC BANK PLC/OB/185008 LONDON,  CANARY WH
ARF E14/OB3/CITIBANK NA/BO/Plum Fintech Ltd 2-7 Clerkenwell Grn</t>
  </si>
  <si>
    <t>38062459TR728941</t>
  </si>
  <si>
    <t>941ae561-90e6-4575-9298-beb908251e7e</t>
  </si>
  <si>
    <t>/PT/FT/PY/38062459TR728941                                   
                                                      38062459TR7
28941/BI/71003704/BN/Plum Fintech Ltd 2-7 Clerkenwell Grn/AB/6092
42 EMEA Treasury Services Oper/AB3/JPMORGAN CHASE BK/OB/185008 LO
NDON,  CANARY WHARF E14/OB3/CITIBANK NA/BO/Plum Fintech Ltd 2-7 C
lerkenwell Grn</t>
  </si>
  <si>
    <t>48679346TR728622</t>
  </si>
  <si>
    <t>0716b944-8573-4b24-b240-5501d9270ea9</t>
  </si>
  <si>
    <t>/PT/FT/PY/48679346TR728622                                   
                                                      48679346TR7
28622/BI/71003704/BN/Plum Fintech Ltd 2-7 Clerkenwell Grn/AB/6092
42 EMEA Treasury Services Oper/AB3/JPMORGAN CHASE BK/OB/185008 LO
NDON,  CANARY WHARF E14/OB3/CITIBANK NA/BO/Plum Fintech Ltd 2-7 C
lerkenwell Grn</t>
  </si>
  <si>
    <t>MBNTYTZ3</t>
  </si>
  <si>
    <t>eaf40fb3-2f69-4201-babf-1dcc007345e4</t>
  </si>
  <si>
    <t>/PT/FT/PY/MBNTYTZ3                                           
                                                      MBNTYTZ3/BI
/33694879/BN/Plum Fintech Ltd 2-7 Clerkenwell Grn/AB/400530 City 
of London (400530)/AB3/HSBC BANK PLC/OB/185008 LONDON,  CANARY WH
ARF E14/OB3/CITIBANK NA/BO/Plum Fintech Ltd 2-7 Clerkenwell Grn</t>
  </si>
  <si>
    <t>MBDNKXTZ</t>
  </si>
  <si>
    <t>39accb0c-59b9-4920-b9c1-92e528443c24</t>
  </si>
  <si>
    <t>/PT/FT/PY/MBDNKXTZ                                           
                                                      MBDNKXTZ/BI
/33694879/BN/Plum Fintech Ltd 2-7 Clerkenwell Grn/AB/400530 City 
of London (400530)/AB3/HSBC BANK PLC/OB/185008 LONDON,  CANARY WH
ARF E14/OB3/CITIBANK NA/BO/Plum Fintech Ltd 2-7 Clerkenwell Grn</t>
  </si>
  <si>
    <t>ST759WP282851A</t>
  </si>
  <si>
    <t>65cde535-f8ab-4cba-932f-0cefcdb579da</t>
  </si>
  <si>
    <t>/PT/FT/PY/ST759WP282851A                                     
                                                      ST759WP2828
51A/BI/2945/BN/Plum Fintech Ltd 2-7 Clerkenwell Grn/AB/070116 Fle
xAccount (Original)/AB3/NATIONWIDE BLDG SCTY/OB/185008 LONDON,  C
ANARY WHARF E14/OB3/CITIBANK NA/BO/Plum Fintech Ltd 2-7 Clerkenwe
ll Grn</t>
  </si>
  <si>
    <t>MBW3AV29</t>
  </si>
  <si>
    <t>c48bbb12-86d4-4aed-9e0f-ffdfbadb9ea9</t>
  </si>
  <si>
    <t>/PT/FT/PY/MBW3AV29                                           
                                                      MBW3AV29/BI
/33694879/BN/Plum Fintech Ltd 2-7 Clerkenwell Grn/AB/400530 City 
of London (400530)/AB3/HSBC BANK PLC/OB/185008 LONDON,  CANARY WH
ARF E14/OB3/CITIBANK NA/BO/Plum Fintech Ltd 2-7 Clerkenwell Grn</t>
  </si>
  <si>
    <t>MBVX4JVN</t>
  </si>
  <si>
    <t>a205365a-7f6c-44ac-b487-bf43c3765730</t>
  </si>
  <si>
    <t>/PT/FT/PY/MBVX4JVN                                           
                                                      MBVX4JVN/BI
/33694879/BN/Plum Fintech Ltd 2-7 Clerkenwell Grn/AB/400530 City 
of London (400530)/AB3/HSBC BANK PLC/OB/185008 LONDON,  CANARY WH
ARF E14/OB3/CITIBANK NA/BO/Plum Fintech Ltd 2-7 Clerkenwell Grn</t>
  </si>
  <si>
    <t>MBRE7HV7</t>
  </si>
  <si>
    <t>4da1b4bd-590b-449e-8ddd-065a77d507ba</t>
  </si>
  <si>
    <t>/PT/FT/PY/MBRE7HV7                                           
                                                      MBRE7HV7/BI
/33694879/BN/Plum Fintech Ltd 2-7 Clerkenwell Grn/AB/400530 City 
of London (400530)/AB3/HSBC BANK PLC/OB/185008 LONDON,  CANARY WH
ARF E14/OB3/CITIBANK NA/BO/Plum Fintech Ltd 2-7 Clerkenwell Grn</t>
  </si>
  <si>
    <t>MBH344VK</t>
  </si>
  <si>
    <t>07c8f84f-68de-4f24-84d2-4a829ed758a5</t>
  </si>
  <si>
    <t>/PT/FT/PY/MBH344VK                                           
                                                      MBH344VK/BI
/33694879/BN/Plum Fintech Ltd 2-7 Clerkenwell Grn/AB/400530 City 
of London (400530)/AB3/HSBC BANK PLC/OB/185008 LONDON,  CANARY WH
ARF E14/OB3/CITIBANK NA/BO/Plum Fintech Ltd 2-7 Clerkenwell Grn</t>
  </si>
  <si>
    <t>MBRZY27J</t>
  </si>
  <si>
    <t>7ba7d402-a380-4a07-8714-9d22a19f62c5</t>
  </si>
  <si>
    <t>/PT/FT/PY/MBRZY27J                                           
                                                      MBRZY27J/BI
/33694879/BN/Plum Fintech Ltd 2-7 Clerkenwell Grn/AB/400530 City 
of London (400530)/AB3/HSBC BANK PLC/OB/185008 LONDON,  CANARY WH
ARF E14/OB3/CITIBANK NA/BO/Plum Fintech Ltd 2-7 Clerkenwell Grn</t>
  </si>
  <si>
    <t>MBNHYDHL</t>
  </si>
  <si>
    <t>2e65a07c-2d3f-4efd-bb5f-ebd0c1b1da09</t>
  </si>
  <si>
    <t>/PT/FT/PY/MBNHYDHL                                           
                                                      MBNHYDHL/BI
/33694879/BN/Plum Fintech Ltd 2-7 Clerkenwell Grn/AB/400530 City 
of London (400530)/AB3/HSBC BANK PLC/OB/185008 LONDON,  CANARY WH
ARF E14/OB3/CITIBANK NA/BO/Plum Fintech Ltd 2-7 Clerkenwell Grn</t>
  </si>
  <si>
    <t>MBZDKAMJ</t>
  </si>
  <si>
    <t>4a475c27-4043-42b0-b66b-c6c0205832f6</t>
  </si>
  <si>
    <t>/PT/FT/PY/MBZDKAMJ                                           
                                                      MBZDKAMJ/BI
/33694879/BN/Plum Fintech Ltd 2-7 Clerkenwell Grn/AB/400530 City 
of London (400530)/AB3/HSBC BANK PLC/OB/185008 LONDON,  CANARY WH
ARF E14/OB3/CITIBANK NA/BO/Plum Fintech Ltd 2-7 Clerkenwell Grn</t>
  </si>
  <si>
    <t>MBZXHUVX</t>
  </si>
  <si>
    <t>bea3888c-a3ce-4cdb-8b73-41b95f6bd435</t>
  </si>
  <si>
    <t>/PT/FT/PY/MBZXHUVX                                           
                                                      MBZXHUVX/BI
/33694879/BN/Plum Fintech Ltd 2-7 Clerkenwell Grn/AB/400530 City 
of London (400530)/AB3/HSBC BANK PLC/OB/185008 LONDON,  CANARY WH
ARF E14/OB3/CITIBANK NA/BO/Plum Fintech Ltd 2-7 Clerkenwell Grn</t>
  </si>
  <si>
    <t>MBDRYJVV</t>
  </si>
  <si>
    <t>785134fc-3346-4c77-9186-7ad16297ba76</t>
  </si>
  <si>
    <t>/PT/FT/PY/MBDRYJVV                                           
                                                      MBDRYJVV/BI
/33694879/BN/Plum Fintech Ltd 2-7 Clerkenwell Grn/AB/400530 City 
of London (400530)/AB3/HSBC BANK PLC/OB/185008 LONDON,  CANARY WH
ARF E14/OB3/CITIBANK NA/BO/Plum Fintech Ltd 2-7 Clerkenwell Grn</t>
  </si>
  <si>
    <t>47986515TR727950</t>
  </si>
  <si>
    <t>d1b284f1-46b3-469c-b061-3da8f44f541a</t>
  </si>
  <si>
    <t>/PT/FT/PY/47986515TR727950                                   
                                                      47986515TR7
27950/BI/71003704/BN/Plum Fintech Ltd 2-7 Clerkenwell Grn/AB/6092
42 EMEA Treasury Services Oper/AB3/JPMORGAN CHASE BK/OB/185008 LO
NDON,  CANARY WHARF E14/OB3/CITIBANK NA/BO/Plum Fintech Ltd 2-7 C
lerkenwell Grn</t>
  </si>
  <si>
    <t>35720593TR728775</t>
  </si>
  <si>
    <t>e7e5f35b-177b-4aa1-b02c-c61c0479376a</t>
  </si>
  <si>
    <t>/PT/FT/PY/35720593TR728775                                   
                                                      35720593TR7
28775/BI/71003704/BN/Plum Fintech Ltd 2-7 Clerkenwell Grn/AB/6092
42 EMEA Treasury Services Oper/AB3/JPMORGAN CHASE BK/OB/185008 LO
NDON,  CANARY WHARF E14/OB3/CITIBANK NA/BO/Plum Fintech Ltd 2-7 C
lerkenwell Grn</t>
  </si>
  <si>
    <t>MB7DA4JD</t>
  </si>
  <si>
    <t>ddaabdfb-c9b3-4d9c-ba38-576aad1a50a6</t>
  </si>
  <si>
    <t>/PT/FT/PY/MB7DA4JD                                           
                                                      MB7DA4JD/BI
/33694879/BN/Plum Fintech Ltd 2-7 Clerkenwell Grn/AB/400530 City 
of London (400530)/AB3/HSBC BANK PLC/OB/185008 LONDON,  CANARY WH
ARF E14/OB3/CITIBANK NA/BO/Plum Fintech Ltd 2-7 Clerkenwell Grn</t>
  </si>
  <si>
    <t>MBKFLJPP</t>
  </si>
  <si>
    <t>fdba6c0b-1ee3-4a1f-88c2-a686a9d6efe7</t>
  </si>
  <si>
    <t>/PT/FT/PY/MBKFLJPP                                           
                                                      MBKFLJPP/BI
/33694879/BN/Plum Fintech Ltd 2-7 Clerkenwell Grn/AB/400530 City 
of London (400530)/AB3/HSBC BANK PLC/OB/185008 LONDON,  CANARY WH
ARF E14/OB3/CITIBANK NA/BO/Plum Fintech Ltd 2-7 Clerkenwell Grn</t>
  </si>
  <si>
    <t>MBMZAJDV</t>
  </si>
  <si>
    <t>a6a413be-8927-4e9d-83e8-bf30305b900d</t>
  </si>
  <si>
    <t>/PT/FT/PY/MBMZAJDV                                           
                                                      MBMZAJDV/BI
/33694879/BN/Plum Fintech Ltd 2-7 Clerkenwell Grn/AB/400530 City 
of London (400530)/AB3/HSBC BANK PLC/OB/185008 LONDON,  CANARY WH
ARF E14/OB3/CITIBANK NA/BO/Plum Fintech Ltd 2-7 Clerkenwell Grn</t>
  </si>
  <si>
    <t>MBVXXLKA</t>
  </si>
  <si>
    <t>dee8e4c3-41ad-45d1-b80d-53a612962f0e</t>
  </si>
  <si>
    <t>/PT/FT/PY/MBVXXLKA                                           
                                                      MBVXXLKA/BI
/33694879/BN/Plum Fintech Ltd 2-7 Clerkenwell Grn/AB/400530 City 
of London (400530)/AB3/HSBC BANK PLC/OB/185008 LONDON,  CANARY WH
ARF E14/OB3/CITIBANK NA/BO/Plum Fintech Ltd 2-7 Clerkenwell Grn</t>
  </si>
  <si>
    <t>MBTL92VK</t>
  </si>
  <si>
    <t>d914b8a0-4fc4-44f9-a260-41c2946cfd28</t>
  </si>
  <si>
    <t>/PT/FT/PY/MBTL92VK                                           
                                                      MBTL92VK/BI
/33694879/BN/Plum Fintech Ltd 2-7 Clerkenwell Grn/AB/400530 City 
of London (400530)/AB3/HSBC BANK PLC/OB/185008 LONDON,  CANARY WH
ARF E14/OB3/CITIBANK NA/BO/Plum Fintech Ltd 2-7 Clerkenwell Grn</t>
  </si>
  <si>
    <t>NB561092B</t>
  </si>
  <si>
    <t>c2adf53f-ed45-4a06-8465-9b93794f2683</t>
  </si>
  <si>
    <t>/PT/FT/PY/NB561092B                                          
                                                      NB561092B/B
I/27816667/BN/Plum Fintech Ltd 2-7 Clerkenwell Grn/AB/802260 THE 
DIRECT BUSINESS BANK/AB3/Bank of Scotland plc/OB/185008 LONDON,  
CANARY WHARF E14/OB3/CITIBANK NA/BO/Plum Fintech Ltd 2-7 Clerkenw
ell Grn</t>
  </si>
  <si>
    <t>MBUKKVZ4</t>
  </si>
  <si>
    <t>2d37b452-233d-433e-90ac-9c64772a7de6</t>
  </si>
  <si>
    <t>/PT/FT/PY/MBUKKVZ4                                           
                                                      MBUKKVZ4/BI
/33694879/BN/Plum Fintech Ltd 2-7 Clerkenwell Grn/AB/400530 City 
of London (400530)/AB3/HSBC BANK PLC/OB/185008 LONDON,  CANARY WH
ARF E14/OB3/CITIBANK NA/BO/Plum Fintech Ltd 2-7 Clerkenwell Grn</t>
  </si>
  <si>
    <t>34748066TR727720</t>
  </si>
  <si>
    <t>4063043f-d86a-4120-b655-5fd473995908</t>
  </si>
  <si>
    <t>/PT/FT/PY/34748066TR727720                                   
                                                      34748066TR7
27720/BI/71003704/BN/Plum Fintech Ltd 2-7 Clerkenwell Grn/AB/6092
42 EMEA Treasury Services Oper/AB3/JPMORGAN CHASE BK/OB/185008 LO
NDON,  CANARY WHARF E14/OB3/CITIBANK NA/BO/Plum Fintech Ltd 2-7 C
lerkenwell Grn</t>
  </si>
  <si>
    <t>CF6a23fdd189c07</t>
  </si>
  <si>
    <t>CF6A23FDD189C07</t>
  </si>
  <si>
    <t>542052b8-5240-4287-8249-2f313f536661</t>
  </si>
  <si>
    <t>/PT/FT/PY/CF6a23fdd189c07                                    
                                                      CF6a23fdd18
9c07/BI/150/BN/Plum Fintech Ltd 2-7 Clerkenwell Grn/AB/040657 Chi
p Financial Ltd/AB3/CLEARBANK/OB/185008 LONDON,  CANARY WHARF E14
/OB3/CITIBANK NA/BO/Plum Fintech Ltd 2-7 Clerkenwell Grn</t>
  </si>
  <si>
    <t>MBMVFCKF</t>
  </si>
  <si>
    <t>c01199b1-4211-4b90-a384-1a93bac1303c</t>
  </si>
  <si>
    <t>/PT/FT/PY/MBMVFCKF                                           
                                                      MBMVFCKF/BI
/33694879/BN/Plum Fintech Ltd 2-7 Clerkenwell Grn/AB/400530 City 
of London (400530)/AB3/HSBC BANK PLC/OB/185008 LONDON,  CANARY WH
ARF E14/OB3/CITIBANK NA/BO/Plum Fintech Ltd 2-7 Clerkenwell Grn</t>
  </si>
  <si>
    <t>48681180TR728656</t>
  </si>
  <si>
    <t>a1af40fe-8b74-45c1-9d2d-dbdc8e269fd8</t>
  </si>
  <si>
    <t>/PT/FT/PY/48681180TR728656                                   
                                                      48681180TR7
28656/BI/71003704/BN/Plum Fintech Ltd 2-7 Clerkenwell Grn/AB/6092
42 EMEA Treasury Services Oper/AB3/JPMORGAN CHASE BK/OB/185008 LO
NDON,  CANARY WHARF E14/OB3/CITIBANK NA/BO/Plum Fintech Ltd 2-7 C
lerkenwell Grn</t>
  </si>
  <si>
    <t>48681420TR728696</t>
  </si>
  <si>
    <t>987b6ab7-272b-4580-b400-b2bd9fabe395</t>
  </si>
  <si>
    <t>/PT/FT/PY/48681420TR728696                                   
                                                      48681420TR7
28696/BI/71003704/BN/Plum Fintech Ltd 2-7 Clerkenwell Grn/AB/6092
42 EMEA Treasury Services Oper/AB3/JPMORGAN CHASE BK/OB/185008 LO
NDON,  CANARY WHARF E14/OB3/CITIBANK NA/BO/Plum Fintech Ltd 2-7 C
lerkenwell Grn</t>
  </si>
  <si>
    <t>VG0970330</t>
  </si>
  <si>
    <t>89078a50-72b5-41de-b26a-1e6d322e1e1e</t>
  </si>
  <si>
    <t>/PT/FT/PY/VG0970330                                          
                                                      VG0970330/B
I/81369695/BN/Plum Fintech Ltd 2-7 Clerkenwell Grn/AB/400250 GPS 
Operations/AB3/HSBC BANK PLC/OB/185008 LONDON,  CANARY WHARF E14/
OB3/CITIBANK NA/BO/Plum Fintech Ltd 2-7 Clerkenwell Grn</t>
  </si>
  <si>
    <t>MB4372HJ</t>
  </si>
  <si>
    <t>c96086b2-9a81-46c9-bc13-4b0e8991feec</t>
  </si>
  <si>
    <t>/PT/FT/PY/MB4372HJ                                           
                                                      MB4372HJ/BI
/33694879/BN/Plum Fintech Ltd 2-7 Clerkenwell Grn/AB/400530 City 
of London (400530)/AB3/HSBC BANK PLC/OB/185008 LONDON,  CANARY WH
ARF E14/OB3/CITIBANK NA/BO/Plum Fintech Ltd 2-7 Clerkenwell Grn</t>
  </si>
  <si>
    <t>MB9YTCEC</t>
  </si>
  <si>
    <t>3e8fbeef-2f64-449e-865d-d817f754fb37</t>
  </si>
  <si>
    <t>/PT/FT/PY/MB9YTCEC                                           
                                                      MB9YTCEC/BI
/33694879/BN/Plum Fintech Ltd 2-7 Clerkenwell Grn/AB/400530 City 
of London (400530)/AB3/HSBC BANK PLC/OB/185008 LONDON,  CANARY WH
ARF E14/OB3/CITIBANK NA/BO/Plum Fintech Ltd 2-7 Clerkenwell Grn</t>
  </si>
  <si>
    <t>42665846TR727409</t>
  </si>
  <si>
    <t>8715d8ef-d862-49d9-9957-c91a543b805f</t>
  </si>
  <si>
    <t>/PT/FT/PY/42665846TR727409                                   
                                                      42665846TR7
27409/BI/71003704/BN/Plum Fintech Ltd 2-7 Clerkenwell Grn/AB/6092
42 EMEA Treasury Services Oper/AB3/JPMORGAN CHASE BK/OB/185008 LO
NDON,  CANARY WHARF E14/OB3/CITIBANK NA/BO/Plum Fintech Ltd 2-7 C
lerkenwell Grn</t>
  </si>
  <si>
    <t>39021184TR727423</t>
  </si>
  <si>
    <t>03f7c5f8-168b-471a-87ec-690770ba80b1</t>
  </si>
  <si>
    <t>/PT/FT/PY/39021184TR727423                                   
                                                      39021184TR7
27423/BI/71003704/BN/Plum Fintech Ltd 2-7 Clerkenwell Grn/AB/6092
42 EMEA Treasury Services Oper/AB3/JPMORGAN CHASE BK/OB/185008 LO
NDON,  CANARY WHARF E14/OB3/CITIBANK NA/BO/Plum Fintech Ltd 2-7 C
lerkenwell Grn</t>
  </si>
  <si>
    <t>MBNFJVHZ</t>
  </si>
  <si>
    <t>f19658ac-94b6-43f0-b2ec-56e692303c60</t>
  </si>
  <si>
    <t>/PT/FT/PY/MBNFJVHZ                                           
                                                      MBNFJVHZ/BI
/33694879/BN/Plum Fintech Ltd 2-7 Clerkenwell Grn/AB/400530 City 
of London (400530)/AB3/HSBC BANK PLC/OB/185008 LONDON,  CANARY WH
ARF E14/OB3/CITIBANK NA/BO/Plum Fintech Ltd 2-7 Clerkenwell Grn</t>
  </si>
  <si>
    <t>PISA446704052118</t>
  </si>
  <si>
    <t>5bd2d388-6274-440c-976a-abdc09613273</t>
  </si>
  <si>
    <t>/PT/FT/PY/PISA446704052118                                   
                                                      PISA4467040
52118/BI/83495248/BN/Plum Fintech Ltd 2-7 Clerkenwell Grn/AB/2019
90 BROADGATE/AB3/BARCLAYS BANK PLC/OB/185008 LONDON,  CANARY WHAR
F E14/OB3/CITIBANK NA/BO/Plum Fintech Ltd 2-7 Clerkenwell Grn</t>
  </si>
  <si>
    <t>MBMJPKMA</t>
  </si>
  <si>
    <t>4364bb91-04e1-4a91-b47e-98c8d593758a</t>
  </si>
  <si>
    <t>/PT/FT/PY/MBMJPKMA                                           
                                                      MBMJPKMA/BI
/33694879/BN/Plum Fintech Ltd 2-7 Clerkenwell Grn/AB/400530 City 
of London (400530)/AB3/HSBC BANK PLC/OB/185008 LONDON,  CANARY WH
ARF E14/OB3/CITIBANK NA/BO/Plum Fintech Ltd 2-7 Clerkenwell Grn</t>
  </si>
  <si>
    <t>MB7KVR3W</t>
  </si>
  <si>
    <t>a29a3cad-9dcf-41d6-9b3c-22af55aaa8ce</t>
  </si>
  <si>
    <t>/PT/FT/PY/MB7KVR3W                                           
                                                      MB7KVR3W/BI
/33694879/BN/Plum Fintech Ltd 2-7 Clerkenwell Grn/AB/400530 City 
of London (400530)/AB3/HSBC BANK PLC/OB/185008 LONDON,  CANARY WH
ARF E14/OB3/CITIBANK NA/BO/Plum Fintech Ltd 2-7 Clerkenwell Grn</t>
  </si>
  <si>
    <t>MB24VVW3</t>
  </si>
  <si>
    <t>b8acc2fb-d28b-4d14-abd1-fc25889bac42</t>
  </si>
  <si>
    <t>/PT/FT/PY/MB24VVW3                                           
                                                      MB24VVW3/BI
/33694879/BN/Plum Fintech Ltd 2-7 Clerkenwell Grn/AB/400530 City 
of London (400530)/AB3/HSBC BANK PLC/OB/185008 LONDON,  CANARY WH
ARF E14/OB3/CITIBANK NA/BO/Plum Fintech Ltd 2-7 Clerkenwell Grn</t>
  </si>
  <si>
    <t>MBCPWYUM</t>
  </si>
  <si>
    <t>9b3e03a9-129e-4cdd-b6ca-75e08c1d5b91</t>
  </si>
  <si>
    <t>/PT/FT/PY/MBCPWYUM                                           
                                                      MBCPWYUM/BI
/33694879/BN/Plum Fintech Ltd 2-7 Clerkenwell Grn/AB/400530 City 
of London (400530)/AB3/HSBC BANK PLC/OB/185008 LONDON,  CANARY WH
ARF E14/OB3/CITIBANK NA/BO/Plum Fintech Ltd 2-7 Clerkenwell Grn</t>
  </si>
  <si>
    <t>MBLEHXAN</t>
  </si>
  <si>
    <t>f048e333-0915-4de0-9b95-7786fdbde423</t>
  </si>
  <si>
    <t>/PT/FT/PY/MBLEHXAN                                           
                                                      MBLEHXAN/BI
/33694879/BN/Plum Fintech Ltd 2-7 Clerkenwell Grn/AB/400530 City 
of London (400530)/AB3/HSBC BANK PLC/OB/185008 LONDON,  CANARY WH
ARF E14/OB3/CITIBANK NA/BO/Plum Fintech Ltd 2-7 Clerkenwell Grn</t>
  </si>
  <si>
    <t>34892274TR727589</t>
  </si>
  <si>
    <t>7df36235-c3dc-42d5-b6b9-11daf6a6204d</t>
  </si>
  <si>
    <t>/PT/FT/PY/34892274TR727589                                   
                                                      34892274TR7
27589/BI/71003704/BN/Plum Fintech Ltd 2-7 Clerkenwell Grn/AB/6092
42 EMEA Treasury Services Oper/AB3/JPMORGAN CHASE BK/OB/185008 LO
NDON,  CANARY WHARF E14/OB3/CITIBANK NA/BO/Plum Fintech Ltd 2-7 C
lerkenwell Grn</t>
  </si>
  <si>
    <t>MB9A99KM</t>
  </si>
  <si>
    <t>fdddc1d4-e48c-4fbf-8234-ca371b082617</t>
  </si>
  <si>
    <t>/PT/FT/PY/MB9A99KM                                           
                                                      MB9A99KM/BI
/33694879/BN/Plum Fintech Ltd 2-7 Clerkenwell Grn/AB/400530 City 
of London (400530)/AB3/HSBC BANK PLC/OB/185008 LONDON,  CANARY WH
ARF E14/OB3/CITIBANK NA/BO/Plum Fintech Ltd 2-7 Clerkenwell Grn</t>
  </si>
  <si>
    <t>MBMMWTJD</t>
  </si>
  <si>
    <t>c46428e3-6cef-4443-b230-b100e638855b</t>
  </si>
  <si>
    <t>/PT/FT/PY/MBMMWTJD                                           
                                                      MBMMWTJD/BI
/33694879/BN/Plum Fintech Ltd 2-7 Clerkenwell Grn/AB/400530 City 
of London (400530)/AB3/HSBC BANK PLC/OB/185008 LONDON,  CANARY WH
ARF E14/OB3/CITIBANK NA/BO/Plum Fintech Ltd 2-7 Clerkenwell Grn</t>
  </si>
  <si>
    <t>48662956TR727792</t>
  </si>
  <si>
    <t>d2f8818d-e0ae-4a27-b745-b2b809860fb1</t>
  </si>
  <si>
    <t>/PT/FT/PY/48662956TR727792                                   
                                                      48662956TR7
27792/BI/71003704/BN/Plum Fintech Ltd 2-7 Clerkenwell Grn/AB/6092
42 EMEA Treasury Services Oper/AB3/JPMORGAN CHASE BK/OB/185008 LO
NDON,  CANARY WHARF E14/OB3/CITIBANK NA/BO/Plum Fintech Ltd 2-7 C
lerkenwell Grn</t>
  </si>
  <si>
    <t>47203894TR729202</t>
  </si>
  <si>
    <t>87955a2b-ad7d-4886-bceb-66e034fd85b5</t>
  </si>
  <si>
    <t>/PT/FT/PY/47203894TR729202                                   
                                                      47203894TR7
29202/BI/71003704/BN/Plum Fintech Ltd 2-7 Clerkenwell Grn/AB/6092
42 EMEA Treasury Services Oper/AB3/JPMORGAN CHASE BK/OB/185008 LO
NDON,  CANARY WHARF E14/OB3/CITIBANK NA/BO/Plum Fintech Ltd 2-7 C
lerkenwell Grn</t>
  </si>
  <si>
    <t>20b173e3-7ccb-47cc-8d4b-6c2323decc4c</t>
  </si>
  <si>
    <t>/PT/FT/PY/1233221                                            
                                                      1233221/BI/
47596440/BN/Plum Fintech Ltd 2-7 Clerkenwell Grn/AB/608372 YBS E 
ISA TRANSFERS ONLY/AB3/YORKSHIRE BUILD SOCY/OB/185008 LONDON,  CA
NARY WHARF E14/OB3/CITIBANK NA/BO/Plum Fintech Ltd 2-7 Clerkenwel
l Grn</t>
  </si>
  <si>
    <t>47779446TR728483</t>
  </si>
  <si>
    <t>73e6f488-c65b-401b-aa60-c306e09acb72</t>
  </si>
  <si>
    <t>/PT/FT/PY/47779446TR728483                                   
                                                      47779446TR7
28483/BI/71003704/BN/Plum Fintech Ltd 2-7 Clerkenwell Grn/AB/6092
42 EMEA Treasury Services Oper/AB3/JPMORGAN CHASE BK/OB/185008 LO
NDON,  CANARY WHARF E14/OB3/CITIBANK NA/BO/Plum Fintech Ltd 2-7 C
lerkenwell Grn</t>
  </si>
  <si>
    <t>46556166TR708751</t>
  </si>
  <si>
    <t>0f6f3cde-0304-49b4-92a9-7004dd0f96f3</t>
  </si>
  <si>
    <t>/PT/FT/PY/46556166TR708751                                   
                                                      46556166TR7
08751/BI/71003704/BN/Plum Fintech Ltd 2-7 Clerkenwell Grn/AB/6092
42 EMEA Treasury Services Oper/AB3/JPMORGAN CHASE BK/OB/185008 LO
NDON,  CANARY WHARF E14/OB3/CITIBANK NA/BO/Plum Fintech Ltd 2-7 C
lerkenwell Grn</t>
  </si>
  <si>
    <t>MB7MCNKL</t>
  </si>
  <si>
    <t>1f771d21-0e50-4755-9d81-54a33a6be93d</t>
  </si>
  <si>
    <t>/PT/FT/PY/MB7MCNKL                                           
                                                      MB7MCNKL/BI
/33694879/BN/Plum Fintech Ltd 2-7 Clerkenwell Grn/AB/400530 City 
of London (400530)/AB3/HSBC BANK PLC/OB/185008 LONDON,  CANARY WH
ARF E14/OB3/CITIBANK NA/BO/Plum Fintech Ltd 2-7 Clerkenwell Grn</t>
  </si>
  <si>
    <t>17f6f095-5721-49ae-9bb0-2199eff6476f</t>
  </si>
  <si>
    <t>/PT/FT/PY/36272418                                           
                                                      36272418/BI
/54324503/BN/Plum Fintech Ltd 2-7 Clerkenwell Grn/AB/086064 SAVIN
GS GOSFORTH (C/A)/AB3/VIRGIN MONEY (28)/OB/185008 LONDON,  CANARY
 WHARF E14/OB3/CITIBANK NA/BO/Plum Fintech Ltd 2-7 Clerkenwell Gr
n</t>
  </si>
  <si>
    <t>IP03372987</t>
  </si>
  <si>
    <t>ed06a62a-e34d-4e78-a38a-1233c1bfefcf</t>
  </si>
  <si>
    <t>/PT/FT/PY/IP03372987                                         
                                                      IP03372987/
BI/41198158/BN/Plum Fintech Ltd 2-7 Clerkenwell Grn/AB/604005 STR
AND, LONDON/AB3/NAT WEST BANK PLC/OB/185008 LONDON,  CANARY WHARF
 E14/OB3/CITIBANK NA/BO/Plum Fintech Ltd 2-7 Clerkenwell Grn</t>
  </si>
  <si>
    <t>MBLCNDLP</t>
  </si>
  <si>
    <t>0aac4b2a-e82a-48a7-8140-b82479b0ace5</t>
  </si>
  <si>
    <t>/PT/FT/PY/MBLCNDLP                                           
                                                      MBLCNDLP/BI
/33694879/BN/Plum Fintech Ltd 2-7 Clerkenwell Grn/AB/400530 City 
of London (400530)/AB3/HSBC BANK PLC/OB/185008 LONDON,  CANARY WH
ARF E14/OB3/CITIBANK NA/BO/Plum Fintech Ltd 2-7 Clerkenwell Grn</t>
  </si>
  <si>
    <t>39438059TR726755</t>
  </si>
  <si>
    <t>a6fb40ef-2081-46ac-b100-dae0be3ec8b7</t>
  </si>
  <si>
    <t>/PT/FT/PY/39438059TR726755                                   
                                                      39438059TR7
26755/BI/71003704/BN/Plum Fintech Ltd 2-7 Clerkenwell Grn/AB/6092
42 EMEA Treasury Services Oper/AB3/JPMORGAN CHASE BK/OB/185008 LO
NDON,  CANARY WHARF E14/OB3/CITIBANK NA/BO/Plum Fintech Ltd 2-7 C
lerkenwell Grn</t>
  </si>
  <si>
    <t>MrsAGatesISATran</t>
  </si>
  <si>
    <t>MRSAGATESISATRANSF</t>
  </si>
  <si>
    <t>debc037e-ef73-4efa-9141-56ba6a9972d2</t>
  </si>
  <si>
    <t>/PT/FT/PY/MrsAGatesISATransf                                 
                                                      MrsAGatesIS
ATransf/BI/29388811/BN/Plum Fintech Ltd 2-7 Clerkenwell Grn/AB/40
6436 2 Providence Place/AB3/WEST BROMWICH B/S/OB/185008 LONDON,  
CANARY WHARF E14/OB3/CITIBANK NA/BO/Plum Fintech Ltd 2-7 Clerkenw
ell Grn</t>
  </si>
  <si>
    <t>MB2L3ANX</t>
  </si>
  <si>
    <t>b4b5ec3c-ce13-4195-a817-75e523be2dc9</t>
  </si>
  <si>
    <t>/PT/FT/PY/MB2L3ANX                                           
                                                      MB2L3ANX/BI
/33694879/BN/Plum Fintech Ltd 2-7 Clerkenwell Grn/AB/400530 City 
of London (400530)/AB3/HSBC BANK PLC/OB/185008 LONDON,  CANARY WH
ARF E14/OB3/CITIBANK NA/BO/Plum Fintech Ltd 2-7 Clerkenwell Grn</t>
  </si>
  <si>
    <t>MB3EXRVE</t>
  </si>
  <si>
    <t>a6a730c5-e3d1-466c-8eb3-422c44a1f29f</t>
  </si>
  <si>
    <t>/PT/FT/PY/MB3EXRVE                                           
                                                      MB3EXRVE/BI
/33694879/BN/Plum Fintech Ltd 2-7 Clerkenwell Grn/AB/400530 City 
of London (400530)/AB3/HSBC BANK PLC/OB/185008 LONDON,  CANARY WH
ARF E14/OB3/CITIBANK NA/BO/Plum Fintech Ltd 2-7 Clerkenwell Grn</t>
  </si>
  <si>
    <t>MBJDEEFF</t>
  </si>
  <si>
    <t>df2c7efe-9d04-45dc-b4f7-e044dd6ea56b</t>
  </si>
  <si>
    <t>/PT/FT/PY/MBJDEEFF                                           
                                                      MBJDEEFF/BI
/33694879/BN/Plum Fintech Ltd 2-7 Clerkenwell Grn/AB/400530 City 
of London (400530)/AB3/HSBC BANK PLC/OB/185008 LONDON,  CANARY WH
ARF E14/OB3/CITIBANK NA/BO/Plum Fintech Ltd 2-7 Clerkenwell Grn</t>
  </si>
  <si>
    <t>NEJO35L5</t>
  </si>
  <si>
    <t>2e9425a1-187d-47d7-802e-4ff9c58e89ed</t>
  </si>
  <si>
    <t>/PT/FT/PY/NEJO35L5                                           
                                                      NEJO35L5/BI
/13726274/BN/Plum Fintech Ltd 2-7 Clerkenwell Grn/AB/200000 1 CHU
RCHILL  PLACE/AB3/BARCLAYS BANK PLC/OB/185008 LONDON,  CANARY WHA
RF E14/OB3/CITIBANK NA/BO/Plum Fintech Ltd 2-7 Clerkenwell Grn</t>
  </si>
  <si>
    <t>MBDAP9FD</t>
  </si>
  <si>
    <t>19208246-b68d-4581-8e23-f0dbf19962d7</t>
  </si>
  <si>
    <t>/PT/FT/PY/MBDAP9FD                                           
                                                      MBDAP9FD/BI
/33694879/BN/Plum Fintech Ltd 2-7 Clerkenwell Grn/AB/400530 City 
of London (400530)/AB3/HSBC BANK PLC/OB/185008 LONDON,  CANARY WH
ARF E14/OB3/CITIBANK NA/BO/Plum Fintech Ltd 2-7 Clerkenwell Grn</t>
  </si>
  <si>
    <t>MBY7YTRX</t>
  </si>
  <si>
    <t>e55303df-a375-4cdb-b95d-be93cb2e50cb</t>
  </si>
  <si>
    <t>/PT/FT/PY/MBY7YTRX                                           
                                                      MBY7YTRX/BI
/33694879/BN/Plum Fintech Ltd 2-7 Clerkenwell Grn/AB/400530 City 
of London (400530)/AB3/HSBC BANK PLC/OB/185008 LONDON,  CANARY WH
ARF E14/OB3/CITIBANK NA/BO/Plum Fintech Ltd 2-7 Clerkenwell Grn</t>
  </si>
  <si>
    <t>MB2JNWF4</t>
  </si>
  <si>
    <t>209da4ef-a67f-4482-9085-1bb0792d5350</t>
  </si>
  <si>
    <t>/PT/FT/PY/MB2JNWF4                                           
                                                      MB2JNWF4/BI
/33694879/BN/Plum Fintech Ltd 2-7 Clerkenwell Grn/AB/400530 City 
of London (400530)/AB3/HSBC BANK PLC/OB/185008 LONDON,  CANARY WH
ARF E14/OB3/CITIBANK NA/BO/Plum Fintech Ltd 2-7 Clerkenwell Grn</t>
  </si>
  <si>
    <t>MBAJFC37</t>
  </si>
  <si>
    <t>02b4f077-968b-4860-b260-da1c9775963f</t>
  </si>
  <si>
    <t>/PT/FT/PY/MBAJFC37                                           
                                                      MBAJFC37/BI
/33694879/BN/Plum Fintech Ltd 2-7 Clerkenwell Grn/AB/400530 City 
of London (400530)/AB3/HSBC BANK PLC/OB/185008 LONDON,  CANARY WH
ARF E14/OB3/CITIBANK NA/BO/Plum Fintech Ltd 2-7 Clerkenwell Grn</t>
  </si>
  <si>
    <t>48362668TR726910</t>
  </si>
  <si>
    <t>77793a96-70f4-4d4d-bac9-221b6487649a</t>
  </si>
  <si>
    <t>/PT/FT/PY/48362668TR726910                                   
                                                      48362668TR7
26910/BI/71003704/BN/Plum Fintech Ltd 2-7 Clerkenwell Grn/AB/6092
42 EMEA Treasury Services Oper/AB3/JPMORGAN CHASE BK/OB/185008 LO
NDON,  CANARY WHARF E14/OB3/CITIBANK NA/BO/Plum Fintech Ltd 2-7 C
lerkenwell Grn</t>
  </si>
  <si>
    <t>35916440TR728629</t>
  </si>
  <si>
    <t>13d848e2-b70a-4b86-b5ea-c897bd810d88</t>
  </si>
  <si>
    <t>/PT/FT/PY/35916440TR728629                                   
                                                      35916440TR7
28629/BI/71003704/BN/Plum Fintech Ltd 2-7 Clerkenwell Grn/AB/6092
42 EMEA Treasury Services Oper/AB3/JPMORGAN CHASE BK/OB/185008 LO
NDON,  CANARY WHARF E14/OB3/CITIBANK NA/BO/Plum Fintech Ltd 2-7 C
lerkenwell Grn</t>
  </si>
  <si>
    <t>MBWCRFYW</t>
  </si>
  <si>
    <t>b8d98f0b-687d-430c-a3cd-2430a1a3f7ba</t>
  </si>
  <si>
    <t>/PT/FT/PY/MBWCRFYW                                           
                                                      MBWCRFYW/BI
/33694879/BN/Plum Fintech Ltd 2-7 Clerkenwell Grn/AB/400530 City 
of London (400530)/AB3/HSBC BANK PLC/OB/185008 LONDON,  CANARY WH
ARF E14/OB3/CITIBANK NA/BO/Plum Fintech Ltd 2-7 Clerkenwell Grn</t>
  </si>
  <si>
    <t>VG1110236</t>
  </si>
  <si>
    <t>b927e3fa-d9e9-4d45-91a3-2584ae699ded</t>
  </si>
  <si>
    <t>/PT/FT/PY/VG1110236                                          
                                                      VG1110236/B
I/81369695/BN/Plum Fintech Ltd 2-7 Clerkenwell Grn/AB/400250 GPS 
Operations/AB3/HSBC BANK PLC/OB/185008 LONDON,  CANARY WHARF E14/
OB3/CITIBANK NA/BO/Plum Fintech Ltd 2-7 Clerkenwell Grn</t>
  </si>
  <si>
    <t>MBVRPRUA</t>
  </si>
  <si>
    <t>8839f75e-2104-491c-88c7-31dc6d9c34a0</t>
  </si>
  <si>
    <t>/PT/FT/PY/MBVRPRUA                                           
                                                      MBVRPRUA/BI
/33694879/BN/Plum Fintech Ltd 2-7 Clerkenwell Grn/AB/400530 City 
of London (400530)/AB3/HSBC BANK PLC/OB/185008 LONDON,  CANARY WH
ARF E14/OB3/CITIBANK NA/BO/Plum Fintech Ltd 2-7 Clerkenwell Grn</t>
  </si>
  <si>
    <t>1253018291Plum</t>
  </si>
  <si>
    <t>1253018291PLUM</t>
  </si>
  <si>
    <t>f0f1387d-4a81-45c7-8392-7b4cf333fbd2</t>
  </si>
  <si>
    <t>/PT/FT/PY/1253018291Plum                                     
                                                      1253018291P
lum/BI/88820157/BN/Plum Fintech Ltd 2-7 Clerkenwell Grn/AB/601018
 ST ALBANS (F)/AB3/NAT WEST BANK PLC/OB/185008 LONDON,  CANARY WH
ARF E14/OB3/CITIBANK NA/BO/Plum Fintech Ltd 2-7 Clerkenwell Grn</t>
  </si>
  <si>
    <t>MBYPVEYP</t>
  </si>
  <si>
    <t>5ecbf17f-15c7-4011-9f2d-ac49994b063a</t>
  </si>
  <si>
    <t>/PT/FT/PY/MBYPVEYP                                           
                                                      MBYPVEYP/BI
/33694879/BN/Plum Fintech Ltd 2-7 Clerkenwell Grn/AB/400530 City 
of London (400530)/AB3/HSBC BANK PLC/OB/185008 LONDON,  CANARY WH
ARF E14/OB3/CITIBANK NA/BO/Plum Fintech Ltd 2-7 Clerkenwell Grn</t>
  </si>
  <si>
    <t>MBZ2M79H</t>
  </si>
  <si>
    <t>79fe591f-4451-4564-9302-ab802dccf7b9</t>
  </si>
  <si>
    <t>/PT/FT/PY/MBZ2M79H                                           
                                                      MBZ2M79H/BI
/33694879/BN/Plum Fintech Ltd 2-7 Clerkenwell Grn/AB/400530 City 
of London (400530)/AB3/HSBC BANK PLC/OB/185008 LONDON,  CANARY WH
ARF E14/OB3/CITIBANK NA/BO/Plum Fintech Ltd 2-7 Clerkenwell Grn</t>
  </si>
  <si>
    <t>MBC7D7DA</t>
  </si>
  <si>
    <t>e56ed3b1-a731-475a-a434-e6ef25ac00fb</t>
  </si>
  <si>
    <t>/PT/FT/PY/MBC7D7DA                                           
                                                      MBC7D7DA/BI
/33694879/BN/Plum Fintech Ltd 2-7 Clerkenwell Grn/AB/400530 City 
of London (400530)/AB3/HSBC BANK PLC/OB/185008 LONDON,  CANARY WH
ARF E14/OB3/CITIBANK NA/BO/Plum Fintech Ltd 2-7 Clerkenwell Grn</t>
  </si>
  <si>
    <t>MBZLCU32</t>
  </si>
  <si>
    <t>dfa658b6-d0ec-449f-b66b-78495105639b</t>
  </si>
  <si>
    <t>/PT/FT/PY/MBZLCU32                                           
                                                      MBZLCU32/BI
/33694879/BN/Plum Fintech Ltd 2-7 Clerkenwell Grn/AB/400530 City 
of London (400530)/AB3/HSBC BANK PLC/OB/185008 LONDON,  CANARY WH
ARF E14/OB3/CITIBANK NA/BO/Plum Fintech Ltd 2-7 Clerkenwell Grn</t>
  </si>
  <si>
    <t>22627385TR727728</t>
  </si>
  <si>
    <t>36bc13e5-7156-4cac-aa6d-3d14af4db0fb</t>
  </si>
  <si>
    <t>/PT/FT/PY/22627385TR727728                                   
                                                      22627385TR7
27728/BI/71003704/BN/Plum Fintech Ltd 2-7 Clerkenwell Grn/AB/6092
42 EMEA Treasury Services Oper/AB3/JPMORGAN CHASE BK/OB/185008 LO
NDON,  CANARY WHARF E14/OB3/CITIBANK NA/BO/Plum Fintech Ltd 2-7 C
lerkenwell Grn</t>
  </si>
  <si>
    <t>MBYDJ9DL</t>
  </si>
  <si>
    <t>48d6be3c-5faf-4ef1-a096-196f6ed084ee</t>
  </si>
  <si>
    <t>/PT/FT/PY/MBYDJ9DL                                           
                                                      MBYDJ9DL/BI
/33694879/BN/Plum Fintech Ltd 2-7 Clerkenwell Grn/AB/400530 City 
of London (400530)/AB3/HSBC BANK PLC/OB/185008 LONDON,  CANARY WH
ARF E14/OB3/CITIBANK NA/BO/Plum Fintech Ltd 2-7 Clerkenwell Grn</t>
  </si>
  <si>
    <t>MBTTZZHL</t>
  </si>
  <si>
    <t>cb1f04b8-c163-47ff-946e-67658880b1cf</t>
  </si>
  <si>
    <t>/PT/FT/PY/MBTTZZHL                                           
                                                      MBTTZZHL/BI
/33694879/BN/Plum Fintech Ltd 2-7 Clerkenwell Grn/AB/400530 City 
of London (400530)/AB3/HSBC BANK PLC/OB/185008 LONDON,  CANARY WH
ARF E14/OB3/CITIBANK NA/BO/Plum Fintech Ltd 2-7 Clerkenwell Grn</t>
  </si>
  <si>
    <t>PISA453109053775</t>
  </si>
  <si>
    <t>73aa548a-2aaa-4c43-a681-cfb6eceb7bc3</t>
  </si>
  <si>
    <t>/PT/FT/PY/PISA453109053775                                   
                                                      PISA4531090
53775/BI/53299686/BN/Plum Fintech Ltd 2-7 Clerkenwell Grn/AB/2011
99 BRADFORD 9/AB3/BARCLAYS BANK PLC/OB/185008 LONDON,  CANARY WHA
RF E14/OB3/CITIBANK NA/BO/Plum Fintech Ltd 2-7 Clerkenwell Grn</t>
  </si>
  <si>
    <t>MBYLYMYM</t>
  </si>
  <si>
    <t>609fcfa2-6fca-465c-a1aa-cdd15a99f277</t>
  </si>
  <si>
    <t>/PT/FT/PY/MBYLYMYM                                           
                                                      MBYLYMYM/BI
/33694879/BN/Plum Fintech Ltd 2-7 Clerkenwell Grn/AB/400530 City 
of London (400530)/AB3/HSBC BANK PLC/OB/185008 LONDON,  CANARY WH
ARF E14/OB3/CITIBANK NA/BO/Plum Fintech Ltd 2-7 Clerkenwell Grn</t>
  </si>
  <si>
    <t>MBH4VWTD</t>
  </si>
  <si>
    <t>a44d8273-2222-458e-a21d-fe0d4b4a6677</t>
  </si>
  <si>
    <t>/PT/FT/PY/MBH4VWTD                                           
                                                      MBH4VWTD/BI
/43694224/BN/Plum Fintech Ltd 2-7 Clerkenwell Grn/AB/400530 City 
of London (400530)/AB3/HSBC BANK PLC/OB/185008 LONDON,  CANARY WH
ARF E14/OB3/CITIBANK NA/BO/Plum Fintech Ltd 2-7 Clerkenwell Grn</t>
  </si>
  <si>
    <t>MBP2D27Z</t>
  </si>
  <si>
    <t>6364af34-7ba2-42ae-aa66-6226f98686ad</t>
  </si>
  <si>
    <t>/PT/FT/PY/MBP2D27Z                                           
                                                      MBP2D27Z/BI
/33694879/BN/Plum Fintech Ltd 2-7 Clerkenwell Grn/AB/400530 City 
of London (400530)/AB3/HSBC BANK PLC/OB/185008 LONDON,  CANARY WH
ARF E14/OB3/CITIBANK NA/BO/Plum Fintech Ltd 2-7 Clerkenwell Grn</t>
  </si>
  <si>
    <t>41930575TR730416</t>
  </si>
  <si>
    <t>3e150aaa-362a-4869-b8ec-5118037a4f24</t>
  </si>
  <si>
    <t>/PT/FT/PY/41930575TR730416                                   
                                                      41930575TR7
30416/BI/71003704/BN/Plum Fintech Ltd 2-7 Clerkenwell Grn/AB/6092
42 EMEA Treasury Services Oper/AB3/JPMORGAN CHASE BK/OB/185008 LO
NDON,  CANARY WHARF E14/OB3/CITIBANK NA/BO/Plum Fintech Ltd 2-7 C
lerkenwell Grn</t>
  </si>
  <si>
    <t>48670244TR728273</t>
  </si>
  <si>
    <t>ec1aed7c-30f4-4a23-9a90-d1c80107cd2e</t>
  </si>
  <si>
    <t>/PT/FT/PY/48670244TR728273                                   
                                                      48670244TR7
28273/BI/71003704/BN/Plum Fintech Ltd 2-7 Clerkenwell Grn/AB/6092
42 EMEA Treasury Services Oper/AB3/JPMORGAN CHASE BK/OB/185008 LO
NDON,  CANARY WHARF E14/OB3/CITIBANK NA/BO/Plum Fintech Ltd 2-7 C
lerkenwell Grn</t>
  </si>
  <si>
    <t>7da2ebe5-0910-4c08-8d6a-9fe42c4dcc99</t>
  </si>
  <si>
    <t>/PT/FT/PY/72661247                                           
                                                      72661247/BI
/54324503/BN/Plum Fintech Ltd 2-7 Clerkenwell Grn/AB/086064 SAVIN
GS GOSFORTH (C/A)/AB3/VIRGIN MONEY (28)/OB/185008 LONDON,  CANARY
 WHARF E14/OB3/CITIBANK NA/BO/Plum Fintech Ltd 2-7 Clerkenwell Gr
n</t>
  </si>
  <si>
    <t>UrsulaHolman</t>
  </si>
  <si>
    <t>URSULAHOLMAN</t>
  </si>
  <si>
    <t>3dc8c376-70d6-49db-81a6-3a2a1d674294</t>
  </si>
  <si>
    <t>/PT/FT/PY/UrsulaHolman                                       
                                                      UrsulaHolma
n/BI/11605915/BN/Plum Fintech Ltd 2-7 Clerkenwell Grn/AB/622497 C
OLLECTION ACCOUNT/AB3/NAT WEST BANK PLC/OB/185008 LONDON,  CANARY
 WHARF E14/OB3/CITIBANK NA/BO/Plum Fintech Ltd 2-7 Clerkenwell Gr
n</t>
  </si>
  <si>
    <t>48648842TR727000</t>
  </si>
  <si>
    <t>b189a2ee-0e3b-4c55-a53e-ed4fba6a7ba7</t>
  </si>
  <si>
    <t>/PT/FT/PY/48648842TR727000                                   
                                                      48648842TR7
27000/BI/71003704/BN/Plum Fintech Ltd 2-7 Clerkenwell Grn/AB/6092
42 EMEA Treasury Services Oper/AB3/JPMORGAN CHASE BK/OB/185008 LO
NDON,  CANARY WHARF E14/OB3/CITIBANK NA/BO/Plum Fintech Ltd 2-7 C
lerkenwell Grn</t>
  </si>
  <si>
    <t>MBNHUXPM</t>
  </si>
  <si>
    <t>aec45fff-f798-4a29-ab27-ac5c8a1b8fe0</t>
  </si>
  <si>
    <t>/PT/FT/PY/MBNHUXPM                                           
                                                      MBNHUXPM/BI
/33694879/BN/Plum Fintech Ltd 2-7 Clerkenwell Grn/AB/400530 City 
of London (400530)/AB3/HSBC BANK PLC/OB/185008 LONDON,  CANARY WH
ARF E14/OB3/CITIBANK NA/BO/Plum Fintech Ltd 2-7 Clerkenwell Grn</t>
  </si>
  <si>
    <t>MBHPEMHR</t>
  </si>
  <si>
    <t>eb3a5e34-9442-40b2-a8ab-4becb1b1a6be</t>
  </si>
  <si>
    <t>/PT/FT/PY/MBHPEMHR                                           
                                                      MBHPEMHR/BI
/33694879/BN/Plum Fintech Ltd 2-7 Clerkenwell Grn/AB/400530 City 
of London (400530)/AB3/HSBC BANK PLC/OB/185008 LONDON,  CANARY WH
ARF E14/OB3/CITIBANK NA/BO/Plum Fintech Ltd 2-7 Clerkenwell Grn</t>
  </si>
  <si>
    <t>48543693TR727142</t>
  </si>
  <si>
    <t>540a5033-3c6c-46ac-bf1e-26b6b812928b</t>
  </si>
  <si>
    <t>/PT/FT/PY/48543693TR727142                                   
                                                      48543693TR7
27142/BI/71003704/BN/Plum Fintech Ltd 2-7 Clerkenwell Grn/AB/6092
42 EMEA Treasury Services Oper/AB3/JPMORGAN CHASE BK/OB/185008 LO
NDON,  CANARY WHARF E14/OB3/CITIBANK NA/BO/Plum Fintech Ltd 2-7 C
lerkenwell Grn</t>
  </si>
  <si>
    <t>34065532TR737744</t>
  </si>
  <si>
    <t>c813fbcf-a4ff-4588-9bc3-e86a098d7920</t>
  </si>
  <si>
    <t>/PT/FT/PY/34065532TR737744                                   
                                                      34065532TR7
37744/BI/71003704/BN/Plum Fintech Ltd 2-7 Clerkenwell Grn/AB/6092
42 EMEA Treasury Services Oper/AB3/JPMORGAN CHASE BK/OB/185008 LO
NDON,  CANARY WHARF E14/OB3/CITIBANK NA/BO/Plum Fintech Ltd 2-7 C
lerkenwell Grn</t>
  </si>
  <si>
    <t>RaymondWK040921D</t>
  </si>
  <si>
    <t>RAYMONDWK040921D</t>
  </si>
  <si>
    <t>71707cbf-ab3e-446b-9b55-9526869b7267</t>
  </si>
  <si>
    <t>/PT/FT/PY/RaymondWK040921D                                   
                                                      RaymondWK04
0921D/BI/1525182/BN/Plum Fintech Ltd 2-7 Clerkenwell Grn/AB/01059
3 BURNLEY (A)/AB3/NAT WEST BANK PLC/OB/185008 LONDON,  CANARY WHA
RF E14/OB3/CITIBANK NA/BO/Plum Fintech Ltd 2-7 Clerkenwell Grn</t>
  </si>
  <si>
    <t>37017070TR727390</t>
  </si>
  <si>
    <t>26c09755-a822-49cc-8908-ee0011920908</t>
  </si>
  <si>
    <t>/PT/FT/PY/37017070TR727390                                   
                                                      37017070TR7
27390/BI/71003704/BN/Plum Fintech Ltd 2-7 Clerkenwell Grn/AB/6092
42 EMEA Treasury Services Oper/AB3/JPMORGAN CHASE BK/OB/185008 LO
NDON,  CANARY WHARF E14/OB3/CITIBANK NA/BO/Plum Fintech Ltd 2-7 C
lerkenwell Grn</t>
  </si>
  <si>
    <t>MBPHEM2Y</t>
  </si>
  <si>
    <t>7c72e3ca-6676-4306-b9ec-bba604312408</t>
  </si>
  <si>
    <t>/PT/FT/PY/MBPHEM2Y                                           
                                                      MBPHEM2Y/BI
/33694879/BN/Plum Fintech Ltd 2-7 Clerkenwell Grn/AB/400530 City 
of London (400530)/AB3/HSBC BANK PLC/OB/185008 LONDON,  CANARY WH
ARF E14/OB3/CITIBANK NA/BO/Plum Fintech Ltd 2-7 Clerkenwell Grn</t>
  </si>
  <si>
    <t>32206318TR728651</t>
  </si>
  <si>
    <t>331e9e59-1be7-4076-a25e-e3227a4de2e4</t>
  </si>
  <si>
    <t>/PT/FT/PY/32206318TR728651                                   
                                                      32206318TR7
28651/BI/71003704/BN/Plum Fintech Ltd 2-7 Clerkenwell Grn/AB/6092
42 EMEA Treasury Services Oper/AB3/JPMORGAN CHASE BK/OB/185008 LO
NDON,  CANARY WHARF E14/OB3/CITIBANK NA/BO/Plum Fintech Ltd 2-7 C
lerkenwell Grn</t>
  </si>
  <si>
    <t>32757466TR727981</t>
  </si>
  <si>
    <t>bd040153-5530-4b6c-aa59-39ac40ab300c</t>
  </si>
  <si>
    <t>/PT/FT/PY/32757466TR727981                                   
                                                      32757466TR7
27981/BI/71003704/BN/Plum Fintech Ltd 2-7 Clerkenwell Grn/AB/6092
42 EMEA Treasury Services Oper/AB3/JPMORGAN CHASE BK/OB/185008 LO
NDON,  CANARY WHARF E14/OB3/CITIBANK NA/BO/Plum Fintech Ltd 2-7 C
lerkenwell Grn</t>
  </si>
  <si>
    <t>CF6a2414422b5c1</t>
  </si>
  <si>
    <t>CF6A2414422B5C1</t>
  </si>
  <si>
    <t>83b3e5b9-11e7-420f-bd27-9b01454fc36b</t>
  </si>
  <si>
    <t>/PT/FT/PY/CF6a2414422b5c1                                    
                                                      CF6a2414422
b5c1/BI/150/BN/Plum Fintech Ltd 2-7 Clerkenwell Grn/AB/040657 Chi
p Financial Ltd/AB3/CLEARBANK/OB/185008 LONDON,  CANARY WHARF E14
/OB3/CITIBANK NA/BO/Plum Fintech Ltd 2-7 Clerkenwell Grn</t>
  </si>
  <si>
    <t>MBMXKFCN</t>
  </si>
  <si>
    <t>105b9836-31e3-4090-afb1-390550a3c045</t>
  </si>
  <si>
    <t>/PT/FT/PY/MBMXKFCN                                           
                                                      MBMXKFCN/BI
/33694879/BN/Plum Fintech Ltd 2-7 Clerkenwell Grn/AB/400530 City 
of London (400530)/AB3/HSBC BANK PLC/OB/185008 LONDON,  CANARY WH
ARF E14/OB3/CITIBANK NA/BO/Plum Fintech Ltd 2-7 Clerkenwell Grn</t>
  </si>
  <si>
    <t>IP01905967</t>
  </si>
  <si>
    <t>82521eae-0374-459b-887b-aae5d98dc6c9</t>
  </si>
  <si>
    <t>/PT/FT/PY/IP01905967                                         
                                                      IP01905967/
BI/41198158/BN/Plum Fintech Ltd 2-7 Clerkenwell Grn/AB/604005 STR
AND, LONDON/AB3/NAT WEST BANK PLC/OB/185008 LONDON,  CANARY WHARF
 E14/OB3/CITIBANK NA/BO/Plum Fintech Ltd 2-7 Clerkenwell Grn</t>
  </si>
  <si>
    <t>MBXUUAEM</t>
  </si>
  <si>
    <t>182a1668-ef97-46ac-a6f4-32d1b1a975d5</t>
  </si>
  <si>
    <t>/PT/FT/PY/MBXUUAEM                                           
                                                      MBXUUAEM/BI
/33694879/BN/Plum Fintech Ltd 2-7 Clerkenwell Grn/AB/400530 City 
of London (400530)/AB3/HSBC BANK PLC/OB/185008 LONDON,  CANARY WH
ARF E14/OB3/CITIBANK NA/BO/Plum Fintech Ltd 2-7 Clerkenwell Grn</t>
  </si>
  <si>
    <t>MBKHRJU9</t>
  </si>
  <si>
    <t>4186b085-5cc6-4173-b40b-eac07cf6f6da</t>
  </si>
  <si>
    <t>/PT/FT/PY/MBKHRJU9                                           
                                                      MBKHRJU9/BI
/33694879/BN/Plum Fintech Ltd 2-7 Clerkenwell Grn/AB/400530 City 
of London (400530)/AB3/HSBC BANK PLC/OB/185008 LONDON,  CANARY WH
ARF E14/OB3/CITIBANK NA/BO/Plum Fintech Ltd 2-7 Clerkenwell Grn</t>
  </si>
  <si>
    <t>MBJWW7MN</t>
  </si>
  <si>
    <t>6433e5a2-1ddc-4ab2-a0da-b5543c73307f</t>
  </si>
  <si>
    <t>/PT/FT/PY/MBJWW7MN                                           
                                                      MBJWW7MN/BI
/33694879/BN/Plum Fintech Ltd 2-7 Clerkenwell Grn/AB/400530 City 
of London (400530)/AB3/HSBC BANK PLC/OB/185008 LONDON,  CANARY WH
ARF E14/OB3/CITIBANK NA/BO/Plum Fintech Ltd 2-7 Clerkenwell Grn</t>
  </si>
  <si>
    <t>MB7AP4YT</t>
  </si>
  <si>
    <t>bc4bc8a2-633a-4f76-81c9-cafbcfbfe6d8</t>
  </si>
  <si>
    <t>/PT/FT/PY/MB7AP4YT                                           
                                                      MB7AP4YT/BI
/33694879/BN/Plum Fintech Ltd 2-7 Clerkenwell Grn/AB/400530 City 
of London (400530)/AB3/HSBC BANK PLC/OB/185008 LONDON,  CANARY WH
ARF E14/OB3/CITIBANK NA/BO/Plum Fintech Ltd 2-7 Clerkenwell Grn</t>
  </si>
  <si>
    <t>PISA453109053824</t>
  </si>
  <si>
    <t>1b6bd597-4db8-43b2-9a2f-694797c2291f</t>
  </si>
  <si>
    <t>/PT/FT/PY/PISA453109053824                                   
                                                      PISA4531090
53824/BI/53299686/BN/Plum Fintech Ltd 2-7 Clerkenwell Grn/AB/2011
99 BRADFORD 9/AB3/BARCLAYS BANK PLC/OB/185008 LONDON,  CANARY WHA
RF E14/OB3/CITIBANK NA/BO/Plum Fintech Ltd 2-7 Clerkenwell Grn</t>
  </si>
  <si>
    <t>BAT0901303460559</t>
  </si>
  <si>
    <t>BAT09013034605594</t>
  </si>
  <si>
    <t>7bcda7c2-aa08-49e4-907c-563783c7829d</t>
  </si>
  <si>
    <t>/PT/FT/PY/BAT09013034605594                                  
                                                      BAT09013034
605594/BI/37924942/BN/Plum Fintech Ltd 2-7 Clerkenwell Grn/AB/090
127 SANTANDER BANK ACCOUNT/AB3/Santander/OB/185008 LONDON,  CANAR
Y WHARF E14/OB3/CITIBANK NA/BO/Plum Fintech Ltd 2-7 Clerkenwell G
rn</t>
  </si>
  <si>
    <t>MB2PCYKM</t>
  </si>
  <si>
    <t>9239a4b4-08b0-46d9-84f5-33f279856b96</t>
  </si>
  <si>
    <t>/PT/FT/PY/MB2PCYKM                                           
                                                      MB2PCYKM/BI
/33694879/BN/Plum Fintech Ltd 2-7 Clerkenwell Grn/AB/400530 City 
of London (400530)/AB3/HSBC BANK PLC/OB/185008 LONDON,  CANARY WH
ARF E14/OB3/CITIBANK NA/BO/Plum Fintech Ltd 2-7 Clerkenwell Grn</t>
  </si>
  <si>
    <t>MB2ZMRXP</t>
  </si>
  <si>
    <t>3f5f96a6-fd9b-45de-b8cf-9fe5e2e00195</t>
  </si>
  <si>
    <t>/PT/FT/PY/MB2ZMRXP                                           
                                                      MB2ZMRXP/BI
/33694879/BN/Plum Fintech Ltd 2-7 Clerkenwell Grn/AB/400530 City 
of London (400530)/AB3/HSBC BANK PLC/OB/185008 LONDON,  CANARY WH
ARF E14/OB3/CITIBANK NA/BO/Plum Fintech Ltd 2-7 Clerkenwell Grn</t>
  </si>
  <si>
    <t>MB9ACH4N</t>
  </si>
  <si>
    <t>fe01891e-0e29-4881-b59c-5ca7f39fd72d</t>
  </si>
  <si>
    <t>/PT/FT/PY/MB9ACH4N                                           
                                                      MB9ACH4N/BI
/33694879/BN/Plum Fintech Ltd 2-7 Clerkenwell Grn/AB/400530 City 
of London (400530)/AB3/HSBC BANK PLC/OB/185008 LONDON,  CANARY WH
ARF E14/OB3/CITIBANK NA/BO/Plum Fintech Ltd 2-7 Clerkenwell Grn</t>
  </si>
  <si>
    <t>48652397TR727356</t>
  </si>
  <si>
    <t>5f01b2e3-e76d-4e2c-a06c-0463eb41eedd</t>
  </si>
  <si>
    <t>/PT/FT/PY/48652397TR727356                                   
                                                      48652397TR7
27356/BI/71003704/BN/Plum Fintech Ltd 2-7 Clerkenwell Grn/AB/6092
42 EMEA Treasury Services Oper/AB3/JPMORGAN CHASE BK/OB/185008 LO
NDON,  CANARY WHARF E14/OB3/CITIBANK NA/BO/Plum Fintech Ltd 2-7 C
lerkenwell Grn</t>
  </si>
  <si>
    <t>ADMXQXI</t>
  </si>
  <si>
    <t>49469795-7a13-4f54-9394-59082fc85d04</t>
  </si>
  <si>
    <t>/PT/FT/PY/ADMXQXI                                            
                                                      ADMXQXI/BI/
6000096/BN/Plum Fintech Ltd 2-7 Clerkenwell Grn/AB/122734 AJ BELL
 BRANCH/AB3/Bank of Scotland plc/OB/185008 LONDON,  CANARY WHARF 
E14/OB3/CITIBANK NA/BO/Plum Fintech Ltd 2-7 Clerkenwell Grn</t>
  </si>
  <si>
    <t>PISA446704053753</t>
  </si>
  <si>
    <t>8d1acb00-d042-429c-aa58-6368119c0bf3</t>
  </si>
  <si>
    <t>/PT/FT/PY/PISA446704053753                                   
                                                      PISA4467040
53753/BI/83495248/BN/Plum Fintech Ltd 2-7 Clerkenwell Grn/AB/2019
90 BROADGATE/AB3/BARCLAYS BANK PLC/OB/185008 LONDON,  CANARY WHAR
F E14/OB3/CITIBANK NA/BO/Plum Fintech Ltd 2-7 Clerkenwell Grn</t>
  </si>
  <si>
    <t>MBY2D4H3</t>
  </si>
  <si>
    <t>9d931271-7690-4c53-af96-20c607dc2808</t>
  </si>
  <si>
    <t>/PT/FT/PY/MBY2D4H3                                           
                                                      MBY2D4H3/BI
/33694879/BN/Plum Fintech Ltd 2-7 Clerkenwell Grn/AB/400530 City 
of London (400530)/AB3/HSBC BANK PLC/OB/185008 LONDON,  CANARY WH
ARF E14/OB3/CITIBANK NA/BO/Plum Fintech Ltd 2-7 Clerkenwell Grn</t>
  </si>
  <si>
    <t>48641281TR726951</t>
  </si>
  <si>
    <t>078e3a5c-6649-4f22-af20-4753f6a2633d</t>
  </si>
  <si>
    <t>/PT/FT/PY/48641281TR726951                                   
                                                      48641281TR7
26951/BI/71003704/BN/Plum Fintech Ltd 2-7 Clerkenwell Grn/AB/6092
42 EMEA Treasury Services Oper/AB3/JPMORGAN CHASE BK/OB/185008 LO
NDON,  CANARY WHARF E14/OB3/CITIBANK NA/BO/Plum Fintech Ltd 2-7 C
lerkenwell Grn</t>
  </si>
  <si>
    <t>MBP27WV7</t>
  </si>
  <si>
    <t>18d970b4-baf9-4c5b-8561-d163dddc5df5</t>
  </si>
  <si>
    <t>/PT/FT/PY/MBP27WV7                                           
                                                      MBP27WV7/BI
/33694879/BN/Plum Fintech Ltd 2-7 Clerkenwell Grn/AB/400530 City 
of London (400530)/AB3/HSBC BANK PLC/OB/185008 LONDON,  CANARY WH
ARF E14/OB3/CITIBANK NA/BO/Plum Fintech Ltd 2-7 Clerkenwell Grn</t>
  </si>
  <si>
    <t>MBUXHAAK</t>
  </si>
  <si>
    <t>63b0ecb9-94d5-47cf-b300-b1688b6e9e6d</t>
  </si>
  <si>
    <t>/PT/FT/PY/MBUXHAAK                                           
                                                      MBUXHAAK/BI
/33694879/BN/Plum Fintech Ltd 2-7 Clerkenwell Grn/AB/400530 City 
of London (400530)/AB3/HSBC BANK PLC/OB/185008 LONDON,  CANARY WH
ARF E14/OB3/CITIBANK NA/BO/Plum Fintech Ltd 2-7 Clerkenwell Grn</t>
  </si>
  <si>
    <t>BRE0901303329181</t>
  </si>
  <si>
    <t>BRE09013033291815</t>
  </si>
  <si>
    <t>a208597c-9017-43e2-8cb7-e71cc4986369</t>
  </si>
  <si>
    <t>/PT/FT/PY/BRE09013033291815                                  
                                                      BRE09013033
291815/BI/37924942/BN/Plum Fintech Ltd 2-7 Clerkenwell Grn/AB/090
127 SANTANDER BANK ACCOUNT/AB3/Santander/OB/185008 LONDON,  CANAR
Y WHARF E14/OB3/CITIBANK NA/BO/Plum Fintech Ltd 2-7 Clerkenwell G
rn</t>
  </si>
  <si>
    <t>PH625292A</t>
  </si>
  <si>
    <t>94688233-ce07-40ba-92f6-7b9492b5be59</t>
  </si>
  <si>
    <t>/PT/FT/PY/PH625292A                                          
                                                      PH625292A/B
I/33871662/BN/Plum Fintech Ltd 2-7 Clerkenwell Grn/AB/306799 READ
ING (306799)/AB3/LLOYDS BANK PLC/OB/185008 LONDON,  CANARY WHARF 
E14/OB3/CITIBANK NA/BO/Plum Fintech Ltd 2-7 Clerkenwell Grn</t>
  </si>
  <si>
    <t>IP03244767</t>
  </si>
  <si>
    <t>e9777cfe-522e-4212-9edd-c58d0d92a175</t>
  </si>
  <si>
    <t>/PT/FT/PY/IP03244767                                         
                                                      IP03244767/
BI/41198158/BN/Plum Fintech Ltd 2-7 Clerkenwell Grn/AB/604005 STR
AND, LONDON/AB3/NAT WEST BANK PLC/OB/185008 LONDON,  CANARY WHARF
 E14/OB3/CITIBANK NA/BO/Plum Fintech Ltd 2-7 Clerkenwell Grn</t>
  </si>
  <si>
    <t>MBR4TVNF</t>
  </si>
  <si>
    <t>c6d4c0c9-da33-4148-a376-fc6e1dcc1fbb</t>
  </si>
  <si>
    <t>/PT/FT/PY/MBR4TVNF                                           
                                                      MBR4TVNF/BI
/33694879/BN/Plum Fintech Ltd 2-7 Clerkenwell Grn/AB/400530 City 
of London (400530)/AB3/HSBC BANK PLC/OB/185008 LONDON,  CANARY WH
ARF E14/OB3/CITIBANK NA/BO/Plum Fintech Ltd 2-7 Clerkenwell Grn</t>
  </si>
  <si>
    <t>1706678100Plum</t>
  </si>
  <si>
    <t>1706678100PLUM</t>
  </si>
  <si>
    <t>e43946e3-88a3-4991-8eae-34efb1bbfd4c</t>
  </si>
  <si>
    <t>/PT/FT/PY/1706678100Plum                                     
                                                      1706678100P
lum/BI/46910263/BN/Plum Fintech Ltd 2-7 Clerkenwell Grn/AB/602031
 BRIXTON (A)/AB3/NAT WEST BANK PLC/OB/185008 LONDON,  CANARY WHAR
F E14/OB3/CITIBANK NA/BO/Plum Fintech Ltd 2-7 Clerkenwell Grn</t>
  </si>
  <si>
    <t>SZ914485B</t>
  </si>
  <si>
    <t>6866f2c6-d9b5-465b-8293-ab790980221a</t>
  </si>
  <si>
    <t>/PT/FT/PY/SZ914485B                                          
                                                      SZ914485B/B
I/27245467/BN/Plum Fintech Ltd 2-7 Clerkenwell Grn/AB/802260 THE 
DIRECT BUSINESS BANK/AB3/Bank of Scotland plc/OB/185008 LONDON,  
CANARY WHARF E14/OB3/CITIBANK NA/BO/Plum Fintech Ltd 2-7 Clerkenw
ell Grn</t>
  </si>
  <si>
    <t>AC2152040002Coop</t>
  </si>
  <si>
    <t>AC2152040002COOPER</t>
  </si>
  <si>
    <t>89d6c78f-e38e-42a8-83c6-d0ec326d6311</t>
  </si>
  <si>
    <t>/PT/FT/PY/AC2152040002Cooper                                 
                                                      AC215204000
2Cooper/BI/44842880/BN/Plum Fintech Ltd 2-7 Clerkenwell Grn/AB/56
0068 SOUTHAMPTON, HIGH ST/AB3/NAT WEST BANK PLC/OB/185008 LONDON,
  CANARY WHARF E14/OB3/CITIBANK NA/BO/Plum Fintech Ltd 2-7 Clerke
nwell Grn</t>
  </si>
  <si>
    <t>APP901091</t>
  </si>
  <si>
    <t>787bbddc-c4fa-4fad-89cc-5f9b8a216940</t>
  </si>
  <si>
    <t>/PT/FT/PY/APP901091                                          
                                                      APP901091/B
I/3696227/BN/Plum Fintech Ltd 2-7 Clerkenwell Grn/AB/400530 City 
of London (400530)/AB3/HSBC BANK PLC/OB/185008 LONDON,  CANARY WH
ARF E14/OB3/CITIBANK NA/BO/Plum Fintech Ltd 2-7 Clerkenwell Grn</t>
  </si>
  <si>
    <t>40162500TR728812</t>
  </si>
  <si>
    <t>bfb5f30e-1b8f-475b-8e5a-9772e6b33849</t>
  </si>
  <si>
    <t>/PT/FT/PY/40162500TR728812                                   
                                                      40162500TR7
28812/BI/71003704/BN/Plum Fintech Ltd 2-7 Clerkenwell Grn/AB/6092
42 EMEA Treasury Services Oper/AB3/JPMORGAN CHASE BK/OB/185008 LO
NDON,  CANARY WHARF E14/OB3/CITIBANK NA/BO/Plum Fintech Ltd 2-7 C
lerkenwell Grn</t>
  </si>
  <si>
    <t>886dd3ee-057e-4204-90df-7931a183f77d</t>
  </si>
  <si>
    <t>/PT/FT/PY/37132685                                           
                                                      37132685/BI
/54324503/BN/Plum Fintech Ltd 2-7 Clerkenwell Grn/AB/086064 SAVIN
GS GOSFORTH (C/A)/AB3/VIRGIN MONEY (28)/OB/185008 LONDON,  CANARY
 WHARF E14/OB3/CITIBANK NA/BO/Plum Fintech Ltd 2-7 Clerkenwell Gr
n</t>
  </si>
  <si>
    <t>48666293TR728060</t>
  </si>
  <si>
    <t>ea306ba5-f7df-4388-8805-360b89342848</t>
  </si>
  <si>
    <t>/PT/FT/PY/48666293TR728060                                   
                                                      48666293TR7
28060/BI/71003704/BN/Plum Fintech Ltd 2-7 Clerkenwell Grn/AB/6092
42 EMEA Treasury Services Oper/AB3/JPMORGAN CHASE BK/OB/185008 LO
NDON,  CANARY WHARF E14/OB3/CITIBANK NA/BO/Plum Fintech Ltd 2-7 C
lerkenwell Grn</t>
  </si>
  <si>
    <t>CF6a23d12164d37</t>
  </si>
  <si>
    <t>CF6A23D12164D37</t>
  </si>
  <si>
    <t>c0be399e-505b-4971-970f-bbf654d73f6f</t>
  </si>
  <si>
    <t>/PT/FT/PY/CF6a23d12164d37                                    
                                                      CF6a23d1216
4d37/BI/150/BN/Plum Fintech Ltd 2-7 Clerkenwell Grn/AB/040657 Chi
p Financial Ltd/AB3/CLEARBANK/OB/185008 LONDON,  CANARY WHARF E14
/OB3/CITIBANK NA/BO/Plum Fintech Ltd 2-7 Clerkenwell Grn</t>
  </si>
  <si>
    <t>MBRLXHZH</t>
  </si>
  <si>
    <t>8eb4fff5-be8e-4a27-8ff6-146e747eaa99</t>
  </si>
  <si>
    <t>/PT/FT/PY/MBRLXHZH                                           
                                                      MBRLXHZH/BI
/33694879/BN/Plum Fintech Ltd 2-7 Clerkenwell Grn/AB/400530 City 
of London (400530)/AB3/HSBC BANK PLC/OB/185008 LONDON,  CANARY WH
ARF E14/OB3/CITIBANK NA/BO/Plum Fintech Ltd 2-7 Clerkenwell Grn</t>
  </si>
  <si>
    <t>36261590TR727696</t>
  </si>
  <si>
    <t>80630921-467a-4f42-9150-3dcddbbf099f</t>
  </si>
  <si>
    <t>/PT/FT/PY/36261590TR727696                                   
                                                      36261590TR7
27696/BI/71003704/BN/Plum Fintech Ltd 2-7 Clerkenwell Grn/AB/6092
42 EMEA Treasury Services Oper/AB3/JPMORGAN CHASE BK/OB/185008 LO
NDON,  CANARY WHARF E14/OB3/CITIBANK NA/BO/Plum Fintech Ltd 2-7 C
lerkenwell Grn</t>
  </si>
  <si>
    <t>PISA453109053771</t>
  </si>
  <si>
    <t>e08392b5-1da3-46a9-95d7-34623b9b2ed7</t>
  </si>
  <si>
    <t>/PT/FT/PY/PISA453109053771                                   
                                                      PISA4531090
53771/BI/53299686/BN/Plum Fintech Ltd 2-7 Clerkenwell Grn/AB/2011
99 BRADFORD 9/AB3/BARCLAYS BANK PLC/OB/185008 LONDON,  CANARY WHA
RF E14/OB3/CITIBANK NA/BO/Plum Fintech Ltd 2-7 Clerkenwell Grn</t>
  </si>
  <si>
    <t>MBXZWHWF</t>
  </si>
  <si>
    <t>f9fcd0bf-10b4-4062-923d-309ff73fd8ed</t>
  </si>
  <si>
    <t>/PT/FT/PY/MBXZWHWF                                           
                                                      MBXZWHWF/BI
/33694879/BN/Plum Fintech Ltd 2-7 Clerkenwell Grn/AB/400530 City 
of London (400530)/AB3/HSBC BANK PLC/OB/185008 LONDON,  CANARY WH
ARF E14/OB3/CITIBANK NA/BO/Plum Fintech Ltd 2-7 Clerkenwell Grn</t>
  </si>
  <si>
    <t>MB7X9TKX</t>
  </si>
  <si>
    <t>2e36bee5-7830-4015-9d15-8bf3b240856a</t>
  </si>
  <si>
    <t>/PT/FT/PY/MB7X9TKX                                           
                                                      MB7X9TKX/BI
/33694879/BN/Plum Fintech Ltd 2-7 Clerkenwell Grn/AB/400530 City 
of London (400530)/AB3/HSBC BANK PLC/OB/185008 LONDON,  CANARY WH
ARF E14/OB3/CITIBANK NA/BO/Plum Fintech Ltd 2-7 Clerkenwell Grn</t>
  </si>
  <si>
    <t>35726852TR728278</t>
  </si>
  <si>
    <t>ef96343f-8588-475d-bd27-d4ba392f1d06</t>
  </si>
  <si>
    <t>/PT/FT/PY/35726852TR728278                                   
                                                      35726852TR7
28278/BI/71003704/BN/Plum Fintech Ltd 2-7 Clerkenwell Grn/AB/6092
42 EMEA Treasury Services Oper/AB3/JPMORGAN CHASE BK/OB/185008 LO
NDON,  CANARY WHARF E14/OB3/CITIBANK NA/BO/Plum Fintech Ltd 2-7 C
lerkenwell Grn</t>
  </si>
  <si>
    <t>MBUDNCJT</t>
  </si>
  <si>
    <t>13e255bf-ac82-4f12-b296-4af6d6ae8ae1</t>
  </si>
  <si>
    <t>/PT/FT/PY/MBUDNCJT                                           
                                                      MBUDNCJT/BI
/33694879/BN/Plum Fintech Ltd 2-7 Clerkenwell Grn/AB/400530 City 
of London (400530)/AB3/HSBC BANK PLC/OB/185008 LONDON,  CANARY WH
ARF E14/OB3/CITIBANK NA/BO/Plum Fintech Ltd 2-7 Clerkenwell Grn</t>
  </si>
  <si>
    <t>48289610TR746601</t>
  </si>
  <si>
    <t>690ae83a-4d23-499e-ab6b-643f7c0aecd8</t>
  </si>
  <si>
    <t>/PT/FT/PY/48289610TR746601                                   
                                                      48289610TR7
46601/BI/71003704/BN/Plum Fintech Ltd 2-7 Clerkenwell Grn/AB/6092
42 EMEA Treasury Services Oper/AB3/JPMORGAN CHASE BK/OB/185008 LO
NDON,  CANARY WHARF E14/OB3/CITIBANK NA/BO/Plum Fintech Ltd 2-7 C
lerkenwell Grn</t>
  </si>
  <si>
    <t>MBR2UVAM</t>
  </si>
  <si>
    <t>3e39b01e-b659-473c-a34f-8b117ab02e49</t>
  </si>
  <si>
    <t>/PT/FT/PY/MBR2UVAM                                           
                                                      MBR2UVAM/BI
/33694879/BN/Plum Fintech Ltd 2-7 Clerkenwell Grn/AB/400530 City 
of London (400530)/AB3/HSBC BANK PLC/OB/185008 LONDON,  CANARY WH
ARF E14/OB3/CITIBANK NA/BO/Plum Fintech Ltd 2-7 Clerkenwell Grn</t>
  </si>
  <si>
    <t>MBUXWTZW</t>
  </si>
  <si>
    <t>6d3c0218-4152-464f-beb0-55275be56ce6</t>
  </si>
  <si>
    <t>/PT/FT/PY/MBUXWTZW                                           
                                                      MBUXWTZW/BI
/33694879/BN/Plum Fintech Ltd 2-7 Clerkenwell Grn/AB/400530 City 
of London (400530)/AB3/HSBC BANK PLC/OB/185008 LONDON,  CANARY WH
ARF E14/OB3/CITIBANK NA/BO/Plum Fintech Ltd 2-7 Clerkenwell Grn</t>
  </si>
  <si>
    <t>MB3LYKJW</t>
  </si>
  <si>
    <t>5025881d-1e6d-4bce-a7f4-1d82c1c94047</t>
  </si>
  <si>
    <t>/PT/FT/PY/MB3LYKJW                                           
                                                      MB3LYKJW/BI
/33694879/BN/Plum Fintech Ltd 2-7 Clerkenwell Grn/AB/400530 City 
of London (400530)/AB3/HSBC BANK PLC/OB/185008 LONDON,  CANARY WH
ARF E14/OB3/CITIBANK NA/BO/Plum Fintech Ltd 2-7 Clerkenwell Grn</t>
  </si>
  <si>
    <t>MB92LPHA</t>
  </si>
  <si>
    <t>8b5cb4d4-bb62-4c53-8c90-dc1ef7b5cfb6</t>
  </si>
  <si>
    <t>/PT/FT/PY/MB92LPHA                                           
                                                      MB92LPHA/BI
/33694879/BN/Plum Fintech Ltd 2-7 Clerkenwell Grn/AB/400530 City 
of London (400530)/AB3/HSBC BANK PLC/OB/185008 LONDON,  CANARY WH
ARF E14/OB3/CITIBANK NA/BO/Plum Fintech Ltd 2-7 Clerkenwell Grn</t>
  </si>
  <si>
    <t>AB8TYWI</t>
  </si>
  <si>
    <t>2777692e-2dc1-451d-a023-6d77c87514b3</t>
  </si>
  <si>
    <t>/PT/FT/PY/AB8TYWI                                            
                                                      AB8TYWI/BI/
6000096/BN/Plum Fintech Ltd 2-7 Clerkenwell Grn/AB/122734 AJ BELL
 BRANCH/AB3/Bank of Scotland plc/OB/185008 LONDON,  CANARY WHARF 
E14/OB3/CITIBANK NA/BO/Plum Fintech Ltd 2-7 Clerkenwell Grn</t>
  </si>
  <si>
    <t>BEN0901303448928</t>
  </si>
  <si>
    <t>BEN09013034489286</t>
  </si>
  <si>
    <t>3c6a0e67-d62d-4bc0-8881-38d1a464d6c2</t>
  </si>
  <si>
    <t>/PT/FT/PY/BEN09013034489286                                  
                                                      BEN09013034
489286/BI/37924942/BN/Plum Fintech Ltd 2-7 Clerkenwell Grn/AB/090
127 SANTANDER BANK ACCOUNT/AB3/Santander/OB/185008 LONDON,  CANAR
Y WHARF E14/OB3/CITIBANK NA/BO/Plum Fintech Ltd 2-7 Clerkenwell G
rn</t>
  </si>
  <si>
    <t>MBVXVR3Z</t>
  </si>
  <si>
    <t>2155d553-bcc4-4c10-afe8-2dbc163f491d</t>
  </si>
  <si>
    <t>/PT/FT/PY/MBVXVR3Z                                           
                                                      MBVXVR3Z/BI
/33694879/BN/Plum Fintech Ltd 2-7 Clerkenwell Grn/AB/400530 City 
of London (400530)/AB3/HSBC BANK PLC/OB/185008 LONDON,  CANARY WH
ARF E14/OB3/CITIBANK NA/BO/Plum Fintech Ltd 2-7 Clerkenwell Grn</t>
  </si>
  <si>
    <t>MBD3Z9MW</t>
  </si>
  <si>
    <t>a2804120-5536-44c8-8c21-779a1eb09469</t>
  </si>
  <si>
    <t>/PT/FT/PY/MBD3Z9MW                                           
                                                      MBD3Z9MW/BI
/33694879/BN/Plum Fintech Ltd 2-7 Clerkenwell Grn/AB/400530 City 
of London (400530)/AB3/HSBC BANK PLC/OB/185008 LONDON,  CANARY WH
ARF E14/OB3/CITIBANK NA/BO/Plum Fintech Ltd 2-7 Clerkenwell Grn</t>
  </si>
  <si>
    <t>NEEDS TO BE INVESTIGATED</t>
  </si>
  <si>
    <t>/PT/FT/PY/d4fff479                                           
                                                      12603148/BI
/560618/BN/Trading 212 UK Limited London EC4N 1TX LN GB 10-15 Que
en S treet Aldermary House/AB/609242 EMEA Treasury Services Oper/
AB3/JPMORGAN CHASE BK/OB/185008 LONDON,  CANARY WHARF E14/OB3/CIT
IBANK NA/BO/Plum Fintech Account number</t>
  </si>
  <si>
    <t>TOTAL INTERNAL AND TRANSFER OUT DEBIT:</t>
  </si>
  <si>
    <t>Internal movements - Please see internal movements folder for previous day for back up and evidence</t>
  </si>
  <si>
    <t>1676000090926078</t>
  </si>
  <si>
    <t>6b3dfe26-f5fd-45c5-9a0c-758b66344215</t>
  </si>
  <si>
    <t>/PT/FT/PY/O/O SAVEABLE CISA CORP ACCT (INTERECISARESIDUAL1506
26/OA/GBP3950,27/BI/14747801/BN/SAVEABLE LTD 2-7,CLERKENWELL GREE
N LONDON,LONDON, CITY OF,EC1R 0DE GB/AB/CITIBANK LONDON/BO/155662
23/BO1/SAVEABLE CISA CORP ACCT (INTEREST)</t>
  </si>
  <si>
    <r>
      <rPr>
        <rFont val="Arial"/>
        <color theme="1"/>
        <sz val="10.0"/>
      </rPr>
      <t xml:space="preserve">Bulk Ledger Credits/Surplus not applied to users
</t>
    </r>
    <r>
      <rPr>
        <rFont val="Arial"/>
        <b/>
        <color theme="1"/>
        <sz val="10.0"/>
      </rPr>
      <t>[Note: excluding Transfer Ins]</t>
    </r>
  </si>
  <si>
    <r>
      <rPr>
        <rFont val="Arial"/>
        <b/>
        <color rgb="FF000000"/>
        <sz val="12.0"/>
      </rPr>
      <t xml:space="preserve">Sub-Total </t>
    </r>
    <r>
      <rPr>
        <rFont val="Arial"/>
        <b val="0"/>
        <color rgb="FF000000"/>
        <sz val="12.0"/>
      </rPr>
      <t>(pre-Interest)</t>
    </r>
  </si>
  <si>
    <t>LISA Internal Cash Reconciliation (Workings)</t>
  </si>
  <si>
    <t>LISA Reconciliations</t>
  </si>
  <si>
    <t>Citi Ledger (LISA)</t>
  </si>
  <si>
    <t>9b782b36-eb40-4b1c-bebd-ed7f099a9002</t>
  </si>
  <si>
    <r>
      <rPr>
        <rFont val="Arial"/>
        <b/>
        <color theme="1"/>
        <sz val="10.0"/>
      </rPr>
      <t xml:space="preserve">Engineering: </t>
    </r>
    <r>
      <rPr>
        <rFont val="Arial"/>
        <color theme="1"/>
        <sz val="10.0"/>
      </rPr>
      <t xml:space="preserve">Amount of £3.75 has been debited from the bank however no user has been debited. Debit reference is 55dc8490-e. Amount of £7.50 as two payments of £3.75  processed on the ledger however have not left the bank.                </t>
    </r>
  </si>
  <si>
    <r>
      <rPr>
        <rFont val="Arial"/>
        <b/>
        <color theme="1"/>
        <sz val="10.0"/>
      </rPr>
      <t>Engineering:</t>
    </r>
    <r>
      <rPr>
        <rFont val="Arial"/>
        <color theme="1"/>
        <sz val="10.0"/>
      </rPr>
      <t xml:space="preserve"> Amounts total of £106.50 part of a LISA WDR charge amount debited from the user twice.  x2 amounts £31.50 and £75.00</t>
    </r>
  </si>
  <si>
    <r>
      <rPr>
        <rFont val="Arial"/>
        <b/>
        <color theme="1"/>
        <sz val="10.0"/>
      </rPr>
      <t>Engineering:</t>
    </r>
    <r>
      <rPr>
        <rFont val="Arial"/>
        <color theme="1"/>
        <sz val="10.0"/>
      </rPr>
      <t xml:space="preserve"> Amounts total of £106.50 part of a LISA WDR charge amount debited from the user twice.  x2 amounts £31.50 and £75.00</t>
    </r>
  </si>
  <si>
    <r>
      <rPr>
        <rFont val="Arial"/>
        <b/>
        <color theme="1"/>
        <sz val="10.0"/>
      </rPr>
      <t xml:space="preserve">Engineering: </t>
    </r>
    <r>
      <rPr>
        <rFont val="Arial"/>
        <color theme="1"/>
        <sz val="10.0"/>
      </rPr>
      <t>Amount of £1.88 is showing as a errored penalty withdrawal movement</t>
    </r>
  </si>
  <si>
    <r>
      <rPr>
        <rFont val="Arial"/>
        <b/>
        <color theme="1"/>
        <sz val="10.0"/>
      </rPr>
      <t xml:space="preserve">Engineering: </t>
    </r>
    <r>
      <rPr>
        <rFont val="Arial"/>
        <color theme="1"/>
        <sz val="10.0"/>
      </rPr>
      <t>Amount of £25.00 has been paid from LISA CM to HMRC account, however transaction 89e256f5 is stuck in pending status.</t>
    </r>
  </si>
  <si>
    <r>
      <rPr>
        <rFont val="Arial"/>
        <b/>
        <color theme="1"/>
      </rPr>
      <t xml:space="preserve">Engineering: </t>
    </r>
    <r>
      <rPr>
        <rFont val="Arial"/>
        <b val="0"/>
        <color theme="1"/>
      </rPr>
      <t xml:space="preserve">Amount of £288.77 has debited citi however no money has come off the user balance. Contacted engineering 30/01 to investigate further  as the HMRC charge is showing as pending submission on admin system. </t>
    </r>
    <r>
      <rPr>
        <rFont val="Arial"/>
        <b/>
        <color theme="1"/>
      </rPr>
      <t xml:space="preserve">334a94fc-e </t>
    </r>
    <r>
      <rPr>
        <rFont val="Arial"/>
        <b val="0"/>
        <color theme="1"/>
      </rPr>
      <t>payout does not exist on the plum ledger.</t>
    </r>
    <r>
      <rPr>
        <rFont val="Arial"/>
        <b/>
        <color theme="1"/>
      </rPr>
      <t xml:space="preserve">
</t>
    </r>
  </si>
  <si>
    <r>
      <rPr>
        <rFont val="Arial"/>
        <b/>
        <color theme="1"/>
      </rPr>
      <t xml:space="preserve">Engineering: </t>
    </r>
    <r>
      <rPr>
        <rFont val="Arial"/>
        <color theme="1"/>
      </rPr>
      <t>Aggregates missing ledger entries, to be investigated by engineering 18/05</t>
    </r>
  </si>
  <si>
    <r>
      <rPr>
        <rFont val="Arial"/>
        <b/>
        <color theme="1"/>
      </rPr>
      <t>Engineering</t>
    </r>
    <r>
      <rPr>
        <rFont val="Arial"/>
        <color theme="1"/>
      </rPr>
      <t>: Amount of £43,737.78 aggregate credit difference 18/05</t>
    </r>
  </si>
  <si>
    <r>
      <rPr>
        <rFont val="Arial"/>
        <b/>
        <color theme="1"/>
      </rPr>
      <t>Engineering</t>
    </r>
    <r>
      <rPr>
        <rFont val="Arial"/>
        <color theme="1"/>
      </rPr>
      <t>: Amount of £22,949.30 aggregate credit difference 19/05</t>
    </r>
  </si>
  <si>
    <r>
      <rPr>
        <rFont val="Arial"/>
        <b/>
        <color theme="1"/>
      </rPr>
      <t>Engineering</t>
    </r>
    <r>
      <rPr>
        <rFont val="Arial"/>
        <color theme="1"/>
      </rPr>
      <t xml:space="preserve">: Amount of £9,880.17 aggregate credit difference 20/05                </t>
    </r>
  </si>
  <si>
    <r>
      <rPr>
        <rFont val="Arial"/>
        <b/>
        <color theme="1"/>
      </rPr>
      <t>Engineering</t>
    </r>
    <r>
      <rPr>
        <rFont val="Arial"/>
        <color theme="1"/>
      </rPr>
      <t xml:space="preserve">: Amount of £80,628.88 aggregate credit difference 21/05                </t>
    </r>
  </si>
  <si>
    <r>
      <rPr>
        <rFont val="Arial"/>
        <b/>
        <color theme="1"/>
      </rPr>
      <t>Engineering</t>
    </r>
    <r>
      <rPr>
        <rFont val="Arial"/>
        <color theme="1"/>
      </rPr>
      <t xml:space="preserve">: Amount of £3,788.79 aggregate debit difference 21/05                </t>
    </r>
  </si>
  <si>
    <r>
      <rPr>
        <rFont val="Arial"/>
        <b/>
        <color theme="1"/>
      </rPr>
      <t>Engineering</t>
    </r>
    <r>
      <rPr>
        <rFont val="Arial"/>
        <color theme="1"/>
      </rPr>
      <t>: Amount of £379.28 unknown reconciliation difference due to aggregate debits</t>
    </r>
  </si>
  <si>
    <t>Amount of £333.00 as part of aggregate credit difference</t>
  </si>
  <si>
    <t>Penalty withdrawal is shown as complete 03/06, however no bank movement has been made.</t>
  </si>
  <si>
    <t>Engineering have been notified, awaiting further action</t>
  </si>
  <si>
    <t>Amount of £40,849.44 was received at the bank however it's been debited from unalloc, applied to user however the balance has not been updated.</t>
  </si>
  <si>
    <t>Ticket raised under EST-44088 to update user balance.</t>
  </si>
  <si>
    <t>Amount of £2,947.19 has debited the bank however it appears in status failed in Admin</t>
  </si>
  <si>
    <t>Backfilled by the CASS team 17/06</t>
  </si>
  <si>
    <t>Amount of £1.57 paid late in the day settlement date 16/06</t>
  </si>
  <si>
    <t>To appear on statement 17/06</t>
  </si>
  <si>
    <t>Amount of £243.63 residual interest paid to users as part of the transfer out process</t>
  </si>
  <si>
    <t>To be moved from LISA corporate interest to CM 17/06</t>
  </si>
  <si>
    <t>LISA External Cash Reconciliation (Workings)</t>
  </si>
  <si>
    <t>Citi + Lloyds + HSBC + QNB +Blackrock</t>
  </si>
  <si>
    <t xml:space="preserve">- 2x payments of £3.75 ledger entries processed but no bank movement. Sent to engineering to correct ticket EST-3449.                                                                                                                                                                                          - Amount of £2,947.19 has debited the bank however it appears in status failed in Admin                                                                                                                                                                       - Amount of £1.57 paid late in the day settlement date 16/06. To appear on statement 17/06                </t>
  </si>
  <si>
    <t xml:space="preserve">- 2x payments of £3.75 ledger entries processed but no bank movement. Sent to engineering to correct ticket EST-3449.                                                                                                                                                                                          - Amount of £5,684.47 has credited the bank however no ledger entry has been created. To be backfilled by CASS team 16/06                                                                                                                                                                         - Amount of £0.58 paid late in the day settlement date 15/06. To appear on statement 16/06		</t>
  </si>
  <si>
    <t>Plum Lloyds EA Ledger Balance</t>
  </si>
  <si>
    <t>Backrock Ledger Balance</t>
  </si>
  <si>
    <t>LISA - Plum Transaction vs Citi Transaction</t>
  </si>
  <si>
    <t>Ledger Entries</t>
  </si>
  <si>
    <t>User Balance Totals</t>
  </si>
  <si>
    <t>P2114ZT4JN</t>
  </si>
  <si>
    <t>9e19120f-d08c-4836-b8ff-24069b0393b1</t>
  </si>
  <si>
    <t>/PT/FT/PY/P2114ZT4JN                         PLUM FINTECH/BI/
15242487/OB/043479 PLUM FINTECH LIMITED/OB3/MODULR/BO/15374637/BO
1/Saveable Limited/BO2/Floor 2 2-7 Clerkenwell Green GB/BO3/Londo
n EC1R 0DE</t>
  </si>
  <si>
    <t>P2114Z3HDE</t>
  </si>
  <si>
    <t>b6248b9b-6199-43fb-aa74-7cab1e50b3b3</t>
  </si>
  <si>
    <t>/PT/FT/PY/P2114Z3HDE                         PLUM FINTECH/BI/
15242487/OB/043479 PLUM FINTECH LIMITED/OB3/MODULR/BO/15374637/BO
1/Saveable Limited/BO2/Floor 2 2-7 Clerkenwell Green GB/BO3/Londo
n EC1R 0DE</t>
  </si>
  <si>
    <t>P2114ZPJH9</t>
  </si>
  <si>
    <t>a1c68a46-04de-4e3b-a3d2-93b8a7ba9fcf</t>
  </si>
  <si>
    <t>/PT/FT/PY/P2114ZPJH9                         PLUM FINTECH/BI/
15242487/OB/043479 PLUM FINTECH LIMITED/OB3/MODULR/BO/15374637/BO
1/Saveable Limited/BO2/Floor 2 2-7 Clerkenwell Green GB/BO3/Londo
n EC1R 0DE</t>
  </si>
  <si>
    <t>P2114ZKG8J</t>
  </si>
  <si>
    <t>24e6b85c-50ed-45fb-93fc-da9ff0d89d54</t>
  </si>
  <si>
    <t>/PT/FT/PY/P2114ZKG8J                         PLUM FINTECH/BI/
15242487/OB/043479 PLUM FINTECH LIMITED/OB3/MODULR/BO/15374637/BO
1/Saveable Limited/BO2/Floor 2 2-7 Clerkenwell Green GB/BO3/Londo
n EC1R 0DE</t>
  </si>
  <si>
    <t>P2114ZB2GJ</t>
  </si>
  <si>
    <t>764a1927-b5d9-4294-b825-134f7299f171</t>
  </si>
  <si>
    <t>/PT/FT/PY/P2114ZB2GJ                         PLUM FINTECH/BI/
15242487/OB/043479 PLUM FINTECH LIMITED/OB3/MODULR/BO/15374637/BO
1/Saveable Limited/BO2/Floor 2 2-7 Clerkenwell Green GB/BO3/Londo
n EC1R 0DE</t>
  </si>
  <si>
    <t>Difference of 14,537.11</t>
  </si>
  <si>
    <t>920ff453-0</t>
  </si>
  <si>
    <t>a688b5dc-0be2-45b5-b5ce-13dbfe1beb3a</t>
  </si>
  <si>
    <t>/PT/FT/PY/920ff453-0                                         
                                                      920ff453-0/
BI/15151433/BN/Plum Fintech Ltd 2-7 Clerkenwell Grn/AB/043479 PLU
M FINTECH LIMITED/AB3/MODULR/OB/185008 LONDON,  CANARY WHARF E14/
OB3/CITIBANK NA/BO/Plum Fintech Ltd 2-7 Clerkenwell Grn</t>
  </si>
  <si>
    <t>4ac08fc7-c</t>
  </si>
  <si>
    <t>606370de-4281-49ec-a838-6f554e192313</t>
  </si>
  <si>
    <t>/PT/FT/PY/4ac08fc7-c                                         
                                                      4ac08fc7-c/
BI/15151433/BN/Plum Fintech Ltd 2-7 Clerkenwell Grn/AB/043479 PLU
M FINTECH LIMITED/AB3/MODULR/OB/185008 LONDON,  CANARY WHARF E14/
OB3/CITIBANK NA/BO/Plum Fintech Ltd 2-7 Clerkenwell Grn</t>
  </si>
  <si>
    <t>Difference of 13,678.77</t>
  </si>
  <si>
    <t>TOTAL WITHDRAWAL &amp; PENALTY WITHDRAWAL:</t>
  </si>
  <si>
    <t>981DC2B3</t>
  </si>
  <si>
    <t>76ad9900-7ba0-4b08-8cfe-5e6ad8d22db1</t>
  </si>
  <si>
    <t>/PT/FT/PY/981DC2B3                                           
                   981DC2B3                           981DC2B3/BI
/15242487/OB/400530 City of London (400530)/OB3/HSBC BANK PLC/BO/
43694224/BO1/Moneybox/BO2/Hatfields 1-2 Cargo Works SE1 9PG L/BO3
/ondon London GB</t>
  </si>
  <si>
    <t>F627D6AD</t>
  </si>
  <si>
    <t>56cac723-dc63-4586-8a89-06226d89d09c</t>
  </si>
  <si>
    <t>/PT/FT/PY/F627D6AD                                           
                   F627D6AD                           F627D6AD/BI
/15242487/OB/400530 City of London (400530)/OB3/HSBC BANK PLC/BO/
43694224/BO1/Moneybox/BO2/Hatfields 1-2 Cargo Works SE1 9PG L/BO3
/ondon London GB</t>
  </si>
  <si>
    <t>65bc9156</t>
  </si>
  <si>
    <t>65BC9156</t>
  </si>
  <si>
    <t>313b35e9-456c-4733-8ddd-060661a416d9</t>
  </si>
  <si>
    <t>/PT/FT/PY/65bc9156                           65bc9156/BI/1524
2487/OB/203370 GLASGOW/OB3/BARCLAYS BANK PLC/BO/13774759/BO1/TEMB
O LISA IA CLIENT</t>
  </si>
  <si>
    <t>9654898A</t>
  </si>
  <si>
    <t>25a3c58c-d370-4f95-9578-9885d94ad888</t>
  </si>
  <si>
    <t>/PT/FT/PY/9654898A                                           
                   9654898A                           9654898A/BI
/15242487/OB/400530 City of London (400530)/OB3/HSBC BANK PLC/BO/
43694224/BO1/Moneybox/BO2/Hatfields 1-2 Cargo Works SE1 9PG L/BO3
/ondon London GB</t>
  </si>
  <si>
    <t>6F5C8410</t>
  </si>
  <si>
    <t>a1d019f1-d49a-464d-9217-5c1263cdf3e8</t>
  </si>
  <si>
    <t>/PT/FT/PY/6F5C8410                                           
                   6F5C8410                           6F5C8410/BI
/15242487/OB/400530 City of London (400530)/OB3/HSBC BANK PLC/BO/
43694224/BO1/Moneybox/BO2/Hatfields 1-2 Cargo Works SE1 9PG L/BO3
/ondon London GB</t>
  </si>
  <si>
    <t>B88FB43D</t>
  </si>
  <si>
    <t>cf7b17a4-55eb-4760-8283-413f3ff4b6a0</t>
  </si>
  <si>
    <t>/PT/FT/PY/B88FB43D                                           
                   B88FB43D                           B88FB43D/BI
/15242487/OB/400530 City of London (400530)/OB3/HSBC BANK PLC/BO/
43694224/BO1/Moneybox/BO2/Hatfields 1-2 Cargo Works SE1 9PG L/BO3
/ondon London GB</t>
  </si>
  <si>
    <t>6c539335</t>
  </si>
  <si>
    <t>6C539335</t>
  </si>
  <si>
    <t>63a6ced8-b22c-4162-b783-8fc9925323b1</t>
  </si>
  <si>
    <t>/PT/FT/PY/6c539335                           6c539335/BI/1524
2487/OB/203370 GLASGOW/OB3/BARCLAYS BANK PLC/BO/13774759/BO1/TEMB
O LISA IA CLIENT</t>
  </si>
  <si>
    <t>960C4420</t>
  </si>
  <si>
    <t>09ed59db-f033-4280-855e-105052728001</t>
  </si>
  <si>
    <t>/PT/FT/PY/960C4420                                           
                   960C4420                           960C4420/BI
/15242487/OB/400530 City of London (400530)/OB3/HSBC BANK PLC/BO/
43694224/BO1/Moneybox/BO2/Hatfields 1-2 Cargo Works SE1 9PG L/BO3
/ondon London GB</t>
  </si>
  <si>
    <t>F1F450A6</t>
  </si>
  <si>
    <t>bf3ab942-789f-4e09-be3c-869032138282</t>
  </si>
  <si>
    <t>/PT/FT/PY/F1F450A6                                           
                   F1F450A6                           F1F450A6/BI
/15242487/OB/400530 City of London (400530)/OB3/HSBC BANK PLC/BO/
43694224/BO1/Moneybox/BO2/Hatfields 1-2 Cargo Works SE1 9PG L/BO3
/ondon London GB</t>
  </si>
  <si>
    <t>3045718D</t>
  </si>
  <si>
    <t>35bbe6ba-af84-4924-91fd-58d3848e3300</t>
  </si>
  <si>
    <t>/PT/FT/PY/3045718D                                           
                   3045718D                           3045718D/BI
/15242487/OB/400530 City of London (400530)/OB3/HSBC BANK PLC/BO/
43694224/BO1/Moneybox/BO2/Hatfields 1-2 Cargo Works SE1 9PG L/BO3
/ondon London GB</t>
  </si>
  <si>
    <t>fa5ceb97</t>
  </si>
  <si>
    <t>FA5CEB97</t>
  </si>
  <si>
    <t>99bd52d8-f778-4f51-ad03-0217af5c2d2a</t>
  </si>
  <si>
    <t>/PT/FT/PY/fa5ceb97                           fa5ceb97/BI/1524
2487/OB/203370 GLASGOW/OB3/BARCLAYS BANK PLC/BO/13774759/BO1/TEMB
O LISA IA CLIENT</t>
  </si>
  <si>
    <t>BC969D08</t>
  </si>
  <si>
    <t>40146b55-6e86-4508-b1eb-d6b201fb27dd</t>
  </si>
  <si>
    <t>/PT/FT/PY/BC969D08                                           
                   BC969D08                           BC969D08/BI
/15242487/OB/400530 City of London (400530)/OB3/HSBC BANK PLC/BO/
43694224/BO1/Moneybox/BO2/Hatfields 1-2 Cargo Works SE1 9PG L/BO3
/ondon London GB</t>
  </si>
  <si>
    <t>E18CD5A8</t>
  </si>
  <si>
    <t>7c6b8aaa-bf4a-4edd-9b09-8189766b89dc</t>
  </si>
  <si>
    <t>/PT/FT/PY/E18CD5A8                                           
                   E18CD5A8                           E18CD5A8/BI
/15242487/OB/400530 City of London (400530)/OB3/HSBC BANK PLC/BO/
43694224/BO1/Moneybox/BO2/Hatfields 1-2 Cargo Works SE1 9PG L/BO3
/ondon London GB</t>
  </si>
  <si>
    <t>C61A97D7</t>
  </si>
  <si>
    <t>1f875037-29f0-4bf4-a26e-b68b792dac25</t>
  </si>
  <si>
    <t>/PT/FT/PY/C61A97D7                                           
                   C61A97D7                           C61A97D7/BI
/15242487/OB/400530 City of London (400530)/OB3/HSBC BANK PLC/BO/
43694224/BO1/Moneybox/BO2/Hatfields 1-2 Cargo Works SE1 9PG L/BO3
/ondon London GB</t>
  </si>
  <si>
    <t>9AEB0370</t>
  </si>
  <si>
    <t>d79dcc04-563a-4358-943b-85690bb7d3fe</t>
  </si>
  <si>
    <t>/PT/FT/PY/9AEB0370                                           
                   9AEB0370                           9AEB0370/BI
/15242487/OB/400530 City of London (400530)/OB3/HSBC BANK PLC/BO/
43694224/BO1/Moneybox/BO2/Hatfields 1-2 Cargo Works SE1 9PG L/BO3
/ondon London GB</t>
  </si>
  <si>
    <t>9d8ba6a9</t>
  </si>
  <si>
    <t>9D8BA6A9</t>
  </si>
  <si>
    <t>5c60d061-cc9e-4fb2-a5b2-c4b201608837</t>
  </si>
  <si>
    <t>/PT/FT/PY/9d8ba6a9                           9d8ba6a9/BI/1524
2487/OB/203370 GLASGOW/OB3/BARCLAYS BANK PLC/BO/13774759/BO1/TEMB
O LISA IA CLIENT</t>
  </si>
  <si>
    <t>e72da3ca</t>
  </si>
  <si>
    <t>E72DA3CA</t>
  </si>
  <si>
    <t>1d0961fb-e2d8-495e-8221-ea74bafaad54</t>
  </si>
  <si>
    <t>/PT/FT/PY/e72da3ca                           e72da3ca/BI/1524
2487/OB/203370 GLASGOW/OB3/BARCLAYS BANK PLC/BO/13774759/BO1/TEMB
O LISA IA CLIENT</t>
  </si>
  <si>
    <t>E042DBD5</t>
  </si>
  <si>
    <t>8dfe1337-0d37-47b4-913f-ab79eb0ec0f9</t>
  </si>
  <si>
    <t>/PT/FT/PY/E042DBD5                                           
                   E042DBD5                           E042DBD5/BI
/15242487/OB/400530 City of London (400530)/OB3/HSBC BANK PLC/BO/
43694224/BO1/Moneybox/BO2/Hatfields 1-2 Cargo Works SE1 9PG L/BO3
/ondon London GB</t>
  </si>
  <si>
    <t>2cd848d5-802a-42e7-b0cb-a74d6e4476d4</t>
  </si>
  <si>
    <t>/PT/FT/PY/20320069                                           
                   20320069                           20320069/BI
/15242487/OB/400530 City of London (400530)/OB3/HSBC BANK PLC/BO/
43694224/BO1/Moneybox/BO2/Hatfields 1-2 Cargo Works SE1 9PG L/BO3
/ondon London GB</t>
  </si>
  <si>
    <t>52A1A7C9</t>
  </si>
  <si>
    <t>38f31b01-cf71-4cbe-a215-82792c9699ad</t>
  </si>
  <si>
    <t>/PT/FT/PY/52A1A7C9                                           
                   52A1A7C9                           52A1A7C9/BI
/15242487/OB/400530 City of London (400530)/OB3/HSBC BANK PLC/BO/
43694224/BO1/Moneybox/BO2/Hatfields 1-2 Cargo Works SE1 9PG L/BO3
/ondon London GB</t>
  </si>
  <si>
    <t>5ba219a4</t>
  </si>
  <si>
    <t>5BA219A4</t>
  </si>
  <si>
    <t>ec649392-b869-4020-8c5b-d1e27440a05e</t>
  </si>
  <si>
    <t>/PT/FT/PY/5ba219a4                           5ba219a4/BI/1524
2487/OB/203370 GLASGOW/OB3/BARCLAYS BANK PLC/BO/13774759/BO1/TEMB
O LISA IA CLIENT</t>
  </si>
  <si>
    <t>3F3B76A7</t>
  </si>
  <si>
    <t>684d24ba-6327-4f23-ba5a-476087280b99</t>
  </si>
  <si>
    <t>/PT/FT/PY/3F3B76A7                                           
                   3F3B76A7                           3F3B76A7/BI
/15242487/OB/400530 City of London (400530)/OB3/HSBC BANK PLC/BO/
43694224/BO1/Moneybox/BO2/Hatfields 1-2 Cargo Works SE1 9PG L/BO3
/ondon London GB</t>
  </si>
  <si>
    <t>93D67574</t>
  </si>
  <si>
    <t>3d037b18-2a37-444d-8813-f2380e708402</t>
  </si>
  <si>
    <t>/PT/FT/PY/93D67574                                           
                   93D67574                           93D67574/BI
/15242487/OB/400530 City of London (400530)/OB3/HSBC BANK PLC/BO/
43694224/BO1/Moneybox/BO2/Hatfields 1-2 Cargo Works SE1 9PG L/BO3
/ondon London GB</t>
  </si>
  <si>
    <t>E5AE5383</t>
  </si>
  <si>
    <t>4cf12db8-2f2b-4d30-9d37-50353a190cb5</t>
  </si>
  <si>
    <t>/PT/FT/PY/E5AE5383                                           
                   E5AE5383                           E5AE5383/BI
/15242487/OB/400530 City of London (400530)/OB3/HSBC BANK PLC/BO/
43694224/BO1/Moneybox/BO2/Hatfields 1-2 Cargo Works SE1 9PG L/BO3
/ondon London GB</t>
  </si>
  <si>
    <t>0D8EA75E</t>
  </si>
  <si>
    <t>61968dc1-8817-4e09-aac4-aaf19770e7b2</t>
  </si>
  <si>
    <t>/PT/FT/PY/0D8EA75E                                           
                   0D8EA75E                           0D8EA75E/BI
/15242487/OB/400530 City of London (400530)/OB3/HSBC BANK PLC/BO/
43694224/BO1/Moneybox/BO2/Hatfields 1-2 Cargo Works SE1 9PG L/BO3
/ondon London GB</t>
  </si>
  <si>
    <t>2B5BA2F8aa</t>
  </si>
  <si>
    <t>2B5BA2F8AA</t>
  </si>
  <si>
    <t>792817d4-dd6c-48d9-b1f6-5e5cb608c035</t>
  </si>
  <si>
    <t>/PT/FT/PY/2B5BA2F8aa                                         
                                                      2B5BA2F8aa/
BI/15242487/OB/204607 ISA SAVINGS ACCOUNT 66/OB3/BARCLAYS BANK UK
 PLC/BO/560618/BO1/Barclays Bank/BO2/Barclays Bank</t>
  </si>
  <si>
    <t>DA27470C</t>
  </si>
  <si>
    <t>ced84a95-120f-45cd-92a1-306160034280</t>
  </si>
  <si>
    <t>/PT/FT/PY/DA27470C                                           
                   DA27470C                           DA27470C/BI
/15242487/OB/400530 City of London (400530)/OB3/HSBC BANK PLC/BO/
43694224/BO1/Moneybox/BO2/Hatfields 1-2 Cargo Works SE1 9PG L/BO3
/ondon London GB</t>
  </si>
  <si>
    <t>F3B370BF</t>
  </si>
  <si>
    <t>e63588a0-99f1-46a8-be85-2faa5d9917d2</t>
  </si>
  <si>
    <t>/PT/FT/PY/F3B370BF                                           
                   F3B370BF                           F3B370BF/BI
/15242487/OB/400530 City of London (400530)/OB3/HSBC BANK PLC/BO/
43694224/BO1/Moneybox/BO2/Hatfields 1-2 Cargo Works SE1 9PG L/BO3
/ondon London GB</t>
  </si>
  <si>
    <t>FC4C5BA7</t>
  </si>
  <si>
    <t>5cc36b2a-6d26-4ee8-af16-2c05ebe48e9b</t>
  </si>
  <si>
    <t>/PT/FT/PY/FC4C5BA7                                           
                   FC4C5BA7                           FC4C5BA7/BI
/15242487/OB/400530 City of London (400530)/OB3/HSBC BANK PLC/BO/
43694224/BO1/Moneybox/BO2/Hatfields 1-2 Cargo Works SE1 9PG L/BO3
/ondon London GB</t>
  </si>
  <si>
    <t>067728B5</t>
  </si>
  <si>
    <t>4b0aae85-5a2b-4c11-9491-ebb0a6a66634</t>
  </si>
  <si>
    <t>/PT/FT/PY/067728B5                                           
                   067728B5                           067728B5/BI
/15242487/OB/400530 City of London (400530)/OB3/HSBC BANK PLC/BO/
43694224/BO1/Moneybox/BO2/Hatfields 1-2 Cargo Works SE1 9PG L/BO3
/ondon London GB</t>
  </si>
  <si>
    <t>102BC228</t>
  </si>
  <si>
    <t>429ea1a5-e05a-4d62-97b7-0c8e53bfdf0e</t>
  </si>
  <si>
    <t>/PT/FT/PY/102BC228                                           
                   102BC228                           102BC228/BI
/15242487/OB/400530 City of London (400530)/OB3/HSBC BANK PLC/BO/
43694224/BO1/Moneybox/BO2/Hatfields 1-2 Cargo Works SE1 9PG L/BO3
/ondon London GB</t>
  </si>
  <si>
    <t>D298DCC2</t>
  </si>
  <si>
    <t>abf86e24-6364-4104-95a3-1c3a097748ff</t>
  </si>
  <si>
    <t>/PT/FT/PY/D298DCC2                                           
                   D298DCC2                           D298DCC2/BI
/15242487/OB/400530 City of London (400530)/OB3/HSBC BANK PLC/BO/
43694224/BO1/Moneybox/BO2/Hatfields 1-2 Cargo Works SE1 9PG L/BO3
/ondon London GB</t>
  </si>
  <si>
    <t>A240BEC5</t>
  </si>
  <si>
    <t>b4c1fd39-cf3a-4310-84b5-34b64394343a</t>
  </si>
  <si>
    <t>/PT/FT/PY/A240BEC5                                           
                   A240BEC5                           A240BEC5/BI
/15242487/OB/400530 City of London (400530)/OB3/HSBC BANK PLC/BO/
43694224/BO1/Moneybox/BO2/Hatfields 1-2 Cargo Works SE1 9PG L/BO3
/ondon London GB</t>
  </si>
  <si>
    <t>A958174D</t>
  </si>
  <si>
    <t>c9be5c38-34c8-4f8b-9b72-4f59687bb015</t>
  </si>
  <si>
    <t>/PT/FT/PY/A958174D                                           
                   A958174D                           A958174D/BI
/15242487/OB/400530 City of London (400530)/OB3/HSBC BANK PLC/BO/
43694224/BO1/Moneybox/BO2/Hatfields 1-2 Cargo Works SE1 9PG L/BO3
/ondon London GB</t>
  </si>
  <si>
    <t>73dd3e62-5</t>
  </si>
  <si>
    <t>73DD3E62 5</t>
  </si>
  <si>
    <t>73dd3e62-5f66-452e-acee-297b19ed945c</t>
  </si>
  <si>
    <t>/PT/FT/PY/73dd3e62-5                                         
                                                      73dd3e62-5/
BI/14747798/BN/Plum Fintech Ltd 2-7 Clerkenwell Grn/AB/185008 LON
DON,  CANARY WHARF E14/AB3/CITIBANK NA/OB/185008 LONDON,  CANARY 
WHARF E14/OB3/CITIBANK NA/BO/Plum Fintech Ltd 2-7 Clerkenwell Grn</t>
  </si>
  <si>
    <t>1d436dd5-7</t>
  </si>
  <si>
    <t>1D436DD5 7</t>
  </si>
  <si>
    <t>1d436dd5-7702-45e6-b72d-5111f03486f4</t>
  </si>
  <si>
    <t>/PT/FT/PY/1d436dd5-7                                         
                                                      1d436dd5-7/
BI/14747798/BN/Plum Fintech Ltd 2-7 Clerkenwell Grn/AB/185008 LON
DON,  CANARY WHARF E14/AB3/CITIBANK NA/OB/185008 LONDON,  CANARY 
WHARF E14/OB3/CITIBANK NA/BO/Plum Fintech Ltd 2-7 Clerkenwell Grn</t>
  </si>
  <si>
    <t>0cb618ff-0</t>
  </si>
  <si>
    <t>0CB618FF 0</t>
  </si>
  <si>
    <t>0cb618ff-020c-44ec-8fd6-e7917f690fac</t>
  </si>
  <si>
    <t>/PT/FT/PY/0cb618ff-0                                         
                                                      0cb618ff-0/
BI/14747798/BN/Plum Fintech Ltd 2-7 Clerkenwell Grn/AB/185008 LON
DON,  CANARY WHARF E14/AB3/CITIBANK NA/OB/185008 LONDON,  CANARY 
WHARF E14/OB3/CITIBANK NA/BO/Plum Fintech Ltd 2-7 Clerkenwell Grn</t>
  </si>
  <si>
    <t>SL918793B</t>
  </si>
  <si>
    <t>transfer_out</t>
  </si>
  <si>
    <t>cf96b742-8845-482c-94ca-e24d4ee601d2</t>
  </si>
  <si>
    <t>/PT/FT/PY/SL918793B                                          
                                                      SL918793B/B
I/13774759/BN/Nude Finance Limited Nude Finance Limited/AB/203370
 GLASGOW/AB3/BARCLAYS BANK PLC/OB/185008 LONDON,  CANARY WHARF E1
4/OB3/CITIBANK NA/BO/Plum Fintech Ltd 2-7 Clerkenwell Grn</t>
  </si>
  <si>
    <t>f13f4f1c-0</t>
  </si>
  <si>
    <t>F13F4F1C 0</t>
  </si>
  <si>
    <t>f13f4f1c-0cda-4afc-8ef4-5a53314020dd</t>
  </si>
  <si>
    <t>/PT/FT/PY/f13f4f1c-0                                         
                                                      f13f4f1c-0/
BI/14747798/BN/Plum Fintech Ltd 2-7 Clerkenwell Grn/AB/185008 LON
DON,  CANARY WHARF E14/AB3/CITIBANK NA/OB/185008 LONDON,  CANARY 
WHARF E14/OB3/CITIBANK NA/BO/Plum Fintech Ltd 2-7 Clerkenwell Grn</t>
  </si>
  <si>
    <t>0594e1b5-4</t>
  </si>
  <si>
    <t>0594E1B5 4</t>
  </si>
  <si>
    <t>0594e1b5-45e7-440e-96df-8f1f65c51306</t>
  </si>
  <si>
    <t>/PT/FT/PY/0594e1b5-4                                         
                                                      0594e1b5-4/
BI/14747798/BN/Plum Fintech Ltd 2-7 Clerkenwell Grn/AB/185008 LON
DON,  CANARY WHARF E14/AB3/CITIBANK NA/OB/185008 LONDON,  CANARY 
WHARF E14/OB3/CITIBANK NA/BO/Plum Fintech Ltd 2-7 Clerkenwell Grn</t>
  </si>
  <si>
    <t>c27b9ecb-4</t>
  </si>
  <si>
    <t>C27B9ECB 4</t>
  </si>
  <si>
    <t>c27b9ecb-4bdf-4e73-a78e-8fba5402b9c9</t>
  </si>
  <si>
    <t>/PT/FT/PY/c27b9ecb-4                                         
                                                      c27b9ecb-4/
BI/14747798/BN/Plum Fintech Ltd 2-7 Clerkenwell Grn/AB/185008 LON
DON,  CANARY WHARF E14/AB3/CITIBANK NA/OB/185008 LONDON,  CANARY 
WHARF E14/OB3/CITIBANK NA/BO/Plum Fintech Ltd 2-7 Clerkenwell Grn</t>
  </si>
  <si>
    <t>8dee56a5-7</t>
  </si>
  <si>
    <t>8DEE56A5 7</t>
  </si>
  <si>
    <t>8dee56a5-7615-4f52-b499-1b509fc2882c</t>
  </si>
  <si>
    <t>/PT/FT/PY/8dee56a5-7                                         
                                                      8dee56a5-7/
BI/14747798/BN/Plum Fintech Ltd 2-7 Clerkenwell Grn/AB/185008 LON
DON,  CANARY WHARF E14/AB3/CITIBANK NA/OB/185008 LONDON,  CANARY 
WHARF E14/OB3/CITIBANK NA/BO/Plum Fintech Ltd 2-7 Clerkenwell Grn</t>
  </si>
  <si>
    <t>82d5e310-8</t>
  </si>
  <si>
    <t>82D5E310 8</t>
  </si>
  <si>
    <t>82d5e310-862b-4eaa-bb64-2c55a49bdd15</t>
  </si>
  <si>
    <t>/PT/FT/PY/82d5e310-8                                         
                                                      82d5e310-8/
BI/14747798/BN/Plum Fintech Ltd 2-7 Clerkenwell Grn/AB/185008 LON
DON,  CANARY WHARF E14/AB3/CITIBANK NA/OB/185008 LONDON,  CANARY 
WHARF E14/OB3/CITIBANK NA/BO/Plum Fintech Ltd 2-7 Clerkenwell Grn</t>
  </si>
  <si>
    <t>949291f1-6</t>
  </si>
  <si>
    <t>949291F1 6</t>
  </si>
  <si>
    <t>949291f1-67b1-4fce-a468-a84a56154038</t>
  </si>
  <si>
    <t>/PT/FT/PY/949291f1-6                                         
                                                      949291f1-6/
BI/14747798/BN/Plum Fintech Ltd 2-7 Clerkenwell Grn/AB/185008 LON
DON,  CANARY WHARF E14/AB3/CITIBANK NA/OB/185008 LONDON,  CANARY 
WHARF E14/OB3/CITIBANK NA/BO/Plum Fintech Ltd 2-7 Clerkenwell Grn</t>
  </si>
  <si>
    <t>05176bba-b</t>
  </si>
  <si>
    <t>05176BBA B</t>
  </si>
  <si>
    <t>05176bba-bcfc-4a9b-be6d-17eeaa01c760</t>
  </si>
  <si>
    <t>/PT/FT/PY/05176bba-b                                         
                                                      05176bba-b/
BI/14747798/BN/Plum Fintech Ltd 2-7 Clerkenwell Grn/AB/185008 LON
DON,  CANARY WHARF E14/AB3/CITIBANK NA/OB/185008 LONDON,  CANARY 
WHARF E14/OB3/CITIBANK NA/BO/Plum Fintech Ltd 2-7 Clerkenwell Grn</t>
  </si>
  <si>
    <t>6399befa-7</t>
  </si>
  <si>
    <t>6399BEFA 7</t>
  </si>
  <si>
    <t>6399befa-732a-4b3e-be94-b15a1ae1c027</t>
  </si>
  <si>
    <t>/PT/FT/PY/6399befa-7                                         
                                                      6399befa-7/
BI/14747798/BN/Plum Fintech Ltd 2-7 Clerkenwell Grn/AB/185008 LON
DON,  CANARY WHARF E14/AB3/CITIBANK NA/OB/185008 LONDON,  CANARY 
WHARF E14/OB3/CITIBANK NA/BO/Plum Fintech Ltd 2-7 Clerkenwell Grn</t>
  </si>
  <si>
    <t>ab5a26e3-4</t>
  </si>
  <si>
    <t>AB5A26E3 4</t>
  </si>
  <si>
    <t>ab5a26e3-4d67-4489-8514-83dab1697184</t>
  </si>
  <si>
    <t>/PT/FT/PY/ab5a26e3-4                                         
                                                      ab5a26e3-4/
BI/14747798/BN/Plum Fintech Ltd 2-7 Clerkenwell Grn/AB/185008 LON
DON,  CANARY WHARF E14/AB3/CITIBANK NA/OB/185008 LONDON,  CANARY 
WHARF E14/OB3/CITIBANK NA/BO/Plum Fintech Ltd 2-7 Clerkenwell Grn</t>
  </si>
  <si>
    <t>62428b96-d</t>
  </si>
  <si>
    <t>62428B96 D</t>
  </si>
  <si>
    <t>62428b96-dcf3-4e1e-86fd-84c7630defe2</t>
  </si>
  <si>
    <t>/PT/FT/PY/62428b96-d                                         
                                                      62428b96-d/
BI/14747798/BN/Plum Fintech Ltd 2-7 Clerkenwell Grn/AB/185008 LON
DON,  CANARY WHARF E14/AB3/CITIBANK NA/OB/185008 LONDON,  CANARY 
WHARF E14/OB3/CITIBANK NA/BO/Plum Fintech Ltd 2-7 Clerkenwell Grn</t>
  </si>
  <si>
    <t>6083ffea-d</t>
  </si>
  <si>
    <t>6083FFEA D</t>
  </si>
  <si>
    <t>6083ffea-d046-42da-a56b-473ad576be75</t>
  </si>
  <si>
    <t>/PT/FT/PY/6083ffea-d                                         
                                                      6083ffea-d/
BI/14747798/BN/Plum Fintech Ltd 2-7 Clerkenwell Grn/AB/185008 LON
DON,  CANARY WHARF E14/AB3/CITIBANK NA/OB/185008 LONDON,  CANARY 
WHARF E14/OB3/CITIBANK NA/BO/Plum Fintech Ltd 2-7 Clerkenwell Grn</t>
  </si>
  <si>
    <t>669538c3-0</t>
  </si>
  <si>
    <t>669538C3 0</t>
  </si>
  <si>
    <t>669538c3-0646-40e9-ae60-04c9e5b41d50</t>
  </si>
  <si>
    <t>/PT/FT/PY/669538c3-0                                         
                                                      669538c3-0/
BI/14747798/BN/Plum Fintech Ltd 2-7 Clerkenwell Grn/AB/185008 LON
DON,  CANARY WHARF E14/AB3/CITIBANK NA/OB/185008 LONDON,  CANARY 
WHARF E14/OB3/CITIBANK NA/BO/Plum Fintech Ltd 2-7 Clerkenwell Grn</t>
  </si>
  <si>
    <t>d3330d32-b</t>
  </si>
  <si>
    <t>D3330D32 B</t>
  </si>
  <si>
    <t>d3330d32-b5f9-49ff-a4fb-69cc34d96a9d</t>
  </si>
  <si>
    <t>/PT/FT/PY/d3330d32-b                                         
                                                      d3330d32-b/
BI/14747798/BN/Plum Fintech Ltd 2-7 Clerkenwell Grn/AB/185008 LON
DON,  CANARY WHARF E14/AB3/CITIBANK NA/OB/185008 LONDON,  CANARY 
WHARF E14/OB3/CITIBANK NA/BO/Plum Fintech Ltd 2-7 Clerkenwell Grn</t>
  </si>
  <si>
    <t>3fb70612-5</t>
  </si>
  <si>
    <t>3FB70612 5</t>
  </si>
  <si>
    <t>3fb70612-5bfa-4332-aa2e-3a2fe66cb826</t>
  </si>
  <si>
    <t>/PT/FT/PY/3fb70612-5                                         
                                                      3fb70612-5/
BI/14747798/BN/Plum Fintech Ltd 2-7 Clerkenwell Grn/AB/185008 LON
DON,  CANARY WHARF E14/AB3/CITIBANK NA/OB/185008 LONDON,  CANARY 
WHARF E14/OB3/CITIBANK NA/BO/Plum Fintech Ltd 2-7 Clerkenwell Grn</t>
  </si>
  <si>
    <t>5ba5e177-4</t>
  </si>
  <si>
    <t>5BA5E177 4</t>
  </si>
  <si>
    <t>5ba5e177-4f08-4ea9-a289-e0b98c9b040d</t>
  </si>
  <si>
    <t>/PT/FT/PY/5ba5e177-4                                         
                                                      5ba5e177-4/
BI/14747798/BN/Plum Fintech Ltd 2-7 Clerkenwell Grn/AB/185008 LON
DON,  CANARY WHARF E14/AB3/CITIBANK NA/OB/185008 LONDON,  CANARY 
WHARF E14/OB3/CITIBANK NA/BO/Plum Fintech Ltd 2-7 Clerkenwell Grn</t>
  </si>
  <si>
    <t>d7321251-a</t>
  </si>
  <si>
    <t>D7321251 A</t>
  </si>
  <si>
    <t>d7321251-afcc-4b54-b398-5bcc828f16ee</t>
  </si>
  <si>
    <t>/PT/FT/PY/d7321251-a                                         
                                                      d7321251-a/
BI/14747798/BN/Plum Fintech Ltd 2-7 Clerkenwell Grn/AB/185008 LON
DON,  CANARY WHARF E14/AB3/CITIBANK NA/OB/185008 LONDON,  CANARY 
WHARF E14/OB3/CITIBANK NA/BO/Plum Fintech Ltd 2-7 Clerkenwell Grn</t>
  </si>
  <si>
    <t>d56febdd-5</t>
  </si>
  <si>
    <t>D56FEBDD 5</t>
  </si>
  <si>
    <t>d56febdd-518e-4bbd-b9a3-3faaea6b4f1d</t>
  </si>
  <si>
    <t>/PT/FT/PY/d56febdd-5                                         
                                                      d56febdd-5/
BI/14747798/BN/Plum Fintech Ltd 2-7 Clerkenwell Grn/AB/185008 LON
DON,  CANARY WHARF E14/AB3/CITIBANK NA/OB/185008 LONDON,  CANARY 
WHARF E14/OB3/CITIBANK NA/BO/Plum Fintech Ltd 2-7 Clerkenwell Grn</t>
  </si>
  <si>
    <t>f044d847-5428-4dcb-9a41-8608e1caaed4</t>
  </si>
  <si>
    <t>/PT/FT/PY/2B5BA2F8aa                                         
                                                      2B5BA2F8aa/
BI/83066592/BN/Barclays Bank Barclays Bank/AB/204607 ISA SAVINGS 
ACCOUNT 66/AB3/BARCLAYS BANK UK PLC/OB/185008 LONDON,  CANARY WHA
RF E14/OB3/CITIBANK NA/BO/Plum Fintech Ltd 2-7 Clerkenwell Grn</t>
  </si>
  <si>
    <t>0ddd734d-2</t>
  </si>
  <si>
    <t>0DDD734D 2</t>
  </si>
  <si>
    <t>0ddd734d-2261-43af-b3ee-3edd8ccb4798</t>
  </si>
  <si>
    <t>/PT/FT/PY/0ddd734d-2                                         
                                                      0ddd734d-2/
BI/14747798/BN/Plum Fintech Ltd 2-7 Clerkenwell Grn/AB/185008 LON
DON,  CANARY WHARF E14/AB3/CITIBANK NA/OB/185008 LONDON,  CANARY 
WHARF E14/OB3/CITIBANK NA/BO/Plum Fintech Ltd 2-7 Clerkenwell Grn</t>
  </si>
  <si>
    <t>60892b7a-2</t>
  </si>
  <si>
    <t>60892B7A 2</t>
  </si>
  <si>
    <t>60892b7a-2d9b-4528-99b9-da6bd343e8eb</t>
  </si>
  <si>
    <t>/PT/FT/PY/60892b7a-2                                         
                                                      60892b7a-2/
BI/14747798/BN/Plum Fintech Ltd 2-7 Clerkenwell Grn/AB/185008 LON
DON,  CANARY WHARF E14/AB3/CITIBANK NA/OB/185008 LONDON,  CANARY 
WHARF E14/OB3/CITIBANK NA/BO/Plum Fintech Ltd 2-7 Clerkenwell Grn</t>
  </si>
  <si>
    <t>312f88d0-5</t>
  </si>
  <si>
    <t>312F88D0 5</t>
  </si>
  <si>
    <t>312f88d0-5e08-4303-bd56-36975d2ecc69</t>
  </si>
  <si>
    <t>/PT/FT/PY/312f88d0-5                                         
                                                      312f88d0-5/
BI/14747798/BN/Plum Fintech Ltd 2-7 Clerkenwell Grn/AB/185008 LON
DON,  CANARY WHARF E14/AB3/CITIBANK NA/OB/185008 LONDON,  CANARY 
WHARF E14/OB3/CITIBANK NA/BO/Plum Fintech Ltd 2-7 Clerkenwell Grn</t>
  </si>
  <si>
    <t>CMT 14424</t>
  </si>
  <si>
    <t>/PT/FT/PY/CMT-14424                                          
                                                      CMT-14424/B
I/63970531/BN/Charley Tyler Sinclair-Moran Charley Tyler Sinclair</t>
  </si>
  <si>
    <t>64e30059-c</t>
  </si>
  <si>
    <t>64E30059 C</t>
  </si>
  <si>
    <t>64e30059-ce8b-40dc-ac97-fc8aa6020d39</t>
  </si>
  <si>
    <t>/PT/FT/PY/64e30059-c                                         
                                                      64e30059-c/
BI/14747798/BN/Plum Fintech Ltd 2-7 Clerkenwell Grn/AB/185008 LON
DON,  CANARY WHARF E14/AB3/CITIBANK NA/OB/185008 LONDON,  CANARY 
WHARF E14/OB3/CITIBANK NA/BO/Plum Fintech Ltd 2-7 Clerkenwell Grn</t>
  </si>
  <si>
    <t>2576804f-1</t>
  </si>
  <si>
    <t>2576804F 1</t>
  </si>
  <si>
    <t>2576804f-19ec-4e12-8b46-5ea929f3efbb</t>
  </si>
  <si>
    <t>/PT/FT/PY/2576804f-1                                         
                                                      2576804f-1/
BI/14747798/BN/Plum Fintech Ltd 2-7 Clerkenwell Grn/AB/185008 LON
DON,  CANARY WHARF E14/AB3/CITIBANK NA/OB/185008 LONDON,  CANARY 
WHARF E14/OB3/CITIBANK NA/BO/Plum Fintech Ltd 2-7 Clerkenwell Grn</t>
  </si>
  <si>
    <t>0fde602c-f</t>
  </si>
  <si>
    <t>0FDE602C F</t>
  </si>
  <si>
    <t>0fde602c-fe5e-44ff-a81b-72697f7007dd</t>
  </si>
  <si>
    <t>/PT/FT/PY/0fde602c-f                                         
                                                      0fde602c-f/
BI/14747798/BN/Plum Fintech Ltd 2-7 Clerkenwell Grn/AB/185008 LON
DON,  CANARY WHARF E14/AB3/CITIBANK NA/OB/185008 LONDON,  CANARY 
WHARF E14/OB3/CITIBANK NA/BO/Plum Fintech Ltd 2-7 Clerkenwell Grn</t>
  </si>
  <si>
    <t>ab1476ab-0</t>
  </si>
  <si>
    <t>AB1476AB 0</t>
  </si>
  <si>
    <t>ab1476ab-071d-481e-b80e-e72bcf267dc5</t>
  </si>
  <si>
    <t>/PT/FT/PY/ab1476ab-0                                         
                                                      ab1476ab-0/
BI/14747798/BN/Plum Fintech Ltd 2-7 Clerkenwell Grn/AB/185008 LON
DON,  CANARY WHARF E14/AB3/CITIBANK NA/OB/185008 LONDON,  CANARY 
WHARF E14/OB3/CITIBANK NA/BO/Plum Fintech Ltd 2-7 Clerkenwell Grn</t>
  </si>
  <si>
    <t>1cb59500-f</t>
  </si>
  <si>
    <t>1CB59500 F</t>
  </si>
  <si>
    <t>1cb59500-f2cf-4d8a-9fec-cd32683f62d6</t>
  </si>
  <si>
    <t>/PT/FT/PY/1cb59500-f                                         
                                                      1cb59500-f/
BI/14747798/BN/Plum Fintech Ltd 2-7 Clerkenwell Grn/AB/185008 LON
DON,  CANARY WHARF E14/AB3/CITIBANK NA/OB/185008 LONDON,  CANARY 
WHARF E14/OB3/CITIBANK NA/BO/Plum Fintech Ltd 2-7 Clerkenwell Grn</t>
  </si>
  <si>
    <t>2d168fae-e</t>
  </si>
  <si>
    <t>2D168FAE E</t>
  </si>
  <si>
    <t>2d168fae-edc4-4ba4-bced-e3593c4359b8</t>
  </si>
  <si>
    <t>/PT/FT/PY/2d168fae-e                                         
                                                      2d168fae-e/
BI/14747798/BN/Plum Fintech Ltd 2-7 Clerkenwell Grn/AB/185008 LON
DON,  CANARY WHARF E14/AB3/CITIBANK NA/OB/185008 LONDON,  CANARY 
WHARF E14/OB3/CITIBANK NA/BO/Plum Fintech Ltd 2-7 Clerkenwell Grn</t>
  </si>
  <si>
    <t>30b17291-e</t>
  </si>
  <si>
    <t>30B17291 E</t>
  </si>
  <si>
    <t>30b17291-e061-44f9-9fa8-89e7f0fb0a49</t>
  </si>
  <si>
    <t>/PT/FT/PY/30b17291-e                                         
                                                      30b17291-e/
BI/14747798/BN/Plum Fintech Ltd 2-7 Clerkenwell Grn/AB/185008 LON
DON,  CANARY WHARF E14/AB3/CITIBANK NA/OB/185008 LONDON,  CANARY 
WHARF E14/OB3/CITIBANK NA/BO/Plum Fintech Ltd 2-7 Clerkenwell Grn</t>
  </si>
  <si>
    <t>1145b352-8</t>
  </si>
  <si>
    <t>1145B352 8</t>
  </si>
  <si>
    <t>1145b352-8ff1-4313-ac96-04620299aade</t>
  </si>
  <si>
    <t>/PT/FT/PY/1145b352-8                                         
                                                      1145b352-8/
BI/14747798/BN/Plum Fintech Ltd 2-7 Clerkenwell Grn/AB/185008 LON
DON,  CANARY WHARF E14/AB3/CITIBANK NA/OB/185008 LONDON,  CANARY 
WHARF E14/OB3/CITIBANK NA/BO/Plum Fintech Ltd 2-7 Clerkenwell Grn</t>
  </si>
  <si>
    <t>0247fd7b-1</t>
  </si>
  <si>
    <t>0247FD7B 1</t>
  </si>
  <si>
    <t>0247fd7b-1532-450f-93ec-53f3829ab0b7</t>
  </si>
  <si>
    <t>/PT/FT/PY/0247fd7b-1                                         
                                                      0247fd7b-1/
BI/14747798/BN/Plum Fintech Ltd 2-7 Clerkenwell Grn/AB/185008 LON
DON,  CANARY WHARF E14/AB3/CITIBANK NA/OB/185008 LONDON,  CANARY 
WHARF E14/OB3/CITIBANK NA/BO/Plum Fintech Ltd 2-7 Clerkenwell Grn</t>
  </si>
  <si>
    <t>fc4f3b16-d</t>
  </si>
  <si>
    <t>FC4F3B16 D</t>
  </si>
  <si>
    <t>fc4f3b16-d990-4ca7-8956-909f1b69dc92</t>
  </si>
  <si>
    <t>/PT/FT/PY/fc4f3b16-d                                         
                                                      fc4f3b16-d/
BI/14747798/BN/Plum Fintech Ltd 2-7 Clerkenwell Grn/AB/185008 LON
DON,  CANARY WHARF E14/AB3/CITIBANK NA/OB/185008 LONDON,  CANARY 
WHARF E14/OB3/CITIBANK NA/BO/Plum Fintech Ltd 2-7 Clerkenwell Grn</t>
  </si>
  <si>
    <t>ELI 0015 000001</t>
  </si>
  <si>
    <t>/PT/FT/PY/ELI-0015-000001                                    
                                                      ELI-0015-00
0001/BI/73000419/BN/Emma Louise Wilson Emma Louise Wilson/AB/4020
54 EDINBURGH, HANOVER STREET/AB3/HSBC UK BANK PLC/OB/185008 LONDO
N,  CANARY WHARF E14/OB3/CITIBANK NA/BO/Plum Fintech Ltd 2-7 Cler
kenwell Grn</t>
  </si>
  <si>
    <t>ef696828-f</t>
  </si>
  <si>
    <t>EF696828 F</t>
  </si>
  <si>
    <t>ef696828-f4df-4bd4-ae8d-c8c5bb60d092</t>
  </si>
  <si>
    <t>/PT/FT/PY/ef696828-f                                         
                                                      ef696828-f/
BI/14747798/BN/Plum Fintech Ltd 2-7 Clerkenwell Grn/AB/185008 LON
DON,  CANARY WHARF E14/AB3/CITIBANK NA/OB/185008 LONDON,  CANARY 
WHARF E14/OB3/CITIBANK NA/BO/Plum Fintech Ltd 2-7 Clerkenwell Grn</t>
  </si>
  <si>
    <t>3c45d294-b</t>
  </si>
  <si>
    <t>3C45D294 B</t>
  </si>
  <si>
    <t>3c45d294-b8cf-405c-a52a-e2cb16655385</t>
  </si>
  <si>
    <t>/PT/FT/PY/3c45d294-b                                         
                                                      3c45d294-b/
BI/14747798/BN/Plum Fintech Ltd 2-7 Clerkenwell Grn/AB/185008 LON
DON,  CANARY WHARF E14/AB3/CITIBANK NA/OB/185008 LONDON,  CANARY 
WHARF E14/OB3/CITIBANK NA/BO/Plum Fintech Ltd 2-7 Clerkenwell Grn</t>
  </si>
  <si>
    <t>ed469818-0</t>
  </si>
  <si>
    <t>ED469818 0</t>
  </si>
  <si>
    <t>ed469818-0c6b-4ea2-9c9b-e82348a6990e</t>
  </si>
  <si>
    <t>/PT/FT/PY/ed469818-0                                         
                                                      ed469818-0/
BI/14747798/BN/Plum Fintech Ltd 2-7 Clerkenwell Grn/AB/185008 LON
DON,  CANARY WHARF E14/AB3/CITIBANK NA/OB/185008 LONDON,  CANARY 
WHARF E14/OB3/CITIBANK NA/BO/Plum Fintech Ltd 2-7 Clerkenwell Grn</t>
  </si>
  <si>
    <t>337bed31-e</t>
  </si>
  <si>
    <t>337BED31 E</t>
  </si>
  <si>
    <t>337bed31-e526-4652-9fa9-c2eb19ef716b</t>
  </si>
  <si>
    <t>/PT/FT/PY/337bed31-e                                         
                                                      337bed31-e/
BI/14747798/BN/Plum Fintech Ltd 2-7 Clerkenwell Grn/AB/185008 LON
DON,  CANARY WHARF E14/AB3/CITIBANK NA/OB/185008 LONDON,  CANARY 
WHARF E14/OB3/CITIBANK NA/BO/Plum Fintech Ltd 2-7 Clerkenwell Grn</t>
  </si>
  <si>
    <t>81ebd5f2-2</t>
  </si>
  <si>
    <t>81EBD5F2 2</t>
  </si>
  <si>
    <t>81ebd5f2-2cda-4334-80e9-cd10a20a88bc</t>
  </si>
  <si>
    <t>/PT/FT/PY/81ebd5f2-2                                         
                                                      81ebd5f2-2/
BI/14747798/BN/Plum Fintech Ltd 2-7 Clerkenwell Grn/AB/185008 LON
DON,  CANARY WHARF E14/AB3/CITIBANK NA/OB/185008 LONDON,  CANARY 
WHARF E14/OB3/CITIBANK NA/BO/Plum Fintech Ltd 2-7 Clerkenwell Grn</t>
  </si>
  <si>
    <t>f719cbcc-d</t>
  </si>
  <si>
    <t>F719CBCC D</t>
  </si>
  <si>
    <t>f719cbcc-d0c3-4eb9-81b5-9e161906503b</t>
  </si>
  <si>
    <t>/PT/FT/PY/f719cbcc-d                                         
                                                      f719cbcc-d/
BI/14747798/BN/Plum Fintech Ltd 2-7 Clerkenwell Grn/AB/185008 LON
DON,  CANARY WHARF E14/AB3/CITIBANK NA/OB/185008 LONDON,  CANARY 
WHARF E14/OB3/CITIBANK NA/BO/Plum Fintech Ltd 2-7 Clerkenwell Grn</t>
  </si>
  <si>
    <t>9fdc55e0-2</t>
  </si>
  <si>
    <t>9FDC55E0 2</t>
  </si>
  <si>
    <t>9fdc55e0-2b86-4cb2-b9ff-08ed2399f275</t>
  </si>
  <si>
    <t>/PT/FT/PY/9fdc55e0-2                                         
                                                      9fdc55e0-2/
BI/14747798/BN/Plum Fintech Ltd 2-7 Clerkenwell Grn/AB/185008 LON
DON,  CANARY WHARF E14/AB3/CITIBANK NA/OB/185008 LONDON,  CANARY 
WHARF E14/OB3/CITIBANK NA/BO/Plum Fintech Ltd 2-7 Clerkenwell Grn</t>
  </si>
  <si>
    <t>4d35f39f-d</t>
  </si>
  <si>
    <t>4D35F39F D</t>
  </si>
  <si>
    <t>4d35f39f-d74b-4944-b814-cd229d3b9130</t>
  </si>
  <si>
    <t>/PT/FT/PY/4d35f39f-d                                         
                                                      4d35f39f-d/
BI/14747798/BN/Plum Fintech Ltd 2-7 Clerkenwell Grn/AB/185008 LON
DON,  CANARY WHARF E14/AB3/CITIBANK NA/OB/185008 LONDON,  CANARY 
WHARF E14/OB3/CITIBANK NA/BO/Plum Fintech Ltd 2-7 Clerkenwell Grn</t>
  </si>
  <si>
    <t>4c68f115-a</t>
  </si>
  <si>
    <t>4C68F115 A</t>
  </si>
  <si>
    <t>4c68f115-a985-4ddf-811d-a70f2389f2b0</t>
  </si>
  <si>
    <t>/PT/FT/PY/4c68f115-a                                         
                                                      4c68f115-a/
BI/14747798/BN/Plum Fintech Ltd 2-7 Clerkenwell Grn/AB/185008 LON
DON,  CANARY WHARF E14/AB3/CITIBANK NA/OB/185008 LONDON,  CANARY 
WHARF E14/OB3/CITIBANK NA/BO/Plum Fintech Ltd 2-7 Clerkenwell Grn</t>
  </si>
  <si>
    <t>fd2d70cb-9</t>
  </si>
  <si>
    <t>FD2D70CB 9</t>
  </si>
  <si>
    <t>fd2d70cb-9352-40d3-8741-2cc62a92a8c6</t>
  </si>
  <si>
    <t>/PT/FT/PY/fd2d70cb-9                                         
                                                      fd2d70cb-9/
BI/14747798/BN/Plum Fintech Ltd 2-7 Clerkenwell Grn/AB/185008 LON
DON,  CANARY WHARF E14/AB3/CITIBANK NA/OB/185008 LONDON,  CANARY 
WHARF E14/OB3/CITIBANK NA/BO/Plum Fintech Ltd 2-7 Clerkenwell Grn</t>
  </si>
  <si>
    <t>6989MONKS</t>
  </si>
  <si>
    <t>/PT/FT/PY/6989Monks                                          
                                                      6989Monks/B
I/2218241/BN/Shane Michael Monks Shane Michael Monks/AB/309470 WO
RCESTER (309470)/AB3/LLOYDS BANK PLC/OB/185008 LONDON,  CANARY WH
ARF E14/OB3/CITIBANK NA/BO/Plum Fintech Ltd 2-7 Clerkenwell Grn</t>
  </si>
  <si>
    <t>4011b613-5</t>
  </si>
  <si>
    <t>4011B613 5</t>
  </si>
  <si>
    <t>4011b613-512c-4540-8162-23e1306adcfa</t>
  </si>
  <si>
    <t>/PT/FT/PY/4011b613-5                                         
                                                      4011b613-5/
BI/14747798/BN/Plum Fintech Ltd 2-7 Clerkenwell Grn/AB/185008 LON
DON,  CANARY WHARF E14/AB3/CITIBANK NA/OB/185008 LONDON,  CANARY 
WHARF E14/OB3/CITIBANK NA/BO/Plum Fintech Ltd 2-7 Clerkenwell Grn</t>
  </si>
  <si>
    <t>ec9946ee-0</t>
  </si>
  <si>
    <t>EC9946EE 0</t>
  </si>
  <si>
    <t>ec9946ee-0b6d-41a1-8d83-9ce8e8723938</t>
  </si>
  <si>
    <t>/PT/FT/PY/ec9946ee-0                                         
                                                      ec9946ee-0/
BI/14747798/BN/Plum Fintech Ltd 2-7 Clerkenwell Grn/AB/185008 LON
DON,  CANARY WHARF E14/AB3/CITIBANK NA/OB/185008 LONDON,  CANARY 
WHARF E14/OB3/CITIBANK NA/BO/Plum Fintech Ltd 2-7 Clerkenwell Grn</t>
  </si>
  <si>
    <t>1e72d3e5-4</t>
  </si>
  <si>
    <t>1E72D3E5 4</t>
  </si>
  <si>
    <t>1e72d3e5-4f7e-4037-bbb8-32bffec52ad3</t>
  </si>
  <si>
    <t>/PT/FT/PY/1e72d3e5-4                                         
                                                      1e72d3e5-4/
BI/14747798/BN/Plum Fintech Ltd 2-7 Clerkenwell Grn/AB/185008 LON
DON,  CANARY WHARF E14/AB3/CITIBANK NA/OB/185008 LONDON,  CANARY 
WHARF E14/OB3/CITIBANK NA/BO/Plum Fintech Ltd 2-7 Clerkenwell Grn</t>
  </si>
  <si>
    <t>47496321a</t>
  </si>
  <si>
    <t>47496321A</t>
  </si>
  <si>
    <t>719a8410-72ce-4ed2-8fcc-5e112c9e304b</t>
  </si>
  <si>
    <t>/PT/FT/PY/47496321a                                          
                                                      47496321a/B
I/61361585/BN/Nottingham Building Society Nottingham Building Soc
iety/AB/608009 NOTTINGHAM, SMITHS BANK (C)/AB3/NAT WEST BANK PLC/
OB/185008 LONDON,  CANARY WHARF E14/OB3/CITIBANK NA/BO/Plum Finte
ch Ltd 2-7 Clerkenwell Grn</t>
  </si>
  <si>
    <t>ff508444-e</t>
  </si>
  <si>
    <t>FF508444 E</t>
  </si>
  <si>
    <t>ff508444-e04f-4b9e-a8e5-5286b52afd09</t>
  </si>
  <si>
    <t>/PT/FT/PY/ff508444-e                                         
                                                      ff508444-e/
BI/14747798/BN/Plum Fintech Ltd 2-7 Clerkenwell Grn/AB/185008 LON
DON,  CANARY WHARF E14/AB3/CITIBANK NA/OB/185008 LONDON,  CANARY 
WHARF E14/OB3/CITIBANK NA/BO/Plum Fintech Ltd 2-7 Clerkenwell Grn</t>
  </si>
  <si>
    <t>9e58f7b3-3</t>
  </si>
  <si>
    <t>9E58F7B3 3</t>
  </si>
  <si>
    <t>9e58f7b3-3e79-45ab-8e81-80a6ab0a8685</t>
  </si>
  <si>
    <t>/PT/FT/PY/9e58f7b3-3                                         
                                                      9e58f7b3-3/
BI/14747798/BN/Plum Fintech Ltd 2-7 Clerkenwell Grn/AB/185008 LON
DON,  CANARY WHARF E14/AB3/CITIBANK NA/OB/185008 LONDON,  CANARY 
WHARF E14/OB3/CITIBANK NA/BO/Plum Fintech Ltd 2-7 Clerkenwell Grn</t>
  </si>
  <si>
    <t>3054adef-6</t>
  </si>
  <si>
    <t>3054ADEF 6</t>
  </si>
  <si>
    <t>3054adef-60fa-4588-87e4-2c2788514d35</t>
  </si>
  <si>
    <t>/PT/FT/PY/3054adef-6                                         
                                                      3054adef-6/
BI/14747798/BN/Plum Fintech Ltd 2-7 Clerkenwell Grn/AB/185008 LON
DON,  CANARY WHARF E14/AB3/CITIBANK NA/OB/185008 LONDON,  CANARY 
WHARF E14/OB3/CITIBANK NA/BO/Plum Fintech Ltd 2-7 Clerkenwell Grn</t>
  </si>
  <si>
    <t>6362d774a</t>
  </si>
  <si>
    <t>6362D774A</t>
  </si>
  <si>
    <t>fc9a4984-c9a1-494d-8d79-d7fc1726a91f</t>
  </si>
  <si>
    <t>/PT/FT/PY/6362d774a                                          
                                                      6362d774a/B
I/13774759/BN/Tembo Tembo/AB/203370 GLASGOW/AB3/BARCLAYS BANK PLC
/OB/185008 LONDON,  CANARY WHARF E14/OB3/CITIBANK NA/BO/Plum Fint
ech Ltd 2-7 Clerkenwell Grn</t>
  </si>
  <si>
    <t>f42f09f1-6</t>
  </si>
  <si>
    <t>F42F09F1 6</t>
  </si>
  <si>
    <t>f42f09f1-6059-444f-a237-64946909e463</t>
  </si>
  <si>
    <t>/PT/FT/PY/f42f09f1-6                                         
                                                      f42f09f1-6/
BI/14747798/BN/Plum Fintech Ltd 2-7 Clerkenwell Grn/AB/185008 LON
DON,  CANARY WHARF E14/AB3/CITIBANK NA/OB/185008 LONDON,  CANARY 
WHARF E14/OB3/CITIBANK NA/BO/Plum Fintech Ltd 2-7 Clerkenwell Grn</t>
  </si>
  <si>
    <t>f16bd1b9-9</t>
  </si>
  <si>
    <t>F16BD1B9 9</t>
  </si>
  <si>
    <t>f16bd1b9-9beb-482b-b1f4-dbd35b520e12</t>
  </si>
  <si>
    <t>/PT/FT/PY/f16bd1b9-9                                         
                                                      f16bd1b9-9/
BI/14747798/BN/Plum Fintech Ltd 2-7 Clerkenwell Grn/AB/185008 LON
DON,  CANARY WHARF E14/AB3/CITIBANK NA/OB/185008 LONDON,  CANARY 
WHARF E14/OB3/CITIBANK NA/BO/Plum Fintech Ltd 2-7 Clerkenwell Grn</t>
  </si>
  <si>
    <t>f06ae618-6</t>
  </si>
  <si>
    <t>F06AE618 6</t>
  </si>
  <si>
    <t>f06ae618-607a-468f-957e-9f2441873bbb</t>
  </si>
  <si>
    <t>/PT/FT/PY/f06ae618-6                                         
                                                      f06ae618-6/
BI/14747798/BN/Plum Fintech Ltd 2-7 Clerkenwell Grn/AB/185008 LON
DON,  CANARY WHARF E14/AB3/CITIBANK NA/OB/185008 LONDON,  CANARY 
WHARF E14/OB3/CITIBANK NA/BO/Plum Fintech Ltd 2-7 Clerkenwell Grn</t>
  </si>
  <si>
    <t>311e418f-a</t>
  </si>
  <si>
    <t>311E418F A</t>
  </si>
  <si>
    <t>311e418f-a9be-4565-91d8-d8cc1557c7e9</t>
  </si>
  <si>
    <t>/PT/FT/PY/311e418f-a                                         
                                                      311e418f-a/
BI/14747798/BN/Plum Fintech Ltd 2-7 Clerkenwell Grn/AB/185008 LON
DON,  CANARY WHARF E14/AB3/CITIBANK NA/OB/185008 LONDON,  CANARY 
WHARF E14/OB3/CITIBANK NA/BO/Plum Fintech Ltd 2-7 Clerkenwell Grn</t>
  </si>
  <si>
    <t>14867d1f-6</t>
  </si>
  <si>
    <t>14867D1F 6</t>
  </si>
  <si>
    <t>14867d1f-6ab3-4f15-a597-e3c08e7a57a4</t>
  </si>
  <si>
    <t>/PT/FT/PY/14867d1f-6                                         
                                                      14867d1f-6/
BI/14747798/BN/Plum Fintech Ltd 2-7 Clerkenwell Grn/AB/185008 LON
DON,  CANARY WHARF E14/AB3/CITIBANK NA/OB/185008 LONDON,  CANARY 
WHARF E14/OB3/CITIBANK NA/BO/Plum Fintech Ltd 2-7 Clerkenwell Grn</t>
  </si>
  <si>
    <t>1676000090950979</t>
  </si>
  <si>
    <t>6c2e2bb2-032a-466a-b05c-35085300bdfc</t>
  </si>
  <si>
    <t>/PT/FT/PY/O/O SAVEABLE LISA CORP ACCT (INTERELISARESIDUAL1506
26/OA/GBP584,21/BI/15242487/BN/SAVEABLE LTD 2-7,CLERKENWELL GREEN
 LONDON,LONDON, CITY OF,EC1R 0DE GB/AB/CITIBANK LONDON/BO/1556623
1/BO1/SAVEABLE LISA CORP ACCT (INTEREST)</t>
  </si>
  <si>
    <t>CISA Funding</t>
  </si>
  <si>
    <t>Outstanding Funding:</t>
  </si>
  <si>
    <t>CISA Residual Payment</t>
  </si>
  <si>
    <t>Shortfall / Surplus / Interest</t>
  </si>
  <si>
    <t>Returned</t>
  </si>
  <si>
    <t>Date Returned</t>
  </si>
  <si>
    <t>Shortfall</t>
  </si>
  <si>
    <t>Yes</t>
  </si>
  <si>
    <t>16/7/2025 (rec dated 15/07)</t>
  </si>
  <si>
    <t xml:space="preserve">Taken from Firm account </t>
  </si>
  <si>
    <t>No</t>
  </si>
  <si>
    <t>17/7/2025 (rec dated 16/07)</t>
  </si>
  <si>
    <t>18/7/2025 (rec dated 17/07)</t>
  </si>
  <si>
    <t>21/7/2025 (rec dated 18/07)</t>
  </si>
  <si>
    <t>22/7/2025 (rec dated 21/07)</t>
  </si>
  <si>
    <t xml:space="preserve">Transfer from Citi Interest to Firn 24/07 to cover previous payments. </t>
  </si>
  <si>
    <t>23/7/2025 (rec dated 22/07)</t>
  </si>
  <si>
    <t>Taken from CISA interest account</t>
  </si>
  <si>
    <t>24/7/2025 (rec dated 23/07)</t>
  </si>
  <si>
    <t>25/7/2025 (rec dated 24/07)</t>
  </si>
  <si>
    <t>28/7/2025 (rec dated 25/07)</t>
  </si>
  <si>
    <t>29/7/2025 (rec dated 28/07)</t>
  </si>
  <si>
    <t>30/7/2025 (rec dated 29/07)</t>
  </si>
  <si>
    <t>31/7/2025 (rec dated 30/07)</t>
  </si>
  <si>
    <t>04/08/2025 (rec dated 01/08)</t>
  </si>
  <si>
    <t>05/08/2025 (rec dated 04/08)</t>
  </si>
  <si>
    <t>06/08/2025 (rec dated 05/08)</t>
  </si>
  <si>
    <t>04/06//25</t>
  </si>
  <si>
    <t>07/08/2025 (rec dated 06/08)</t>
  </si>
  <si>
    <t>08/08/2025 (rec dated 07/08)</t>
  </si>
  <si>
    <t>26/6/2025 Paid back to firm 29/07/2025</t>
  </si>
  <si>
    <t>11/08/2025 (rec dated 08/08)</t>
  </si>
  <si>
    <t>12/08/2025 (rec dated 11/08)</t>
  </si>
  <si>
    <t>Surplus</t>
  </si>
  <si>
    <t>13/08/2025 (rec dated 12/08)</t>
  </si>
  <si>
    <t>14/08/2025 (rec dated 13/08)</t>
  </si>
  <si>
    <t>15/08/2025 (rec dated 14/08)</t>
  </si>
  <si>
    <t>-</t>
  </si>
  <si>
    <t>Updated on breaks and funding tracker Breaks &amp; Funding</t>
  </si>
  <si>
    <t>19/08/2025 (rec dated 18/08)</t>
  </si>
  <si>
    <t>20/08/2025 (rec dated 19/08)</t>
  </si>
  <si>
    <r>
      <rPr>
        <rFont val="Arial"/>
        <b/>
        <color theme="1"/>
        <sz val="10.0"/>
      </rPr>
      <t xml:space="preserve">Aggregate differences
</t>
    </r>
    <r>
      <rPr>
        <rFont val="Arial"/>
        <color theme="1"/>
        <sz val="10.0"/>
      </rPr>
      <t>Total amount of aggregate differences totalling £5001.57. To be investigated with Engineering. 
21/5/2025        -1.48
30/6/2025        -5,000.00
1/7/2025        -0.07
31/7/2025        -0.49
1/8/2025        -54.90
4/8/2025        -11.20
11/8/2025        47.80
13/8/2025        18.77
28/08/2025        4,979.41
16/09/2025      - 2,024.65
17/9/2025        -2,078.15
22/09/2025       -100.50</t>
    </r>
  </si>
  <si>
    <t>LISA Funding</t>
  </si>
  <si>
    <t>LISA Residual Payment</t>
  </si>
  <si>
    <t>1208/2025 (rec dated 11/08)</t>
  </si>
  <si>
    <t>Taken from LISA interest account</t>
  </si>
  <si>
    <t>Shortdall</t>
  </si>
  <si>
    <t>ffdc63f4-0031-4d05-8b97-68d4b7dbfc26</t>
  </si>
  <si>
    <r>
      <rPr>
        <rFont val="Arial"/>
        <b/>
        <color theme="1"/>
        <sz val="10.0"/>
      </rPr>
      <t>Aggregate differences</t>
    </r>
    <r>
      <rPr>
        <rFont val="Arial"/>
        <color theme="1"/>
        <sz val="10.0"/>
      </rPr>
      <t xml:space="preserve"> 
- Totalling £28.75 To be investigated with Engineering. 
11/06/25        -0.25
02/07/25        -6.25
09/07/25        -5.00
28/07/25        1.25
29/07/25        1.25
11/8/2025        -20.00
22/08/2025       0.25
26/08/2025     1.25</t>
    </r>
  </si>
  <si>
    <r>
      <rPr>
        <rFont val="Arial"/>
        <b/>
        <color theme="1"/>
        <sz val="10.0"/>
      </rPr>
      <t xml:space="preserve">HMRC Gov Bonus - 
</t>
    </r>
    <r>
      <rPr>
        <rFont val="Arial"/>
        <color theme="1"/>
        <sz val="10.0"/>
      </rPr>
      <t xml:space="preserve">26/06/25 - There is a bank credit of £744,678.33 which is from HMRC. Total amount of HMRC payments made to Users for £743,028.33, awaiting further £1,650 to be allocated. Amount of £650 incorrectly applied for Bonus Claims, now cancelled 07/07. Currently under investigation. Remaining amount of £1000 to be allocated.   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           
24/07/25 - In relation to payment received for 1,054,327.32 HMRC Givernment Bonus - Amount of 1,053,673.07 has been allocated to users 25/07 however amount of £654.25 is currently under investigation and Engineering to contact HMRC for confirmation of funds and if to be allocated to a User. Protected in the meantime as this is unidentified at this time.
25/07 - In relation to payment received for 1,054,327.32 HMRC Government Bonus - Amount of  £1,040,889.23 was allocated causing a difference of £12783.84 that is still to be allocated to Users. Further amount of £10,868.09 has been paid to users. The remaining amount is currently under investigation with Engineering. 
</t>
    </r>
  </si>
  <si>
    <t>Breaks on Cash ISA</t>
  </si>
  <si>
    <t>8.88+</t>
  </si>
  <si>
    <t>Break Details</t>
  </si>
  <si>
    <t>Action / Resolution</t>
  </si>
  <si>
    <t>Transfer Ref</t>
  </si>
  <si>
    <t>Payin</t>
  </si>
  <si>
    <t>Resolved</t>
  </si>
  <si>
    <t>Date Break Cleared</t>
  </si>
  <si>
    <t>Failed withdrawal</t>
  </si>
  <si>
    <t>Ledger Debit not on User Balance</t>
  </si>
  <si>
    <t>dce5d4c1-9c23-4eae-a966-5b36a5ae87b6</t>
  </si>
  <si>
    <t>Withdrawals to be completed on Admin or money to be returned from Modulr. In relation to interest due to users.</t>
  </si>
  <si>
    <t>c9abd5c7-d93a-4351-9bfe-77c259a28c03</t>
  </si>
  <si>
    <r>
      <rPr>
        <rFont val="Arial"/>
        <color rgb="FF1155CC"/>
        <sz val="11.0"/>
        <u/>
      </rPr>
      <t>https://withplum.atlassian.net/browse/EST-25099</t>
    </r>
  </si>
  <si>
    <t>4514ee7a-5f90-414c-b32f-f547b44cb939</t>
  </si>
  <si>
    <r>
      <rPr>
        <rFont val="Arial"/>
        <color rgb="FF1155CC"/>
        <sz val="11.0"/>
        <u/>
      </rPr>
      <t>https://withplum.atlassian.net/browse/EST-25099</t>
    </r>
  </si>
  <si>
    <t>cb78e76c-0ff2-4af3-afd1-757e11034999</t>
  </si>
  <si>
    <t>d1d3a73b-15ac-4ac9-9234-aa8aa56bea7a</t>
  </si>
  <si>
    <r>
      <rPr>
        <rFont val="Arial"/>
        <color rgb="FF1155CC"/>
        <sz val="11.0"/>
        <u/>
      </rPr>
      <t>[EST-25098] Please complete these CISA withdrawals - Plum</t>
    </r>
  </si>
  <si>
    <t>ce220f93-3e90-42f2-8396-683fca501a44</t>
  </si>
  <si>
    <t>a2b340f2-1911-49f1-9993-5b811393a542</t>
  </si>
  <si>
    <r>
      <rPr>
        <rFont val="Arial"/>
        <color rgb="FF1155CC"/>
        <sz val="11.0"/>
        <u/>
      </rPr>
      <t>[EST-25098] Please complete these CISA withdrawals - Plum</t>
    </r>
  </si>
  <si>
    <t>b785972a-1d81-46f0-9fc3-3b5c2507672a</t>
  </si>
  <si>
    <t>d99968b6-9f8f-4bee-b98d-84f5c0549bb7</t>
  </si>
  <si>
    <r>
      <rPr>
        <rFont val="Arial"/>
        <color rgb="FF1155CC"/>
        <sz val="11.0"/>
        <u/>
      </rPr>
      <t>[EST-25098] Please complete these CISA withdrawals - Plum</t>
    </r>
  </si>
  <si>
    <t>6ecdae71-b69e-4ba4-a7ea-a2f56c256088</t>
  </si>
  <si>
    <t>9eefdde5-a234-4d5a-a12c-4dadfd88521d</t>
  </si>
  <si>
    <r>
      <rPr>
        <rFont val="Arial"/>
        <color rgb="FF1155CC"/>
        <sz val="11.0"/>
        <u/>
      </rPr>
      <t>[EST-25098] Please complete these CISA withdrawals - Plum</t>
    </r>
  </si>
  <si>
    <t>f3031514-e29f-47c8-a888-f450f6f5db4b</t>
  </si>
  <si>
    <t>835e0a9c-099e-454f-a94c-e6014e11294c</t>
  </si>
  <si>
    <r>
      <rPr>
        <rFont val="Arial"/>
        <color rgb="FF1155CC"/>
        <sz val="11.0"/>
        <u/>
      </rPr>
      <t>[EST-25098] Please complete these CISA withdrawals - Plum</t>
    </r>
  </si>
  <si>
    <t>0d2d9a5d-85a6-4b5a-8b56-334db1ec054f</t>
  </si>
  <si>
    <r>
      <rPr>
        <rFont val="Arial"/>
        <color rgb="FF1155CC"/>
        <sz val="11.0"/>
        <u/>
      </rPr>
      <t>[EST-25098] Please complete these CISA withdrawals - Plum</t>
    </r>
  </si>
  <si>
    <t>Negative Balance on user</t>
  </si>
  <si>
    <t>c2a2c63d-8e71-4f8e-ba09-1311592b6d96</t>
  </si>
  <si>
    <t>Ticket raised. Engineering to resolve negative balance. 21.98 to possibly be recovered from monudlr?</t>
  </si>
  <si>
    <t>05f827a3-a9ba-4417-83e0-c052ef6881a1</t>
  </si>
  <si>
    <r>
      <rPr>
        <rFont val="Arial"/>
        <color rgb="FF1155CC"/>
        <sz val="10.0"/>
        <u/>
      </rPr>
      <t>[EST-27525] Negative Balance Paul Leslie Tait - User ID: c2a2c63d-8e71-4f8e-ba09-1311592b6d96 - Plum</t>
    </r>
  </si>
  <si>
    <t>Duplicate allocation 26/02</t>
  </si>
  <si>
    <t>1b0621db-886e-4be0-997a-b838648d190a</t>
  </si>
  <si>
    <t xml:space="preserve">Ticket updated to ensure additional 1p to be removed from User and Potential Breach form raised. </t>
  </si>
  <si>
    <t>719e2773-971f-439d-a35c-3be7dab1d653</t>
  </si>
  <si>
    <t>https://withplum.atlassian.net/servicedesk/customer/portal/10/EST-25453?created=true</t>
  </si>
  <si>
    <t>Failed Withdrawals - Ticket to be raised and amount to be removed from CM account</t>
  </si>
  <si>
    <t>User debit not applied to bulk ledger</t>
  </si>
  <si>
    <t>159be175-dcec-4def-b055-7884d858620d</t>
  </si>
  <si>
    <t>Ticket raised - Awaiting withdrawals to be completed. In relation to interest payments due to user.</t>
  </si>
  <si>
    <r>
      <rPr>
        <rFont val="Arial"/>
        <color rgb="FF1155CC"/>
        <sz val="10.0"/>
        <u/>
      </rPr>
      <t>[EST-25844] Errored withdrawals - Aggregate Withdrawal ID 666f85c9-02cf-4267-b626-7e467127a416 - Plum</t>
    </r>
  </si>
  <si>
    <t>2b4c0c19-06f4-449c-83f0-331e5fb747a1</t>
  </si>
  <si>
    <r>
      <rPr>
        <rFont val="Arial"/>
        <color rgb="FF1155CC"/>
        <sz val="10.0"/>
        <u/>
      </rPr>
      <t>[EST-25844] Errored withdrawals - Aggregate Withdrawal ID 666f85c9-02cf-4267-b626-7e467127a416 - Plum</t>
    </r>
  </si>
  <si>
    <t>d4c443c9-6584-42a2-ae4b-95304c51198e</t>
  </si>
  <si>
    <r>
      <rPr>
        <rFont val="Arial"/>
        <color rgb="FF1155CC"/>
        <sz val="10.0"/>
        <u/>
      </rPr>
      <t>[EST-25844] Errored withdrawals - Aggregate Withdrawal ID 666f85c9-02cf-4267-b626-7e467127a416 - Plum</t>
    </r>
  </si>
  <si>
    <t>4364b71d-13bb-4661-ac39-37ece7750805</t>
  </si>
  <si>
    <r>
      <rPr>
        <rFont val="Arial"/>
        <color rgb="FF1155CC"/>
        <sz val="10.0"/>
        <u/>
      </rPr>
      <t>[EST-25844] Errored withdrawals - Aggregate Withdrawal ID 666f85c9-02cf-4267-b626-7e467127a416 - Plum</t>
    </r>
  </si>
  <si>
    <t>eb5095ca-d07b-498f-b038-241020bb0306</t>
  </si>
  <si>
    <r>
      <rPr>
        <rFont val="Arial"/>
        <color rgb="FF1155CC"/>
        <sz val="10.0"/>
        <u/>
      </rPr>
      <t>[EST-25844] Errored withdrawals - Aggregate Withdrawal ID 666f85c9-02cf-4267-b626-7e467127a416 - Plum</t>
    </r>
  </si>
  <si>
    <t>Negative Balance on User 28/02, funded from Firm account. Amount corrected on User however amount was paid out 28/02.</t>
  </si>
  <si>
    <t>597b5d03-59ad-4897-ac73-a960734ba0fa</t>
  </si>
  <si>
    <t xml:space="preserve">Ticket raised, awaitng amount to be returned. </t>
  </si>
  <si>
    <t>https://withplum.atlassian.net/browse/EST-26438</t>
  </si>
  <si>
    <t>Duplicate allocation 11/03</t>
  </si>
  <si>
    <t>b9a99515-a55f-47c1-b2c7-95cb22ca7c7b</t>
  </si>
  <si>
    <t>Ticket updated to ensure additional 1p to be removed from User and breach added to log under 25-PLU-006</t>
  </si>
  <si>
    <r>
      <rPr>
        <rFont val="Arial"/>
        <color rgb="FF1155CC"/>
        <sz val="10.0"/>
        <u/>
      </rPr>
      <t>Please apply the residual to Martyn Neil Jones - Engineering Support - Jira Service Management</t>
    </r>
  </si>
  <si>
    <t xml:space="preserve">Bulk Aggregate debit has been paid however 2p has not removed from User balance.        </t>
  </si>
  <si>
    <t>7cf6f8a5-89e1-40e0-98cc-7a67bcbc3864</t>
  </si>
  <si>
    <t>Ticket to be raised. Funds to be debited from User profile.</t>
  </si>
  <si>
    <t>https://withplum.atlassian.net/browse/EST-26722</t>
  </si>
  <si>
    <t>Residuals applied to users, not taken off unalloc</t>
  </si>
  <si>
    <t>User Debit not on Ledger</t>
  </si>
  <si>
    <t>These residuals are applied</t>
  </si>
  <si>
    <t>Ledger debits not applies to user</t>
  </si>
  <si>
    <t>916fe8a4-dfe4-460a-b70d-81dbf3ac91ed</t>
  </si>
  <si>
    <t>09190fcf-5e3c-4577-b7da-52a534daca4b</t>
  </si>
  <si>
    <t>[EST-21253] Users withdrawal failure - Ceri Cummings - Plum</t>
  </si>
  <si>
    <t>User withdrawal not on ledger</t>
  </si>
  <si>
    <t>[EST-20722] User Withdrawal - £2.72 - David John Fensome - Plum</t>
  </si>
  <si>
    <t xml:space="preserve">Combined User Balance wasn't calculating correctly </t>
  </si>
  <si>
    <t>User Credit not on Ledger</t>
  </si>
  <si>
    <t>Data resolved this issue</t>
  </si>
  <si>
    <t>Under Investigation</t>
  </si>
  <si>
    <t>Was removed from unalloc 31/12</t>
  </si>
  <si>
    <t>Residual applied</t>
  </si>
  <si>
    <t>Applied and taken off unalloc</t>
  </si>
  <si>
    <r>
      <rPr>
        <rFont val="Calibri"/>
        <color rgb="FF1155CC"/>
        <sz val="11.0"/>
        <u/>
      </rPr>
      <t>Please apply the residual to Juliet Deane-Williams - Engineering Support - Jira Service Management</t>
    </r>
  </si>
  <si>
    <t>Taken off unalloc</t>
  </si>
  <si>
    <t>Ledger Credit not on User Balance</t>
  </si>
  <si>
    <t>Unkown Difference</t>
  </si>
  <si>
    <t>This was a stalled withdrawal from 29/11 clearing</t>
  </si>
  <si>
    <t>1p put on unalloc</t>
  </si>
  <si>
    <t>Was taken off unalloc</t>
  </si>
  <si>
    <t>Residual related</t>
  </si>
  <si>
    <t>8.02 - correctly applied - cleared</t>
  </si>
  <si>
    <t>https://withplum.atlassian.net/browse/EST-25212</t>
  </si>
  <si>
    <t>Was applied and taken off unalloc</t>
  </si>
  <si>
    <t xml:space="preserve">Duplicate payment </t>
  </si>
  <si>
    <t xml:space="preserve">Duplicate payment made on the bank, debit user once </t>
  </si>
  <si>
    <t>a6d87c59-374c-4c9d-b0b0-c0846487971f</t>
  </si>
  <si>
    <t>Breach raised under reference 25-PLU-005 - currently open and under investigation. Wealth Ops have requested funds to be returned.</t>
  </si>
  <si>
    <t>038226dd-4251-4760-b051-e92c616d6794</t>
  </si>
  <si>
    <t>695e4a1b-b892-4e4e-a564-fc2ff0362c93</t>
  </si>
  <si>
    <t>[EST-16901] Pending User Debit - £200.00 - 038226dd-4251-4760-b051-e92c616d6794 - Plum (atlassian.net)</t>
  </si>
  <si>
    <r>
      <rPr>
        <rFont val="Calibri"/>
        <color rgb="FF1155CC"/>
        <sz val="11.0"/>
        <u/>
      </rPr>
      <t>https://withplum.atlassian.net/browse/EST-25104</t>
    </r>
  </si>
  <si>
    <t>Duplicate ledger entries.</t>
  </si>
  <si>
    <t>ea86d8e1-bef2-4aaf-b429-be0d61a62546</t>
  </si>
  <si>
    <t>This is an aged break, two £50 did not go through. Ticket raised to ask two of the withdrawals ledger entries to be cancelled.</t>
  </si>
  <si>
    <t>fa5c715d-e9a8-4678-b471-729d2d9c2f55
 5033a631-1d2c-40fb-bf73-5643dd9911c7</t>
  </si>
  <si>
    <t>https://withplum.atlassian.net/browse/EST-25102</t>
  </si>
  <si>
    <t>Negative Balance on User - Amount to be funded from Firm account to cover shortfall. Ticket to be raised.</t>
  </si>
  <si>
    <t xml:space="preserve">Ticket to be raised and user to be corrected. </t>
  </si>
  <si>
    <t>Residual Issue</t>
  </si>
  <si>
    <t>e796d1ac-628a-4442-83be-919c49d9cb12</t>
  </si>
  <si>
    <t>Residual was never eadded, new ticket raised, breach of 10 days</t>
  </si>
  <si>
    <t>https://withplum.atlassian.net/browse/EST-25203</t>
  </si>
  <si>
    <t>ENG</t>
  </si>
  <si>
    <t xml:space="preserve">14.39 - wrongly applied - ticket raised
</t>
  </si>
  <si>
    <t>Duplicate Payment made 17/04</t>
  </si>
  <si>
    <t>Duplicate payment created within admin for the transfer out value 10.82 - This was one entry on the transfer out sheet however input in the payment instrument twice.</t>
  </si>
  <si>
    <t>Duplicate Payment made 05/03</t>
  </si>
  <si>
    <r>
      <rPr>
        <rFont val="Arial"/>
        <color rgb="FF1155CC"/>
        <sz val="11.0"/>
        <u/>
      </rPr>
      <t>71683c4c-8276-46cf-a15e-bbe254f071e3</t>
    </r>
  </si>
  <si>
    <t>Breach form raised and being investigated by payments. Amount funded from Firm account.</t>
  </si>
  <si>
    <t>Adjusted due to Aggregate debit that was paid out 27/03 however two withdrawals have failed in the system. To be investigated however has not been corrected 28/03.</t>
  </si>
  <si>
    <r>
      <rPr>
        <rFont val="Arial"/>
        <color rgb="FF1155CC"/>
        <sz val="11.0"/>
        <u/>
      </rPr>
      <t>66694b08-0ca6-446b-a8d7-32ccfdd9b4a7</t>
    </r>
  </si>
  <si>
    <t>Currently awaiting response from Modular regarding User. Awaiting Engineering to correct users balance. Once resolved, funds to be moved back to Firm.</t>
  </si>
  <si>
    <t>https://withplum.slack.com/archives/C05TJ8110T0/p1744035482712879</t>
  </si>
  <si>
    <r>
      <rPr>
        <rFont val="Arial"/>
        <color rgb="FF1155CC"/>
        <sz val="11.0"/>
        <u/>
      </rPr>
      <t>f44bb625-61fc-4b60-80c8-b8dc3a2d2fed</t>
    </r>
  </si>
  <si>
    <t>Negative Balance on User</t>
  </si>
  <si>
    <t>Negative Balance</t>
  </si>
  <si>
    <t>87d3f1b4-6c75-412e-b764-75f3016c58d0</t>
  </si>
  <si>
    <t>Ticket raised now awaiting funds to be returned</t>
  </si>
  <si>
    <r>
      <rPr>
        <rFont val="Arial"/>
        <color rgb="FF1155CC"/>
        <sz val="10.0"/>
        <u/>
      </rPr>
      <t>[EST-27526] Negative Balance Louise McCartney - User ID: 87d3f1b4-6c75-412e-b764-75f3016c58d0 - Plum</t>
    </r>
  </si>
  <si>
    <t>d426e6fa-2ac7-4c51-9ade-d99d77bfdd8a</t>
  </si>
  <si>
    <r>
      <rPr>
        <rFont val="Arial"/>
        <color rgb="FF1155CC"/>
        <sz val="10.0"/>
        <u/>
      </rPr>
      <t>[EST-27527] Negative CISA Balance Lucy Ann North - User ID: d426e6fa-2ac7-4c51-9ade-d99d77bfdd8a - Plum</t>
    </r>
  </si>
  <si>
    <t>Duplicate amount paid out 04/04</t>
  </si>
  <si>
    <t>66701fd1-8689-4684-aa2c-3466ec31eacc</t>
  </si>
  <si>
    <t>Wealth Ops to arrange for funds to be returned and breach form to be raised</t>
  </si>
  <si>
    <t>Funded from firm due to failed aggregate debit</t>
  </si>
  <si>
    <t>739ecc3c-f66c-4784-b5ec-60b2824ac27d</t>
  </si>
  <si>
    <t>https://withplum.atlassian.net/browse/EST-28016</t>
  </si>
  <si>
    <t>Duplicate Payment</t>
  </si>
  <si>
    <t>Payment stuck in Modulr</t>
  </si>
  <si>
    <t>a6a2b184-1f02-4d0c-b4e5-cf0d400024a1</t>
  </si>
  <si>
    <t>Compliance have been notified and awaiting Modulr to enable engineering to make payment.</t>
  </si>
  <si>
    <t>Ticket raised - Amount to be corrected on User</t>
  </si>
  <si>
    <t>https://withplum.atlassian.net/browse/EST-29080</t>
  </si>
  <si>
    <t>f3a3a0f8-e6b9-475e-8cf7-c0db312ffc9b</t>
  </si>
  <si>
    <t>18711dbf-3119-4f01-ac18-f1b174a8ef77</t>
  </si>
  <si>
    <t>https://withplum.atlassian.net/browse/EST-29078</t>
  </si>
  <si>
    <t>Part of the Aggregate debits paid out 30/04 -  Amount is stuck in Modulr</t>
  </si>
  <si>
    <t>72f7a3ce-af33-4440-9cb0-1e11432af8fe</t>
  </si>
  <si>
    <t>Part of the Aggregate debits paid out 30/04 -  Amount is stuck in Modulr. Compliance to contact Modulr</t>
  </si>
  <si>
    <t>Discrepency in amount debited from users for transfers out and sum of payouts. Raised with Wealth Ops - under investigation and to be funded.</t>
  </si>
  <si>
    <t>Amount incorrectly paid out 07/05</t>
  </si>
  <si>
    <t xml:space="preserve">Amount paid out incorrectly 07/05 - Amount funded from Firm and Potential Breach form to be raised. </t>
  </si>
  <si>
    <t>e9d881bc-28bc-4874-b81b-56a31ed14bef</t>
  </si>
  <si>
    <t>Ticket raised - Amount to be corrected on User. https://withplum.atlassian.net/browse/EST-29920</t>
  </si>
  <si>
    <t>Duplicate payment - funded same day as error</t>
  </si>
  <si>
    <t>a2bfc7ff-f1ae-47d1-a26f-6e844ca5c3a0</t>
  </si>
  <si>
    <t>Funded from firm account 15/05 - Breach form to be raised</t>
  </si>
  <si>
    <t>725272c3-2859-4981-9c0a-ac78fe68530d</t>
  </si>
  <si>
    <t>Ticket to be raised - Amount to be corrected on User</t>
  </si>
  <si>
    <t>Payment made but the transfer out process had already been started.</t>
  </si>
  <si>
    <t>https://withplum.atlassian.net/browse/EST-30550</t>
  </si>
  <si>
    <t>https://withplum.atlassian.net/browse/EST-30552</t>
  </si>
  <si>
    <t>Reconciliation Difference</t>
  </si>
  <si>
    <t>Under investigation</t>
  </si>
  <si>
    <t>Part returned for £2,168.71 05/06</t>
  </si>
  <si>
    <t>Not to be included</t>
  </si>
  <si>
    <t>Funded from Firm account 17/06 - Breach raised</t>
  </si>
  <si>
    <t>Unknown reconciliation difference</t>
  </si>
  <si>
    <t>Under investigation - Funded from firm account</t>
  </si>
  <si>
    <t>Duplicate Payments</t>
  </si>
  <si>
    <t xml:space="preserve">Funded from firm account - awaiting funds to be returned </t>
  </si>
  <si>
    <t>Original amount £351,544.50, remaining amount as at 02/07 is £257,435.34</t>
  </si>
  <si>
    <t>Removed from CM to Firm - Under Investigation</t>
  </si>
  <si>
    <t>Overpayment</t>
  </si>
  <si>
    <t>Overpayment made, funded from firm to CM awating funds to be returned, breach raised</t>
  </si>
  <si>
    <t>Amounts owed to trading 212 currently under investigation</t>
  </si>
  <si>
    <t>Shortfall due to duplicate payment</t>
  </si>
  <si>
    <t>Funded from Firm to CM - await funds to be returned</t>
  </si>
  <si>
    <t>Breaks on Lifetime ISA</t>
  </si>
  <si>
    <t>HMRC payment failed but money has come off user balance</t>
  </si>
  <si>
    <t>0ab83bfa-e7ee-4ff4-9f0c-5c3512b61ebd</t>
  </si>
  <si>
    <t>Under investigation with Engineering</t>
  </si>
  <si>
    <t xml:space="preserve">£2.25 surplus in LISA CM </t>
  </si>
  <si>
    <t>Removed from CM under investigation</t>
  </si>
  <si>
    <t>Unknown difference</t>
  </si>
  <si>
    <t>Funded from Firm to CM - under investigation</t>
  </si>
  <si>
    <t>Unknown Surplus</t>
  </si>
  <si>
    <t>Removed from CM to Firm - under investigation</t>
  </si>
  <si>
    <t>*Amount returned to CM differs, please see reconciliation dated 11/07</t>
  </si>
  <si>
    <t>Shortfall due to Unalloc corrections from 01/07</t>
  </si>
  <si>
    <t>Surplus due to unalloc corrections</t>
  </si>
  <si>
    <t>Shortfall due to Unalloc</t>
  </si>
  <si>
    <t xml:space="preserve">Unknown shortfall </t>
  </si>
  <si>
    <t>Ledger IDs</t>
  </si>
  <si>
    <t>Admin link</t>
  </si>
  <si>
    <t>Account Name</t>
  </si>
  <si>
    <t>Account Number</t>
  </si>
  <si>
    <t>Sort Code</t>
  </si>
  <si>
    <t>Currency</t>
  </si>
  <si>
    <t>Shortfalls Funded by</t>
  </si>
  <si>
    <t>Interest Funded by</t>
  </si>
  <si>
    <t>Ledger ID</t>
  </si>
  <si>
    <t>Citi</t>
  </si>
  <si>
    <t>SAVEABLE UK CLIENT MONEY (GBP)</t>
  </si>
  <si>
    <t>GBP</t>
  </si>
  <si>
    <t>PLUM FINTECH UK CORP (GBP)</t>
  </si>
  <si>
    <t>SAVEABLE CISA CORP ACCT (INTEREST)</t>
  </si>
  <si>
    <t>6c1c7250-7f15-4ae0-bd39-bab724ee00a8</t>
  </si>
  <si>
    <t>SAVEABLE UK CLIENT MONEY (EUR)</t>
  </si>
  <si>
    <t>EUR</t>
  </si>
  <si>
    <t>PLUM FINTECH UK CORP (EUR)</t>
  </si>
  <si>
    <t>SAVEABLE CASH ISA CLIENT ACCOUNT</t>
  </si>
  <si>
    <t>SAVEABLE CORPORATE ACCOUNT</t>
  </si>
  <si>
    <t>SAVEABLE CISA CORPORATE ACCT (INTER</t>
  </si>
  <si>
    <t>3318b971-a19e-4821-a872-a03fe68032a7</t>
  </si>
  <si>
    <t xml:space="preserve">SAVEABLE CISA 30D NOTICE </t>
  </si>
  <si>
    <t>a286ac14-d015-4e57-81ce-d7a7559feb23</t>
  </si>
  <si>
    <t>CISA Client Bank Acc</t>
  </si>
  <si>
    <t>QNB (Barclays)</t>
  </si>
  <si>
    <t>QATAR NATIONAL BANK QPSC</t>
  </si>
  <si>
    <t>SAVEABLE LIMITED A/C CASH ISA</t>
  </si>
  <si>
    <t>N/A - QMMF</t>
  </si>
  <si>
    <t>SAVEABLE LISA CLIENT MONEY ACCOUNT</t>
  </si>
  <si>
    <t>SAVEABLE LISA CORP ACCT (INTEREST)</t>
  </si>
  <si>
    <t>2c1cfae7-83ac-4397-a66a-6ffd8f14a728</t>
  </si>
  <si>
    <t>SAVEABLE LIFETIME ISA CLIENT ACCOUN</t>
  </si>
  <si>
    <t>SAVEABLE LISA CORPORATE ACCT (INTER</t>
  </si>
  <si>
    <t>9336a888-33b4-4793-9afe-1accfd7028f8</t>
  </si>
  <si>
    <t>SAVEABLE LISA 30D NOTICE</t>
  </si>
  <si>
    <t>47f2a66a-4eef-4be5-88e6-6c754f910a3b</t>
  </si>
  <si>
    <t>LISA Client Bank Acc</t>
  </si>
  <si>
    <t>SAVEABLE LTD LIFETIME A/C ISA CLIENT ACCOUNT</t>
  </si>
  <si>
    <t>Reconciliation actions (automations)</t>
  </si>
  <si>
    <t>Send daily reconciliation report</t>
  </si>
  <si>
    <t>Update 1. CISA Debits and Credits from Rec data</t>
  </si>
  <si>
    <t>Update 1. LISA Debits and Credits from Rec data</t>
  </si>
  <si>
    <t>Update 5. CISA Internal Workings tab</t>
  </si>
  <si>
    <t>Update 7. CISA External Workings tab</t>
  </si>
  <si>
    <t>Update 8. CISA Citi v Ledger tab</t>
  </si>
  <si>
    <t>Update 10. LISA Internal Workings tab</t>
  </si>
  <si>
    <t>Update 12. LISA External Workings tab</t>
  </si>
  <si>
    <t>Update 13. LISA Citi v Ledger tab</t>
  </si>
  <si>
    <t>Update all 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</si>
</sst>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d/m/yyyy"/>
    <numFmt numFmtId="165" formatCode="dd/mm/yyyy"/>
    <numFmt numFmtId="166" formatCode="&quot;£&quot;#,##0.00"/>
    <numFmt numFmtId="167" formatCode="yyyy-mm-dd"/>
    <numFmt numFmtId="168" formatCode="_([$£-809]* #,##0.00_);_([$£-809]* \(#,##0.00\);_([$£-809]* &quot;-&quot;??_);_(@_)"/>
    <numFmt numFmtId="169" formatCode="_([$£-809]* #,##0_);_([$£-809]* \(#,##0\);_([$£-809]* &quot;-&quot;??_);_(@_)"/>
    <numFmt numFmtId="170" formatCode="dd/MM/yyyy"/>
    <numFmt numFmtId="171" formatCode="&quot;£&quot;#,##0"/>
    <numFmt numFmtId="172" formatCode="[$£-809]#,##0.00"/>
    <numFmt numFmtId="173" formatCode="&quot;£&quot;#,##0.00;[Red]\-&quot;£&quot;#,##0.00"/>
    <numFmt numFmtId="174" formatCode="_-* #,##0.00_-;\-* #,##0.00_-;_-* &quot;-&quot;??_-;_-@"/>
    <numFmt numFmtId="175" formatCode="dd/mm"/>
    <numFmt numFmtId="176" formatCode="dd/mm/yyyy hh:mm:ss"/>
    <numFmt numFmtId="177" formatCode="m/d/yyyy h:mm:ss"/>
    <numFmt numFmtId="178" formatCode="dd/mm/yyyy hh:mm"/>
    <numFmt numFmtId="179" formatCode="d/m/yyyy hh:mm:ss"/>
    <numFmt numFmtId="180" formatCode="dd/mm/yy"/>
    <numFmt numFmtId="181" formatCode="#,##0.00000"/>
    <numFmt numFmtId="182" formatCode="yyyy\-mm\-dd"/>
    <numFmt numFmtId="183" formatCode="D/M/YYYY"/>
    <numFmt numFmtId="184" formatCode="d/m/yy"/>
  </numFmts>
  <fonts count="107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5.0"/>
      <color theme="1"/>
      <name val="Arial"/>
    </font>
    <font>
      <b/>
      <u/>
      <color rgb="FFFFFFFF"/>
      <name val="Arial"/>
    </font>
    <font/>
    <font>
      <b/>
      <color rgb="FFFFFFFF"/>
      <name val="Arial"/>
    </font>
    <font>
      <b/>
      <color theme="1"/>
      <name val="Arial"/>
    </font>
    <font>
      <u/>
      <color rgb="FF1155CC"/>
      <name val="Arial"/>
    </font>
    <font>
      <b/>
      <color rgb="FF1155CC"/>
      <name val="Arial"/>
    </font>
    <font>
      <b/>
      <u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22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sz val="9.0"/>
      <color rgb="FF1D1C1D"/>
      <name val="Lato"/>
    </font>
    <font>
      <b/>
      <sz val="9.0"/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b/>
      <u/>
      <sz val="20.0"/>
      <color theme="1"/>
      <name val="Arial"/>
    </font>
    <font>
      <u/>
      <color theme="1"/>
      <name val="Arial"/>
    </font>
    <font>
      <i/>
      <sz val="9.0"/>
      <color theme="1"/>
      <name val="Arial"/>
    </font>
    <font>
      <u/>
      <color rgb="FF1155CC"/>
      <name val="Arial"/>
    </font>
    <font>
      <u/>
      <color theme="1"/>
      <name val="Arial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Calibri"/>
    </font>
    <font>
      <b/>
      <u/>
      <sz val="15.0"/>
      <color theme="1"/>
      <name val="Arial"/>
    </font>
    <font>
      <b/>
      <sz val="14.0"/>
      <color theme="1"/>
      <name val="Calibri"/>
    </font>
    <font>
      <b/>
      <sz val="11.0"/>
      <color theme="1"/>
      <name val="Arial"/>
    </font>
    <font>
      <i/>
      <sz val="10.0"/>
      <color theme="1"/>
      <name val="Arial"/>
    </font>
    <font>
      <b/>
      <sz val="11.0"/>
      <color rgb="FFFFFFFF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sz val="10.0"/>
      <color theme="0"/>
      <name val="Arial"/>
    </font>
    <font>
      <sz val="10.0"/>
      <color rgb="FFFFFFFF"/>
      <name val="Arial"/>
    </font>
    <font>
      <sz val="10.0"/>
      <color theme="1"/>
      <name val="Calibri"/>
    </font>
    <font>
      <sz val="10.0"/>
      <color rgb="FF1F1F1F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u/>
      <sz val="20.0"/>
      <color rgb="FF000000"/>
      <name val="Arial"/>
    </font>
    <font>
      <b/>
      <sz val="20.0"/>
      <color rgb="FF000000"/>
      <name val="Arial"/>
    </font>
    <font>
      <b/>
      <sz val="10.0"/>
      <color rgb="FF000000"/>
      <name val="Arial"/>
    </font>
    <font>
      <b/>
      <u/>
      <sz val="12.0"/>
      <color rgb="FF00000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i/>
      <sz val="10.0"/>
      <color rgb="FF000000"/>
      <name val="Arial"/>
    </font>
    <font>
      <u/>
      <color rgb="FF0000FF"/>
      <name val="Arial"/>
    </font>
    <font>
      <sz val="18.0"/>
      <color rgb="FF000000"/>
      <name val="Arial"/>
    </font>
    <font>
      <b/>
      <sz val="11.0"/>
      <color rgb="FF000000"/>
      <name val="Calibri"/>
    </font>
    <font>
      <sz val="10.0"/>
      <color rgb="FFD8D8D8"/>
      <name val="Arial"/>
    </font>
    <font>
      <i/>
      <sz val="10.0"/>
      <color rgb="FF999999"/>
      <name val="Arial"/>
    </font>
    <font>
      <u/>
      <sz val="10.0"/>
      <color rgb="FF0070C0"/>
      <name val="Arial"/>
    </font>
    <font>
      <u/>
      <sz val="10.0"/>
      <color rgb="FF0070C0"/>
      <name val="Arial"/>
    </font>
    <font>
      <u/>
      <sz val="10.0"/>
      <color rgb="FF0070C0"/>
      <name val="Arial"/>
    </font>
    <font>
      <b/>
      <sz val="11.0"/>
      <color rgb="FF262D33"/>
      <name val="Arial"/>
    </font>
    <font>
      <sz val="8.0"/>
      <color rgb="FF363636"/>
      <name val="Arial"/>
    </font>
    <font>
      <sz val="11.0"/>
      <color rgb="FF000000"/>
      <name val="Arial"/>
    </font>
    <font>
      <b/>
      <sz val="20.0"/>
      <color theme="1"/>
      <name val="Arial"/>
    </font>
    <font>
      <b/>
      <color rgb="FF000000"/>
      <name val="Arial"/>
    </font>
    <font>
      <u/>
      <color rgb="FF1155CC"/>
      <name val="Arial"/>
    </font>
    <font>
      <i/>
      <color theme="1"/>
      <name val="Arial"/>
    </font>
    <font>
      <b/>
      <sz val="11.0"/>
      <color theme="1"/>
      <name val="Calibri"/>
    </font>
    <font>
      <sz val="11.0"/>
      <color theme="1"/>
      <name val="Aptos Narrow"/>
    </font>
    <font>
      <color rgb="FF000000"/>
      <name val="Arial"/>
      <scheme val="minor"/>
    </font>
    <font>
      <sz val="11.0"/>
      <color rgb="FF000000"/>
      <name val="Aptos Narrow"/>
    </font>
    <font>
      <b/>
      <sz val="11.0"/>
      <color rgb="FF000000"/>
      <name val="Aptos Narrow"/>
    </font>
    <font>
      <sz val="11.0"/>
      <color theme="1"/>
      <name val="Arial"/>
    </font>
    <font>
      <b/>
      <sz val="11.0"/>
      <color theme="1"/>
      <name val="Aptos Narrow"/>
    </font>
    <font>
      <u/>
      <sz val="10.0"/>
      <color rgb="FF0000FF"/>
      <name val="Arial"/>
    </font>
    <font>
      <u/>
      <color rgb="FF1155CC"/>
      <name val="Arial"/>
    </font>
    <font>
      <color rgb="FFFFFFFF"/>
      <name val="Arial"/>
    </font>
    <font>
      <i/>
      <sz val="9.0"/>
      <color rgb="FF1F1F1F"/>
      <name val="Arial"/>
    </font>
    <font>
      <sz val="10.0"/>
      <color rgb="FF0070C0"/>
      <name val="Arial"/>
    </font>
    <font>
      <sz val="11.0"/>
      <color rgb="FF000000"/>
      <name val="Calibri"/>
    </font>
    <font>
      <b/>
      <color rgb="FFFF0000"/>
      <name val="Arial"/>
    </font>
    <font>
      <u/>
      <color rgb="FF1155CC"/>
      <name val="Arial"/>
    </font>
    <font>
      <color rgb="FF000000"/>
      <name val="Arial"/>
    </font>
    <font>
      <b/>
      <sz val="22.0"/>
      <color rgb="FFFFFFFF"/>
      <name val="Calibri"/>
    </font>
    <font>
      <u/>
      <sz val="10.0"/>
      <color theme="1"/>
      <name val="Arial"/>
    </font>
    <font>
      <u/>
      <sz val="10.0"/>
      <color theme="1"/>
      <name val="Arial"/>
    </font>
    <font>
      <u/>
      <sz val="11.0"/>
      <color rgb="FF0563C1"/>
      <name val="Arial"/>
    </font>
    <font>
      <sz val="11.0"/>
      <color theme="1"/>
      <name val="Calibri"/>
    </font>
    <font>
      <u/>
      <color rgb="FF1155CC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1155CC"/>
      <name val="Arial"/>
    </font>
    <font>
      <u/>
      <sz val="11.0"/>
      <color rgb="FF0000FF"/>
      <name val="Arial"/>
    </font>
    <font>
      <u/>
      <color rgb="FF0000FF"/>
      <name val="Arial"/>
    </font>
    <font>
      <u/>
      <sz val="11.0"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sz val="10.0"/>
      <color theme="1"/>
      <name val="Arial"/>
    </font>
    <font>
      <u/>
      <color rgb="FF0000FF"/>
    </font>
    <font>
      <b/>
      <sz val="16.0"/>
      <color rgb="FF000000"/>
      <name val="Arial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F8F8F8"/>
        <bgColor rgb="FFF8F8F8"/>
      </patternFill>
    </fill>
    <fill>
      <patternFill patternType="solid">
        <fgColor rgb="FFD8D8D8"/>
        <bgColor rgb="FFD8D8D8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2CEEF"/>
        <bgColor rgb="FFF2CEEF"/>
      </patternFill>
    </fill>
    <fill>
      <patternFill patternType="solid">
        <fgColor rgb="FFD0E0E3"/>
        <bgColor rgb="FFD0E0E3"/>
      </patternFill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E6B8AF"/>
        <bgColor rgb="FFE6B8AF"/>
      </patternFill>
    </fill>
    <fill>
      <patternFill patternType="solid">
        <fgColor rgb="FFD2F1DA"/>
        <bgColor rgb="FFD2F1DA"/>
      </patternFill>
    </fill>
    <fill>
      <patternFill patternType="solid">
        <fgColor rgb="FFFAFAFA"/>
        <bgColor rgb="FFFAFAFA"/>
      </patternFill>
    </fill>
    <fill>
      <patternFill patternType="solid">
        <fgColor rgb="FF7030A0"/>
        <bgColor rgb="FF7030A0"/>
      </patternFill>
    </fill>
  </fills>
  <borders count="8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top/>
    </border>
    <border>
      <top/>
    </border>
    <border>
      <left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center"/>
    </xf>
    <xf borderId="3" fillId="2" fontId="4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2" fontId="6" numFmtId="0" xfId="0" applyBorder="1" applyFont="1"/>
    <xf borderId="6" fillId="2" fontId="6" numFmtId="0" xfId="0" applyAlignment="1" applyBorder="1" applyFont="1">
      <alignment horizontal="center"/>
    </xf>
    <xf borderId="7" fillId="2" fontId="6" numFmtId="0" xfId="0" applyBorder="1" applyFont="1"/>
    <xf borderId="8" fillId="0" fontId="5" numFmtId="0" xfId="0" applyBorder="1" applyFont="1"/>
    <xf borderId="6" fillId="3" fontId="7" numFmtId="0" xfId="0" applyBorder="1" applyFill="1" applyFont="1"/>
    <xf borderId="6" fillId="3" fontId="1" numFmtId="0" xfId="0" applyBorder="1" applyFont="1"/>
    <xf borderId="9" fillId="0" fontId="1" numFmtId="0" xfId="0" applyAlignment="1" applyBorder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 vertical="bottom"/>
    </xf>
    <xf borderId="0" fillId="0" fontId="1" numFmtId="0" xfId="0" applyFont="1"/>
    <xf borderId="6" fillId="0" fontId="1" numFmtId="165" xfId="0" applyAlignment="1" applyBorder="1" applyFont="1" applyNumberFormat="1">
      <alignment shrinkToFit="0" wrapText="1"/>
    </xf>
    <xf borderId="6" fillId="0" fontId="1" numFmtId="165" xfId="0" applyAlignment="1" applyBorder="1" applyFont="1" applyNumberFormat="1">
      <alignment horizontal="center"/>
    </xf>
    <xf borderId="10" fillId="0" fontId="5" numFmtId="0" xfId="0" applyBorder="1" applyFont="1"/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Font="1" applyNumberFormat="1"/>
    <xf borderId="0" fillId="0" fontId="1" numFmtId="3" xfId="0" applyFont="1" applyNumberFormat="1"/>
    <xf borderId="6" fillId="0" fontId="1" numFmtId="165" xfId="0" applyBorder="1" applyFont="1" applyNumberFormat="1"/>
    <xf borderId="0" fillId="0" fontId="1" numFmtId="4" xfId="0" applyFont="1" applyNumberFormat="1"/>
    <xf borderId="6" fillId="4" fontId="6" numFmtId="165" xfId="0" applyBorder="1" applyFill="1" applyFont="1" applyNumberFormat="1"/>
    <xf borderId="6" fillId="4" fontId="1" numFmtId="165" xfId="0" applyBorder="1" applyFont="1" applyNumberFormat="1"/>
    <xf borderId="0" fillId="0" fontId="1" numFmtId="165" xfId="0" applyFont="1" applyNumberFormat="1"/>
    <xf borderId="0" fillId="0" fontId="7" numFmtId="0" xfId="0" applyFont="1"/>
    <xf borderId="3" fillId="2" fontId="10" numFmtId="165" xfId="0" applyAlignment="1" applyBorder="1" applyFont="1" applyNumberFormat="1">
      <alignment horizontal="center"/>
    </xf>
    <xf borderId="0" fillId="0" fontId="1" numFmtId="166" xfId="0" applyAlignment="1" applyFont="1" applyNumberFormat="1">
      <alignment vertical="bottom"/>
    </xf>
    <xf borderId="6" fillId="2" fontId="6" numFmtId="165" xfId="0" applyBorder="1" applyFont="1" applyNumberFormat="1"/>
    <xf borderId="6" fillId="2" fontId="6" numFmtId="165" xfId="0" applyAlignment="1" applyBorder="1" applyFont="1" applyNumberFormat="1">
      <alignment horizontal="center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6" fillId="3" fontId="7" numFmtId="165" xfId="0" applyBorder="1" applyFont="1" applyNumberFormat="1"/>
    <xf borderId="6" fillId="3" fontId="1" numFmtId="165" xfId="0" applyBorder="1" applyFont="1" applyNumberFormat="1"/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6" fillId="4" fontId="1" numFmtId="0" xfId="0" applyBorder="1" applyFont="1"/>
    <xf borderId="6" fillId="0" fontId="7" numFmtId="165" xfId="0" applyBorder="1" applyFont="1" applyNumberFormat="1"/>
    <xf borderId="6" fillId="0" fontId="7" numFmtId="165" xfId="0" applyAlignment="1" applyBorder="1" applyFont="1" applyNumberFormat="1">
      <alignment horizontal="center"/>
    </xf>
    <xf borderId="3" fillId="0" fontId="7" numFmtId="0" xfId="0" applyAlignment="1" applyBorder="1" applyFont="1">
      <alignment readingOrder="0" vertical="bottom"/>
    </xf>
    <xf borderId="0" fillId="0" fontId="1" numFmtId="167" xfId="0" applyFont="1" applyNumberFormat="1"/>
    <xf borderId="11" fillId="0" fontId="5" numFmtId="0" xfId="0" applyBorder="1" applyFont="1"/>
    <xf borderId="6" fillId="0" fontId="7" numFmtId="0" xfId="0" applyAlignment="1" applyBorder="1" applyFont="1">
      <alignment vertical="bottom"/>
    </xf>
    <xf borderId="6" fillId="0" fontId="7" numFmtId="4" xfId="0" applyAlignment="1" applyBorder="1" applyFont="1" applyNumberFormat="1">
      <alignment vertical="bottom"/>
    </xf>
    <xf borderId="6" fillId="0" fontId="7" numFmtId="3" xfId="0" applyAlignment="1" applyBorder="1" applyFont="1" applyNumberFormat="1">
      <alignment vertical="bottom"/>
    </xf>
    <xf borderId="0" fillId="0" fontId="1" numFmtId="167" xfId="0" applyAlignment="1" applyFont="1" applyNumberFormat="1">
      <alignment vertical="bottom"/>
    </xf>
    <xf borderId="12" fillId="3" fontId="7" numFmtId="4" xfId="0" applyAlignment="1" applyBorder="1" applyFont="1" applyNumberFormat="1">
      <alignment vertical="bottom"/>
    </xf>
    <xf borderId="13" fillId="3" fontId="7" numFmtId="4" xfId="0" applyAlignment="1" applyBorder="1" applyFont="1" applyNumberFormat="1">
      <alignment horizontal="right" vertical="bottom"/>
    </xf>
    <xf borderId="5" fillId="3" fontId="1" numFmtId="3" xfId="0" applyAlignment="1" applyBorder="1" applyFont="1" applyNumberFormat="1">
      <alignment vertical="bottom"/>
    </xf>
    <xf borderId="14" fillId="0" fontId="1" numFmtId="0" xfId="0" applyAlignment="1" applyBorder="1" applyFont="1">
      <alignment vertical="bottom"/>
    </xf>
    <xf borderId="15" fillId="3" fontId="7" numFmtId="4" xfId="0" applyAlignment="1" applyBorder="1" applyFont="1" applyNumberFormat="1">
      <alignment vertical="bottom"/>
    </xf>
    <xf borderId="16" fillId="3" fontId="7" numFmtId="4" xfId="0" applyAlignment="1" applyBorder="1" applyFont="1" applyNumberFormat="1">
      <alignment horizontal="right" vertical="bottom"/>
    </xf>
    <xf borderId="17" fillId="5" fontId="7" numFmtId="165" xfId="0" applyBorder="1" applyFill="1" applyFont="1" applyNumberFormat="1"/>
    <xf borderId="18" fillId="5" fontId="7" numFmtId="165" xfId="0" applyBorder="1" applyFont="1" applyNumberFormat="1"/>
    <xf borderId="19" fillId="0" fontId="1" numFmtId="165" xfId="0" applyBorder="1" applyFont="1" applyNumberFormat="1"/>
    <xf borderId="20" fillId="0" fontId="1" numFmtId="4" xfId="0" applyAlignment="1" applyBorder="1" applyFont="1" applyNumberFormat="1">
      <alignment horizontal="right" readingOrder="0" vertical="bottom"/>
    </xf>
    <xf borderId="21" fillId="0" fontId="1" numFmtId="4" xfId="0" applyAlignment="1" applyBorder="1" applyFont="1" applyNumberFormat="1">
      <alignment horizontal="right" readingOrder="0" vertical="bottom"/>
    </xf>
    <xf borderId="22" fillId="6" fontId="7" numFmtId="165" xfId="0" applyAlignment="1" applyBorder="1" applyFill="1" applyFont="1" applyNumberFormat="1">
      <alignment vertical="bottom"/>
    </xf>
    <xf borderId="23" fillId="6" fontId="1" numFmtId="168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6" fillId="0" fontId="7" numFmtId="11" xfId="0" applyAlignment="1" applyBorder="1" applyFont="1" applyNumberFormat="1">
      <alignment vertical="bottom"/>
    </xf>
    <xf borderId="24" fillId="0" fontId="1" numFmtId="165" xfId="0" applyBorder="1" applyFont="1" applyNumberFormat="1"/>
    <xf borderId="20" fillId="0" fontId="1" numFmtId="4" xfId="0" applyAlignment="1" applyBorder="1" applyFont="1" applyNumberFormat="1">
      <alignment horizontal="right" vertical="bottom"/>
    </xf>
    <xf borderId="22" fillId="6" fontId="7" numFmtId="165" xfId="0" applyBorder="1" applyFont="1" applyNumberFormat="1"/>
    <xf borderId="23" fillId="6" fontId="7" numFmtId="169" xfId="0" applyAlignment="1" applyBorder="1" applyFont="1" applyNumberFormat="1">
      <alignment horizontal="right"/>
    </xf>
    <xf borderId="0" fillId="0" fontId="1" numFmtId="11" xfId="0" applyAlignment="1" applyFont="1" applyNumberFormat="1">
      <alignment vertical="bottom"/>
    </xf>
    <xf borderId="0" fillId="0" fontId="1" numFmtId="11" xfId="0" applyFont="1" applyNumberFormat="1"/>
    <xf borderId="3" fillId="3" fontId="7" numFmtId="4" xfId="0" applyAlignment="1" applyBorder="1" applyFont="1" applyNumberFormat="1">
      <alignment vertical="bottom"/>
    </xf>
    <xf borderId="4" fillId="3" fontId="7" numFmtId="4" xfId="0" applyAlignment="1" applyBorder="1" applyFont="1" applyNumberFormat="1">
      <alignment horizontal="right" vertical="bottom"/>
    </xf>
    <xf borderId="5" fillId="3" fontId="1" numFmtId="4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8" xfId="0" applyAlignment="1" applyFont="1" applyNumberFormat="1">
      <alignment vertical="bottom"/>
    </xf>
    <xf borderId="0" fillId="0" fontId="11" numFmtId="0" xfId="0" applyAlignment="1" applyFont="1">
      <alignment readingOrder="0" vertical="center"/>
    </xf>
    <xf borderId="0" fillId="0" fontId="1" numFmtId="165" xfId="0" applyAlignment="1" applyFont="1" applyNumberFormat="1">
      <alignment readingOrder="0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4" xfId="0" applyAlignment="1" applyFont="1" applyNumberFormat="1">
      <alignment readingOrder="0" vertical="center"/>
    </xf>
    <xf borderId="0" fillId="0" fontId="11" numFmtId="3" xfId="0" applyAlignment="1" applyFont="1" applyNumberFormat="1">
      <alignment readingOrder="0" vertical="center"/>
    </xf>
    <xf borderId="0" fillId="0" fontId="11" numFmtId="11" xfId="0" applyAlignment="1" applyFont="1" applyNumberFormat="1">
      <alignment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4" xfId="0" applyAlignment="1" applyFont="1" applyNumberFormat="1">
      <alignment readingOrder="0" vertical="center"/>
    </xf>
    <xf borderId="0" fillId="7" fontId="11" numFmtId="0" xfId="0" applyAlignment="1" applyFill="1" applyFont="1">
      <alignment readingOrder="0" vertical="center"/>
    </xf>
    <xf borderId="0" fillId="7" fontId="1" numFmtId="165" xfId="0" applyAlignment="1" applyFont="1" applyNumberFormat="1">
      <alignment readingOrder="0"/>
    </xf>
    <xf borderId="0" fillId="7" fontId="11" numFmtId="0" xfId="0" applyAlignment="1" applyFont="1">
      <alignment horizontal="center" vertical="center"/>
    </xf>
    <xf borderId="0" fillId="7" fontId="11" numFmtId="0" xfId="0" applyAlignment="1" applyFont="1">
      <alignment vertical="center"/>
    </xf>
    <xf borderId="0" fillId="7" fontId="11" numFmtId="4" xfId="0" applyAlignment="1" applyFont="1" applyNumberFormat="1">
      <alignment readingOrder="0" vertical="center"/>
    </xf>
    <xf borderId="0" fillId="0" fontId="12" numFmtId="0" xfId="0" applyAlignment="1" applyFont="1">
      <alignment readingOrder="0" vertical="center"/>
    </xf>
    <xf borderId="25" fillId="8" fontId="13" numFmtId="0" xfId="0" applyAlignment="1" applyBorder="1" applyFill="1" applyFont="1">
      <alignment horizontal="center"/>
    </xf>
    <xf borderId="26" fillId="0" fontId="5" numFmtId="0" xfId="0" applyBorder="1" applyFont="1"/>
    <xf borderId="0" fillId="0" fontId="14" numFmtId="0" xfId="0" applyFont="1"/>
    <xf borderId="27" fillId="0" fontId="5" numFmtId="0" xfId="0" applyBorder="1" applyFont="1"/>
    <xf borderId="6" fillId="8" fontId="15" numFmtId="0" xfId="0" applyBorder="1" applyFont="1"/>
    <xf borderId="6" fillId="0" fontId="12" numFmtId="170" xfId="0" applyBorder="1" applyFont="1" applyNumberFormat="1"/>
    <xf borderId="0" fillId="0" fontId="11" numFmtId="0" xfId="0" applyFont="1"/>
    <xf borderId="3" fillId="8" fontId="16" numFmtId="0" xfId="0" applyAlignment="1" applyBorder="1" applyFont="1">
      <alignment horizontal="center" vertical="center"/>
    </xf>
    <xf borderId="6" fillId="9" fontId="17" numFmtId="0" xfId="0" applyAlignment="1" applyBorder="1" applyFill="1" applyFont="1">
      <alignment horizontal="center" vertical="center"/>
    </xf>
    <xf borderId="6" fillId="9" fontId="15" numFmtId="0" xfId="0" applyAlignment="1" applyBorder="1" applyFont="1">
      <alignment horizontal="center" vertical="center"/>
    </xf>
    <xf borderId="6" fillId="10" fontId="18" numFmtId="0" xfId="0" applyAlignment="1" applyBorder="1" applyFill="1" applyFon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6" fillId="11" fontId="19" numFmtId="171" xfId="0" applyAlignment="1" applyBorder="1" applyFill="1" applyFont="1" applyNumberFormat="1">
      <alignment horizontal="center" vertical="center"/>
    </xf>
    <xf borderId="6" fillId="11" fontId="19" numFmtId="171" xfId="0" applyAlignment="1" applyBorder="1" applyFont="1" applyNumberFormat="1">
      <alignment horizontal="right" vertical="center"/>
    </xf>
    <xf borderId="6" fillId="0" fontId="1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right"/>
    </xf>
    <xf borderId="0" fillId="0" fontId="20" numFmtId="171" xfId="0" applyAlignment="1" applyFont="1" applyNumberFormat="1">
      <alignment horizontal="center"/>
    </xf>
    <xf borderId="0" fillId="0" fontId="18" numFmtId="0" xfId="0" applyAlignment="1" applyFont="1">
      <alignment horizontal="center" shrinkToFit="0" vertical="center" wrapText="1"/>
    </xf>
    <xf borderId="0" fillId="0" fontId="18" numFmtId="171" xfId="0" applyAlignment="1" applyFont="1" applyNumberFormat="1">
      <alignment horizontal="right" shrinkToFit="0" vertical="center" wrapText="1"/>
    </xf>
    <xf borderId="6" fillId="0" fontId="18" numFmtId="171" xfId="0" applyAlignment="1" applyBorder="1" applyFont="1" applyNumberFormat="1">
      <alignment horizontal="right" shrinkToFit="0" vertical="center" wrapText="1"/>
    </xf>
    <xf borderId="6" fillId="11" fontId="19" numFmtId="166" xfId="0" applyAlignment="1" applyBorder="1" applyFont="1" applyNumberFormat="1">
      <alignment horizontal="right" vertical="center"/>
    </xf>
    <xf borderId="6" fillId="0" fontId="18" numFmtId="166" xfId="0" applyAlignment="1" applyBorder="1" applyFont="1" applyNumberFormat="1">
      <alignment horizontal="right" shrinkToFit="0" vertical="center" wrapText="1"/>
    </xf>
    <xf borderId="6" fillId="8" fontId="15" numFmtId="0" xfId="0" applyAlignment="1" applyBorder="1" applyFont="1">
      <alignment vertical="center"/>
    </xf>
    <xf borderId="3" fillId="9" fontId="17" numFmtId="0" xfId="0" applyAlignment="1" applyBorder="1" applyFont="1">
      <alignment horizontal="left" vertical="center"/>
    </xf>
    <xf borderId="28" fillId="9" fontId="17" numFmtId="0" xfId="0" applyAlignment="1" applyBorder="1" applyFont="1">
      <alignment horizontal="left" vertical="center"/>
    </xf>
    <xf borderId="29" fillId="0" fontId="5" numFmtId="0" xfId="0" applyBorder="1" applyFont="1"/>
    <xf borderId="6" fillId="10" fontId="18" numFmtId="0" xfId="0" applyAlignment="1" applyBorder="1" applyFont="1">
      <alignment horizontal="left" shrinkToFit="0" vertical="center" wrapText="1"/>
    </xf>
    <xf borderId="6" fillId="0" fontId="18" numFmtId="166" xfId="0" applyAlignment="1" applyBorder="1" applyFont="1" applyNumberFormat="1">
      <alignment shrinkToFit="0" vertical="bottom" wrapText="1"/>
    </xf>
    <xf borderId="10" fillId="0" fontId="18" numFmtId="166" xfId="0" applyAlignment="1" applyBorder="1" applyFont="1" applyNumberFormat="1">
      <alignment shrinkToFit="0" wrapText="1"/>
    </xf>
    <xf borderId="4" fillId="10" fontId="18" numFmtId="0" xfId="0" applyAlignment="1" applyBorder="1" applyFont="1">
      <alignment horizontal="left" shrinkToFit="0" vertical="center" wrapText="1"/>
    </xf>
    <xf borderId="3" fillId="0" fontId="18" numFmtId="166" xfId="0" applyAlignment="1" applyBorder="1" applyFont="1" applyNumberFormat="1">
      <alignment shrinkToFit="0" vertical="bottom" wrapText="1"/>
    </xf>
    <xf borderId="3" fillId="10" fontId="18" numFmtId="0" xfId="0" applyAlignment="1" applyBorder="1" applyFont="1">
      <alignment horizontal="left" shrinkToFit="0" vertical="center" wrapText="1"/>
    </xf>
    <xf borderId="0" fillId="0" fontId="14" numFmtId="171" xfId="0" applyFont="1" applyNumberFormat="1"/>
    <xf borderId="6" fillId="10" fontId="7" numFmtId="0" xfId="0" applyAlignment="1" applyBorder="1" applyFont="1">
      <alignment horizontal="center" shrinkToFit="0" vertical="bottom" wrapText="1"/>
    </xf>
    <xf borderId="6" fillId="0" fontId="19" numFmtId="166" xfId="0" applyAlignment="1" applyBorder="1" applyFont="1" applyNumberFormat="1">
      <alignment horizontal="right"/>
    </xf>
    <xf borderId="0" fillId="0" fontId="11" numFmtId="4" xfId="0" applyFont="1" applyNumberFormat="1"/>
    <xf borderId="0" fillId="0" fontId="21" numFmtId="166" xfId="0" applyFont="1" applyNumberFormat="1"/>
    <xf borderId="6" fillId="0" fontId="19" numFmtId="172" xfId="0" applyAlignment="1" applyBorder="1" applyFont="1" applyNumberFormat="1">
      <alignment horizontal="right"/>
    </xf>
    <xf borderId="0" fillId="0" fontId="14" numFmtId="173" xfId="0" applyFont="1" applyNumberFormat="1"/>
    <xf borderId="9" fillId="10" fontId="14" numFmtId="0" xfId="0" applyAlignment="1" applyBorder="1" applyFont="1">
      <alignment horizontal="center" shrinkToFit="0" vertical="center" wrapText="1"/>
    </xf>
    <xf borderId="9" fillId="0" fontId="11" numFmtId="166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6" fillId="0" fontId="11" numFmtId="166" xfId="0" applyAlignment="1" applyBorder="1" applyFont="1" applyNumberFormat="1">
      <alignment horizontal="center" readingOrder="0" shrinkToFit="0" vertical="center" wrapText="1"/>
    </xf>
    <xf borderId="6" fillId="10" fontId="14" numFmtId="0" xfId="0" applyAlignment="1" applyBorder="1" applyFont="1">
      <alignment horizontal="center" shrinkToFit="0" vertical="center" wrapText="1"/>
    </xf>
    <xf borderId="6" fillId="0" fontId="18" numFmtId="166" xfId="0" applyAlignment="1" applyBorder="1" applyFont="1" applyNumberFormat="1">
      <alignment horizontal="left" readingOrder="0" shrinkToFit="0" vertical="center" wrapText="1"/>
    </xf>
    <xf borderId="3" fillId="8" fontId="16" numFmtId="0" xfId="0" applyAlignment="1" applyBorder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6" fillId="9" fontId="17" numFmtId="0" xfId="0" applyAlignment="1" applyBorder="1" applyFont="1">
      <alignment horizontal="center" shrinkToFit="0" vertical="center" wrapText="1"/>
    </xf>
    <xf borderId="6" fillId="9" fontId="15" numFmtId="0" xfId="0" applyAlignment="1" applyBorder="1" applyFont="1">
      <alignment horizontal="center" shrinkToFit="0" vertical="center" wrapText="1"/>
    </xf>
    <xf borderId="6" fillId="10" fontId="22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6" fillId="11" fontId="19" numFmtId="173" xfId="0" applyAlignment="1" applyBorder="1" applyFont="1" applyNumberFormat="1">
      <alignment horizontal="center" shrinkToFit="0" vertical="bottom" wrapText="1"/>
    </xf>
    <xf borderId="6" fillId="11" fontId="19" numFmtId="173" xfId="0" applyAlignment="1" applyBorder="1" applyFont="1" applyNumberFormat="1">
      <alignment horizontal="center" readingOrder="0" shrinkToFit="0" vertical="bottom" wrapText="1"/>
    </xf>
    <xf borderId="6" fillId="11" fontId="19" numFmtId="171" xfId="0" applyAlignment="1" applyBorder="1" applyFont="1" applyNumberFormat="1">
      <alignment horizontal="center"/>
    </xf>
    <xf borderId="6" fillId="0" fontId="22" numFmtId="0" xfId="0" applyAlignment="1" applyBorder="1" applyFont="1">
      <alignment horizontal="center" shrinkToFit="0" vertical="center" wrapText="1"/>
    </xf>
    <xf borderId="6" fillId="11" fontId="19" numFmtId="4" xfId="0" applyAlignment="1" applyBorder="1" applyFont="1" applyNumberFormat="1">
      <alignment horizontal="center" shrinkToFit="0" vertical="bottom" wrapText="1"/>
    </xf>
    <xf borderId="6" fillId="11" fontId="19" numFmtId="4" xfId="0" applyAlignment="1" applyBorder="1" applyFont="1" applyNumberFormat="1">
      <alignment horizontal="center" readingOrder="0" shrinkToFit="0" vertical="bottom" wrapText="1"/>
    </xf>
    <xf borderId="6" fillId="11" fontId="19" numFmtId="4" xfId="0" applyAlignment="1" applyBorder="1" applyFont="1" applyNumberFormat="1">
      <alignment horizontal="center"/>
    </xf>
    <xf borderId="6" fillId="11" fontId="19" numFmtId="166" xfId="0" applyAlignment="1" applyBorder="1" applyFont="1" applyNumberFormat="1">
      <alignment horizontal="center"/>
    </xf>
    <xf borderId="15" fillId="8" fontId="16" numFmtId="0" xfId="0" applyAlignment="1" applyBorder="1" applyFont="1">
      <alignment shrinkToFit="0" vertical="bottom" wrapText="1"/>
    </xf>
    <xf borderId="16" fillId="0" fontId="5" numFmtId="0" xfId="0" applyBorder="1" applyFont="1"/>
    <xf borderId="6" fillId="10" fontId="7" numFmtId="0" xfId="0" applyAlignment="1" applyBorder="1" applyFont="1">
      <alignment horizontal="center" shrinkToFit="0" vertical="bottom" wrapText="1"/>
    </xf>
    <xf borderId="6" fillId="0" fontId="19" numFmtId="166" xfId="0" applyAlignment="1" applyBorder="1" applyFont="1" applyNumberFormat="1">
      <alignment horizontal="right" readingOrder="0" vertical="bottom"/>
    </xf>
    <xf borderId="6" fillId="0" fontId="19" numFmtId="166" xfId="0" applyAlignment="1" applyBorder="1" applyFont="1" applyNumberFormat="1">
      <alignment horizontal="right" vertical="bottom"/>
    </xf>
    <xf borderId="3" fillId="8" fontId="16" numFmtId="0" xfId="0" applyAlignment="1" applyBorder="1" applyFont="1">
      <alignment horizontal="left" vertical="center"/>
    </xf>
    <xf borderId="30" fillId="9" fontId="17" numFmtId="0" xfId="0" applyAlignment="1" applyBorder="1" applyFont="1">
      <alignment horizontal="center" vertical="center"/>
    </xf>
    <xf borderId="30" fillId="9" fontId="15" numFmtId="0" xfId="0" applyAlignment="1" applyBorder="1" applyFont="1">
      <alignment horizontal="center" vertical="center"/>
    </xf>
    <xf quotePrefix="1" borderId="6" fillId="11" fontId="19" numFmtId="171" xfId="0" applyAlignment="1" applyBorder="1" applyFont="1" applyNumberFormat="1">
      <alignment horizontal="center" vertical="center"/>
    </xf>
    <xf borderId="6" fillId="10" fontId="18" numFmtId="0" xfId="0" applyAlignment="1" applyBorder="1" applyFont="1">
      <alignment horizontal="center" shrinkToFit="0" wrapText="1"/>
    </xf>
    <xf borderId="6" fillId="0" fontId="18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7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23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24" numFmtId="16" xfId="0" applyAlignment="1" applyFont="1" applyNumberFormat="1">
      <alignment horizontal="right" shrinkToFit="0" vertical="bottom" wrapText="1"/>
    </xf>
    <xf borderId="0" fillId="5" fontId="7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75" xfId="0" applyAlignment="1" applyFont="1" applyNumberFormat="1">
      <alignment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0" fontId="1" numFmtId="174" xfId="0" applyAlignment="1" applyBorder="1" applyFont="1" applyNumberFormat="1">
      <alignment readingOrder="0" vertical="bottom"/>
    </xf>
    <xf borderId="6" fillId="0" fontId="1" numFmtId="4" xfId="0" applyAlignment="1" applyBorder="1" applyFont="1" applyNumberFormat="1">
      <alignment vertical="bottom"/>
    </xf>
    <xf borderId="6" fillId="0" fontId="1" numFmtId="174" xfId="0" applyAlignment="1" applyBorder="1" applyFont="1" applyNumberFormat="1">
      <alignment vertical="bottom"/>
    </xf>
    <xf borderId="0" fillId="0" fontId="25" numFmtId="0" xfId="0" applyAlignment="1" applyFont="1">
      <alignment vertical="bottom"/>
    </xf>
    <xf borderId="0" fillId="0" fontId="1" numFmtId="174" xfId="0" applyAlignment="1" applyFont="1" applyNumberForma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26" numFmtId="0" xfId="0" applyAlignment="1" applyFont="1">
      <alignment vertical="bottom"/>
    </xf>
    <xf borderId="0" fillId="0" fontId="7" numFmtId="0" xfId="0" applyAlignment="1" applyFont="1">
      <alignment vertical="bottom"/>
    </xf>
    <xf borderId="24" fillId="0" fontId="1" numFmtId="164" xfId="0" applyAlignment="1" applyBorder="1" applyFont="1" applyNumberFormat="1">
      <alignment vertical="bottom"/>
    </xf>
    <xf borderId="31" fillId="0" fontId="1" numFmtId="0" xfId="0" applyAlignment="1" applyBorder="1" applyFont="1">
      <alignment vertical="bottom"/>
    </xf>
    <xf borderId="31" fillId="0" fontId="1" numFmtId="49" xfId="0" applyAlignment="1" applyBorder="1" applyFont="1" applyNumberFormat="1">
      <alignment vertical="bottom"/>
    </xf>
    <xf borderId="31" fillId="0" fontId="1" numFmtId="172" xfId="0" applyAlignment="1" applyBorder="1" applyFont="1" applyNumberFormat="1">
      <alignment vertical="bottom"/>
    </xf>
    <xf borderId="20" fillId="0" fontId="1" numFmtId="4" xfId="0" applyAlignment="1" applyBorder="1" applyFont="1" applyNumberFormat="1">
      <alignment vertical="bottom"/>
    </xf>
    <xf borderId="19" fillId="0" fontId="27" numFmtId="164" xfId="0" applyAlignment="1" applyBorder="1" applyFont="1" applyNumberFormat="1">
      <alignment horizontal="right" vertical="bottom"/>
    </xf>
    <xf borderId="6" fillId="12" fontId="7" numFmtId="0" xfId="0" applyAlignment="1" applyBorder="1" applyFill="1" applyFont="1">
      <alignment shrinkToFit="0" vertical="bottom" wrapText="1"/>
    </xf>
    <xf borderId="32" fillId="0" fontId="1" numFmtId="4" xfId="0" applyAlignment="1" applyBorder="1" applyFont="1" applyNumberFormat="1">
      <alignment horizontal="right" readingOrder="0" vertical="bottom"/>
    </xf>
    <xf borderId="22" fillId="0" fontId="1" numFmtId="164" xfId="0" applyAlignment="1" applyBorder="1" applyFont="1" applyNumberFormat="1">
      <alignment vertical="bottom"/>
    </xf>
    <xf borderId="33" fillId="0" fontId="1" numFmtId="0" xfId="0" applyAlignment="1" applyBorder="1" applyFont="1">
      <alignment vertical="bottom"/>
    </xf>
    <xf borderId="33" fillId="0" fontId="1" numFmtId="49" xfId="0" applyAlignment="1" applyBorder="1" applyFont="1" applyNumberFormat="1">
      <alignment vertical="bottom"/>
    </xf>
    <xf borderId="33" fillId="0" fontId="1" numFmtId="174" xfId="0" applyAlignment="1" applyBorder="1" applyFont="1" applyNumberFormat="1">
      <alignment vertical="bottom"/>
    </xf>
    <xf borderId="23" fillId="0" fontId="1" numFmtId="4" xfId="0" applyAlignment="1" applyBorder="1" applyFont="1" applyNumberFormat="1">
      <alignment vertical="bottom"/>
    </xf>
    <xf borderId="12" fillId="13" fontId="7" numFmtId="0" xfId="0" applyAlignment="1" applyBorder="1" applyFill="1" applyFont="1">
      <alignment vertical="bottom"/>
    </xf>
    <xf borderId="13" fillId="13" fontId="7" numFmtId="0" xfId="0" applyAlignment="1" applyBorder="1" applyFont="1">
      <alignment vertical="bottom"/>
    </xf>
    <xf borderId="13" fillId="13" fontId="7" numFmtId="49" xfId="0" applyAlignment="1" applyBorder="1" applyFont="1" applyNumberFormat="1">
      <alignment vertical="bottom"/>
    </xf>
    <xf borderId="13" fillId="13" fontId="7" numFmtId="4" xfId="0" applyAlignment="1" applyBorder="1" applyFont="1" applyNumberFormat="1">
      <alignment vertical="bottom"/>
    </xf>
    <xf borderId="34" fillId="13" fontId="7" numFmtId="49" xfId="0" applyAlignment="1" applyBorder="1" applyFont="1" applyNumberFormat="1">
      <alignment vertical="bottom"/>
    </xf>
    <xf borderId="12" fillId="13" fontId="7" numFmtId="1" xfId="0" applyAlignment="1" applyBorder="1" applyFont="1" applyNumberFormat="1">
      <alignment horizontal="center" vertical="bottom"/>
    </xf>
    <xf borderId="34" fillId="14" fontId="7" numFmtId="0" xfId="0" applyAlignment="1" applyBorder="1" applyFill="1" applyFont="1">
      <alignment vertical="bottom"/>
    </xf>
    <xf borderId="6" fillId="14" fontId="7" numFmtId="0" xfId="0" applyAlignment="1" applyBorder="1" applyFont="1">
      <alignment vertical="bottom"/>
    </xf>
    <xf borderId="0" fillId="0" fontId="1" numFmtId="17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35" fillId="0" fontId="1" numFmtId="176" xfId="0" applyAlignment="1" applyBorder="1" applyFont="1" applyNumberFormat="1">
      <alignment horizontal="right" vertical="bottom"/>
    </xf>
    <xf borderId="0" fillId="0" fontId="21" numFmtId="0" xfId="0" applyFont="1"/>
    <xf borderId="6" fillId="15" fontId="1" numFmtId="1" xfId="0" applyAlignment="1" applyBorder="1" applyFill="1" applyFont="1" applyNumberFormat="1">
      <alignment horizontal="right" vertical="bottom"/>
    </xf>
    <xf borderId="0" fillId="0" fontId="21" numFmtId="4" xfId="0" applyFont="1" applyNumberFormat="1"/>
    <xf borderId="0" fillId="0" fontId="1" numFmtId="177" xfId="0" applyAlignment="1" applyFont="1" applyNumberFormat="1">
      <alignment horizontal="right" vertical="bottom"/>
    </xf>
    <xf borderId="35" fillId="0" fontId="1" numFmtId="177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horizontal="right" vertical="bottom"/>
    </xf>
    <xf borderId="35" fillId="0" fontId="1" numFmtId="177" xfId="0" applyAlignment="1" applyBorder="1" applyFont="1" applyNumberFormat="1">
      <alignment vertical="bottom"/>
    </xf>
    <xf borderId="15" fillId="0" fontId="1" numFmtId="164" xfId="0" applyAlignment="1" applyBorder="1" applyFont="1" applyNumberFormat="1">
      <alignment vertical="bottom"/>
    </xf>
    <xf borderId="14" fillId="0" fontId="1" numFmtId="0" xfId="0" applyAlignment="1" applyBorder="1" applyFont="1">
      <alignment vertical="bottom"/>
    </xf>
    <xf borderId="14" fillId="0" fontId="1" numFmtId="176" xfId="0" applyAlignment="1" applyBorder="1" applyFont="1" applyNumberFormat="1">
      <alignment vertical="bottom"/>
    </xf>
    <xf borderId="14" fillId="0" fontId="1" numFmtId="49" xfId="0" applyAlignment="1" applyBorder="1" applyFont="1" applyNumberFormat="1">
      <alignment vertical="bottom"/>
    </xf>
    <xf borderId="3" fillId="0" fontId="7" numFmtId="174" xfId="0" applyAlignment="1" applyBorder="1" applyFont="1" applyNumberFormat="1">
      <alignment horizontal="right" vertical="bottom"/>
    </xf>
    <xf borderId="32" fillId="0" fontId="1" numFmtId="4" xfId="0" applyAlignment="1" applyBorder="1" applyFont="1" applyNumberFormat="1">
      <alignment horizontal="right" vertical="bottom"/>
    </xf>
    <xf borderId="16" fillId="0" fontId="1" numFmtId="174" xfId="0" applyAlignment="1" applyBorder="1" applyFont="1" applyNumberFormat="1">
      <alignment vertical="bottom"/>
    </xf>
    <xf borderId="0" fillId="0" fontId="1" numFmtId="176" xfId="0" applyAlignment="1" applyFont="1" applyNumberFormat="1">
      <alignment vertical="bottom"/>
    </xf>
    <xf borderId="36" fillId="0" fontId="1" numFmtId="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1" numFmtId="172" xfId="0" applyAlignment="1" applyFont="1" applyNumberFormat="1">
      <alignment vertical="bottom"/>
    </xf>
    <xf borderId="31" fillId="0" fontId="1" numFmtId="176" xfId="0" applyAlignment="1" applyBorder="1" applyFont="1" applyNumberFormat="1">
      <alignment vertical="bottom"/>
    </xf>
    <xf borderId="6" fillId="12" fontId="7" numFmtId="174" xfId="0" applyAlignment="1" applyBorder="1" applyFont="1" applyNumberFormat="1">
      <alignment shrinkToFit="0" vertical="bottom" wrapText="1"/>
    </xf>
    <xf borderId="33" fillId="0" fontId="1" numFmtId="176" xfId="0" applyAlignment="1" applyBorder="1" applyFont="1" applyNumberFormat="1">
      <alignment vertical="bottom"/>
    </xf>
    <xf borderId="13" fillId="13" fontId="7" numFmtId="176" xfId="0" applyAlignment="1" applyBorder="1" applyFont="1" applyNumberFormat="1">
      <alignment vertical="bottom"/>
    </xf>
    <xf borderId="13" fillId="13" fontId="7" numFmtId="17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35" fillId="0" fontId="1" numFmtId="176" xfId="0" applyAlignment="1" applyBorder="1" applyFont="1" applyNumberFormat="1">
      <alignment vertical="bottom"/>
    </xf>
    <xf borderId="6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top"/>
    </xf>
    <xf borderId="6" fillId="0" fontId="1" numFmtId="0" xfId="0" applyAlignment="1" applyBorder="1" applyFont="1">
      <alignment shrinkToFit="0" vertical="top" wrapText="1"/>
    </xf>
    <xf borderId="6" fillId="16" fontId="1" numFmtId="1" xfId="0" applyAlignment="1" applyBorder="1" applyFill="1" applyFont="1" applyNumberFormat="1">
      <alignment horizontal="right" vertical="bottom"/>
    </xf>
    <xf borderId="16" fillId="0" fontId="1" numFmtId="176" xfId="0" applyAlignment="1" applyBorder="1" applyFont="1" applyNumberFormat="1">
      <alignment vertical="bottom"/>
    </xf>
    <xf borderId="0" fillId="16" fontId="1" numFmtId="0" xfId="0" applyAlignment="1" applyFont="1">
      <alignment vertical="bottom"/>
    </xf>
    <xf borderId="0" fillId="16" fontId="1" numFmtId="174" xfId="0" applyAlignment="1" applyFont="1" applyNumberFormat="1">
      <alignment vertical="bottom"/>
    </xf>
    <xf borderId="0" fillId="16" fontId="1" numFmtId="4" xfId="0" applyAlignment="1" applyFont="1" applyNumberFormat="1">
      <alignment vertical="bottom"/>
    </xf>
    <xf borderId="0" fillId="16" fontId="1" numFmtId="176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77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8" numFmtId="0" xfId="0" applyAlignment="1" applyFont="1">
      <alignment horizontal="center" readingOrder="0"/>
    </xf>
    <xf borderId="0" fillId="17" fontId="21" numFmtId="0" xfId="0" applyFill="1" applyFont="1"/>
    <xf borderId="0" fillId="0" fontId="29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0" fillId="13" fontId="7" numFmtId="49" xfId="0" applyAlignment="1" applyFont="1" applyNumberFormat="1">
      <alignment readingOrder="0" vertical="bottom"/>
    </xf>
    <xf borderId="0" fillId="0" fontId="21" numFmtId="0" xfId="0" applyFont="1"/>
    <xf borderId="0" fillId="0" fontId="21" numFmtId="176" xfId="0" applyFont="1" applyNumberFormat="1"/>
    <xf borderId="0" fillId="0" fontId="21" numFmtId="49" xfId="0" applyFont="1" applyNumberFormat="1"/>
    <xf borderId="0" fillId="0" fontId="21" numFmtId="174" xfId="0" applyFont="1" applyNumberFormat="1"/>
    <xf borderId="0" fillId="16" fontId="1" numFmtId="49" xfId="0" applyAlignment="1" applyFont="1" applyNumberFormat="1">
      <alignment readingOrder="0" vertical="bottom"/>
    </xf>
    <xf borderId="0" fillId="16" fontId="1" numFmtId="177" xfId="0" applyAlignment="1" applyFont="1" applyNumberFormat="1">
      <alignment horizontal="right" readingOrder="0" vertical="bottom"/>
    </xf>
    <xf borderId="0" fillId="16" fontId="1" numFmtId="0" xfId="0" applyAlignment="1" applyFont="1">
      <alignment horizontal="right" readingOrder="0" vertical="bottom"/>
    </xf>
    <xf borderId="0" fillId="16" fontId="1" numFmtId="49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16" fontId="1" numFmtId="177" xfId="0" applyAlignment="1" applyFont="1" applyNumberFormat="1">
      <alignment vertical="bottom"/>
    </xf>
    <xf borderId="0" fillId="0" fontId="21" numFmtId="177" xfId="0" applyFont="1" applyNumberFormat="1"/>
    <xf borderId="0" fillId="18" fontId="1" numFmtId="49" xfId="0" applyAlignment="1" applyFill="1" applyFont="1" applyNumberFormat="1">
      <alignment readingOrder="0" vertical="bottom"/>
    </xf>
    <xf borderId="0" fillId="18" fontId="1" numFmtId="177" xfId="0" applyAlignment="1" applyFont="1" applyNumberFormat="1">
      <alignment horizontal="right" readingOrder="0" vertical="bottom"/>
    </xf>
    <xf borderId="0" fillId="18" fontId="1" numFmtId="0" xfId="0" applyAlignment="1" applyFont="1">
      <alignment horizontal="right" readingOrder="0" vertical="bottom"/>
    </xf>
    <xf borderId="0" fillId="18" fontId="1" numFmtId="49" xfId="0" applyAlignment="1" applyFont="1" applyNumberFormat="1">
      <alignment vertical="bottom"/>
    </xf>
    <xf borderId="0" fillId="18" fontId="1" numFmtId="0" xfId="0" applyAlignment="1" applyFont="1">
      <alignment vertical="bottom"/>
    </xf>
    <xf borderId="0" fillId="18" fontId="1" numFmtId="177" xfId="0" applyAlignment="1" applyFont="1" applyNumberFormat="1">
      <alignment vertical="bottom"/>
    </xf>
    <xf borderId="0" fillId="16" fontId="1" numFmtId="0" xfId="0" applyAlignment="1" applyFont="1">
      <alignment horizontal="right" vertical="bottom"/>
    </xf>
    <xf borderId="0" fillId="16" fontId="1" numFmtId="177" xfId="0" applyAlignment="1" applyFont="1" applyNumberFormat="1">
      <alignment horizontal="right" vertical="bottom"/>
    </xf>
    <xf borderId="0" fillId="18" fontId="1" numFmtId="0" xfId="0" applyAlignment="1" applyFont="1">
      <alignment horizontal="right" vertical="bottom"/>
    </xf>
    <xf borderId="0" fillId="18" fontId="1" numFmtId="177" xfId="0" applyAlignment="1" applyFont="1" applyNumberFormat="1">
      <alignment horizontal="right" vertical="bottom"/>
    </xf>
    <xf borderId="0" fillId="16" fontId="1" numFmtId="0" xfId="0" applyAlignment="1" applyFont="1">
      <alignment readingOrder="0" vertical="bottom"/>
    </xf>
    <xf borderId="0" fillId="16" fontId="1" numFmtId="177" xfId="0" applyAlignment="1" applyFont="1" applyNumberFormat="1">
      <alignment readingOrder="0" vertical="bottom"/>
    </xf>
    <xf borderId="0" fillId="18" fontId="1" numFmtId="0" xfId="0" applyAlignment="1" applyFont="1">
      <alignment readingOrder="0" vertical="bottom"/>
    </xf>
    <xf borderId="0" fillId="18" fontId="1" numFmtId="177" xfId="0" applyAlignment="1" applyFont="1" applyNumberFormat="1">
      <alignment readingOrder="0" vertical="bottom"/>
    </xf>
    <xf borderId="0" fillId="0" fontId="21" numFmtId="178" xfId="0" applyFont="1" applyNumberFormat="1"/>
    <xf borderId="0" fillId="0" fontId="21" numFmtId="176" xfId="0" applyAlignment="1" applyFont="1" applyNumberFormat="1">
      <alignment readingOrder="0"/>
    </xf>
    <xf borderId="0" fillId="0" fontId="21" numFmtId="179" xfId="0" applyAlignment="1" applyFont="1" applyNumberFormat="1">
      <alignment readingOrder="0"/>
    </xf>
    <xf borderId="0" fillId="0" fontId="21" numFmtId="11" xfId="0" applyAlignment="1" applyFont="1" applyNumberFormat="1">
      <alignment readingOrder="0"/>
    </xf>
    <xf borderId="37" fillId="16" fontId="11" numFmtId="0" xfId="0" applyAlignment="1" applyBorder="1" applyFont="1">
      <alignment vertical="center"/>
    </xf>
    <xf borderId="38" fillId="16" fontId="30" numFmtId="0" xfId="0" applyAlignment="1" applyBorder="1" applyFont="1">
      <alignment horizontal="center" vertical="center"/>
    </xf>
    <xf borderId="37" fillId="16" fontId="31" numFmtId="0" xfId="0" applyAlignment="1" applyBorder="1" applyFont="1">
      <alignment vertical="center"/>
    </xf>
    <xf borderId="37" fillId="16" fontId="11" numFmtId="172" xfId="0" applyAlignment="1" applyBorder="1" applyFont="1" applyNumberFormat="1">
      <alignment vertical="center"/>
    </xf>
    <xf borderId="39" fillId="19" fontId="32" numFmtId="0" xfId="0" applyAlignment="1" applyBorder="1" applyFill="1" applyFont="1">
      <alignment horizontal="center" vertical="center"/>
    </xf>
    <xf borderId="40" fillId="16" fontId="33" numFmtId="0" xfId="0" applyAlignment="1" applyBorder="1" applyFont="1">
      <alignment horizontal="center" vertical="center"/>
    </xf>
    <xf borderId="36" fillId="16" fontId="11" numFmtId="164" xfId="0" applyAlignment="1" applyBorder="1" applyFont="1" applyNumberFormat="1">
      <alignment horizontal="center" vertical="center"/>
    </xf>
    <xf borderId="41" fillId="16" fontId="11" numFmtId="0" xfId="0" applyAlignment="1" applyBorder="1" applyFont="1">
      <alignment vertical="center"/>
    </xf>
    <xf borderId="0" fillId="0" fontId="34" numFmtId="0" xfId="0" applyAlignment="1" applyFont="1">
      <alignment horizontal="left" shrinkToFit="0" vertical="center" wrapText="1"/>
    </xf>
    <xf borderId="1" fillId="2" fontId="16" numFmtId="0" xfId="0" applyAlignment="1" applyBorder="1" applyFont="1">
      <alignment shrinkToFit="0" vertical="center" wrapText="1"/>
    </xf>
    <xf borderId="42" fillId="2" fontId="16" numFmtId="166" xfId="0" applyAlignment="1" applyBorder="1" applyFont="1" applyNumberFormat="1">
      <alignment horizontal="right" vertical="center"/>
    </xf>
    <xf borderId="43" fillId="2" fontId="35" numFmtId="0" xfId="0" applyAlignment="1" applyBorder="1" applyFont="1">
      <alignment shrinkToFit="0" vertical="center" wrapText="1"/>
    </xf>
    <xf borderId="44" fillId="0" fontId="5" numFmtId="0" xfId="0" applyBorder="1" applyFont="1"/>
    <xf borderId="45" fillId="0" fontId="5" numFmtId="0" xfId="0" applyBorder="1" applyFont="1"/>
    <xf borderId="46" fillId="16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7" fillId="16" fontId="11" numFmtId="0" xfId="0" applyAlignment="1" applyBorder="1" applyFont="1">
      <alignment vertical="center"/>
    </xf>
    <xf borderId="37" fillId="16" fontId="36" numFmtId="0" xfId="0" applyAlignment="1" applyBorder="1" applyFont="1">
      <alignment vertical="center"/>
    </xf>
    <xf borderId="3" fillId="4" fontId="37" numFmtId="0" xfId="0" applyAlignment="1" applyBorder="1" applyFont="1">
      <alignment horizontal="center" shrinkToFit="0" wrapText="1"/>
    </xf>
    <xf borderId="6" fillId="4" fontId="37" numFmtId="0" xfId="0" applyAlignment="1" applyBorder="1" applyFont="1">
      <alignment horizontal="center" shrinkToFit="0" wrapText="1"/>
    </xf>
    <xf borderId="6" fillId="4" fontId="37" numFmtId="0" xfId="0" applyAlignment="1" applyBorder="1" applyFont="1">
      <alignment horizontal="center"/>
    </xf>
    <xf borderId="37" fillId="16" fontId="38" numFmtId="0" xfId="0" applyAlignment="1" applyBorder="1" applyFont="1">
      <alignment vertical="center"/>
    </xf>
    <xf quotePrefix="1" borderId="6" fillId="20" fontId="11" numFmtId="0" xfId="0" applyAlignment="1" applyBorder="1" applyFill="1" applyFont="1">
      <alignment shrinkToFit="0" vertical="center" wrapText="1"/>
    </xf>
    <xf borderId="6" fillId="0" fontId="11" numFmtId="166" xfId="0" applyAlignment="1" applyBorder="1" applyFont="1" applyNumberFormat="1">
      <alignment horizontal="right" vertical="center"/>
    </xf>
    <xf borderId="6" fillId="16" fontId="22" numFmtId="0" xfId="0" applyAlignment="1" applyBorder="1" applyFont="1">
      <alignment shrinkToFit="0" vertical="center" wrapText="1"/>
    </xf>
    <xf borderId="37" fillId="16" fontId="39" numFmtId="0" xfId="0" applyAlignment="1" applyBorder="1" applyFont="1">
      <alignment vertical="center"/>
    </xf>
    <xf borderId="6" fillId="16" fontId="18" numFmtId="0" xfId="0" applyAlignment="1" applyBorder="1" applyFont="1">
      <alignment shrinkToFit="0" vertical="bottom" wrapText="1"/>
    </xf>
    <xf borderId="6" fillId="20" fontId="11" numFmtId="0" xfId="0" applyAlignment="1" applyBorder="1" applyFont="1">
      <alignment shrinkToFit="0" vertical="center" wrapText="1"/>
    </xf>
    <xf borderId="48" fillId="3" fontId="33" numFmtId="0" xfId="0" applyAlignment="1" applyBorder="1" applyFont="1">
      <alignment shrinkToFit="0" vertical="center" wrapText="1"/>
    </xf>
    <xf borderId="48" fillId="3" fontId="33" numFmtId="166" xfId="0" applyAlignment="1" applyBorder="1" applyFont="1" applyNumberFormat="1">
      <alignment horizontal="right" vertical="center"/>
    </xf>
    <xf borderId="43" fillId="4" fontId="37" numFmtId="0" xfId="0" applyAlignment="1" applyBorder="1" applyFont="1">
      <alignment horizontal="center" vertical="center"/>
    </xf>
    <xf borderId="49" fillId="0" fontId="5" numFmtId="0" xfId="0" applyBorder="1" applyFont="1"/>
    <xf borderId="0" fillId="0" fontId="11" numFmtId="166" xfId="0" applyAlignment="1" applyFont="1" applyNumberFormat="1">
      <alignment vertical="center"/>
    </xf>
    <xf borderId="6" fillId="16" fontId="40" numFmtId="0" xfId="0" applyAlignment="1" applyBorder="1" applyFont="1">
      <alignment horizontal="center" vertical="center"/>
    </xf>
    <xf quotePrefix="1" borderId="50" fillId="16" fontId="40" numFmtId="0" xfId="0" applyAlignment="1" applyBorder="1" applyFont="1">
      <alignment horizontal="center" vertical="center"/>
    </xf>
    <xf borderId="6" fillId="0" fontId="33" numFmtId="0" xfId="0" applyAlignment="1" applyBorder="1" applyFont="1">
      <alignment vertical="center"/>
    </xf>
    <xf borderId="6" fillId="16" fontId="11" numFmtId="0" xfId="0" applyAlignment="1" applyBorder="1" applyFont="1">
      <alignment horizontal="center" shrinkToFit="0" vertical="center" wrapText="1"/>
    </xf>
    <xf borderId="51" fillId="4" fontId="37" numFmtId="0" xfId="0" applyAlignment="1" applyBorder="1" applyFont="1">
      <alignment horizontal="center" shrinkToFit="0" wrapText="1"/>
    </xf>
    <xf borderId="52" fillId="4" fontId="37" numFmtId="0" xfId="0" applyAlignment="1" applyBorder="1" applyFont="1">
      <alignment horizontal="center"/>
    </xf>
    <xf borderId="9" fillId="16" fontId="41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vertical="center"/>
    </xf>
    <xf borderId="6" fillId="16" fontId="25" numFmtId="0" xfId="0" applyAlignment="1" applyBorder="1" applyFont="1">
      <alignment shrinkToFit="0" vertical="center" wrapText="1"/>
    </xf>
    <xf borderId="6" fillId="16" fontId="11" numFmtId="0" xfId="0" applyAlignment="1" applyBorder="1" applyFont="1">
      <alignment vertical="center"/>
    </xf>
    <xf borderId="6" fillId="16" fontId="18" numFmtId="0" xfId="0" applyAlignment="1" applyBorder="1" applyFont="1">
      <alignment shrinkToFit="0" vertical="center" wrapText="1"/>
    </xf>
    <xf borderId="6" fillId="16" fontId="11" numFmtId="0" xfId="0" applyAlignment="1" applyBorder="1" applyFont="1">
      <alignment shrinkToFit="0" vertical="center" wrapText="1"/>
    </xf>
    <xf borderId="50" fillId="3" fontId="33" numFmtId="0" xfId="0" applyAlignment="1" applyBorder="1" applyFont="1">
      <alignment vertical="center"/>
    </xf>
    <xf borderId="6" fillId="3" fontId="33" numFmtId="166" xfId="0" applyAlignment="1" applyBorder="1" applyFont="1" applyNumberFormat="1">
      <alignment horizontal="right" vertical="center"/>
    </xf>
    <xf borderId="51" fillId="4" fontId="37" numFmtId="0" xfId="0" applyAlignment="1" applyBorder="1" applyFont="1">
      <alignment horizontal="center" shrinkToFit="0" vertical="center" wrapText="1"/>
    </xf>
    <xf borderId="52" fillId="4" fontId="37" numFmtId="0" xfId="0" applyAlignment="1" applyBorder="1" applyFont="1">
      <alignment horizontal="center" vertical="center"/>
    </xf>
    <xf borderId="6" fillId="0" fontId="39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shrinkToFit="0" vertical="center" wrapText="1"/>
    </xf>
    <xf borderId="6" fillId="0" fontId="11" numFmtId="173" xfId="0" applyAlignment="1" applyBorder="1" applyFont="1" applyNumberFormat="1">
      <alignment horizontal="right" vertical="center"/>
    </xf>
    <xf borderId="6" fillId="0" fontId="11" numFmtId="4" xfId="0" applyAlignment="1" applyBorder="1" applyFont="1" applyNumberFormat="1">
      <alignment horizontal="right" vertical="center"/>
    </xf>
    <xf borderId="6" fillId="5" fontId="20" numFmtId="0" xfId="0" applyAlignment="1" applyBorder="1" applyFont="1">
      <alignment horizontal="center" shrinkToFit="0" vertical="center" wrapText="1"/>
    </xf>
    <xf borderId="50" fillId="3" fontId="42" numFmtId="0" xfId="0" applyAlignment="1" applyBorder="1" applyFont="1">
      <alignment vertical="center"/>
    </xf>
    <xf borderId="53" fillId="3" fontId="42" numFmtId="166" xfId="0" applyAlignment="1" applyBorder="1" applyFont="1" applyNumberFormat="1">
      <alignment horizontal="right" vertical="center"/>
    </xf>
    <xf borderId="6" fillId="0" fontId="11" numFmtId="166" xfId="0" applyBorder="1" applyFont="1" applyNumberFormat="1"/>
    <xf borderId="37" fillId="16" fontId="11" numFmtId="166" xfId="0" applyAlignment="1" applyBorder="1" applyFont="1" applyNumberFormat="1">
      <alignment vertical="center"/>
    </xf>
    <xf borderId="9" fillId="16" fontId="34" numFmtId="0" xfId="0" applyAlignment="1" applyBorder="1" applyFont="1">
      <alignment horizontal="center" vertical="center"/>
    </xf>
    <xf borderId="5" fillId="0" fontId="33" numFmtId="0" xfId="0" applyAlignment="1" applyBorder="1" applyFont="1">
      <alignment vertical="center"/>
    </xf>
    <xf borderId="6" fillId="0" fontId="33" numFmtId="166" xfId="0" applyAlignment="1" applyBorder="1" applyFont="1" applyNumberFormat="1">
      <alignment horizontal="right" vertical="center"/>
    </xf>
    <xf borderId="37" fillId="16" fontId="43" numFmtId="0" xfId="0" applyAlignment="1" applyBorder="1" applyFont="1">
      <alignment vertical="center"/>
    </xf>
    <xf borderId="54" fillId="4" fontId="37" numFmtId="0" xfId="0" applyAlignment="1" applyBorder="1" applyFont="1">
      <alignment vertical="center"/>
    </xf>
    <xf borderId="2" fillId="4" fontId="37" numFmtId="166" xfId="0" applyAlignment="1" applyBorder="1" applyFont="1" applyNumberFormat="1">
      <alignment horizontal="right" vertical="center"/>
    </xf>
    <xf borderId="37" fillId="16" fontId="11" numFmtId="4" xfId="0" applyAlignment="1" applyBorder="1" applyFont="1" applyNumberFormat="1">
      <alignment vertical="center"/>
    </xf>
    <xf borderId="0" fillId="0" fontId="44" numFmtId="0" xfId="0" applyFont="1"/>
    <xf borderId="0" fillId="0" fontId="45" numFmtId="0" xfId="0" applyFont="1"/>
    <xf borderId="40" fillId="12" fontId="46" numFmtId="0" xfId="0" applyAlignment="1" applyBorder="1" applyFont="1">
      <alignment horizontal="center" shrinkToFit="0" vertical="center" wrapText="1"/>
    </xf>
    <xf borderId="36" fillId="0" fontId="14" numFmtId="164" xfId="0" applyAlignment="1" applyBorder="1" applyFont="1" applyNumberFormat="1">
      <alignment horizontal="center" vertical="center"/>
    </xf>
    <xf borderId="0" fillId="0" fontId="14" numFmtId="4" xfId="0" applyAlignment="1" applyFont="1" applyNumberFormat="1">
      <alignment readingOrder="0"/>
    </xf>
    <xf borderId="0" fillId="0" fontId="42" numFmtId="0" xfId="0" applyFont="1"/>
    <xf borderId="0" fillId="0" fontId="14" numFmtId="164" xfId="0" applyAlignment="1" applyFont="1" applyNumberFormat="1">
      <alignment horizontal="left"/>
    </xf>
    <xf borderId="0" fillId="0" fontId="14" numFmtId="174" xfId="0" applyFont="1" applyNumberFormat="1"/>
    <xf borderId="0" fillId="0" fontId="47" numFmtId="0" xfId="0" applyFont="1"/>
    <xf borderId="0" fillId="0" fontId="48" numFmtId="0" xfId="0" applyFont="1"/>
    <xf borderId="0" fillId="0" fontId="49" numFmtId="0" xfId="0" applyAlignment="1" applyFont="1">
      <alignment horizontal="left"/>
    </xf>
    <xf borderId="0" fillId="0" fontId="46" numFmtId="0" xfId="0" applyFont="1"/>
    <xf borderId="55" fillId="12" fontId="46" numFmtId="0" xfId="0" applyAlignment="1" applyBorder="1" applyFont="1">
      <alignment horizontal="left" shrinkToFit="0" vertical="center" wrapText="1"/>
    </xf>
    <xf borderId="56" fillId="0" fontId="50" numFmtId="0" xfId="0" applyBorder="1" applyFont="1"/>
    <xf borderId="0" fillId="0" fontId="14" numFmtId="4" xfId="0" applyAlignment="1" applyFont="1" applyNumberFormat="1">
      <alignment horizontal="left" readingOrder="0"/>
    </xf>
    <xf borderId="57" fillId="12" fontId="46" numFmtId="0" xfId="0" applyAlignment="1" applyBorder="1" applyFont="1">
      <alignment horizontal="left" shrinkToFit="0" vertical="center" wrapText="1"/>
    </xf>
    <xf borderId="32" fillId="0" fontId="51" numFmtId="0" xfId="0" applyBorder="1" applyFont="1"/>
    <xf borderId="32" fillId="0" fontId="52" numFmtId="0" xfId="0" applyAlignment="1" applyBorder="1" applyFont="1">
      <alignment readingOrder="0"/>
    </xf>
    <xf borderId="0" fillId="0" fontId="14" numFmtId="0" xfId="0" applyAlignment="1" applyFont="1">
      <alignment horizontal="left"/>
    </xf>
    <xf borderId="58" fillId="12" fontId="46" numFmtId="0" xfId="0" applyAlignment="1" applyBorder="1" applyFont="1">
      <alignment horizontal="left" shrinkToFit="0" vertical="center" wrapText="1"/>
    </xf>
    <xf borderId="59" fillId="0" fontId="53" numFmtId="0" xfId="0" applyBorder="1" applyFont="1"/>
    <xf borderId="55" fillId="12" fontId="46" numFmtId="0" xfId="0" applyAlignment="1" applyBorder="1" applyFont="1">
      <alignment horizontal="center" shrinkToFit="0" vertical="center" wrapText="1"/>
    </xf>
    <xf borderId="60" fillId="12" fontId="46" numFmtId="0" xfId="0" applyAlignment="1" applyBorder="1" applyFont="1">
      <alignment horizontal="center" shrinkToFit="0" vertical="center" wrapText="1"/>
    </xf>
    <xf borderId="56" fillId="12" fontId="46" numFmtId="0" xfId="0" applyAlignment="1" applyBorder="1" applyFont="1">
      <alignment horizontal="center" shrinkToFit="0" vertical="center" wrapText="1"/>
    </xf>
    <xf borderId="12" fillId="21" fontId="54" numFmtId="0" xfId="0" applyAlignment="1" applyBorder="1" applyFill="1" applyFont="1">
      <alignment horizontal="left" shrinkToFit="0" vertical="center" wrapText="1"/>
    </xf>
    <xf borderId="34" fillId="0" fontId="5" numFmtId="0" xfId="0" applyBorder="1" applyFont="1"/>
    <xf borderId="0" fillId="0" fontId="11" numFmtId="167" xfId="0" applyAlignment="1" applyFont="1" applyNumberFormat="1">
      <alignment horizontal="center" readingOrder="0" shrinkToFit="0" wrapText="1"/>
    </xf>
    <xf borderId="58" fillId="0" fontId="11" numFmtId="167" xfId="0" applyAlignment="1" applyBorder="1" applyFont="1" applyNumberFormat="1">
      <alignment horizontal="center" readingOrder="0" shrinkToFit="0" wrapText="1"/>
    </xf>
    <xf borderId="61" fillId="0" fontId="11" numFmtId="4" xfId="0" applyAlignment="1" applyBorder="1" applyFont="1" applyNumberFormat="1">
      <alignment horizontal="center" readingOrder="0" shrinkToFit="0" wrapText="1"/>
    </xf>
    <xf borderId="59" fillId="0" fontId="11" numFmtId="4" xfId="0" applyAlignment="1" applyBorder="1" applyFont="1" applyNumberFormat="1">
      <alignment horizontal="center"/>
    </xf>
    <xf borderId="15" fillId="0" fontId="5" numFmtId="0" xfId="0" applyBorder="1" applyFont="1"/>
    <xf borderId="17" fillId="12" fontId="46" numFmtId="0" xfId="0" applyBorder="1" applyFont="1"/>
    <xf borderId="62" fillId="0" fontId="5" numFmtId="0" xfId="0" applyBorder="1" applyFont="1"/>
    <xf borderId="18" fillId="0" fontId="5" numFmtId="0" xfId="0" applyBorder="1" applyFont="1"/>
    <xf borderId="57" fillId="12" fontId="46" numFmtId="0" xfId="0" applyAlignment="1" applyBorder="1" applyFont="1">
      <alignment horizontal="center" shrinkToFit="0" vertical="center" wrapText="1"/>
    </xf>
    <xf borderId="57" fillId="12" fontId="46" numFmtId="0" xfId="0" applyAlignment="1" applyBorder="1" applyFont="1">
      <alignment horizontal="center" readingOrder="0" shrinkToFit="0" vertical="center" wrapText="1"/>
    </xf>
    <xf borderId="6" fillId="12" fontId="46" numFmtId="0" xfId="0" applyAlignment="1" applyBorder="1" applyFont="1">
      <alignment horizontal="center" shrinkToFit="0" vertical="center" wrapText="1"/>
    </xf>
    <xf borderId="3" fillId="12" fontId="46" numFmtId="0" xfId="0" applyAlignment="1" applyBorder="1" applyFont="1">
      <alignment horizontal="center" shrinkToFit="0" vertical="center" wrapText="1"/>
    </xf>
    <xf borderId="3" fillId="12" fontId="46" numFmtId="0" xfId="0" applyAlignment="1" applyBorder="1" applyFont="1">
      <alignment horizontal="left" shrinkToFit="0" vertical="center" wrapText="1"/>
    </xf>
    <xf borderId="63" fillId="0" fontId="5" numFmtId="0" xfId="0" applyBorder="1" applyFont="1"/>
    <xf borderId="6" fillId="0" fontId="1" numFmtId="0" xfId="0" applyAlignment="1" applyBorder="1" applyFont="1">
      <alignment vertical="bottom"/>
    </xf>
    <xf borderId="6" fillId="0" fontId="1" numFmtId="4" xfId="0" applyAlignment="1" applyBorder="1" applyFont="1" applyNumberFormat="1">
      <alignment horizontal="center" shrinkToFit="0" vertical="bottom" wrapText="1"/>
    </xf>
    <xf borderId="57" fillId="0" fontId="1" numFmtId="164" xfId="0" applyAlignment="1" applyBorder="1" applyFont="1" applyNumberForma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3" fillId="0" fontId="1" numFmtId="4" xfId="0" applyAlignment="1" applyBorder="1" applyFont="1" applyNumberFormat="1">
      <alignment shrinkToFit="0" vertical="bottom" wrapText="1"/>
    </xf>
    <xf borderId="0" fillId="0" fontId="1" numFmtId="4" xfId="0" applyAlignment="1" applyFont="1" applyNumberFormat="1">
      <alignment readingOrder="0" vertical="bottom"/>
    </xf>
    <xf borderId="6" fillId="0" fontId="1" numFmtId="4" xfId="0" applyAlignment="1" applyBorder="1" applyFont="1" applyNumberFormat="1">
      <alignment horizontal="center" readingOrder="0" shrinkToFit="0" vertical="bottom" wrapText="1"/>
    </xf>
    <xf borderId="3" fillId="0" fontId="7" numFmtId="4" xfId="0" applyAlignment="1" applyBorder="1" applyFont="1" applyNumberFormat="1">
      <alignment shrinkToFit="0" vertical="bottom" wrapText="1"/>
    </xf>
    <xf borderId="4" fillId="0" fontId="1" numFmtId="4" xfId="0" applyAlignment="1" applyBorder="1" applyFont="1" applyNumberFormat="1">
      <alignment shrinkToFit="0" vertical="bottom" wrapText="1"/>
    </xf>
    <xf borderId="3" fillId="0" fontId="55" numFmtId="4" xfId="0" applyAlignment="1" applyBorder="1" applyFont="1" applyNumberFormat="1">
      <alignment shrinkToFit="0" vertical="bottom" wrapText="1"/>
    </xf>
    <xf borderId="0" fillId="0" fontId="21" numFmtId="4" xfId="0" applyAlignment="1" applyFont="1" applyNumberFormat="1">
      <alignment readingOrder="0"/>
    </xf>
    <xf borderId="0" fillId="0" fontId="14" numFmtId="4" xfId="0" applyFont="1" applyNumberFormat="1"/>
    <xf borderId="55" fillId="12" fontId="7" numFmtId="0" xfId="0" applyAlignment="1" applyBorder="1" applyFont="1">
      <alignment horizontal="center" shrinkToFit="0" wrapText="1"/>
    </xf>
    <xf borderId="60" fillId="12" fontId="7" numFmtId="0" xfId="0" applyAlignment="1" applyBorder="1" applyFont="1">
      <alignment horizontal="center" shrinkToFit="0" wrapText="1"/>
    </xf>
    <xf borderId="56" fillId="12" fontId="7" numFmtId="0" xfId="0" applyAlignment="1" applyBorder="1" applyFont="1">
      <alignment horizontal="center" shrinkToFit="0" wrapText="1"/>
    </xf>
    <xf borderId="58" fillId="22" fontId="1" numFmtId="164" xfId="0" applyAlignment="1" applyBorder="1" applyFill="1" applyFont="1" applyNumberFormat="1">
      <alignment horizontal="center" shrinkToFit="0" vertical="bottom" wrapText="1"/>
    </xf>
    <xf borderId="61" fillId="22" fontId="1" numFmtId="4" xfId="0" applyAlignment="1" applyBorder="1" applyFont="1" applyNumberFormat="1">
      <alignment horizontal="center" shrinkToFit="0" vertical="bottom" wrapText="1"/>
    </xf>
    <xf borderId="59" fillId="22" fontId="1" numFmtId="4" xfId="0" applyAlignment="1" applyBorder="1" applyFont="1" applyNumberFormat="1">
      <alignment horizontal="center" vertical="bottom"/>
    </xf>
    <xf borderId="0" fillId="0" fontId="56" numFmtId="0" xfId="0" applyFont="1"/>
    <xf borderId="0" fillId="0" fontId="14" numFmtId="4" xfId="0" applyAlignment="1" applyFont="1" applyNumberFormat="1">
      <alignment shrinkToFit="0" wrapText="1"/>
    </xf>
    <xf borderId="56" fillId="0" fontId="14" numFmtId="173" xfId="0" applyAlignment="1" applyBorder="1" applyFont="1" applyNumberFormat="1">
      <alignment horizontal="right" shrinkToFit="0" wrapText="1"/>
    </xf>
    <xf borderId="3" fillId="21" fontId="54" numFmtId="0" xfId="0" applyAlignment="1" applyBorder="1" applyFont="1">
      <alignment horizontal="left" shrinkToFit="0" vertical="center" wrapText="1"/>
    </xf>
    <xf borderId="0" fillId="0" fontId="1" numFmtId="173" xfId="0" applyFont="1" applyNumberFormat="1"/>
    <xf borderId="0" fillId="0" fontId="1" numFmtId="4" xfId="0" applyAlignment="1" applyFont="1" applyNumberFormat="1">
      <alignment readingOrder="0"/>
    </xf>
    <xf borderId="23" fillId="0" fontId="14" numFmtId="4" xfId="0" applyAlignment="1" applyBorder="1" applyFont="1" applyNumberFormat="1">
      <alignment shrinkToFit="0" wrapText="1"/>
    </xf>
    <xf borderId="0" fillId="0" fontId="46" numFmtId="4" xfId="0" applyAlignment="1" applyFont="1" applyNumberFormat="1">
      <alignment horizontal="left"/>
    </xf>
    <xf borderId="0" fillId="0" fontId="46" numFmtId="0" xfId="0" applyAlignment="1" applyFont="1">
      <alignment horizontal="left"/>
    </xf>
    <xf borderId="64" fillId="23" fontId="46" numFmtId="0" xfId="0" applyAlignment="1" applyBorder="1" applyFill="1" applyFont="1">
      <alignment shrinkToFit="0" wrapText="1"/>
    </xf>
    <xf borderId="65" fillId="23" fontId="46" numFmtId="0" xfId="0" applyAlignment="1" applyBorder="1" applyFont="1">
      <alignment horizontal="left" shrinkToFit="0" vertical="center" wrapText="1"/>
    </xf>
    <xf borderId="66" fillId="0" fontId="5" numFmtId="0" xfId="0" applyBorder="1" applyFont="1"/>
    <xf borderId="67" fillId="23" fontId="46" numFmtId="0" xfId="0" applyAlignment="1" applyBorder="1" applyFont="1">
      <alignment shrinkToFit="0" wrapText="1"/>
    </xf>
    <xf borderId="65" fillId="23" fontId="46" numFmtId="0" xfId="0" applyAlignment="1" applyBorder="1" applyFont="1">
      <alignment horizontal="left" shrinkToFit="0" wrapText="1"/>
    </xf>
    <xf borderId="65" fillId="23" fontId="57" numFmtId="0" xfId="0" applyAlignment="1" applyBorder="1" applyFont="1">
      <alignment horizontal="left" shrinkToFit="0" wrapText="1"/>
    </xf>
    <xf borderId="67" fillId="23" fontId="14" numFmtId="0" xfId="0" applyAlignment="1" applyBorder="1" applyFont="1">
      <alignment shrinkToFit="0" wrapText="1"/>
    </xf>
    <xf borderId="68" fillId="23" fontId="46" numFmtId="0" xfId="0" applyAlignment="1" applyBorder="1" applyFont="1">
      <alignment shrinkToFit="0" wrapText="1"/>
    </xf>
    <xf borderId="19" fillId="0" fontId="14" numFmtId="164" xfId="0" applyAlignment="1" applyBorder="1" applyFont="1" applyNumberFormat="1">
      <alignment shrinkToFit="0" wrapText="1"/>
    </xf>
    <xf borderId="0" fillId="0" fontId="14" numFmtId="0" xfId="0" applyAlignment="1" applyFont="1">
      <alignment horizontal="left" vertical="top"/>
    </xf>
    <xf borderId="0" fillId="0" fontId="14" numFmtId="0" xfId="0" applyAlignment="1" applyFont="1">
      <alignment horizontal="center" vertical="top"/>
    </xf>
    <xf borderId="21" fillId="0" fontId="14" numFmtId="166" xfId="0" applyAlignment="1" applyBorder="1" applyFont="1" applyNumberFormat="1">
      <alignment shrinkToFit="0" wrapText="1"/>
    </xf>
    <xf borderId="19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19" fillId="0" fontId="14" numFmtId="0" xfId="0" applyBorder="1" applyFont="1"/>
    <xf borderId="21" fillId="0" fontId="14" numFmtId="0" xfId="0" applyAlignment="1" applyBorder="1" applyFont="1">
      <alignment shrinkToFit="0" wrapText="1"/>
    </xf>
    <xf borderId="69" fillId="3" fontId="58" numFmtId="0" xfId="0" applyAlignment="1" applyBorder="1" applyFont="1">
      <alignment horizontal="center"/>
    </xf>
    <xf borderId="70" fillId="3" fontId="14" numFmtId="0" xfId="0" applyBorder="1" applyFont="1"/>
    <xf borderId="70" fillId="3" fontId="11" numFmtId="4" xfId="0" applyBorder="1" applyFont="1" applyNumberFormat="1"/>
    <xf borderId="70" fillId="3" fontId="12" numFmtId="0" xfId="0" applyBorder="1" applyFont="1"/>
    <xf borderId="71" fillId="3" fontId="11" numFmtId="173" xfId="0" applyBorder="1" applyFont="1" applyNumberFormat="1"/>
    <xf borderId="0" fillId="0" fontId="14" numFmtId="180" xfId="0" applyAlignment="1" applyFont="1" applyNumberFormat="1">
      <alignment shrinkToFit="0" wrapText="1"/>
    </xf>
    <xf borderId="19" fillId="0" fontId="14" numFmtId="180" xfId="0" applyAlignment="1" applyBorder="1" applyFont="1" applyNumberFormat="1">
      <alignment shrinkToFit="0" wrapText="1"/>
    </xf>
    <xf borderId="21" fillId="0" fontId="1" numFmtId="0" xfId="0" applyBorder="1" applyFont="1"/>
    <xf borderId="21" fillId="0" fontId="14" numFmtId="174" xfId="0" applyBorder="1" applyFont="1" applyNumberFormat="1"/>
    <xf borderId="0" fillId="0" fontId="12" numFmtId="0" xfId="0" applyFont="1"/>
    <xf borderId="0" fillId="0" fontId="11" numFmtId="173" xfId="0" applyFont="1" applyNumberFormat="1"/>
    <xf borderId="72" fillId="23" fontId="46" numFmtId="0" xfId="0" applyAlignment="1" applyBorder="1" applyFont="1">
      <alignment shrinkToFit="0" wrapText="1"/>
    </xf>
    <xf borderId="0" fillId="0" fontId="1" numFmtId="4" xfId="0" applyAlignment="1" applyFont="1" applyNumberFormat="1">
      <alignment readingOrder="0" shrinkToFit="0" vertical="top" wrapText="1"/>
    </xf>
    <xf borderId="0" fillId="0" fontId="1" numFmtId="4" xfId="0" applyAlignment="1" applyFont="1" applyNumberFormat="1">
      <alignment readingOrder="0" vertical="top"/>
    </xf>
    <xf borderId="21" fillId="0" fontId="14" numFmtId="4" xfId="0" applyAlignment="1" applyBorder="1" applyFont="1" applyNumberFormat="1">
      <alignment readingOrder="0" shrinkToFit="0" wrapText="1"/>
    </xf>
    <xf borderId="21" fillId="0" fontId="14" numFmtId="4" xfId="0" applyAlignment="1" applyBorder="1" applyFont="1" applyNumberFormat="1">
      <alignment shrinkToFit="0" wrapText="1"/>
    </xf>
    <xf borderId="0" fillId="0" fontId="11" numFmtId="174" xfId="0" applyFont="1" applyNumberFormat="1"/>
    <xf borderId="19" fillId="0" fontId="1" numFmtId="164" xfId="0" applyAlignment="1" applyBorder="1" applyFont="1" applyNumberFormat="1">
      <alignment horizontal="right" readingOrder="0" shrinkToFit="0" vertical="bottom" wrapText="1"/>
    </xf>
    <xf borderId="0" fillId="0" fontId="1" numFmtId="0" xfId="0" applyAlignment="1" applyFont="1">
      <alignment vertical="top"/>
    </xf>
    <xf borderId="21" fillId="0" fontId="1" numFmtId="4" xfId="0" applyAlignment="1" applyBorder="1" applyFont="1" applyNumberFormat="1">
      <alignment horizontal="right" readingOrder="0" shrinkToFit="0" vertical="bottom" wrapText="1"/>
    </xf>
    <xf borderId="0" fillId="0" fontId="1" numFmtId="4" xfId="0" applyAlignment="1" applyFont="1" applyNumberFormat="1">
      <alignment vertical="top"/>
    </xf>
    <xf borderId="19" fillId="0" fontId="1" numFmtId="164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top" wrapText="1"/>
    </xf>
    <xf borderId="21" fillId="0" fontId="1" numFmtId="4" xfId="0" applyAlignment="1" applyBorder="1" applyFont="1" applyNumberFormat="1">
      <alignment horizontal="right" vertical="bottom"/>
    </xf>
    <xf borderId="37" fillId="16" fontId="11" numFmtId="0" xfId="0" applyAlignment="1" applyBorder="1" applyFont="1">
      <alignment horizontal="right" vertical="center"/>
    </xf>
    <xf borderId="37" fillId="16" fontId="30" numFmtId="0" xfId="0" applyAlignment="1" applyBorder="1" applyFont="1">
      <alignment horizontal="center" vertical="center"/>
    </xf>
    <xf borderId="40" fillId="0" fontId="33" numFmtId="0" xfId="0" applyAlignment="1" applyBorder="1" applyFont="1">
      <alignment horizontal="center" vertical="center"/>
    </xf>
    <xf borderId="1" fillId="2" fontId="37" numFmtId="0" xfId="0" applyAlignment="1" applyBorder="1" applyFont="1">
      <alignment shrinkToFit="0" vertical="center" wrapText="1"/>
    </xf>
    <xf borderId="2" fillId="2" fontId="37" numFmtId="166" xfId="0" applyAlignment="1" applyBorder="1" applyFont="1" applyNumberFormat="1">
      <alignment horizontal="right" vertical="center"/>
    </xf>
    <xf borderId="43" fillId="2" fontId="15" numFmtId="0" xfId="0" applyAlignment="1" applyBorder="1" applyFont="1">
      <alignment shrinkToFit="0" vertical="center" wrapText="1"/>
    </xf>
    <xf borderId="6" fillId="4" fontId="37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vertical="center"/>
    </xf>
    <xf borderId="6" fillId="16" fontId="11" numFmtId="166" xfId="0" applyAlignment="1" applyBorder="1" applyFont="1" applyNumberFormat="1">
      <alignment horizontal="right" vertical="center"/>
    </xf>
    <xf borderId="73" fillId="16" fontId="11" numFmtId="0" xfId="0" applyAlignment="1" applyBorder="1" applyFont="1">
      <alignment horizontal="right" vertical="center"/>
    </xf>
    <xf borderId="47" fillId="16" fontId="11" numFmtId="0" xfId="0" applyAlignment="1" applyBorder="1" applyFont="1">
      <alignment horizontal="right" vertical="center"/>
    </xf>
    <xf borderId="6" fillId="3" fontId="33" numFmtId="0" xfId="0" applyAlignment="1" applyBorder="1" applyFont="1">
      <alignment shrinkToFit="0" vertical="center" wrapText="1"/>
    </xf>
    <xf borderId="6" fillId="24" fontId="33" numFmtId="166" xfId="0" applyAlignment="1" applyBorder="1" applyFill="1" applyFont="1" applyNumberFormat="1">
      <alignment horizontal="right" vertical="center"/>
    </xf>
    <xf borderId="6" fillId="2" fontId="16" numFmtId="166" xfId="0" applyAlignment="1" applyBorder="1" applyFont="1" applyNumberFormat="1">
      <alignment horizontal="right" vertical="center"/>
    </xf>
    <xf quotePrefix="1" borderId="6" fillId="0" fontId="11" numFmtId="0" xfId="0" applyAlignment="1" applyBorder="1" applyFont="1">
      <alignment horizontal="right" vertical="center"/>
    </xf>
    <xf quotePrefix="1" borderId="6" fillId="2" fontId="16" numFmtId="0" xfId="0" applyAlignment="1" applyBorder="1" applyFont="1">
      <alignment horizontal="right" vertical="center"/>
    </xf>
    <xf borderId="3" fillId="4" fontId="37" numFmtId="0" xfId="0" applyAlignment="1" applyBorder="1" applyFont="1">
      <alignment horizontal="center" vertical="center"/>
    </xf>
    <xf borderId="6" fillId="4" fontId="37" numFmtId="0" xfId="0" applyAlignment="1" applyBorder="1" applyFont="1">
      <alignment horizontal="center" vertical="center"/>
    </xf>
    <xf borderId="37" fillId="16" fontId="11" numFmtId="0" xfId="0" applyAlignment="1" applyBorder="1" applyFont="1">
      <alignment horizontal="center" vertical="center"/>
    </xf>
    <xf borderId="6" fillId="16" fontId="38" numFmtId="0" xfId="0" applyAlignment="1" applyBorder="1" applyFont="1">
      <alignment horizontal="center" vertical="center"/>
    </xf>
    <xf quotePrefix="1" borderId="6" fillId="16" fontId="11" numFmtId="0" xfId="0" applyAlignment="1" applyBorder="1" applyFont="1">
      <alignment vertical="center"/>
    </xf>
    <xf borderId="6" fillId="16" fontId="14" numFmtId="0" xfId="0" applyAlignment="1" applyBorder="1" applyFont="1">
      <alignment shrinkToFit="0" vertical="center" wrapText="1"/>
    </xf>
    <xf quotePrefix="1" borderId="6" fillId="16" fontId="14" numFmtId="0" xfId="0" applyAlignment="1" applyBorder="1" applyFont="1">
      <alignment vertical="center"/>
    </xf>
    <xf borderId="6" fillId="16" fontId="14" numFmtId="166" xfId="0" applyAlignment="1" applyBorder="1" applyFont="1" applyNumberFormat="1">
      <alignment horizontal="right" vertical="center"/>
    </xf>
    <xf quotePrefix="1" borderId="6" fillId="16" fontId="11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shrinkToFit="0" wrapText="1"/>
    </xf>
    <xf borderId="6" fillId="0" fontId="38" numFmtId="0" xfId="0" applyAlignment="1" applyBorder="1" applyFont="1">
      <alignment vertical="center"/>
    </xf>
    <xf borderId="6" fillId="16" fontId="59" numFmtId="0" xfId="0" applyAlignment="1" applyBorder="1" applyFont="1">
      <alignment vertical="center"/>
    </xf>
    <xf borderId="6" fillId="16" fontId="59" numFmtId="166" xfId="0" applyAlignment="1" applyBorder="1" applyFont="1" applyNumberFormat="1">
      <alignment horizontal="right" vertical="center"/>
    </xf>
    <xf borderId="6" fillId="16" fontId="11" numFmtId="0" xfId="0" applyAlignment="1" applyBorder="1" applyFont="1">
      <alignment shrinkToFit="0" wrapText="1"/>
    </xf>
    <xf borderId="48" fillId="2" fontId="35" numFmtId="0" xfId="0" applyAlignment="1" applyBorder="1" applyFont="1">
      <alignment shrinkToFit="0" vertical="center" wrapText="1"/>
    </xf>
    <xf borderId="48" fillId="2" fontId="16" numFmtId="166" xfId="0" applyAlignment="1" applyBorder="1" applyFont="1" applyNumberFormat="1">
      <alignment horizontal="right" vertical="center"/>
    </xf>
    <xf borderId="37" fillId="16" fontId="11" numFmtId="0" xfId="0" applyBorder="1" applyFont="1"/>
    <xf borderId="37" fillId="16" fontId="11" numFmtId="0" xfId="0" applyAlignment="1" applyBorder="1" applyFont="1">
      <alignment horizontal="right"/>
    </xf>
    <xf borderId="37" fillId="16" fontId="25" numFmtId="0" xfId="0" applyAlignment="1" applyBorder="1" applyFont="1">
      <alignment horizontal="center" shrinkToFit="0" vertical="center" wrapText="1"/>
    </xf>
    <xf borderId="56" fillId="0" fontId="60" numFmtId="0" xfId="0" applyBorder="1" applyFont="1"/>
    <xf borderId="32" fillId="0" fontId="61" numFmtId="0" xfId="0" applyBorder="1" applyFont="1"/>
    <xf borderId="59" fillId="0" fontId="62" numFmtId="0" xfId="0" applyBorder="1" applyFont="1"/>
    <xf borderId="74" fillId="12" fontId="7" numFmtId="0" xfId="0" applyAlignment="1" applyBorder="1" applyFont="1">
      <alignment shrinkToFit="0" wrapText="1"/>
    </xf>
    <xf borderId="75" fillId="0" fontId="5" numFmtId="0" xfId="0" applyBorder="1" applyFont="1"/>
    <xf borderId="60" fillId="12" fontId="7" numFmtId="0" xfId="0" applyAlignment="1" applyBorder="1" applyFont="1">
      <alignment horizontal="center" shrinkToFit="0" vertical="bottom" wrapText="1"/>
    </xf>
    <xf borderId="12" fillId="21" fontId="54" numFmtId="0" xfId="0" applyAlignment="1" applyBorder="1" applyFont="1">
      <alignment horizontal="left" vertical="center"/>
    </xf>
    <xf borderId="58" fillId="22" fontId="1" numFmtId="164" xfId="0" applyAlignment="1" applyBorder="1" applyFont="1" applyNumberFormat="1">
      <alignment shrinkToFit="0" vertical="bottom" wrapText="1"/>
    </xf>
    <xf borderId="76" fillId="22" fontId="1" numFmtId="4" xfId="0" applyAlignment="1" applyBorder="1" applyFont="1" applyNumberFormat="1">
      <alignment shrinkToFit="0" vertical="bottom" wrapText="1"/>
    </xf>
    <xf borderId="77" fillId="0" fontId="5" numFmtId="0" xfId="0" applyBorder="1" applyFont="1"/>
    <xf borderId="60" fillId="12" fontId="7" numFmtId="0" xfId="0" applyAlignment="1" applyBorder="1" applyFont="1">
      <alignment horizontal="center" shrinkToFit="0" wrapText="1"/>
    </xf>
    <xf borderId="78" fillId="12" fontId="7" numFmtId="0" xfId="0" applyAlignment="1" applyBorder="1" applyFont="1">
      <alignment horizontal="center" shrinkToFit="0" wrapText="1"/>
    </xf>
    <xf borderId="79" fillId="22" fontId="1" numFmtId="4" xfId="0" applyAlignment="1" applyBorder="1" applyFont="1" applyNumberFormat="1">
      <alignment horizontal="center" shrinkToFit="0" vertical="bottom" wrapText="1"/>
    </xf>
    <xf borderId="0" fillId="0" fontId="14" numFmtId="164" xfId="0" applyFont="1" applyNumberFormat="1"/>
    <xf borderId="55" fillId="12" fontId="7" numFmtId="0" xfId="0" applyAlignment="1" applyBorder="1" applyFont="1">
      <alignment shrinkToFit="0" wrapText="1"/>
    </xf>
    <xf borderId="56" fillId="0" fontId="1" numFmtId="173" xfId="0" applyAlignment="1" applyBorder="1" applyFont="1" applyNumberFormat="1">
      <alignment horizontal="right" shrinkToFit="0" vertical="bottom" wrapText="1"/>
    </xf>
    <xf borderId="58" fillId="12" fontId="7" numFmtId="4" xfId="0" applyAlignment="1" applyBorder="1" applyFont="1" applyNumberFormat="1">
      <alignment shrinkToFit="0" wrapText="1"/>
    </xf>
    <xf borderId="59" fillId="25" fontId="1" numFmtId="173" xfId="0" applyAlignment="1" applyBorder="1" applyFill="1" applyFont="1" applyNumberFormat="1">
      <alignment horizontal="right" shrinkToFit="0" vertical="bottom" wrapText="1"/>
    </xf>
    <xf borderId="37" fillId="21" fontId="14" numFmtId="164" xfId="0" applyBorder="1" applyFont="1" applyNumberFormat="1"/>
    <xf borderId="41" fillId="21" fontId="63" numFmtId="0" xfId="0" applyBorder="1" applyFont="1"/>
    <xf borderId="41" fillId="21" fontId="14" numFmtId="164" xfId="0" applyBorder="1" applyFont="1" applyNumberFormat="1"/>
    <xf borderId="73" fillId="21" fontId="14" numFmtId="164" xfId="0" applyBorder="1" applyFont="1" applyNumberFormat="1"/>
    <xf borderId="55" fillId="12" fontId="12" numFmtId="0" xfId="0" applyAlignment="1" applyBorder="1" applyFont="1">
      <alignment horizontal="center" shrinkToFit="0" wrapText="1"/>
    </xf>
    <xf borderId="60" fillId="12" fontId="12" numFmtId="0" xfId="0" applyAlignment="1" applyBorder="1" applyFont="1">
      <alignment horizontal="center" shrinkToFit="0" wrapText="1"/>
    </xf>
    <xf borderId="56" fillId="12" fontId="12" numFmtId="0" xfId="0" applyAlignment="1" applyBorder="1" applyFont="1">
      <alignment horizontal="center" shrinkToFit="0" wrapText="1"/>
    </xf>
    <xf borderId="29" fillId="21" fontId="46" numFmtId="0" xfId="0" applyAlignment="1" applyBorder="1" applyFont="1">
      <alignment horizontal="center" shrinkToFit="0" vertical="center" wrapText="1"/>
    </xf>
    <xf borderId="74" fillId="12" fontId="46" numFmtId="0" xfId="0" applyAlignment="1" applyBorder="1" applyFont="1">
      <alignment horizontal="left" shrinkToFit="0" vertical="center" wrapText="1"/>
    </xf>
    <xf borderId="57" fillId="22" fontId="11" numFmtId="164" xfId="0" applyAlignment="1" applyBorder="1" applyFont="1" applyNumberFormat="1">
      <alignment horizontal="right" readingOrder="0" shrinkToFit="0" wrapText="1"/>
    </xf>
    <xf borderId="6" fillId="22" fontId="11" numFmtId="4" xfId="0" applyAlignment="1" applyBorder="1" applyFont="1" applyNumberFormat="1">
      <alignment horizontal="center" readingOrder="0" shrinkToFit="0" wrapText="1"/>
    </xf>
    <xf borderId="32" fillId="22" fontId="1" numFmtId="4" xfId="0" applyAlignment="1" applyBorder="1" applyFont="1" applyNumberFormat="1">
      <alignment horizontal="center" shrinkToFit="0" vertical="bottom" wrapText="1"/>
    </xf>
    <xf borderId="29" fillId="21" fontId="14" numFmtId="4" xfId="0" applyAlignment="1" applyBorder="1" applyFont="1" applyNumberFormat="1">
      <alignment horizontal="center" shrinkToFit="0" wrapText="1"/>
    </xf>
    <xf borderId="57" fillId="7" fontId="1" numFmtId="4" xfId="0" applyAlignment="1" applyBorder="1" applyFont="1" applyNumberFormat="1">
      <alignment horizontal="center" shrinkToFit="0" vertical="bottom" wrapText="1"/>
    </xf>
    <xf borderId="6" fillId="7" fontId="1" numFmtId="4" xfId="0" applyAlignment="1" applyBorder="1" applyFont="1" applyNumberFormat="1">
      <alignment horizontal="center" shrinkToFit="0" vertical="bottom" wrapText="1"/>
    </xf>
    <xf borderId="6" fillId="22" fontId="1" numFmtId="4" xfId="0" applyAlignment="1" applyBorder="1" applyFont="1" applyNumberFormat="1">
      <alignment horizontal="center" shrinkToFit="0" vertical="bottom" wrapText="1"/>
    </xf>
    <xf borderId="3" fillId="18" fontId="1" numFmtId="4" xfId="0" applyAlignment="1" applyBorder="1" applyFont="1" applyNumberFormat="1">
      <alignment shrinkToFit="0" vertical="top" wrapText="1"/>
    </xf>
    <xf borderId="57" fillId="22" fontId="1" numFmtId="164" xfId="0" applyAlignment="1" applyBorder="1" applyFont="1" applyNumberFormat="1">
      <alignment horizontal="right" readingOrder="0" shrinkToFit="0" vertical="bottom" wrapText="1"/>
    </xf>
    <xf borderId="6" fillId="22" fontId="1" numFmtId="4" xfId="0" applyAlignment="1" applyBorder="1" applyFont="1" applyNumberFormat="1">
      <alignment horizontal="center" readingOrder="0" shrinkToFit="0" vertical="bottom" wrapText="1"/>
    </xf>
    <xf borderId="47" fillId="21" fontId="11" numFmtId="4" xfId="0" applyBorder="1" applyFont="1" applyNumberFormat="1"/>
    <xf borderId="47" fillId="21" fontId="11" numFmtId="164" xfId="0" applyBorder="1" applyFont="1" applyNumberFormat="1"/>
    <xf borderId="37" fillId="21" fontId="63" numFmtId="0" xfId="0" applyBorder="1" applyFont="1"/>
    <xf borderId="37" fillId="21" fontId="11" numFmtId="164" xfId="0" applyBorder="1" applyFont="1" applyNumberFormat="1"/>
    <xf borderId="73" fillId="21" fontId="46" numFmtId="0" xfId="0" applyAlignment="1" applyBorder="1" applyFont="1">
      <alignment horizontal="center" shrinkToFit="0" vertical="center" wrapText="1"/>
    </xf>
    <xf borderId="73" fillId="21" fontId="14" numFmtId="4" xfId="0" applyAlignment="1" applyBorder="1" applyFont="1" applyNumberFormat="1">
      <alignment horizontal="center" shrinkToFit="0" wrapText="1"/>
    </xf>
    <xf borderId="57" fillId="7" fontId="14" numFmtId="4" xfId="0" applyAlignment="1" applyBorder="1" applyFont="1" applyNumberFormat="1">
      <alignment horizontal="center" shrinkToFit="0" wrapText="1"/>
    </xf>
    <xf borderId="6" fillId="7" fontId="14" numFmtId="4" xfId="0" applyAlignment="1" applyBorder="1" applyFont="1" applyNumberFormat="1">
      <alignment horizontal="center" shrinkToFit="0" wrapText="1"/>
    </xf>
    <xf borderId="6" fillId="22" fontId="14" numFmtId="4" xfId="0" applyAlignment="1" applyBorder="1" applyFont="1" applyNumberFormat="1">
      <alignment horizontal="center" shrinkToFit="0" wrapText="1"/>
    </xf>
    <xf borderId="3" fillId="18" fontId="11" numFmtId="4" xfId="0" applyAlignment="1" applyBorder="1" applyFont="1" applyNumberFormat="1">
      <alignment shrinkToFit="0" wrapText="1"/>
    </xf>
    <xf borderId="58" fillId="7" fontId="14" numFmtId="4" xfId="0" applyAlignment="1" applyBorder="1" applyFont="1" applyNumberFormat="1">
      <alignment horizontal="center" shrinkToFit="0" wrapText="1"/>
    </xf>
    <xf borderId="61" fillId="7" fontId="14" numFmtId="4" xfId="0" applyAlignment="1" applyBorder="1" applyFont="1" applyNumberFormat="1">
      <alignment horizontal="center" shrinkToFit="0" wrapText="1"/>
    </xf>
    <xf borderId="61" fillId="22" fontId="14" numFmtId="4" xfId="0" applyAlignment="1" applyBorder="1" applyFont="1" applyNumberFormat="1">
      <alignment horizontal="center" shrinkToFit="0" wrapText="1"/>
    </xf>
    <xf borderId="37" fillId="21" fontId="11" numFmtId="0" xfId="0" applyBorder="1" applyFont="1"/>
    <xf borderId="37" fillId="21" fontId="14" numFmtId="0" xfId="0" applyBorder="1" applyFont="1"/>
    <xf borderId="37" fillId="21" fontId="46" numFmtId="0" xfId="0" applyAlignment="1" applyBorder="1" applyFont="1">
      <alignment horizontal="center" shrinkToFit="0" vertical="center" wrapText="1"/>
    </xf>
    <xf borderId="6" fillId="22" fontId="1" numFmtId="3" xfId="0" applyAlignment="1" applyBorder="1" applyFont="1" applyNumberFormat="1">
      <alignment horizontal="center" readingOrder="0" shrinkToFit="0" vertical="bottom" wrapText="1"/>
    </xf>
    <xf borderId="37" fillId="21" fontId="14" numFmtId="4" xfId="0" applyAlignment="1" applyBorder="1" applyFont="1" applyNumberFormat="1">
      <alignment horizontal="center" shrinkToFit="0" wrapText="1"/>
    </xf>
    <xf borderId="0" fillId="0" fontId="14" numFmtId="181" xfId="0" applyFont="1" applyNumberFormat="1"/>
    <xf borderId="59" fillId="22" fontId="1" numFmtId="4" xfId="0" applyAlignment="1" applyBorder="1" applyFont="1" applyNumberFormat="1">
      <alignment horizontal="center" shrinkToFit="0" vertical="bottom" wrapText="1"/>
    </xf>
    <xf borderId="80" fillId="26" fontId="64" numFmtId="0" xfId="0" applyAlignment="1" applyBorder="1" applyFill="1" applyFont="1">
      <alignment horizontal="right"/>
    </xf>
    <xf borderId="81" fillId="22" fontId="1" numFmtId="164" xfId="0" applyAlignment="1" applyBorder="1" applyFont="1" applyNumberFormat="1">
      <alignment horizontal="right" readingOrder="0" shrinkToFit="0" vertical="bottom" wrapText="1"/>
    </xf>
    <xf borderId="6" fillId="22" fontId="11" numFmtId="4" xfId="0" applyAlignment="1" applyBorder="1" applyFont="1" applyNumberFormat="1">
      <alignment horizontal="center" shrinkToFit="0" wrapText="1"/>
    </xf>
    <xf borderId="32" fillId="22" fontId="11" numFmtId="4" xfId="0" applyAlignment="1" applyBorder="1" applyFont="1" applyNumberFormat="1">
      <alignment horizontal="center" shrinkToFit="0" wrapText="1"/>
    </xf>
    <xf borderId="61" fillId="22" fontId="11" numFmtId="4" xfId="0" applyAlignment="1" applyBorder="1" applyFont="1" applyNumberFormat="1">
      <alignment horizontal="center" shrinkToFit="0" wrapText="1"/>
    </xf>
    <xf borderId="59" fillId="22" fontId="11" numFmtId="4" xfId="0" applyAlignment="1" applyBorder="1" applyFont="1" applyNumberFormat="1">
      <alignment horizontal="center" shrinkToFit="0" wrapText="1"/>
    </xf>
    <xf borderId="41" fillId="21" fontId="14" numFmtId="0" xfId="0" applyBorder="1" applyFont="1"/>
    <xf borderId="46" fillId="21" fontId="14" numFmtId="0" xfId="0" applyBorder="1" applyFont="1"/>
    <xf borderId="47" fillId="21" fontId="14" numFmtId="164" xfId="0" applyBorder="1" applyFont="1" applyNumberFormat="1"/>
    <xf borderId="61" fillId="22" fontId="11" numFmtId="4" xfId="0" applyAlignment="1" applyBorder="1" applyFont="1" applyNumberFormat="1">
      <alignment horizontal="center" readingOrder="0" shrinkToFit="0" wrapText="1"/>
    </xf>
    <xf borderId="0" fillId="21" fontId="14" numFmtId="164" xfId="0" applyFont="1" applyNumberFormat="1"/>
    <xf borderId="60" fillId="12" fontId="46" numFmtId="0" xfId="0" applyAlignment="1" applyBorder="1" applyFont="1">
      <alignment horizontal="center" readingOrder="0" shrinkToFit="0" vertical="center" wrapText="1"/>
    </xf>
    <xf borderId="6" fillId="22" fontId="11" numFmtId="0" xfId="0" applyAlignment="1" applyBorder="1" applyFont="1">
      <alignment horizontal="center" readingOrder="0" shrinkToFit="0" wrapText="1"/>
    </xf>
    <xf borderId="61" fillId="22" fontId="11" numFmtId="0" xfId="0" applyAlignment="1" applyBorder="1" applyFont="1">
      <alignment horizontal="center" readingOrder="0" shrinkToFit="0" wrapText="1"/>
    </xf>
    <xf borderId="56" fillId="12" fontId="46" numFmtId="0" xfId="0" applyAlignment="1" applyBorder="1" applyFont="1">
      <alignment horizontal="center" readingOrder="0" shrinkToFit="0" vertical="center" wrapText="1"/>
    </xf>
    <xf borderId="29" fillId="21" fontId="14" numFmtId="0" xfId="0" applyBorder="1" applyFont="1"/>
    <xf borderId="76" fillId="18" fontId="11" numFmtId="4" xfId="0" applyAlignment="1" applyBorder="1" applyFont="1" applyNumberFormat="1">
      <alignment shrinkToFit="0" wrapText="1"/>
    </xf>
    <xf borderId="82" fillId="0" fontId="5" numFmtId="0" xfId="0" applyBorder="1" applyFont="1"/>
    <xf borderId="83" fillId="0" fontId="5" numFmtId="0" xfId="0" applyBorder="1" applyFont="1"/>
    <xf borderId="0" fillId="0" fontId="63" numFmtId="0" xfId="0" applyFont="1"/>
    <xf borderId="12" fillId="0" fontId="54" numFmtId="0" xfId="0" applyAlignment="1" applyBorder="1" applyFont="1">
      <alignment horizontal="left" shrinkToFit="0" vertical="center" wrapText="1"/>
    </xf>
    <xf borderId="0" fillId="0" fontId="46" numFmtId="0" xfId="0" applyAlignment="1" applyFont="1">
      <alignment shrinkToFit="0" wrapText="1"/>
    </xf>
    <xf borderId="0" fillId="0" fontId="65" numFmtId="174" xfId="0" applyFont="1" applyNumberFormat="1"/>
    <xf borderId="0" fillId="0" fontId="65" numFmtId="0" xfId="0" applyFont="1"/>
    <xf borderId="0" fillId="0" fontId="65" numFmtId="182" xfId="0" applyFont="1" applyNumberFormat="1"/>
    <xf borderId="0" fillId="0" fontId="66" numFmtId="4" xfId="0" applyFont="1" applyNumberFormat="1"/>
    <xf borderId="0" fillId="0" fontId="67" numFmtId="4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7" numFmtId="4" xfId="0" applyAlignment="1" applyFont="1" applyNumberFormat="1">
      <alignment shrinkToFit="0" vertical="bottom" wrapText="1"/>
    </xf>
    <xf borderId="0" fillId="0" fontId="68" numFmtId="4" xfId="0" applyAlignment="1" applyFont="1" applyNumberFormat="1">
      <alignment vertical="bottom"/>
    </xf>
    <xf borderId="9" fillId="0" fontId="69" numFmtId="4" xfId="0" applyAlignment="1" applyBorder="1" applyFont="1" applyNumberFormat="1">
      <alignment horizontal="center" shrinkToFit="0" wrapText="1"/>
    </xf>
    <xf borderId="0" fillId="0" fontId="1" numFmtId="170" xfId="0" applyAlignment="1" applyFont="1" applyNumberFormat="1">
      <alignment horizontal="right" vertical="bottom"/>
    </xf>
    <xf borderId="0" fillId="0" fontId="70" numFmtId="4" xfId="0" applyAlignment="1" applyFont="1" applyNumberFormat="1">
      <alignment vertical="bottom"/>
    </xf>
    <xf borderId="0" fillId="0" fontId="71" numFmtId="0" xfId="0" applyAlignment="1" applyFont="1">
      <alignment horizontal="right" readingOrder="0" vertical="bottom"/>
    </xf>
    <xf borderId="0" fillId="0" fontId="71" numFmtId="0" xfId="0" applyAlignment="1" applyFont="1">
      <alignment readingOrder="0" vertical="bottom"/>
    </xf>
    <xf borderId="0" fillId="0" fontId="71" numFmtId="183" xfId="0" applyAlignment="1" applyFont="1" applyNumberFormat="1">
      <alignment horizontal="right" readingOrder="0" vertical="bottom"/>
    </xf>
    <xf borderId="0" fillId="0" fontId="71" numFmtId="4" xfId="0" applyAlignment="1" applyFont="1" applyNumberFormat="1">
      <alignment horizontal="right" readingOrder="0" vertical="bottom"/>
    </xf>
    <xf borderId="0" fillId="0" fontId="71" numFmtId="3" xfId="0" applyAlignment="1" applyFont="1" applyNumberFormat="1">
      <alignment horizontal="right" readingOrder="0" vertical="bottom"/>
    </xf>
    <xf borderId="0" fillId="0" fontId="72" numFmtId="0" xfId="0" applyAlignment="1" applyFont="1">
      <alignment readingOrder="0"/>
    </xf>
    <xf borderId="0" fillId="0" fontId="71" numFmtId="4" xfId="0" applyAlignment="1" applyFont="1" applyNumberFormat="1">
      <alignment horizontal="right" readingOrder="0" vertical="bottom"/>
    </xf>
    <xf borderId="0" fillId="0" fontId="65" numFmtId="0" xfId="0" applyAlignment="1" applyFont="1">
      <alignment readingOrder="0" vertical="bottom"/>
    </xf>
    <xf borderId="0" fillId="0" fontId="73" numFmtId="0" xfId="0" applyAlignment="1" applyFont="1">
      <alignment readingOrder="0" vertical="bottom"/>
    </xf>
    <xf borderId="0" fillId="0" fontId="74" numFmtId="0" xfId="0" applyAlignment="1" applyFont="1">
      <alignment readingOrder="0" vertical="bottom"/>
    </xf>
    <xf borderId="0" fillId="0" fontId="71" numFmtId="11" xfId="0" applyAlignment="1" applyFont="1" applyNumberFormat="1">
      <alignment readingOrder="0" vertical="bottom"/>
    </xf>
    <xf borderId="0" fillId="0" fontId="75" numFmtId="4" xfId="0" applyAlignment="1" applyFont="1" applyNumberFormat="1">
      <alignment horizontal="right" readingOrder="0" vertical="bottom"/>
    </xf>
    <xf borderId="0" fillId="0" fontId="75" numFmtId="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75" numFmtId="3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83" xfId="0" applyAlignment="1" applyFont="1" applyNumberFormat="1">
      <alignment readingOrder="0" vertical="bottom"/>
    </xf>
    <xf borderId="0" fillId="0" fontId="71" numFmtId="11" xfId="0" applyAlignment="1" applyFont="1" applyNumberFormat="1">
      <alignment horizontal="right" readingOrder="0" vertical="bottom"/>
    </xf>
    <xf borderId="0" fillId="0" fontId="1" numFmtId="183" xfId="0" applyAlignment="1" applyFont="1" applyNumberFormat="1">
      <alignment vertical="bottom"/>
    </xf>
    <xf borderId="0" fillId="0" fontId="71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71" numFmtId="4" xfId="0" applyAlignment="1" applyFont="1" applyNumberFormat="1">
      <alignment readingOrder="0" vertical="bottom"/>
    </xf>
    <xf borderId="0" fillId="0" fontId="75" numFmtId="4" xfId="0" applyAlignment="1" applyFont="1" applyNumberFormat="1">
      <alignment readingOrder="0" vertical="bottom"/>
    </xf>
    <xf borderId="0" fillId="7" fontId="71" numFmtId="4" xfId="0" applyAlignment="1" applyFont="1" applyNumberFormat="1">
      <alignment horizontal="right" readingOrder="0" vertical="bottom"/>
    </xf>
    <xf borderId="0" fillId="7" fontId="71" numFmtId="4" xfId="0" applyAlignment="1" applyFont="1" applyNumberFormat="1">
      <alignment readingOrder="0" vertical="bottom"/>
    </xf>
    <xf borderId="0" fillId="7" fontId="71" numFmtId="165" xfId="0" applyAlignment="1" applyFont="1" applyNumberFormat="1">
      <alignment horizontal="right" readingOrder="0" vertical="bottom"/>
    </xf>
    <xf borderId="0" fillId="7" fontId="71" numFmtId="183" xfId="0" applyAlignment="1" applyFont="1" applyNumberFormat="1">
      <alignment horizontal="right" readingOrder="0" vertical="bottom"/>
    </xf>
    <xf borderId="0" fillId="7" fontId="1" numFmtId="165" xfId="0" applyAlignment="1" applyFont="1" applyNumberFormat="1">
      <alignment vertical="bottom"/>
    </xf>
    <xf borderId="0" fillId="7" fontId="71" numFmtId="11" xfId="0" applyAlignment="1" applyFont="1" applyNumberFormat="1">
      <alignment horizontal="right" readingOrder="0" vertical="bottom"/>
    </xf>
    <xf borderId="0" fillId="0" fontId="76" numFmtId="4" xfId="0" applyAlignment="1" applyFont="1" applyNumberFormat="1">
      <alignment horizontal="right" readingOrder="0" vertical="bottom"/>
    </xf>
    <xf borderId="0" fillId="0" fontId="71" numFmtId="4" xfId="0" applyAlignment="1" applyFont="1" applyNumberFormat="1">
      <alignment horizontal="left" readingOrder="0" vertical="bottom"/>
    </xf>
    <xf borderId="0" fillId="0" fontId="75" numFmtId="0" xfId="0" applyAlignment="1" applyFont="1">
      <alignment readingOrder="0" vertical="bottom"/>
    </xf>
    <xf borderId="0" fillId="0" fontId="72" numFmtId="165" xfId="0" applyAlignment="1" applyFont="1" applyNumberFormat="1">
      <alignment readingOrder="0"/>
    </xf>
    <xf borderId="0" fillId="0" fontId="72" numFmtId="4" xfId="0" applyAlignment="1" applyFont="1" applyNumberFormat="1">
      <alignment readingOrder="0"/>
    </xf>
    <xf borderId="0" fillId="0" fontId="72" numFmtId="4" xfId="0" applyAlignment="1" applyFont="1" applyNumberFormat="1">
      <alignment readingOrder="0"/>
    </xf>
    <xf borderId="0" fillId="0" fontId="72" numFmtId="3" xfId="0" applyAlignment="1" applyFont="1" applyNumberFormat="1">
      <alignment readingOrder="0"/>
    </xf>
    <xf borderId="0" fillId="0" fontId="72" numFmtId="167" xfId="0" applyAlignment="1" applyFont="1" applyNumberFormat="1">
      <alignment readingOrder="0"/>
    </xf>
    <xf borderId="0" fillId="0" fontId="72" numFmtId="11" xfId="0" applyAlignment="1" applyFont="1" applyNumberFormat="1">
      <alignment readingOrder="0"/>
    </xf>
    <xf borderId="1" fillId="2" fontId="16" numFmtId="0" xfId="0" applyAlignment="1" applyBorder="1" applyFont="1">
      <alignment shrinkToFit="0" wrapText="1"/>
    </xf>
    <xf borderId="42" fillId="2" fontId="16" numFmtId="166" xfId="0" applyAlignment="1" applyBorder="1" applyFont="1" applyNumberFormat="1">
      <alignment horizontal="right"/>
    </xf>
    <xf borderId="43" fillId="2" fontId="35" numFmtId="0" xfId="0" applyAlignment="1" applyBorder="1" applyFont="1">
      <alignment readingOrder="0" shrinkToFit="0" wrapText="1"/>
    </xf>
    <xf borderId="3" fillId="0" fontId="11" numFmtId="166" xfId="0" applyAlignment="1" applyBorder="1" applyFont="1" applyNumberFormat="1">
      <alignment horizontal="right" vertical="center"/>
    </xf>
    <xf borderId="3" fillId="0" fontId="33" numFmtId="166" xfId="0" applyAlignment="1" applyBorder="1" applyFont="1" applyNumberFormat="1">
      <alignment horizontal="right" vertical="center"/>
    </xf>
    <xf borderId="32" fillId="0" fontId="77" numFmtId="0" xfId="0" applyBorder="1" applyFont="1"/>
    <xf borderId="0" fillId="0" fontId="21" numFmtId="167" xfId="0" applyAlignment="1" applyFont="1" applyNumberFormat="1">
      <alignment readingOrder="0"/>
    </xf>
    <xf borderId="58" fillId="0" fontId="11" numFmtId="167" xfId="0" applyAlignment="1" applyBorder="1" applyFont="1" applyNumberFormat="1">
      <alignment horizontal="right" readingOrder="0" shrinkToFit="0" wrapText="1"/>
    </xf>
    <xf borderId="59" fillId="0" fontId="14" numFmtId="4" xfId="0" applyAlignment="1" applyBorder="1" applyFont="1" applyNumberFormat="1">
      <alignment horizontal="center" readingOrder="0"/>
    </xf>
    <xf borderId="0" fillId="0" fontId="14" numFmtId="4" xfId="0" applyAlignment="1" applyFont="1" applyNumberFormat="1">
      <alignment horizontal="left"/>
    </xf>
    <xf borderId="58" fillId="0" fontId="1" numFmtId="167" xfId="0" applyAlignment="1" applyBorder="1" applyFont="1" applyNumberFormat="1">
      <alignment horizontal="right" readingOrder="0" shrinkToFit="0" vertical="bottom" wrapText="1"/>
    </xf>
    <xf borderId="61" fillId="0" fontId="1" numFmtId="4" xfId="0" applyAlignment="1" applyBorder="1" applyFont="1" applyNumberFormat="1">
      <alignment horizontal="center" readingOrder="0" shrinkToFit="0" vertical="bottom" wrapText="1"/>
    </xf>
    <xf borderId="0" fillId="21" fontId="54" numFmtId="0" xfId="0" applyAlignment="1" applyFont="1">
      <alignment horizontal="left" shrinkToFit="0" vertical="center" wrapText="1"/>
    </xf>
    <xf borderId="6" fillId="0" fontId="11" numFmtId="4" xfId="0" applyAlignment="1" applyBorder="1" applyFont="1" applyNumberFormat="1">
      <alignment horizontal="center" readingOrder="0" shrinkToFit="0" wrapText="1"/>
    </xf>
    <xf borderId="57" fillId="0" fontId="1" numFmtId="164" xfId="0" applyAlignment="1" applyBorder="1" applyFont="1" applyNumberFormat="1">
      <alignment horizontal="right" shrinkToFit="0" vertical="bottom" wrapText="1"/>
    </xf>
    <xf borderId="3" fillId="0" fontId="78" numFmtId="4" xfId="0" applyAlignment="1" applyBorder="1" applyFont="1" applyNumberFormat="1">
      <alignment shrinkToFit="0" vertical="bottom" wrapText="1"/>
    </xf>
    <xf borderId="6" fillId="0" fontId="11" numFmtId="4" xfId="0" applyAlignment="1" applyBorder="1" applyFont="1" applyNumberFormat="1">
      <alignment horizontal="center" shrinkToFit="0" wrapText="1"/>
    </xf>
    <xf borderId="0" fillId="0" fontId="1" numFmtId="173" xfId="0" applyAlignment="1" applyFont="1" applyNumberFormat="1">
      <alignment vertical="bottom"/>
    </xf>
    <xf borderId="57" fillId="0" fontId="1" numFmtId="164" xfId="0" applyAlignment="1" applyBorder="1" applyFont="1" applyNumberFormat="1">
      <alignment horizontal="right" readingOrder="0" shrinkToFit="0" vertical="bottom" wrapText="1"/>
    </xf>
    <xf borderId="3" fillId="0" fontId="1" numFmtId="4" xfId="0" applyAlignment="1" applyBorder="1" applyFont="1" applyNumberFormat="1">
      <alignment readingOrder="0" shrinkToFit="0" vertical="bottom" wrapText="1"/>
    </xf>
    <xf borderId="0" fillId="0" fontId="11" numFmtId="164" xfId="0" applyAlignment="1" applyFont="1" applyNumberFormat="1">
      <alignment shrinkToFit="0" wrapText="1"/>
    </xf>
    <xf borderId="0" fillId="0" fontId="11" numFmtId="4" xfId="0" applyAlignment="1" applyFont="1" applyNumberFormat="1">
      <alignment horizontal="center" shrinkToFit="0" wrapText="1"/>
    </xf>
    <xf borderId="0" fillId="0" fontId="11" numFmtId="4" xfId="0" applyAlignment="1" applyFont="1" applyNumberFormat="1">
      <alignment horizontal="left" shrinkToFit="0" wrapText="1"/>
    </xf>
    <xf borderId="0" fillId="0" fontId="79" numFmtId="0" xfId="0" applyFont="1"/>
    <xf borderId="58" fillId="22" fontId="14" numFmtId="164" xfId="0" applyAlignment="1" applyBorder="1" applyFont="1" applyNumberFormat="1">
      <alignment horizontal="left" shrinkToFit="0" wrapText="1"/>
    </xf>
    <xf borderId="61" fillId="22" fontId="14" numFmtId="4" xfId="0" applyAlignment="1" applyBorder="1" applyFont="1" applyNumberFormat="1">
      <alignment horizontal="center" readingOrder="0" shrinkToFit="0" wrapText="1"/>
    </xf>
    <xf borderId="59" fillId="22" fontId="14" numFmtId="4" xfId="0" applyAlignment="1" applyBorder="1" applyFont="1" applyNumberFormat="1">
      <alignment horizontal="center"/>
    </xf>
    <xf borderId="0" fillId="0" fontId="14" numFmtId="166" xfId="0" applyFont="1" applyNumberFormat="1"/>
    <xf borderId="59" fillId="0" fontId="14" numFmtId="173" xfId="0" applyAlignment="1" applyBorder="1" applyFont="1" applyNumberFormat="1">
      <alignment horizontal="right" shrinkToFit="0" wrapText="1"/>
    </xf>
    <xf borderId="19" fillId="0" fontId="14" numFmtId="180" xfId="0" applyAlignment="1" applyBorder="1" applyFont="1" applyNumberFormat="1">
      <alignment readingOrder="0" shrinkToFit="0" vertical="center" wrapText="1"/>
    </xf>
    <xf borderId="0" fillId="0" fontId="14" numFmtId="4" xfId="0" applyAlignment="1" applyFont="1" applyNumberFormat="1">
      <alignment horizontal="left" readingOrder="0" shrinkToFit="0" vertical="top" wrapText="1"/>
    </xf>
    <xf borderId="0" fillId="0" fontId="11" numFmtId="0" xfId="0" applyAlignment="1" applyFont="1">
      <alignment shrinkToFit="0" wrapText="1"/>
    </xf>
    <xf borderId="19" fillId="0" fontId="1" numFmtId="164" xfId="0" applyAlignment="1" applyBorder="1" applyFont="1" applyNumberFormat="1">
      <alignment horizontal="right" shrinkToFit="0" wrapText="1"/>
    </xf>
    <xf borderId="0" fillId="0" fontId="1" numFmtId="4" xfId="0" applyAlignment="1" applyFont="1" applyNumberFormat="1">
      <alignment shrinkToFit="0" vertical="bottom" wrapText="1"/>
    </xf>
    <xf borderId="21" fillId="0" fontId="1" numFmtId="4" xfId="0" applyAlignment="1" applyBorder="1" applyFont="1" applyNumberFormat="1">
      <alignment horizontal="right" shrinkToFit="0" vertical="bottom" wrapText="1"/>
    </xf>
    <xf borderId="0" fillId="0" fontId="14" numFmtId="0" xfId="0" applyAlignment="1" applyFont="1">
      <alignment horizontal="left" shrinkToFit="0" vertical="top" wrapText="0"/>
    </xf>
    <xf borderId="0" fillId="0" fontId="11" numFmtId="172" xfId="0" applyFont="1" applyNumberFormat="1"/>
    <xf borderId="37" fillId="16" fontId="80" numFmtId="0" xfId="0" applyAlignment="1" applyBorder="1" applyFont="1">
      <alignment horizontal="right" shrinkToFit="0" wrapText="1"/>
    </xf>
    <xf borderId="37" fillId="16" fontId="25" numFmtId="0" xfId="0" applyAlignment="1" applyBorder="1" applyFont="1">
      <alignment horizontal="right" vertical="center"/>
    </xf>
    <xf borderId="36" fillId="0" fontId="14" numFmtId="170" xfId="0" applyAlignment="1" applyBorder="1" applyFont="1" applyNumberFormat="1">
      <alignment horizontal="center" vertical="center"/>
    </xf>
    <xf borderId="32" fillId="0" fontId="81" numFmtId="0" xfId="0" applyBorder="1" applyFont="1"/>
    <xf borderId="74" fillId="12" fontId="7" numFmtId="0" xfId="0" applyAlignment="1" applyBorder="1" applyFont="1">
      <alignment horizontal="center" shrinkToFit="0" wrapText="1"/>
    </xf>
    <xf borderId="58" fillId="22" fontId="1" numFmtId="164" xfId="0" applyAlignment="1" applyBorder="1" applyFont="1" applyNumberFormat="1">
      <alignment horizontal="right" shrinkToFit="0" vertical="bottom" wrapText="1"/>
    </xf>
    <xf borderId="76" fillId="22" fontId="1" numFmtId="4" xfId="0" applyAlignment="1" applyBorder="1" applyFont="1" applyNumberFormat="1">
      <alignment horizontal="center" shrinkToFit="0" vertical="bottom" wrapText="1"/>
    </xf>
    <xf borderId="58" fillId="12" fontId="7" numFmtId="0" xfId="0" applyAlignment="1" applyBorder="1" applyFont="1">
      <alignment shrinkToFit="0" wrapText="1"/>
    </xf>
    <xf borderId="73" fillId="21" fontId="14" numFmtId="0" xfId="0" applyBorder="1" applyFont="1"/>
    <xf borderId="3" fillId="22" fontId="1" numFmtId="4" xfId="0" applyAlignment="1" applyBorder="1" applyFont="1" applyNumberFormat="1">
      <alignment shrinkToFit="0" vertical="top" wrapText="1"/>
    </xf>
    <xf borderId="3" fillId="22" fontId="14" numFmtId="4" xfId="0" applyAlignment="1" applyBorder="1" applyFont="1" applyNumberFormat="1">
      <alignment horizontal="left" shrinkToFit="0" wrapText="1"/>
    </xf>
    <xf borderId="37" fillId="21" fontId="14" numFmtId="4" xfId="0" applyBorder="1" applyFont="1" applyNumberFormat="1"/>
    <xf borderId="3" fillId="22" fontId="1" numFmtId="4" xfId="0" applyAlignment="1" applyBorder="1" applyFont="1" applyNumberFormat="1">
      <alignment shrinkToFit="0" vertical="bottom" wrapText="1"/>
    </xf>
    <xf borderId="32" fillId="22" fontId="14" numFmtId="4" xfId="0" applyAlignment="1" applyBorder="1" applyFont="1" applyNumberFormat="1">
      <alignment horizontal="center" shrinkToFit="0" wrapText="1"/>
    </xf>
    <xf borderId="59" fillId="22" fontId="14" numFmtId="4" xfId="0" applyAlignment="1" applyBorder="1" applyFont="1" applyNumberForma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1" numFmtId="164" xfId="0" applyAlignment="1" applyFont="1" applyNumberFormat="1">
      <alignment horizontal="center"/>
    </xf>
    <xf borderId="0" fillId="0" fontId="82" numFmtId="0" xfId="0" applyFont="1"/>
    <xf borderId="19" fillId="0" fontId="14" numFmtId="183" xfId="0" applyAlignment="1" applyBorder="1" applyFont="1" applyNumberFormat="1">
      <alignment shrinkToFit="0" wrapText="1"/>
    </xf>
    <xf borderId="0" fillId="0" fontId="1" numFmtId="183" xfId="0" applyAlignment="1" applyFont="1" applyNumberFormat="1">
      <alignment vertical="bottom"/>
    </xf>
    <xf borderId="0" fillId="0" fontId="66" numFmtId="183" xfId="0" applyFont="1" applyNumberFormat="1"/>
    <xf borderId="0" fillId="0" fontId="83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7" numFmtId="183" xfId="0" applyAlignment="1" applyFont="1" applyNumberFormat="1">
      <alignment shrinkToFit="0" vertical="bottom" wrapText="1"/>
    </xf>
    <xf borderId="0" fillId="0" fontId="84" numFmtId="183" xfId="0" applyAlignment="1" applyFont="1" applyNumberFormat="1">
      <alignment shrinkToFit="0" vertical="bottom" wrapText="1"/>
    </xf>
    <xf borderId="9" fillId="0" fontId="69" numFmtId="183" xfId="0" applyAlignment="1" applyBorder="1" applyFont="1" applyNumberFormat="1">
      <alignment horizontal="center" shrinkToFit="0" wrapText="1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82" numFmtId="0" xfId="0" applyAlignment="1" applyFont="1">
      <alignment readingOrder="0" shrinkToFit="0" vertical="bottom" wrapText="0"/>
    </xf>
    <xf borderId="0" fillId="0" fontId="82" numFmtId="183" xfId="0" applyAlignment="1" applyFont="1" applyNumberFormat="1">
      <alignment readingOrder="0" shrinkToFit="0" vertical="bottom" wrapText="0"/>
    </xf>
    <xf borderId="0" fillId="0" fontId="82" numFmtId="4" xfId="0" applyAlignment="1" applyFont="1" applyNumberFormat="1">
      <alignment readingOrder="0" shrinkToFit="0" vertical="bottom" wrapText="0"/>
    </xf>
    <xf borderId="0" fillId="0" fontId="82" numFmtId="183" xfId="0" applyAlignment="1" applyFont="1" applyNumberFormat="1">
      <alignment shrinkToFit="0" vertical="bottom" wrapText="0"/>
    </xf>
    <xf borderId="0" fillId="0" fontId="82" numFmtId="4" xfId="0" applyAlignment="1" applyFont="1" applyNumberFormat="1">
      <alignment readingOrder="0" shrinkToFit="0" vertical="bottom" wrapText="0"/>
    </xf>
    <xf borderId="0" fillId="0" fontId="57" numFmtId="0" xfId="0" applyAlignment="1" applyFont="1">
      <alignment readingOrder="0" shrinkToFit="0" vertical="bottom" wrapText="0"/>
    </xf>
    <xf borderId="0" fillId="0" fontId="82" numFmtId="11" xfId="0" applyAlignment="1" applyFont="1" applyNumberFormat="1">
      <alignment readingOrder="0" shrinkToFit="0" vertical="bottom" wrapText="0"/>
    </xf>
    <xf borderId="0" fillId="0" fontId="82" numFmtId="3" xfId="0" applyAlignment="1" applyFont="1" applyNumberFormat="1">
      <alignment readingOrder="0" shrinkToFit="0" vertical="bottom" wrapText="0"/>
    </xf>
    <xf borderId="0" fillId="0" fontId="82" numFmtId="165" xfId="0" applyAlignment="1" applyFont="1" applyNumberFormat="1">
      <alignment readingOrder="0" shrinkToFit="0" vertical="bottom" wrapText="0"/>
    </xf>
    <xf borderId="0" fillId="0" fontId="82" numFmtId="0" xfId="0" applyAlignment="1" applyFont="1">
      <alignment horizontal="right" readingOrder="0" vertical="bottom"/>
    </xf>
    <xf borderId="0" fillId="0" fontId="82" numFmtId="0" xfId="0" applyAlignment="1" applyFont="1">
      <alignment readingOrder="0" vertical="bottom"/>
    </xf>
    <xf borderId="0" fillId="0" fontId="82" numFmtId="183" xfId="0" applyAlignment="1" applyFont="1" applyNumberFormat="1">
      <alignment horizontal="right" readingOrder="0" vertical="bottom"/>
    </xf>
    <xf borderId="0" fillId="0" fontId="85" numFmtId="183" xfId="0" applyAlignment="1" applyFont="1" applyNumberFormat="1">
      <alignment readingOrder="0" vertical="bottom"/>
    </xf>
    <xf borderId="0" fillId="0" fontId="82" numFmtId="4" xfId="0" applyAlignment="1" applyFont="1" applyNumberFormat="1">
      <alignment horizontal="right" readingOrder="0" vertical="bottom"/>
    </xf>
    <xf borderId="0" fillId="0" fontId="85" numFmtId="183" xfId="0" applyAlignment="1" applyFont="1" applyNumberFormat="1">
      <alignment vertical="bottom"/>
    </xf>
    <xf borderId="73" fillId="27" fontId="86" numFmtId="0" xfId="0" applyBorder="1" applyFill="1" applyFont="1"/>
    <xf borderId="6" fillId="0" fontId="12" numFmtId="0" xfId="0" applyAlignment="1" applyBorder="1" applyFont="1">
      <alignment horizontal="right"/>
    </xf>
    <xf borderId="6" fillId="0" fontId="11" numFmtId="0" xfId="0" applyBorder="1" applyFont="1"/>
    <xf borderId="0" fillId="0" fontId="30" numFmtId="0" xfId="0" applyFont="1"/>
    <xf borderId="6" fillId="27" fontId="35" numFmtId="0" xfId="0" applyBorder="1" applyFont="1"/>
    <xf borderId="6" fillId="0" fontId="11" numFmtId="164" xfId="0" applyAlignment="1" applyBorder="1" applyFont="1" applyNumberFormat="1">
      <alignment horizontal="left"/>
    </xf>
    <xf borderId="6" fillId="0" fontId="11" numFmtId="0" xfId="0" applyAlignment="1" applyBorder="1" applyFont="1">
      <alignment horizontal="left"/>
    </xf>
    <xf borderId="6" fillId="0" fontId="11" numFmtId="0" xfId="0" applyAlignment="1" applyBorder="1" applyFont="1">
      <alignment horizontal="center"/>
    </xf>
    <xf borderId="6" fillId="0" fontId="11" numFmtId="4" xfId="0" applyAlignment="1" applyBorder="1" applyFont="1" applyNumberFormat="1">
      <alignment horizontal="left"/>
    </xf>
    <xf borderId="6" fillId="0" fontId="11" numFmtId="166" xfId="0" applyAlignment="1" applyBorder="1" applyFont="1" applyNumberFormat="1">
      <alignment horizontal="left"/>
    </xf>
    <xf borderId="6" fillId="0" fontId="11" numFmtId="165" xfId="0" applyAlignment="1" applyBorder="1" applyFont="1" applyNumberFormat="1">
      <alignment horizontal="left"/>
    </xf>
    <xf borderId="6" fillId="0" fontId="11" numFmtId="180" xfId="0" applyAlignment="1" applyBorder="1" applyFont="1" applyNumberFormat="1">
      <alignment horizontal="left"/>
    </xf>
    <xf borderId="9" fillId="0" fontId="11" numFmtId="164" xfId="0" applyAlignment="1" applyBorder="1" applyFont="1" applyNumberFormat="1">
      <alignment horizontal="left"/>
    </xf>
    <xf borderId="9" fillId="0" fontId="11" numFmtId="0" xfId="0" applyAlignment="1" applyBorder="1" applyFont="1">
      <alignment horizontal="left"/>
    </xf>
    <xf borderId="9" fillId="0" fontId="11" numFmtId="4" xfId="0" applyAlignment="1" applyBorder="1" applyFont="1" applyNumberFormat="1">
      <alignment horizontal="left"/>
    </xf>
    <xf borderId="9" fillId="0" fontId="11" numFmtId="0" xfId="0" applyAlignment="1" applyBorder="1" applyFont="1">
      <alignment horizontal="center"/>
    </xf>
    <xf borderId="3" fillId="0" fontId="87" numFmtId="0" xfId="0" applyAlignment="1" applyBorder="1" applyFont="1">
      <alignment horizontal="center"/>
    </xf>
    <xf borderId="0" fillId="0" fontId="11" numFmtId="164" xfId="0" applyAlignment="1" applyFont="1" applyNumberFormat="1">
      <alignment horizontal="left"/>
    </xf>
    <xf borderId="0" fillId="0" fontId="11" numFmtId="0" xfId="0" applyAlignment="1" applyFont="1">
      <alignment horizontal="left"/>
    </xf>
    <xf borderId="0" fillId="0" fontId="11" numFmtId="166" xfId="0" applyAlignment="1" applyFont="1" applyNumberFormat="1">
      <alignment horizontal="left"/>
    </xf>
    <xf borderId="0" fillId="0" fontId="11" numFmtId="0" xfId="0" applyAlignment="1" applyFont="1">
      <alignment horizontal="center"/>
    </xf>
    <xf borderId="9" fillId="0" fontId="11" numFmtId="166" xfId="0" applyAlignment="1" applyBorder="1" applyFont="1" applyNumberFormat="1">
      <alignment horizontal="left"/>
    </xf>
    <xf borderId="9" fillId="0" fontId="88" numFmtId="0" xfId="0" applyAlignment="1" applyBorder="1" applyFont="1">
      <alignment horizontal="center"/>
    </xf>
    <xf borderId="13" fillId="0" fontId="11" numFmtId="164" xfId="0" applyAlignment="1" applyBorder="1" applyFont="1" applyNumberFormat="1">
      <alignment horizontal="left"/>
    </xf>
    <xf borderId="13" fillId="0" fontId="11" numFmtId="166" xfId="0" applyAlignment="1" applyBorder="1" applyFont="1" applyNumberFormat="1">
      <alignment horizontal="left"/>
    </xf>
    <xf borderId="13" fillId="0" fontId="11" numFmtId="0" xfId="0" applyAlignment="1" applyBorder="1" applyFont="1">
      <alignment horizontal="center"/>
    </xf>
    <xf borderId="57" fillId="0" fontId="14" numFmtId="164" xfId="0" applyAlignment="1" applyBorder="1" applyFont="1" applyNumberForma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14" numFmtId="4" xfId="0" applyAlignment="1" applyBorder="1" applyFont="1" applyNumberFormat="1">
      <alignment horizontal="center" shrinkToFit="0" vertical="center" wrapText="1"/>
    </xf>
    <xf borderId="3" fillId="0" fontId="11" numFmtId="4" xfId="0" applyAlignment="1" applyBorder="1" applyFont="1" applyNumberFormat="1">
      <alignment shrinkToFit="0" vertical="center" wrapText="1"/>
    </xf>
    <xf borderId="37" fillId="27" fontId="86" numFmtId="0" xfId="0" applyBorder="1" applyFont="1"/>
    <xf borderId="6" fillId="0" fontId="11" numFmtId="175" xfId="0" applyAlignment="1" applyBorder="1" applyFont="1" applyNumberFormat="1">
      <alignment horizontal="center"/>
    </xf>
    <xf borderId="6" fillId="0" fontId="11" numFmtId="183" xfId="0" applyAlignment="1" applyBorder="1" applyFont="1" applyNumberFormat="1">
      <alignment horizontal="left"/>
    </xf>
    <xf borderId="6" fillId="0" fontId="11" numFmtId="4" xfId="0" applyBorder="1" applyFont="1" applyNumberFormat="1"/>
    <xf borderId="6" fillId="0" fontId="11" numFmtId="184" xfId="0" applyAlignment="1" applyBorder="1" applyFont="1" applyNumberFormat="1">
      <alignment horizontal="left"/>
    </xf>
    <xf borderId="13" fillId="0" fontId="11" numFmtId="0" xfId="0" applyAlignment="1" applyBorder="1" applyFont="1">
      <alignment horizontal="left"/>
    </xf>
    <xf borderId="13" fillId="0" fontId="11" numFmtId="4" xfId="0" applyAlignment="1" applyBorder="1" applyFont="1" applyNumberFormat="1">
      <alignment horizontal="left"/>
    </xf>
    <xf borderId="0" fillId="0" fontId="11" numFmtId="4" xfId="0" applyAlignment="1" applyFont="1" applyNumberFormat="1">
      <alignment horizontal="left"/>
    </xf>
    <xf borderId="57" fillId="0" fontId="11" numFmtId="180" xfId="0" applyAlignment="1" applyBorder="1" applyFont="1" applyNumberFormat="1">
      <alignment shrinkToFit="0" wrapText="1"/>
    </xf>
    <xf borderId="6" fillId="0" fontId="11" numFmtId="4" xfId="0" applyAlignment="1" applyBorder="1" applyFont="1" applyNumberFormat="1">
      <alignment horizontal="center"/>
    </xf>
    <xf borderId="3" fillId="0" fontId="11" numFmtId="4" xfId="0" applyAlignment="1" applyBorder="1" applyFont="1" applyNumberFormat="1">
      <alignment horizontal="left" shrinkToFit="0" wrapText="1"/>
    </xf>
    <xf borderId="0" fillId="0" fontId="11" numFmtId="180" xfId="0" applyAlignment="1" applyFont="1" applyNumberFormat="1">
      <alignment horizontal="left"/>
    </xf>
    <xf borderId="73" fillId="27" fontId="86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6" fillId="27" fontId="35" numFmtId="0" xfId="0" applyAlignment="1" applyBorder="1" applyFont="1">
      <alignment vertical="bottom"/>
    </xf>
    <xf borderId="6" fillId="0" fontId="75" numFmtId="164" xfId="0" applyAlignment="1" applyBorder="1" applyFont="1" applyNumberFormat="1">
      <alignment horizontal="right" vertical="bottom"/>
    </xf>
    <xf borderId="6" fillId="0" fontId="75" numFmtId="0" xfId="0" applyAlignment="1" applyBorder="1" applyFont="1">
      <alignment vertical="bottom"/>
    </xf>
    <xf borderId="6" fillId="0" fontId="89" numFmtId="0" xfId="0" applyAlignment="1" applyBorder="1" applyFont="1">
      <alignment vertical="bottom"/>
    </xf>
    <xf borderId="6" fillId="0" fontId="75" numFmtId="166" xfId="0" applyAlignment="1" applyBorder="1" applyFont="1" applyNumberFormat="1">
      <alignment horizontal="right" vertical="bottom"/>
    </xf>
    <xf borderId="6" fillId="0" fontId="75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6" fillId="0" fontId="75" numFmtId="171" xfId="0" applyAlignment="1" applyBorder="1" applyFont="1" applyNumberFormat="1">
      <alignment horizontal="right" vertical="bottom"/>
    </xf>
    <xf borderId="6" fillId="0" fontId="1" numFmtId="180" xfId="0" applyAlignment="1" applyBorder="1" applyFont="1" applyNumberFormat="1">
      <alignment vertical="bottom"/>
    </xf>
    <xf borderId="6" fillId="0" fontId="75" numFmtId="164" xfId="0" applyAlignment="1" applyBorder="1" applyFont="1" applyNumberFormat="1">
      <alignment vertical="bottom"/>
    </xf>
    <xf borderId="6" fillId="0" fontId="90" numFmtId="0" xfId="0" applyAlignment="1" applyBorder="1" applyFont="1">
      <alignment vertical="bottom"/>
    </xf>
    <xf borderId="6" fillId="0" fontId="91" numFmtId="0" xfId="0" applyAlignment="1" applyBorder="1" applyFont="1">
      <alignment vertical="bottom"/>
    </xf>
    <xf borderId="6" fillId="0" fontId="75" numFmtId="166" xfId="0" applyAlignment="1" applyBorder="1" applyFont="1" applyNumberFormat="1">
      <alignment vertical="bottom"/>
    </xf>
    <xf borderId="6" fillId="0" fontId="92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6" fillId="0" fontId="75" numFmtId="4" xfId="0" applyAlignment="1" applyBorder="1" applyFont="1" applyNumberFormat="1">
      <alignment vertical="bottom"/>
    </xf>
    <xf borderId="6" fillId="0" fontId="90" numFmtId="164" xfId="0" applyAlignment="1" applyBorder="1" applyFont="1" applyNumberFormat="1">
      <alignment horizontal="right" vertical="bottom"/>
    </xf>
    <xf borderId="6" fillId="0" fontId="75" numFmtId="0" xfId="0" applyAlignment="1" applyBorder="1" applyFont="1">
      <alignment shrinkToFit="0" vertical="bottom" wrapText="1"/>
    </xf>
    <xf borderId="11" fillId="0" fontId="90" numFmtId="175" xfId="0" applyAlignment="1" applyBorder="1" applyFont="1" applyNumberFormat="1">
      <alignment vertical="bottom"/>
    </xf>
    <xf borderId="6" fillId="0" fontId="75" numFmtId="164" xfId="0" applyAlignment="1" applyBorder="1" applyFont="1" applyNumberFormat="1">
      <alignment shrinkToFit="0" vertical="bottom" wrapText="1"/>
    </xf>
    <xf borderId="6" fillId="0" fontId="93" numFmtId="0" xfId="0" applyAlignment="1" applyBorder="1" applyFont="1">
      <alignment shrinkToFit="0" vertical="bottom" wrapText="1"/>
    </xf>
    <xf borderId="6" fillId="0" fontId="75" numFmtId="173" xfId="0" applyAlignment="1" applyBorder="1" applyFont="1" applyNumberFormat="1">
      <alignment shrinkToFit="0" vertical="bottom" wrapText="1"/>
    </xf>
    <xf borderId="6" fillId="0" fontId="90" numFmtId="175" xfId="0" applyAlignment="1" applyBorder="1" applyFont="1" applyNumberFormat="1">
      <alignment vertical="bottom"/>
    </xf>
    <xf borderId="6" fillId="0" fontId="75" numFmtId="180" xfId="0" applyAlignment="1" applyBorder="1" applyFont="1" applyNumberFormat="1">
      <alignment shrinkToFit="0" vertical="bottom" wrapText="1"/>
    </xf>
    <xf borderId="6" fillId="0" fontId="94" numFmtId="0" xfId="0" applyAlignment="1" applyBorder="1" applyFont="1">
      <alignment vertical="bottom"/>
    </xf>
    <xf borderId="6" fillId="0" fontId="75" numFmtId="166" xfId="0" applyAlignment="1" applyBorder="1" applyFont="1" applyNumberFormat="1">
      <alignment shrinkToFit="0" vertical="bottom" wrapText="1"/>
    </xf>
    <xf borderId="6" fillId="0" fontId="90" numFmtId="180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6" fillId="0" fontId="95" numFmtId="4" xfId="0" applyAlignment="1" applyBorder="1" applyFont="1" applyNumberFormat="1">
      <alignment vertical="bottom"/>
    </xf>
    <xf borderId="6" fillId="0" fontId="96" numFmtId="0" xfId="0" applyAlignment="1" applyBorder="1" applyFont="1">
      <alignment vertical="bottom"/>
    </xf>
    <xf borderId="6" fillId="7" fontId="75" numFmtId="166" xfId="0" applyAlignment="1" applyBorder="1" applyFont="1" applyNumberFormat="1">
      <alignment vertical="bottom"/>
    </xf>
    <xf borderId="6" fillId="7" fontId="75" numFmtId="171" xfId="0" applyAlignment="1" applyBorder="1" applyFont="1" applyNumberFormat="1">
      <alignment vertical="bottom"/>
    </xf>
    <xf borderId="6" fillId="0" fontId="1" numFmtId="164" xfId="0" applyAlignment="1" applyBorder="1" applyFont="1" applyNumberFormat="1">
      <alignment vertical="bottom"/>
    </xf>
    <xf borderId="0" fillId="0" fontId="97" numFmtId="0" xfId="0" applyFont="1"/>
    <xf borderId="6" fillId="0" fontId="1" numFmtId="184" xfId="0" applyAlignment="1" applyBorder="1" applyFont="1" applyNumberFormat="1">
      <alignment vertical="bottom"/>
    </xf>
    <xf borderId="6" fillId="0" fontId="1" numFmtId="180" xfId="0" applyAlignment="1" applyBorder="1" applyFont="1" applyNumberFormat="1">
      <alignment horizontal="right" vertical="bottom"/>
    </xf>
    <xf borderId="6" fillId="16" fontId="1" numFmtId="0" xfId="0" applyAlignment="1" applyBorder="1" applyFont="1">
      <alignment shrinkToFit="0" vertical="bottom" wrapText="1"/>
    </xf>
    <xf borderId="6" fillId="0" fontId="98" numFmtId="0" xfId="0" applyAlignment="1" applyBorder="1" applyFont="1">
      <alignment vertical="bottom"/>
    </xf>
    <xf borderId="6" fillId="0" fontId="99" numFmtId="0" xfId="0" applyAlignment="1" applyBorder="1" applyFont="1">
      <alignment vertical="bottom"/>
    </xf>
    <xf borderId="6" fillId="0" fontId="1" numFmtId="175" xfId="0" applyAlignment="1" applyBorder="1" applyFont="1" applyNumberFormat="1">
      <alignment vertical="bottom"/>
    </xf>
    <xf borderId="6" fillId="0" fontId="75" numFmtId="180" xfId="0" applyAlignment="1" applyBorder="1" applyFont="1" applyNumberFormat="1">
      <alignment vertical="bottom"/>
    </xf>
    <xf borderId="6" fillId="0" fontId="1" numFmtId="166" xfId="0" applyAlignment="1" applyBorder="1" applyFont="1" applyNumberFormat="1">
      <alignment vertical="bottom"/>
    </xf>
    <xf borderId="3" fillId="0" fontId="100" numFmtId="0" xfId="0" applyAlignment="1" applyBorder="1" applyFont="1">
      <alignment vertical="bottom"/>
    </xf>
    <xf borderId="0" fillId="0" fontId="1" numFmtId="180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  <xf borderId="0" fillId="0" fontId="1" numFmtId="184" xfId="0" applyAlignment="1" applyFont="1" applyNumberFormat="1">
      <alignment vertical="bottom"/>
    </xf>
    <xf borderId="6" fillId="27" fontId="35" numFmtId="0" xfId="0" applyAlignment="1" applyBorder="1" applyFont="1">
      <alignment horizontal="left"/>
    </xf>
    <xf borderId="50" fillId="27" fontId="35" numFmtId="0" xfId="0" applyAlignment="1" applyBorder="1" applyFont="1">
      <alignment horizontal="left"/>
    </xf>
    <xf borderId="6" fillId="0" fontId="75" numFmtId="0" xfId="0" applyAlignment="1" applyBorder="1" applyFont="1">
      <alignment horizontal="left"/>
    </xf>
    <xf borderId="6" fillId="0" fontId="90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3" fillId="0" fontId="101" numFmtId="0" xfId="0" applyAlignment="1" applyBorder="1" applyFont="1">
      <alignment horizontal="left"/>
    </xf>
    <xf borderId="35" fillId="0" fontId="7" numFmtId="0" xfId="0" applyBorder="1" applyFont="1"/>
    <xf borderId="5" fillId="0" fontId="7" numFmtId="0" xfId="0" applyBorder="1" applyFont="1"/>
    <xf borderId="6" fillId="0" fontId="102" numFmtId="0" xfId="0" applyBorder="1" applyFont="1"/>
    <xf borderId="0" fillId="0" fontId="103" numFmtId="0" xfId="0" applyAlignment="1" applyFont="1">
      <alignment vertical="center"/>
    </xf>
    <xf borderId="6" fillId="8" fontId="15" numFmtId="0" xfId="0" applyAlignment="1" applyBorder="1" applyFont="1">
      <alignment horizontal="left" vertical="center"/>
    </xf>
    <xf borderId="3" fillId="8" fontId="15" numFmtId="0" xfId="0" applyAlignment="1" applyBorder="1" applyFont="1">
      <alignment horizontal="left" vertical="center"/>
    </xf>
    <xf borderId="7" fillId="8" fontId="15" numFmtId="0" xfId="0" applyAlignment="1" applyBorder="1" applyFont="1">
      <alignment horizontal="left" vertical="center"/>
    </xf>
    <xf borderId="84" fillId="0" fontId="5" numFmtId="0" xfId="0" applyBorder="1" applyFont="1"/>
    <xf borderId="6" fillId="0" fontId="14" numFmtId="0" xfId="0" applyAlignment="1" applyBorder="1" applyFont="1">
      <alignment horizontal="left"/>
    </xf>
    <xf borderId="3" fillId="0" fontId="14" numFmtId="0" xfId="0" applyAlignment="1" applyBorder="1" applyFont="1">
      <alignment horizontal="left"/>
    </xf>
    <xf borderId="5" fillId="0" fontId="14" numFmtId="0" xfId="0" applyAlignment="1" applyBorder="1" applyFont="1">
      <alignment horizontal="left"/>
    </xf>
    <xf borderId="6" fillId="0" fontId="1" numFmtId="0" xfId="0" applyBorder="1" applyFont="1"/>
    <xf borderId="30" fillId="8" fontId="15" numFmtId="0" xfId="0" applyAlignment="1" applyBorder="1" applyFont="1">
      <alignment vertical="center"/>
    </xf>
    <xf borderId="30" fillId="8" fontId="15" numFmtId="0" xfId="0" applyAlignment="1" applyBorder="1" applyFont="1">
      <alignment horizontal="left" vertical="center"/>
    </xf>
    <xf borderId="6" fillId="0" fontId="14" numFmtId="0" xfId="0" applyBorder="1" applyFont="1"/>
    <xf borderId="11" fillId="0" fontId="1" numFmtId="0" xfId="0" applyBorder="1" applyFont="1"/>
    <xf borderId="3" fillId="0" fontId="104" numFmtId="0" xfId="0" applyAlignment="1" applyBorder="1" applyFont="1">
      <alignment readingOrder="0"/>
    </xf>
    <xf borderId="12" fillId="0" fontId="21" numFmtId="0" xfId="0" applyBorder="1" applyFont="1"/>
    <xf borderId="13" fillId="0" fontId="21" numFmtId="0" xfId="0" applyBorder="1" applyFont="1"/>
    <xf borderId="34" fillId="0" fontId="21" numFmtId="0" xfId="0" applyBorder="1" applyFont="1"/>
    <xf borderId="85" fillId="0" fontId="21" numFmtId="0" xfId="0" applyBorder="1" applyFont="1"/>
    <xf borderId="35" fillId="0" fontId="21" numFmtId="0" xfId="0" applyBorder="1" applyFont="1"/>
    <xf borderId="85" fillId="0" fontId="28" numFmtId="0" xfId="0" applyAlignment="1" applyBorder="1" applyFont="1">
      <alignment readingOrder="0"/>
    </xf>
    <xf borderId="0" fillId="0" fontId="105" numFmtId="0" xfId="0" applyAlignment="1" applyFont="1">
      <alignment readingOrder="0"/>
    </xf>
    <xf borderId="85" fillId="0" fontId="105" numFmtId="0" xfId="0" applyAlignment="1" applyBorder="1" applyFont="1">
      <alignment horizontal="center" readingOrder="0"/>
    </xf>
    <xf borderId="0" fillId="0" fontId="106" numFmtId="0" xfId="0" applyAlignment="1" applyFont="1">
      <alignment readingOrder="0" shrinkToFit="0" wrapText="1"/>
    </xf>
    <xf borderId="0" fillId="0" fontId="106" numFmtId="0" xfId="0" applyAlignment="1" applyFont="1">
      <alignment readingOrder="0"/>
    </xf>
    <xf borderId="0" fillId="0" fontId="21" numFmtId="3" xfId="0" applyAlignment="1" applyFont="1" applyNumberFormat="1">
      <alignment readingOrder="0"/>
    </xf>
    <xf borderId="15" fillId="0" fontId="21" numFmtId="0" xfId="0" applyBorder="1" applyFont="1"/>
    <xf borderId="14" fillId="0" fontId="21" numFmtId="0" xfId="0" applyBorder="1" applyFont="1"/>
    <xf borderId="16" fillId="0" fontId="21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FAD9D6"/>
          <bgColor rgb="FFFAD9D6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-85725</xdr:colOff>
      <xdr:row>8</xdr:row>
      <xdr:rowOff>104775</xdr:rowOff>
    </xdr:from>
    <xdr:ext cx="1470660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745</xdr:row>
      <xdr:rowOff>0</xdr:rowOff>
    </xdr:from>
    <xdr:ext cx="4876800" cy="5514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626</xdr:row>
      <xdr:rowOff>0</xdr:rowOff>
    </xdr:from>
    <xdr:ext cx="4876800" cy="5848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4</xdr:row>
      <xdr:rowOff>180975</xdr:rowOff>
    </xdr:from>
    <xdr:ext cx="923925" cy="914400"/>
    <xdr:sp>
      <xdr:nvSpPr>
        <xdr:cNvPr id="3" name="Shape 3"/>
        <xdr:cNvSpPr/>
      </xdr:nvSpPr>
      <xdr:spPr>
        <a:xfrm>
          <a:off x="3789250" y="1510025"/>
          <a:ext cx="1104600" cy="1084500"/>
        </a:xfrm>
        <a:prstGeom prst="ellipse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33</xdr:row>
      <xdr:rowOff>95250</xdr:rowOff>
    </xdr:from>
    <xdr:ext cx="828675" cy="781050"/>
    <xdr:sp>
      <xdr:nvSpPr>
        <xdr:cNvPr id="4" name="Shape 4"/>
        <xdr:cNvSpPr/>
      </xdr:nvSpPr>
      <xdr:spPr>
        <a:xfrm>
          <a:off x="1671825" y="686475"/>
          <a:ext cx="1228500" cy="1119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27</xdr:row>
      <xdr:rowOff>95250</xdr:rowOff>
    </xdr:from>
    <xdr:ext cx="828675" cy="781050"/>
    <xdr:sp>
      <xdr:nvSpPr>
        <xdr:cNvPr id="5" name="Shape 5"/>
        <xdr:cNvSpPr/>
      </xdr:nvSpPr>
      <xdr:spPr>
        <a:xfrm>
          <a:off x="1909575" y="884600"/>
          <a:ext cx="1129500" cy="1119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76200</xdr:colOff>
      <xdr:row>20</xdr:row>
      <xdr:rowOff>123825</xdr:rowOff>
    </xdr:from>
    <xdr:ext cx="828675" cy="723900"/>
    <xdr:sp>
      <xdr:nvSpPr>
        <xdr:cNvPr id="6" name="Shape 6"/>
        <xdr:cNvSpPr/>
      </xdr:nvSpPr>
      <xdr:spPr>
        <a:xfrm>
          <a:off x="2018550" y="716200"/>
          <a:ext cx="960900" cy="812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39</xdr:row>
      <xdr:rowOff>47625</xdr:rowOff>
    </xdr:from>
    <xdr:ext cx="828675" cy="723900"/>
    <xdr:sp>
      <xdr:nvSpPr>
        <xdr:cNvPr id="7" name="Shape 7"/>
        <xdr:cNvSpPr/>
      </xdr:nvSpPr>
      <xdr:spPr>
        <a:xfrm>
          <a:off x="1800600" y="765725"/>
          <a:ext cx="951000" cy="861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44</xdr:row>
      <xdr:rowOff>190500</xdr:rowOff>
    </xdr:from>
    <xdr:ext cx="828675" cy="781050"/>
    <xdr:sp>
      <xdr:nvSpPr>
        <xdr:cNvPr id="8" name="Shape 8"/>
        <xdr:cNvSpPr/>
      </xdr:nvSpPr>
      <xdr:spPr>
        <a:xfrm>
          <a:off x="1949200" y="716200"/>
          <a:ext cx="951000" cy="891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50</xdr:row>
      <xdr:rowOff>19050</xdr:rowOff>
    </xdr:from>
    <xdr:ext cx="828675" cy="781050"/>
    <xdr:sp>
      <xdr:nvSpPr>
        <xdr:cNvPr id="9" name="Shape 9"/>
        <xdr:cNvSpPr/>
      </xdr:nvSpPr>
      <xdr:spPr>
        <a:xfrm>
          <a:off x="1245825" y="597300"/>
          <a:ext cx="1040100" cy="1010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10</xdr:row>
      <xdr:rowOff>133350</xdr:rowOff>
    </xdr:from>
    <xdr:ext cx="828675" cy="723900"/>
    <xdr:sp>
      <xdr:nvSpPr>
        <xdr:cNvPr id="10" name="Shape 10"/>
        <xdr:cNvSpPr/>
      </xdr:nvSpPr>
      <xdr:spPr>
        <a:xfrm>
          <a:off x="1899675" y="636950"/>
          <a:ext cx="951000" cy="8817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76200</xdr:colOff>
      <xdr:row>15</xdr:row>
      <xdr:rowOff>76200</xdr:rowOff>
    </xdr:from>
    <xdr:ext cx="828675" cy="723900"/>
    <xdr:sp>
      <xdr:nvSpPr>
        <xdr:cNvPr id="11" name="Shape 11"/>
        <xdr:cNvSpPr/>
      </xdr:nvSpPr>
      <xdr:spPr>
        <a:xfrm>
          <a:off x="1760975" y="646850"/>
          <a:ext cx="1040100" cy="931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55</xdr:row>
      <xdr:rowOff>95250</xdr:rowOff>
    </xdr:from>
    <xdr:ext cx="828675" cy="723900"/>
    <xdr:sp>
      <xdr:nvSpPr>
        <xdr:cNvPr id="12" name="Shape 12"/>
        <xdr:cNvSpPr/>
      </xdr:nvSpPr>
      <xdr:spPr>
        <a:xfrm>
          <a:off x="1246350" y="301675"/>
          <a:ext cx="1287900" cy="970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 ALL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683?Date=7+day&amp;Amount+Diff+Rec=&amp;Investigation+Status=&amp;User+ID=&amp;Plum+ID+-+Plum+Transaction+vs+Citi=&amp;Product+Name=%22cash_isa%22&amp;Citi+Statement+Number=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683?Date=7+day&amp;Amount+Diff+Rec=&amp;Investigation+Status=&amp;User+ID=&amp;Plum+ID+-+Plum+Transaction+vs+Citi=&amp;Product+Name=%22cash_isa%22&amp;Citi+Statement+Number=" TargetMode="External"/><Relationship Id="rId2" Type="http://schemas.openxmlformats.org/officeDocument/2006/relationships/hyperlink" Target="https://docs.google.com/spreadsheets/d/1iupBRyTyp5ZQPBAjB_ZPXW7Ewt058NYzqIygCNY26Q8/edit?pli=1&amp;gid=470540843" TargetMode="External"/><Relationship Id="rId3" Type="http://schemas.openxmlformats.org/officeDocument/2006/relationships/hyperlink" Target="https://withplum.cloud.looker.com/dashboards/840?Investigation+Status=&amp;Plum+ID+-+Plum+Transaction+vs+Citi=&amp;Amount+Diff+Rec=&amp;Date+Date=1+month" TargetMode="External"/><Relationship Id="rId4" Type="http://schemas.openxmlformats.org/officeDocument/2006/relationships/hyperlink" Target="https://docs.google.com/spreadsheets/d/1iupBRyTyp5ZQPBAjB_ZPXW7Ewt058NYzqIygCNY26Q8/edit?pli=1&amp;gid=470540843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683?Date=1+month&amp;Amount+Diff+Rec=&amp;Investigation+Status=&amp;User+ID=&amp;Plum+ID+-+Plum+Transaction+vs+Citi=&amp;Product+Name=%22cash_isa%22&amp;Citi+Statement+Number=" TargetMode="External"/><Relationship Id="rId2" Type="http://schemas.openxmlformats.org/officeDocument/2006/relationships/hyperlink" Target="https://admin.production.corp.withplum.com/funding_instruments/6c1c7250-7f15-4ae0-bd39-bab724ee00a8?page=0&amp;page_size=500" TargetMode="External"/><Relationship Id="rId3" Type="http://schemas.openxmlformats.org/officeDocument/2006/relationships/hyperlink" Target="https://admin.production.corp.withplum.com/funding_instruments/3318b971-a19e-4821-a872-a03fe68032a7" TargetMode="External"/><Relationship Id="rId4" Type="http://schemas.openxmlformats.org/officeDocument/2006/relationships/hyperlink" Target="https://admin.production.corp.withplum.com/funding_instruments/a286ac14-d015-4e57-81ce-d7a7559feb23" TargetMode="External"/><Relationship Id="rId5" Type="http://schemas.openxmlformats.org/officeDocument/2006/relationships/hyperlink" Target="https://admin.production.corp.withplum.com/funding_instruments/c042acf8-ed2a-430e-a2fa-60d99ded13bf" TargetMode="External"/><Relationship Id="rId6" Type="http://schemas.openxmlformats.org/officeDocument/2006/relationships/hyperlink" Target="https://withplum.atlassian.net/servicedesk/customer/portal/10/EST-42849?created=true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683?Date=1+month&amp;Amount+Diff+Rec=&amp;Investigation+Status=&amp;User+ID=&amp;Plum+ID+-+Plum+Transaction+vs+Citi=&amp;Product+Name=%22cash_isa%22&amp;Citi+Statement+Number=" TargetMode="External"/><Relationship Id="rId2" Type="http://schemas.openxmlformats.org/officeDocument/2006/relationships/hyperlink" Target="https://admin.production.corp.withplum.com/funding_instruments/6c1c7250-7f15-4ae0-bd39-bab724ee00a8?page=0&amp;page_size=500" TargetMode="External"/><Relationship Id="rId3" Type="http://schemas.openxmlformats.org/officeDocument/2006/relationships/hyperlink" Target="https://admin.production.corp.withplum.com/funding_instruments/3318b971-a19e-4821-a872-a03fe68032a7" TargetMode="External"/><Relationship Id="rId4" Type="http://schemas.openxmlformats.org/officeDocument/2006/relationships/hyperlink" Target="https://admin.production.corp.withplum.com/funding_instruments/a286ac14-d015-4e57-81ce-d7a7559feb23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admin.production.corp.withplum.com/funding_instruments/c042acf8-ed2a-430e-a2fa-60d99ded13bf" TargetMode="External"/><Relationship Id="rId6" Type="http://schemas.openxmlformats.org/officeDocument/2006/relationships/hyperlink" Target="https://www.citidirect.com/login/" TargetMode="External"/><Relationship Id="rId7" Type="http://schemas.openxmlformats.org/officeDocument/2006/relationships/hyperlink" Target="https://cbonline.lloydsbank.com/PrimaryAuth" TargetMode="External"/><Relationship Id="rId8" Type="http://schemas.openxmlformats.org/officeDocument/2006/relationships/hyperlink" Target="https://www2.secure.hsbcnet.com/uims/dl/DSP_AUTHENTICATION;jsessionid=00004VBshC6LQIZe1-bNY2q9EID:O62o5Xy4R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683?Date=1+month&amp;Amount+Diff+Rec=&amp;Investigation+Status=&amp;User+ID=&amp;Plum+ID+-+Plum+Transaction+vs+Citi=&amp;Product+Name=%22cash_isa%22&amp;Citi+Statement+Number=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840" TargetMode="External"/><Relationship Id="rId2" Type="http://schemas.openxmlformats.org/officeDocument/2006/relationships/hyperlink" Target="https://admin.production.corp.withplum.com/funding_instruments/2c1cfae7-83ac-4397-a66a-6ffd8f14a728" TargetMode="External"/><Relationship Id="rId3" Type="http://schemas.openxmlformats.org/officeDocument/2006/relationships/hyperlink" Target="https://admin.production.corp.withplum.com/funding_instruments/9336a888-33b4-4793-9afe-1accfd7028f8" TargetMode="External"/><Relationship Id="rId4" Type="http://schemas.openxmlformats.org/officeDocument/2006/relationships/hyperlink" Target="https://admin.production.corp.withplum.com/funding_instruments/47f2a66a-4eef-4be5-88e6-6c754f910a3b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withplum.atlassian.net/servicedesk/customer/portal/10/EST-43385?created=true" TargetMode="External"/><Relationship Id="rId9" Type="http://schemas.openxmlformats.org/officeDocument/2006/relationships/hyperlink" Target="https://withplum.atlassian.net/servicedesk/customer/portal/10/EST-43385?created=true" TargetMode="External"/><Relationship Id="rId5" Type="http://schemas.openxmlformats.org/officeDocument/2006/relationships/hyperlink" Target="https://admin.production.corp.withplum.com/funding_instruments/c042acf8-ed2a-430e-a2fa-60d99ded13bf" TargetMode="External"/><Relationship Id="rId6" Type="http://schemas.openxmlformats.org/officeDocument/2006/relationships/hyperlink" Target="https://withplum.atlassian.net/browse/EST-34498" TargetMode="External"/><Relationship Id="rId7" Type="http://schemas.openxmlformats.org/officeDocument/2006/relationships/hyperlink" Target="https://withplum.atlassian.net/browse/EST-36900" TargetMode="External"/><Relationship Id="rId8" Type="http://schemas.openxmlformats.org/officeDocument/2006/relationships/hyperlink" Target="https://withplum.slack.com/archives/C096ZERV5L3/p176839016737499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840" TargetMode="External"/><Relationship Id="rId2" Type="http://schemas.openxmlformats.org/officeDocument/2006/relationships/hyperlink" Target="https://admin.production.corp.withplum.com/funding_instruments/2c1cfae7-83ac-4397-a66a-6ffd8f14a728" TargetMode="External"/><Relationship Id="rId3" Type="http://schemas.openxmlformats.org/officeDocument/2006/relationships/hyperlink" Target="https://admin.production.corp.withplum.com/funding_instruments/d2bb7c87-589e-42dc-8b44-2481144af482" TargetMode="External"/><Relationship Id="rId4" Type="http://schemas.openxmlformats.org/officeDocument/2006/relationships/hyperlink" Target="https://www.citidirect.com/login/" TargetMode="External"/><Relationship Id="rId5" Type="http://schemas.openxmlformats.org/officeDocument/2006/relationships/hyperlink" Target="https://cbonline.lloydsbank.com/PrimaryAuth" TargetMode="External"/><Relationship Id="rId6" Type="http://schemas.openxmlformats.org/officeDocument/2006/relationships/hyperlink" Target="https://www2.secure.hsbcnet.com/uims/dl/DSP_AUTHENTICATION;jsessionid=00004VBshC6LQIZe1-bNY2q9EID:O62o5Xy4R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ithplum.cloud.looker.com/dashboards/84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V8o2jat9MiR47q6_R_fB_yORtTvZpbsgJ9yNDR3aik/edit?gid=648457307" TargetMode="External"/><Relationship Id="rId2" Type="http://schemas.openxmlformats.org/officeDocument/2006/relationships/hyperlink" Target="https://docs.google.com/spreadsheets/d/15V8o2jat9MiR47q6_R_fB_yORtTvZpbsgJ9yNDR3aik/edit?gid=648457307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V8o2jat9MiR47q6_R_fB_yORtTvZpbsgJ9yNDR3aik/edit?gid=648457307" TargetMode="External"/><Relationship Id="rId2" Type="http://schemas.openxmlformats.org/officeDocument/2006/relationships/hyperlink" Target="https://docs.google.com/spreadsheets/d/15V8o2jat9MiR47q6_R_fB_yORtTvZpbsgJ9yNDR3aik/edit?gid=648457307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ithplum.atlassian.net/browse/EST-30552" TargetMode="External"/><Relationship Id="rId20" Type="http://schemas.openxmlformats.org/officeDocument/2006/relationships/hyperlink" Target="https://withplum.atlassian.net/browse/EST-21253" TargetMode="External"/><Relationship Id="rId42" Type="http://schemas.openxmlformats.org/officeDocument/2006/relationships/hyperlink" Target="https://docs.google.com/spreadsheets/d/15V8o2jat9MiR47q6_R_fB_yORtTvZpbsgJ9yNDR3aik/edit?gid=648457307" TargetMode="External"/><Relationship Id="rId41" Type="http://schemas.openxmlformats.org/officeDocument/2006/relationships/hyperlink" Target="https://withplum.atlassian.net/browse/EST-25104" TargetMode="External"/><Relationship Id="rId22" Type="http://schemas.openxmlformats.org/officeDocument/2006/relationships/hyperlink" Target="https://withplum.atlassian.net/servicedesk/customer/portal/10/EST-21911?created=true" TargetMode="External"/><Relationship Id="rId21" Type="http://schemas.openxmlformats.org/officeDocument/2006/relationships/hyperlink" Target="https://withplum.atlassian.net/browse/EST-20722" TargetMode="External"/><Relationship Id="rId43" Type="http://schemas.openxmlformats.org/officeDocument/2006/relationships/drawing" Target="../drawings/drawing17.xml"/><Relationship Id="rId24" Type="http://schemas.openxmlformats.org/officeDocument/2006/relationships/hyperlink" Target="https://withplum.atlassian.net/browse/EST-25104" TargetMode="External"/><Relationship Id="rId23" Type="http://schemas.openxmlformats.org/officeDocument/2006/relationships/hyperlink" Target="https://withplum.atlassian.net/browse/EST-25212" TargetMode="External"/><Relationship Id="rId1" Type="http://schemas.openxmlformats.org/officeDocument/2006/relationships/hyperlink" Target="https://withplum.atlassian.net/browse/EST-25099" TargetMode="External"/><Relationship Id="rId2" Type="http://schemas.openxmlformats.org/officeDocument/2006/relationships/hyperlink" Target="https://withplum.atlassian.net/browse/EST-25099" TargetMode="External"/><Relationship Id="rId3" Type="http://schemas.openxmlformats.org/officeDocument/2006/relationships/hyperlink" Target="https://withplum.atlassian.net/browse/EST-25098" TargetMode="External"/><Relationship Id="rId4" Type="http://schemas.openxmlformats.org/officeDocument/2006/relationships/hyperlink" Target="https://withplum.atlassian.net/browse/EST-25098" TargetMode="External"/><Relationship Id="rId9" Type="http://schemas.openxmlformats.org/officeDocument/2006/relationships/hyperlink" Target="https://withplum.atlassian.net/browse/EST-27525" TargetMode="External"/><Relationship Id="rId26" Type="http://schemas.openxmlformats.org/officeDocument/2006/relationships/hyperlink" Target="https://withplum.atlassian.net/browse/EST-25203" TargetMode="External"/><Relationship Id="rId25" Type="http://schemas.openxmlformats.org/officeDocument/2006/relationships/hyperlink" Target="https://withplum.atlassian.net/browse/EST-25102" TargetMode="External"/><Relationship Id="rId28" Type="http://schemas.openxmlformats.org/officeDocument/2006/relationships/hyperlink" Target="https://admin.production.corp.withplum.com/users/71683c4c-8276-46cf-a15e-bbe254f071e3" TargetMode="External"/><Relationship Id="rId27" Type="http://schemas.openxmlformats.org/officeDocument/2006/relationships/hyperlink" Target="https://withplum.atlassian.net/browse/EST-25212" TargetMode="External"/><Relationship Id="rId5" Type="http://schemas.openxmlformats.org/officeDocument/2006/relationships/hyperlink" Target="https://withplum.atlassian.net/browse/EST-25098" TargetMode="External"/><Relationship Id="rId6" Type="http://schemas.openxmlformats.org/officeDocument/2006/relationships/hyperlink" Target="https://withplum.atlassian.net/browse/EST-25098" TargetMode="External"/><Relationship Id="rId29" Type="http://schemas.openxmlformats.org/officeDocument/2006/relationships/hyperlink" Target="https://withplum.cloud.looker.com/explore/plum/investment_transactions_wealth?qid=HnI9UOjayDCjlYxSk0l9da&amp;toggle=fil" TargetMode="External"/><Relationship Id="rId7" Type="http://schemas.openxmlformats.org/officeDocument/2006/relationships/hyperlink" Target="https://withplum.atlassian.net/browse/EST-25098" TargetMode="External"/><Relationship Id="rId8" Type="http://schemas.openxmlformats.org/officeDocument/2006/relationships/hyperlink" Target="https://withplum.atlassian.net/browse/EST-25098" TargetMode="External"/><Relationship Id="rId31" Type="http://schemas.openxmlformats.org/officeDocument/2006/relationships/hyperlink" Target="https://withplum.cloud.looker.com/explore/plum/investment_transactions_wealth?qid=HnI9UOjayDCjlYxSk0l9da&amp;toggle=fil" TargetMode="External"/><Relationship Id="rId30" Type="http://schemas.openxmlformats.org/officeDocument/2006/relationships/hyperlink" Target="https://withplum.slack.com/archives/C05TJ8110T0/p1744035482712879" TargetMode="External"/><Relationship Id="rId11" Type="http://schemas.openxmlformats.org/officeDocument/2006/relationships/hyperlink" Target="https://withplum.atlassian.net/browse/EST-25844" TargetMode="External"/><Relationship Id="rId33" Type="http://schemas.openxmlformats.org/officeDocument/2006/relationships/hyperlink" Target="https://withplum.atlassian.net/browse/EST-27526" TargetMode="External"/><Relationship Id="rId10" Type="http://schemas.openxmlformats.org/officeDocument/2006/relationships/hyperlink" Target="https://withplum.atlassian.net/servicedesk/customer/portal/10/EST-25453?created=true" TargetMode="External"/><Relationship Id="rId32" Type="http://schemas.openxmlformats.org/officeDocument/2006/relationships/hyperlink" Target="https://withplum.slack.com/archives/C05TJ8110T0/p1744035482712879" TargetMode="External"/><Relationship Id="rId13" Type="http://schemas.openxmlformats.org/officeDocument/2006/relationships/hyperlink" Target="https://withplum.atlassian.net/browse/EST-25844" TargetMode="External"/><Relationship Id="rId35" Type="http://schemas.openxmlformats.org/officeDocument/2006/relationships/hyperlink" Target="https://withplum.atlassian.net/browse/EST-28016" TargetMode="External"/><Relationship Id="rId12" Type="http://schemas.openxmlformats.org/officeDocument/2006/relationships/hyperlink" Target="https://withplum.atlassian.net/browse/EST-25844" TargetMode="External"/><Relationship Id="rId34" Type="http://schemas.openxmlformats.org/officeDocument/2006/relationships/hyperlink" Target="https://withplum.atlassian.net/browse/EST-27527" TargetMode="External"/><Relationship Id="rId15" Type="http://schemas.openxmlformats.org/officeDocument/2006/relationships/hyperlink" Target="https://withplum.atlassian.net/browse/EST-25844" TargetMode="External"/><Relationship Id="rId37" Type="http://schemas.openxmlformats.org/officeDocument/2006/relationships/hyperlink" Target="https://withplum.atlassian.net/browse/EST-29078" TargetMode="External"/><Relationship Id="rId14" Type="http://schemas.openxmlformats.org/officeDocument/2006/relationships/hyperlink" Target="https://withplum.atlassian.net/browse/EST-25844" TargetMode="External"/><Relationship Id="rId36" Type="http://schemas.openxmlformats.org/officeDocument/2006/relationships/hyperlink" Target="https://withplum.atlassian.net/browse/EST-29080" TargetMode="External"/><Relationship Id="rId17" Type="http://schemas.openxmlformats.org/officeDocument/2006/relationships/hyperlink" Target="https://withplum.atlassian.net/servicedesk/customer/portal/10/EST-26267?atlOrigin=eyJpIjoiZWJhNDUyOWMzOTcwNGI0NThjMmIwYzA3YWRmNzlmMTUiLCJwIjoiamlyYS1zbGFjay1pbnQifQ" TargetMode="External"/><Relationship Id="rId39" Type="http://schemas.openxmlformats.org/officeDocument/2006/relationships/hyperlink" Target="https://withplum.atlassian.net/browse/EST-30550" TargetMode="External"/><Relationship Id="rId16" Type="http://schemas.openxmlformats.org/officeDocument/2006/relationships/hyperlink" Target="https://withplum.atlassian.net/browse/EST-26438" TargetMode="External"/><Relationship Id="rId38" Type="http://schemas.openxmlformats.org/officeDocument/2006/relationships/hyperlink" Target="https://withplum.cloud.looker.com/explore/plum/investment_transactions_wealth?qid=qJOPnqy7uKOnkFSr5qtGxG&amp;toggle=fil" TargetMode="External"/><Relationship Id="rId19" Type="http://schemas.openxmlformats.org/officeDocument/2006/relationships/hyperlink" Target="https://withplum.cloud.looker.com/explore/plum/investment_transactions_wealth?qid=qJOPnqy7uKOnkFSr5qtGxG&amp;toggle=fil" TargetMode="External"/><Relationship Id="rId18" Type="http://schemas.openxmlformats.org/officeDocument/2006/relationships/hyperlink" Target="https://withplum.atlassian.net/browse/EST-26722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V8o2jat9MiR47q6_R_fB_yORtTvZpbsgJ9yNDR3aik/edit?gid=648457307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plum/System-Users-and-Accounts-8b2785b840f240ae9bf86e66596f148e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.38"/>
    <col customWidth="1" min="3" max="3" width="58.88"/>
    <col customWidth="1" min="4" max="4" width="20.88"/>
    <col customWidth="1" min="5" max="5" width="19.5"/>
    <col customWidth="1" min="7" max="8" width="15.13"/>
    <col customWidth="1" min="9" max="9" width="21.5"/>
    <col customWidth="1" min="10" max="10" width="22.88"/>
    <col customWidth="1" min="12" max="12" width="21.25"/>
    <col customWidth="1" min="14" max="14" width="71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1.5" customHeight="1">
      <c r="A2" s="1"/>
      <c r="B2" s="1"/>
      <c r="C2" s="2" t="s">
        <v>0</v>
      </c>
      <c r="D2" s="3">
        <f>'2. Daily Client Money Report'!B4</f>
        <v>46189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1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3.5" customHeight="1">
      <c r="A4" s="1"/>
      <c r="B4" s="1"/>
      <c r="C4" s="4" t="s">
        <v>1</v>
      </c>
      <c r="D4" s="5"/>
      <c r="E4" s="6"/>
      <c r="F4" s="1"/>
      <c r="G4" s="4" t="s">
        <v>2</v>
      </c>
      <c r="H4" s="5"/>
      <c r="I4" s="5"/>
      <c r="J4" s="6"/>
      <c r="K4" s="1"/>
      <c r="L4" s="1"/>
      <c r="M4" s="1"/>
      <c r="N4" s="1"/>
      <c r="O4" s="1"/>
      <c r="P4" s="1"/>
      <c r="Q4" s="1"/>
    </row>
    <row r="5">
      <c r="A5" s="1"/>
      <c r="B5" s="1"/>
      <c r="C5" s="7" t="s">
        <v>3</v>
      </c>
      <c r="D5" s="8" t="s">
        <v>4</v>
      </c>
      <c r="E5" s="8" t="s">
        <v>5</v>
      </c>
      <c r="F5" s="1"/>
      <c r="G5" s="9" t="s">
        <v>6</v>
      </c>
      <c r="H5" s="10"/>
      <c r="I5" s="10"/>
      <c r="J5" s="10"/>
      <c r="K5" s="1"/>
      <c r="L5" s="1"/>
      <c r="M5" s="1"/>
      <c r="N5" s="1"/>
      <c r="O5" s="1"/>
      <c r="P5" s="1"/>
      <c r="Q5" s="1"/>
    </row>
    <row r="6">
      <c r="A6" s="1"/>
      <c r="B6" s="1"/>
      <c r="C6" s="11" t="s">
        <v>7</v>
      </c>
      <c r="D6" s="12"/>
      <c r="E6" s="13" t="s">
        <v>8</v>
      </c>
      <c r="F6" s="1"/>
      <c r="G6" s="14" t="s">
        <v>9</v>
      </c>
      <c r="H6" s="15" t="s">
        <v>10</v>
      </c>
      <c r="K6" s="1"/>
      <c r="L6" s="1"/>
      <c r="M6" s="1"/>
      <c r="N6" s="1"/>
      <c r="O6" s="1"/>
      <c r="P6" s="1"/>
      <c r="Q6" s="1"/>
    </row>
    <row r="7">
      <c r="A7" s="16"/>
      <c r="B7" s="16"/>
      <c r="C7" s="17" t="s">
        <v>11</v>
      </c>
      <c r="D7" s="18" t="s">
        <v>12</v>
      </c>
      <c r="E7" s="19"/>
      <c r="F7" s="16"/>
      <c r="G7" s="20" t="s">
        <v>13</v>
      </c>
      <c r="H7" s="16"/>
      <c r="I7" s="16"/>
      <c r="J7" s="21"/>
      <c r="K7" s="16"/>
      <c r="L7" s="22"/>
      <c r="M7" s="22"/>
      <c r="N7" s="23"/>
      <c r="O7" s="16"/>
      <c r="P7" s="16"/>
      <c r="Q7" s="1"/>
    </row>
    <row r="8">
      <c r="A8" s="16"/>
      <c r="B8" s="16"/>
      <c r="C8" s="17" t="s">
        <v>14</v>
      </c>
      <c r="D8" s="18" t="s">
        <v>12</v>
      </c>
      <c r="E8" s="19"/>
      <c r="F8" s="16"/>
      <c r="G8" s="21"/>
      <c r="H8" s="21"/>
      <c r="I8" s="16"/>
      <c r="J8" s="16"/>
      <c r="K8" s="16"/>
      <c r="L8" s="22"/>
      <c r="M8" s="22"/>
      <c r="N8" s="23"/>
      <c r="O8" s="16"/>
      <c r="P8" s="16"/>
      <c r="Q8" s="1"/>
    </row>
    <row r="9">
      <c r="A9" s="16"/>
      <c r="B9" s="16"/>
      <c r="C9" s="24" t="s">
        <v>15</v>
      </c>
      <c r="D9" s="18" t="s">
        <v>12</v>
      </c>
      <c r="E9" s="19"/>
      <c r="F9" s="16"/>
      <c r="G9" s="21"/>
      <c r="H9" s="21"/>
      <c r="I9" s="16"/>
      <c r="J9" s="16"/>
      <c r="K9" s="16"/>
      <c r="L9" s="22"/>
      <c r="M9" s="22"/>
      <c r="N9" s="23"/>
      <c r="O9" s="16"/>
      <c r="P9" s="16"/>
      <c r="Q9" s="1"/>
    </row>
    <row r="10">
      <c r="A10" s="16"/>
      <c r="B10" s="16"/>
      <c r="C10" s="24" t="s">
        <v>16</v>
      </c>
      <c r="D10" s="18" t="s">
        <v>12</v>
      </c>
      <c r="E10" s="19"/>
      <c r="F10" s="16"/>
      <c r="G10" s="16"/>
      <c r="H10" s="16"/>
      <c r="I10" s="16"/>
      <c r="J10" s="16"/>
      <c r="K10" s="16"/>
      <c r="L10" s="22"/>
      <c r="M10" s="22"/>
      <c r="N10" s="25"/>
      <c r="O10" s="16"/>
      <c r="P10" s="16"/>
      <c r="Q10" s="1"/>
    </row>
    <row r="11">
      <c r="A11" s="16"/>
      <c r="B11" s="16"/>
      <c r="C11" s="24" t="s">
        <v>17</v>
      </c>
      <c r="D11" s="18" t="s">
        <v>12</v>
      </c>
      <c r="E11" s="19"/>
      <c r="F11" s="16"/>
      <c r="G11" s="16"/>
      <c r="H11" s="16"/>
      <c r="I11" s="16"/>
      <c r="J11" s="16"/>
      <c r="K11" s="16"/>
      <c r="L11" s="22"/>
      <c r="M11" s="22"/>
      <c r="N11" s="25"/>
      <c r="O11" s="16"/>
      <c r="P11" s="16"/>
      <c r="Q11" s="1"/>
    </row>
    <row r="12">
      <c r="A12" s="16"/>
      <c r="B12" s="16"/>
      <c r="C12" s="24" t="s">
        <v>2</v>
      </c>
      <c r="D12" s="18" t="s">
        <v>12</v>
      </c>
      <c r="E12" s="19"/>
      <c r="F12" s="16"/>
      <c r="G12" s="16"/>
      <c r="H12" s="16"/>
      <c r="I12" s="16"/>
      <c r="J12" s="16"/>
      <c r="K12" s="16"/>
      <c r="L12" s="22"/>
      <c r="M12" s="22"/>
      <c r="N12" s="23"/>
      <c r="O12" s="16"/>
      <c r="P12" s="16"/>
      <c r="Q12" s="1"/>
    </row>
    <row r="13">
      <c r="A13" s="16"/>
      <c r="B13" s="16"/>
      <c r="C13" s="24" t="s">
        <v>18</v>
      </c>
      <c r="D13" s="18" t="s">
        <v>12</v>
      </c>
      <c r="E13" s="19"/>
      <c r="F13" s="16"/>
      <c r="G13" s="16"/>
      <c r="H13" s="16"/>
      <c r="I13" s="16"/>
      <c r="J13" s="16"/>
      <c r="K13" s="16"/>
      <c r="L13" s="22"/>
      <c r="M13" s="22"/>
      <c r="N13" s="23"/>
      <c r="O13" s="16"/>
      <c r="P13" s="16"/>
      <c r="Q13" s="1"/>
    </row>
    <row r="14">
      <c r="A14" s="16"/>
      <c r="B14" s="16"/>
      <c r="C14" s="24" t="s">
        <v>19</v>
      </c>
      <c r="D14" s="18" t="s">
        <v>12</v>
      </c>
      <c r="E14" s="19"/>
      <c r="F14" s="16"/>
      <c r="G14" s="16"/>
      <c r="H14" s="16"/>
      <c r="I14" s="21"/>
      <c r="J14" s="16"/>
      <c r="K14" s="16"/>
      <c r="L14" s="22"/>
      <c r="M14" s="22"/>
      <c r="N14" s="23"/>
      <c r="O14" s="16"/>
      <c r="P14" s="16"/>
      <c r="Q14" s="1"/>
    </row>
    <row r="15">
      <c r="A15" s="16"/>
      <c r="B15" s="16"/>
      <c r="C15" s="24" t="s">
        <v>20</v>
      </c>
      <c r="D15" s="18" t="s">
        <v>12</v>
      </c>
      <c r="E15" s="19"/>
      <c r="F15" s="16"/>
      <c r="G15" s="16"/>
      <c r="H15" s="16"/>
      <c r="I15" s="16"/>
      <c r="J15" s="16"/>
      <c r="K15" s="16"/>
      <c r="L15" s="22"/>
      <c r="M15" s="22"/>
      <c r="N15" s="23"/>
      <c r="O15" s="16"/>
      <c r="P15" s="16"/>
      <c r="Q15" s="1"/>
    </row>
    <row r="16">
      <c r="A16" s="16"/>
      <c r="B16" s="16"/>
      <c r="C16" s="26" t="s">
        <v>21</v>
      </c>
      <c r="D16" s="27"/>
      <c r="E16" s="27"/>
      <c r="F16" s="16"/>
      <c r="G16" s="16"/>
      <c r="H16" s="16"/>
      <c r="I16" s="16"/>
      <c r="J16" s="16"/>
      <c r="K16" s="16"/>
      <c r="L16" s="22"/>
      <c r="M16" s="22"/>
      <c r="N16" s="22"/>
      <c r="O16" s="16"/>
      <c r="P16" s="16"/>
      <c r="Q16" s="1"/>
    </row>
    <row r="17">
      <c r="A17" s="16"/>
      <c r="B17" s="16"/>
      <c r="C17" s="28"/>
      <c r="D17" s="28"/>
      <c r="E17" s="28"/>
      <c r="F17" s="16"/>
      <c r="G17" s="29" t="s">
        <v>22</v>
      </c>
      <c r="H17" s="21"/>
      <c r="I17" s="21"/>
      <c r="J17" s="16"/>
      <c r="K17" s="16"/>
      <c r="L17" s="22"/>
      <c r="M17" s="22"/>
      <c r="N17" s="23"/>
      <c r="O17" s="16"/>
      <c r="P17" s="16"/>
      <c r="Q17" s="1"/>
    </row>
    <row r="18">
      <c r="A18" s="16"/>
      <c r="B18" s="16"/>
      <c r="C18" s="28"/>
      <c r="D18" s="28"/>
      <c r="E18" s="28"/>
      <c r="F18" s="16"/>
      <c r="G18" s="21"/>
      <c r="H18" s="21"/>
      <c r="I18" s="21"/>
      <c r="J18" s="16"/>
      <c r="K18" s="16"/>
      <c r="L18" s="22"/>
      <c r="M18" s="22"/>
      <c r="N18" s="25"/>
      <c r="O18" s="16"/>
      <c r="P18" s="16"/>
      <c r="Q18" s="1"/>
    </row>
    <row r="19" ht="15.0" customHeight="1">
      <c r="A19" s="16"/>
      <c r="B19" s="16"/>
      <c r="C19" s="30" t="s">
        <v>23</v>
      </c>
      <c r="D19" s="5"/>
      <c r="E19" s="6"/>
      <c r="F19" s="16"/>
      <c r="G19" s="21"/>
      <c r="H19" s="21"/>
      <c r="I19" s="21"/>
      <c r="J19" s="31"/>
      <c r="K19" s="16"/>
      <c r="L19" s="22"/>
      <c r="M19" s="22"/>
      <c r="N19" s="22"/>
      <c r="O19" s="16"/>
      <c r="P19" s="16"/>
      <c r="Q19" s="1"/>
    </row>
    <row r="20" ht="15.0" customHeight="1">
      <c r="A20" s="16"/>
      <c r="B20" s="16"/>
      <c r="C20" s="32" t="s">
        <v>24</v>
      </c>
      <c r="D20" s="33" t="s">
        <v>4</v>
      </c>
      <c r="E20" s="33" t="s">
        <v>5</v>
      </c>
      <c r="F20" s="16"/>
      <c r="G20" s="21"/>
      <c r="H20" s="21"/>
      <c r="I20" s="21"/>
      <c r="J20" s="21"/>
      <c r="K20" s="21"/>
      <c r="L20" s="34"/>
      <c r="M20" s="34"/>
      <c r="N20" s="35"/>
      <c r="O20" s="16"/>
      <c r="P20" s="16"/>
      <c r="Q20" s="1"/>
    </row>
    <row r="21" ht="15.0" customHeight="1">
      <c r="A21" s="16"/>
      <c r="B21" s="16"/>
      <c r="C21" s="36" t="s">
        <v>25</v>
      </c>
      <c r="D21" s="37"/>
      <c r="E21" s="13" t="s">
        <v>8</v>
      </c>
      <c r="F21" s="16"/>
      <c r="G21" s="21"/>
      <c r="H21" s="21"/>
      <c r="I21" s="21"/>
      <c r="J21" s="21"/>
      <c r="K21" s="21"/>
      <c r="L21" s="34"/>
      <c r="M21" s="34"/>
      <c r="N21" s="34"/>
      <c r="O21" s="16"/>
      <c r="P21" s="16"/>
      <c r="Q21" s="1"/>
    </row>
    <row r="22" ht="15.75" customHeight="1">
      <c r="A22" s="16"/>
      <c r="B22" s="16"/>
      <c r="C22" s="24" t="s">
        <v>26</v>
      </c>
      <c r="D22" s="18" t="s">
        <v>12</v>
      </c>
      <c r="E22" s="19"/>
      <c r="F22" s="16"/>
      <c r="G22" s="21"/>
      <c r="H22" s="21"/>
      <c r="I22" s="21"/>
      <c r="J22" s="21"/>
      <c r="K22" s="21"/>
      <c r="L22" s="34"/>
      <c r="M22" s="34"/>
      <c r="N22" s="35"/>
      <c r="O22" s="16"/>
      <c r="P22" s="16"/>
      <c r="Q22" s="1"/>
    </row>
    <row r="23" ht="15.75" customHeight="1">
      <c r="A23" s="16"/>
      <c r="B23" s="16"/>
      <c r="C23" s="24" t="s">
        <v>15</v>
      </c>
      <c r="D23" s="18" t="s">
        <v>12</v>
      </c>
      <c r="E23" s="19"/>
      <c r="F23" s="16"/>
      <c r="G23" s="21"/>
      <c r="H23" s="21"/>
      <c r="I23" s="21"/>
      <c r="J23" s="21"/>
      <c r="K23" s="21"/>
      <c r="L23" s="34"/>
      <c r="M23" s="34"/>
      <c r="N23" s="34"/>
      <c r="O23" s="16"/>
      <c r="P23" s="16"/>
      <c r="Q23" s="1"/>
    </row>
    <row r="24" ht="15.75" customHeight="1">
      <c r="A24" s="16"/>
      <c r="B24" s="16"/>
      <c r="C24" s="24" t="s">
        <v>16</v>
      </c>
      <c r="D24" s="18" t="s">
        <v>12</v>
      </c>
      <c r="E24" s="19"/>
      <c r="F24" s="16"/>
      <c r="G24" s="38"/>
      <c r="H24" s="38"/>
      <c r="I24" s="38"/>
      <c r="J24" s="38"/>
      <c r="K24" s="38"/>
      <c r="L24" s="38"/>
      <c r="M24" s="21"/>
      <c r="N24" s="39"/>
      <c r="O24" s="16"/>
      <c r="P24" s="16"/>
      <c r="Q24" s="1"/>
    </row>
    <row r="25" ht="15.75" customHeight="1">
      <c r="A25" s="16"/>
      <c r="B25" s="16"/>
      <c r="C25" s="24" t="s">
        <v>27</v>
      </c>
      <c r="D25" s="18" t="s">
        <v>12</v>
      </c>
      <c r="E25" s="19"/>
      <c r="F25" s="16"/>
      <c r="G25" s="38"/>
      <c r="H25" s="38"/>
      <c r="I25" s="38"/>
      <c r="J25" s="38"/>
      <c r="K25" s="38"/>
      <c r="L25" s="34"/>
      <c r="M25" s="34"/>
      <c r="N25" s="39"/>
      <c r="O25" s="16"/>
      <c r="P25" s="16"/>
      <c r="Q25" s="1"/>
    </row>
    <row r="26" ht="15.75" customHeight="1">
      <c r="A26" s="16"/>
      <c r="B26" s="16"/>
      <c r="C26" s="36" t="s">
        <v>28</v>
      </c>
      <c r="D26" s="37"/>
      <c r="E26" s="19"/>
      <c r="F26" s="16"/>
      <c r="G26" s="38"/>
      <c r="H26" s="38"/>
      <c r="I26" s="38"/>
      <c r="J26" s="38"/>
      <c r="K26" s="38"/>
      <c r="L26" s="38"/>
      <c r="M26" s="38"/>
      <c r="N26" s="38"/>
      <c r="O26" s="16"/>
      <c r="P26" s="16"/>
      <c r="Q26" s="1"/>
    </row>
    <row r="27" ht="15.75" customHeight="1">
      <c r="A27" s="16"/>
      <c r="B27" s="16"/>
      <c r="C27" s="24" t="s">
        <v>18</v>
      </c>
      <c r="D27" s="18" t="s">
        <v>12</v>
      </c>
      <c r="E27" s="19"/>
      <c r="F27" s="16"/>
      <c r="G27" s="38"/>
      <c r="H27" s="38"/>
      <c r="I27" s="38"/>
      <c r="J27" s="38"/>
      <c r="K27" s="38"/>
      <c r="L27" s="34"/>
      <c r="M27" s="34"/>
      <c r="N27" s="34"/>
      <c r="O27" s="16"/>
      <c r="P27" s="16"/>
      <c r="Q27" s="1"/>
    </row>
    <row r="28" ht="15.75" customHeight="1">
      <c r="A28" s="16"/>
      <c r="B28" s="16"/>
      <c r="C28" s="24" t="s">
        <v>19</v>
      </c>
      <c r="D28" s="18" t="s">
        <v>12</v>
      </c>
      <c r="E28" s="19"/>
      <c r="F28" s="16"/>
      <c r="G28" s="38"/>
      <c r="H28" s="38"/>
      <c r="I28" s="38"/>
      <c r="J28" s="38"/>
      <c r="K28" s="38"/>
      <c r="L28" s="38"/>
      <c r="M28" s="38"/>
      <c r="N28" s="38"/>
      <c r="O28" s="16"/>
      <c r="P28" s="16"/>
      <c r="Q28" s="1"/>
    </row>
    <row r="29" ht="15.75" customHeight="1">
      <c r="A29" s="16"/>
      <c r="B29" s="16"/>
      <c r="C29" s="24" t="s">
        <v>29</v>
      </c>
      <c r="D29" s="18" t="s">
        <v>12</v>
      </c>
      <c r="E29" s="19"/>
      <c r="F29" s="16"/>
      <c r="G29" s="38"/>
      <c r="H29" s="38"/>
      <c r="I29" s="38"/>
      <c r="J29" s="38"/>
      <c r="K29" s="38"/>
      <c r="L29" s="34"/>
      <c r="M29" s="34"/>
      <c r="N29" s="34"/>
      <c r="O29" s="16"/>
      <c r="P29" s="16"/>
      <c r="Q29" s="1"/>
    </row>
    <row r="30" ht="15.75" customHeight="1">
      <c r="A30" s="16"/>
      <c r="B30" s="16"/>
      <c r="C30" s="26" t="s">
        <v>21</v>
      </c>
      <c r="D30" s="27"/>
      <c r="E30" s="40"/>
      <c r="F30" s="16"/>
      <c r="G30" s="38"/>
      <c r="H30" s="38"/>
      <c r="I30" s="38"/>
      <c r="J30" s="38"/>
      <c r="K30" s="38"/>
      <c r="L30" s="34"/>
      <c r="M30" s="34"/>
      <c r="N30" s="34"/>
      <c r="O30" s="16"/>
      <c r="P30" s="16"/>
      <c r="Q30" s="1"/>
    </row>
    <row r="31" ht="15.75" customHeight="1">
      <c r="A31" s="16"/>
      <c r="B31" s="16"/>
      <c r="C31" s="28"/>
      <c r="D31" s="28"/>
      <c r="E31" s="28"/>
      <c r="F31" s="16"/>
      <c r="G31" s="21"/>
      <c r="H31" s="21"/>
      <c r="I31" s="21"/>
      <c r="J31" s="21"/>
      <c r="K31" s="21"/>
      <c r="L31" s="34"/>
      <c r="M31" s="34"/>
      <c r="N31" s="35"/>
      <c r="O31" s="16"/>
      <c r="P31" s="16"/>
      <c r="Q31" s="1"/>
    </row>
    <row r="32" ht="15.75" customHeight="1">
      <c r="A32" s="16"/>
      <c r="B32" s="16"/>
      <c r="C32" s="30" t="s">
        <v>30</v>
      </c>
      <c r="D32" s="5"/>
      <c r="E32" s="6"/>
      <c r="F32" s="16"/>
      <c r="G32" s="21"/>
      <c r="H32" s="21"/>
      <c r="I32" s="21"/>
      <c r="J32" s="21"/>
      <c r="K32" s="21"/>
      <c r="L32" s="34"/>
      <c r="M32" s="34"/>
      <c r="N32" s="35"/>
      <c r="O32" s="16"/>
      <c r="P32" s="16"/>
      <c r="Q32" s="1"/>
    </row>
    <row r="33" ht="15.75" customHeight="1">
      <c r="A33" s="16"/>
      <c r="B33" s="16"/>
      <c r="C33" s="41" t="s">
        <v>24</v>
      </c>
      <c r="D33" s="42" t="s">
        <v>4</v>
      </c>
      <c r="E33" s="42" t="s">
        <v>5</v>
      </c>
      <c r="F33" s="16"/>
      <c r="G33" s="21"/>
      <c r="H33" s="21"/>
      <c r="I33" s="16"/>
      <c r="J33" s="16"/>
      <c r="K33" s="16"/>
      <c r="L33" s="22"/>
      <c r="M33" s="22"/>
      <c r="N33" s="23"/>
      <c r="O33" s="16"/>
      <c r="P33" s="16"/>
      <c r="Q33" s="1"/>
    </row>
    <row r="34" ht="30.75" customHeight="1">
      <c r="A34" s="16"/>
      <c r="B34" s="16"/>
      <c r="C34" s="24" t="s">
        <v>31</v>
      </c>
      <c r="D34" s="18" t="s">
        <v>12</v>
      </c>
      <c r="E34" s="13" t="s">
        <v>8</v>
      </c>
      <c r="F34" s="16"/>
      <c r="G34" s="43" t="str">
        <f>"Negative balance from the " &amp;TEXT(D2, "dd/mm")</f>
        <v>Negative balance from the 16/06</v>
      </c>
      <c r="H34" s="5"/>
      <c r="I34" s="5"/>
      <c r="J34" s="5"/>
      <c r="K34" s="5"/>
      <c r="L34" s="5"/>
      <c r="M34" s="5"/>
      <c r="N34" s="6"/>
      <c r="O34" s="44"/>
      <c r="P34" s="16"/>
      <c r="Q34" s="1"/>
    </row>
    <row r="35" ht="16.5" customHeight="1">
      <c r="A35" s="16"/>
      <c r="B35" s="16"/>
      <c r="C35" s="24" t="s">
        <v>32</v>
      </c>
      <c r="D35" s="18" t="s">
        <v>12</v>
      </c>
      <c r="E35" s="45"/>
      <c r="F35" s="16"/>
      <c r="G35" s="46" t="s">
        <v>33</v>
      </c>
      <c r="H35" s="46" t="s">
        <v>34</v>
      </c>
      <c r="I35" s="46" t="s">
        <v>35</v>
      </c>
      <c r="J35" s="46" t="s">
        <v>36</v>
      </c>
      <c r="K35" s="46" t="s">
        <v>37</v>
      </c>
      <c r="L35" s="47" t="s">
        <v>38</v>
      </c>
      <c r="M35" s="47" t="s">
        <v>39</v>
      </c>
      <c r="N35" s="48" t="s">
        <v>40</v>
      </c>
      <c r="O35" s="44"/>
      <c r="P35" s="16"/>
      <c r="Q35" s="1"/>
    </row>
    <row r="36" ht="15.75" customHeight="1">
      <c r="A36" s="16"/>
      <c r="B36" s="16"/>
      <c r="C36" s="28"/>
      <c r="D36" s="28"/>
      <c r="E36" s="28"/>
      <c r="F36" s="16"/>
      <c r="G36" s="21"/>
      <c r="H36" s="49"/>
      <c r="I36" s="21"/>
      <c r="J36" s="21"/>
      <c r="K36" s="21"/>
      <c r="L36" s="34"/>
      <c r="M36" s="34"/>
      <c r="N36" s="34"/>
      <c r="O36" s="44"/>
      <c r="P36" s="16"/>
      <c r="Q36" s="1"/>
    </row>
    <row r="37" ht="31.5" customHeight="1">
      <c r="A37" s="16"/>
      <c r="B37" s="16"/>
      <c r="C37" s="30" t="s">
        <v>41</v>
      </c>
      <c r="D37" s="5"/>
      <c r="E37" s="28"/>
      <c r="F37" s="16"/>
      <c r="G37" s="21"/>
      <c r="H37" s="49"/>
      <c r="I37" s="21"/>
      <c r="J37" s="21"/>
      <c r="K37" s="21"/>
      <c r="L37" s="50" t="s">
        <v>42</v>
      </c>
      <c r="M37" s="51">
        <f>SUM(M36)</f>
        <v>0</v>
      </c>
      <c r="N37" s="52"/>
      <c r="O37" s="44"/>
      <c r="P37" s="16"/>
      <c r="Q37" s="1"/>
    </row>
    <row r="38" ht="15.75" customHeight="1">
      <c r="A38" s="16"/>
      <c r="B38" s="16"/>
      <c r="C38" s="28"/>
      <c r="D38" s="28"/>
      <c r="E38" s="1"/>
      <c r="F38" s="16"/>
      <c r="G38" s="53"/>
      <c r="H38" s="53"/>
      <c r="I38" s="53"/>
      <c r="J38" s="53"/>
      <c r="K38" s="53"/>
      <c r="L38" s="54" t="s">
        <v>43</v>
      </c>
      <c r="M38" s="55">
        <f>M46-M37</f>
        <v>0</v>
      </c>
      <c r="N38" s="25"/>
      <c r="O38" s="44"/>
      <c r="P38" s="16"/>
      <c r="Q38" s="1"/>
    </row>
    <row r="39" ht="15.75" customHeight="1">
      <c r="A39" s="16"/>
      <c r="B39" s="16"/>
      <c r="C39" s="56" t="s">
        <v>44</v>
      </c>
      <c r="D39" s="57" t="s">
        <v>45</v>
      </c>
      <c r="E39" s="1"/>
      <c r="F39" s="16"/>
      <c r="G39" s="21"/>
      <c r="H39" s="49"/>
      <c r="I39" s="21"/>
      <c r="J39" s="21"/>
      <c r="K39" s="21"/>
      <c r="L39" s="34"/>
      <c r="M39" s="34"/>
      <c r="N39" s="22"/>
      <c r="O39" s="44"/>
      <c r="P39" s="16"/>
      <c r="Q39" s="1"/>
    </row>
    <row r="40" ht="15.75" customHeight="1">
      <c r="A40" s="16"/>
      <c r="B40" s="16"/>
      <c r="C40" s="58" t="s">
        <v>46</v>
      </c>
      <c r="D40" s="59">
        <f>'5. CISA Internal Workings'!F19</f>
        <v>2386124298</v>
      </c>
      <c r="E40" s="1"/>
      <c r="F40" s="16"/>
      <c r="G40" s="38"/>
      <c r="H40" s="38"/>
      <c r="I40" s="38"/>
      <c r="J40" s="38"/>
      <c r="K40" s="38"/>
      <c r="L40" s="21"/>
      <c r="M40" s="21"/>
      <c r="N40" s="16"/>
      <c r="O40" s="44"/>
      <c r="P40" s="16"/>
      <c r="Q40" s="1"/>
    </row>
    <row r="41" ht="15.75" customHeight="1">
      <c r="A41" s="16"/>
      <c r="B41" s="16"/>
      <c r="C41" s="58" t="s">
        <v>47</v>
      </c>
      <c r="D41" s="60">
        <v>1.0417421490000006E7</v>
      </c>
      <c r="E41" s="22"/>
      <c r="F41" s="16"/>
      <c r="G41" s="38"/>
      <c r="H41" s="38"/>
      <c r="I41" s="38"/>
      <c r="J41" s="38"/>
      <c r="K41" s="38"/>
      <c r="L41" s="34"/>
      <c r="M41" s="34"/>
      <c r="N41" s="22"/>
      <c r="O41" s="16"/>
      <c r="P41" s="16"/>
      <c r="Q41" s="1"/>
    </row>
    <row r="42" ht="15.75" customHeight="1">
      <c r="A42" s="16"/>
      <c r="B42" s="16"/>
      <c r="C42" s="58" t="s">
        <v>48</v>
      </c>
      <c r="D42" s="60">
        <v>1.182616322E7</v>
      </c>
      <c r="E42" s="22"/>
      <c r="F42" s="16"/>
      <c r="G42" s="38"/>
      <c r="H42" s="38"/>
      <c r="I42" s="38"/>
      <c r="J42" s="38"/>
      <c r="K42" s="38"/>
      <c r="L42" s="34"/>
      <c r="M42" s="34"/>
      <c r="N42" s="22"/>
      <c r="O42" s="16"/>
      <c r="P42" s="16"/>
      <c r="Q42" s="1"/>
    </row>
    <row r="43" ht="15.75" customHeight="1">
      <c r="A43" s="16"/>
      <c r="B43" s="16"/>
      <c r="C43" s="61" t="s">
        <v>42</v>
      </c>
      <c r="D43" s="62">
        <f>D40-D41+D42</f>
        <v>2387533039</v>
      </c>
      <c r="E43" s="1"/>
      <c r="F43" s="16"/>
      <c r="G43" s="43" t="str">
        <f>"Negative balance from the " &amp; TEXT(IF(WEEKDAY(D2)=2, D2-3, D2-1), "dd/mm")</f>
        <v>Negative balance from the 15/06</v>
      </c>
      <c r="H43" s="5"/>
      <c r="I43" s="5"/>
      <c r="J43" s="5"/>
      <c r="K43" s="5"/>
      <c r="L43" s="5"/>
      <c r="M43" s="5"/>
      <c r="N43" s="6"/>
      <c r="O43" s="16"/>
      <c r="P43" s="16"/>
      <c r="Q43" s="1"/>
    </row>
    <row r="44" ht="15.75" customHeight="1">
      <c r="A44" s="16"/>
      <c r="B44" s="16"/>
      <c r="C44" s="28"/>
      <c r="D44" s="63"/>
      <c r="E44" s="1"/>
      <c r="F44" s="16"/>
      <c r="G44" s="64" t="s">
        <v>33</v>
      </c>
      <c r="H44" s="64" t="s">
        <v>34</v>
      </c>
      <c r="I44" s="46" t="s">
        <v>35</v>
      </c>
      <c r="J44" s="46" t="s">
        <v>36</v>
      </c>
      <c r="K44" s="46" t="s">
        <v>37</v>
      </c>
      <c r="L44" s="47" t="s">
        <v>38</v>
      </c>
      <c r="M44" s="47" t="s">
        <v>39</v>
      </c>
      <c r="N44" s="47" t="s">
        <v>40</v>
      </c>
      <c r="O44" s="16"/>
      <c r="P44" s="16"/>
      <c r="Q44" s="1"/>
    </row>
    <row r="45" ht="15.75" customHeight="1">
      <c r="A45" s="16"/>
      <c r="B45" s="16"/>
      <c r="C45" s="65" t="s">
        <v>49</v>
      </c>
      <c r="D45" s="66">
        <f>'5. CISA Internal Workings'!F18</f>
        <v>2387533039</v>
      </c>
      <c r="E45" s="1"/>
      <c r="F45" s="16"/>
      <c r="G45" s="21"/>
      <c r="H45" s="49"/>
      <c r="I45" s="21"/>
      <c r="J45" s="21"/>
      <c r="K45" s="21"/>
      <c r="L45" s="34"/>
      <c r="M45" s="34"/>
      <c r="N45" s="34"/>
      <c r="O45" s="16"/>
      <c r="P45" s="16"/>
      <c r="Q45" s="1"/>
    </row>
    <row r="46" ht="15.75" customHeight="1">
      <c r="A46" s="16"/>
      <c r="B46" s="16"/>
      <c r="C46" s="67" t="s">
        <v>50</v>
      </c>
      <c r="D46" s="68">
        <f>D43-D45</f>
        <v>0</v>
      </c>
      <c r="E46" s="1"/>
      <c r="F46" s="16"/>
      <c r="G46" s="69"/>
      <c r="H46" s="70"/>
      <c r="I46" s="16"/>
      <c r="J46" s="16"/>
      <c r="K46" s="21"/>
      <c r="L46" s="71" t="s">
        <v>42</v>
      </c>
      <c r="M46" s="72">
        <f>SUM(M45)</f>
        <v>0</v>
      </c>
      <c r="N46" s="73"/>
      <c r="O46" s="16"/>
      <c r="P46" s="16"/>
      <c r="Q46" s="1"/>
    </row>
    <row r="47" ht="15.75" customHeight="1">
      <c r="A47" s="16"/>
      <c r="B47" s="16"/>
      <c r="C47" s="28"/>
      <c r="D47" s="28"/>
      <c r="E47" s="1"/>
      <c r="F47" s="16"/>
      <c r="G47" s="34"/>
      <c r="H47" s="70"/>
      <c r="I47" s="16"/>
      <c r="J47" s="16"/>
      <c r="K47" s="21"/>
      <c r="L47" s="34"/>
      <c r="M47" s="34"/>
      <c r="N47" s="22"/>
      <c r="O47" s="16"/>
      <c r="P47" s="16"/>
      <c r="Q47" s="1"/>
    </row>
    <row r="48" ht="15.75" customHeight="1">
      <c r="A48" s="16"/>
      <c r="B48" s="16"/>
      <c r="C48" s="28"/>
      <c r="D48" s="28"/>
      <c r="E48" s="1"/>
      <c r="F48" s="16"/>
      <c r="G48" s="34"/>
      <c r="H48" s="16"/>
      <c r="I48" s="16"/>
      <c r="J48" s="16"/>
      <c r="K48" s="21"/>
      <c r="L48" s="34"/>
      <c r="M48" s="34"/>
      <c r="N48" s="22"/>
      <c r="O48" s="16"/>
      <c r="P48" s="16"/>
      <c r="Q48" s="1"/>
    </row>
    <row r="49" ht="15.75" customHeight="1">
      <c r="A49" s="16"/>
      <c r="B49" s="16"/>
      <c r="C49" s="56" t="s">
        <v>51</v>
      </c>
      <c r="D49" s="57" t="s">
        <v>45</v>
      </c>
      <c r="E49" s="1"/>
      <c r="F49" s="16"/>
      <c r="G49" s="21"/>
      <c r="H49" s="16"/>
      <c r="I49" s="16"/>
      <c r="J49" s="16"/>
      <c r="K49" s="21"/>
      <c r="L49" s="34"/>
      <c r="M49" s="34"/>
      <c r="N49" s="22"/>
      <c r="O49" s="16"/>
      <c r="P49" s="16"/>
      <c r="Q49" s="1"/>
    </row>
    <row r="50" ht="15.75" customHeight="1">
      <c r="A50" s="16"/>
      <c r="B50" s="16"/>
      <c r="C50" s="58" t="s">
        <v>46</v>
      </c>
      <c r="D50" s="59">
        <f>'10. LISA Internal Workings'!F19</f>
        <v>217714664.8</v>
      </c>
      <c r="E50" s="1"/>
      <c r="F50" s="16"/>
      <c r="G50" s="21"/>
      <c r="H50" s="16"/>
      <c r="I50" s="16"/>
      <c r="J50" s="16"/>
      <c r="K50" s="21"/>
      <c r="L50" s="34"/>
      <c r="M50" s="34"/>
      <c r="N50" s="22"/>
      <c r="O50" s="16"/>
      <c r="P50" s="16"/>
      <c r="Q50" s="1"/>
    </row>
    <row r="51" ht="15.75" customHeight="1">
      <c r="A51" s="16"/>
      <c r="B51" s="16"/>
      <c r="C51" s="58" t="s">
        <v>47</v>
      </c>
      <c r="D51" s="60">
        <v>251643.27999999997</v>
      </c>
      <c r="E51" s="1"/>
      <c r="F51" s="16"/>
      <c r="G51" s="21"/>
      <c r="H51" s="16"/>
      <c r="I51" s="16"/>
      <c r="J51" s="16"/>
      <c r="K51" s="21"/>
      <c r="L51" s="34"/>
      <c r="M51" s="34"/>
      <c r="N51" s="22"/>
      <c r="O51" s="16"/>
      <c r="P51" s="16"/>
      <c r="Q51" s="1"/>
    </row>
    <row r="52" ht="15.75" customHeight="1">
      <c r="A52" s="16"/>
      <c r="B52" s="16"/>
      <c r="C52" s="58" t="s">
        <v>48</v>
      </c>
      <c r="D52" s="60">
        <v>946498.01</v>
      </c>
      <c r="E52" s="1"/>
      <c r="F52" s="16"/>
      <c r="G52" s="69"/>
      <c r="H52" s="70"/>
      <c r="I52" s="16"/>
      <c r="J52" s="16"/>
      <c r="K52" s="21"/>
      <c r="L52" s="34"/>
      <c r="M52" s="34"/>
      <c r="N52" s="22"/>
      <c r="O52" s="16"/>
      <c r="P52" s="16"/>
      <c r="Q52" s="1"/>
    </row>
    <row r="53" ht="15.75" customHeight="1">
      <c r="A53" s="16"/>
      <c r="B53" s="16"/>
      <c r="C53" s="61" t="s">
        <v>42</v>
      </c>
      <c r="D53" s="62">
        <f>D50-D51+D52</f>
        <v>218409519.5</v>
      </c>
      <c r="E53" s="1"/>
      <c r="F53" s="16"/>
      <c r="G53" s="21"/>
      <c r="H53" s="16"/>
      <c r="I53" s="16"/>
      <c r="J53" s="16"/>
      <c r="K53" s="21"/>
      <c r="L53" s="34"/>
      <c r="M53" s="34"/>
      <c r="N53" s="22"/>
      <c r="O53" s="16"/>
      <c r="P53" s="16"/>
      <c r="Q53" s="1"/>
    </row>
    <row r="54" ht="15.75" customHeight="1">
      <c r="A54" s="16"/>
      <c r="B54" s="16"/>
      <c r="C54" s="28"/>
      <c r="D54" s="63"/>
      <c r="E54" s="1"/>
      <c r="F54" s="74"/>
      <c r="G54" s="38"/>
      <c r="H54" s="75"/>
      <c r="I54" s="75"/>
      <c r="J54" s="75"/>
      <c r="K54" s="38"/>
      <c r="L54" s="38"/>
      <c r="M54" s="38"/>
      <c r="N54" s="22"/>
      <c r="O54" s="16"/>
      <c r="P54" s="16"/>
      <c r="Q54" s="1"/>
    </row>
    <row r="55" ht="15.75" customHeight="1">
      <c r="A55" s="16"/>
      <c r="B55" s="16"/>
      <c r="C55" s="65" t="s">
        <v>49</v>
      </c>
      <c r="D55" s="66">
        <f>'10. LISA Internal Workings'!F18</f>
        <v>218409519.5</v>
      </c>
      <c r="E55" s="1"/>
      <c r="F55" s="16"/>
      <c r="G55" s="21"/>
      <c r="H55" s="16"/>
      <c r="I55" s="16"/>
      <c r="J55" s="16"/>
      <c r="K55" s="21"/>
      <c r="L55" s="34"/>
      <c r="M55" s="34"/>
      <c r="N55" s="22"/>
      <c r="O55" s="16"/>
      <c r="P55" s="16"/>
      <c r="Q55" s="1"/>
    </row>
    <row r="56" ht="15.75" customHeight="1">
      <c r="A56" s="16"/>
      <c r="B56" s="16"/>
      <c r="C56" s="67" t="s">
        <v>50</v>
      </c>
      <c r="D56" s="68">
        <f>D53-D55</f>
        <v>0</v>
      </c>
      <c r="F56" s="16"/>
      <c r="G56" s="21"/>
      <c r="H56" s="16"/>
      <c r="I56" s="16"/>
      <c r="J56" s="16"/>
      <c r="K56" s="21"/>
      <c r="L56" s="34"/>
      <c r="M56" s="34"/>
      <c r="N56" s="22"/>
      <c r="O56" s="16"/>
      <c r="P56" s="16"/>
      <c r="Q56" s="1"/>
    </row>
    <row r="57" ht="15.75" customHeight="1">
      <c r="A57" s="16"/>
      <c r="B57" s="16"/>
      <c r="C57" s="28"/>
      <c r="D57" s="28"/>
      <c r="E57" s="1"/>
      <c r="F57" s="16"/>
      <c r="G57" s="21"/>
      <c r="H57" s="16"/>
      <c r="I57" s="16"/>
      <c r="J57" s="16"/>
      <c r="K57" s="21"/>
      <c r="L57" s="34"/>
      <c r="M57" s="34"/>
      <c r="N57" s="22"/>
      <c r="O57" s="16"/>
      <c r="P57" s="16"/>
      <c r="Q57" s="1"/>
    </row>
    <row r="58" ht="15.75" customHeight="1">
      <c r="A58" s="16"/>
      <c r="B58" s="16"/>
      <c r="C58" s="28"/>
      <c r="D58" s="28"/>
      <c r="E58" s="1"/>
      <c r="F58" s="16"/>
      <c r="G58" s="21"/>
      <c r="H58" s="16"/>
      <c r="I58" s="16"/>
      <c r="J58" s="16"/>
      <c r="K58" s="21"/>
      <c r="L58" s="34"/>
      <c r="M58" s="34"/>
      <c r="N58" s="22"/>
      <c r="O58" s="16"/>
      <c r="P58" s="16"/>
      <c r="Q58" s="1"/>
    </row>
    <row r="59" ht="15.75" customHeight="1">
      <c r="A59" s="16"/>
      <c r="B59" s="16"/>
      <c r="C59" s="28"/>
      <c r="D59" s="28"/>
      <c r="E59" s="1"/>
      <c r="F59" s="16"/>
      <c r="G59" s="21"/>
      <c r="H59" s="16"/>
      <c r="I59" s="16"/>
      <c r="J59" s="16"/>
      <c r="K59" s="21"/>
      <c r="L59" s="34"/>
      <c r="M59" s="34"/>
      <c r="N59" s="22"/>
      <c r="O59" s="16"/>
      <c r="P59" s="16"/>
      <c r="Q59" s="1"/>
    </row>
    <row r="60" ht="15.75" customHeight="1">
      <c r="A60" s="16"/>
      <c r="B60" s="16"/>
      <c r="C60" s="34"/>
      <c r="D60" s="76"/>
      <c r="E60" s="1"/>
      <c r="F60" s="16"/>
      <c r="G60" s="21"/>
      <c r="H60" s="16"/>
      <c r="I60" s="16"/>
      <c r="J60" s="16"/>
      <c r="K60" s="21"/>
      <c r="L60" s="34"/>
      <c r="M60" s="34"/>
      <c r="N60" s="22"/>
      <c r="O60" s="16"/>
      <c r="P60" s="16"/>
      <c r="Q60" s="1"/>
    </row>
    <row r="61" ht="15.75" hidden="1" customHeight="1">
      <c r="A61" s="16"/>
      <c r="B61" s="16"/>
      <c r="C61" s="1" t="str">
        <f>"Difference of £" &amp; ROUND(ABS(D56),2) &amp; " due to data discrepancy from " &amp;TEXT(D2, "dd/mm") &amp;". Amount is being investigated with Data and Engineering. No breaks causing shortfall or surplus for LISA."</f>
        <v>Difference of £0 due to data discrepancy from 16/06. Amount is being investigated with Data and Engineering. No breaks causing shortfall or surplus for LISA.</v>
      </c>
      <c r="D61" s="34"/>
      <c r="E61" s="1"/>
      <c r="F61" s="16"/>
      <c r="G61" s="16"/>
      <c r="H61" s="16"/>
      <c r="I61" s="16"/>
      <c r="J61" s="16"/>
      <c r="K61" s="16"/>
      <c r="L61" s="22"/>
      <c r="M61" s="22"/>
      <c r="N61" s="22"/>
      <c r="O61" s="16"/>
      <c r="P61" s="16"/>
      <c r="Q61" s="1"/>
    </row>
    <row r="62" ht="15.75" customHeight="1">
      <c r="A62" s="16"/>
      <c r="B62" s="16"/>
      <c r="C62" s="34"/>
      <c r="D62" s="76"/>
      <c r="E62" s="1"/>
      <c r="F62" s="16"/>
      <c r="G62" s="16"/>
      <c r="H62" s="16"/>
      <c r="I62" s="16"/>
      <c r="J62" s="16"/>
      <c r="K62" s="16"/>
      <c r="L62" s="22"/>
      <c r="M62" s="22"/>
      <c r="N62" s="22"/>
      <c r="O62" s="16"/>
      <c r="P62" s="22"/>
      <c r="Q62" s="1"/>
    </row>
    <row r="63" ht="15.75" customHeight="1">
      <c r="A63" s="16"/>
      <c r="B63" s="16"/>
      <c r="C63" s="63"/>
      <c r="D63" s="76"/>
      <c r="E63" s="1"/>
      <c r="F63" s="16"/>
      <c r="G63" s="16"/>
      <c r="H63" s="16"/>
      <c r="I63" s="16"/>
      <c r="J63" s="16"/>
      <c r="K63" s="16"/>
      <c r="L63" s="22"/>
      <c r="M63" s="22"/>
      <c r="N63" s="22"/>
      <c r="O63" s="16"/>
      <c r="P63" s="22"/>
      <c r="Q63" s="1"/>
    </row>
    <row r="64" ht="15.75" customHeight="1">
      <c r="A64" s="16"/>
      <c r="B64" s="16"/>
      <c r="C64" s="63"/>
      <c r="D64" s="76"/>
      <c r="E64" s="1"/>
      <c r="F64" s="16"/>
      <c r="G64" s="16"/>
      <c r="H64" s="16"/>
      <c r="I64" s="16"/>
      <c r="J64" s="16"/>
      <c r="K64" s="16"/>
      <c r="L64" s="22"/>
      <c r="M64" s="22"/>
      <c r="N64" s="25"/>
      <c r="O64" s="16"/>
      <c r="P64" s="16"/>
      <c r="Q64" s="1"/>
    </row>
    <row r="65" ht="15.75" customHeight="1">
      <c r="A65" s="16"/>
      <c r="B65" s="16"/>
      <c r="C65" s="63"/>
      <c r="D65" s="76"/>
      <c r="E65" s="1"/>
      <c r="F65" s="16"/>
      <c r="G65" s="16"/>
      <c r="H65" s="16"/>
      <c r="I65" s="16"/>
      <c r="J65" s="16"/>
      <c r="K65" s="16"/>
      <c r="L65" s="22"/>
      <c r="M65" s="22"/>
      <c r="N65" s="22"/>
      <c r="O65" s="16"/>
      <c r="P65" s="16"/>
      <c r="Q65" s="1"/>
    </row>
    <row r="66" ht="15.75" customHeight="1">
      <c r="A66" s="16"/>
      <c r="B66" s="16"/>
      <c r="C66" s="63"/>
      <c r="D66" s="76"/>
      <c r="E66" s="1"/>
      <c r="F66" s="16"/>
      <c r="G66" s="16"/>
      <c r="H66" s="16"/>
      <c r="I66" s="16"/>
      <c r="J66" s="16"/>
      <c r="K66" s="16"/>
      <c r="L66" s="22"/>
      <c r="M66" s="22"/>
      <c r="N66" s="22"/>
      <c r="O66" s="16"/>
      <c r="P66" s="16"/>
      <c r="Q66" s="1"/>
    </row>
    <row r="67" ht="15.75" customHeight="1">
      <c r="A67" s="16"/>
      <c r="B67" s="16"/>
      <c r="C67" s="63"/>
      <c r="D67" s="76"/>
      <c r="E67" s="1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"/>
    </row>
    <row r="68" ht="15.75" customHeight="1">
      <c r="A68" s="16"/>
      <c r="B68" s="16"/>
      <c r="C68" s="28"/>
      <c r="D68" s="28"/>
      <c r="E68" s="1"/>
      <c r="F68" s="16"/>
      <c r="G68" s="16"/>
      <c r="H68" s="16"/>
      <c r="I68" s="16"/>
      <c r="J68" s="16"/>
      <c r="K68" s="16"/>
      <c r="L68" s="22"/>
      <c r="M68" s="22"/>
      <c r="N68" s="22"/>
      <c r="O68" s="16"/>
      <c r="P68" s="16"/>
      <c r="Q68" s="1"/>
    </row>
    <row r="69" ht="15.75" customHeight="1">
      <c r="A69" s="16"/>
      <c r="B69" s="16"/>
      <c r="C69" s="28"/>
      <c r="D69" s="28"/>
      <c r="E69" s="1"/>
      <c r="F69" s="16"/>
      <c r="G69" s="16"/>
      <c r="H69" s="16"/>
      <c r="I69" s="16"/>
      <c r="J69" s="16"/>
      <c r="K69" s="16"/>
      <c r="L69" s="22"/>
      <c r="M69" s="22"/>
      <c r="N69" s="22"/>
      <c r="O69" s="16"/>
      <c r="P69" s="16"/>
      <c r="Q69" s="1"/>
    </row>
    <row r="70" ht="15.75" customHeight="1">
      <c r="A70" s="16"/>
      <c r="B70" s="16"/>
      <c r="C70" s="34"/>
      <c r="D70" s="76"/>
      <c r="E70" s="1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"/>
    </row>
    <row r="71" ht="15.75" customHeight="1">
      <c r="A71" s="77"/>
      <c r="B71" s="77"/>
      <c r="C71" s="78"/>
      <c r="D71" s="78"/>
      <c r="E71" s="79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80"/>
    </row>
    <row r="72" ht="15.75" customHeight="1">
      <c r="A72" s="77"/>
      <c r="B72" s="77"/>
      <c r="C72" s="78"/>
      <c r="D72" s="78"/>
      <c r="E72" s="79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80"/>
    </row>
    <row r="73" ht="15.75" customHeight="1">
      <c r="A73" s="77"/>
      <c r="B73" s="77"/>
      <c r="C73" s="78"/>
      <c r="D73" s="78"/>
      <c r="E73" s="79"/>
      <c r="F73" s="77"/>
      <c r="G73" s="77"/>
      <c r="H73" s="77"/>
      <c r="I73" s="77"/>
      <c r="J73" s="77"/>
      <c r="K73" s="77"/>
      <c r="L73" s="81"/>
      <c r="M73" s="81"/>
      <c r="N73" s="81"/>
      <c r="O73" s="77"/>
      <c r="P73" s="77"/>
      <c r="Q73" s="80"/>
    </row>
    <row r="74" ht="15.75" customHeight="1">
      <c r="A74" s="77"/>
      <c r="B74" s="77"/>
      <c r="C74" s="78"/>
      <c r="D74" s="78"/>
      <c r="E74" s="79"/>
      <c r="F74" s="77"/>
      <c r="G74" s="77"/>
      <c r="H74" s="77"/>
      <c r="I74" s="77"/>
      <c r="J74" s="77"/>
      <c r="K74" s="77"/>
      <c r="L74" s="81"/>
      <c r="M74" s="81"/>
      <c r="N74" s="81"/>
      <c r="O74" s="77"/>
      <c r="P74" s="77"/>
      <c r="Q74" s="80"/>
    </row>
    <row r="75" ht="15.75" customHeight="1">
      <c r="A75" s="77"/>
      <c r="B75" s="77"/>
      <c r="C75" s="78"/>
      <c r="D75" s="78"/>
      <c r="E75" s="79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80"/>
    </row>
    <row r="76" ht="15.75" customHeight="1">
      <c r="A76" s="77"/>
      <c r="B76" s="77"/>
      <c r="C76" s="78"/>
      <c r="D76" s="78"/>
      <c r="E76" s="79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80"/>
    </row>
    <row r="77" ht="15.75" customHeight="1">
      <c r="A77" s="77"/>
      <c r="B77" s="77"/>
      <c r="C77" s="78"/>
      <c r="D77" s="78"/>
      <c r="E77" s="79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80"/>
    </row>
    <row r="78" ht="15.75" customHeight="1">
      <c r="A78" s="77"/>
      <c r="B78" s="77"/>
      <c r="C78" s="78"/>
      <c r="D78" s="78"/>
      <c r="E78" s="79"/>
      <c r="F78" s="77"/>
      <c r="G78" s="77"/>
      <c r="H78" s="77"/>
      <c r="I78" s="77"/>
      <c r="J78" s="77"/>
      <c r="K78" s="77"/>
      <c r="L78" s="81"/>
      <c r="M78" s="81"/>
      <c r="N78" s="81"/>
      <c r="O78" s="77"/>
      <c r="P78" s="77"/>
      <c r="Q78" s="80"/>
    </row>
    <row r="79" ht="15.75" customHeight="1">
      <c r="A79" s="77"/>
      <c r="B79" s="77"/>
      <c r="C79" s="78"/>
      <c r="D79" s="78"/>
      <c r="E79" s="79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80"/>
    </row>
    <row r="80" ht="15.75" customHeight="1">
      <c r="A80" s="77"/>
      <c r="B80" s="77"/>
      <c r="C80" s="78"/>
      <c r="D80" s="78"/>
      <c r="E80" s="79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80"/>
    </row>
    <row r="81" ht="15.75" customHeight="1">
      <c r="A81" s="77"/>
      <c r="B81" s="77"/>
      <c r="C81" s="78"/>
      <c r="D81" s="78"/>
      <c r="E81" s="79"/>
      <c r="F81" s="77"/>
      <c r="G81" s="77"/>
      <c r="H81" s="77"/>
      <c r="I81" s="77"/>
      <c r="J81" s="77"/>
      <c r="K81" s="77"/>
      <c r="L81" s="81"/>
      <c r="M81" s="81"/>
      <c r="N81" s="81"/>
      <c r="O81" s="77"/>
      <c r="P81" s="77"/>
      <c r="Q81" s="80"/>
    </row>
    <row r="82" ht="15.75" customHeight="1">
      <c r="A82" s="77"/>
      <c r="B82" s="77"/>
      <c r="C82" s="78"/>
      <c r="D82" s="78"/>
      <c r="E82" s="79"/>
      <c r="F82" s="77"/>
      <c r="G82" s="77"/>
      <c r="H82" s="77"/>
      <c r="I82" s="77"/>
      <c r="J82" s="77"/>
      <c r="K82" s="77"/>
      <c r="L82" s="81"/>
      <c r="M82" s="81"/>
      <c r="N82" s="81"/>
      <c r="O82" s="77"/>
      <c r="P82" s="77"/>
      <c r="Q82" s="80"/>
    </row>
    <row r="83" ht="15.75" customHeight="1">
      <c r="A83" s="77"/>
      <c r="B83" s="77"/>
      <c r="C83" s="78"/>
      <c r="D83" s="78"/>
      <c r="E83" s="79"/>
      <c r="F83" s="77"/>
      <c r="G83" s="77"/>
      <c r="H83" s="77"/>
      <c r="I83" s="77"/>
      <c r="J83" s="77"/>
      <c r="K83" s="77"/>
      <c r="L83" s="81"/>
      <c r="M83" s="81"/>
      <c r="N83" s="81"/>
      <c r="O83" s="77"/>
      <c r="P83" s="77"/>
      <c r="Q83" s="80"/>
    </row>
    <row r="84" ht="15.75" customHeight="1">
      <c r="A84" s="77"/>
      <c r="B84" s="77"/>
      <c r="C84" s="78"/>
      <c r="D84" s="78"/>
      <c r="E84" s="79"/>
      <c r="F84" s="77"/>
      <c r="G84" s="77"/>
      <c r="H84" s="77"/>
      <c r="I84" s="77"/>
      <c r="J84" s="77"/>
      <c r="K84" s="77"/>
      <c r="L84" s="81"/>
      <c r="M84" s="81"/>
      <c r="N84" s="81"/>
      <c r="O84" s="77"/>
      <c r="P84" s="77"/>
      <c r="Q84" s="80"/>
    </row>
    <row r="85" ht="15.75" customHeight="1">
      <c r="A85" s="77"/>
      <c r="B85" s="77"/>
      <c r="C85" s="78"/>
      <c r="D85" s="78"/>
      <c r="E85" s="79"/>
      <c r="F85" s="77"/>
      <c r="G85" s="77"/>
      <c r="H85" s="77"/>
      <c r="I85" s="77"/>
      <c r="J85" s="77"/>
      <c r="K85" s="77"/>
      <c r="L85" s="81"/>
      <c r="M85" s="81"/>
      <c r="N85" s="81"/>
      <c r="O85" s="77"/>
      <c r="P85" s="77"/>
      <c r="Q85" s="80"/>
    </row>
    <row r="86" ht="15.75" customHeight="1">
      <c r="A86" s="77"/>
      <c r="B86" s="77"/>
      <c r="C86" s="78"/>
      <c r="D86" s="78"/>
      <c r="E86" s="79"/>
      <c r="F86" s="77"/>
      <c r="G86" s="77"/>
      <c r="H86" s="77"/>
      <c r="I86" s="77"/>
      <c r="J86" s="77"/>
      <c r="K86" s="77"/>
      <c r="L86" s="81"/>
      <c r="M86" s="81"/>
      <c r="N86" s="81"/>
      <c r="O86" s="77"/>
      <c r="P86" s="77"/>
      <c r="Q86" s="80"/>
    </row>
    <row r="87" ht="15.75" customHeight="1">
      <c r="A87" s="77"/>
      <c r="B87" s="77"/>
      <c r="C87" s="78"/>
      <c r="D87" s="78"/>
      <c r="E87" s="79"/>
      <c r="F87" s="77"/>
      <c r="G87" s="77"/>
      <c r="H87" s="77"/>
      <c r="I87" s="77"/>
      <c r="J87" s="77"/>
      <c r="K87" s="77"/>
      <c r="L87" s="81"/>
      <c r="M87" s="81"/>
      <c r="N87" s="81"/>
      <c r="O87" s="77"/>
      <c r="P87" s="77"/>
      <c r="Q87" s="80"/>
    </row>
    <row r="88" ht="15.75" customHeight="1">
      <c r="A88" s="77"/>
      <c r="B88" s="77"/>
      <c r="C88" s="78"/>
      <c r="D88" s="78"/>
      <c r="E88" s="79"/>
      <c r="F88" s="77"/>
      <c r="G88" s="77"/>
      <c r="H88" s="77"/>
      <c r="I88" s="77"/>
      <c r="J88" s="77"/>
      <c r="K88" s="77"/>
      <c r="L88" s="81"/>
      <c r="M88" s="81"/>
      <c r="N88" s="81"/>
      <c r="O88" s="77"/>
      <c r="P88" s="77"/>
      <c r="Q88" s="80"/>
    </row>
    <row r="89" ht="15.75" customHeight="1">
      <c r="A89" s="77"/>
      <c r="B89" s="77"/>
      <c r="C89" s="78"/>
      <c r="D89" s="78"/>
      <c r="E89" s="79"/>
      <c r="F89" s="77"/>
      <c r="G89" s="77"/>
      <c r="H89" s="77"/>
      <c r="I89" s="77"/>
      <c r="J89" s="77"/>
      <c r="K89" s="77"/>
      <c r="L89" s="81"/>
      <c r="M89" s="81"/>
      <c r="N89" s="81"/>
      <c r="O89" s="77"/>
      <c r="P89" s="77"/>
      <c r="Q89" s="80"/>
    </row>
    <row r="90" ht="15.75" customHeight="1">
      <c r="A90" s="77"/>
      <c r="B90" s="77"/>
      <c r="C90" s="78"/>
      <c r="D90" s="78"/>
      <c r="E90" s="79"/>
      <c r="F90" s="77"/>
      <c r="G90" s="77"/>
      <c r="H90" s="77"/>
      <c r="I90" s="77"/>
      <c r="J90" s="77"/>
      <c r="K90" s="77"/>
      <c r="L90" s="81"/>
      <c r="M90" s="81"/>
      <c r="N90" s="81"/>
      <c r="O90" s="77"/>
      <c r="P90" s="77"/>
      <c r="Q90" s="80"/>
    </row>
    <row r="91" ht="15.75" customHeight="1">
      <c r="A91" s="77"/>
      <c r="B91" s="77"/>
      <c r="C91" s="78"/>
      <c r="D91" s="78"/>
      <c r="E91" s="79"/>
      <c r="F91" s="77"/>
      <c r="G91" s="77"/>
      <c r="H91" s="77"/>
      <c r="I91" s="77"/>
      <c r="J91" s="77"/>
      <c r="K91" s="77"/>
      <c r="L91" s="81"/>
      <c r="M91" s="81"/>
      <c r="N91" s="81"/>
      <c r="O91" s="77"/>
      <c r="P91" s="77"/>
      <c r="Q91" s="80"/>
    </row>
    <row r="92" ht="15.75" customHeight="1">
      <c r="A92" s="77"/>
      <c r="B92" s="77"/>
      <c r="C92" s="78"/>
      <c r="D92" s="78"/>
      <c r="E92" s="79"/>
      <c r="F92" s="77"/>
      <c r="G92" s="77"/>
      <c r="H92" s="77"/>
      <c r="I92" s="77"/>
      <c r="J92" s="77"/>
      <c r="K92" s="77"/>
      <c r="L92" s="81"/>
      <c r="M92" s="81"/>
      <c r="N92" s="81"/>
      <c r="O92" s="77"/>
      <c r="P92" s="77"/>
      <c r="Q92" s="80"/>
    </row>
    <row r="93" ht="15.75" customHeight="1">
      <c r="A93" s="77"/>
      <c r="B93" s="77"/>
      <c r="C93" s="78"/>
      <c r="D93" s="78"/>
      <c r="E93" s="7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80"/>
    </row>
    <row r="94" ht="15.75" customHeight="1">
      <c r="A94" s="77"/>
      <c r="B94" s="77"/>
      <c r="C94" s="78"/>
      <c r="D94" s="78"/>
      <c r="E94" s="79"/>
      <c r="F94" s="77"/>
      <c r="G94" s="77"/>
      <c r="H94" s="77"/>
      <c r="I94" s="77"/>
      <c r="J94" s="77"/>
      <c r="K94" s="77"/>
      <c r="L94" s="81"/>
      <c r="M94" s="81"/>
      <c r="N94" s="81"/>
      <c r="O94" s="77"/>
      <c r="P94" s="77"/>
      <c r="Q94" s="80"/>
    </row>
    <row r="95" ht="15.75" customHeight="1">
      <c r="A95" s="77"/>
      <c r="B95" s="77"/>
      <c r="C95" s="78"/>
      <c r="D95" s="78"/>
      <c r="E95" s="79"/>
      <c r="F95" s="77"/>
      <c r="G95" s="77"/>
      <c r="H95" s="77"/>
      <c r="I95" s="77"/>
      <c r="J95" s="77"/>
      <c r="K95" s="77"/>
      <c r="L95" s="81"/>
      <c r="M95" s="81"/>
      <c r="N95" s="81"/>
      <c r="O95" s="77"/>
      <c r="P95" s="77"/>
      <c r="Q95" s="80"/>
    </row>
    <row r="96" ht="15.75" customHeight="1">
      <c r="A96" s="77"/>
      <c r="B96" s="77"/>
      <c r="C96" s="78"/>
      <c r="D96" s="78"/>
      <c r="E96" s="79"/>
      <c r="F96" s="77"/>
      <c r="G96" s="77"/>
      <c r="H96" s="77"/>
      <c r="I96" s="77"/>
      <c r="J96" s="77"/>
      <c r="K96" s="77"/>
      <c r="L96" s="81"/>
      <c r="M96" s="81"/>
      <c r="N96" s="81"/>
      <c r="O96" s="77"/>
      <c r="P96" s="77"/>
      <c r="Q96" s="80"/>
    </row>
    <row r="97" ht="15.75" customHeight="1">
      <c r="A97" s="77"/>
      <c r="B97" s="77"/>
      <c r="C97" s="78"/>
      <c r="D97" s="78"/>
      <c r="E97" s="79"/>
      <c r="F97" s="77"/>
      <c r="G97" s="77"/>
      <c r="H97" s="77"/>
      <c r="I97" s="77"/>
      <c r="J97" s="77"/>
      <c r="K97" s="77"/>
      <c r="L97" s="81"/>
      <c r="M97" s="81"/>
      <c r="N97" s="81"/>
      <c r="O97" s="77"/>
      <c r="P97" s="77"/>
      <c r="Q97" s="80"/>
    </row>
    <row r="98" ht="15.75" customHeight="1">
      <c r="A98" s="77"/>
      <c r="B98" s="77"/>
      <c r="C98" s="78"/>
      <c r="D98" s="78"/>
      <c r="E98" s="79"/>
      <c r="F98" s="77"/>
      <c r="G98" s="77"/>
      <c r="H98" s="77"/>
      <c r="I98" s="77"/>
      <c r="J98" s="77"/>
      <c r="K98" s="77"/>
      <c r="L98" s="81"/>
      <c r="M98" s="81"/>
      <c r="N98" s="81"/>
      <c r="O98" s="77"/>
      <c r="P98" s="77"/>
      <c r="Q98" s="80"/>
    </row>
    <row r="99" ht="15.75" customHeight="1">
      <c r="A99" s="77"/>
      <c r="B99" s="77"/>
      <c r="C99" s="78"/>
      <c r="D99" s="78"/>
      <c r="E99" s="79"/>
      <c r="F99" s="77"/>
      <c r="G99" s="77"/>
      <c r="H99" s="77"/>
      <c r="I99" s="77"/>
      <c r="J99" s="77"/>
      <c r="K99" s="77"/>
      <c r="L99" s="81"/>
      <c r="M99" s="81"/>
      <c r="N99" s="81"/>
      <c r="O99" s="77"/>
      <c r="P99" s="77"/>
      <c r="Q99" s="80"/>
    </row>
    <row r="100" ht="15.75" customHeight="1">
      <c r="A100" s="77"/>
      <c r="B100" s="77"/>
      <c r="C100" s="78"/>
      <c r="D100" s="78"/>
      <c r="E100" s="79"/>
      <c r="F100" s="77"/>
      <c r="G100" s="77"/>
      <c r="H100" s="77"/>
      <c r="I100" s="77"/>
      <c r="J100" s="77"/>
      <c r="K100" s="77"/>
      <c r="L100" s="81"/>
      <c r="M100" s="81"/>
      <c r="N100" s="81"/>
      <c r="O100" s="77"/>
      <c r="P100" s="77"/>
      <c r="Q100" s="80"/>
    </row>
    <row r="101" ht="15.75" customHeight="1">
      <c r="A101" s="77"/>
      <c r="B101" s="77"/>
      <c r="C101" s="78"/>
      <c r="D101" s="78"/>
      <c r="E101" s="79"/>
      <c r="F101" s="77"/>
      <c r="G101" s="77"/>
      <c r="H101" s="77"/>
      <c r="I101" s="77"/>
      <c r="J101" s="77"/>
      <c r="K101" s="77"/>
      <c r="L101" s="81"/>
      <c r="M101" s="81"/>
      <c r="N101" s="81"/>
      <c r="O101" s="77"/>
      <c r="P101" s="77"/>
      <c r="Q101" s="80"/>
    </row>
    <row r="102" ht="15.75" customHeight="1">
      <c r="A102" s="77"/>
      <c r="B102" s="77"/>
      <c r="C102" s="78"/>
      <c r="D102" s="78"/>
      <c r="E102" s="79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80"/>
    </row>
    <row r="103" ht="15.75" customHeight="1">
      <c r="A103" s="77"/>
      <c r="B103" s="77"/>
      <c r="C103" s="78"/>
      <c r="D103" s="78"/>
      <c r="E103" s="79"/>
      <c r="F103" s="77"/>
      <c r="G103" s="77"/>
      <c r="H103" s="77"/>
      <c r="I103" s="77"/>
      <c r="J103" s="77"/>
      <c r="K103" s="77"/>
      <c r="L103" s="81"/>
      <c r="M103" s="81"/>
      <c r="N103" s="81"/>
      <c r="O103" s="77"/>
      <c r="P103" s="77"/>
      <c r="Q103" s="80"/>
    </row>
    <row r="104" ht="15.75" customHeight="1">
      <c r="A104" s="77"/>
      <c r="B104" s="77"/>
      <c r="C104" s="78"/>
      <c r="D104" s="78"/>
      <c r="E104" s="79"/>
      <c r="F104" s="77"/>
      <c r="G104" s="77"/>
      <c r="H104" s="77"/>
      <c r="I104" s="77"/>
      <c r="J104" s="77"/>
      <c r="K104" s="77"/>
      <c r="L104" s="81"/>
      <c r="M104" s="81"/>
      <c r="N104" s="81"/>
      <c r="O104" s="77"/>
      <c r="P104" s="77"/>
      <c r="Q104" s="80"/>
    </row>
    <row r="105" ht="15.75" customHeight="1">
      <c r="A105" s="77"/>
      <c r="B105" s="77"/>
      <c r="C105" s="78"/>
      <c r="D105" s="78"/>
      <c r="E105" s="79"/>
      <c r="F105" s="77"/>
      <c r="G105" s="77"/>
      <c r="H105" s="77"/>
      <c r="I105" s="77"/>
      <c r="J105" s="77"/>
      <c r="K105" s="77"/>
      <c r="L105" s="81"/>
      <c r="M105" s="81"/>
      <c r="N105" s="81"/>
      <c r="O105" s="77"/>
      <c r="P105" s="77"/>
      <c r="Q105" s="80"/>
    </row>
    <row r="106" ht="15.75" customHeight="1">
      <c r="A106" s="77"/>
      <c r="B106" s="77"/>
      <c r="C106" s="78"/>
      <c r="D106" s="78"/>
      <c r="E106" s="79"/>
      <c r="F106" s="77"/>
      <c r="G106" s="77"/>
      <c r="H106" s="77"/>
      <c r="I106" s="77"/>
      <c r="J106" s="77"/>
      <c r="K106" s="77"/>
      <c r="L106" s="81"/>
      <c r="M106" s="81"/>
      <c r="N106" s="81"/>
      <c r="O106" s="77"/>
      <c r="P106" s="77"/>
      <c r="Q106" s="80"/>
    </row>
    <row r="107" ht="15.75" customHeight="1">
      <c r="A107" s="77"/>
      <c r="B107" s="77"/>
      <c r="C107" s="78"/>
      <c r="D107" s="78"/>
      <c r="E107" s="79"/>
      <c r="F107" s="77"/>
      <c r="G107" s="77"/>
      <c r="H107" s="77"/>
      <c r="I107" s="77"/>
      <c r="J107" s="77"/>
      <c r="K107" s="77"/>
      <c r="L107" s="81"/>
      <c r="M107" s="81"/>
      <c r="N107" s="81"/>
      <c r="O107" s="77"/>
      <c r="P107" s="77"/>
      <c r="Q107" s="80"/>
    </row>
    <row r="108" ht="15.75" customHeight="1">
      <c r="A108" s="77"/>
      <c r="B108" s="77"/>
      <c r="C108" s="78"/>
      <c r="D108" s="78"/>
      <c r="E108" s="79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80"/>
    </row>
    <row r="109" ht="15.75" customHeight="1">
      <c r="A109" s="77"/>
      <c r="B109" s="77"/>
      <c r="C109" s="78"/>
      <c r="D109" s="78"/>
      <c r="E109" s="79"/>
      <c r="F109" s="77"/>
      <c r="G109" s="77"/>
      <c r="H109" s="77"/>
      <c r="I109" s="77"/>
      <c r="J109" s="77"/>
      <c r="K109" s="77"/>
      <c r="L109" s="81"/>
      <c r="M109" s="81"/>
      <c r="N109" s="81"/>
      <c r="O109" s="77"/>
      <c r="P109" s="77"/>
      <c r="Q109" s="80"/>
    </row>
    <row r="110" ht="15.75" customHeight="1">
      <c r="A110" s="77"/>
      <c r="B110" s="77"/>
      <c r="C110" s="78"/>
      <c r="D110" s="78"/>
      <c r="E110" s="79"/>
      <c r="F110" s="77"/>
      <c r="G110" s="77"/>
      <c r="H110" s="77"/>
      <c r="I110" s="77"/>
      <c r="J110" s="77"/>
      <c r="K110" s="77"/>
      <c r="L110" s="81"/>
      <c r="M110" s="81"/>
      <c r="N110" s="81"/>
      <c r="O110" s="77"/>
      <c r="P110" s="77"/>
      <c r="Q110" s="80"/>
    </row>
    <row r="111" ht="15.75" customHeight="1">
      <c r="A111" s="77"/>
      <c r="B111" s="77"/>
      <c r="C111" s="78"/>
      <c r="D111" s="78"/>
      <c r="E111" s="79"/>
      <c r="F111" s="77"/>
      <c r="G111" s="77"/>
      <c r="H111" s="77"/>
      <c r="I111" s="77"/>
      <c r="J111" s="77"/>
      <c r="K111" s="77"/>
      <c r="L111" s="82"/>
      <c r="M111" s="82"/>
      <c r="N111" s="82"/>
      <c r="O111" s="77"/>
      <c r="P111" s="77"/>
      <c r="Q111" s="80"/>
    </row>
    <row r="112" ht="15.75" customHeight="1">
      <c r="A112" s="77"/>
      <c r="B112" s="77"/>
      <c r="C112" s="78"/>
      <c r="D112" s="78"/>
      <c r="E112" s="79"/>
      <c r="F112" s="77"/>
      <c r="G112" s="77"/>
      <c r="H112" s="77"/>
      <c r="I112" s="77"/>
      <c r="J112" s="77"/>
      <c r="K112" s="77"/>
      <c r="L112" s="81"/>
      <c r="M112" s="81"/>
      <c r="N112" s="81"/>
      <c r="O112" s="77"/>
      <c r="P112" s="77"/>
      <c r="Q112" s="80"/>
    </row>
    <row r="113" ht="15.75" customHeight="1">
      <c r="A113" s="77"/>
      <c r="B113" s="77"/>
      <c r="C113" s="78"/>
      <c r="D113" s="78"/>
      <c r="E113" s="79"/>
      <c r="F113" s="77"/>
      <c r="G113" s="77"/>
      <c r="H113" s="77"/>
      <c r="I113" s="77"/>
      <c r="J113" s="77"/>
      <c r="K113" s="77"/>
      <c r="L113" s="81"/>
      <c r="M113" s="81"/>
      <c r="N113" s="81"/>
      <c r="O113" s="77"/>
      <c r="P113" s="77"/>
      <c r="Q113" s="80"/>
    </row>
    <row r="114" ht="15.75" customHeight="1">
      <c r="A114" s="77"/>
      <c r="B114" s="77"/>
      <c r="C114" s="78"/>
      <c r="D114" s="78"/>
      <c r="E114" s="79"/>
      <c r="F114" s="77"/>
      <c r="G114" s="77"/>
      <c r="H114" s="77"/>
      <c r="I114" s="77"/>
      <c r="J114" s="77"/>
      <c r="K114" s="77"/>
      <c r="L114" s="81"/>
      <c r="M114" s="81"/>
      <c r="N114" s="81"/>
      <c r="O114" s="77"/>
      <c r="P114" s="77"/>
      <c r="Q114" s="80"/>
    </row>
    <row r="115" ht="15.75" customHeight="1">
      <c r="A115" s="77"/>
      <c r="B115" s="77"/>
      <c r="C115" s="78"/>
      <c r="D115" s="78"/>
      <c r="E115" s="79"/>
      <c r="F115" s="77"/>
      <c r="G115" s="77"/>
      <c r="H115" s="77"/>
      <c r="I115" s="77"/>
      <c r="J115" s="77"/>
      <c r="K115" s="77"/>
      <c r="L115" s="81"/>
      <c r="M115" s="81"/>
      <c r="N115" s="81"/>
      <c r="O115" s="77"/>
      <c r="P115" s="77"/>
      <c r="Q115" s="80"/>
    </row>
    <row r="116" ht="15.75" customHeight="1">
      <c r="A116" s="77"/>
      <c r="B116" s="77"/>
      <c r="C116" s="78"/>
      <c r="D116" s="78"/>
      <c r="E116" s="79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80"/>
    </row>
    <row r="117" ht="15.75" customHeight="1">
      <c r="A117" s="77"/>
      <c r="B117" s="77"/>
      <c r="C117" s="78"/>
      <c r="D117" s="78"/>
      <c r="E117" s="79"/>
      <c r="F117" s="77"/>
      <c r="G117" s="77"/>
      <c r="H117" s="77"/>
      <c r="I117" s="77"/>
      <c r="J117" s="77"/>
      <c r="K117" s="77"/>
      <c r="L117" s="81"/>
      <c r="M117" s="81"/>
      <c r="N117" s="81"/>
      <c r="O117" s="77"/>
      <c r="P117" s="77"/>
      <c r="Q117" s="80"/>
    </row>
    <row r="118" ht="15.75" customHeight="1">
      <c r="A118" s="77"/>
      <c r="B118" s="77"/>
      <c r="C118" s="78"/>
      <c r="D118" s="78"/>
      <c r="E118" s="79"/>
      <c r="F118" s="77"/>
      <c r="G118" s="77"/>
      <c r="H118" s="77"/>
      <c r="I118" s="77"/>
      <c r="J118" s="77"/>
      <c r="K118" s="77"/>
      <c r="L118" s="81"/>
      <c r="M118" s="81"/>
      <c r="N118" s="81"/>
      <c r="O118" s="77"/>
      <c r="P118" s="77"/>
      <c r="Q118" s="80"/>
    </row>
    <row r="119" ht="15.75" customHeight="1">
      <c r="A119" s="77"/>
      <c r="B119" s="77"/>
      <c r="C119" s="78"/>
      <c r="D119" s="78"/>
      <c r="E119" s="79"/>
      <c r="F119" s="77"/>
      <c r="G119" s="77"/>
      <c r="H119" s="77"/>
      <c r="I119" s="77"/>
      <c r="J119" s="77"/>
      <c r="K119" s="77"/>
      <c r="L119" s="81"/>
      <c r="M119" s="81"/>
      <c r="N119" s="81"/>
      <c r="O119" s="77"/>
      <c r="P119" s="77"/>
      <c r="Q119" s="80"/>
    </row>
    <row r="120" ht="15.75" customHeight="1">
      <c r="A120" s="77"/>
      <c r="B120" s="77"/>
      <c r="C120" s="78"/>
      <c r="D120" s="78"/>
      <c r="E120" s="79"/>
      <c r="F120" s="77"/>
      <c r="G120" s="83"/>
      <c r="H120" s="77"/>
      <c r="I120" s="77"/>
      <c r="J120" s="77"/>
      <c r="K120" s="77"/>
      <c r="L120" s="81"/>
      <c r="M120" s="81"/>
      <c r="N120" s="81"/>
      <c r="O120" s="77"/>
      <c r="P120" s="77"/>
      <c r="Q120" s="80"/>
    </row>
    <row r="121" ht="15.75" customHeight="1">
      <c r="A121" s="77"/>
      <c r="B121" s="77"/>
      <c r="C121" s="78"/>
      <c r="D121" s="78"/>
      <c r="E121" s="79"/>
      <c r="F121" s="77"/>
      <c r="G121" s="77"/>
      <c r="H121" s="77"/>
      <c r="I121" s="77"/>
      <c r="J121" s="77"/>
      <c r="K121" s="77"/>
      <c r="L121" s="81"/>
      <c r="M121" s="81"/>
      <c r="N121" s="81"/>
      <c r="O121" s="77"/>
      <c r="P121" s="77"/>
      <c r="Q121" s="80"/>
    </row>
    <row r="122" ht="15.75" customHeight="1">
      <c r="A122" s="77"/>
      <c r="B122" s="77"/>
      <c r="C122" s="78"/>
      <c r="D122" s="78"/>
      <c r="E122" s="79"/>
      <c r="F122" s="77"/>
      <c r="G122" s="77"/>
      <c r="H122" s="77"/>
      <c r="I122" s="77"/>
      <c r="J122" s="77"/>
      <c r="K122" s="77"/>
      <c r="L122" s="81"/>
      <c r="M122" s="81"/>
      <c r="N122" s="81"/>
      <c r="O122" s="77"/>
      <c r="P122" s="77"/>
      <c r="Q122" s="80"/>
    </row>
    <row r="123" ht="15.75" customHeight="1">
      <c r="A123" s="77"/>
      <c r="B123" s="77"/>
      <c r="C123" s="78"/>
      <c r="D123" s="78"/>
      <c r="E123" s="84"/>
      <c r="F123" s="77"/>
      <c r="G123" s="77"/>
      <c r="H123" s="77"/>
      <c r="I123" s="77"/>
      <c r="J123" s="77"/>
      <c r="K123" s="77"/>
      <c r="L123" s="82"/>
      <c r="M123" s="82"/>
      <c r="N123" s="82"/>
      <c r="O123" s="77"/>
      <c r="P123" s="77"/>
      <c r="Q123" s="80"/>
    </row>
    <row r="124" ht="15.75" customHeight="1">
      <c r="A124" s="77"/>
      <c r="B124" s="77"/>
      <c r="C124" s="78"/>
      <c r="D124" s="78"/>
      <c r="E124" s="84"/>
      <c r="F124" s="77"/>
      <c r="G124" s="77"/>
      <c r="H124" s="77"/>
      <c r="I124" s="77"/>
      <c r="J124" s="77"/>
      <c r="K124" s="77"/>
      <c r="L124" s="82"/>
      <c r="M124" s="82"/>
      <c r="N124" s="82"/>
      <c r="O124" s="77"/>
      <c r="P124" s="77"/>
      <c r="Q124" s="80"/>
    </row>
    <row r="125" ht="15.75" customHeight="1">
      <c r="A125" s="77"/>
      <c r="B125" s="77"/>
      <c r="C125" s="78"/>
      <c r="D125" s="78"/>
      <c r="E125" s="84"/>
      <c r="F125" s="77"/>
      <c r="G125" s="77"/>
      <c r="H125" s="77"/>
      <c r="I125" s="77"/>
      <c r="J125" s="77"/>
      <c r="K125" s="77"/>
      <c r="L125" s="81"/>
      <c r="M125" s="81"/>
      <c r="N125" s="81"/>
      <c r="O125" s="77"/>
      <c r="P125" s="77"/>
      <c r="Q125" s="80"/>
    </row>
    <row r="126" ht="15.75" customHeight="1">
      <c r="A126" s="77"/>
      <c r="B126" s="77"/>
      <c r="C126" s="78"/>
      <c r="D126" s="78"/>
      <c r="E126" s="84"/>
      <c r="F126" s="77"/>
      <c r="G126" s="77"/>
      <c r="H126" s="77"/>
      <c r="I126" s="77"/>
      <c r="J126" s="77"/>
      <c r="K126" s="77"/>
      <c r="L126" s="81"/>
      <c r="M126" s="81"/>
      <c r="N126" s="81"/>
      <c r="O126" s="77"/>
      <c r="P126" s="77"/>
      <c r="Q126" s="80"/>
    </row>
    <row r="127" ht="15.75" customHeight="1">
      <c r="A127" s="77"/>
      <c r="B127" s="77"/>
      <c r="C127" s="78"/>
      <c r="D127" s="78"/>
      <c r="E127" s="84"/>
      <c r="F127" s="77"/>
      <c r="G127" s="77"/>
      <c r="H127" s="77"/>
      <c r="I127" s="77"/>
      <c r="J127" s="77"/>
      <c r="K127" s="77"/>
      <c r="L127" s="81"/>
      <c r="M127" s="81"/>
      <c r="N127" s="81"/>
      <c r="O127" s="77"/>
      <c r="P127" s="77"/>
      <c r="Q127" s="80"/>
    </row>
    <row r="128" ht="15.75" customHeight="1">
      <c r="A128" s="77"/>
      <c r="B128" s="77"/>
      <c r="C128" s="78"/>
      <c r="D128" s="78"/>
      <c r="E128" s="84"/>
      <c r="F128" s="77"/>
      <c r="G128" s="77"/>
      <c r="H128" s="77"/>
      <c r="I128" s="77"/>
      <c r="J128" s="77"/>
      <c r="K128" s="77"/>
      <c r="L128" s="81"/>
      <c r="M128" s="81"/>
      <c r="N128" s="81"/>
      <c r="O128" s="77"/>
      <c r="P128" s="77"/>
      <c r="Q128" s="80"/>
    </row>
    <row r="129" ht="15.75" customHeight="1">
      <c r="A129" s="77"/>
      <c r="B129" s="77"/>
      <c r="C129" s="78"/>
      <c r="D129" s="78"/>
      <c r="E129" s="84"/>
      <c r="F129" s="77"/>
      <c r="G129" s="77"/>
      <c r="H129" s="77"/>
      <c r="I129" s="77"/>
      <c r="J129" s="77"/>
      <c r="K129" s="77"/>
      <c r="L129" s="81"/>
      <c r="M129" s="81"/>
      <c r="N129" s="81"/>
      <c r="O129" s="77"/>
      <c r="P129" s="77"/>
      <c r="Q129" s="80"/>
    </row>
    <row r="130" ht="15.75" customHeight="1">
      <c r="A130" s="77"/>
      <c r="B130" s="77"/>
      <c r="C130" s="78"/>
      <c r="D130" s="78"/>
      <c r="E130" s="84"/>
      <c r="F130" s="77"/>
      <c r="G130" s="77"/>
      <c r="H130" s="77"/>
      <c r="I130" s="77"/>
      <c r="J130" s="77"/>
      <c r="K130" s="77"/>
      <c r="L130" s="81"/>
      <c r="M130" s="81"/>
      <c r="N130" s="81"/>
      <c r="O130" s="77"/>
      <c r="P130" s="77"/>
      <c r="Q130" s="80"/>
    </row>
    <row r="131" ht="15.75" customHeight="1">
      <c r="A131" s="77"/>
      <c r="B131" s="77"/>
      <c r="C131" s="78"/>
      <c r="D131" s="78"/>
      <c r="E131" s="79"/>
      <c r="F131" s="77"/>
      <c r="G131" s="77"/>
      <c r="H131" s="77"/>
      <c r="I131" s="77"/>
      <c r="J131" s="77"/>
      <c r="K131" s="77"/>
      <c r="L131" s="81"/>
      <c r="M131" s="81"/>
      <c r="N131" s="85"/>
      <c r="O131" s="77"/>
      <c r="P131" s="77"/>
      <c r="Q131" s="80"/>
    </row>
    <row r="132" ht="15.75" customHeight="1">
      <c r="A132" s="77"/>
      <c r="B132" s="77"/>
      <c r="C132" s="78"/>
      <c r="D132" s="78"/>
      <c r="E132" s="79"/>
      <c r="F132" s="77"/>
      <c r="G132" s="77"/>
      <c r="H132" s="77"/>
      <c r="I132" s="77"/>
      <c r="J132" s="77"/>
      <c r="K132" s="77"/>
      <c r="L132" s="81"/>
      <c r="M132" s="81"/>
      <c r="N132" s="81"/>
      <c r="O132" s="77"/>
      <c r="P132" s="77"/>
      <c r="Q132" s="80"/>
    </row>
    <row r="133" ht="15.75" customHeight="1">
      <c r="A133" s="77"/>
      <c r="B133" s="77"/>
      <c r="C133" s="78"/>
      <c r="D133" s="78"/>
      <c r="E133" s="79"/>
      <c r="F133" s="77"/>
      <c r="G133" s="77"/>
      <c r="H133" s="77"/>
      <c r="I133" s="77"/>
      <c r="J133" s="77"/>
      <c r="K133" s="77"/>
      <c r="L133" s="81"/>
      <c r="M133" s="81"/>
      <c r="N133" s="81"/>
      <c r="O133" s="77"/>
      <c r="P133" s="77"/>
      <c r="Q133" s="80"/>
    </row>
    <row r="134" ht="15.75" customHeight="1">
      <c r="A134" s="77"/>
      <c r="B134" s="77"/>
      <c r="C134" s="78"/>
      <c r="D134" s="78"/>
      <c r="E134" s="79"/>
      <c r="F134" s="77"/>
      <c r="G134" s="77"/>
      <c r="H134" s="77"/>
      <c r="I134" s="77"/>
      <c r="J134" s="77"/>
      <c r="K134" s="77"/>
      <c r="L134" s="81"/>
      <c r="M134" s="81"/>
      <c r="N134" s="81"/>
      <c r="O134" s="77"/>
      <c r="P134" s="77"/>
      <c r="Q134" s="80"/>
    </row>
    <row r="135" ht="15.75" customHeight="1">
      <c r="A135" s="77"/>
      <c r="B135" s="77"/>
      <c r="C135" s="78"/>
      <c r="D135" s="78"/>
      <c r="E135" s="79"/>
      <c r="F135" s="77"/>
      <c r="G135" s="77"/>
      <c r="H135" s="77"/>
      <c r="I135" s="77"/>
      <c r="J135" s="77"/>
      <c r="K135" s="77"/>
      <c r="L135" s="81"/>
      <c r="M135" s="81"/>
      <c r="N135" s="81"/>
      <c r="O135" s="77"/>
      <c r="P135" s="77"/>
      <c r="Q135" s="80"/>
    </row>
    <row r="136" ht="15.75" customHeight="1">
      <c r="A136" s="77"/>
      <c r="B136" s="77"/>
      <c r="C136" s="78"/>
      <c r="D136" s="78"/>
      <c r="E136" s="79"/>
      <c r="F136" s="77"/>
      <c r="G136" s="77"/>
      <c r="H136" s="77"/>
      <c r="I136" s="77"/>
      <c r="J136" s="77"/>
      <c r="K136" s="77"/>
      <c r="L136" s="81"/>
      <c r="M136" s="81"/>
      <c r="N136" s="81"/>
      <c r="O136" s="77"/>
      <c r="P136" s="77"/>
      <c r="Q136" s="80"/>
    </row>
    <row r="137" ht="15.75" customHeight="1">
      <c r="A137" s="77"/>
      <c r="B137" s="77"/>
      <c r="C137" s="78"/>
      <c r="D137" s="78"/>
      <c r="E137" s="79"/>
      <c r="F137" s="77"/>
      <c r="G137" s="77"/>
      <c r="H137" s="77"/>
      <c r="I137" s="77"/>
      <c r="J137" s="77"/>
      <c r="K137" s="77"/>
      <c r="L137" s="81"/>
      <c r="M137" s="81"/>
      <c r="N137" s="81"/>
      <c r="O137" s="77"/>
      <c r="P137" s="77"/>
      <c r="Q137" s="80"/>
    </row>
    <row r="138" ht="15.75" customHeight="1">
      <c r="A138" s="77"/>
      <c r="B138" s="77"/>
      <c r="C138" s="78"/>
      <c r="D138" s="78"/>
      <c r="E138" s="79"/>
      <c r="F138" s="77"/>
      <c r="G138" s="77"/>
      <c r="H138" s="77"/>
      <c r="I138" s="77"/>
      <c r="J138" s="77"/>
      <c r="K138" s="77"/>
      <c r="L138" s="81"/>
      <c r="M138" s="81"/>
      <c r="N138" s="81"/>
      <c r="O138" s="77"/>
      <c r="P138" s="77"/>
      <c r="Q138" s="80"/>
    </row>
    <row r="139" ht="15.75" customHeight="1">
      <c r="A139" s="77"/>
      <c r="B139" s="77"/>
      <c r="C139" s="78"/>
      <c r="D139" s="78"/>
      <c r="E139" s="79"/>
      <c r="F139" s="77"/>
      <c r="G139" s="77"/>
      <c r="H139" s="77"/>
      <c r="I139" s="77"/>
      <c r="J139" s="77"/>
      <c r="K139" s="77"/>
      <c r="L139" s="81"/>
      <c r="M139" s="81"/>
      <c r="N139" s="81"/>
      <c r="O139" s="77"/>
      <c r="P139" s="77"/>
      <c r="Q139" s="80"/>
    </row>
    <row r="140" ht="15.75" customHeight="1">
      <c r="A140" s="77"/>
      <c r="B140" s="77"/>
      <c r="C140" s="78"/>
      <c r="D140" s="78"/>
      <c r="E140" s="79"/>
      <c r="F140" s="77"/>
      <c r="G140" s="77"/>
      <c r="H140" s="77"/>
      <c r="I140" s="77"/>
      <c r="J140" s="77"/>
      <c r="K140" s="77"/>
      <c r="L140" s="81"/>
      <c r="M140" s="81"/>
      <c r="N140" s="81"/>
      <c r="O140" s="77"/>
      <c r="P140" s="77"/>
      <c r="Q140" s="80"/>
    </row>
    <row r="141" ht="15.75" customHeight="1">
      <c r="A141" s="77"/>
      <c r="B141" s="77"/>
      <c r="C141" s="78"/>
      <c r="D141" s="78"/>
      <c r="E141" s="79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80"/>
    </row>
    <row r="142" ht="15.75" customHeight="1">
      <c r="A142" s="77"/>
      <c r="B142" s="77"/>
      <c r="C142" s="78"/>
      <c r="D142" s="78"/>
      <c r="E142" s="79"/>
      <c r="F142" s="77"/>
      <c r="G142" s="77"/>
      <c r="H142" s="77"/>
      <c r="I142" s="77"/>
      <c r="J142" s="77"/>
      <c r="K142" s="77"/>
      <c r="L142" s="81"/>
      <c r="M142" s="81"/>
      <c r="N142" s="81"/>
      <c r="O142" s="77"/>
      <c r="P142" s="77"/>
      <c r="Q142" s="80"/>
    </row>
    <row r="143" ht="15.75" customHeight="1">
      <c r="A143" s="77"/>
      <c r="B143" s="77"/>
      <c r="C143" s="78"/>
      <c r="D143" s="78"/>
      <c r="E143" s="79"/>
      <c r="F143" s="77"/>
      <c r="G143" s="77"/>
      <c r="H143" s="77"/>
      <c r="I143" s="77"/>
      <c r="J143" s="77"/>
      <c r="K143" s="77"/>
      <c r="L143" s="81"/>
      <c r="M143" s="81"/>
      <c r="N143" s="81"/>
      <c r="O143" s="77"/>
      <c r="P143" s="77"/>
      <c r="Q143" s="80"/>
    </row>
    <row r="144" ht="15.75" customHeight="1">
      <c r="A144" s="77"/>
      <c r="B144" s="77"/>
      <c r="C144" s="78"/>
      <c r="D144" s="78"/>
      <c r="E144" s="79"/>
      <c r="F144" s="77"/>
      <c r="G144" s="77"/>
      <c r="H144" s="77"/>
      <c r="I144" s="77"/>
      <c r="J144" s="77"/>
      <c r="K144" s="77"/>
      <c r="L144" s="81"/>
      <c r="M144" s="81"/>
      <c r="N144" s="81"/>
      <c r="O144" s="77"/>
      <c r="P144" s="77"/>
      <c r="Q144" s="80"/>
    </row>
    <row r="145" ht="15.75" customHeight="1">
      <c r="A145" s="77"/>
      <c r="B145" s="77"/>
      <c r="C145" s="78"/>
      <c r="D145" s="78"/>
      <c r="E145" s="79"/>
      <c r="F145" s="77"/>
      <c r="G145" s="77"/>
      <c r="H145" s="77"/>
      <c r="I145" s="77"/>
      <c r="J145" s="77"/>
      <c r="K145" s="77"/>
      <c r="L145" s="81"/>
      <c r="M145" s="81"/>
      <c r="N145" s="81"/>
      <c r="O145" s="77"/>
      <c r="P145" s="77"/>
      <c r="Q145" s="80"/>
    </row>
    <row r="146" ht="15.75" customHeight="1">
      <c r="A146" s="77"/>
      <c r="B146" s="77"/>
      <c r="C146" s="78"/>
      <c r="D146" s="78"/>
      <c r="E146" s="79"/>
      <c r="F146" s="77"/>
      <c r="G146" s="77"/>
      <c r="H146" s="77"/>
      <c r="I146" s="77"/>
      <c r="J146" s="77"/>
      <c r="K146" s="77"/>
      <c r="L146" s="81"/>
      <c r="M146" s="81"/>
      <c r="N146" s="81"/>
      <c r="O146" s="77"/>
      <c r="P146" s="77"/>
      <c r="Q146" s="80"/>
    </row>
    <row r="147" ht="15.75" customHeight="1">
      <c r="A147" s="86"/>
      <c r="B147" s="86"/>
      <c r="C147" s="87"/>
      <c r="D147" s="87"/>
      <c r="E147" s="88"/>
      <c r="F147" s="86"/>
      <c r="G147" s="86"/>
      <c r="H147" s="89"/>
      <c r="I147" s="89"/>
      <c r="J147" s="89"/>
      <c r="K147" s="86"/>
      <c r="L147" s="89"/>
      <c r="M147" s="90"/>
      <c r="N147" s="90"/>
      <c r="O147" s="77"/>
      <c r="P147" s="81"/>
      <c r="Q147" s="80"/>
    </row>
    <row r="148" ht="15.75" customHeight="1">
      <c r="A148" s="77"/>
      <c r="B148" s="77"/>
      <c r="C148" s="78"/>
      <c r="D148" s="78"/>
      <c r="E148" s="79"/>
      <c r="F148" s="77"/>
      <c r="G148" s="77"/>
      <c r="H148" s="80"/>
      <c r="I148" s="80"/>
      <c r="J148" s="80"/>
      <c r="K148" s="77"/>
      <c r="L148" s="80"/>
      <c r="M148" s="81"/>
      <c r="N148" s="85"/>
      <c r="O148" s="77"/>
      <c r="P148" s="81"/>
      <c r="Q148" s="80"/>
    </row>
    <row r="149" ht="15.75" customHeight="1">
      <c r="A149" s="77"/>
      <c r="B149" s="77"/>
      <c r="C149" s="78"/>
      <c r="D149" s="78"/>
      <c r="E149" s="79"/>
      <c r="F149" s="77"/>
      <c r="G149" s="77"/>
      <c r="H149" s="80"/>
      <c r="I149" s="80"/>
      <c r="J149" s="80"/>
      <c r="K149" s="77"/>
      <c r="L149" s="80"/>
      <c r="M149" s="81"/>
      <c r="N149" s="85"/>
      <c r="O149" s="77"/>
      <c r="P149" s="81"/>
      <c r="Q149" s="80"/>
    </row>
    <row r="150" ht="15.75" customHeight="1">
      <c r="A150" s="77"/>
      <c r="B150" s="77"/>
      <c r="C150" s="78"/>
      <c r="D150" s="78"/>
      <c r="E150" s="79"/>
      <c r="F150" s="77"/>
      <c r="G150" s="77"/>
      <c r="H150" s="80"/>
      <c r="I150" s="80"/>
      <c r="J150" s="80"/>
      <c r="K150" s="77"/>
      <c r="L150" s="80"/>
      <c r="M150" s="81"/>
      <c r="N150" s="85"/>
      <c r="O150" s="77"/>
      <c r="P150" s="81"/>
      <c r="Q150" s="80"/>
    </row>
    <row r="151" ht="15.75" customHeight="1">
      <c r="A151" s="77"/>
      <c r="B151" s="77"/>
      <c r="C151" s="78"/>
      <c r="D151" s="78"/>
      <c r="E151" s="79"/>
      <c r="F151" s="77"/>
      <c r="G151" s="77"/>
      <c r="H151" s="80"/>
      <c r="I151" s="80"/>
      <c r="J151" s="80"/>
      <c r="K151" s="77"/>
      <c r="L151" s="80"/>
      <c r="M151" s="81"/>
      <c r="N151" s="85"/>
      <c r="O151" s="77"/>
      <c r="P151" s="81"/>
      <c r="Q151" s="80"/>
    </row>
    <row r="152" ht="15.75" customHeight="1">
      <c r="A152" s="77"/>
      <c r="B152" s="77"/>
      <c r="C152" s="78"/>
      <c r="D152" s="78"/>
      <c r="E152" s="79"/>
      <c r="F152" s="77"/>
      <c r="G152" s="77"/>
      <c r="H152" s="80"/>
      <c r="I152" s="80"/>
      <c r="J152" s="80"/>
      <c r="K152" s="77"/>
      <c r="L152" s="80"/>
      <c r="M152" s="81"/>
      <c r="N152" s="85"/>
      <c r="O152" s="77"/>
      <c r="P152" s="81"/>
      <c r="Q152" s="80"/>
    </row>
    <row r="153" ht="15.75" customHeight="1">
      <c r="A153" s="77"/>
      <c r="B153" s="77"/>
      <c r="C153" s="78"/>
      <c r="D153" s="78"/>
      <c r="E153" s="79"/>
      <c r="F153" s="77"/>
      <c r="G153" s="77"/>
      <c r="H153" s="80"/>
      <c r="I153" s="80"/>
      <c r="J153" s="80"/>
      <c r="K153" s="77"/>
      <c r="L153" s="80"/>
      <c r="M153" s="81"/>
      <c r="N153" s="85"/>
      <c r="O153" s="77"/>
      <c r="P153" s="81"/>
      <c r="Q153" s="80"/>
    </row>
    <row r="154" ht="15.75" customHeight="1">
      <c r="A154" s="77"/>
      <c r="B154" s="77"/>
      <c r="C154" s="78"/>
      <c r="D154" s="78"/>
      <c r="E154" s="79"/>
      <c r="F154" s="77"/>
      <c r="G154" s="77"/>
      <c r="H154" s="77"/>
      <c r="I154" s="77"/>
      <c r="J154" s="77"/>
      <c r="K154" s="77"/>
      <c r="L154" s="81"/>
      <c r="M154" s="81"/>
      <c r="N154" s="85"/>
      <c r="O154" s="77"/>
      <c r="P154" s="81"/>
      <c r="Q154" s="80"/>
    </row>
    <row r="155" ht="15.75" customHeight="1">
      <c r="A155" s="77"/>
      <c r="B155" s="77"/>
      <c r="C155" s="78"/>
      <c r="D155" s="78"/>
      <c r="E155" s="79"/>
      <c r="F155" s="77"/>
      <c r="G155" s="77"/>
      <c r="H155" s="77"/>
      <c r="I155" s="77"/>
      <c r="J155" s="77"/>
      <c r="K155" s="77"/>
      <c r="L155" s="81"/>
      <c r="M155" s="81"/>
      <c r="N155" s="85"/>
      <c r="O155" s="77"/>
      <c r="P155" s="81"/>
      <c r="Q155" s="80"/>
    </row>
    <row r="156" ht="15.75" customHeight="1">
      <c r="A156" s="77"/>
      <c r="B156" s="77"/>
      <c r="C156" s="78"/>
      <c r="D156" s="78"/>
      <c r="E156" s="79"/>
      <c r="F156" s="77"/>
      <c r="G156" s="77"/>
      <c r="H156" s="77"/>
      <c r="I156" s="77"/>
      <c r="J156" s="77"/>
      <c r="K156" s="77"/>
      <c r="L156" s="81"/>
      <c r="M156" s="81"/>
      <c r="N156" s="85"/>
      <c r="O156" s="77"/>
      <c r="P156" s="81"/>
      <c r="Q156" s="80"/>
    </row>
    <row r="157" ht="15.75" customHeight="1">
      <c r="A157" s="77"/>
      <c r="B157" s="77"/>
      <c r="C157" s="78"/>
      <c r="D157" s="78"/>
      <c r="E157" s="79"/>
      <c r="F157" s="77"/>
      <c r="G157" s="77"/>
      <c r="H157" s="77"/>
      <c r="I157" s="77"/>
      <c r="J157" s="77"/>
      <c r="K157" s="77"/>
      <c r="L157" s="81"/>
      <c r="M157" s="81"/>
      <c r="N157" s="85"/>
      <c r="O157" s="77"/>
      <c r="P157" s="81"/>
      <c r="Q157" s="80"/>
    </row>
    <row r="158" ht="15.75" customHeight="1">
      <c r="A158" s="77"/>
      <c r="B158" s="77"/>
      <c r="C158" s="78"/>
      <c r="D158" s="78"/>
      <c r="E158" s="79"/>
      <c r="F158" s="77"/>
      <c r="G158" s="77"/>
      <c r="H158" s="77"/>
      <c r="I158" s="77"/>
      <c r="J158" s="77"/>
      <c r="K158" s="77"/>
      <c r="L158" s="81"/>
      <c r="M158" s="81"/>
      <c r="N158" s="85"/>
      <c r="O158" s="77"/>
      <c r="P158" s="81"/>
      <c r="Q158" s="80"/>
    </row>
    <row r="159" ht="15.75" customHeight="1">
      <c r="A159" s="77"/>
      <c r="B159" s="77"/>
      <c r="C159" s="78"/>
      <c r="D159" s="78"/>
      <c r="E159" s="79"/>
      <c r="F159" s="77"/>
      <c r="G159" s="77"/>
      <c r="H159" s="77"/>
      <c r="I159" s="77"/>
      <c r="J159" s="77"/>
      <c r="K159" s="77"/>
      <c r="L159" s="81"/>
      <c r="M159" s="81"/>
      <c r="N159" s="85"/>
      <c r="O159" s="77"/>
      <c r="P159" s="81"/>
      <c r="Q159" s="80"/>
    </row>
    <row r="160" ht="15.75" customHeight="1">
      <c r="A160" s="77"/>
      <c r="B160" s="77"/>
      <c r="C160" s="78"/>
      <c r="D160" s="78"/>
      <c r="E160" s="79"/>
      <c r="F160" s="77"/>
      <c r="G160" s="77"/>
      <c r="H160" s="77"/>
      <c r="I160" s="77"/>
      <c r="J160" s="77"/>
      <c r="K160" s="77"/>
      <c r="L160" s="81"/>
      <c r="M160" s="81"/>
      <c r="N160" s="85"/>
      <c r="O160" s="77"/>
      <c r="P160" s="81"/>
      <c r="Q160" s="80"/>
    </row>
    <row r="161" ht="15.75" customHeight="1">
      <c r="A161" s="77"/>
      <c r="B161" s="77"/>
      <c r="C161" s="78"/>
      <c r="D161" s="78"/>
      <c r="E161" s="79"/>
      <c r="F161" s="77"/>
      <c r="G161" s="77"/>
      <c r="H161" s="77"/>
      <c r="I161" s="77"/>
      <c r="J161" s="77"/>
      <c r="K161" s="77"/>
      <c r="L161" s="81"/>
      <c r="M161" s="81"/>
      <c r="N161" s="85"/>
      <c r="O161" s="77"/>
      <c r="P161" s="81"/>
      <c r="Q161" s="80"/>
    </row>
    <row r="162" ht="15.75" customHeight="1">
      <c r="A162" s="77"/>
      <c r="B162" s="77"/>
      <c r="C162" s="78"/>
      <c r="D162" s="78"/>
      <c r="E162" s="79"/>
      <c r="F162" s="77"/>
      <c r="G162" s="77"/>
      <c r="H162" s="77"/>
      <c r="I162" s="77"/>
      <c r="J162" s="77"/>
      <c r="K162" s="77"/>
      <c r="L162" s="81"/>
      <c r="M162" s="81"/>
      <c r="N162" s="85"/>
      <c r="O162" s="77"/>
      <c r="P162" s="81"/>
      <c r="Q162" s="80"/>
    </row>
    <row r="163" ht="15.75" customHeight="1">
      <c r="A163" s="77"/>
      <c r="B163" s="77"/>
      <c r="C163" s="78"/>
      <c r="D163" s="78"/>
      <c r="E163" s="79"/>
      <c r="F163" s="77"/>
      <c r="G163" s="77"/>
      <c r="H163" s="77"/>
      <c r="I163" s="77"/>
      <c r="J163" s="77"/>
      <c r="K163" s="77"/>
      <c r="L163" s="81"/>
      <c r="M163" s="81"/>
      <c r="N163" s="85"/>
      <c r="O163" s="77"/>
      <c r="P163" s="81"/>
      <c r="Q163" s="80"/>
    </row>
    <row r="164" ht="15.75" customHeight="1">
      <c r="A164" s="77"/>
      <c r="B164" s="77"/>
      <c r="C164" s="78"/>
      <c r="D164" s="78"/>
      <c r="E164" s="79"/>
      <c r="F164" s="77"/>
      <c r="G164" s="77"/>
      <c r="H164" s="77"/>
      <c r="I164" s="77"/>
      <c r="J164" s="77"/>
      <c r="K164" s="77"/>
      <c r="L164" s="81"/>
      <c r="M164" s="81"/>
      <c r="N164" s="85"/>
      <c r="O164" s="77"/>
      <c r="P164" s="81"/>
      <c r="Q164" s="80"/>
    </row>
    <row r="165" ht="15.75" customHeight="1">
      <c r="A165" s="77"/>
      <c r="B165" s="77"/>
      <c r="C165" s="78"/>
      <c r="D165" s="78"/>
      <c r="E165" s="79"/>
      <c r="F165" s="77"/>
      <c r="G165" s="77"/>
      <c r="H165" s="77"/>
      <c r="I165" s="77"/>
      <c r="J165" s="77"/>
      <c r="K165" s="77"/>
      <c r="L165" s="81"/>
      <c r="M165" s="81"/>
      <c r="N165" s="85"/>
      <c r="O165" s="77"/>
      <c r="P165" s="81"/>
      <c r="Q165" s="80"/>
    </row>
    <row r="166" ht="15.75" customHeight="1">
      <c r="A166" s="77"/>
      <c r="B166" s="77"/>
      <c r="C166" s="78"/>
      <c r="D166" s="78"/>
      <c r="E166" s="79"/>
      <c r="F166" s="77"/>
      <c r="G166" s="77"/>
      <c r="H166" s="77"/>
      <c r="I166" s="77"/>
      <c r="J166" s="77"/>
      <c r="K166" s="77"/>
      <c r="L166" s="77"/>
      <c r="M166" s="81"/>
      <c r="N166" s="85"/>
      <c r="O166" s="77"/>
      <c r="P166" s="81"/>
      <c r="Q166" s="80"/>
    </row>
    <row r="167" ht="15.75" customHeight="1">
      <c r="A167" s="77"/>
      <c r="B167" s="77"/>
      <c r="C167" s="78"/>
      <c r="D167" s="78"/>
      <c r="E167" s="79"/>
      <c r="F167" s="77"/>
      <c r="G167" s="77"/>
      <c r="H167" s="77"/>
      <c r="I167" s="77"/>
      <c r="J167" s="77"/>
      <c r="K167" s="77"/>
      <c r="L167" s="81"/>
      <c r="M167" s="81"/>
      <c r="N167" s="85"/>
      <c r="O167" s="77"/>
      <c r="P167" s="81"/>
      <c r="Q167" s="80"/>
    </row>
    <row r="168" ht="15.75" customHeight="1">
      <c r="A168" s="77"/>
      <c r="B168" s="77"/>
      <c r="C168" s="78"/>
      <c r="D168" s="78"/>
      <c r="E168" s="79"/>
      <c r="F168" s="77"/>
      <c r="G168" s="77"/>
      <c r="H168" s="77"/>
      <c r="I168" s="77"/>
      <c r="J168" s="77"/>
      <c r="K168" s="77"/>
      <c r="L168" s="81"/>
      <c r="M168" s="81"/>
      <c r="N168" s="85"/>
      <c r="O168" s="77"/>
      <c r="P168" s="81"/>
      <c r="Q168" s="80"/>
    </row>
    <row r="169" ht="15.75" customHeight="1">
      <c r="A169" s="77"/>
      <c r="B169" s="77"/>
      <c r="C169" s="78"/>
      <c r="D169" s="78"/>
      <c r="E169" s="79"/>
      <c r="F169" s="77"/>
      <c r="G169" s="77"/>
      <c r="H169" s="77"/>
      <c r="I169" s="77"/>
      <c r="J169" s="77"/>
      <c r="K169" s="77"/>
      <c r="L169" s="81"/>
      <c r="M169" s="81"/>
      <c r="N169" s="85"/>
      <c r="O169" s="77"/>
      <c r="P169" s="81"/>
      <c r="Q169" s="80"/>
    </row>
    <row r="170" ht="15.75" customHeight="1">
      <c r="A170" s="77"/>
      <c r="B170" s="77"/>
      <c r="C170" s="78"/>
      <c r="D170" s="78"/>
      <c r="E170" s="79"/>
      <c r="F170" s="77"/>
      <c r="G170" s="77"/>
      <c r="H170" s="77"/>
      <c r="I170" s="77"/>
      <c r="J170" s="77"/>
      <c r="K170" s="77"/>
      <c r="L170" s="81"/>
      <c r="M170" s="81"/>
      <c r="N170" s="85"/>
      <c r="O170" s="77"/>
      <c r="P170" s="81"/>
      <c r="Q170" s="80"/>
    </row>
    <row r="171" ht="15.75" customHeight="1">
      <c r="A171" s="77"/>
      <c r="B171" s="77"/>
      <c r="C171" s="78"/>
      <c r="D171" s="78"/>
      <c r="E171" s="79"/>
      <c r="F171" s="77"/>
      <c r="G171" s="77"/>
      <c r="H171" s="77"/>
      <c r="I171" s="77"/>
      <c r="J171" s="77"/>
      <c r="K171" s="77"/>
      <c r="L171" s="81"/>
      <c r="M171" s="81"/>
      <c r="N171" s="85"/>
      <c r="O171" s="77"/>
      <c r="P171" s="81"/>
      <c r="Q171" s="80"/>
    </row>
    <row r="172" ht="15.75" customHeight="1">
      <c r="A172" s="77"/>
      <c r="B172" s="77"/>
      <c r="C172" s="78"/>
      <c r="D172" s="78"/>
      <c r="E172" s="79"/>
      <c r="F172" s="77"/>
      <c r="G172" s="77"/>
      <c r="H172" s="77"/>
      <c r="I172" s="77"/>
      <c r="J172" s="77"/>
      <c r="K172" s="77"/>
      <c r="L172" s="81"/>
      <c r="M172" s="81"/>
      <c r="N172" s="85"/>
      <c r="O172" s="77"/>
      <c r="P172" s="81"/>
      <c r="Q172" s="80"/>
    </row>
    <row r="173" ht="15.75" customHeight="1">
      <c r="A173" s="77"/>
      <c r="B173" s="77"/>
      <c r="C173" s="78"/>
      <c r="D173" s="78"/>
      <c r="E173" s="79"/>
      <c r="F173" s="77"/>
      <c r="G173" s="77"/>
      <c r="H173" s="77"/>
      <c r="I173" s="77"/>
      <c r="J173" s="77"/>
      <c r="K173" s="77"/>
      <c r="L173" s="81"/>
      <c r="M173" s="81"/>
      <c r="N173" s="85"/>
      <c r="O173" s="77"/>
      <c r="P173" s="81"/>
      <c r="Q173" s="80"/>
    </row>
    <row r="174" ht="15.75" customHeight="1">
      <c r="A174" s="77"/>
      <c r="B174" s="77"/>
      <c r="C174" s="78"/>
      <c r="D174" s="78"/>
      <c r="E174" s="79"/>
      <c r="F174" s="77"/>
      <c r="G174" s="77"/>
      <c r="H174" s="77"/>
      <c r="I174" s="77"/>
      <c r="J174" s="77"/>
      <c r="K174" s="77"/>
      <c r="L174" s="82"/>
      <c r="M174" s="81"/>
      <c r="N174" s="85"/>
      <c r="O174" s="77"/>
      <c r="P174" s="81"/>
      <c r="Q174" s="80"/>
    </row>
    <row r="175" ht="15.75" customHeight="1">
      <c r="A175" s="77"/>
      <c r="B175" s="77"/>
      <c r="C175" s="78"/>
      <c r="D175" s="78"/>
      <c r="E175" s="79"/>
      <c r="F175" s="77"/>
      <c r="G175" s="77"/>
      <c r="H175" s="77"/>
      <c r="I175" s="77"/>
      <c r="J175" s="77"/>
      <c r="K175" s="77"/>
      <c r="L175" s="81"/>
      <c r="M175" s="81"/>
      <c r="N175" s="85"/>
      <c r="O175" s="77"/>
      <c r="P175" s="81"/>
      <c r="Q175" s="80"/>
    </row>
    <row r="176" ht="15.75" customHeight="1">
      <c r="A176" s="77"/>
      <c r="B176" s="77"/>
      <c r="C176" s="78"/>
      <c r="D176" s="78"/>
      <c r="E176" s="79"/>
      <c r="F176" s="77"/>
      <c r="G176" s="77"/>
      <c r="H176" s="77"/>
      <c r="I176" s="77"/>
      <c r="J176" s="77"/>
      <c r="K176" s="77"/>
      <c r="L176" s="81"/>
      <c r="M176" s="81"/>
      <c r="N176" s="85"/>
      <c r="O176" s="77"/>
      <c r="P176" s="81"/>
      <c r="Q176" s="80"/>
    </row>
    <row r="177" ht="15.75" customHeight="1">
      <c r="A177" s="77"/>
      <c r="B177" s="77"/>
      <c r="C177" s="78"/>
      <c r="D177" s="78"/>
      <c r="E177" s="79"/>
      <c r="F177" s="77"/>
      <c r="G177" s="77"/>
      <c r="H177" s="77"/>
      <c r="I177" s="77"/>
      <c r="J177" s="77"/>
      <c r="K177" s="77"/>
      <c r="L177" s="81"/>
      <c r="M177" s="81"/>
      <c r="N177" s="85"/>
      <c r="O177" s="77"/>
      <c r="P177" s="81"/>
      <c r="Q177" s="80"/>
    </row>
    <row r="178" ht="15.75" customHeight="1">
      <c r="A178" s="77"/>
      <c r="B178" s="77"/>
      <c r="C178" s="78"/>
      <c r="D178" s="78"/>
      <c r="E178" s="79"/>
      <c r="F178" s="77"/>
      <c r="G178" s="77"/>
      <c r="H178" s="77"/>
      <c r="I178" s="77"/>
      <c r="J178" s="77"/>
      <c r="K178" s="77"/>
      <c r="L178" s="81"/>
      <c r="M178" s="81"/>
      <c r="N178" s="85"/>
      <c r="O178" s="77"/>
      <c r="P178" s="81"/>
      <c r="Q178" s="80"/>
    </row>
    <row r="179" ht="15.75" customHeight="1">
      <c r="A179" s="77"/>
      <c r="B179" s="77"/>
      <c r="C179" s="78"/>
      <c r="D179" s="78"/>
      <c r="E179" s="79"/>
      <c r="F179" s="77"/>
      <c r="G179" s="77"/>
      <c r="H179" s="77"/>
      <c r="I179" s="77"/>
      <c r="J179" s="77"/>
      <c r="K179" s="77"/>
      <c r="L179" s="82"/>
      <c r="M179" s="81"/>
      <c r="N179" s="85"/>
      <c r="O179" s="77"/>
      <c r="P179" s="81"/>
      <c r="Q179" s="80"/>
    </row>
    <row r="180" ht="15.75" customHeight="1">
      <c r="A180" s="77"/>
      <c r="B180" s="77"/>
      <c r="C180" s="78"/>
      <c r="D180" s="78"/>
      <c r="E180" s="79"/>
      <c r="F180" s="77"/>
      <c r="G180" s="77"/>
      <c r="H180" s="77"/>
      <c r="I180" s="77"/>
      <c r="J180" s="77"/>
      <c r="K180" s="77"/>
      <c r="L180" s="81"/>
      <c r="M180" s="81"/>
      <c r="N180" s="85"/>
      <c r="O180" s="77"/>
      <c r="P180" s="81"/>
      <c r="Q180" s="80"/>
    </row>
    <row r="181" ht="15.75" customHeight="1">
      <c r="A181" s="77"/>
      <c r="B181" s="77"/>
      <c r="C181" s="78"/>
      <c r="D181" s="78"/>
      <c r="E181" s="79"/>
      <c r="F181" s="77"/>
      <c r="G181" s="77"/>
      <c r="H181" s="77"/>
      <c r="I181" s="77"/>
      <c r="J181" s="77"/>
      <c r="K181" s="77"/>
      <c r="L181" s="81"/>
      <c r="M181" s="81"/>
      <c r="N181" s="85"/>
      <c r="O181" s="77"/>
      <c r="P181" s="81"/>
      <c r="Q181" s="80"/>
    </row>
    <row r="182" ht="15.75" customHeight="1">
      <c r="A182" s="77"/>
      <c r="B182" s="77"/>
      <c r="C182" s="78"/>
      <c r="D182" s="78"/>
      <c r="E182" s="79"/>
      <c r="F182" s="77"/>
      <c r="G182" s="77"/>
      <c r="H182" s="77"/>
      <c r="I182" s="77"/>
      <c r="J182" s="77"/>
      <c r="K182" s="77"/>
      <c r="L182" s="81"/>
      <c r="M182" s="81"/>
      <c r="N182" s="85"/>
      <c r="O182" s="77"/>
      <c r="P182" s="81"/>
      <c r="Q182" s="80"/>
    </row>
    <row r="183" ht="15.75" customHeight="1">
      <c r="A183" s="77"/>
      <c r="B183" s="77"/>
      <c r="C183" s="78"/>
      <c r="D183" s="78"/>
      <c r="E183" s="79"/>
      <c r="F183" s="77"/>
      <c r="G183" s="77"/>
      <c r="H183" s="77"/>
      <c r="I183" s="77"/>
      <c r="J183" s="77"/>
      <c r="K183" s="77"/>
      <c r="L183" s="81"/>
      <c r="M183" s="81"/>
      <c r="N183" s="85"/>
      <c r="O183" s="77"/>
      <c r="P183" s="81"/>
      <c r="Q183" s="80"/>
    </row>
    <row r="184" ht="15.75" customHeight="1">
      <c r="A184" s="77"/>
      <c r="B184" s="77"/>
      <c r="C184" s="78"/>
      <c r="D184" s="78"/>
      <c r="E184" s="79"/>
      <c r="F184" s="77"/>
      <c r="G184" s="77"/>
      <c r="H184" s="77"/>
      <c r="I184" s="77"/>
      <c r="J184" s="77"/>
      <c r="K184" s="77"/>
      <c r="L184" s="82"/>
      <c r="M184" s="81"/>
      <c r="N184" s="85"/>
      <c r="O184" s="77"/>
      <c r="P184" s="81"/>
      <c r="Q184" s="80"/>
    </row>
    <row r="185" ht="15.75" customHeight="1">
      <c r="A185" s="77"/>
      <c r="B185" s="77"/>
      <c r="C185" s="78"/>
      <c r="D185" s="78"/>
      <c r="E185" s="79"/>
      <c r="F185" s="77"/>
      <c r="G185" s="77"/>
      <c r="H185" s="77"/>
      <c r="I185" s="77"/>
      <c r="J185" s="77"/>
      <c r="K185" s="77"/>
      <c r="L185" s="81"/>
      <c r="M185" s="81"/>
      <c r="N185" s="85"/>
      <c r="O185" s="77"/>
      <c r="P185" s="81"/>
      <c r="Q185" s="80"/>
    </row>
    <row r="186" ht="15.75" customHeight="1">
      <c r="A186" s="77"/>
      <c r="B186" s="77"/>
      <c r="C186" s="78"/>
      <c r="D186" s="78"/>
      <c r="E186" s="79"/>
      <c r="F186" s="77"/>
      <c r="G186" s="77"/>
      <c r="H186" s="77"/>
      <c r="I186" s="77"/>
      <c r="J186" s="77"/>
      <c r="K186" s="77"/>
      <c r="L186" s="81"/>
      <c r="M186" s="81"/>
      <c r="N186" s="85"/>
      <c r="O186" s="77"/>
      <c r="P186" s="81"/>
      <c r="Q186" s="80"/>
    </row>
    <row r="187" ht="15.75" customHeight="1">
      <c r="A187" s="77"/>
      <c r="B187" s="77"/>
      <c r="C187" s="78"/>
      <c r="D187" s="78"/>
      <c r="E187" s="79"/>
      <c r="F187" s="77"/>
      <c r="G187" s="77"/>
      <c r="H187" s="77"/>
      <c r="I187" s="77"/>
      <c r="J187" s="77"/>
      <c r="K187" s="77"/>
      <c r="L187" s="82"/>
      <c r="M187" s="81"/>
      <c r="N187" s="85"/>
      <c r="O187" s="77"/>
      <c r="P187" s="81"/>
      <c r="Q187" s="80"/>
    </row>
    <row r="188" ht="15.75" customHeight="1">
      <c r="A188" s="77"/>
      <c r="B188" s="77"/>
      <c r="C188" s="78"/>
      <c r="D188" s="78"/>
      <c r="E188" s="79"/>
      <c r="F188" s="77"/>
      <c r="G188" s="77"/>
      <c r="H188" s="77"/>
      <c r="I188" s="77"/>
      <c r="J188" s="77"/>
      <c r="K188" s="77"/>
      <c r="L188" s="81"/>
      <c r="M188" s="81"/>
      <c r="N188" s="85"/>
      <c r="O188" s="77"/>
      <c r="P188" s="81"/>
      <c r="Q188" s="80"/>
    </row>
    <row r="189" ht="15.75" customHeight="1">
      <c r="A189" s="77"/>
      <c r="B189" s="77"/>
      <c r="C189" s="78"/>
      <c r="D189" s="78"/>
      <c r="E189" s="79"/>
      <c r="F189" s="77"/>
      <c r="G189" s="77"/>
      <c r="H189" s="77"/>
      <c r="I189" s="77"/>
      <c r="J189" s="77"/>
      <c r="K189" s="77"/>
      <c r="L189" s="81"/>
      <c r="M189" s="81"/>
      <c r="N189" s="85"/>
      <c r="O189" s="77"/>
      <c r="P189" s="81"/>
      <c r="Q189" s="80"/>
    </row>
    <row r="190" ht="15.75" customHeight="1">
      <c r="A190" s="77"/>
      <c r="B190" s="77"/>
      <c r="C190" s="78"/>
      <c r="D190" s="78"/>
      <c r="E190" s="79"/>
      <c r="F190" s="77"/>
      <c r="G190" s="77"/>
      <c r="H190" s="77"/>
      <c r="I190" s="77"/>
      <c r="J190" s="77"/>
      <c r="K190" s="77"/>
      <c r="L190" s="81"/>
      <c r="M190" s="81"/>
      <c r="N190" s="85"/>
      <c r="O190" s="77"/>
      <c r="P190" s="81"/>
      <c r="Q190" s="80"/>
    </row>
    <row r="191" ht="15.75" customHeight="1">
      <c r="A191" s="77"/>
      <c r="B191" s="77"/>
      <c r="C191" s="78"/>
      <c r="D191" s="78"/>
      <c r="E191" s="79"/>
      <c r="F191" s="77"/>
      <c r="G191" s="77"/>
      <c r="H191" s="77"/>
      <c r="I191" s="77"/>
      <c r="J191" s="77"/>
      <c r="K191" s="77"/>
      <c r="L191" s="81"/>
      <c r="M191" s="81"/>
      <c r="N191" s="85"/>
      <c r="O191" s="77"/>
      <c r="P191" s="81"/>
      <c r="Q191" s="80"/>
    </row>
    <row r="192" ht="15.75" customHeight="1">
      <c r="A192" s="77"/>
      <c r="B192" s="77"/>
      <c r="C192" s="78"/>
      <c r="D192" s="78"/>
      <c r="E192" s="79"/>
      <c r="F192" s="77"/>
      <c r="G192" s="77"/>
      <c r="H192" s="77"/>
      <c r="I192" s="77"/>
      <c r="J192" s="77"/>
      <c r="K192" s="77"/>
      <c r="L192" s="81"/>
      <c r="M192" s="81"/>
      <c r="N192" s="85"/>
      <c r="O192" s="77"/>
      <c r="P192" s="81"/>
      <c r="Q192" s="80"/>
    </row>
    <row r="193" ht="15.75" customHeight="1">
      <c r="A193" s="77"/>
      <c r="B193" s="77"/>
      <c r="C193" s="78"/>
      <c r="D193" s="78"/>
      <c r="E193" s="79"/>
      <c r="F193" s="77"/>
      <c r="G193" s="77"/>
      <c r="H193" s="77"/>
      <c r="I193" s="77"/>
      <c r="J193" s="77"/>
      <c r="K193" s="77"/>
      <c r="L193" s="81"/>
      <c r="M193" s="81"/>
      <c r="N193" s="85"/>
      <c r="O193" s="77"/>
      <c r="P193" s="81"/>
      <c r="Q193" s="80"/>
    </row>
    <row r="194" ht="15.75" customHeight="1">
      <c r="A194" s="77"/>
      <c r="B194" s="77"/>
      <c r="C194" s="78"/>
      <c r="D194" s="78"/>
      <c r="E194" s="79"/>
      <c r="F194" s="77"/>
      <c r="G194" s="77"/>
      <c r="H194" s="77"/>
      <c r="I194" s="77"/>
      <c r="J194" s="77"/>
      <c r="K194" s="77"/>
      <c r="L194" s="82"/>
      <c r="M194" s="81"/>
      <c r="N194" s="85"/>
      <c r="O194" s="77"/>
      <c r="P194" s="81"/>
      <c r="Q194" s="80"/>
    </row>
    <row r="195" ht="15.75" customHeight="1">
      <c r="A195" s="77"/>
      <c r="B195" s="77"/>
      <c r="C195" s="78"/>
      <c r="D195" s="78"/>
      <c r="E195" s="79"/>
      <c r="F195" s="77"/>
      <c r="G195" s="77"/>
      <c r="H195" s="77"/>
      <c r="I195" s="77"/>
      <c r="J195" s="77"/>
      <c r="K195" s="77"/>
      <c r="L195" s="81"/>
      <c r="M195" s="81"/>
      <c r="N195" s="85"/>
      <c r="O195" s="77"/>
      <c r="P195" s="81"/>
      <c r="Q195" s="80"/>
    </row>
    <row r="196" ht="15.75" customHeight="1">
      <c r="A196" s="77"/>
      <c r="B196" s="77"/>
      <c r="C196" s="78"/>
      <c r="D196" s="78"/>
      <c r="E196" s="79"/>
      <c r="F196" s="77"/>
      <c r="G196" s="77"/>
      <c r="H196" s="77"/>
      <c r="I196" s="77"/>
      <c r="J196" s="77"/>
      <c r="K196" s="77"/>
      <c r="L196" s="81"/>
      <c r="M196" s="81"/>
      <c r="N196" s="85"/>
      <c r="O196" s="77"/>
      <c r="P196" s="81"/>
      <c r="Q196" s="80"/>
    </row>
    <row r="197" ht="15.75" customHeight="1">
      <c r="A197" s="77"/>
      <c r="B197" s="77"/>
      <c r="C197" s="78"/>
      <c r="D197" s="78"/>
      <c r="E197" s="79"/>
      <c r="F197" s="77"/>
      <c r="G197" s="77"/>
      <c r="H197" s="77"/>
      <c r="I197" s="77"/>
      <c r="J197" s="77"/>
      <c r="K197" s="77"/>
      <c r="L197" s="81"/>
      <c r="M197" s="81"/>
      <c r="N197" s="85"/>
      <c r="O197" s="77"/>
      <c r="P197" s="81"/>
      <c r="Q197" s="80"/>
    </row>
    <row r="198" ht="15.75" customHeight="1">
      <c r="A198" s="77"/>
      <c r="B198" s="77"/>
      <c r="C198" s="78"/>
      <c r="D198" s="78"/>
      <c r="E198" s="79"/>
      <c r="F198" s="77"/>
      <c r="G198" s="77"/>
      <c r="H198" s="77"/>
      <c r="I198" s="77"/>
      <c r="J198" s="77"/>
      <c r="K198" s="77"/>
      <c r="L198" s="81"/>
      <c r="M198" s="81"/>
      <c r="N198" s="85"/>
      <c r="O198" s="77"/>
      <c r="P198" s="81"/>
      <c r="Q198" s="80"/>
    </row>
    <row r="199" ht="15.75" customHeight="1">
      <c r="A199" s="77"/>
      <c r="B199" s="77"/>
      <c r="C199" s="78"/>
      <c r="D199" s="78"/>
      <c r="E199" s="79"/>
      <c r="F199" s="77"/>
      <c r="G199" s="77"/>
      <c r="H199" s="77"/>
      <c r="I199" s="77"/>
      <c r="J199" s="77"/>
      <c r="K199" s="77"/>
      <c r="L199" s="81"/>
      <c r="M199" s="81"/>
      <c r="N199" s="85"/>
      <c r="O199" s="77"/>
      <c r="P199" s="81"/>
      <c r="Q199" s="80"/>
    </row>
    <row r="200" ht="15.75" customHeight="1">
      <c r="A200" s="77"/>
      <c r="B200" s="77"/>
      <c r="C200" s="78"/>
      <c r="D200" s="78"/>
      <c r="E200" s="79"/>
      <c r="F200" s="77"/>
      <c r="G200" s="77"/>
      <c r="H200" s="77"/>
      <c r="I200" s="77"/>
      <c r="J200" s="77"/>
      <c r="K200" s="77"/>
      <c r="L200" s="81"/>
      <c r="M200" s="81"/>
      <c r="N200" s="85"/>
      <c r="O200" s="77"/>
      <c r="P200" s="81"/>
      <c r="Q200" s="80"/>
    </row>
    <row r="201" ht="15.75" customHeight="1">
      <c r="A201" s="77"/>
      <c r="B201" s="77"/>
      <c r="C201" s="78"/>
      <c r="D201" s="78"/>
      <c r="E201" s="79"/>
      <c r="F201" s="77"/>
      <c r="G201" s="77"/>
      <c r="H201" s="77"/>
      <c r="I201" s="77"/>
      <c r="J201" s="77"/>
      <c r="K201" s="77"/>
      <c r="L201" s="81"/>
      <c r="M201" s="81"/>
      <c r="N201" s="85"/>
      <c r="O201" s="77"/>
      <c r="P201" s="81"/>
      <c r="Q201" s="80"/>
    </row>
    <row r="202" ht="15.75" customHeight="1">
      <c r="A202" s="77"/>
      <c r="B202" s="77"/>
      <c r="C202" s="78"/>
      <c r="D202" s="78"/>
      <c r="E202" s="79"/>
      <c r="F202" s="77"/>
      <c r="G202" s="77"/>
      <c r="H202" s="77"/>
      <c r="I202" s="77"/>
      <c r="J202" s="77"/>
      <c r="K202" s="77"/>
      <c r="L202" s="81"/>
      <c r="M202" s="81"/>
      <c r="N202" s="85"/>
      <c r="O202" s="77"/>
      <c r="P202" s="81"/>
      <c r="Q202" s="80"/>
    </row>
    <row r="203" ht="15.75" customHeight="1">
      <c r="A203" s="77"/>
      <c r="B203" s="77"/>
      <c r="C203" s="78"/>
      <c r="D203" s="78"/>
      <c r="E203" s="84"/>
      <c r="F203" s="77"/>
      <c r="G203" s="77"/>
      <c r="H203" s="77"/>
      <c r="I203" s="77"/>
      <c r="J203" s="77"/>
      <c r="K203" s="77"/>
      <c r="L203" s="81"/>
      <c r="M203" s="81"/>
      <c r="N203" s="85"/>
      <c r="O203" s="77"/>
      <c r="P203" s="81"/>
      <c r="Q203" s="80"/>
    </row>
    <row r="204" ht="15.75" customHeight="1">
      <c r="A204" s="77"/>
      <c r="B204" s="77"/>
      <c r="C204" s="78"/>
      <c r="D204" s="78"/>
      <c r="E204" s="84"/>
      <c r="F204" s="77"/>
      <c r="G204" s="77"/>
      <c r="H204" s="77"/>
      <c r="I204" s="77"/>
      <c r="J204" s="77"/>
      <c r="K204" s="77"/>
      <c r="L204" s="77"/>
      <c r="M204" s="81"/>
      <c r="N204" s="85"/>
      <c r="O204" s="77"/>
      <c r="P204" s="81"/>
      <c r="Q204" s="80"/>
    </row>
    <row r="205" ht="15.75" customHeight="1">
      <c r="A205" s="77"/>
      <c r="B205" s="77"/>
      <c r="C205" s="78"/>
      <c r="D205" s="78"/>
      <c r="E205" s="84"/>
      <c r="F205" s="77"/>
      <c r="G205" s="77"/>
      <c r="H205" s="77"/>
      <c r="I205" s="77"/>
      <c r="J205" s="77"/>
      <c r="K205" s="77"/>
      <c r="L205" s="81"/>
      <c r="M205" s="81"/>
      <c r="N205" s="85"/>
      <c r="O205" s="77"/>
      <c r="P205" s="81"/>
      <c r="Q205" s="80"/>
    </row>
    <row r="206" ht="15.75" customHeight="1">
      <c r="A206" s="77"/>
      <c r="B206" s="77"/>
      <c r="C206" s="78"/>
      <c r="D206" s="78"/>
      <c r="E206" s="84"/>
      <c r="F206" s="77"/>
      <c r="G206" s="77"/>
      <c r="H206" s="77"/>
      <c r="I206" s="77"/>
      <c r="J206" s="77"/>
      <c r="K206" s="77"/>
      <c r="L206" s="81"/>
      <c r="M206" s="81"/>
      <c r="N206" s="85"/>
      <c r="O206" s="77"/>
      <c r="P206" s="81"/>
      <c r="Q206" s="80"/>
    </row>
    <row r="207" ht="15.75" customHeight="1">
      <c r="A207" s="77"/>
      <c r="B207" s="77"/>
      <c r="C207" s="78"/>
      <c r="D207" s="78"/>
      <c r="E207" s="84"/>
      <c r="F207" s="77"/>
      <c r="G207" s="77"/>
      <c r="H207" s="77"/>
      <c r="I207" s="77"/>
      <c r="J207" s="77"/>
      <c r="K207" s="77"/>
      <c r="L207" s="81"/>
      <c r="M207" s="81"/>
      <c r="N207" s="85"/>
      <c r="O207" s="77"/>
      <c r="P207" s="81"/>
      <c r="Q207" s="80"/>
    </row>
    <row r="208" ht="15.75" customHeight="1">
      <c r="A208" s="77"/>
      <c r="B208" s="77"/>
      <c r="C208" s="78"/>
      <c r="D208" s="78"/>
      <c r="E208" s="84"/>
      <c r="F208" s="77"/>
      <c r="G208" s="77"/>
      <c r="H208" s="77"/>
      <c r="I208" s="77"/>
      <c r="J208" s="77"/>
      <c r="K208" s="77"/>
      <c r="L208" s="81"/>
      <c r="M208" s="81"/>
      <c r="N208" s="85"/>
      <c r="O208" s="77"/>
      <c r="P208" s="81"/>
      <c r="Q208" s="80"/>
    </row>
    <row r="209" ht="15.75" customHeight="1">
      <c r="A209" s="77"/>
      <c r="B209" s="77"/>
      <c r="C209" s="78"/>
      <c r="D209" s="78"/>
      <c r="E209" s="84"/>
      <c r="F209" s="77"/>
      <c r="G209" s="77"/>
      <c r="H209" s="77"/>
      <c r="I209" s="77"/>
      <c r="J209" s="77"/>
      <c r="K209" s="77"/>
      <c r="L209" s="81"/>
      <c r="M209" s="81"/>
      <c r="N209" s="85"/>
      <c r="O209" s="77"/>
      <c r="P209" s="81"/>
      <c r="Q209" s="80"/>
    </row>
    <row r="210" ht="15.75" customHeight="1">
      <c r="A210" s="77"/>
      <c r="B210" s="77"/>
      <c r="C210" s="78"/>
      <c r="D210" s="78"/>
      <c r="E210" s="84"/>
      <c r="F210" s="77"/>
      <c r="G210" s="77"/>
      <c r="H210" s="77"/>
      <c r="I210" s="77"/>
      <c r="J210" s="77"/>
      <c r="K210" s="77"/>
      <c r="L210" s="77"/>
      <c r="M210" s="81"/>
      <c r="N210" s="85"/>
      <c r="O210" s="77"/>
      <c r="P210" s="81"/>
      <c r="Q210" s="80"/>
    </row>
    <row r="211" ht="15.75" customHeight="1">
      <c r="A211" s="77"/>
      <c r="B211" s="77"/>
      <c r="C211" s="78"/>
      <c r="D211" s="78"/>
      <c r="E211" s="84"/>
      <c r="F211" s="77"/>
      <c r="G211" s="77"/>
      <c r="H211" s="77"/>
      <c r="I211" s="77"/>
      <c r="J211" s="77"/>
      <c r="K211" s="77"/>
      <c r="L211" s="81"/>
      <c r="M211" s="81"/>
      <c r="N211" s="85"/>
      <c r="O211" s="77"/>
      <c r="P211" s="81"/>
      <c r="Q211" s="80"/>
    </row>
    <row r="212" ht="15.75" customHeight="1">
      <c r="A212" s="77"/>
      <c r="B212" s="77"/>
      <c r="C212" s="78"/>
      <c r="D212" s="78"/>
      <c r="E212" s="84"/>
      <c r="F212" s="77"/>
      <c r="G212" s="77"/>
      <c r="H212" s="77"/>
      <c r="I212" s="77"/>
      <c r="J212" s="77"/>
      <c r="K212" s="77"/>
      <c r="L212" s="81"/>
      <c r="M212" s="81"/>
      <c r="N212" s="85"/>
      <c r="O212" s="77"/>
      <c r="P212" s="81"/>
      <c r="Q212" s="80"/>
    </row>
    <row r="213" ht="15.75" customHeight="1">
      <c r="A213" s="77"/>
      <c r="B213" s="77"/>
      <c r="C213" s="78"/>
      <c r="D213" s="78"/>
      <c r="E213" s="84"/>
      <c r="F213" s="77"/>
      <c r="G213" s="77"/>
      <c r="H213" s="77"/>
      <c r="I213" s="77"/>
      <c r="J213" s="77"/>
      <c r="K213" s="77"/>
      <c r="L213" s="81"/>
      <c r="M213" s="81"/>
      <c r="N213" s="85"/>
      <c r="O213" s="77"/>
      <c r="P213" s="81"/>
      <c r="Q213" s="80"/>
    </row>
    <row r="214" ht="15.75" customHeight="1">
      <c r="A214" s="77"/>
      <c r="B214" s="77"/>
      <c r="C214" s="78"/>
      <c r="D214" s="78"/>
      <c r="E214" s="84"/>
      <c r="F214" s="77"/>
      <c r="G214" s="77"/>
      <c r="H214" s="77"/>
      <c r="I214" s="77"/>
      <c r="J214" s="77"/>
      <c r="K214" s="77"/>
      <c r="L214" s="81"/>
      <c r="M214" s="81"/>
      <c r="N214" s="85"/>
      <c r="O214" s="77"/>
      <c r="P214" s="81"/>
      <c r="Q214" s="80"/>
    </row>
    <row r="215" ht="15.75" customHeight="1">
      <c r="A215" s="77"/>
      <c r="B215" s="77"/>
      <c r="C215" s="78"/>
      <c r="D215" s="78"/>
      <c r="E215" s="84"/>
      <c r="F215" s="77"/>
      <c r="G215" s="77"/>
      <c r="H215" s="77"/>
      <c r="I215" s="77"/>
      <c r="J215" s="77"/>
      <c r="K215" s="77"/>
      <c r="L215" s="81"/>
      <c r="M215" s="81"/>
      <c r="N215" s="85"/>
      <c r="O215" s="77"/>
      <c r="P215" s="81"/>
      <c r="Q215" s="80"/>
    </row>
    <row r="216" ht="15.75" customHeight="1">
      <c r="A216" s="77"/>
      <c r="B216" s="77"/>
      <c r="C216" s="78"/>
      <c r="D216" s="78"/>
      <c r="E216" s="84"/>
      <c r="F216" s="77"/>
      <c r="G216" s="77"/>
      <c r="H216" s="77"/>
      <c r="I216" s="77"/>
      <c r="J216" s="77"/>
      <c r="K216" s="77"/>
      <c r="L216" s="81"/>
      <c r="M216" s="81"/>
      <c r="N216" s="85"/>
      <c r="O216" s="77"/>
      <c r="P216" s="81"/>
      <c r="Q216" s="80"/>
    </row>
    <row r="217" ht="15.75" customHeight="1">
      <c r="A217" s="77"/>
      <c r="B217" s="77"/>
      <c r="C217" s="78"/>
      <c r="D217" s="78"/>
      <c r="E217" s="84"/>
      <c r="F217" s="77"/>
      <c r="G217" s="77"/>
      <c r="H217" s="77"/>
      <c r="I217" s="77"/>
      <c r="J217" s="77"/>
      <c r="K217" s="77"/>
      <c r="L217" s="81"/>
      <c r="M217" s="81"/>
      <c r="N217" s="85"/>
      <c r="O217" s="77"/>
      <c r="P217" s="81"/>
      <c r="Q217" s="80"/>
    </row>
    <row r="218" ht="15.75" customHeight="1">
      <c r="A218" s="77"/>
      <c r="B218" s="77"/>
      <c r="C218" s="78"/>
      <c r="D218" s="78"/>
      <c r="E218" s="84"/>
      <c r="F218" s="77"/>
      <c r="G218" s="77"/>
      <c r="H218" s="77"/>
      <c r="I218" s="77"/>
      <c r="J218" s="77"/>
      <c r="K218" s="77"/>
      <c r="L218" s="81"/>
      <c r="M218" s="81"/>
      <c r="N218" s="85"/>
      <c r="O218" s="77"/>
      <c r="P218" s="81"/>
      <c r="Q218" s="80"/>
    </row>
    <row r="219" ht="15.75" customHeight="1">
      <c r="A219" s="77"/>
      <c r="B219" s="77"/>
      <c r="C219" s="78"/>
      <c r="D219" s="78"/>
      <c r="E219" s="84"/>
      <c r="F219" s="77"/>
      <c r="G219" s="77"/>
      <c r="H219" s="77"/>
      <c r="I219" s="77"/>
      <c r="J219" s="77"/>
      <c r="K219" s="77"/>
      <c r="L219" s="81"/>
      <c r="M219" s="81"/>
      <c r="N219" s="85"/>
      <c r="O219" s="77"/>
      <c r="P219" s="81"/>
      <c r="Q219" s="80"/>
    </row>
    <row r="220" ht="15.75" customHeight="1">
      <c r="A220" s="77"/>
      <c r="B220" s="77"/>
      <c r="C220" s="78"/>
      <c r="D220" s="78"/>
      <c r="E220" s="84"/>
      <c r="F220" s="77"/>
      <c r="G220" s="77"/>
      <c r="H220" s="77"/>
      <c r="I220" s="77"/>
      <c r="J220" s="77"/>
      <c r="K220" s="77"/>
      <c r="L220" s="82"/>
      <c r="M220" s="81"/>
      <c r="N220" s="85"/>
      <c r="O220" s="77"/>
      <c r="P220" s="81"/>
      <c r="Q220" s="80"/>
    </row>
    <row r="221" ht="15.75" customHeight="1">
      <c r="A221" s="77"/>
      <c r="B221" s="77"/>
      <c r="C221" s="78"/>
      <c r="D221" s="78"/>
      <c r="E221" s="84"/>
      <c r="F221" s="77"/>
      <c r="G221" s="77"/>
      <c r="H221" s="77"/>
      <c r="I221" s="77"/>
      <c r="J221" s="77"/>
      <c r="K221" s="77"/>
      <c r="L221" s="81"/>
      <c r="M221" s="81"/>
      <c r="N221" s="85"/>
      <c r="O221" s="77"/>
      <c r="P221" s="81"/>
      <c r="Q221" s="80"/>
    </row>
    <row r="222" ht="15.75" customHeight="1">
      <c r="A222" s="77"/>
      <c r="B222" s="77"/>
      <c r="C222" s="78"/>
      <c r="D222" s="78"/>
      <c r="E222" s="84"/>
      <c r="F222" s="77"/>
      <c r="G222" s="77"/>
      <c r="H222" s="77"/>
      <c r="I222" s="77"/>
      <c r="J222" s="77"/>
      <c r="K222" s="77"/>
      <c r="L222" s="82"/>
      <c r="M222" s="81"/>
      <c r="N222" s="85"/>
      <c r="O222" s="77"/>
      <c r="P222" s="81"/>
      <c r="Q222" s="80"/>
    </row>
    <row r="223" ht="15.75" customHeight="1">
      <c r="A223" s="77"/>
      <c r="B223" s="77"/>
      <c r="C223" s="78"/>
      <c r="D223" s="78"/>
      <c r="E223" s="84"/>
      <c r="F223" s="77"/>
      <c r="G223" s="77"/>
      <c r="H223" s="77"/>
      <c r="I223" s="77"/>
      <c r="J223" s="77"/>
      <c r="K223" s="77"/>
      <c r="L223" s="81"/>
      <c r="M223" s="81"/>
      <c r="N223" s="85"/>
      <c r="O223" s="77"/>
      <c r="P223" s="81"/>
      <c r="Q223" s="80"/>
    </row>
    <row r="224" ht="15.75" customHeight="1">
      <c r="A224" s="77"/>
      <c r="B224" s="77"/>
      <c r="C224" s="78"/>
      <c r="D224" s="78"/>
      <c r="E224" s="84"/>
      <c r="F224" s="77"/>
      <c r="G224" s="77"/>
      <c r="H224" s="77"/>
      <c r="I224" s="77"/>
      <c r="J224" s="77"/>
      <c r="K224" s="77"/>
      <c r="L224" s="81"/>
      <c r="M224" s="81"/>
      <c r="N224" s="85"/>
      <c r="O224" s="77"/>
      <c r="P224" s="81"/>
      <c r="Q224" s="80"/>
    </row>
    <row r="225" ht="15.75" customHeight="1">
      <c r="A225" s="77"/>
      <c r="B225" s="77"/>
      <c r="C225" s="78"/>
      <c r="D225" s="78"/>
      <c r="E225" s="84"/>
      <c r="F225" s="77"/>
      <c r="G225" s="77"/>
      <c r="H225" s="77"/>
      <c r="I225" s="77"/>
      <c r="J225" s="77"/>
      <c r="K225" s="77"/>
      <c r="L225" s="81"/>
      <c r="M225" s="81"/>
      <c r="N225" s="85"/>
      <c r="O225" s="77"/>
      <c r="P225" s="81"/>
      <c r="Q225" s="80"/>
    </row>
    <row r="226" ht="15.75" customHeight="1">
      <c r="A226" s="77"/>
      <c r="B226" s="77"/>
      <c r="C226" s="78"/>
      <c r="D226" s="78"/>
      <c r="E226" s="84"/>
      <c r="F226" s="77"/>
      <c r="G226" s="77"/>
      <c r="H226" s="77"/>
      <c r="I226" s="77"/>
      <c r="J226" s="77"/>
      <c r="K226" s="77"/>
      <c r="L226" s="81"/>
      <c r="M226" s="81"/>
      <c r="N226" s="85"/>
      <c r="O226" s="77"/>
      <c r="P226" s="81"/>
      <c r="Q226" s="80"/>
    </row>
    <row r="227" ht="15.75" customHeight="1">
      <c r="A227" s="77"/>
      <c r="B227" s="77"/>
      <c r="C227" s="78"/>
      <c r="D227" s="78"/>
      <c r="E227" s="84"/>
      <c r="F227" s="77"/>
      <c r="G227" s="77"/>
      <c r="H227" s="77"/>
      <c r="I227" s="77"/>
      <c r="J227" s="77"/>
      <c r="K227" s="77"/>
      <c r="L227" s="81"/>
      <c r="M227" s="81"/>
      <c r="N227" s="85"/>
      <c r="O227" s="77"/>
      <c r="P227" s="81"/>
      <c r="Q227" s="80"/>
    </row>
    <row r="228" ht="15.75" customHeight="1">
      <c r="A228" s="77"/>
      <c r="B228" s="77"/>
      <c r="C228" s="78"/>
      <c r="D228" s="78"/>
      <c r="E228" s="84"/>
      <c r="F228" s="77"/>
      <c r="G228" s="77"/>
      <c r="H228" s="77"/>
      <c r="I228" s="77"/>
      <c r="J228" s="77"/>
      <c r="K228" s="77"/>
      <c r="L228" s="81"/>
      <c r="M228" s="81"/>
      <c r="N228" s="85"/>
      <c r="O228" s="77"/>
      <c r="P228" s="81"/>
      <c r="Q228" s="80"/>
    </row>
    <row r="229" ht="15.75" customHeight="1">
      <c r="A229" s="77"/>
      <c r="B229" s="77"/>
      <c r="C229" s="78"/>
      <c r="D229" s="78"/>
      <c r="E229" s="84"/>
      <c r="F229" s="77"/>
      <c r="G229" s="77"/>
      <c r="H229" s="77"/>
      <c r="I229" s="77"/>
      <c r="J229" s="77"/>
      <c r="K229" s="77"/>
      <c r="L229" s="81"/>
      <c r="M229" s="81"/>
      <c r="N229" s="85"/>
      <c r="O229" s="77"/>
      <c r="P229" s="81"/>
      <c r="Q229" s="80"/>
    </row>
    <row r="230" ht="15.75" customHeight="1">
      <c r="A230" s="77"/>
      <c r="B230" s="77"/>
      <c r="C230" s="78"/>
      <c r="D230" s="78"/>
      <c r="E230" s="84"/>
      <c r="F230" s="77"/>
      <c r="G230" s="77"/>
      <c r="H230" s="77"/>
      <c r="I230" s="77"/>
      <c r="J230" s="77"/>
      <c r="K230" s="77"/>
      <c r="L230" s="81"/>
      <c r="M230" s="81"/>
      <c r="N230" s="85"/>
      <c r="O230" s="77"/>
      <c r="P230" s="81"/>
      <c r="Q230" s="80"/>
    </row>
    <row r="231" ht="15.75" customHeight="1">
      <c r="A231" s="77"/>
      <c r="B231" s="77"/>
      <c r="C231" s="78"/>
      <c r="D231" s="78"/>
      <c r="E231" s="84"/>
      <c r="F231" s="77"/>
      <c r="G231" s="77"/>
      <c r="H231" s="77"/>
      <c r="I231" s="77"/>
      <c r="J231" s="77"/>
      <c r="K231" s="77"/>
      <c r="L231" s="81"/>
      <c r="M231" s="81"/>
      <c r="N231" s="85"/>
      <c r="O231" s="77"/>
      <c r="P231" s="81"/>
      <c r="Q231" s="80"/>
    </row>
    <row r="232" ht="15.75" customHeight="1">
      <c r="A232" s="77"/>
      <c r="B232" s="77"/>
      <c r="C232" s="78"/>
      <c r="D232" s="78"/>
      <c r="E232" s="84"/>
      <c r="F232" s="77"/>
      <c r="G232" s="77"/>
      <c r="H232" s="77"/>
      <c r="I232" s="77"/>
      <c r="J232" s="77"/>
      <c r="K232" s="77"/>
      <c r="L232" s="81"/>
      <c r="M232" s="81"/>
      <c r="N232" s="85"/>
      <c r="O232" s="77"/>
      <c r="P232" s="81"/>
      <c r="Q232" s="80"/>
    </row>
    <row r="233" ht="15.75" customHeight="1">
      <c r="A233" s="77"/>
      <c r="B233" s="77"/>
      <c r="C233" s="78"/>
      <c r="D233" s="78"/>
      <c r="E233" s="84"/>
      <c r="F233" s="77"/>
      <c r="G233" s="77"/>
      <c r="H233" s="77"/>
      <c r="I233" s="77"/>
      <c r="J233" s="77"/>
      <c r="K233" s="77"/>
      <c r="L233" s="82"/>
      <c r="M233" s="81"/>
      <c r="N233" s="85"/>
      <c r="O233" s="77"/>
      <c r="P233" s="81"/>
      <c r="Q233" s="80"/>
    </row>
    <row r="234" ht="15.75" customHeight="1">
      <c r="A234" s="77"/>
      <c r="B234" s="77"/>
      <c r="C234" s="78"/>
      <c r="D234" s="78"/>
      <c r="E234" s="84"/>
      <c r="F234" s="77"/>
      <c r="G234" s="77"/>
      <c r="H234" s="77"/>
      <c r="I234" s="77"/>
      <c r="J234" s="77"/>
      <c r="K234" s="77"/>
      <c r="L234" s="77"/>
      <c r="M234" s="81"/>
      <c r="N234" s="85"/>
      <c r="O234" s="77"/>
      <c r="P234" s="81"/>
      <c r="Q234" s="80"/>
    </row>
    <row r="235" ht="15.75" customHeight="1">
      <c r="A235" s="77"/>
      <c r="B235" s="77"/>
      <c r="C235" s="78"/>
      <c r="D235" s="78"/>
      <c r="E235" s="84"/>
      <c r="F235" s="77"/>
      <c r="G235" s="77"/>
      <c r="H235" s="77"/>
      <c r="I235" s="77"/>
      <c r="J235" s="77"/>
      <c r="K235" s="77"/>
      <c r="L235" s="81"/>
      <c r="M235" s="81"/>
      <c r="N235" s="85"/>
      <c r="O235" s="77"/>
      <c r="P235" s="81"/>
      <c r="Q235" s="80"/>
    </row>
    <row r="236" ht="15.75" customHeight="1">
      <c r="A236" s="77"/>
      <c r="B236" s="77"/>
      <c r="C236" s="78"/>
      <c r="D236" s="78"/>
      <c r="E236" s="84"/>
      <c r="F236" s="77"/>
      <c r="G236" s="77"/>
      <c r="H236" s="77"/>
      <c r="I236" s="77"/>
      <c r="J236" s="77"/>
      <c r="K236" s="77"/>
      <c r="L236" s="81"/>
      <c r="M236" s="81"/>
      <c r="N236" s="85"/>
      <c r="O236" s="77"/>
      <c r="P236" s="81"/>
      <c r="Q236" s="80"/>
    </row>
    <row r="237" ht="15.75" customHeight="1">
      <c r="A237" s="77"/>
      <c r="B237" s="77"/>
      <c r="C237" s="78"/>
      <c r="D237" s="78"/>
      <c r="E237" s="84"/>
      <c r="F237" s="77"/>
      <c r="G237" s="77"/>
      <c r="H237" s="77"/>
      <c r="I237" s="77"/>
      <c r="J237" s="77"/>
      <c r="K237" s="77"/>
      <c r="L237" s="82"/>
      <c r="M237" s="81"/>
      <c r="N237" s="85"/>
      <c r="O237" s="77"/>
      <c r="P237" s="81"/>
      <c r="Q237" s="80"/>
    </row>
    <row r="238" ht="15.75" customHeight="1">
      <c r="A238" s="77"/>
      <c r="B238" s="77"/>
      <c r="C238" s="78"/>
      <c r="D238" s="78"/>
      <c r="E238" s="84"/>
      <c r="F238" s="77"/>
      <c r="G238" s="77"/>
      <c r="H238" s="77"/>
      <c r="I238" s="77"/>
      <c r="J238" s="77"/>
      <c r="K238" s="77"/>
      <c r="L238" s="81"/>
      <c r="M238" s="81"/>
      <c r="N238" s="85"/>
      <c r="O238" s="77"/>
      <c r="P238" s="81"/>
      <c r="Q238" s="80"/>
    </row>
    <row r="239" ht="15.75" customHeight="1">
      <c r="A239" s="77"/>
      <c r="B239" s="77"/>
      <c r="C239" s="78"/>
      <c r="D239" s="78"/>
      <c r="E239" s="84"/>
      <c r="F239" s="77"/>
      <c r="G239" s="77"/>
      <c r="H239" s="77"/>
      <c r="I239" s="77"/>
      <c r="J239" s="77"/>
      <c r="K239" s="77"/>
      <c r="L239" s="81"/>
      <c r="M239" s="81"/>
      <c r="N239" s="85"/>
      <c r="O239" s="77"/>
      <c r="P239" s="81"/>
      <c r="Q239" s="80"/>
    </row>
    <row r="240" ht="15.75" customHeight="1">
      <c r="A240" s="77"/>
      <c r="B240" s="77"/>
      <c r="C240" s="78"/>
      <c r="D240" s="78"/>
      <c r="E240" s="84"/>
      <c r="F240" s="77"/>
      <c r="G240" s="77"/>
      <c r="H240" s="77"/>
      <c r="I240" s="77"/>
      <c r="J240" s="77"/>
      <c r="K240" s="77"/>
      <c r="L240" s="81"/>
      <c r="M240" s="81"/>
      <c r="N240" s="85"/>
      <c r="O240" s="77"/>
      <c r="P240" s="81"/>
      <c r="Q240" s="80"/>
    </row>
    <row r="241" ht="15.75" customHeight="1">
      <c r="A241" s="77"/>
      <c r="B241" s="77"/>
      <c r="C241" s="78"/>
      <c r="D241" s="78"/>
      <c r="E241" s="84"/>
      <c r="F241" s="77"/>
      <c r="G241" s="77"/>
      <c r="H241" s="77"/>
      <c r="I241" s="77"/>
      <c r="J241" s="77"/>
      <c r="K241" s="77"/>
      <c r="L241" s="81"/>
      <c r="M241" s="81"/>
      <c r="N241" s="85"/>
      <c r="O241" s="77"/>
      <c r="P241" s="81"/>
      <c r="Q241" s="80"/>
    </row>
    <row r="242" ht="15.75" customHeight="1">
      <c r="A242" s="77"/>
      <c r="B242" s="77"/>
      <c r="C242" s="78"/>
      <c r="D242" s="78"/>
      <c r="E242" s="84"/>
      <c r="F242" s="77"/>
      <c r="G242" s="77"/>
      <c r="H242" s="77"/>
      <c r="I242" s="77"/>
      <c r="J242" s="77"/>
      <c r="K242" s="77"/>
      <c r="L242" s="81"/>
      <c r="M242" s="81"/>
      <c r="N242" s="85"/>
      <c r="O242" s="77"/>
      <c r="P242" s="81"/>
      <c r="Q242" s="80"/>
    </row>
    <row r="243" ht="15.75" customHeight="1">
      <c r="A243" s="77"/>
      <c r="B243" s="77"/>
      <c r="C243" s="78"/>
      <c r="D243" s="78"/>
      <c r="E243" s="84"/>
      <c r="F243" s="77"/>
      <c r="G243" s="77"/>
      <c r="H243" s="77"/>
      <c r="I243" s="77"/>
      <c r="J243" s="77"/>
      <c r="K243" s="77"/>
      <c r="L243" s="81"/>
      <c r="M243" s="81"/>
      <c r="N243" s="85"/>
      <c r="O243" s="77"/>
      <c r="P243" s="81"/>
      <c r="Q243" s="80"/>
    </row>
    <row r="244" ht="15.75" customHeight="1">
      <c r="A244" s="77"/>
      <c r="B244" s="77"/>
      <c r="C244" s="78"/>
      <c r="D244" s="78"/>
      <c r="E244" s="84"/>
      <c r="F244" s="77"/>
      <c r="G244" s="77"/>
      <c r="H244" s="77"/>
      <c r="I244" s="77"/>
      <c r="J244" s="77"/>
      <c r="K244" s="77"/>
      <c r="L244" s="81"/>
      <c r="M244" s="81"/>
      <c r="N244" s="85"/>
      <c r="O244" s="77"/>
      <c r="P244" s="81"/>
      <c r="Q244" s="80"/>
    </row>
    <row r="245" ht="15.75" customHeight="1">
      <c r="A245" s="77"/>
      <c r="B245" s="77"/>
      <c r="C245" s="78"/>
      <c r="D245" s="78"/>
      <c r="E245" s="84"/>
      <c r="F245" s="77"/>
      <c r="G245" s="77"/>
      <c r="H245" s="77"/>
      <c r="I245" s="77"/>
      <c r="J245" s="77"/>
      <c r="K245" s="77"/>
      <c r="L245" s="81"/>
      <c r="M245" s="81"/>
      <c r="N245" s="85"/>
      <c r="O245" s="77"/>
      <c r="P245" s="81"/>
      <c r="Q245" s="80"/>
    </row>
    <row r="246" ht="15.75" customHeight="1">
      <c r="A246" s="91"/>
      <c r="B246" s="77"/>
      <c r="C246" s="78"/>
      <c r="D246" s="78"/>
      <c r="E246" s="84"/>
      <c r="F246" s="77"/>
      <c r="G246" s="77"/>
      <c r="H246" s="77"/>
      <c r="I246" s="77"/>
      <c r="J246" s="77"/>
      <c r="K246" s="77"/>
      <c r="L246" s="81"/>
      <c r="M246" s="81"/>
      <c r="N246" s="85"/>
      <c r="O246" s="77"/>
      <c r="P246" s="81"/>
      <c r="Q246" s="80"/>
    </row>
  </sheetData>
  <mergeCells count="12">
    <mergeCell ref="E21:E29"/>
    <mergeCell ref="E34:E35"/>
    <mergeCell ref="G34:N34"/>
    <mergeCell ref="G43:N43"/>
    <mergeCell ref="C4:E4"/>
    <mergeCell ref="G4:J4"/>
    <mergeCell ref="G5:J5"/>
    <mergeCell ref="E6:E15"/>
    <mergeCell ref="H6:J6"/>
    <mergeCell ref="C19:E19"/>
    <mergeCell ref="C32:E32"/>
    <mergeCell ref="C37:D37"/>
  </mergeCells>
  <hyperlinks>
    <hyperlink r:id="rId1" ref="H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pageSetUpPr/>
  </sheetPr>
  <sheetViews>
    <sheetView showGridLines="0" workbookViewId="0"/>
  </sheetViews>
  <sheetFormatPr customHeight="1" defaultColWidth="12.63" defaultRowHeight="15.0"/>
  <cols>
    <col customWidth="1" min="1" max="1" width="39.63"/>
    <col customWidth="1" min="2" max="2" width="53.5"/>
    <col customWidth="1" min="3" max="3" width="27.5"/>
    <col customWidth="1" min="4" max="4" width="29.88"/>
    <col customWidth="1" min="5" max="5" width="21.38"/>
    <col customWidth="1" min="6" max="6" width="28.38"/>
    <col customWidth="1" min="7" max="8" width="21.0"/>
  </cols>
  <sheetData>
    <row r="1" ht="12.75" customHeight="1">
      <c r="A1" s="92" t="s">
        <v>52</v>
      </c>
      <c r="B1" s="93"/>
      <c r="C1" s="93"/>
      <c r="D1" s="93"/>
      <c r="E1" s="93"/>
      <c r="F1" s="93"/>
      <c r="G1" s="94"/>
      <c r="H1" s="94"/>
    </row>
    <row r="2" ht="12.75" customHeight="1">
      <c r="A2" s="95"/>
      <c r="G2" s="94"/>
      <c r="H2" s="94"/>
    </row>
    <row r="3" ht="12.75" customHeight="1">
      <c r="A3" s="95"/>
      <c r="G3" s="94"/>
      <c r="H3" s="94"/>
    </row>
    <row r="4" ht="12.75" customHeight="1">
      <c r="A4" s="96" t="s">
        <v>53</v>
      </c>
      <c r="B4" s="97">
        <f>'4. CISA - CASS Internal Rec'!E4</f>
        <v>46189</v>
      </c>
      <c r="C4" s="94"/>
      <c r="D4" s="94"/>
      <c r="E4" s="94"/>
      <c r="F4" s="94"/>
      <c r="G4" s="94"/>
      <c r="H4" s="94"/>
    </row>
    <row r="5" ht="12.75" customHeight="1">
      <c r="A5" s="98"/>
      <c r="B5" s="94"/>
      <c r="C5" s="94"/>
      <c r="D5" s="94"/>
      <c r="E5" s="94"/>
      <c r="F5" s="94"/>
      <c r="G5" s="94"/>
      <c r="H5" s="94"/>
    </row>
    <row r="6">
      <c r="A6" s="99" t="s">
        <v>54</v>
      </c>
      <c r="B6" s="5"/>
      <c r="C6" s="5"/>
      <c r="D6" s="5"/>
      <c r="E6" s="5"/>
      <c r="F6" s="6"/>
      <c r="G6" s="94"/>
      <c r="H6" s="94"/>
    </row>
    <row r="7" ht="12.75" customHeight="1">
      <c r="A7" s="100" t="s">
        <v>55</v>
      </c>
      <c r="B7" s="100" t="s">
        <v>56</v>
      </c>
      <c r="C7" s="100" t="s">
        <v>57</v>
      </c>
      <c r="D7" s="101" t="s">
        <v>58</v>
      </c>
      <c r="E7" s="100" t="s">
        <v>59</v>
      </c>
      <c r="F7" s="100" t="s">
        <v>60</v>
      </c>
      <c r="G7" s="94"/>
      <c r="H7" s="94"/>
    </row>
    <row r="8" ht="12.75" customHeight="1">
      <c r="A8" s="102" t="s">
        <v>61</v>
      </c>
      <c r="B8" s="103" t="s">
        <v>62</v>
      </c>
      <c r="C8" s="104">
        <f>'7. CISA External Workings'!I31</f>
        <v>176992857.2</v>
      </c>
      <c r="D8" s="104">
        <f>'7. CISA External Workings'!I30</f>
        <v>176021153.4</v>
      </c>
      <c r="E8" s="105">
        <f t="shared" ref="E8:E19" si="1">D8-C8</f>
        <v>-971703.8</v>
      </c>
      <c r="F8" s="106" t="s">
        <v>63</v>
      </c>
      <c r="G8" s="94"/>
      <c r="H8" s="94"/>
    </row>
    <row r="9" ht="24.0" customHeight="1">
      <c r="A9" s="102" t="s">
        <v>64</v>
      </c>
      <c r="B9" s="106" t="s">
        <v>65</v>
      </c>
      <c r="C9" s="104">
        <f>'7. CISA External Workings'!I36</f>
        <v>3959844.1</v>
      </c>
      <c r="D9" s="104">
        <f>'7. CISA External Workings'!I35</f>
        <v>3959844.1</v>
      </c>
      <c r="E9" s="105">
        <f t="shared" si="1"/>
        <v>0</v>
      </c>
      <c r="F9" s="106" t="s">
        <v>63</v>
      </c>
      <c r="G9" s="94"/>
      <c r="H9" s="94"/>
    </row>
    <row r="10" ht="12.75" customHeight="1">
      <c r="A10" s="102" t="s">
        <v>64</v>
      </c>
      <c r="B10" s="106" t="s">
        <v>66</v>
      </c>
      <c r="C10" s="104">
        <f>'7. CISA External Workings'!I41</f>
        <v>747535672</v>
      </c>
      <c r="D10" s="104">
        <f>'7. CISA External Workings'!I40</f>
        <v>747535672</v>
      </c>
      <c r="E10" s="105">
        <f t="shared" si="1"/>
        <v>0</v>
      </c>
      <c r="F10" s="106" t="s">
        <v>63</v>
      </c>
      <c r="G10" s="94"/>
      <c r="H10" s="94"/>
    </row>
    <row r="11" ht="12.75" customHeight="1">
      <c r="A11" s="102" t="s">
        <v>67</v>
      </c>
      <c r="B11" s="107" t="s">
        <v>68</v>
      </c>
      <c r="C11" s="104">
        <f>'7. CISA External Workings'!I46</f>
        <v>1168000000</v>
      </c>
      <c r="D11" s="104">
        <f>'7. CISA External Workings'!I45</f>
        <v>1168000000</v>
      </c>
      <c r="E11" s="105">
        <f t="shared" si="1"/>
        <v>0</v>
      </c>
      <c r="F11" s="106" t="s">
        <v>63</v>
      </c>
      <c r="G11" s="94"/>
      <c r="H11" s="94"/>
    </row>
    <row r="12" ht="12.75" customHeight="1">
      <c r="A12" s="102" t="s">
        <v>69</v>
      </c>
      <c r="B12" s="106" t="s">
        <v>70</v>
      </c>
      <c r="C12" s="104">
        <f>'7. CISA External Workings'!I56</f>
        <v>0</v>
      </c>
      <c r="D12" s="104">
        <f>'7. CISA External Workings'!I55</f>
        <v>0</v>
      </c>
      <c r="E12" s="105">
        <f t="shared" si="1"/>
        <v>0</v>
      </c>
      <c r="F12" s="106" t="s">
        <v>63</v>
      </c>
      <c r="G12" s="94"/>
      <c r="H12" s="94"/>
    </row>
    <row r="13" ht="12.75" customHeight="1">
      <c r="A13" s="102" t="s">
        <v>71</v>
      </c>
      <c r="B13" s="106" t="s">
        <v>72</v>
      </c>
      <c r="C13" s="104">
        <f>'7. CISA External Workings'!I61</f>
        <v>294960631.1</v>
      </c>
      <c r="D13" s="104">
        <f>'7. CISA External Workings'!I60</f>
        <v>294960631.1</v>
      </c>
      <c r="E13" s="105">
        <f t="shared" si="1"/>
        <v>0</v>
      </c>
      <c r="F13" s="106" t="s">
        <v>63</v>
      </c>
      <c r="G13" s="94"/>
      <c r="H13" s="94"/>
    </row>
    <row r="14" ht="12.75" customHeight="1">
      <c r="A14" s="102" t="s">
        <v>73</v>
      </c>
      <c r="B14" s="106" t="s">
        <v>74</v>
      </c>
      <c r="C14" s="104">
        <f>'7. CISA External Workings'!I66</f>
        <v>0</v>
      </c>
      <c r="D14" s="104">
        <f>'7. CISA External Workings'!I65</f>
        <v>0</v>
      </c>
      <c r="E14" s="105">
        <f t="shared" si="1"/>
        <v>0</v>
      </c>
      <c r="F14" s="106" t="s">
        <v>63</v>
      </c>
      <c r="G14" s="94"/>
      <c r="H14" s="94"/>
    </row>
    <row r="15" ht="12.75" customHeight="1">
      <c r="A15" s="102" t="s">
        <v>75</v>
      </c>
      <c r="B15" s="106" t="s">
        <v>76</v>
      </c>
      <c r="C15" s="104">
        <f>'7. CISA External Workings'!I71</f>
        <v>0</v>
      </c>
      <c r="D15" s="104">
        <f>'7. CISA External Workings'!I70</f>
        <v>0</v>
      </c>
      <c r="E15" s="105">
        <f t="shared" si="1"/>
        <v>0</v>
      </c>
      <c r="F15" s="106" t="s">
        <v>63</v>
      </c>
      <c r="G15" s="94"/>
      <c r="H15" s="94"/>
    </row>
    <row r="16" ht="12.75" customHeight="1">
      <c r="A16" s="102" t="s">
        <v>75</v>
      </c>
      <c r="B16" s="106" t="s">
        <v>77</v>
      </c>
      <c r="C16" s="104">
        <f>'7. CISA External Workings'!I76</f>
        <v>0</v>
      </c>
      <c r="D16" s="104">
        <f>'7. CISA External Workings'!I75</f>
        <v>0</v>
      </c>
      <c r="E16" s="105">
        <f t="shared" si="1"/>
        <v>0</v>
      </c>
      <c r="F16" s="106" t="s">
        <v>63</v>
      </c>
      <c r="G16" s="94"/>
      <c r="H16" s="94"/>
    </row>
    <row r="17" ht="12.75" customHeight="1">
      <c r="A17" s="102" t="s">
        <v>75</v>
      </c>
      <c r="B17" s="106" t="s">
        <v>78</v>
      </c>
      <c r="C17" s="104">
        <f>'7. CISA External Workings'!I81</f>
        <v>0</v>
      </c>
      <c r="D17" s="104">
        <f>'7. CISA External Workings'!I80</f>
        <v>0</v>
      </c>
      <c r="E17" s="105">
        <f t="shared" si="1"/>
        <v>0</v>
      </c>
      <c r="F17" s="106" t="s">
        <v>63</v>
      </c>
      <c r="G17" s="94"/>
      <c r="H17" s="94"/>
    </row>
    <row r="18" ht="12.75" customHeight="1">
      <c r="A18" s="102" t="s">
        <v>75</v>
      </c>
      <c r="B18" s="106" t="s">
        <v>79</v>
      </c>
      <c r="C18" s="104">
        <f>'7. CISA External Workings'!I86</f>
        <v>0</v>
      </c>
      <c r="D18" s="104">
        <f>'7. CISA External Workings'!I85</f>
        <v>0</v>
      </c>
      <c r="E18" s="105">
        <f t="shared" si="1"/>
        <v>0</v>
      </c>
      <c r="F18" s="106" t="s">
        <v>63</v>
      </c>
      <c r="G18" s="94"/>
      <c r="H18" s="94"/>
    </row>
    <row r="19" ht="12.75" customHeight="1">
      <c r="A19" s="102" t="s">
        <v>80</v>
      </c>
      <c r="B19" s="106" t="s">
        <v>81</v>
      </c>
      <c r="C19" s="104">
        <f>'7. CISA External Workings'!I91</f>
        <v>0</v>
      </c>
      <c r="D19" s="104">
        <f>'7. CISA External Workings'!I90</f>
        <v>0</v>
      </c>
      <c r="E19" s="105">
        <f t="shared" si="1"/>
        <v>0</v>
      </c>
      <c r="F19" s="106" t="s">
        <v>63</v>
      </c>
      <c r="G19" s="94"/>
      <c r="H19" s="94"/>
    </row>
    <row r="20">
      <c r="B20" s="108" t="s">
        <v>42</v>
      </c>
      <c r="C20" s="109">
        <f t="shared" ref="C20:D20" si="2">SUM(C8:C19)</f>
        <v>2391449004</v>
      </c>
      <c r="D20" s="109">
        <f t="shared" si="2"/>
        <v>2390477301</v>
      </c>
    </row>
    <row r="21" ht="12.75" customHeight="1">
      <c r="A21" s="94"/>
      <c r="B21" s="94"/>
      <c r="C21" s="94"/>
      <c r="D21" s="110"/>
      <c r="E21" s="111"/>
      <c r="F21" s="94"/>
      <c r="G21" s="94"/>
      <c r="H21" s="94"/>
    </row>
    <row r="22" ht="12.75" customHeight="1">
      <c r="A22" s="94"/>
      <c r="B22" s="94"/>
      <c r="C22" s="94"/>
      <c r="D22" s="106" t="s">
        <v>82</v>
      </c>
      <c r="E22" s="112">
        <f>SUM(E8:E19)</f>
        <v>-971703.8</v>
      </c>
      <c r="F22" s="94"/>
      <c r="G22" s="94"/>
      <c r="H22" s="94"/>
    </row>
    <row r="23" ht="18.75" customHeight="1">
      <c r="A23" s="94"/>
      <c r="B23" s="94"/>
      <c r="C23" s="94"/>
      <c r="F23" s="94"/>
      <c r="G23" s="94"/>
      <c r="H23" s="94"/>
    </row>
    <row r="24">
      <c r="A24" s="99" t="s">
        <v>83</v>
      </c>
      <c r="B24" s="5"/>
      <c r="C24" s="5"/>
      <c r="D24" s="5"/>
      <c r="E24" s="5"/>
      <c r="F24" s="6"/>
      <c r="G24" s="94"/>
      <c r="H24" s="94"/>
    </row>
    <row r="25" ht="12.75" customHeight="1">
      <c r="A25" s="100" t="s">
        <v>55</v>
      </c>
      <c r="B25" s="100" t="s">
        <v>56</v>
      </c>
      <c r="C25" s="100" t="s">
        <v>57</v>
      </c>
      <c r="D25" s="101" t="s">
        <v>58</v>
      </c>
      <c r="E25" s="100" t="s">
        <v>59</v>
      </c>
      <c r="F25" s="100" t="s">
        <v>60</v>
      </c>
      <c r="G25" s="94"/>
      <c r="H25" s="94"/>
    </row>
    <row r="26" ht="12.75" customHeight="1">
      <c r="A26" s="102" t="s">
        <v>84</v>
      </c>
      <c r="B26" s="103" t="s">
        <v>85</v>
      </c>
      <c r="C26" s="104">
        <f>'12. LISA External Workings'!I31</f>
        <v>38363169.81</v>
      </c>
      <c r="D26" s="104">
        <f>'12. LISA External Workings'!I30</f>
        <v>38973578.78</v>
      </c>
      <c r="E26" s="113">
        <f t="shared" ref="E26:E29" si="3">D26-C26</f>
        <v>610408.97</v>
      </c>
      <c r="F26" s="106" t="s">
        <v>63</v>
      </c>
      <c r="G26" s="94"/>
      <c r="H26" s="94"/>
    </row>
    <row r="27" ht="12.75" customHeight="1">
      <c r="A27" s="102" t="s">
        <v>64</v>
      </c>
      <c r="B27" s="106" t="s">
        <v>86</v>
      </c>
      <c r="C27" s="104">
        <f>'12. LISA External Workings'!I36</f>
        <v>714980.29</v>
      </c>
      <c r="D27" s="104">
        <f>'12. LISA External Workings'!I35</f>
        <v>714980.29</v>
      </c>
      <c r="E27" s="105">
        <f t="shared" si="3"/>
        <v>0</v>
      </c>
      <c r="F27" s="106" t="s">
        <v>63</v>
      </c>
      <c r="G27" s="94"/>
      <c r="H27" s="94"/>
    </row>
    <row r="28" ht="12.75" customHeight="1">
      <c r="A28" s="102" t="s">
        <v>64</v>
      </c>
      <c r="B28" s="106" t="s">
        <v>87</v>
      </c>
      <c r="C28" s="104">
        <f>'12. LISA External Workings'!I41</f>
        <v>79300000</v>
      </c>
      <c r="D28" s="104">
        <f>'12. LISA External Workings'!I40</f>
        <v>79300000</v>
      </c>
      <c r="E28" s="105">
        <f t="shared" si="3"/>
        <v>0</v>
      </c>
      <c r="F28" s="106" t="s">
        <v>63</v>
      </c>
      <c r="G28" s="94"/>
      <c r="H28" s="94"/>
    </row>
    <row r="29" ht="12.75" customHeight="1">
      <c r="A29" s="102" t="s">
        <v>67</v>
      </c>
      <c r="B29" s="107" t="s">
        <v>88</v>
      </c>
      <c r="C29" s="104">
        <f>'12. LISA External Workings'!I46</f>
        <v>100000000</v>
      </c>
      <c r="D29" s="104">
        <f>'12. LISA External Workings'!I45</f>
        <v>100000000</v>
      </c>
      <c r="E29" s="105">
        <f t="shared" si="3"/>
        <v>0</v>
      </c>
      <c r="F29" s="106" t="s">
        <v>63</v>
      </c>
      <c r="G29" s="94"/>
      <c r="H29" s="94"/>
    </row>
    <row r="30" ht="15.75" customHeight="1">
      <c r="B30" s="108" t="s">
        <v>42</v>
      </c>
      <c r="C30" s="109">
        <f t="shared" ref="C30:D30" si="4">SUM(C26:C29)</f>
        <v>218378150.1</v>
      </c>
      <c r="D30" s="109">
        <f t="shared" si="4"/>
        <v>218988559.1</v>
      </c>
    </row>
    <row r="31" ht="15.75" customHeight="1"/>
    <row r="32" ht="12.75" customHeight="1">
      <c r="A32" s="94"/>
      <c r="B32" s="94"/>
      <c r="C32" s="94"/>
      <c r="D32" s="106" t="s">
        <v>89</v>
      </c>
      <c r="E32" s="114">
        <f>SUM(E26:E29)</f>
        <v>610408.97</v>
      </c>
      <c r="F32" s="94"/>
      <c r="G32" s="94"/>
      <c r="H32" s="94"/>
    </row>
    <row r="33" ht="12.75" customHeight="1">
      <c r="A33" s="94"/>
      <c r="B33" s="94"/>
      <c r="C33" s="94"/>
      <c r="D33" s="110"/>
      <c r="E33" s="110"/>
      <c r="F33" s="94"/>
      <c r="G33" s="94"/>
      <c r="H33" s="94"/>
    </row>
    <row r="34" ht="12.75" customHeight="1">
      <c r="A34" s="94"/>
      <c r="B34" s="94"/>
      <c r="C34" s="94"/>
      <c r="D34" s="106" t="s">
        <v>90</v>
      </c>
      <c r="E34" s="112">
        <f>E22+E32</f>
        <v>-361294.83</v>
      </c>
      <c r="F34" s="94"/>
      <c r="G34" s="94"/>
      <c r="H34" s="94"/>
    </row>
    <row r="35" ht="12.75" customHeight="1">
      <c r="A35" s="94"/>
      <c r="B35" s="94"/>
      <c r="C35" s="94"/>
      <c r="D35" s="110"/>
      <c r="E35" s="110"/>
      <c r="F35" s="94"/>
      <c r="G35" s="94"/>
      <c r="H35" s="94"/>
    </row>
    <row r="36" ht="12.75" customHeight="1">
      <c r="A36" s="94"/>
      <c r="B36" s="94"/>
      <c r="C36" s="94"/>
      <c r="D36" s="110"/>
      <c r="E36" s="94"/>
      <c r="F36" s="94"/>
      <c r="G36" s="94"/>
      <c r="H36" s="94"/>
    </row>
    <row r="37" ht="15.0" customHeight="1">
      <c r="A37" s="115" t="s">
        <v>91</v>
      </c>
      <c r="B37" s="94"/>
      <c r="C37" s="94"/>
      <c r="D37" s="115" t="s">
        <v>92</v>
      </c>
      <c r="E37" s="94"/>
      <c r="F37" s="94"/>
      <c r="G37" s="94"/>
      <c r="H37" s="94"/>
    </row>
    <row r="38" ht="12.75" customHeight="1">
      <c r="A38" s="116" t="s">
        <v>93</v>
      </c>
      <c r="B38" s="6"/>
      <c r="C38" s="94"/>
      <c r="D38" s="117" t="s">
        <v>93</v>
      </c>
      <c r="E38" s="118"/>
      <c r="F38" s="118"/>
      <c r="G38" s="94"/>
      <c r="H38" s="94"/>
    </row>
    <row r="39" ht="48.0" customHeight="1">
      <c r="A39" s="119" t="s">
        <v>94</v>
      </c>
      <c r="B39" s="120" t="s">
        <v>95</v>
      </c>
      <c r="C39" s="121"/>
      <c r="D39" s="122" t="s">
        <v>96</v>
      </c>
      <c r="E39" s="123" t="s">
        <v>95</v>
      </c>
      <c r="F39" s="6"/>
      <c r="G39" s="94"/>
      <c r="H39" s="94"/>
    </row>
    <row r="40" ht="39.75" customHeight="1">
      <c r="A40" s="119" t="s">
        <v>97</v>
      </c>
      <c r="B40" s="120" t="s">
        <v>95</v>
      </c>
      <c r="C40" s="94"/>
      <c r="D40" s="124" t="s">
        <v>97</v>
      </c>
      <c r="E40" s="123" t="s">
        <v>95</v>
      </c>
      <c r="F40" s="6"/>
      <c r="G40" s="94"/>
      <c r="H40" s="125"/>
    </row>
    <row r="41" ht="39.75" customHeight="1">
      <c r="A41" s="119" t="s">
        <v>98</v>
      </c>
      <c r="B41" s="120" t="s">
        <v>95</v>
      </c>
      <c r="C41" s="94"/>
      <c r="D41" s="124" t="s">
        <v>98</v>
      </c>
      <c r="E41" s="123" t="s">
        <v>95</v>
      </c>
      <c r="F41" s="6"/>
      <c r="G41" s="94"/>
      <c r="H41" s="94"/>
    </row>
    <row r="42" ht="41.25" customHeight="1">
      <c r="A42" s="119" t="s">
        <v>67</v>
      </c>
      <c r="B42" s="120" t="s">
        <v>95</v>
      </c>
      <c r="C42" s="94"/>
      <c r="D42" s="119" t="s">
        <v>67</v>
      </c>
      <c r="E42" s="123" t="s">
        <v>95</v>
      </c>
      <c r="F42" s="6"/>
      <c r="G42" s="94"/>
      <c r="H42" s="94"/>
    </row>
    <row r="43" ht="41.25" customHeight="1">
      <c r="A43" s="119" t="s">
        <v>71</v>
      </c>
      <c r="B43" s="120" t="s">
        <v>95</v>
      </c>
      <c r="C43" s="94"/>
      <c r="G43" s="94"/>
      <c r="H43" s="94"/>
    </row>
    <row r="44" ht="12.75" customHeight="1">
      <c r="C44" s="94"/>
      <c r="G44" s="94"/>
      <c r="H44" s="94"/>
    </row>
    <row r="45" ht="12.75" customHeight="1">
      <c r="A45" s="94"/>
      <c r="B45" s="94"/>
      <c r="C45" s="94"/>
      <c r="D45" s="94"/>
      <c r="E45" s="94"/>
      <c r="F45" s="94"/>
      <c r="G45" s="94"/>
      <c r="H45" s="94"/>
    </row>
    <row r="46" ht="15.75" customHeight="1">
      <c r="A46" s="99" t="s">
        <v>99</v>
      </c>
      <c r="B46" s="6"/>
      <c r="C46" s="94"/>
    </row>
    <row r="47" ht="15.75" customHeight="1">
      <c r="A47" s="126" t="s">
        <v>100</v>
      </c>
      <c r="B47" s="127">
        <f>'5. CISA Internal Workings'!F42+'10. LISA Internal Workings'!F46 +B66</f>
        <v>2609495399</v>
      </c>
      <c r="C47" s="128"/>
      <c r="D47" s="129"/>
    </row>
    <row r="48" ht="15.75" customHeight="1">
      <c r="A48" s="126" t="s">
        <v>101</v>
      </c>
      <c r="B48" s="130">
        <f>'5. CISA Internal Workings'!M53+'10. LISA Internal Workings'!M57</f>
        <v>3507294.74</v>
      </c>
      <c r="C48" s="131"/>
    </row>
    <row r="49" ht="15.75" customHeight="1">
      <c r="A49" s="126" t="s">
        <v>102</v>
      </c>
      <c r="B49" s="127">
        <f>B47+B48</f>
        <v>2613002694</v>
      </c>
      <c r="C49" s="94"/>
    </row>
    <row r="50" ht="18.75" customHeight="1">
      <c r="A50" s="126" t="s">
        <v>103</v>
      </c>
      <c r="B50" s="127">
        <f>'7. CISA External Workings'!O24+'12. LISA External Workings'!K21 +B67</f>
        <v>2612998057</v>
      </c>
      <c r="C50" s="94"/>
    </row>
    <row r="51" ht="22.5" customHeight="1">
      <c r="A51" s="126" t="s">
        <v>104</v>
      </c>
      <c r="B51" s="127">
        <f>B50-B49 +B68</f>
        <v>-4636.9443</v>
      </c>
      <c r="C51" s="94"/>
    </row>
    <row r="52" ht="12.75" customHeight="1">
      <c r="A52" s="132" t="s">
        <v>105</v>
      </c>
      <c r="B52" s="133" t="str">
        <f>IF(ROUND('4. CISA - CASS Internal Rec'!E6,2)=0, "CISA: No surplus or shortfall movement " &amp; TEXT(TODAY(), "dd/mm"), 
 IF('5. CISA Internal Workings'!M80 &lt; 0, 
  IF(ROUND('5. CISA Internal Workings'!M80, 2) = ROUND('5. CISA Internal Workings'!M83, 2), 
   "CISA: Overall Shortfall of £" &amp; ROUND(ABS('5. CISA Internal Workings'!M80), 2) &amp; CHAR(10) &amp; "-" &amp; '5. CISA Internal Workings'!E80 &amp; CHAR(10) &amp; "-" &amp; '5. CISA Internal Workings'!H80,
   "CISA: Overall Shortfall of £" &amp; ROUND(ABS('5. CISA Internal Workings'!M83), 2) &amp; CHAR(10) &amp; "-" &amp; '5. CISA Internal Workings'!E80 &amp; CHAR(10) &amp; "-" &amp; '5. CISA Internal Workings'!H80 &amp; CHAR(10) &amp; IF(ABS('5. CISA Internal Workings'!M81)&gt;0, "-" &amp; '5. CISA Internal Workings'!E81 &amp; CHAR(10) &amp; "-" &amp; '5. CISA Internal Workings'!H81 &amp; IF('5. CISA Internal Workings'!E82&lt;&gt;"", CHAR(10) &amp; "-" &amp; '5. CISA Internal Workings'!E82 &amp; CHAR(10) &amp; "-" &amp; '5. CISA Internal Workings'!H82, ""), "")
  ), 
  IF(ROUND('5. CISA Internal Workings'!M80, 2) = ROUND('5. CISA Internal Workings'!M83, 2), 
   "CISA: Overall Surplus of £" &amp; ROUND(ABS('5. CISA Internal Workings'!M80), 2) &amp; CHAR(10) &amp; "-" &amp; '5. CISA Internal Workings'!E80 &amp; CHAR(10) &amp; "-" &amp; '5. CISA Internal Workings'!H80,
   "CISA: Overall Surplus of £" &amp; ROUND(ABS('5. CISA Internal Workings'!M83), 2) &amp; CHAR(10) &amp; "-" &amp; '5. CISA Internal Workings'!E80 &amp; CHAR(10) &amp; "-" &amp; '5. CISA Internal Workings'!H80 &amp; CHAR(10) &amp; IF(ABS('5. CISA Internal Workings'!M81)&gt;0, "-" &amp; '5. CISA Internal Workings'!E81 &amp; CHAR(10) &amp; "-" &amp; '5. CISA Internal Workings'!H81 &amp; IF('5. CISA Internal Workings'!E82&lt;&gt;"", CHAR(10) &amp; "-" &amp; '5. CISA Internal Workings'!E82 &amp; CHAR(10) &amp; "-" &amp; '5. CISA Internal Workings'!H82, ""), "")
  )
 )
)</f>
        <v>CISA: Overall Shortfall of £4393.67
-Amount of £4,393.67 residual interest paid to users as part of the transfer out process
-To be moved from CISA corporate interest to CM 17/06</v>
      </c>
      <c r="C52" s="94"/>
    </row>
    <row r="53" ht="172.5" customHeight="1">
      <c r="A53" s="19"/>
      <c r="B53" s="45"/>
      <c r="C53" s="134"/>
    </row>
    <row r="54" ht="135.0" customHeight="1">
      <c r="A54" s="19"/>
      <c r="B54" s="135" t="str">
        <f>IF(ROUND('9. LISA - CASS Internal Rec'!E6,2)=0, "LISA: No surplus or shortfall movement " &amp; TEXT(TODAY(), "dd/mm"), 
 IF('10. LISA Internal Workings'!M84 &lt; 0, 
  IF(ROUND('10. LISA Internal Workings'!M84, 2) = ROUND('10. LISA Internal Workings'!M87, 2), 
   "LISA: Overall Shortfall of £" &amp; ROUND(ABS('10. LISA Internal Workings'!M84), 2) &amp; CHAR(10) &amp; "-" &amp; '10. LISA Internal Workings'!E84 &amp; CHAR(10) &amp; "-" &amp; '10. LISA Internal Workings'!H84,
   "LISA: Overall Shortfall of £" &amp; ROUND(ABS('10. LISA Internal Workings'!M87), 2) &amp; CHAR(10) &amp; "-" &amp; '10. LISA Internal Workings'!E84 &amp; CHAR(10) &amp; "-" &amp; '10. LISA Internal Workings'!H84 &amp; CHAR(10) &amp; IF(ABS('10. LISA Internal Workings'!M85)&gt;0, "-" &amp; '10. LISA Internal Workings'!E85 &amp; CHAR(10) &amp; "-" &amp; '10. LISA Internal Workings'!H85, "")
  ), 
  IF(ROUND('10. LISA Internal Workings'!M84, 2) = ROUND('10. LISA Internal Workings'!M87, 2), 
   "LISA: Overall Surplus of £" &amp; ROUND(ABS('10. LISA Internal Workings'!M84), 2) &amp; CHAR(10) &amp; "-" &amp; '10. LISA Internal Workings'!E84 &amp; CHAR(10) &amp; "-" &amp; '10. LISA Internal Workings'!H84,
   "LISA: Overall Surplus of £" &amp; ROUND(ABS('10. LISA Internal Workings'!M87), 2) &amp; CHAR(10) &amp; "-" &amp; '10. LISA Internal Workings'!E84 &amp; CHAR(10) &amp; "-" &amp; '10. LISA Internal Workings'!H84 &amp; CHAR(10) &amp; IF(ABS('10. LISA Internal Workings'!M85)&gt;0, "-" &amp; '10. LISA Internal Workings'!E85 &amp; CHAR(10) &amp; "-" &amp; '10. LISA Internal Workings'!H85, "")
  )
 )
)</f>
        <v>LISA: Overall Shortfall of £243.63
-Amount of £243.63 residual interest paid to users as part of the transfer out process
-To be moved from LISA corporate interest to CM 17/06</v>
      </c>
      <c r="C54" s="94"/>
    </row>
    <row r="55" ht="135.0" customHeight="1">
      <c r="A55" s="45"/>
      <c r="B55" s="135" t="str">
        <f>IF(ROUND(B68,2)=0, "Quai: No surplus or shortfall movement " &amp; TEXT(TODAY(), "dd/mm"), 
 IF(B68 &lt; 0, "Quai: Overall Shortfall of £" &amp; TEXT(ABS(B68), "0.00") &amp; CHAR(10) &amp; "Quai to arrange amount to written off " &amp; TEXT(TODAY(), "dd/mm"), 
 IF(B68 &gt; 0, "Quai: Overall Surplus of £" &amp; TEXT(ABS(B68), "0.00") &amp; CHAR(10) &amp; "Quai to arrange amount to written off " &amp; TEXT(TODAY(), "dd/mm") , "")))</f>
        <v>Quai: Overall Surplus of £0.18
Quai to arrange amount to written off 17/06</v>
      </c>
      <c r="C55" s="94"/>
    </row>
    <row r="56" ht="152.25" customHeight="1">
      <c r="A56" s="136" t="s">
        <v>106</v>
      </c>
      <c r="B56" s="137" t="s">
        <v>107</v>
      </c>
      <c r="C56" s="94"/>
    </row>
    <row r="57" ht="12.75" customHeight="1">
      <c r="A57" s="94"/>
      <c r="B57" s="94"/>
      <c r="C57" s="94"/>
      <c r="D57" s="94"/>
      <c r="E57" s="94"/>
      <c r="F57" s="94"/>
      <c r="G57" s="94"/>
      <c r="H57" s="94"/>
    </row>
    <row r="58" ht="20.25" customHeight="1">
      <c r="A58" s="138" t="s">
        <v>108</v>
      </c>
      <c r="B58" s="5"/>
      <c r="C58" s="5"/>
      <c r="D58" s="5"/>
      <c r="E58" s="5"/>
      <c r="F58" s="5"/>
      <c r="G58" s="6"/>
      <c r="H58" s="139"/>
    </row>
    <row r="59" ht="26.25" customHeight="1">
      <c r="A59" s="140" t="s">
        <v>55</v>
      </c>
      <c r="B59" s="140" t="s">
        <v>56</v>
      </c>
      <c r="C59" s="140" t="s">
        <v>57</v>
      </c>
      <c r="D59" s="141" t="s">
        <v>58</v>
      </c>
      <c r="E59" s="140" t="s">
        <v>59</v>
      </c>
      <c r="F59" s="140" t="s">
        <v>60</v>
      </c>
      <c r="G59" s="140" t="s">
        <v>109</v>
      </c>
      <c r="H59" s="139"/>
    </row>
    <row r="60" ht="12.75" customHeight="1">
      <c r="A60" s="142" t="s">
        <v>110</v>
      </c>
      <c r="B60" s="143" t="s">
        <v>111</v>
      </c>
      <c r="C60" s="144">
        <v>2319020.75</v>
      </c>
      <c r="D60" s="145"/>
      <c r="E60" s="146">
        <f t="shared" ref="E60:E62" si="5">D60-C60</f>
        <v>-2319020.75</v>
      </c>
      <c r="F60" s="147" t="s">
        <v>63</v>
      </c>
      <c r="G60" s="147" t="s">
        <v>112</v>
      </c>
      <c r="H60" s="139"/>
    </row>
    <row r="61" ht="12.75" customHeight="1">
      <c r="A61" s="142" t="s">
        <v>113</v>
      </c>
      <c r="B61" s="147" t="s">
        <v>114</v>
      </c>
      <c r="C61" s="148">
        <v>1.02326001161E8</v>
      </c>
      <c r="D61" s="149"/>
      <c r="E61" s="150">
        <f t="shared" si="5"/>
        <v>-102326001.2</v>
      </c>
      <c r="F61" s="147" t="s">
        <v>63</v>
      </c>
      <c r="G61" s="147" t="s">
        <v>115</v>
      </c>
      <c r="H61" s="139"/>
    </row>
    <row r="62" ht="15.0" customHeight="1">
      <c r="A62" s="142" t="s">
        <v>113</v>
      </c>
      <c r="B62" s="147" t="s">
        <v>114</v>
      </c>
      <c r="C62" s="144">
        <v>3.794651474947E8</v>
      </c>
      <c r="D62" s="145"/>
      <c r="E62" s="151">
        <f t="shared" si="5"/>
        <v>-379465147.5</v>
      </c>
      <c r="F62" s="147" t="s">
        <v>63</v>
      </c>
      <c r="G62" s="147" t="s">
        <v>112</v>
      </c>
      <c r="H62" s="139"/>
    </row>
    <row r="65">
      <c r="A65" s="152" t="s">
        <v>116</v>
      </c>
      <c r="B65" s="153"/>
    </row>
    <row r="66">
      <c r="A66" s="154" t="s">
        <v>100</v>
      </c>
      <c r="B66" s="155">
        <v>3532196.96</v>
      </c>
    </row>
    <row r="67">
      <c r="A67" s="154" t="s">
        <v>117</v>
      </c>
      <c r="B67" s="155">
        <v>3532197.14</v>
      </c>
    </row>
    <row r="68">
      <c r="A68" s="154" t="s">
        <v>118</v>
      </c>
      <c r="B68" s="156">
        <f>B67-B66</f>
        <v>0.1800000002</v>
      </c>
    </row>
    <row r="70" ht="18.0" customHeight="1">
      <c r="A70" s="157" t="s">
        <v>119</v>
      </c>
      <c r="B70" s="5"/>
      <c r="C70" s="5"/>
      <c r="D70" s="5"/>
      <c r="E70" s="5"/>
      <c r="F70" s="5"/>
    </row>
    <row r="71" ht="12.75" customHeight="1">
      <c r="A71" s="158" t="s">
        <v>55</v>
      </c>
      <c r="B71" s="158" t="s">
        <v>56</v>
      </c>
      <c r="C71" s="158" t="s">
        <v>57</v>
      </c>
      <c r="D71" s="159" t="s">
        <v>58</v>
      </c>
      <c r="E71" s="158" t="s">
        <v>59</v>
      </c>
      <c r="F71" s="158" t="s">
        <v>60</v>
      </c>
    </row>
    <row r="72" ht="12.75" customHeight="1">
      <c r="A72" s="102" t="s">
        <v>61</v>
      </c>
      <c r="B72" s="103" t="s">
        <v>120</v>
      </c>
      <c r="C72" s="160" t="s">
        <v>121</v>
      </c>
      <c r="D72" s="160" t="s">
        <v>121</v>
      </c>
      <c r="E72" s="160" t="s">
        <v>121</v>
      </c>
      <c r="F72" s="106" t="s">
        <v>63</v>
      </c>
    </row>
    <row r="73" ht="12.75" customHeight="1">
      <c r="A73" s="161" t="s">
        <v>70</v>
      </c>
      <c r="B73" s="162" t="s">
        <v>122</v>
      </c>
      <c r="C73" s="163" t="s">
        <v>123</v>
      </c>
      <c r="D73" s="163" t="s">
        <v>123</v>
      </c>
      <c r="E73" s="163">
        <v>0.0</v>
      </c>
      <c r="F73" s="164" t="s">
        <v>63</v>
      </c>
    </row>
    <row r="74" ht="12.75" customHeight="1">
      <c r="A74" s="161" t="s">
        <v>70</v>
      </c>
      <c r="B74" s="162" t="s">
        <v>124</v>
      </c>
      <c r="C74" s="163" t="s">
        <v>123</v>
      </c>
      <c r="D74" s="163" t="s">
        <v>123</v>
      </c>
      <c r="E74" s="163">
        <v>0.0</v>
      </c>
      <c r="F74" s="164" t="s">
        <v>63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</sheetData>
  <mergeCells count="15">
    <mergeCell ref="E41:F41"/>
    <mergeCell ref="E42:F42"/>
    <mergeCell ref="A46:B46"/>
    <mergeCell ref="A52:A55"/>
    <mergeCell ref="B52:B53"/>
    <mergeCell ref="A58:G58"/>
    <mergeCell ref="A65:B65"/>
    <mergeCell ref="A70:F70"/>
    <mergeCell ref="A1:F3"/>
    <mergeCell ref="A6:F6"/>
    <mergeCell ref="A24:F24"/>
    <mergeCell ref="A38:B38"/>
    <mergeCell ref="D38:F38"/>
    <mergeCell ref="E39:F39"/>
    <mergeCell ref="E40:F40"/>
  </mergeCells>
  <conditionalFormatting sqref="E8:E22 E26:E34">
    <cfRule type="cellIs" dxfId="0" priority="1" operator="lessThan">
      <formula>0</formula>
    </cfRule>
  </conditionalFormatting>
  <conditionalFormatting sqref="E8:E22 E26:E34">
    <cfRule type="cellIs" dxfId="1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499"/>
    <pageSetUpPr/>
  </sheetPr>
  <sheetViews>
    <sheetView workbookViewId="0"/>
  </sheetViews>
  <sheetFormatPr customHeight="1" defaultColWidth="12.63" defaultRowHeight="15.0"/>
  <cols>
    <col customWidth="1" min="1" max="2" width="2.13"/>
    <col customWidth="1" min="3" max="3" width="32.88"/>
    <col customWidth="1" min="4" max="4" width="33.63"/>
    <col customWidth="1" min="5" max="5" width="19.5"/>
    <col customWidth="1" min="6" max="6" width="10.38"/>
    <col customWidth="1" min="7" max="7" width="16.13"/>
    <col customWidth="1" min="8" max="8" width="15.63"/>
    <col customWidth="1" min="9" max="9" width="15.38"/>
    <col customWidth="1" min="10" max="10" width="37.63"/>
    <col customWidth="1" min="11" max="11" width="16.5"/>
    <col customWidth="1" min="12" max="12" width="44.0"/>
    <col customWidth="1" min="13" max="13" width="21.38"/>
    <col customWidth="1" min="14" max="14" width="15.5"/>
    <col customWidth="1" min="15" max="15" width="27.25"/>
    <col customWidth="1" min="16" max="16" width="7.5"/>
    <col customWidth="1" min="17" max="17" width="19.5"/>
    <col customWidth="1" min="18" max="18" width="35.88"/>
    <col customWidth="1" min="19" max="19" width="73.88"/>
    <col customWidth="1" min="20" max="20" width="12.88"/>
    <col customWidth="1" min="21" max="29" width="8.63"/>
  </cols>
  <sheetData>
    <row r="1" ht="12.75" customHeight="1">
      <c r="A1" s="165"/>
      <c r="B1" s="165"/>
      <c r="C1" s="165"/>
      <c r="D1" s="165"/>
      <c r="E1" s="165"/>
      <c r="F1" s="165"/>
      <c r="G1" s="166"/>
      <c r="H1" s="165"/>
      <c r="I1" s="165"/>
      <c r="J1" s="165"/>
      <c r="K1" s="165"/>
      <c r="L1" s="167"/>
      <c r="M1" s="34"/>
      <c r="N1" s="165"/>
      <c r="O1" s="165"/>
      <c r="P1" s="165"/>
      <c r="Q1" s="168"/>
      <c r="R1" s="165"/>
      <c r="S1" s="165"/>
      <c r="T1" s="34"/>
      <c r="U1" s="34"/>
      <c r="V1" s="34"/>
      <c r="W1" s="165"/>
      <c r="Z1" s="165"/>
      <c r="AA1" s="165"/>
      <c r="AB1" s="165"/>
      <c r="AC1" s="165"/>
    </row>
    <row r="2">
      <c r="A2" s="165"/>
      <c r="B2" s="169" t="s">
        <v>125</v>
      </c>
      <c r="C2" s="165"/>
      <c r="D2" s="165"/>
      <c r="E2" s="170" t="s">
        <v>126</v>
      </c>
      <c r="F2" s="171">
        <f>'4. CISA - CASS Internal Rec'!E4</f>
        <v>46189</v>
      </c>
      <c r="G2" s="166"/>
      <c r="H2" s="165"/>
      <c r="I2" s="165"/>
      <c r="J2" s="172" t="s">
        <v>127</v>
      </c>
      <c r="M2" s="34"/>
      <c r="N2" s="165"/>
      <c r="O2" s="165"/>
      <c r="P2" s="165"/>
      <c r="Q2" s="168"/>
      <c r="R2" s="165"/>
      <c r="S2" s="165"/>
      <c r="T2" s="34"/>
      <c r="U2" s="34"/>
      <c r="V2" s="34"/>
      <c r="W2" s="165"/>
      <c r="X2" s="173"/>
      <c r="Y2" s="173"/>
      <c r="Z2" s="165"/>
      <c r="AA2" s="165"/>
      <c r="AB2" s="165"/>
      <c r="AC2" s="165"/>
    </row>
    <row r="3" ht="12.0" customHeight="1">
      <c r="A3" s="165"/>
      <c r="B3" s="165"/>
      <c r="C3" s="165" t="s">
        <v>128</v>
      </c>
      <c r="D3" s="165"/>
      <c r="E3" s="165"/>
      <c r="F3" s="165"/>
      <c r="G3" s="166"/>
      <c r="H3" s="165"/>
      <c r="I3" s="174"/>
      <c r="J3" s="175"/>
      <c r="K3" s="176" t="s">
        <v>129</v>
      </c>
      <c r="L3" s="177" t="s">
        <v>130</v>
      </c>
      <c r="M3" s="34"/>
      <c r="N3" s="165"/>
      <c r="O3" s="165"/>
      <c r="P3" s="165"/>
      <c r="Q3" s="168"/>
      <c r="R3" s="165"/>
      <c r="S3" s="165"/>
      <c r="T3" s="34"/>
      <c r="U3" s="34"/>
      <c r="V3" s="34"/>
      <c r="W3" s="165"/>
      <c r="X3" s="173"/>
      <c r="Z3" s="165"/>
      <c r="AA3" s="165"/>
      <c r="AB3" s="165"/>
      <c r="AC3" s="165"/>
    </row>
    <row r="4" ht="12.0" customHeight="1">
      <c r="A4" s="165"/>
      <c r="B4" s="165"/>
      <c r="C4" s="165" t="s">
        <v>131</v>
      </c>
      <c r="D4" s="165"/>
      <c r="E4" s="165"/>
      <c r="F4" s="165"/>
      <c r="G4" s="166"/>
      <c r="H4" s="165"/>
      <c r="I4" s="165"/>
      <c r="J4" s="176" t="s">
        <v>132</v>
      </c>
      <c r="K4" s="178">
        <f>M18</f>
        <v>294085.7</v>
      </c>
      <c r="L4" s="179" t="str">
        <f t="array" ref="L4">IF(K4&lt;(0.00025*INDIRECT("'2. Daily Client Money Report'!D20")), "Total amount is within the overall tolerance level (0.025%)", "Total amount is above the overall tolerance level (0.025%)")</f>
        <v>Total amount is within the overall tolerance level (0.025%)</v>
      </c>
      <c r="M4" s="34"/>
      <c r="N4" s="165"/>
      <c r="O4" s="165"/>
      <c r="P4" s="165"/>
      <c r="Q4" s="168"/>
      <c r="R4" s="165"/>
      <c r="S4" s="165"/>
      <c r="T4" s="34"/>
      <c r="U4" s="34"/>
      <c r="V4" s="34"/>
      <c r="W4" s="165"/>
      <c r="X4" s="165"/>
      <c r="Y4" s="165"/>
      <c r="Z4" s="165"/>
      <c r="AA4" s="165"/>
      <c r="AB4" s="165"/>
      <c r="AC4" s="165"/>
    </row>
    <row r="5" ht="12.0" customHeight="1">
      <c r="A5" s="165"/>
      <c r="B5" s="165"/>
      <c r="C5" s="180" t="s">
        <v>133</v>
      </c>
      <c r="D5" s="165"/>
      <c r="E5" s="165"/>
      <c r="F5" s="165"/>
      <c r="G5" s="166"/>
      <c r="H5" s="165"/>
      <c r="I5" s="165"/>
      <c r="J5" s="176" t="s">
        <v>134</v>
      </c>
      <c r="K5" s="178">
        <f>M47</f>
        <v>163659.42</v>
      </c>
      <c r="L5" s="179" t="str">
        <f t="array" ref="L5">IF(K5&lt;(0.00025*INDIRECT("'2. Daily Client Money Report'!D30")), "Total amount is within the overall tolerance level (0.025%)", "Total amount is above the overall tolerance level (0.025%)")</f>
        <v>Total amount is above the overall tolerance level (0.025%)</v>
      </c>
      <c r="M5" s="34"/>
      <c r="N5" s="165"/>
      <c r="O5" s="165"/>
      <c r="P5" s="165"/>
      <c r="Q5" s="168"/>
      <c r="R5" s="165"/>
      <c r="S5" s="165"/>
      <c r="T5" s="34"/>
      <c r="U5" s="34"/>
      <c r="V5" s="34"/>
      <c r="W5" s="165"/>
      <c r="X5" s="165"/>
      <c r="Y5" s="165"/>
      <c r="Z5" s="165"/>
      <c r="AA5" s="165"/>
      <c r="AB5" s="165"/>
      <c r="AC5" s="165"/>
    </row>
    <row r="6" ht="12.0" customHeight="1">
      <c r="A6" s="165"/>
      <c r="B6" s="165"/>
      <c r="C6" s="165"/>
      <c r="D6" s="165"/>
      <c r="E6" s="165"/>
      <c r="F6" s="165"/>
      <c r="G6" s="166"/>
      <c r="H6" s="165"/>
      <c r="I6" s="165"/>
      <c r="J6" s="176" t="s">
        <v>135</v>
      </c>
      <c r="K6" s="175">
        <f>SUMIFS(M:M, Q:Q, "&gt;=0", Q:Q, "&lt;=2")</f>
        <v>350308.39</v>
      </c>
      <c r="L6" s="181" t="s">
        <v>136</v>
      </c>
      <c r="M6" s="34"/>
      <c r="N6" s="165"/>
      <c r="O6" s="165"/>
      <c r="P6" s="165"/>
      <c r="Q6" s="168"/>
      <c r="R6" s="165"/>
      <c r="S6" s="165"/>
      <c r="T6" s="34"/>
      <c r="U6" s="34"/>
      <c r="V6" s="34"/>
      <c r="W6" s="165"/>
      <c r="X6" s="165"/>
      <c r="Y6" s="165"/>
      <c r="Z6" s="165"/>
      <c r="AA6" s="165"/>
      <c r="AB6" s="165"/>
      <c r="AC6" s="165"/>
    </row>
    <row r="7" ht="12.0" customHeight="1">
      <c r="A7" s="165"/>
      <c r="B7" s="165"/>
      <c r="C7" s="165"/>
      <c r="D7" s="165"/>
      <c r="E7" s="165"/>
      <c r="F7" s="165"/>
      <c r="G7" s="166"/>
      <c r="H7" s="165"/>
      <c r="I7" s="165"/>
      <c r="J7" s="176" t="s">
        <v>137</v>
      </c>
      <c r="K7" s="175">
        <f>SUMIFS(M:M, Q:Q, "&gt;=3", Q:Q, "&lt;=5")</f>
        <v>77906.5</v>
      </c>
      <c r="L7" s="181"/>
      <c r="M7" s="34"/>
      <c r="N7" s="165"/>
      <c r="O7" s="165"/>
      <c r="P7" s="165"/>
      <c r="Q7" s="168"/>
      <c r="R7" s="165"/>
      <c r="S7" s="165"/>
      <c r="T7" s="34"/>
      <c r="U7" s="34"/>
      <c r="V7" s="34"/>
      <c r="W7" s="165"/>
      <c r="X7" s="165"/>
      <c r="Y7" s="165"/>
      <c r="Z7" s="165"/>
      <c r="AA7" s="165"/>
      <c r="AB7" s="165"/>
      <c r="AC7" s="165"/>
    </row>
    <row r="8" ht="12.0" customHeight="1">
      <c r="A8" s="165"/>
      <c r="B8" s="165"/>
      <c r="C8" s="165"/>
      <c r="D8" s="165"/>
      <c r="E8" s="165"/>
      <c r="F8" s="165"/>
      <c r="G8" s="166"/>
      <c r="H8" s="165"/>
      <c r="I8" s="165"/>
      <c r="J8" s="176" t="s">
        <v>138</v>
      </c>
      <c r="K8" s="175">
        <f>SUMIFS(M:M, Q:Q, "&gt;=6", Q:Q, "&lt;=9")</f>
        <v>26046.54</v>
      </c>
      <c r="L8" s="181"/>
      <c r="M8" s="34"/>
      <c r="N8" s="165"/>
      <c r="O8" s="165"/>
      <c r="P8" s="165"/>
      <c r="Q8" s="168"/>
      <c r="R8" s="165"/>
      <c r="S8" s="165"/>
      <c r="T8" s="34"/>
      <c r="U8" s="34"/>
      <c r="V8" s="34"/>
      <c r="W8" s="165"/>
      <c r="X8" s="165"/>
      <c r="Y8" s="165"/>
      <c r="Z8" s="165"/>
      <c r="AA8" s="165"/>
      <c r="AB8" s="165"/>
      <c r="AC8" s="165"/>
    </row>
    <row r="9" ht="12.0" customHeight="1">
      <c r="A9" s="165"/>
      <c r="B9" s="165"/>
      <c r="C9" s="165"/>
      <c r="D9" s="165"/>
      <c r="E9" s="165"/>
      <c r="F9" s="165"/>
      <c r="G9" s="166"/>
      <c r="H9" s="165"/>
      <c r="I9" s="165"/>
      <c r="J9" s="176" t="s">
        <v>139</v>
      </c>
      <c r="K9" s="175">
        <f>SUMIFS(M:M, Q:Q, "&gt;=10")</f>
        <v>3483.69</v>
      </c>
      <c r="L9" s="181"/>
      <c r="M9" s="34"/>
      <c r="N9" s="165"/>
      <c r="O9" s="165"/>
      <c r="P9" s="165"/>
      <c r="Q9" s="168"/>
      <c r="R9" s="165"/>
      <c r="S9" s="165"/>
      <c r="T9" s="34"/>
      <c r="U9" s="34"/>
      <c r="V9" s="34"/>
      <c r="W9" s="165"/>
      <c r="X9" s="165"/>
      <c r="Y9" s="165"/>
      <c r="Z9" s="165"/>
      <c r="AA9" s="165"/>
      <c r="AB9" s="165"/>
      <c r="AC9" s="165"/>
    </row>
    <row r="10" ht="12.0" customHeight="1">
      <c r="A10" s="165"/>
      <c r="B10" s="165"/>
      <c r="C10" s="165"/>
      <c r="D10" s="165"/>
      <c r="E10" s="165"/>
      <c r="F10" s="165"/>
      <c r="G10" s="166"/>
      <c r="H10" s="165"/>
      <c r="I10" s="165"/>
      <c r="J10" s="165"/>
      <c r="K10" s="165"/>
      <c r="L10" s="181"/>
      <c r="M10" s="34"/>
      <c r="N10" s="165"/>
      <c r="O10" s="165"/>
      <c r="P10" s="165"/>
      <c r="Q10" s="168"/>
      <c r="R10" s="165"/>
      <c r="S10" s="165"/>
      <c r="T10" s="34"/>
      <c r="U10" s="34"/>
      <c r="V10" s="34"/>
      <c r="W10" s="165"/>
      <c r="X10" s="165"/>
      <c r="Y10" s="165"/>
      <c r="Z10" s="165"/>
      <c r="AA10" s="165"/>
      <c r="AB10" s="165"/>
      <c r="AC10" s="165"/>
    </row>
    <row r="11" ht="25.5" customHeight="1">
      <c r="A11" s="165"/>
      <c r="B11" s="169" t="s">
        <v>140</v>
      </c>
      <c r="C11" s="165"/>
      <c r="D11" s="165"/>
      <c r="E11" s="165"/>
      <c r="F11" s="165"/>
      <c r="G11" s="166"/>
      <c r="H11" s="165"/>
      <c r="I11" s="165"/>
      <c r="J11" s="165"/>
      <c r="K11" s="165"/>
      <c r="L11" s="167"/>
      <c r="M11" s="34"/>
      <c r="N11" s="165"/>
      <c r="O11" s="165"/>
      <c r="P11" s="165"/>
      <c r="Q11" s="168"/>
      <c r="R11" s="165"/>
      <c r="S11" s="165"/>
      <c r="T11" s="34"/>
      <c r="U11" s="34"/>
      <c r="V11" s="34"/>
      <c r="W11" s="165"/>
      <c r="X11" s="165"/>
      <c r="Y11" s="165"/>
      <c r="Z11" s="165"/>
      <c r="AA11" s="165"/>
      <c r="AB11" s="165"/>
      <c r="AC11" s="165"/>
    </row>
    <row r="12" ht="3.0" customHeight="1">
      <c r="A12" s="165"/>
      <c r="B12" s="165"/>
      <c r="C12" s="165"/>
      <c r="D12" s="165"/>
      <c r="E12" s="165"/>
      <c r="F12" s="165"/>
      <c r="G12" s="166"/>
      <c r="H12" s="165"/>
      <c r="I12" s="165"/>
      <c r="J12" s="165"/>
      <c r="K12" s="165"/>
      <c r="L12" s="167"/>
      <c r="M12" s="34"/>
      <c r="N12" s="165"/>
      <c r="O12" s="165"/>
      <c r="P12" s="165"/>
      <c r="Q12" s="168"/>
      <c r="R12" s="165"/>
      <c r="S12" s="165"/>
      <c r="T12" s="34"/>
      <c r="U12" s="34"/>
      <c r="V12" s="34"/>
      <c r="W12" s="165"/>
      <c r="X12" s="165"/>
      <c r="Y12" s="165"/>
      <c r="Z12" s="165"/>
      <c r="AA12" s="165"/>
      <c r="AB12" s="165"/>
      <c r="AC12" s="165"/>
    </row>
    <row r="13" ht="15.0" customHeight="1">
      <c r="A13" s="165"/>
      <c r="B13" s="165"/>
      <c r="C13" s="182" t="s">
        <v>141</v>
      </c>
      <c r="D13" s="183" t="s">
        <v>142</v>
      </c>
      <c r="E13" s="165"/>
      <c r="F13" s="165"/>
      <c r="G13" s="166"/>
      <c r="H13" s="165"/>
      <c r="I13" s="165"/>
      <c r="J13" s="165"/>
      <c r="K13" s="165"/>
      <c r="L13" s="167"/>
      <c r="M13" s="34"/>
      <c r="N13" s="165"/>
      <c r="O13" s="165"/>
      <c r="P13" s="165"/>
      <c r="Q13" s="168"/>
      <c r="R13" s="165"/>
      <c r="S13" s="165"/>
      <c r="T13" s="34"/>
      <c r="U13" s="34"/>
      <c r="V13" s="34"/>
      <c r="W13" s="165"/>
      <c r="X13" s="165"/>
      <c r="Y13" s="165"/>
      <c r="Z13" s="165"/>
      <c r="AA13" s="165"/>
      <c r="AB13" s="165"/>
      <c r="AC13" s="165"/>
    </row>
    <row r="14" ht="15.0" customHeight="1">
      <c r="A14" s="165"/>
      <c r="B14" s="165"/>
      <c r="C14" s="182" t="s">
        <v>143</v>
      </c>
      <c r="D14" s="183" t="s">
        <v>144</v>
      </c>
      <c r="E14" s="165"/>
      <c r="F14" s="165"/>
      <c r="G14" s="166"/>
      <c r="H14" s="165"/>
      <c r="I14" s="165"/>
      <c r="J14" s="165"/>
      <c r="K14" s="165"/>
      <c r="L14" s="167"/>
      <c r="M14" s="34"/>
      <c r="N14" s="165"/>
      <c r="O14" s="165"/>
      <c r="P14" s="165"/>
      <c r="Q14" s="168"/>
      <c r="R14" s="165"/>
      <c r="S14" s="165"/>
      <c r="T14" s="34"/>
      <c r="U14" s="34"/>
      <c r="V14" s="34"/>
      <c r="W14" s="165"/>
      <c r="X14" s="165"/>
      <c r="Y14" s="165"/>
      <c r="Z14" s="165"/>
      <c r="AA14" s="165"/>
      <c r="AB14" s="165"/>
      <c r="AC14" s="165"/>
    </row>
    <row r="15" ht="12.0" customHeight="1">
      <c r="A15" s="165"/>
      <c r="B15" s="165"/>
      <c r="C15" s="165"/>
      <c r="D15" s="165"/>
      <c r="E15" s="165"/>
      <c r="F15" s="165"/>
      <c r="G15" s="166"/>
      <c r="H15" s="165"/>
      <c r="I15" s="165"/>
      <c r="J15" s="165"/>
      <c r="K15" s="165"/>
      <c r="L15" s="167"/>
      <c r="M15" s="34"/>
      <c r="N15" s="165"/>
      <c r="O15" s="165"/>
      <c r="P15" s="165"/>
      <c r="Q15" s="168"/>
      <c r="R15" s="165"/>
      <c r="S15" s="165"/>
      <c r="T15" s="34"/>
      <c r="U15" s="34"/>
      <c r="V15" s="34"/>
      <c r="W15" s="165"/>
      <c r="X15" s="165"/>
      <c r="Y15" s="165"/>
      <c r="Z15" s="165"/>
      <c r="AA15" s="165"/>
      <c r="AB15" s="165"/>
      <c r="AC15" s="165"/>
    </row>
    <row r="16" ht="12.75" customHeight="1">
      <c r="A16" s="165"/>
      <c r="B16" s="165"/>
      <c r="C16" s="184" t="s">
        <v>145</v>
      </c>
      <c r="D16" s="165"/>
      <c r="E16" s="165"/>
      <c r="F16" s="165"/>
      <c r="G16" s="166"/>
      <c r="H16" s="165"/>
      <c r="I16" s="165"/>
      <c r="J16" s="165"/>
      <c r="K16" s="165"/>
      <c r="L16" s="167"/>
      <c r="M16" s="34"/>
      <c r="N16" s="167"/>
      <c r="O16" s="165"/>
      <c r="P16" s="165"/>
      <c r="Q16" s="168"/>
      <c r="R16" s="165"/>
      <c r="S16" s="165"/>
      <c r="T16" s="34"/>
      <c r="U16" s="34"/>
      <c r="V16" s="34"/>
      <c r="W16" s="165"/>
      <c r="X16" s="165"/>
      <c r="Y16" s="165"/>
      <c r="Z16" s="165"/>
      <c r="AA16" s="165"/>
      <c r="AB16" s="165"/>
      <c r="AC16" s="165"/>
    </row>
    <row r="17" ht="12.75" customHeight="1">
      <c r="A17" s="165"/>
      <c r="B17" s="165"/>
      <c r="C17" s="185"/>
      <c r="D17" s="186"/>
      <c r="E17" s="186"/>
      <c r="F17" s="186"/>
      <c r="G17" s="187"/>
      <c r="H17" s="186"/>
      <c r="I17" s="188"/>
      <c r="J17" s="188"/>
      <c r="K17" s="188"/>
      <c r="L17" s="188"/>
      <c r="M17" s="189"/>
      <c r="N17" s="165"/>
      <c r="O17" s="165"/>
      <c r="P17" s="165"/>
      <c r="Q17" s="168"/>
      <c r="R17" s="165"/>
      <c r="S17" s="165"/>
      <c r="T17" s="34"/>
      <c r="U17" s="34"/>
      <c r="V17" s="34"/>
      <c r="W17" s="165"/>
      <c r="X17" s="165"/>
      <c r="Y17" s="165"/>
      <c r="Z17" s="165"/>
      <c r="AA17" s="165"/>
      <c r="AB17" s="165"/>
      <c r="AC17" s="165"/>
    </row>
    <row r="18" ht="12.75" customHeight="1">
      <c r="A18" s="165"/>
      <c r="B18" s="165"/>
      <c r="C18" s="190">
        <f>F2</f>
        <v>46189</v>
      </c>
      <c r="D18" s="165" t="s">
        <v>146</v>
      </c>
      <c r="E18" s="165"/>
      <c r="F18" s="165"/>
      <c r="G18" s="165"/>
      <c r="H18" s="167"/>
      <c r="I18" s="167"/>
      <c r="J18" s="167"/>
      <c r="K18" s="167"/>
      <c r="L18" s="191" t="s">
        <v>147</v>
      </c>
      <c r="M18" s="192">
        <v>294085.7</v>
      </c>
      <c r="N18" s="167"/>
      <c r="O18" s="165"/>
      <c r="P18" s="165"/>
      <c r="Q18" s="168"/>
      <c r="R18" s="165"/>
      <c r="S18" s="165"/>
      <c r="T18" s="34"/>
      <c r="U18" s="34"/>
      <c r="V18" s="34"/>
      <c r="W18" s="165"/>
      <c r="X18" s="165"/>
      <c r="Y18" s="165"/>
      <c r="Z18" s="165"/>
      <c r="AA18" s="165"/>
      <c r="AB18" s="165"/>
      <c r="AC18" s="165"/>
    </row>
    <row r="19" ht="12.75" customHeight="1">
      <c r="A19" s="165"/>
      <c r="B19" s="165"/>
      <c r="C19" s="193"/>
      <c r="D19" s="194"/>
      <c r="E19" s="194"/>
      <c r="F19" s="194"/>
      <c r="G19" s="195"/>
      <c r="H19" s="194"/>
      <c r="I19" s="196"/>
      <c r="J19" s="196"/>
      <c r="K19" s="196"/>
      <c r="L19" s="196"/>
      <c r="M19" s="197"/>
      <c r="N19" s="165"/>
      <c r="O19" s="165"/>
      <c r="P19" s="165"/>
      <c r="Q19" s="168"/>
      <c r="R19" s="165"/>
      <c r="S19" s="165"/>
      <c r="T19" s="34"/>
      <c r="U19" s="34"/>
      <c r="V19" s="34"/>
      <c r="W19" s="165"/>
      <c r="X19" s="165"/>
      <c r="Y19" s="165"/>
      <c r="Z19" s="165"/>
      <c r="AA19" s="165"/>
      <c r="AB19" s="165"/>
      <c r="AC19" s="165"/>
    </row>
    <row r="20" ht="12.0" customHeight="1">
      <c r="A20" s="165"/>
      <c r="B20" s="165"/>
      <c r="C20" s="165"/>
      <c r="D20" s="165"/>
      <c r="E20" s="165"/>
      <c r="F20" s="165"/>
      <c r="G20" s="166"/>
      <c r="H20" s="165"/>
      <c r="I20" s="165"/>
      <c r="J20" s="165"/>
      <c r="K20" s="165"/>
      <c r="L20" s="165"/>
      <c r="M20" s="34"/>
      <c r="N20" s="165"/>
      <c r="O20" s="165"/>
      <c r="P20" s="165"/>
      <c r="Q20" s="168"/>
      <c r="R20" s="165"/>
      <c r="S20" s="165"/>
      <c r="T20" s="34"/>
      <c r="U20" s="34"/>
      <c r="V20" s="34"/>
      <c r="W20" s="165"/>
      <c r="X20" s="165"/>
      <c r="Y20" s="165"/>
      <c r="Z20" s="165"/>
      <c r="AA20" s="165"/>
      <c r="AB20" s="165"/>
      <c r="AC20" s="165"/>
    </row>
    <row r="21" ht="12.75" customHeight="1">
      <c r="A21" s="165"/>
      <c r="B21" s="165"/>
      <c r="C21" s="184" t="s">
        <v>148</v>
      </c>
      <c r="D21" s="165"/>
      <c r="E21" s="165"/>
      <c r="F21" s="165"/>
      <c r="G21" s="166"/>
      <c r="H21" s="165"/>
      <c r="I21" s="165"/>
      <c r="J21" s="165"/>
      <c r="K21" s="165"/>
      <c r="L21" s="165"/>
      <c r="M21" s="34"/>
      <c r="N21" s="165"/>
      <c r="O21" s="165"/>
      <c r="P21" s="165"/>
      <c r="Q21" s="168"/>
      <c r="R21" s="165"/>
      <c r="S21" s="165"/>
      <c r="T21" s="34"/>
      <c r="U21" s="34"/>
      <c r="V21" s="34"/>
      <c r="W21" s="165"/>
      <c r="X21" s="165"/>
      <c r="Y21" s="165"/>
      <c r="Z21" s="165"/>
      <c r="AA21" s="165"/>
      <c r="AB21" s="165"/>
      <c r="AC21" s="165"/>
    </row>
    <row r="22" ht="12.75" customHeight="1">
      <c r="A22" s="165"/>
      <c r="B22" s="165"/>
      <c r="C22" s="198" t="s">
        <v>149</v>
      </c>
      <c r="D22" s="199" t="s">
        <v>150</v>
      </c>
      <c r="E22" s="199" t="s">
        <v>151</v>
      </c>
      <c r="F22" s="199" t="s">
        <v>152</v>
      </c>
      <c r="G22" s="200" t="s">
        <v>153</v>
      </c>
      <c r="H22" s="199" t="s">
        <v>154</v>
      </c>
      <c r="I22" s="199" t="s">
        <v>155</v>
      </c>
      <c r="J22" s="199" t="s">
        <v>156</v>
      </c>
      <c r="K22" s="199" t="s">
        <v>157</v>
      </c>
      <c r="L22" s="199" t="s">
        <v>158</v>
      </c>
      <c r="M22" s="201" t="s">
        <v>159</v>
      </c>
      <c r="N22" s="200" t="s">
        <v>160</v>
      </c>
      <c r="O22" s="202" t="s">
        <v>161</v>
      </c>
      <c r="P22" s="165"/>
      <c r="Q22" s="203" t="s">
        <v>162</v>
      </c>
      <c r="R22" s="204" t="s">
        <v>163</v>
      </c>
      <c r="S22" s="205" t="s">
        <v>164</v>
      </c>
      <c r="T22" s="34"/>
      <c r="U22" s="34"/>
      <c r="V22" s="34"/>
      <c r="W22" s="165"/>
      <c r="X22" s="165"/>
      <c r="Y22" s="165"/>
      <c r="Z22" s="165"/>
      <c r="AA22" s="165"/>
      <c r="AB22" s="165"/>
      <c r="AC22" s="165"/>
    </row>
    <row r="23" ht="15.75" customHeight="1">
      <c r="A23" s="165"/>
      <c r="B23" s="165"/>
      <c r="C23" s="38" t="s">
        <v>165</v>
      </c>
      <c r="D23" s="38" t="s">
        <v>166</v>
      </c>
      <c r="E23" s="206">
        <v>46183.59097222222</v>
      </c>
      <c r="F23" s="38" t="s">
        <v>167</v>
      </c>
      <c r="G23" s="166" t="s">
        <v>168</v>
      </c>
      <c r="H23" s="38" t="s">
        <v>169</v>
      </c>
      <c r="I23" s="38" t="s">
        <v>170</v>
      </c>
      <c r="J23" s="38" t="s">
        <v>171</v>
      </c>
      <c r="K23" s="38" t="s">
        <v>171</v>
      </c>
      <c r="L23" s="38" t="s">
        <v>172</v>
      </c>
      <c r="M23" s="207">
        <v>29997.68</v>
      </c>
      <c r="N23" s="38" t="s">
        <v>173</v>
      </c>
      <c r="O23" s="208">
        <v>46182.22638888889</v>
      </c>
      <c r="P23" s="209"/>
      <c r="Q23" s="210">
        <f t="shared" ref="Q23:Q34" si="1">NETWORKDAYS(E23, TODAY())-1</f>
        <v>5</v>
      </c>
      <c r="R23" s="175" t="s">
        <v>174</v>
      </c>
      <c r="S23" s="175" t="s">
        <v>95</v>
      </c>
      <c r="T23" s="211"/>
      <c r="U23" s="34"/>
      <c r="V23" s="165"/>
      <c r="W23" s="165"/>
      <c r="X23" s="165"/>
      <c r="Y23" s="165"/>
      <c r="Z23" s="165"/>
      <c r="AA23" s="165"/>
      <c r="AB23" s="165"/>
      <c r="AC23" s="165"/>
    </row>
    <row r="24" ht="15.75" customHeight="1">
      <c r="A24" s="165"/>
      <c r="B24" s="165"/>
      <c r="C24" s="38" t="s">
        <v>165</v>
      </c>
      <c r="D24" s="38" t="s">
        <v>175</v>
      </c>
      <c r="E24" s="212">
        <v>46184.53333333333</v>
      </c>
      <c r="F24" s="38" t="s">
        <v>167</v>
      </c>
      <c r="G24" s="166">
        <v>18184.43</v>
      </c>
      <c r="H24" s="38" t="s">
        <v>169</v>
      </c>
      <c r="I24" s="38" t="s">
        <v>170</v>
      </c>
      <c r="J24" s="38" t="s">
        <v>176</v>
      </c>
      <c r="K24" s="38" t="s">
        <v>176</v>
      </c>
      <c r="L24" s="38" t="s">
        <v>177</v>
      </c>
      <c r="M24" s="207">
        <v>18184.43</v>
      </c>
      <c r="N24" s="38" t="s">
        <v>173</v>
      </c>
      <c r="O24" s="213">
        <v>46183.16875</v>
      </c>
      <c r="P24" s="209"/>
      <c r="Q24" s="214">
        <f t="shared" si="1"/>
        <v>4</v>
      </c>
      <c r="R24" s="175" t="s">
        <v>95</v>
      </c>
      <c r="S24" s="175" t="s">
        <v>95</v>
      </c>
      <c r="T24" s="211"/>
      <c r="U24" s="34"/>
      <c r="V24" s="165"/>
      <c r="W24" s="165"/>
      <c r="X24" s="165"/>
      <c r="Y24" s="165"/>
      <c r="Z24" s="165"/>
      <c r="AA24" s="165"/>
      <c r="AB24" s="165"/>
      <c r="AC24" s="165"/>
    </row>
    <row r="25" ht="15.75" customHeight="1">
      <c r="A25" s="165"/>
      <c r="B25" s="165"/>
      <c r="C25" s="38" t="s">
        <v>165</v>
      </c>
      <c r="D25" s="38" t="s">
        <v>178</v>
      </c>
      <c r="E25" s="212">
        <v>46188.54675925926</v>
      </c>
      <c r="F25" s="38" t="s">
        <v>167</v>
      </c>
      <c r="G25" s="166">
        <v>64323.37</v>
      </c>
      <c r="H25" s="38" t="s">
        <v>169</v>
      </c>
      <c r="I25" s="38" t="s">
        <v>170</v>
      </c>
      <c r="J25" s="38" t="s">
        <v>179</v>
      </c>
      <c r="K25" s="38" t="s">
        <v>179</v>
      </c>
      <c r="L25" s="38" t="s">
        <v>180</v>
      </c>
      <c r="M25" s="207">
        <v>64323.37</v>
      </c>
      <c r="N25" s="38" t="s">
        <v>173</v>
      </c>
      <c r="O25" s="213">
        <v>46185.08598379629</v>
      </c>
      <c r="P25" s="209"/>
      <c r="Q25" s="214">
        <f t="shared" si="1"/>
        <v>2</v>
      </c>
      <c r="R25" s="175" t="s">
        <v>95</v>
      </c>
      <c r="S25" s="175" t="s">
        <v>95</v>
      </c>
      <c r="T25" s="211"/>
      <c r="U25" s="34"/>
      <c r="V25" s="165"/>
      <c r="W25" s="165"/>
      <c r="X25" s="165"/>
      <c r="Y25" s="165"/>
      <c r="Z25" s="165"/>
      <c r="AA25" s="165"/>
      <c r="AB25" s="165"/>
      <c r="AC25" s="165"/>
    </row>
    <row r="26" ht="15.75" customHeight="1">
      <c r="A26" s="165"/>
      <c r="B26" s="165"/>
      <c r="C26" s="38" t="s">
        <v>165</v>
      </c>
      <c r="D26" s="38" t="s">
        <v>181</v>
      </c>
      <c r="E26" s="212">
        <v>46188.54675925926</v>
      </c>
      <c r="F26" s="38" t="s">
        <v>167</v>
      </c>
      <c r="G26" s="166">
        <v>40492.94</v>
      </c>
      <c r="H26" s="38" t="s">
        <v>169</v>
      </c>
      <c r="I26" s="38" t="s">
        <v>170</v>
      </c>
      <c r="J26" s="38" t="s">
        <v>182</v>
      </c>
      <c r="K26" s="38" t="s">
        <v>182</v>
      </c>
      <c r="L26" s="38" t="s">
        <v>183</v>
      </c>
      <c r="M26" s="207">
        <v>40492.94</v>
      </c>
      <c r="N26" s="38" t="s">
        <v>173</v>
      </c>
      <c r="O26" s="215">
        <v>46185.668761574074</v>
      </c>
      <c r="P26" s="209"/>
      <c r="Q26" s="214">
        <f t="shared" si="1"/>
        <v>2</v>
      </c>
      <c r="R26" s="175" t="s">
        <v>95</v>
      </c>
      <c r="S26" s="175" t="s">
        <v>95</v>
      </c>
      <c r="T26" s="211"/>
      <c r="U26" s="34"/>
      <c r="V26" s="165"/>
      <c r="W26" s="165"/>
      <c r="X26" s="165"/>
      <c r="Y26" s="165"/>
      <c r="Z26" s="165"/>
      <c r="AA26" s="165"/>
      <c r="AB26" s="165"/>
      <c r="AC26" s="165"/>
    </row>
    <row r="27" ht="15.75" customHeight="1">
      <c r="A27" s="165"/>
      <c r="B27" s="165"/>
      <c r="C27" s="38" t="s">
        <v>165</v>
      </c>
      <c r="D27" s="38" t="s">
        <v>184</v>
      </c>
      <c r="E27" s="212">
        <v>46189.468923611115</v>
      </c>
      <c r="F27" s="38" t="s">
        <v>167</v>
      </c>
      <c r="G27" s="38">
        <v>21471.6</v>
      </c>
      <c r="H27" s="38" t="s">
        <v>169</v>
      </c>
      <c r="I27" s="38" t="s">
        <v>170</v>
      </c>
      <c r="J27" s="38" t="s">
        <v>185</v>
      </c>
      <c r="K27" s="38" t="s">
        <v>185</v>
      </c>
      <c r="L27" s="38" t="s">
        <v>186</v>
      </c>
      <c r="M27" s="207">
        <v>21471.6</v>
      </c>
      <c r="N27" s="38" t="s">
        <v>173</v>
      </c>
      <c r="O27" s="215">
        <v>46188.66883101852</v>
      </c>
      <c r="P27" s="209"/>
      <c r="Q27" s="214">
        <f t="shared" si="1"/>
        <v>1</v>
      </c>
      <c r="R27" s="175" t="s">
        <v>95</v>
      </c>
      <c r="S27" s="175" t="s">
        <v>95</v>
      </c>
      <c r="T27" s="211"/>
      <c r="U27" s="34"/>
      <c r="V27" s="165"/>
      <c r="W27" s="165"/>
      <c r="X27" s="165"/>
      <c r="Y27" s="165"/>
      <c r="Z27" s="165"/>
      <c r="AA27" s="165"/>
      <c r="AB27" s="165"/>
      <c r="AC27" s="165"/>
    </row>
    <row r="28" ht="15.75" customHeight="1">
      <c r="A28" s="165"/>
      <c r="B28" s="165"/>
      <c r="C28" s="38" t="s">
        <v>165</v>
      </c>
      <c r="D28" s="38" t="s">
        <v>187</v>
      </c>
      <c r="E28" s="212">
        <v>46189.468923611115</v>
      </c>
      <c r="F28" s="38" t="s">
        <v>167</v>
      </c>
      <c r="G28" s="38">
        <v>20974.52</v>
      </c>
      <c r="H28" s="38" t="s">
        <v>169</v>
      </c>
      <c r="I28" s="38" t="s">
        <v>170</v>
      </c>
      <c r="J28" s="38" t="s">
        <v>188</v>
      </c>
      <c r="K28" s="38" t="s">
        <v>188</v>
      </c>
      <c r="L28" s="38" t="s">
        <v>189</v>
      </c>
      <c r="M28" s="207">
        <v>20974.52</v>
      </c>
      <c r="N28" s="38" t="s">
        <v>173</v>
      </c>
      <c r="O28" s="213">
        <v>46188.66883101852</v>
      </c>
      <c r="P28" s="209"/>
      <c r="Q28" s="214">
        <f t="shared" si="1"/>
        <v>1</v>
      </c>
      <c r="R28" s="175" t="s">
        <v>95</v>
      </c>
      <c r="S28" s="175" t="s">
        <v>95</v>
      </c>
      <c r="T28" s="211"/>
      <c r="U28" s="34"/>
      <c r="V28" s="165"/>
      <c r="W28" s="165"/>
      <c r="X28" s="165"/>
      <c r="Y28" s="165"/>
      <c r="Z28" s="165"/>
      <c r="AA28" s="165"/>
      <c r="AB28" s="165"/>
      <c r="AC28" s="165"/>
    </row>
    <row r="29" ht="15.75" customHeight="1">
      <c r="A29" s="165"/>
      <c r="B29" s="165"/>
      <c r="C29" s="38" t="s">
        <v>165</v>
      </c>
      <c r="D29" s="38" t="s">
        <v>190</v>
      </c>
      <c r="E29" s="212">
        <v>46189.468923611115</v>
      </c>
      <c r="F29" s="38" t="s">
        <v>167</v>
      </c>
      <c r="G29" s="38">
        <v>20918.18</v>
      </c>
      <c r="H29" s="38" t="s">
        <v>169</v>
      </c>
      <c r="I29" s="38" t="s">
        <v>170</v>
      </c>
      <c r="J29" s="38" t="s">
        <v>191</v>
      </c>
      <c r="K29" s="38" t="s">
        <v>191</v>
      </c>
      <c r="L29" s="38" t="s">
        <v>192</v>
      </c>
      <c r="M29" s="207">
        <v>20918.18</v>
      </c>
      <c r="N29" s="38" t="s">
        <v>173</v>
      </c>
      <c r="O29" s="215">
        <v>46188.6688425926</v>
      </c>
      <c r="P29" s="209"/>
      <c r="Q29" s="214">
        <f t="shared" si="1"/>
        <v>1</v>
      </c>
      <c r="R29" s="175" t="s">
        <v>95</v>
      </c>
      <c r="S29" s="175" t="s">
        <v>95</v>
      </c>
      <c r="T29" s="211"/>
      <c r="U29" s="34"/>
      <c r="V29" s="165"/>
      <c r="W29" s="165"/>
      <c r="X29" s="165"/>
      <c r="Y29" s="165"/>
      <c r="Z29" s="165"/>
      <c r="AA29" s="165"/>
      <c r="AB29" s="165"/>
      <c r="AC29" s="165"/>
    </row>
    <row r="30" ht="15.75" customHeight="1">
      <c r="A30" s="165"/>
      <c r="B30" s="165"/>
      <c r="C30" s="38" t="s">
        <v>165</v>
      </c>
      <c r="D30" s="38" t="s">
        <v>193</v>
      </c>
      <c r="E30" s="212">
        <v>46189.468935185185</v>
      </c>
      <c r="F30" s="38" t="s">
        <v>167</v>
      </c>
      <c r="G30" s="38">
        <v>7.35</v>
      </c>
      <c r="H30" s="38" t="s">
        <v>169</v>
      </c>
      <c r="I30" s="38" t="s">
        <v>170</v>
      </c>
      <c r="J30" s="38" t="s">
        <v>194</v>
      </c>
      <c r="K30" s="38" t="s">
        <v>194</v>
      </c>
      <c r="L30" s="38" t="s">
        <v>195</v>
      </c>
      <c r="M30" s="207">
        <v>7.35</v>
      </c>
      <c r="N30" s="38" t="s">
        <v>173</v>
      </c>
      <c r="O30" s="215">
        <v>46188.454293981486</v>
      </c>
      <c r="P30" s="209"/>
      <c r="Q30" s="214">
        <f t="shared" si="1"/>
        <v>1</v>
      </c>
      <c r="R30" s="175" t="s">
        <v>95</v>
      </c>
      <c r="S30" s="175" t="s">
        <v>95</v>
      </c>
      <c r="T30" s="211"/>
      <c r="U30" s="34"/>
      <c r="V30" s="165"/>
      <c r="W30" s="165"/>
      <c r="X30" s="165"/>
      <c r="Y30" s="165"/>
      <c r="Z30" s="165"/>
      <c r="AA30" s="165"/>
      <c r="AB30" s="165"/>
      <c r="AC30" s="165"/>
    </row>
    <row r="31" ht="15.75" customHeight="1">
      <c r="A31" s="165"/>
      <c r="B31" s="165"/>
      <c r="C31" s="38" t="s">
        <v>165</v>
      </c>
      <c r="D31" s="38" t="s">
        <v>196</v>
      </c>
      <c r="E31" s="212">
        <v>46189.468935185185</v>
      </c>
      <c r="F31" s="38" t="s">
        <v>167</v>
      </c>
      <c r="G31" s="38">
        <v>250.0</v>
      </c>
      <c r="H31" s="38" t="s">
        <v>169</v>
      </c>
      <c r="I31" s="38" t="s">
        <v>170</v>
      </c>
      <c r="J31" s="38" t="s">
        <v>197</v>
      </c>
      <c r="K31" s="38" t="s">
        <v>197</v>
      </c>
      <c r="L31" s="38" t="s">
        <v>198</v>
      </c>
      <c r="M31" s="207">
        <v>250.0</v>
      </c>
      <c r="N31" s="38" t="s">
        <v>173</v>
      </c>
      <c r="O31" s="215">
        <v>46188.66883101852</v>
      </c>
      <c r="P31" s="209"/>
      <c r="Q31" s="214">
        <f t="shared" si="1"/>
        <v>1</v>
      </c>
      <c r="R31" s="175" t="s">
        <v>95</v>
      </c>
      <c r="S31" s="175" t="s">
        <v>95</v>
      </c>
      <c r="T31" s="211"/>
      <c r="U31" s="34"/>
      <c r="V31" s="165"/>
      <c r="W31" s="165"/>
      <c r="X31" s="165"/>
      <c r="Y31" s="165"/>
      <c r="Z31" s="165"/>
      <c r="AA31" s="165"/>
      <c r="AB31" s="165"/>
      <c r="AC31" s="165"/>
    </row>
    <row r="32" ht="15.75" customHeight="1">
      <c r="A32" s="165"/>
      <c r="B32" s="165"/>
      <c r="C32" s="38" t="s">
        <v>165</v>
      </c>
      <c r="D32" s="38" t="s">
        <v>199</v>
      </c>
      <c r="E32" s="212">
        <v>46189.468935185185</v>
      </c>
      <c r="F32" s="38" t="s">
        <v>167</v>
      </c>
      <c r="G32" s="38">
        <v>42534.92</v>
      </c>
      <c r="H32" s="38" t="s">
        <v>169</v>
      </c>
      <c r="I32" s="38" t="s">
        <v>170</v>
      </c>
      <c r="J32" s="38" t="s">
        <v>200</v>
      </c>
      <c r="K32" s="38" t="s">
        <v>200</v>
      </c>
      <c r="L32" s="38" t="s">
        <v>201</v>
      </c>
      <c r="M32" s="207">
        <v>42534.92</v>
      </c>
      <c r="N32" s="38" t="s">
        <v>173</v>
      </c>
      <c r="O32" s="215">
        <v>46188.6688425926</v>
      </c>
      <c r="P32" s="209"/>
      <c r="Q32" s="214">
        <f t="shared" si="1"/>
        <v>1</v>
      </c>
      <c r="R32" s="175" t="s">
        <v>95</v>
      </c>
      <c r="S32" s="175" t="s">
        <v>95</v>
      </c>
      <c r="T32" s="211"/>
      <c r="U32" s="34"/>
      <c r="V32" s="165"/>
      <c r="W32" s="165"/>
      <c r="X32" s="165"/>
      <c r="Y32" s="165"/>
      <c r="Z32" s="165"/>
      <c r="AA32" s="165"/>
      <c r="AB32" s="165"/>
      <c r="AC32" s="165"/>
    </row>
    <row r="33" ht="15.75" customHeight="1">
      <c r="A33" s="165"/>
      <c r="B33" s="165"/>
      <c r="C33" s="38" t="s">
        <v>165</v>
      </c>
      <c r="D33" s="38" t="s">
        <v>202</v>
      </c>
      <c r="E33" s="212">
        <v>46189.575625</v>
      </c>
      <c r="F33" s="38" t="s">
        <v>167</v>
      </c>
      <c r="G33" s="38">
        <v>14930.71</v>
      </c>
      <c r="H33" s="38" t="s">
        <v>169</v>
      </c>
      <c r="I33" s="38" t="s">
        <v>170</v>
      </c>
      <c r="J33" s="38" t="s">
        <v>203</v>
      </c>
      <c r="K33" s="38"/>
      <c r="L33" s="38"/>
      <c r="M33" s="38">
        <v>14930.71</v>
      </c>
      <c r="N33" s="38"/>
      <c r="O33" s="215"/>
      <c r="P33" s="209"/>
      <c r="Q33" s="214">
        <f t="shared" si="1"/>
        <v>1</v>
      </c>
      <c r="R33" s="175" t="s">
        <v>95</v>
      </c>
      <c r="S33" s="175" t="s">
        <v>95</v>
      </c>
      <c r="T33" s="211"/>
      <c r="U33" s="34"/>
      <c r="V33" s="165"/>
      <c r="W33" s="165"/>
      <c r="X33" s="165"/>
      <c r="Y33" s="165"/>
      <c r="Z33" s="165"/>
      <c r="AA33" s="165"/>
      <c r="AB33" s="165"/>
      <c r="AC33" s="165"/>
    </row>
    <row r="34" ht="15.75" customHeight="1">
      <c r="A34" s="165"/>
      <c r="B34" s="165"/>
      <c r="C34" s="38" t="s">
        <v>165</v>
      </c>
      <c r="D34" s="38" t="s">
        <v>204</v>
      </c>
      <c r="E34" s="212">
        <v>46189.631377314814</v>
      </c>
      <c r="F34" s="38" t="s">
        <v>167</v>
      </c>
      <c r="G34" s="38">
        <v>20000.0</v>
      </c>
      <c r="H34" s="38" t="s">
        <v>169</v>
      </c>
      <c r="I34" s="38" t="s">
        <v>170</v>
      </c>
      <c r="J34" s="38" t="s">
        <v>205</v>
      </c>
      <c r="K34" s="38"/>
      <c r="L34" s="38"/>
      <c r="M34" s="38">
        <v>20000.0</v>
      </c>
      <c r="N34" s="38"/>
      <c r="O34" s="215"/>
      <c r="P34" s="209"/>
      <c r="Q34" s="214">
        <f t="shared" si="1"/>
        <v>1</v>
      </c>
      <c r="R34" s="175" t="s">
        <v>95</v>
      </c>
      <c r="S34" s="175" t="s">
        <v>95</v>
      </c>
      <c r="T34" s="211"/>
      <c r="U34" s="34"/>
      <c r="V34" s="165"/>
      <c r="W34" s="165"/>
      <c r="X34" s="165"/>
      <c r="Y34" s="165"/>
      <c r="Z34" s="165"/>
      <c r="AA34" s="165"/>
      <c r="AB34" s="165"/>
      <c r="AC34" s="165"/>
    </row>
    <row r="35" ht="15.75" customHeight="1">
      <c r="A35" s="165"/>
      <c r="B35" s="165"/>
      <c r="C35" s="216"/>
      <c r="D35" s="217"/>
      <c r="E35" s="218"/>
      <c r="F35" s="217"/>
      <c r="G35" s="219"/>
      <c r="H35" s="217"/>
      <c r="I35" s="217"/>
      <c r="J35" s="217"/>
      <c r="K35" s="217"/>
      <c r="L35" s="220" t="s">
        <v>206</v>
      </c>
      <c r="M35" s="221">
        <f>sum(M23:M34)</f>
        <v>294085.7</v>
      </c>
      <c r="N35" s="217"/>
      <c r="O35" s="222"/>
      <c r="P35" s="165"/>
      <c r="Q35" s="168"/>
      <c r="R35" s="165"/>
      <c r="S35" s="165"/>
      <c r="T35" s="34"/>
      <c r="U35" s="34"/>
      <c r="V35" s="34"/>
      <c r="W35" s="165"/>
      <c r="X35" s="165"/>
      <c r="Y35" s="165"/>
      <c r="Z35" s="165"/>
      <c r="AA35" s="165"/>
      <c r="AB35" s="165"/>
      <c r="AC35" s="165"/>
    </row>
    <row r="36" ht="15.75" customHeight="1">
      <c r="A36" s="165"/>
      <c r="B36" s="165"/>
      <c r="C36" s="165"/>
      <c r="D36" s="165"/>
      <c r="E36" s="223"/>
      <c r="F36" s="165"/>
      <c r="G36" s="166"/>
      <c r="H36" s="165"/>
      <c r="I36" s="165"/>
      <c r="J36" s="165"/>
      <c r="K36" s="165"/>
      <c r="L36" s="167"/>
      <c r="M36" s="34"/>
      <c r="N36" s="165"/>
      <c r="O36" s="223"/>
      <c r="P36" s="165"/>
      <c r="Q36" s="165"/>
      <c r="R36" s="165"/>
      <c r="S36" s="165"/>
      <c r="T36" s="34"/>
      <c r="U36" s="34"/>
      <c r="V36" s="34"/>
      <c r="W36" s="165"/>
      <c r="X36" s="165"/>
      <c r="Y36" s="165"/>
      <c r="Z36" s="165"/>
      <c r="AA36" s="165"/>
      <c r="AB36" s="165"/>
      <c r="AC36" s="165"/>
    </row>
    <row r="37" ht="15.75" customHeight="1">
      <c r="A37" s="165"/>
      <c r="B37" s="165"/>
      <c r="C37" s="165"/>
      <c r="D37" s="165"/>
      <c r="E37" s="223"/>
      <c r="F37" s="165"/>
      <c r="G37" s="166"/>
      <c r="H37" s="165"/>
      <c r="I37" s="165"/>
      <c r="J37" s="165"/>
      <c r="K37" s="165"/>
      <c r="L37" s="167"/>
      <c r="M37" s="34"/>
      <c r="N37" s="165"/>
      <c r="O37" s="223"/>
      <c r="P37" s="165"/>
      <c r="Q37" s="165"/>
      <c r="R37" s="165"/>
      <c r="S37" s="165"/>
      <c r="T37" s="34"/>
      <c r="U37" s="34"/>
      <c r="V37" s="34"/>
      <c r="W37" s="165"/>
      <c r="X37" s="165"/>
      <c r="Y37" s="165"/>
      <c r="Z37" s="165"/>
      <c r="AA37" s="165"/>
      <c r="AB37" s="165"/>
      <c r="AC37" s="165"/>
    </row>
    <row r="38" ht="15.75" customHeight="1">
      <c r="A38" s="165"/>
      <c r="B38" s="165"/>
      <c r="C38" s="165"/>
      <c r="D38" s="165"/>
      <c r="E38" s="223"/>
      <c r="F38" s="165"/>
      <c r="G38" s="166"/>
      <c r="H38" s="165"/>
      <c r="I38" s="165"/>
      <c r="J38" s="165"/>
      <c r="K38" s="165"/>
      <c r="L38" s="220" t="s">
        <v>207</v>
      </c>
      <c r="M38" s="224">
        <f>M35-M18</f>
        <v>0</v>
      </c>
      <c r="N38" s="165"/>
      <c r="O38" s="223"/>
      <c r="P38" s="165"/>
      <c r="Q38" s="165"/>
      <c r="R38" s="165"/>
      <c r="S38" s="165"/>
      <c r="T38" s="34"/>
      <c r="U38" s="34"/>
      <c r="V38" s="34"/>
      <c r="W38" s="165"/>
      <c r="X38" s="165"/>
      <c r="Y38" s="165"/>
      <c r="Z38" s="165"/>
      <c r="AA38" s="165"/>
      <c r="AB38" s="165"/>
      <c r="AC38" s="165"/>
    </row>
    <row r="39" ht="15.75" customHeight="1">
      <c r="A39" s="165"/>
      <c r="B39" s="165"/>
      <c r="C39" s="165"/>
      <c r="D39" s="165"/>
      <c r="E39" s="223"/>
      <c r="F39" s="165"/>
      <c r="G39" s="166"/>
      <c r="H39" s="165"/>
      <c r="I39" s="165"/>
      <c r="J39" s="165"/>
      <c r="K39" s="165"/>
      <c r="L39" s="167"/>
      <c r="M39" s="34"/>
      <c r="N39" s="165"/>
      <c r="O39" s="223"/>
      <c r="P39" s="165"/>
      <c r="Q39" s="165"/>
      <c r="R39" s="165"/>
      <c r="S39" s="165"/>
      <c r="T39" s="34"/>
      <c r="U39" s="34"/>
      <c r="V39" s="34"/>
      <c r="W39" s="165"/>
      <c r="X39" s="165"/>
      <c r="Y39" s="165"/>
      <c r="Z39" s="165"/>
      <c r="AA39" s="165"/>
      <c r="AB39" s="165"/>
      <c r="AC39" s="165"/>
    </row>
    <row r="40">
      <c r="A40" s="165"/>
      <c r="B40" s="169" t="s">
        <v>208</v>
      </c>
      <c r="C40" s="165"/>
      <c r="D40" s="165"/>
      <c r="E40" s="223"/>
      <c r="F40" s="165"/>
      <c r="G40" s="166"/>
      <c r="H40" s="165"/>
      <c r="I40" s="165"/>
      <c r="J40" s="165"/>
      <c r="K40" s="165"/>
      <c r="L40" s="167"/>
      <c r="M40" s="34"/>
      <c r="N40" s="165"/>
      <c r="O40" s="223"/>
      <c r="P40" s="165"/>
      <c r="Q40" s="165"/>
      <c r="R40" s="165"/>
      <c r="S40" s="165"/>
      <c r="T40" s="34"/>
      <c r="U40" s="34"/>
      <c r="V40" s="34"/>
      <c r="W40" s="165"/>
      <c r="X40" s="165"/>
      <c r="Y40" s="165"/>
      <c r="Z40" s="165"/>
      <c r="AA40" s="165"/>
      <c r="AB40" s="165"/>
      <c r="AC40" s="165"/>
    </row>
    <row r="41" ht="15.75" customHeight="1">
      <c r="A41" s="165"/>
      <c r="B41" s="165"/>
      <c r="C41" s="165"/>
      <c r="D41" s="165"/>
      <c r="E41" s="223"/>
      <c r="F41" s="165"/>
      <c r="G41" s="166"/>
      <c r="H41" s="165"/>
      <c r="I41" s="165"/>
      <c r="J41" s="165"/>
      <c r="K41" s="165"/>
      <c r="L41" s="167"/>
      <c r="M41" s="34"/>
      <c r="N41" s="165"/>
      <c r="O41" s="223"/>
      <c r="P41" s="165"/>
      <c r="Q41" s="165"/>
      <c r="R41" s="165"/>
      <c r="S41" s="165"/>
      <c r="T41" s="34"/>
      <c r="U41" s="34"/>
      <c r="V41" s="34"/>
      <c r="W41" s="165"/>
      <c r="X41" s="165"/>
      <c r="Y41" s="165"/>
      <c r="Z41" s="165"/>
      <c r="AA41" s="165"/>
      <c r="AB41" s="165"/>
      <c r="AC41" s="165"/>
    </row>
    <row r="42" ht="15.75" customHeight="1">
      <c r="A42" s="165"/>
      <c r="B42" s="165"/>
      <c r="C42" s="182" t="s">
        <v>141</v>
      </c>
      <c r="D42" s="183" t="s">
        <v>142</v>
      </c>
      <c r="E42" s="223"/>
      <c r="F42" s="165"/>
      <c r="G42" s="166"/>
      <c r="H42" s="165"/>
      <c r="I42" s="165"/>
      <c r="J42" s="165"/>
      <c r="K42" s="165"/>
      <c r="L42" s="167"/>
      <c r="M42" s="34"/>
      <c r="N42" s="165"/>
      <c r="O42" s="223"/>
      <c r="P42" s="165"/>
      <c r="Q42" s="165"/>
      <c r="R42" s="165"/>
      <c r="S42" s="165"/>
      <c r="T42" s="34"/>
      <c r="U42" s="34"/>
      <c r="V42" s="34"/>
      <c r="W42" s="165"/>
      <c r="X42" s="165"/>
      <c r="Y42" s="165"/>
      <c r="Z42" s="165"/>
      <c r="AA42" s="165"/>
      <c r="AB42" s="165"/>
      <c r="AC42" s="165"/>
    </row>
    <row r="43" ht="15.75" customHeight="1">
      <c r="A43" s="165"/>
      <c r="B43" s="165"/>
      <c r="C43" s="182" t="s">
        <v>143</v>
      </c>
      <c r="D43" s="183" t="s">
        <v>209</v>
      </c>
      <c r="E43" s="223"/>
      <c r="F43" s="165"/>
      <c r="G43" s="166"/>
      <c r="H43" s="165"/>
      <c r="I43" s="165"/>
      <c r="J43" s="165"/>
      <c r="K43" s="165"/>
      <c r="L43" s="167"/>
      <c r="M43" s="34"/>
      <c r="N43" s="165"/>
      <c r="O43" s="223"/>
      <c r="P43" s="165"/>
      <c r="Q43" s="165"/>
      <c r="R43" s="165"/>
      <c r="S43" s="165"/>
      <c r="T43" s="34"/>
      <c r="U43" s="165"/>
      <c r="V43" s="34"/>
      <c r="W43" s="165"/>
      <c r="X43" s="165"/>
      <c r="Y43" s="165"/>
      <c r="Z43" s="165"/>
      <c r="AA43" s="165"/>
      <c r="AB43" s="165"/>
      <c r="AC43" s="165"/>
    </row>
    <row r="44" ht="15.75" customHeight="1">
      <c r="A44" s="165"/>
      <c r="B44" s="165"/>
      <c r="C44" s="165"/>
      <c r="D44" s="165"/>
      <c r="E44" s="223"/>
      <c r="F44" s="165"/>
      <c r="G44" s="166"/>
      <c r="H44" s="165"/>
      <c r="I44" s="165"/>
      <c r="J44" s="165"/>
      <c r="K44" s="165"/>
      <c r="L44" s="167"/>
      <c r="M44" s="34"/>
      <c r="N44" s="165"/>
      <c r="O44" s="223"/>
      <c r="P44" s="165"/>
      <c r="Q44" s="165"/>
      <c r="R44" s="165"/>
      <c r="S44" s="165"/>
      <c r="T44" s="34"/>
      <c r="U44" s="165"/>
      <c r="V44" s="34"/>
      <c r="W44" s="165"/>
      <c r="X44" s="165"/>
      <c r="Y44" s="165"/>
      <c r="Z44" s="165"/>
      <c r="AA44" s="165"/>
      <c r="AB44" s="165"/>
      <c r="AC44" s="165"/>
    </row>
    <row r="45" ht="15.75" customHeight="1">
      <c r="A45" s="165"/>
      <c r="B45" s="165"/>
      <c r="C45" s="225" t="s">
        <v>145</v>
      </c>
      <c r="D45" s="165"/>
      <c r="E45" s="223"/>
      <c r="F45" s="165"/>
      <c r="G45" s="166"/>
      <c r="H45" s="165"/>
      <c r="I45" s="226"/>
      <c r="J45" s="226"/>
      <c r="K45" s="226"/>
      <c r="L45" s="167"/>
      <c r="M45" s="34"/>
      <c r="N45" s="165"/>
      <c r="O45" s="223"/>
      <c r="P45" s="165"/>
      <c r="Q45" s="168"/>
      <c r="R45" s="165"/>
      <c r="S45" s="165"/>
      <c r="T45" s="34"/>
      <c r="U45" s="165"/>
      <c r="V45" s="34"/>
      <c r="W45" s="34"/>
      <c r="X45" s="165"/>
      <c r="Y45" s="165"/>
      <c r="Z45" s="165"/>
      <c r="AA45" s="165"/>
      <c r="AB45" s="165"/>
      <c r="AC45" s="165"/>
    </row>
    <row r="46" ht="15.75" customHeight="1">
      <c r="A46" s="165"/>
      <c r="B46" s="165"/>
      <c r="C46" s="185"/>
      <c r="D46" s="186"/>
      <c r="E46" s="227"/>
      <c r="F46" s="186"/>
      <c r="G46" s="187"/>
      <c r="H46" s="186"/>
      <c r="I46" s="188"/>
      <c r="J46" s="188"/>
      <c r="K46" s="188"/>
      <c r="L46" s="188"/>
      <c r="M46" s="189"/>
      <c r="N46" s="165"/>
      <c r="O46" s="223"/>
      <c r="P46" s="165"/>
      <c r="Q46" s="168"/>
      <c r="R46" s="165"/>
      <c r="S46" s="165"/>
      <c r="T46" s="34"/>
      <c r="U46" s="165"/>
      <c r="V46" s="34"/>
      <c r="W46" s="34"/>
      <c r="X46" s="165"/>
      <c r="Y46" s="165"/>
      <c r="Z46" s="165"/>
      <c r="AA46" s="165"/>
      <c r="AB46" s="165"/>
      <c r="AC46" s="165"/>
    </row>
    <row r="47" ht="12.75" customHeight="1">
      <c r="A47" s="165"/>
      <c r="B47" s="165"/>
      <c r="C47" s="190">
        <f>F2</f>
        <v>46189</v>
      </c>
      <c r="D47" s="165" t="s">
        <v>146</v>
      </c>
      <c r="E47" s="223"/>
      <c r="F47" s="165"/>
      <c r="G47" s="166"/>
      <c r="H47" s="165"/>
      <c r="I47" s="167"/>
      <c r="J47" s="167"/>
      <c r="K47" s="167"/>
      <c r="L47" s="228" t="s">
        <v>147</v>
      </c>
      <c r="M47" s="192">
        <v>163659.42</v>
      </c>
      <c r="N47" s="165"/>
      <c r="O47" s="34"/>
      <c r="P47" s="165"/>
      <c r="Q47" s="168"/>
      <c r="R47" s="165"/>
      <c r="S47" s="165"/>
      <c r="T47" s="34"/>
      <c r="U47" s="165"/>
      <c r="V47" s="34"/>
      <c r="W47" s="34"/>
      <c r="X47" s="165"/>
      <c r="Y47" s="165"/>
      <c r="Z47" s="165"/>
      <c r="AA47" s="165"/>
      <c r="AB47" s="165"/>
      <c r="AC47" s="165"/>
    </row>
    <row r="48" ht="12.75" customHeight="1">
      <c r="A48" s="165"/>
      <c r="B48" s="165"/>
      <c r="C48" s="193"/>
      <c r="D48" s="194"/>
      <c r="E48" s="229"/>
      <c r="F48" s="194"/>
      <c r="G48" s="195"/>
      <c r="H48" s="194"/>
      <c r="I48" s="196"/>
      <c r="J48" s="196"/>
      <c r="K48" s="196"/>
      <c r="L48" s="196"/>
      <c r="M48" s="197"/>
      <c r="N48" s="165"/>
      <c r="O48" s="223"/>
      <c r="P48" s="165"/>
      <c r="Q48" s="168"/>
      <c r="R48" s="165"/>
      <c r="S48" s="165"/>
      <c r="T48" s="34"/>
      <c r="U48" s="165"/>
      <c r="V48" s="34"/>
      <c r="W48" s="34"/>
      <c r="X48" s="165"/>
      <c r="Y48" s="165"/>
      <c r="Z48" s="165"/>
      <c r="AA48" s="165"/>
      <c r="AB48" s="165"/>
      <c r="AC48" s="165"/>
    </row>
    <row r="49" ht="12.75" customHeight="1">
      <c r="A49" s="165"/>
      <c r="B49" s="165"/>
      <c r="C49" s="165"/>
      <c r="D49" s="165"/>
      <c r="E49" s="223"/>
      <c r="F49" s="165"/>
      <c r="G49" s="166"/>
      <c r="H49" s="165"/>
      <c r="I49" s="165"/>
      <c r="J49" s="165"/>
      <c r="K49" s="165"/>
      <c r="L49" s="167"/>
      <c r="M49" s="34"/>
      <c r="N49" s="165"/>
      <c r="O49" s="223"/>
      <c r="P49" s="165"/>
      <c r="Q49" s="168"/>
      <c r="R49" s="165"/>
      <c r="S49" s="165"/>
      <c r="T49" s="34"/>
      <c r="U49" s="34"/>
      <c r="V49" s="34"/>
      <c r="W49" s="34"/>
      <c r="X49" s="165"/>
      <c r="Y49" s="165"/>
      <c r="Z49" s="165"/>
      <c r="AA49" s="165"/>
      <c r="AB49" s="165"/>
      <c r="AC49" s="165"/>
    </row>
    <row r="50" ht="12.75" customHeight="1">
      <c r="A50" s="165"/>
      <c r="B50" s="165"/>
      <c r="C50" s="184" t="s">
        <v>210</v>
      </c>
      <c r="D50" s="165"/>
      <c r="E50" s="223"/>
      <c r="F50" s="165"/>
      <c r="G50" s="166"/>
      <c r="H50" s="165"/>
      <c r="I50" s="165"/>
      <c r="J50" s="165"/>
      <c r="K50" s="165"/>
      <c r="L50" s="167"/>
      <c r="M50" s="34"/>
      <c r="N50" s="166"/>
      <c r="O50" s="223"/>
      <c r="P50" s="165"/>
      <c r="Q50" s="168"/>
      <c r="R50" s="165"/>
      <c r="S50" s="165"/>
      <c r="T50" s="34"/>
      <c r="U50" s="34"/>
      <c r="V50" s="34"/>
      <c r="W50" s="34"/>
      <c r="X50" s="165"/>
      <c r="Y50" s="165"/>
      <c r="Z50" s="165"/>
      <c r="AA50" s="165"/>
      <c r="AB50" s="165"/>
      <c r="AC50" s="165"/>
    </row>
    <row r="51" ht="15.75" customHeight="1">
      <c r="A51" s="165"/>
      <c r="B51" s="165"/>
      <c r="C51" s="198" t="s">
        <v>149</v>
      </c>
      <c r="D51" s="199" t="s">
        <v>150</v>
      </c>
      <c r="E51" s="230" t="s">
        <v>151</v>
      </c>
      <c r="F51" s="199" t="s">
        <v>152</v>
      </c>
      <c r="G51" s="200" t="s">
        <v>153</v>
      </c>
      <c r="H51" s="199" t="s">
        <v>154</v>
      </c>
      <c r="I51" s="199" t="s">
        <v>155</v>
      </c>
      <c r="J51" s="199" t="s">
        <v>156</v>
      </c>
      <c r="K51" s="199" t="s">
        <v>157</v>
      </c>
      <c r="L51" s="231" t="s">
        <v>158</v>
      </c>
      <c r="M51" s="201" t="s">
        <v>159</v>
      </c>
      <c r="N51" s="200" t="s">
        <v>160</v>
      </c>
      <c r="O51" s="202" t="s">
        <v>161</v>
      </c>
      <c r="P51" s="165"/>
      <c r="Q51" s="203" t="s">
        <v>162</v>
      </c>
      <c r="R51" s="204" t="s">
        <v>163</v>
      </c>
      <c r="S51" s="205" t="s">
        <v>164</v>
      </c>
      <c r="T51" s="34"/>
      <c r="U51" s="34"/>
      <c r="V51" s="34"/>
      <c r="W51" s="34"/>
      <c r="X51" s="165"/>
      <c r="Y51" s="165"/>
      <c r="Z51" s="165"/>
      <c r="AA51" s="165"/>
      <c r="AB51" s="165"/>
      <c r="AC51" s="165"/>
    </row>
    <row r="52" ht="15.75" customHeight="1">
      <c r="A52" s="165"/>
      <c r="B52" s="165"/>
      <c r="C52" s="38" t="s">
        <v>165</v>
      </c>
      <c r="D52" s="38" t="s">
        <v>211</v>
      </c>
      <c r="E52" s="206">
        <v>45925.63055555556</v>
      </c>
      <c r="F52" s="38" t="s">
        <v>167</v>
      </c>
      <c r="G52" s="166" t="s">
        <v>212</v>
      </c>
      <c r="H52" s="38" t="s">
        <v>213</v>
      </c>
      <c r="I52" s="38" t="s">
        <v>214</v>
      </c>
      <c r="J52" s="38" t="s">
        <v>215</v>
      </c>
      <c r="K52" s="38"/>
      <c r="L52" s="167"/>
      <c r="M52" s="232">
        <v>25.82</v>
      </c>
      <c r="N52" s="38"/>
      <c r="O52" s="233"/>
      <c r="P52" s="165"/>
      <c r="Q52" s="210">
        <f t="shared" ref="Q52:Q65" si="2">NETWORKDAYS(E52, TODAY())-1</f>
        <v>189</v>
      </c>
      <c r="R52" s="175" t="s">
        <v>216</v>
      </c>
      <c r="S52" s="175" t="s">
        <v>217</v>
      </c>
      <c r="T52" s="34"/>
      <c r="U52" s="34"/>
      <c r="V52" s="34"/>
      <c r="W52" s="34"/>
      <c r="X52" s="34"/>
      <c r="Y52" s="165"/>
      <c r="Z52" s="165"/>
      <c r="AA52" s="165"/>
      <c r="AB52" s="165"/>
      <c r="AC52" s="165"/>
    </row>
    <row r="53" ht="15.75" customHeight="1">
      <c r="A53" s="165"/>
      <c r="B53" s="165"/>
      <c r="C53" s="38" t="s">
        <v>165</v>
      </c>
      <c r="D53" s="38" t="s">
        <v>218</v>
      </c>
      <c r="E53" s="206">
        <v>45957.66111111111</v>
      </c>
      <c r="F53" s="38" t="s">
        <v>167</v>
      </c>
      <c r="G53" s="166" t="s">
        <v>219</v>
      </c>
      <c r="H53" s="38" t="s">
        <v>213</v>
      </c>
      <c r="I53" s="38" t="s">
        <v>214</v>
      </c>
      <c r="J53" s="38" t="s">
        <v>220</v>
      </c>
      <c r="K53" s="38"/>
      <c r="L53" s="167"/>
      <c r="M53" s="232">
        <v>39.36</v>
      </c>
      <c r="N53" s="38"/>
      <c r="O53" s="233"/>
      <c r="P53" s="165"/>
      <c r="Q53" s="210">
        <f t="shared" si="2"/>
        <v>167</v>
      </c>
      <c r="R53" s="175" t="s">
        <v>216</v>
      </c>
      <c r="S53" s="175" t="s">
        <v>221</v>
      </c>
      <c r="T53" s="34"/>
      <c r="U53" s="34"/>
      <c r="V53" s="34"/>
      <c r="W53" s="34"/>
      <c r="X53" s="34"/>
      <c r="Y53" s="165"/>
      <c r="Z53" s="165"/>
      <c r="AA53" s="165"/>
      <c r="AB53" s="165"/>
      <c r="AC53" s="165"/>
    </row>
    <row r="54" ht="15.75" customHeight="1">
      <c r="A54" s="165"/>
      <c r="B54" s="165"/>
      <c r="C54" s="38" t="s">
        <v>165</v>
      </c>
      <c r="D54" s="38" t="s">
        <v>222</v>
      </c>
      <c r="E54" s="206">
        <v>46050.62777777778</v>
      </c>
      <c r="F54" s="38" t="s">
        <v>167</v>
      </c>
      <c r="G54" s="166" t="s">
        <v>223</v>
      </c>
      <c r="H54" s="38" t="s">
        <v>213</v>
      </c>
      <c r="I54" s="38" t="s">
        <v>214</v>
      </c>
      <c r="J54" s="38" t="s">
        <v>220</v>
      </c>
      <c r="K54" s="38"/>
      <c r="L54" s="167"/>
      <c r="M54" s="232">
        <v>1250.5</v>
      </c>
      <c r="N54" s="38"/>
      <c r="O54" s="233"/>
      <c r="P54" s="165"/>
      <c r="Q54" s="210">
        <f t="shared" si="2"/>
        <v>100</v>
      </c>
      <c r="R54" s="175" t="s">
        <v>216</v>
      </c>
      <c r="S54" s="234" t="s">
        <v>224</v>
      </c>
      <c r="T54" s="34"/>
      <c r="U54" s="34"/>
      <c r="V54" s="34"/>
      <c r="W54" s="34"/>
      <c r="X54" s="34"/>
      <c r="Y54" s="165"/>
      <c r="Z54" s="165"/>
      <c r="AA54" s="165"/>
      <c r="AB54" s="165"/>
      <c r="AC54" s="165"/>
    </row>
    <row r="55" ht="15.75" customHeight="1">
      <c r="A55" s="165"/>
      <c r="B55" s="165"/>
      <c r="C55" s="38" t="s">
        <v>165</v>
      </c>
      <c r="D55" s="38" t="s">
        <v>225</v>
      </c>
      <c r="E55" s="206">
        <v>46080.39513888889</v>
      </c>
      <c r="F55" s="38" t="s">
        <v>167</v>
      </c>
      <c r="G55" s="166" t="s">
        <v>226</v>
      </c>
      <c r="H55" s="38" t="s">
        <v>213</v>
      </c>
      <c r="I55" s="38" t="s">
        <v>214</v>
      </c>
      <c r="J55" s="38" t="s">
        <v>220</v>
      </c>
      <c r="K55" s="38"/>
      <c r="L55" s="167"/>
      <c r="M55" s="232">
        <v>2168.01</v>
      </c>
      <c r="N55" s="38"/>
      <c r="O55" s="233"/>
      <c r="P55" s="165"/>
      <c r="Q55" s="210">
        <f t="shared" si="2"/>
        <v>78</v>
      </c>
      <c r="R55" s="235" t="s">
        <v>216</v>
      </c>
      <c r="S55" s="236" t="s">
        <v>227</v>
      </c>
      <c r="T55" s="34"/>
      <c r="U55" s="34"/>
      <c r="V55" s="34"/>
      <c r="W55" s="34"/>
      <c r="X55" s="34"/>
      <c r="Y55" s="165"/>
      <c r="Z55" s="165"/>
      <c r="AA55" s="165"/>
      <c r="AB55" s="165"/>
      <c r="AC55" s="165"/>
    </row>
    <row r="56" ht="15.75" customHeight="1">
      <c r="A56" s="165"/>
      <c r="B56" s="165"/>
      <c r="C56" s="38" t="s">
        <v>165</v>
      </c>
      <c r="D56" s="38" t="s">
        <v>228</v>
      </c>
      <c r="E56" s="212">
        <v>46178.64857638889</v>
      </c>
      <c r="F56" s="38" t="s">
        <v>167</v>
      </c>
      <c r="G56" s="207">
        <v>13.99</v>
      </c>
      <c r="H56" s="38" t="s">
        <v>213</v>
      </c>
      <c r="I56" s="38" t="s">
        <v>214</v>
      </c>
      <c r="J56" s="38" t="s">
        <v>229</v>
      </c>
      <c r="K56" s="38" t="s">
        <v>229</v>
      </c>
      <c r="L56" s="38" t="s">
        <v>230</v>
      </c>
      <c r="M56" s="207">
        <v>13.99</v>
      </c>
      <c r="N56" s="38" t="s">
        <v>173</v>
      </c>
      <c r="O56" s="213">
        <v>46177.47902777778</v>
      </c>
      <c r="P56" s="165"/>
      <c r="Q56" s="237">
        <f t="shared" si="2"/>
        <v>8</v>
      </c>
      <c r="R56" s="175" t="s">
        <v>95</v>
      </c>
      <c r="S56" s="175" t="s">
        <v>95</v>
      </c>
      <c r="T56" s="34"/>
      <c r="U56" s="34"/>
      <c r="V56" s="34"/>
      <c r="W56" s="34"/>
      <c r="X56" s="34"/>
      <c r="Y56" s="165"/>
      <c r="Z56" s="165"/>
      <c r="AA56" s="165"/>
      <c r="AB56" s="165"/>
      <c r="AC56" s="165"/>
    </row>
    <row r="57" ht="15.75" customHeight="1">
      <c r="A57" s="165"/>
      <c r="B57" s="165"/>
      <c r="C57" s="38" t="s">
        <v>165</v>
      </c>
      <c r="D57" s="38" t="s">
        <v>231</v>
      </c>
      <c r="E57" s="212">
        <v>46182.67800925926</v>
      </c>
      <c r="F57" s="38" t="s">
        <v>167</v>
      </c>
      <c r="G57" s="207">
        <v>26032.55</v>
      </c>
      <c r="H57" s="38" t="s">
        <v>213</v>
      </c>
      <c r="I57" s="38" t="s">
        <v>214</v>
      </c>
      <c r="J57" s="38" t="s">
        <v>232</v>
      </c>
      <c r="K57" s="38" t="s">
        <v>232</v>
      </c>
      <c r="L57" s="38" t="s">
        <v>233</v>
      </c>
      <c r="M57" s="207">
        <v>26032.55</v>
      </c>
      <c r="N57" s="38" t="s">
        <v>173</v>
      </c>
      <c r="O57" s="213">
        <v>46181.65377314815</v>
      </c>
      <c r="P57" s="165"/>
      <c r="Q57" s="214">
        <f t="shared" si="2"/>
        <v>6</v>
      </c>
      <c r="R57" s="175" t="s">
        <v>95</v>
      </c>
      <c r="S57" s="175" t="s">
        <v>95</v>
      </c>
      <c r="T57" s="34"/>
      <c r="U57" s="34"/>
      <c r="V57" s="34"/>
      <c r="W57" s="34"/>
      <c r="X57" s="34"/>
      <c r="Y57" s="165"/>
      <c r="Z57" s="165"/>
      <c r="AA57" s="165"/>
      <c r="AB57" s="165"/>
      <c r="AC57" s="165"/>
    </row>
    <row r="58" ht="15.75" customHeight="1">
      <c r="A58" s="165"/>
      <c r="B58" s="165"/>
      <c r="C58" s="38" t="s">
        <v>165</v>
      </c>
      <c r="D58" s="38" t="s">
        <v>234</v>
      </c>
      <c r="E58" s="206">
        <v>46183.35932870371</v>
      </c>
      <c r="F58" s="38" t="s">
        <v>167</v>
      </c>
      <c r="G58" s="207">
        <v>15963.49</v>
      </c>
      <c r="H58" s="38" t="s">
        <v>213</v>
      </c>
      <c r="I58" s="38" t="s">
        <v>214</v>
      </c>
      <c r="J58" s="38" t="s">
        <v>235</v>
      </c>
      <c r="K58" s="38" t="s">
        <v>235</v>
      </c>
      <c r="L58" s="38" t="s">
        <v>236</v>
      </c>
      <c r="M58" s="207">
        <v>15963.49</v>
      </c>
      <c r="N58" s="38" t="s">
        <v>173</v>
      </c>
      <c r="O58" s="208">
        <v>46181.49357638889</v>
      </c>
      <c r="P58" s="165"/>
      <c r="Q58" s="214">
        <f t="shared" si="2"/>
        <v>5</v>
      </c>
      <c r="R58" s="175" t="s">
        <v>95</v>
      </c>
      <c r="S58" s="175" t="s">
        <v>95</v>
      </c>
      <c r="T58" s="34"/>
      <c r="U58" s="34"/>
      <c r="V58" s="34"/>
      <c r="W58" s="34"/>
      <c r="X58" s="34"/>
      <c r="Y58" s="165"/>
      <c r="Z58" s="165"/>
      <c r="AA58" s="165"/>
      <c r="AB58" s="165"/>
      <c r="AC58" s="165"/>
    </row>
    <row r="59" ht="15.75" customHeight="1">
      <c r="A59" s="165"/>
      <c r="B59" s="165"/>
      <c r="C59" s="38" t="s">
        <v>165</v>
      </c>
      <c r="D59" s="38" t="s">
        <v>237</v>
      </c>
      <c r="E59" s="206">
        <v>46183.753900462965</v>
      </c>
      <c r="F59" s="38" t="s">
        <v>167</v>
      </c>
      <c r="G59" s="207">
        <v>703.22</v>
      </c>
      <c r="H59" s="38" t="s">
        <v>213</v>
      </c>
      <c r="I59" s="38" t="s">
        <v>214</v>
      </c>
      <c r="J59" s="38" t="s">
        <v>238</v>
      </c>
      <c r="K59" s="38" t="s">
        <v>238</v>
      </c>
      <c r="L59" s="38" t="s">
        <v>239</v>
      </c>
      <c r="M59" s="207">
        <v>703.22</v>
      </c>
      <c r="N59" s="38" t="s">
        <v>173</v>
      </c>
      <c r="O59" s="208">
        <v>46182.584872685184</v>
      </c>
      <c r="P59" s="165"/>
      <c r="Q59" s="214">
        <f t="shared" si="2"/>
        <v>5</v>
      </c>
      <c r="R59" s="175" t="s">
        <v>95</v>
      </c>
      <c r="S59" s="175" t="s">
        <v>95</v>
      </c>
      <c r="T59" s="34"/>
      <c r="U59" s="34"/>
      <c r="V59" s="34"/>
      <c r="W59" s="34"/>
      <c r="X59" s="34"/>
      <c r="Y59" s="165"/>
      <c r="Z59" s="165"/>
      <c r="AA59" s="165"/>
      <c r="AB59" s="165"/>
      <c r="AC59" s="165"/>
    </row>
    <row r="60" ht="15.75" customHeight="1">
      <c r="A60" s="165"/>
      <c r="B60" s="165"/>
      <c r="C60" s="38" t="s">
        <v>165</v>
      </c>
      <c r="D60" s="38" t="s">
        <v>240</v>
      </c>
      <c r="E60" s="212">
        <v>46184.533159722225</v>
      </c>
      <c r="F60" s="38" t="s">
        <v>167</v>
      </c>
      <c r="G60" s="207">
        <v>108.26</v>
      </c>
      <c r="H60" s="38" t="s">
        <v>213</v>
      </c>
      <c r="I60" s="38" t="s">
        <v>214</v>
      </c>
      <c r="J60" s="38" t="s">
        <v>241</v>
      </c>
      <c r="K60" s="38" t="s">
        <v>241</v>
      </c>
      <c r="L60" s="38" t="s">
        <v>242</v>
      </c>
      <c r="M60" s="207">
        <v>108.26</v>
      </c>
      <c r="N60" s="38" t="s">
        <v>173</v>
      </c>
      <c r="O60" s="213">
        <v>46183.39266203703</v>
      </c>
      <c r="P60" s="165"/>
      <c r="Q60" s="214">
        <f t="shared" si="2"/>
        <v>4</v>
      </c>
      <c r="R60" s="175" t="s">
        <v>95</v>
      </c>
      <c r="S60" s="175" t="s">
        <v>95</v>
      </c>
      <c r="T60" s="34"/>
      <c r="U60" s="34"/>
      <c r="V60" s="34"/>
      <c r="W60" s="34"/>
      <c r="X60" s="34"/>
      <c r="Y60" s="165"/>
      <c r="Z60" s="165"/>
      <c r="AA60" s="165"/>
      <c r="AB60" s="165"/>
      <c r="AC60" s="165"/>
    </row>
    <row r="61" ht="15.75" customHeight="1">
      <c r="A61" s="165"/>
      <c r="B61" s="165"/>
      <c r="C61" s="38" t="s">
        <v>165</v>
      </c>
      <c r="D61" s="38" t="s">
        <v>243</v>
      </c>
      <c r="E61" s="212">
        <v>46185.69704861111</v>
      </c>
      <c r="F61" s="38" t="s">
        <v>167</v>
      </c>
      <c r="G61" s="207">
        <v>12949.42</v>
      </c>
      <c r="H61" s="38" t="s">
        <v>213</v>
      </c>
      <c r="I61" s="38" t="s">
        <v>214</v>
      </c>
      <c r="J61" s="38" t="s">
        <v>244</v>
      </c>
      <c r="K61" s="38" t="s">
        <v>244</v>
      </c>
      <c r="L61" s="38" t="s">
        <v>245</v>
      </c>
      <c r="M61" s="207">
        <v>12949.42</v>
      </c>
      <c r="N61" s="38" t="s">
        <v>173</v>
      </c>
      <c r="O61" s="213">
        <v>46184.635046296295</v>
      </c>
      <c r="P61" s="165"/>
      <c r="Q61" s="214">
        <f t="shared" si="2"/>
        <v>3</v>
      </c>
      <c r="R61" s="175" t="s">
        <v>95</v>
      </c>
      <c r="S61" s="175" t="s">
        <v>95</v>
      </c>
      <c r="T61" s="34"/>
      <c r="U61" s="34"/>
      <c r="V61" s="34"/>
      <c r="W61" s="34"/>
      <c r="X61" s="34"/>
      <c r="Y61" s="165"/>
      <c r="Z61" s="165"/>
      <c r="AA61" s="165"/>
      <c r="AB61" s="165"/>
      <c r="AC61" s="165"/>
    </row>
    <row r="62" ht="15.75" customHeight="1">
      <c r="A62" s="165"/>
      <c r="B62" s="165"/>
      <c r="C62" s="38" t="s">
        <v>165</v>
      </c>
      <c r="D62" s="38" t="s">
        <v>246</v>
      </c>
      <c r="E62" s="212">
        <v>46188.687997685185</v>
      </c>
      <c r="F62" s="38" t="s">
        <v>167</v>
      </c>
      <c r="G62" s="207">
        <v>56199.56</v>
      </c>
      <c r="H62" s="38" t="s">
        <v>213</v>
      </c>
      <c r="I62" s="38" t="s">
        <v>214</v>
      </c>
      <c r="J62" s="38" t="s">
        <v>247</v>
      </c>
      <c r="K62" s="38" t="s">
        <v>247</v>
      </c>
      <c r="L62" s="38" t="s">
        <v>248</v>
      </c>
      <c r="M62" s="207">
        <v>56199.56</v>
      </c>
      <c r="N62" s="38" t="s">
        <v>173</v>
      </c>
      <c r="O62" s="213">
        <v>46185.09993055556</v>
      </c>
      <c r="P62" s="165"/>
      <c r="Q62" s="214">
        <f t="shared" si="2"/>
        <v>2</v>
      </c>
      <c r="R62" s="175" t="s">
        <v>95</v>
      </c>
      <c r="S62" s="175" t="s">
        <v>95</v>
      </c>
      <c r="T62" s="34"/>
      <c r="U62" s="34"/>
      <c r="V62" s="34"/>
      <c r="W62" s="34"/>
      <c r="X62" s="34"/>
      <c r="Y62" s="165"/>
      <c r="Z62" s="165"/>
      <c r="AA62" s="165"/>
      <c r="AB62" s="165"/>
      <c r="AC62" s="165"/>
    </row>
    <row r="63" ht="15.75" customHeight="1">
      <c r="A63" s="165"/>
      <c r="B63" s="165"/>
      <c r="C63" s="38" t="s">
        <v>165</v>
      </c>
      <c r="D63" s="38" t="s">
        <v>249</v>
      </c>
      <c r="E63" s="212">
        <v>46188.687997685185</v>
      </c>
      <c r="F63" s="38" t="s">
        <v>167</v>
      </c>
      <c r="G63" s="207">
        <v>26992.22</v>
      </c>
      <c r="H63" s="38" t="s">
        <v>213</v>
      </c>
      <c r="I63" s="38" t="s">
        <v>214</v>
      </c>
      <c r="J63" s="38" t="s">
        <v>250</v>
      </c>
      <c r="K63" s="38" t="s">
        <v>250</v>
      </c>
      <c r="L63" s="38" t="s">
        <v>251</v>
      </c>
      <c r="M63" s="207">
        <v>26992.22</v>
      </c>
      <c r="N63" s="38" t="s">
        <v>173</v>
      </c>
      <c r="O63" s="213">
        <v>46185.104837962965</v>
      </c>
      <c r="P63" s="165"/>
      <c r="Q63" s="214">
        <f t="shared" si="2"/>
        <v>2</v>
      </c>
      <c r="R63" s="175" t="s">
        <v>95</v>
      </c>
      <c r="S63" s="175" t="s">
        <v>95</v>
      </c>
      <c r="T63" s="34"/>
      <c r="U63" s="34"/>
      <c r="V63" s="34"/>
      <c r="W63" s="34"/>
      <c r="X63" s="34"/>
      <c r="Y63" s="165"/>
      <c r="Z63" s="165"/>
      <c r="AA63" s="165"/>
      <c r="AB63" s="165"/>
      <c r="AC63" s="165"/>
    </row>
    <row r="64" ht="15.75" customHeight="1">
      <c r="A64" s="165"/>
      <c r="B64" s="165"/>
      <c r="C64" s="38" t="s">
        <v>165</v>
      </c>
      <c r="D64" s="38" t="s">
        <v>252</v>
      </c>
      <c r="E64" s="212">
        <v>46188.687997685185</v>
      </c>
      <c r="F64" s="38" t="s">
        <v>167</v>
      </c>
      <c r="G64" s="207">
        <v>5412.33</v>
      </c>
      <c r="H64" s="38" t="s">
        <v>213</v>
      </c>
      <c r="I64" s="38" t="s">
        <v>214</v>
      </c>
      <c r="J64" s="38" t="s">
        <v>253</v>
      </c>
      <c r="K64" s="38" t="s">
        <v>253</v>
      </c>
      <c r="L64" s="38" t="s">
        <v>254</v>
      </c>
      <c r="M64" s="207">
        <v>5412.33</v>
      </c>
      <c r="N64" s="38" t="s">
        <v>173</v>
      </c>
      <c r="O64" s="213">
        <v>46185.54</v>
      </c>
      <c r="P64" s="165"/>
      <c r="Q64" s="214">
        <f t="shared" si="2"/>
        <v>2</v>
      </c>
      <c r="R64" s="175" t="s">
        <v>95</v>
      </c>
      <c r="S64" s="175" t="s">
        <v>95</v>
      </c>
      <c r="T64" s="34"/>
      <c r="U64" s="34"/>
      <c r="V64" s="34"/>
      <c r="W64" s="34"/>
      <c r="X64" s="34"/>
      <c r="Y64" s="165"/>
      <c r="Z64" s="165"/>
      <c r="AA64" s="165"/>
      <c r="AB64" s="165"/>
      <c r="AC64" s="165"/>
    </row>
    <row r="65" ht="15.75" customHeight="1">
      <c r="A65" s="165"/>
      <c r="B65" s="165"/>
      <c r="C65" s="38" t="s">
        <v>165</v>
      </c>
      <c r="D65" s="38" t="s">
        <v>255</v>
      </c>
      <c r="E65" s="212">
        <v>46189.66320601852</v>
      </c>
      <c r="F65" s="38" t="s">
        <v>167</v>
      </c>
      <c r="G65" s="207">
        <v>15800.69</v>
      </c>
      <c r="H65" s="38" t="s">
        <v>213</v>
      </c>
      <c r="I65" s="38" t="s">
        <v>214</v>
      </c>
      <c r="J65" s="38" t="s">
        <v>256</v>
      </c>
      <c r="K65" s="38" t="s">
        <v>256</v>
      </c>
      <c r="L65" s="38" t="s">
        <v>257</v>
      </c>
      <c r="M65" s="207">
        <v>15800.69</v>
      </c>
      <c r="N65" s="38" t="s">
        <v>173</v>
      </c>
      <c r="O65" s="213">
        <v>46188.56484953704</v>
      </c>
      <c r="P65" s="165"/>
      <c r="Q65" s="214">
        <f t="shared" si="2"/>
        <v>1</v>
      </c>
      <c r="R65" s="175" t="s">
        <v>95</v>
      </c>
      <c r="S65" s="175" t="s">
        <v>95</v>
      </c>
      <c r="T65" s="34"/>
      <c r="U65" s="34"/>
      <c r="V65" s="34"/>
      <c r="W65" s="34"/>
      <c r="X65" s="34"/>
      <c r="Y65" s="165"/>
      <c r="Z65" s="165"/>
      <c r="AA65" s="165"/>
      <c r="AB65" s="165"/>
      <c r="AC65" s="165"/>
    </row>
    <row r="66" ht="15.75" customHeight="1">
      <c r="A66" s="165"/>
      <c r="B66" s="165"/>
      <c r="C66" s="216"/>
      <c r="D66" s="217"/>
      <c r="E66" s="218"/>
      <c r="F66" s="217"/>
      <c r="G66" s="219"/>
      <c r="H66" s="217"/>
      <c r="I66" s="217"/>
      <c r="J66" s="217"/>
      <c r="K66" s="217"/>
      <c r="L66" s="220" t="s">
        <v>206</v>
      </c>
      <c r="M66" s="221">
        <f>SUM(M52:M65)</f>
        <v>163659.42</v>
      </c>
      <c r="N66" s="217"/>
      <c r="O66" s="238"/>
      <c r="P66" s="165"/>
      <c r="Q66" s="168"/>
      <c r="R66" s="165"/>
      <c r="S66" s="165"/>
      <c r="T66" s="34"/>
      <c r="U66" s="34"/>
      <c r="V66" s="34"/>
      <c r="W66" s="165"/>
      <c r="X66" s="165"/>
      <c r="Y66" s="165"/>
      <c r="Z66" s="165"/>
      <c r="AA66" s="165"/>
      <c r="AB66" s="165"/>
      <c r="AC66" s="165"/>
    </row>
    <row r="67" ht="15.75" customHeight="1">
      <c r="A67" s="165"/>
      <c r="B67" s="165"/>
      <c r="C67" s="165"/>
      <c r="D67" s="165"/>
      <c r="E67" s="223"/>
      <c r="F67" s="165"/>
      <c r="G67" s="166"/>
      <c r="H67" s="165"/>
      <c r="I67" s="165"/>
      <c r="J67" s="165"/>
      <c r="K67" s="165"/>
      <c r="L67" s="167"/>
      <c r="M67" s="34"/>
      <c r="N67" s="165"/>
      <c r="O67" s="223"/>
      <c r="P67" s="165"/>
      <c r="Q67" s="168"/>
      <c r="R67" s="165"/>
      <c r="S67" s="165"/>
      <c r="T67" s="34"/>
      <c r="U67" s="34"/>
      <c r="V67" s="34"/>
      <c r="W67" s="165"/>
      <c r="X67" s="165"/>
      <c r="Y67" s="165"/>
      <c r="Z67" s="165"/>
      <c r="AA67" s="165"/>
      <c r="AB67" s="165"/>
      <c r="AC67" s="165"/>
    </row>
    <row r="68" ht="15.75" customHeight="1">
      <c r="A68" s="165"/>
      <c r="B68" s="165"/>
      <c r="C68" s="165"/>
      <c r="D68" s="165"/>
      <c r="E68" s="223"/>
      <c r="F68" s="165"/>
      <c r="G68" s="166"/>
      <c r="H68" s="165"/>
      <c r="I68" s="165"/>
      <c r="J68" s="165"/>
      <c r="K68" s="165"/>
      <c r="L68" s="167"/>
      <c r="M68" s="34"/>
      <c r="N68" s="165"/>
      <c r="O68" s="223"/>
      <c r="P68" s="165"/>
      <c r="Q68" s="168"/>
      <c r="R68" s="165"/>
      <c r="S68" s="165"/>
      <c r="T68" s="34"/>
      <c r="U68" s="34"/>
      <c r="V68" s="34"/>
      <c r="W68" s="165"/>
      <c r="X68" s="165"/>
      <c r="Y68" s="165"/>
      <c r="Z68" s="165"/>
      <c r="AA68" s="165"/>
      <c r="AB68" s="165"/>
      <c r="AC68" s="165"/>
    </row>
    <row r="69" ht="15.75" customHeight="1">
      <c r="A69" s="165"/>
      <c r="B69" s="165"/>
      <c r="C69" s="165"/>
      <c r="D69" s="165"/>
      <c r="E69" s="223"/>
      <c r="F69" s="165"/>
      <c r="G69" s="166"/>
      <c r="H69" s="165"/>
      <c r="I69" s="165"/>
      <c r="J69" s="165"/>
      <c r="K69" s="165"/>
      <c r="L69" s="220" t="s">
        <v>207</v>
      </c>
      <c r="M69" s="224">
        <f>M47-M66</f>
        <v>0</v>
      </c>
      <c r="N69" s="165"/>
      <c r="O69" s="223"/>
      <c r="P69" s="165"/>
      <c r="Q69" s="168"/>
      <c r="R69" s="165"/>
      <c r="S69" s="165"/>
      <c r="T69" s="34"/>
      <c r="U69" s="34"/>
      <c r="V69" s="34"/>
      <c r="W69" s="165"/>
      <c r="X69" s="165"/>
      <c r="Y69" s="165"/>
      <c r="Z69" s="165"/>
      <c r="AA69" s="165"/>
      <c r="AB69" s="165"/>
      <c r="AC69" s="165"/>
    </row>
    <row r="70" ht="15.75" customHeight="1">
      <c r="A70" s="165"/>
      <c r="B70" s="165"/>
      <c r="C70" s="165" t="s">
        <v>136</v>
      </c>
      <c r="D70" s="165"/>
      <c r="E70" s="223"/>
      <c r="F70" s="165"/>
      <c r="G70" s="166"/>
      <c r="H70" s="165"/>
      <c r="I70" s="165"/>
      <c r="J70" s="165"/>
      <c r="K70" s="165"/>
      <c r="L70" s="167"/>
      <c r="M70" s="34"/>
      <c r="N70" s="165"/>
      <c r="O70" s="223"/>
      <c r="P70" s="165"/>
      <c r="Q70" s="168"/>
      <c r="R70" s="165"/>
      <c r="S70" s="165"/>
      <c r="T70" s="34"/>
      <c r="U70" s="34"/>
      <c r="V70" s="34"/>
      <c r="W70" s="165"/>
      <c r="X70" s="165"/>
      <c r="Y70" s="165"/>
      <c r="Z70" s="165"/>
      <c r="AA70" s="165"/>
      <c r="AB70" s="165"/>
      <c r="AC70" s="165"/>
    </row>
    <row r="71" ht="15.75" customHeight="1">
      <c r="A71" s="165"/>
      <c r="B71" s="165"/>
      <c r="C71" s="165"/>
      <c r="D71" s="165"/>
      <c r="E71" s="223"/>
      <c r="F71" s="165"/>
      <c r="G71" s="166"/>
      <c r="H71" s="165"/>
      <c r="I71" s="165"/>
      <c r="J71" s="165"/>
      <c r="K71" s="165"/>
      <c r="L71" s="167"/>
      <c r="M71" s="34"/>
      <c r="N71" s="165"/>
      <c r="O71" s="223"/>
      <c r="P71" s="165"/>
      <c r="Q71" s="168"/>
      <c r="R71" s="165"/>
      <c r="S71" s="165"/>
      <c r="T71" s="34"/>
      <c r="U71" s="34"/>
      <c r="V71" s="34"/>
      <c r="W71" s="165"/>
      <c r="X71" s="165"/>
      <c r="Y71" s="165"/>
      <c r="Z71" s="165"/>
      <c r="AA71" s="165"/>
      <c r="AB71" s="165"/>
      <c r="AC71" s="165"/>
    </row>
    <row r="72" ht="15.75" customHeight="1">
      <c r="A72" s="165"/>
      <c r="B72" s="165"/>
      <c r="C72" s="165"/>
      <c r="D72" s="165"/>
      <c r="E72" s="223"/>
      <c r="F72" s="165"/>
      <c r="G72" s="166"/>
      <c r="H72" s="165"/>
      <c r="I72" s="165"/>
      <c r="J72" s="165"/>
      <c r="K72" s="165"/>
      <c r="L72" s="167"/>
      <c r="M72" s="34"/>
      <c r="N72" s="165"/>
      <c r="O72" s="223"/>
      <c r="P72" s="165"/>
      <c r="Q72" s="168"/>
      <c r="R72" s="165"/>
      <c r="S72" s="165"/>
      <c r="T72" s="34"/>
      <c r="U72" s="34"/>
      <c r="V72" s="34"/>
      <c r="W72" s="165"/>
      <c r="X72" s="165"/>
      <c r="Y72" s="165"/>
      <c r="Z72" s="165"/>
      <c r="AA72" s="165"/>
      <c r="AB72" s="165"/>
      <c r="AC72" s="165"/>
    </row>
    <row r="73" ht="15.75" customHeight="1">
      <c r="A73" s="165"/>
      <c r="B73" s="165"/>
      <c r="C73" s="165"/>
      <c r="D73" s="165"/>
      <c r="E73" s="223"/>
      <c r="F73" s="165"/>
      <c r="G73" s="166"/>
      <c r="H73" s="165"/>
      <c r="I73" s="165"/>
      <c r="J73" s="165"/>
      <c r="K73" s="165"/>
      <c r="L73" s="167"/>
      <c r="M73" s="34"/>
      <c r="N73" s="165"/>
      <c r="O73" s="223"/>
      <c r="P73" s="165"/>
      <c r="Q73" s="168"/>
      <c r="R73" s="165"/>
      <c r="S73" s="165"/>
      <c r="T73" s="34"/>
      <c r="U73" s="34"/>
      <c r="V73" s="34"/>
      <c r="W73" s="165"/>
      <c r="X73" s="165"/>
      <c r="Y73" s="165"/>
      <c r="Z73" s="165"/>
      <c r="AA73" s="165"/>
      <c r="AB73" s="165"/>
      <c r="AC73" s="165"/>
    </row>
    <row r="74" ht="15.75" customHeight="1">
      <c r="A74" s="165"/>
      <c r="B74" s="165"/>
      <c r="C74" s="165"/>
      <c r="D74" s="165"/>
      <c r="E74" s="223"/>
      <c r="F74" s="165"/>
      <c r="G74" s="166"/>
      <c r="H74" s="165"/>
      <c r="I74" s="165"/>
      <c r="J74" s="165"/>
      <c r="K74" s="165"/>
      <c r="L74" s="167"/>
      <c r="M74" s="34"/>
      <c r="N74" s="165"/>
      <c r="O74" s="223"/>
      <c r="P74" s="165"/>
      <c r="Q74" s="168"/>
      <c r="R74" s="165"/>
      <c r="S74" s="165"/>
      <c r="T74" s="34"/>
      <c r="U74" s="34"/>
      <c r="V74" s="34"/>
      <c r="W74" s="165"/>
      <c r="X74" s="165"/>
      <c r="Y74" s="165"/>
      <c r="Z74" s="165"/>
      <c r="AA74" s="165"/>
      <c r="AB74" s="165"/>
      <c r="AC74" s="165"/>
    </row>
    <row r="75" ht="15.75" customHeight="1">
      <c r="A75" s="165"/>
      <c r="B75" s="165"/>
      <c r="C75" s="165"/>
      <c r="D75" s="165"/>
      <c r="E75" s="223"/>
      <c r="F75" s="165"/>
      <c r="G75" s="166"/>
      <c r="H75" s="165"/>
      <c r="I75" s="165"/>
      <c r="J75" s="165"/>
      <c r="K75" s="239"/>
      <c r="L75" s="240"/>
      <c r="M75" s="241"/>
      <c r="N75" s="239"/>
      <c r="O75" s="242"/>
      <c r="P75" s="165"/>
      <c r="Q75" s="168"/>
      <c r="R75" s="165"/>
      <c r="S75" s="165"/>
      <c r="T75" s="34"/>
      <c r="U75" s="34"/>
      <c r="V75" s="34"/>
      <c r="W75" s="165"/>
      <c r="X75" s="165"/>
      <c r="Y75" s="165"/>
      <c r="Z75" s="165"/>
      <c r="AA75" s="165"/>
      <c r="AB75" s="165"/>
      <c r="AC75" s="165"/>
    </row>
    <row r="76" ht="15.75" customHeight="1">
      <c r="A76" s="165"/>
      <c r="B76" s="165"/>
      <c r="C76" s="243"/>
      <c r="D76" s="165"/>
      <c r="E76" s="165"/>
      <c r="F76" s="165"/>
      <c r="G76" s="166"/>
      <c r="H76" s="165"/>
      <c r="I76" s="165"/>
      <c r="J76" s="165"/>
      <c r="K76" s="239"/>
      <c r="L76" s="240"/>
      <c r="M76" s="241"/>
      <c r="N76" s="239"/>
      <c r="O76" s="239"/>
      <c r="P76" s="165"/>
      <c r="Q76" s="168"/>
      <c r="R76" s="165"/>
      <c r="S76" s="165"/>
      <c r="T76" s="34"/>
      <c r="U76" s="34"/>
      <c r="V76" s="34"/>
      <c r="W76" s="165"/>
      <c r="X76" s="165"/>
      <c r="Y76" s="165"/>
      <c r="Z76" s="165"/>
      <c r="AA76" s="165"/>
      <c r="AB76" s="165"/>
      <c r="AC76" s="165"/>
    </row>
    <row r="77" ht="15.75" customHeight="1">
      <c r="A77" s="165"/>
      <c r="B77" s="165"/>
      <c r="C77" s="165"/>
      <c r="D77" s="165"/>
      <c r="E77" s="165"/>
      <c r="F77" s="165"/>
      <c r="G77" s="166"/>
      <c r="H77" s="165"/>
      <c r="I77" s="165"/>
      <c r="J77" s="165"/>
      <c r="K77" s="239"/>
      <c r="L77" s="240"/>
      <c r="M77" s="241"/>
      <c r="N77" s="239"/>
      <c r="O77" s="239"/>
      <c r="P77" s="165"/>
      <c r="Q77" s="168"/>
      <c r="R77" s="165"/>
      <c r="S77" s="165"/>
      <c r="T77" s="34"/>
      <c r="U77" s="34"/>
      <c r="V77" s="34"/>
      <c r="W77" s="165"/>
      <c r="X77" s="165"/>
      <c r="Y77" s="165"/>
      <c r="Z77" s="165"/>
      <c r="AA77" s="165"/>
      <c r="AB77" s="165"/>
      <c r="AC77" s="165"/>
    </row>
    <row r="78" ht="15.75" customHeight="1">
      <c r="A78" s="165"/>
      <c r="B78" s="165"/>
      <c r="C78" s="165"/>
      <c r="D78" s="165"/>
      <c r="E78" s="165"/>
      <c r="F78" s="165"/>
      <c r="G78" s="166"/>
      <c r="H78" s="165"/>
      <c r="I78" s="165"/>
      <c r="J78" s="165"/>
      <c r="K78" s="239"/>
      <c r="L78" s="240"/>
      <c r="M78" s="241"/>
      <c r="N78" s="239"/>
      <c r="O78" s="239"/>
      <c r="P78" s="165"/>
      <c r="Q78" s="168"/>
      <c r="R78" s="165"/>
      <c r="S78" s="165"/>
      <c r="T78" s="34"/>
      <c r="U78" s="34"/>
      <c r="V78" s="34"/>
      <c r="W78" s="165"/>
      <c r="X78" s="165"/>
      <c r="Y78" s="165"/>
      <c r="Z78" s="165"/>
      <c r="AA78" s="165"/>
      <c r="AB78" s="165"/>
      <c r="AC78" s="165"/>
    </row>
    <row r="79" ht="15.75" customHeight="1">
      <c r="A79" s="165"/>
      <c r="B79" s="165"/>
      <c r="C79" s="165"/>
      <c r="D79" s="165"/>
      <c r="E79" s="165"/>
      <c r="F79" s="165"/>
      <c r="G79" s="166"/>
      <c r="H79" s="165"/>
      <c r="I79" s="165"/>
      <c r="J79" s="165"/>
      <c r="K79" s="239"/>
      <c r="L79" s="240"/>
      <c r="M79" s="241"/>
      <c r="N79" s="239"/>
      <c r="O79" s="239"/>
      <c r="P79" s="165"/>
      <c r="Q79" s="168"/>
      <c r="R79" s="165"/>
      <c r="S79" s="165"/>
      <c r="T79" s="34"/>
      <c r="U79" s="34"/>
      <c r="V79" s="34"/>
      <c r="W79" s="165"/>
      <c r="X79" s="165"/>
      <c r="Y79" s="165"/>
      <c r="Z79" s="165"/>
      <c r="AA79" s="165"/>
      <c r="AB79" s="165"/>
      <c r="AC79" s="165"/>
    </row>
    <row r="80" ht="15.75" customHeight="1">
      <c r="A80" s="165"/>
      <c r="B80" s="165"/>
      <c r="C80" s="165"/>
      <c r="D80" s="165"/>
      <c r="E80" s="165"/>
      <c r="F80" s="165"/>
      <c r="G80" s="166"/>
      <c r="H80" s="165"/>
      <c r="I80" s="165"/>
      <c r="J80" s="165"/>
      <c r="K80" s="239"/>
      <c r="L80" s="240"/>
      <c r="M80" s="241"/>
      <c r="N80" s="239"/>
      <c r="O80" s="239"/>
      <c r="P80" s="165"/>
      <c r="Q80" s="168"/>
      <c r="R80" s="165"/>
      <c r="S80" s="165"/>
      <c r="T80" s="34"/>
      <c r="U80" s="34"/>
      <c r="V80" s="34"/>
      <c r="W80" s="165"/>
      <c r="X80" s="165"/>
      <c r="Y80" s="165"/>
      <c r="Z80" s="165"/>
      <c r="AA80" s="165"/>
      <c r="AB80" s="165"/>
      <c r="AC80" s="165"/>
    </row>
    <row r="81" ht="15.75" customHeight="1">
      <c r="A81" s="165"/>
      <c r="B81" s="165"/>
      <c r="C81" s="165"/>
      <c r="D81" s="165"/>
      <c r="E81" s="165"/>
      <c r="F81" s="165"/>
      <c r="G81" s="166"/>
      <c r="H81" s="165"/>
      <c r="I81" s="165"/>
      <c r="J81" s="165"/>
      <c r="K81" s="239"/>
      <c r="L81" s="240"/>
      <c r="M81" s="241"/>
      <c r="N81" s="239"/>
      <c r="O81" s="239"/>
      <c r="P81" s="165"/>
      <c r="Q81" s="168"/>
      <c r="R81" s="165"/>
      <c r="S81" s="165"/>
      <c r="T81" s="34"/>
      <c r="U81" s="34"/>
      <c r="V81" s="34"/>
      <c r="W81" s="165"/>
      <c r="X81" s="165"/>
      <c r="Y81" s="165"/>
      <c r="Z81" s="165"/>
      <c r="AA81" s="165"/>
      <c r="AB81" s="165"/>
      <c r="AC81" s="165"/>
    </row>
    <row r="82" ht="15.75" customHeight="1">
      <c r="A82" s="165"/>
      <c r="B82" s="165"/>
      <c r="C82" s="165"/>
      <c r="D82" s="165"/>
      <c r="E82" s="165"/>
      <c r="F82" s="165"/>
      <c r="G82" s="166"/>
      <c r="H82" s="165"/>
      <c r="I82" s="165"/>
      <c r="J82" s="165"/>
      <c r="K82" s="239"/>
      <c r="L82" s="240"/>
      <c r="M82" s="241"/>
      <c r="N82" s="239"/>
      <c r="O82" s="239"/>
      <c r="P82" s="165"/>
      <c r="Q82" s="168"/>
      <c r="R82" s="165"/>
      <c r="S82" s="165"/>
      <c r="T82" s="34"/>
      <c r="U82" s="34"/>
      <c r="V82" s="34"/>
      <c r="W82" s="165"/>
      <c r="X82" s="165"/>
      <c r="Y82" s="165"/>
      <c r="Z82" s="165"/>
      <c r="AA82" s="165"/>
      <c r="AB82" s="165"/>
      <c r="AC82" s="165"/>
    </row>
    <row r="83" ht="15.75" customHeight="1">
      <c r="A83" s="165"/>
      <c r="B83" s="165"/>
      <c r="C83" s="165"/>
      <c r="D83" s="165"/>
      <c r="E83" s="165"/>
      <c r="F83" s="165"/>
      <c r="G83" s="166"/>
      <c r="H83" s="165"/>
      <c r="I83" s="165"/>
      <c r="J83" s="165"/>
      <c r="K83" s="239"/>
      <c r="L83" s="240"/>
      <c r="M83" s="241"/>
      <c r="N83" s="239"/>
      <c r="O83" s="239"/>
      <c r="P83" s="165"/>
      <c r="Q83" s="168"/>
      <c r="R83" s="165"/>
      <c r="S83" s="165"/>
      <c r="T83" s="34"/>
      <c r="U83" s="34"/>
      <c r="V83" s="34"/>
      <c r="W83" s="165"/>
      <c r="X83" s="165"/>
      <c r="Y83" s="165"/>
      <c r="Z83" s="165"/>
      <c r="AA83" s="165"/>
      <c r="AB83" s="165"/>
      <c r="AC83" s="165"/>
    </row>
    <row r="84" ht="15.75" customHeight="1">
      <c r="A84" s="165"/>
      <c r="B84" s="165"/>
      <c r="C84" s="165"/>
      <c r="D84" s="165"/>
      <c r="E84" s="165"/>
      <c r="F84" s="165"/>
      <c r="G84" s="166"/>
      <c r="H84" s="165"/>
      <c r="I84" s="165"/>
      <c r="J84" s="165"/>
      <c r="K84" s="239"/>
      <c r="L84" s="240"/>
      <c r="M84" s="241"/>
      <c r="N84" s="239"/>
      <c r="O84" s="239"/>
      <c r="P84" s="165"/>
      <c r="Q84" s="168"/>
      <c r="R84" s="165"/>
      <c r="S84" s="165"/>
      <c r="T84" s="34"/>
      <c r="U84" s="34"/>
      <c r="V84" s="34"/>
      <c r="W84" s="165"/>
      <c r="X84" s="165"/>
      <c r="Y84" s="165"/>
      <c r="Z84" s="165"/>
      <c r="AA84" s="165"/>
      <c r="AB84" s="165"/>
      <c r="AC84" s="165"/>
    </row>
    <row r="85" ht="15.75" customHeight="1">
      <c r="A85" s="165"/>
      <c r="B85" s="165"/>
      <c r="C85" s="165"/>
      <c r="D85" s="165"/>
      <c r="E85" s="165"/>
      <c r="F85" s="165"/>
      <c r="G85" s="166"/>
      <c r="H85" s="165"/>
      <c r="I85" s="165"/>
      <c r="J85" s="165"/>
      <c r="K85" s="165"/>
      <c r="L85" s="167"/>
      <c r="M85" s="34"/>
      <c r="N85" s="165"/>
      <c r="O85" s="165"/>
      <c r="P85" s="165"/>
      <c r="Q85" s="168"/>
      <c r="R85" s="165"/>
      <c r="S85" s="165"/>
      <c r="T85" s="34"/>
      <c r="U85" s="34"/>
      <c r="V85" s="34"/>
      <c r="W85" s="165"/>
      <c r="X85" s="165"/>
      <c r="Y85" s="165"/>
      <c r="Z85" s="165"/>
      <c r="AA85" s="165"/>
      <c r="AB85" s="165"/>
      <c r="AC85" s="165"/>
    </row>
    <row r="86" ht="15.75" customHeight="1">
      <c r="A86" s="165"/>
      <c r="B86" s="165"/>
      <c r="C86" s="165"/>
      <c r="D86" s="165"/>
      <c r="E86" s="165"/>
      <c r="F86" s="165"/>
      <c r="G86" s="166"/>
      <c r="H86" s="165"/>
      <c r="I86" s="165"/>
      <c r="J86" s="165"/>
      <c r="K86" s="165"/>
      <c r="L86" s="167"/>
      <c r="M86" s="34"/>
      <c r="N86" s="165"/>
      <c r="O86" s="165"/>
      <c r="P86" s="165"/>
      <c r="Q86" s="168"/>
      <c r="R86" s="165"/>
      <c r="S86" s="165"/>
      <c r="T86" s="34"/>
      <c r="U86" s="34"/>
      <c r="V86" s="34"/>
      <c r="W86" s="165"/>
      <c r="X86" s="165"/>
      <c r="Y86" s="165"/>
      <c r="Z86" s="165"/>
      <c r="AA86" s="165"/>
      <c r="AB86" s="165"/>
      <c r="AC86" s="165"/>
    </row>
    <row r="87" ht="15.75" customHeight="1">
      <c r="A87" s="165"/>
      <c r="B87" s="165"/>
      <c r="C87" s="165"/>
      <c r="D87" s="165"/>
      <c r="E87" s="165"/>
      <c r="F87" s="165"/>
      <c r="G87" s="166"/>
      <c r="H87" s="165"/>
      <c r="I87" s="165"/>
      <c r="J87" s="165"/>
      <c r="K87" s="165"/>
      <c r="L87" s="167"/>
      <c r="M87" s="34"/>
      <c r="N87" s="165"/>
      <c r="O87" s="165"/>
      <c r="P87" s="165"/>
      <c r="Q87" s="168"/>
      <c r="R87" s="165"/>
      <c r="S87" s="165"/>
      <c r="T87" s="34"/>
      <c r="U87" s="34"/>
      <c r="V87" s="34"/>
      <c r="W87" s="165"/>
      <c r="X87" s="165"/>
      <c r="Y87" s="165"/>
      <c r="Z87" s="165"/>
      <c r="AA87" s="165"/>
      <c r="AB87" s="165"/>
      <c r="AC87" s="165"/>
    </row>
    <row r="88" ht="15.75" customHeight="1">
      <c r="A88" s="165"/>
      <c r="B88" s="165"/>
      <c r="C88" s="165"/>
      <c r="D88" s="165"/>
      <c r="E88" s="165"/>
      <c r="F88" s="165"/>
      <c r="G88" s="166"/>
      <c r="H88" s="165"/>
      <c r="I88" s="165"/>
      <c r="J88" s="165"/>
      <c r="K88" s="165"/>
      <c r="L88" s="167"/>
      <c r="M88" s="34"/>
      <c r="N88" s="165"/>
      <c r="O88" s="165"/>
      <c r="P88" s="165"/>
      <c r="Q88" s="168"/>
      <c r="R88" s="165"/>
      <c r="S88" s="165"/>
      <c r="T88" s="34"/>
      <c r="U88" s="34"/>
      <c r="V88" s="34"/>
      <c r="W88" s="165"/>
      <c r="X88" s="165"/>
      <c r="Y88" s="165"/>
      <c r="Z88" s="165"/>
      <c r="AA88" s="165"/>
      <c r="AB88" s="165"/>
      <c r="AC88" s="165"/>
    </row>
    <row r="89" ht="15.75" customHeight="1">
      <c r="A89" s="165"/>
      <c r="B89" s="165"/>
      <c r="C89" s="165"/>
      <c r="D89" s="165"/>
      <c r="E89" s="165"/>
      <c r="F89" s="165"/>
      <c r="G89" s="166"/>
      <c r="H89" s="165"/>
      <c r="I89" s="165"/>
      <c r="J89" s="165"/>
      <c r="K89" s="165"/>
      <c r="L89" s="167"/>
      <c r="M89" s="34"/>
      <c r="N89" s="165"/>
      <c r="O89" s="165"/>
      <c r="P89" s="165"/>
      <c r="Q89" s="168"/>
      <c r="R89" s="165"/>
      <c r="S89" s="165"/>
      <c r="T89" s="34"/>
      <c r="U89" s="34"/>
      <c r="V89" s="34"/>
      <c r="W89" s="165"/>
      <c r="X89" s="165"/>
      <c r="Y89" s="165"/>
      <c r="Z89" s="165"/>
      <c r="AA89" s="165"/>
      <c r="AB89" s="165"/>
      <c r="AC89" s="165"/>
    </row>
    <row r="90" ht="15.75" customHeight="1">
      <c r="A90" s="165"/>
      <c r="B90" s="165"/>
      <c r="C90" s="173"/>
      <c r="D90" s="173"/>
      <c r="E90" s="244"/>
      <c r="F90" s="173"/>
      <c r="G90" s="245"/>
      <c r="H90" s="173"/>
      <c r="I90" s="173"/>
      <c r="J90" s="173"/>
      <c r="K90" s="38"/>
      <c r="L90" s="38"/>
      <c r="M90" s="245"/>
      <c r="N90" s="165"/>
      <c r="O90" s="165"/>
      <c r="P90" s="165"/>
      <c r="Q90" s="168"/>
      <c r="R90" s="165"/>
      <c r="S90" s="165"/>
      <c r="T90" s="34"/>
      <c r="U90" s="34"/>
      <c r="V90" s="34"/>
      <c r="W90" s="165"/>
      <c r="X90" s="165"/>
      <c r="Y90" s="165"/>
      <c r="Z90" s="165"/>
      <c r="AA90" s="165"/>
      <c r="AB90" s="165"/>
      <c r="AC90" s="165"/>
    </row>
    <row r="91" ht="15.75" customHeight="1">
      <c r="A91" s="165"/>
      <c r="B91" s="165"/>
      <c r="C91" s="173"/>
      <c r="D91" s="173"/>
      <c r="E91" s="244"/>
      <c r="F91" s="173"/>
      <c r="G91" s="245"/>
      <c r="H91" s="173"/>
      <c r="I91" s="173"/>
      <c r="J91" s="173"/>
      <c r="K91" s="38"/>
      <c r="L91" s="38"/>
      <c r="M91" s="245"/>
      <c r="N91" s="165"/>
      <c r="O91" s="165"/>
      <c r="P91" s="165"/>
      <c r="Q91" s="168"/>
      <c r="R91" s="165"/>
      <c r="S91" s="165"/>
      <c r="T91" s="34"/>
      <c r="U91" s="34"/>
      <c r="V91" s="34"/>
      <c r="W91" s="165"/>
      <c r="X91" s="165"/>
      <c r="Y91" s="165"/>
      <c r="Z91" s="165"/>
      <c r="AA91" s="165"/>
      <c r="AB91" s="165"/>
      <c r="AC91" s="165"/>
    </row>
    <row r="92" ht="15.75" customHeight="1">
      <c r="A92" s="165"/>
      <c r="B92" s="165"/>
      <c r="C92" s="165"/>
      <c r="D92" s="165"/>
      <c r="E92" s="165"/>
      <c r="F92" s="165"/>
      <c r="G92" s="166"/>
      <c r="H92" s="165"/>
      <c r="I92" s="165"/>
      <c r="J92" s="165"/>
      <c r="K92" s="165"/>
      <c r="L92" s="167"/>
      <c r="M92" s="34"/>
      <c r="N92" s="165"/>
      <c r="O92" s="165"/>
      <c r="P92" s="165"/>
      <c r="Q92" s="168"/>
      <c r="R92" s="165"/>
      <c r="S92" s="165"/>
      <c r="T92" s="34"/>
      <c r="U92" s="34"/>
      <c r="V92" s="34"/>
      <c r="W92" s="165"/>
      <c r="X92" s="165"/>
      <c r="Y92" s="165"/>
      <c r="Z92" s="165"/>
      <c r="AA92" s="165"/>
      <c r="AB92" s="165"/>
      <c r="AC92" s="165"/>
    </row>
    <row r="93" ht="15.75" customHeight="1">
      <c r="A93" s="165"/>
      <c r="B93" s="165"/>
      <c r="C93" s="165"/>
      <c r="D93" s="165"/>
      <c r="E93" s="165"/>
      <c r="F93" s="165"/>
      <c r="G93" s="166"/>
      <c r="H93" s="165"/>
      <c r="I93" s="165"/>
      <c r="J93" s="165"/>
      <c r="K93" s="165"/>
      <c r="L93" s="167"/>
      <c r="M93" s="34"/>
      <c r="N93" s="165"/>
      <c r="O93" s="165"/>
      <c r="P93" s="165"/>
      <c r="Q93" s="168"/>
      <c r="R93" s="165"/>
      <c r="S93" s="165"/>
      <c r="T93" s="34"/>
      <c r="U93" s="34"/>
      <c r="V93" s="34"/>
      <c r="W93" s="165"/>
      <c r="X93" s="165"/>
      <c r="Y93" s="165"/>
      <c r="Z93" s="165"/>
      <c r="AA93" s="165"/>
      <c r="AB93" s="165"/>
      <c r="AC93" s="165"/>
    </row>
    <row r="94" ht="15.75" customHeight="1">
      <c r="A94" s="165"/>
      <c r="B94" s="165"/>
      <c r="C94" s="165"/>
      <c r="D94" s="165"/>
      <c r="E94" s="165"/>
      <c r="F94" s="165"/>
      <c r="G94" s="166"/>
      <c r="H94" s="165"/>
      <c r="I94" s="165"/>
      <c r="J94" s="165"/>
      <c r="K94" s="165"/>
      <c r="L94" s="165"/>
      <c r="M94" s="34"/>
      <c r="N94" s="165"/>
      <c r="O94" s="165"/>
      <c r="P94" s="165"/>
      <c r="Q94" s="168"/>
      <c r="R94" s="165"/>
      <c r="S94" s="165"/>
      <c r="T94" s="34"/>
      <c r="U94" s="34"/>
      <c r="V94" s="34"/>
      <c r="W94" s="165"/>
      <c r="X94" s="165"/>
      <c r="Y94" s="165"/>
      <c r="Z94" s="165"/>
      <c r="AA94" s="165"/>
      <c r="AB94" s="165"/>
      <c r="AC94" s="165"/>
    </row>
    <row r="95" ht="15.75" customHeight="1">
      <c r="A95" s="165"/>
      <c r="B95" s="165"/>
      <c r="C95" s="165"/>
      <c r="D95" s="165"/>
      <c r="E95" s="165"/>
      <c r="F95" s="165"/>
      <c r="G95" s="166"/>
      <c r="H95" s="165"/>
      <c r="I95" s="165"/>
      <c r="J95" s="165"/>
      <c r="K95" s="165"/>
      <c r="L95" s="165"/>
      <c r="M95" s="34"/>
      <c r="N95" s="165"/>
      <c r="O95" s="165"/>
      <c r="P95" s="165"/>
      <c r="Q95" s="168"/>
      <c r="R95" s="165"/>
      <c r="S95" s="165"/>
      <c r="T95" s="34"/>
      <c r="U95" s="34"/>
      <c r="V95" s="34"/>
      <c r="W95" s="165"/>
      <c r="X95" s="165"/>
      <c r="Y95" s="165"/>
      <c r="Z95" s="165"/>
      <c r="AA95" s="165"/>
      <c r="AB95" s="165"/>
      <c r="AC95" s="165"/>
    </row>
    <row r="96" ht="15.75" customHeight="1">
      <c r="A96" s="165"/>
      <c r="B96" s="165"/>
      <c r="C96" s="165"/>
      <c r="D96" s="165"/>
      <c r="E96" s="165"/>
      <c r="F96" s="165"/>
      <c r="G96" s="166"/>
      <c r="H96" s="165"/>
      <c r="I96" s="165"/>
      <c r="J96" s="165"/>
      <c r="K96" s="165"/>
      <c r="L96" s="165"/>
      <c r="M96" s="34"/>
      <c r="N96" s="165"/>
      <c r="O96" s="165"/>
      <c r="P96" s="165"/>
      <c r="Q96" s="168"/>
      <c r="R96" s="165"/>
      <c r="S96" s="165"/>
      <c r="T96" s="34"/>
      <c r="U96" s="34"/>
      <c r="V96" s="34"/>
      <c r="W96" s="165"/>
      <c r="X96" s="165"/>
      <c r="Y96" s="165"/>
      <c r="Z96" s="165"/>
      <c r="AA96" s="165"/>
      <c r="AB96" s="165"/>
      <c r="AC96" s="165"/>
    </row>
    <row r="97" ht="15.75" customHeight="1">
      <c r="A97" s="165"/>
      <c r="B97" s="165"/>
      <c r="C97" s="165"/>
      <c r="D97" s="165"/>
      <c r="E97" s="165"/>
      <c r="F97" s="165"/>
      <c r="G97" s="166"/>
      <c r="H97" s="165"/>
      <c r="I97" s="165"/>
      <c r="J97" s="165"/>
      <c r="K97" s="165"/>
      <c r="L97" s="165"/>
      <c r="M97" s="34"/>
      <c r="N97" s="165"/>
      <c r="O97" s="165"/>
      <c r="P97" s="165"/>
      <c r="Q97" s="168"/>
      <c r="R97" s="165"/>
      <c r="S97" s="165"/>
      <c r="T97" s="34"/>
      <c r="U97" s="34"/>
      <c r="V97" s="34"/>
      <c r="W97" s="165"/>
      <c r="X97" s="165"/>
      <c r="Y97" s="165"/>
      <c r="Z97" s="165"/>
      <c r="AA97" s="165"/>
      <c r="AB97" s="165"/>
      <c r="AC97" s="165"/>
    </row>
    <row r="98" ht="15.75" customHeight="1">
      <c r="A98" s="165"/>
      <c r="B98" s="165"/>
      <c r="C98" s="165"/>
      <c r="D98" s="165"/>
      <c r="E98" s="165"/>
      <c r="F98" s="165"/>
      <c r="G98" s="166"/>
      <c r="H98" s="165"/>
      <c r="I98" s="165"/>
      <c r="J98" s="165"/>
      <c r="K98" s="165"/>
      <c r="L98" s="165"/>
      <c r="M98" s="34"/>
      <c r="N98" s="165"/>
      <c r="O98" s="165"/>
      <c r="P98" s="165"/>
      <c r="Q98" s="168"/>
      <c r="R98" s="165"/>
      <c r="S98" s="165"/>
      <c r="T98" s="34"/>
      <c r="U98" s="34"/>
      <c r="V98" s="34"/>
      <c r="W98" s="165"/>
      <c r="X98" s="165"/>
      <c r="Y98" s="165"/>
      <c r="Z98" s="165"/>
      <c r="AA98" s="165"/>
      <c r="AB98" s="165"/>
      <c r="AC98" s="165"/>
    </row>
    <row r="99" ht="15.75" customHeight="1">
      <c r="A99" s="165"/>
      <c r="B99" s="165"/>
      <c r="C99" s="165"/>
      <c r="D99" s="165"/>
      <c r="E99" s="165"/>
      <c r="F99" s="165"/>
      <c r="G99" s="166"/>
      <c r="H99" s="165"/>
      <c r="I99" s="165"/>
      <c r="J99" s="165"/>
      <c r="K99" s="165"/>
      <c r="L99" s="165"/>
      <c r="M99" s="34"/>
      <c r="N99" s="165"/>
      <c r="O99" s="165"/>
      <c r="P99" s="165"/>
      <c r="Q99" s="168"/>
      <c r="R99" s="165"/>
      <c r="S99" s="165"/>
      <c r="T99" s="34"/>
      <c r="U99" s="34"/>
      <c r="V99" s="34"/>
      <c r="W99" s="165"/>
      <c r="X99" s="165"/>
      <c r="Y99" s="165"/>
      <c r="Z99" s="165"/>
      <c r="AA99" s="165"/>
      <c r="AB99" s="165"/>
      <c r="AC99" s="165"/>
    </row>
    <row r="100" ht="15.75" customHeight="1">
      <c r="A100" s="165"/>
      <c r="B100" s="165"/>
      <c r="C100" s="165"/>
      <c r="D100" s="165"/>
      <c r="E100" s="165"/>
      <c r="F100" s="165"/>
      <c r="G100" s="166"/>
      <c r="H100" s="165"/>
      <c r="I100" s="165"/>
      <c r="J100" s="165"/>
      <c r="K100" s="165"/>
      <c r="L100" s="165"/>
      <c r="M100" s="34"/>
      <c r="N100" s="165"/>
      <c r="O100" s="165"/>
      <c r="P100" s="165"/>
      <c r="Q100" s="168"/>
      <c r="R100" s="165"/>
      <c r="S100" s="165"/>
      <c r="T100" s="34"/>
      <c r="U100" s="34"/>
      <c r="V100" s="34"/>
      <c r="W100" s="165"/>
      <c r="X100" s="165"/>
      <c r="Y100" s="165"/>
      <c r="Z100" s="165"/>
      <c r="AA100" s="165"/>
      <c r="AB100" s="165"/>
      <c r="AC100" s="165"/>
    </row>
    <row r="101" ht="15.75" customHeight="1">
      <c r="A101" s="165"/>
      <c r="B101" s="165"/>
      <c r="C101" s="165"/>
      <c r="D101" s="165"/>
      <c r="E101" s="165"/>
      <c r="F101" s="165"/>
      <c r="G101" s="166"/>
      <c r="H101" s="165"/>
      <c r="I101" s="165"/>
      <c r="J101" s="165"/>
      <c r="K101" s="165"/>
      <c r="L101" s="165"/>
      <c r="M101" s="34"/>
      <c r="N101" s="165"/>
      <c r="O101" s="165"/>
      <c r="P101" s="165"/>
      <c r="Q101" s="168"/>
      <c r="R101" s="165"/>
      <c r="S101" s="165"/>
      <c r="T101" s="34"/>
      <c r="U101" s="34"/>
      <c r="V101" s="34"/>
      <c r="W101" s="165"/>
      <c r="X101" s="165"/>
      <c r="Y101" s="165"/>
      <c r="Z101" s="165"/>
      <c r="AA101" s="165"/>
      <c r="AB101" s="165"/>
      <c r="AC101" s="165"/>
    </row>
    <row r="102" ht="15.75" customHeight="1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34"/>
      <c r="N102" s="165"/>
      <c r="O102" s="165"/>
      <c r="P102" s="165"/>
      <c r="Q102" s="168"/>
      <c r="R102" s="165"/>
      <c r="S102" s="165"/>
      <c r="T102" s="34"/>
      <c r="U102" s="34"/>
      <c r="V102" s="34"/>
      <c r="W102" s="165"/>
      <c r="X102" s="165"/>
      <c r="Y102" s="165"/>
      <c r="Z102" s="165"/>
      <c r="AA102" s="165"/>
      <c r="AB102" s="165"/>
      <c r="AC102" s="165"/>
    </row>
    <row r="103" ht="15.75" customHeight="1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34"/>
      <c r="N103" s="165"/>
      <c r="O103" s="165"/>
      <c r="P103" s="165"/>
      <c r="Q103" s="168"/>
      <c r="R103" s="165"/>
      <c r="S103" s="165"/>
      <c r="T103" s="34"/>
      <c r="U103" s="34"/>
      <c r="V103" s="34"/>
      <c r="W103" s="165"/>
      <c r="X103" s="165"/>
      <c r="Y103" s="165"/>
      <c r="Z103" s="165"/>
      <c r="AA103" s="165"/>
      <c r="AB103" s="165"/>
      <c r="AC103" s="165"/>
    </row>
    <row r="104" ht="15.75" customHeight="1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34"/>
      <c r="N104" s="165"/>
      <c r="O104" s="165"/>
      <c r="P104" s="165"/>
      <c r="Q104" s="168"/>
      <c r="R104" s="165"/>
      <c r="S104" s="165"/>
      <c r="T104" s="34"/>
      <c r="U104" s="34"/>
      <c r="V104" s="34"/>
      <c r="W104" s="165"/>
      <c r="X104" s="165"/>
      <c r="Y104" s="165"/>
      <c r="Z104" s="165"/>
      <c r="AA104" s="165"/>
      <c r="AB104" s="165"/>
      <c r="AC104" s="165"/>
    </row>
    <row r="105" ht="15.75" customHeight="1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34"/>
      <c r="N105" s="165"/>
      <c r="O105" s="165"/>
      <c r="P105" s="165"/>
      <c r="Q105" s="168"/>
      <c r="R105" s="165"/>
      <c r="S105" s="165"/>
      <c r="T105" s="34"/>
      <c r="U105" s="34"/>
      <c r="V105" s="34"/>
      <c r="W105" s="165"/>
      <c r="X105" s="165"/>
      <c r="Y105" s="165"/>
      <c r="Z105" s="165"/>
      <c r="AA105" s="165"/>
      <c r="AB105" s="165"/>
      <c r="AC105" s="165"/>
    </row>
    <row r="106" ht="15.75" customHeight="1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34"/>
      <c r="N106" s="165"/>
      <c r="O106" s="165"/>
      <c r="P106" s="165"/>
      <c r="Q106" s="168"/>
      <c r="R106" s="165"/>
      <c r="S106" s="165"/>
      <c r="T106" s="34"/>
      <c r="U106" s="34"/>
      <c r="V106" s="34"/>
      <c r="W106" s="165"/>
      <c r="X106" s="165"/>
      <c r="Y106" s="165"/>
      <c r="Z106" s="165"/>
      <c r="AA106" s="165"/>
      <c r="AB106" s="165"/>
      <c r="AC106" s="165"/>
    </row>
    <row r="107" ht="15.75" customHeight="1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34"/>
      <c r="N107" s="165"/>
      <c r="O107" s="165"/>
      <c r="P107" s="165"/>
      <c r="Q107" s="168"/>
      <c r="R107" s="165"/>
      <c r="S107" s="165"/>
      <c r="T107" s="34"/>
      <c r="U107" s="34"/>
      <c r="V107" s="34"/>
      <c r="W107" s="165"/>
      <c r="X107" s="165"/>
      <c r="Y107" s="165"/>
      <c r="Z107" s="165"/>
      <c r="AA107" s="165"/>
      <c r="AB107" s="165"/>
      <c r="AC107" s="165"/>
    </row>
    <row r="108" ht="15.75" customHeight="1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34"/>
      <c r="N108" s="165"/>
      <c r="O108" s="165"/>
      <c r="P108" s="165"/>
      <c r="Q108" s="168"/>
      <c r="R108" s="165"/>
      <c r="S108" s="165"/>
      <c r="T108" s="34"/>
      <c r="U108" s="34"/>
      <c r="V108" s="34"/>
      <c r="W108" s="165"/>
      <c r="X108" s="165"/>
      <c r="Y108" s="165"/>
      <c r="Z108" s="165"/>
      <c r="AA108" s="165"/>
      <c r="AB108" s="165"/>
      <c r="AC108" s="165"/>
    </row>
    <row r="109" ht="15.75" customHeight="1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34"/>
      <c r="N109" s="165"/>
      <c r="O109" s="165"/>
      <c r="P109" s="165"/>
      <c r="Q109" s="168"/>
      <c r="R109" s="165"/>
      <c r="S109" s="165"/>
      <c r="T109" s="34"/>
      <c r="U109" s="34"/>
      <c r="V109" s="34"/>
      <c r="W109" s="165"/>
      <c r="X109" s="165"/>
      <c r="Y109" s="165"/>
      <c r="Z109" s="165"/>
      <c r="AA109" s="165"/>
      <c r="AB109" s="165"/>
      <c r="AC109" s="165"/>
    </row>
    <row r="110" ht="15.75" customHeight="1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34"/>
      <c r="N110" s="165"/>
      <c r="O110" s="165"/>
      <c r="P110" s="165"/>
      <c r="Q110" s="168"/>
      <c r="R110" s="165"/>
      <c r="S110" s="165"/>
      <c r="T110" s="34"/>
      <c r="U110" s="34"/>
      <c r="V110" s="34"/>
      <c r="W110" s="165"/>
      <c r="X110" s="165"/>
      <c r="Y110" s="165"/>
      <c r="Z110" s="165"/>
      <c r="AA110" s="165"/>
      <c r="AB110" s="165"/>
      <c r="AC110" s="165"/>
    </row>
    <row r="111" ht="15.75" customHeight="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34"/>
      <c r="N111" s="165"/>
      <c r="O111" s="165"/>
      <c r="P111" s="165"/>
      <c r="Q111" s="168"/>
      <c r="R111" s="165"/>
      <c r="S111" s="165"/>
      <c r="T111" s="34"/>
      <c r="U111" s="34"/>
      <c r="V111" s="34"/>
      <c r="W111" s="165"/>
      <c r="X111" s="165"/>
      <c r="Y111" s="165"/>
      <c r="Z111" s="165"/>
      <c r="AA111" s="165"/>
      <c r="AB111" s="165"/>
      <c r="AC111" s="165"/>
    </row>
    <row r="112" ht="15.75" customHeight="1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34"/>
      <c r="N112" s="165"/>
      <c r="O112" s="165"/>
      <c r="P112" s="165"/>
      <c r="Q112" s="168"/>
      <c r="R112" s="165"/>
      <c r="S112" s="165"/>
      <c r="T112" s="34"/>
      <c r="U112" s="34"/>
      <c r="V112" s="34"/>
      <c r="W112" s="165"/>
      <c r="X112" s="165"/>
      <c r="Y112" s="165"/>
      <c r="Z112" s="165"/>
      <c r="AA112" s="165"/>
      <c r="AB112" s="165"/>
      <c r="AC112" s="165"/>
    </row>
    <row r="113" ht="15.75" customHeight="1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34"/>
      <c r="N113" s="165"/>
      <c r="O113" s="165"/>
      <c r="P113" s="165"/>
      <c r="Q113" s="168"/>
      <c r="R113" s="165"/>
      <c r="S113" s="165"/>
      <c r="T113" s="34"/>
      <c r="U113" s="34"/>
      <c r="V113" s="34"/>
      <c r="W113" s="165"/>
      <c r="X113" s="165"/>
      <c r="Y113" s="165"/>
      <c r="Z113" s="165"/>
      <c r="AA113" s="165"/>
      <c r="AB113" s="165"/>
      <c r="AC113" s="165"/>
    </row>
    <row r="114" ht="15.75" customHeight="1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34"/>
      <c r="N114" s="165"/>
      <c r="O114" s="165"/>
      <c r="P114" s="165"/>
      <c r="Q114" s="168"/>
      <c r="R114" s="165"/>
      <c r="S114" s="165"/>
      <c r="T114" s="34"/>
      <c r="U114" s="34"/>
      <c r="V114" s="34"/>
      <c r="W114" s="165"/>
      <c r="X114" s="165"/>
      <c r="Y114" s="165"/>
      <c r="Z114" s="165"/>
      <c r="AA114" s="165"/>
      <c r="AB114" s="165"/>
      <c r="AC114" s="165"/>
    </row>
    <row r="115" ht="15.75" customHeight="1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34"/>
      <c r="N115" s="165"/>
      <c r="O115" s="165"/>
      <c r="P115" s="165"/>
      <c r="Q115" s="168"/>
      <c r="R115" s="165"/>
      <c r="S115" s="165"/>
      <c r="T115" s="34"/>
      <c r="U115" s="34"/>
      <c r="V115" s="34"/>
      <c r="W115" s="165"/>
      <c r="X115" s="165"/>
      <c r="Y115" s="165"/>
      <c r="Z115" s="165"/>
      <c r="AA115" s="165"/>
      <c r="AB115" s="165"/>
      <c r="AC115" s="165"/>
    </row>
    <row r="116" ht="15.75" customHeight="1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34"/>
      <c r="N116" s="165"/>
      <c r="O116" s="165"/>
      <c r="P116" s="165"/>
      <c r="Q116" s="168"/>
      <c r="R116" s="165"/>
      <c r="S116" s="165"/>
      <c r="T116" s="34"/>
      <c r="U116" s="34"/>
      <c r="V116" s="34"/>
      <c r="W116" s="165"/>
      <c r="X116" s="165"/>
      <c r="Y116" s="165"/>
      <c r="Z116" s="165"/>
      <c r="AA116" s="165"/>
      <c r="AB116" s="165"/>
      <c r="AC116" s="165"/>
    </row>
    <row r="117" ht="15.75" customHeight="1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34"/>
      <c r="N117" s="165"/>
      <c r="O117" s="165"/>
      <c r="P117" s="165"/>
      <c r="Q117" s="168"/>
      <c r="R117" s="165"/>
      <c r="S117" s="165"/>
      <c r="T117" s="34"/>
      <c r="U117" s="34"/>
      <c r="V117" s="34"/>
      <c r="W117" s="165"/>
      <c r="X117" s="165"/>
      <c r="Y117" s="165"/>
      <c r="Z117" s="165"/>
      <c r="AA117" s="165"/>
      <c r="AB117" s="165"/>
      <c r="AC117" s="165"/>
    </row>
    <row r="118" ht="15.75" customHeight="1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34"/>
      <c r="N118" s="165"/>
      <c r="O118" s="165"/>
      <c r="P118" s="165"/>
      <c r="Q118" s="168"/>
      <c r="R118" s="165"/>
      <c r="S118" s="165"/>
      <c r="T118" s="34"/>
      <c r="U118" s="34"/>
      <c r="V118" s="34"/>
      <c r="W118" s="165"/>
      <c r="X118" s="165"/>
      <c r="Y118" s="165"/>
      <c r="Z118" s="165"/>
      <c r="AA118" s="165"/>
      <c r="AB118" s="165"/>
      <c r="AC118" s="165"/>
    </row>
    <row r="119" ht="15.75" customHeight="1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34"/>
      <c r="N119" s="165"/>
      <c r="O119" s="165"/>
      <c r="P119" s="165"/>
      <c r="Q119" s="168"/>
      <c r="R119" s="165"/>
      <c r="S119" s="165"/>
      <c r="T119" s="34"/>
      <c r="U119" s="34"/>
      <c r="V119" s="34"/>
      <c r="W119" s="165"/>
      <c r="X119" s="165"/>
      <c r="Y119" s="165"/>
      <c r="Z119" s="165"/>
      <c r="AA119" s="165"/>
      <c r="AB119" s="165"/>
      <c r="AC119" s="165"/>
    </row>
    <row r="120" ht="15.75" customHeight="1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34"/>
      <c r="N120" s="165"/>
      <c r="O120" s="165"/>
      <c r="P120" s="165"/>
      <c r="Q120" s="168"/>
      <c r="R120" s="165"/>
      <c r="S120" s="165"/>
      <c r="T120" s="34"/>
      <c r="U120" s="34"/>
      <c r="V120" s="34"/>
      <c r="W120" s="165"/>
      <c r="X120" s="165"/>
      <c r="Y120" s="165"/>
      <c r="Z120" s="165"/>
      <c r="AA120" s="165"/>
      <c r="AB120" s="165"/>
      <c r="AC120" s="165"/>
    </row>
    <row r="121" ht="15.75" customHeight="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</row>
    <row r="122" ht="15.75" customHeight="1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</row>
    <row r="123" ht="15.75" customHeight="1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</row>
    <row r="124" ht="15.75" customHeight="1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</row>
    <row r="125" ht="15.75" customHeight="1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</row>
    <row r="126" ht="15.75" customHeight="1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</row>
    <row r="127" ht="15.75" customHeight="1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</row>
    <row r="128" ht="15.75" customHeight="1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</row>
    <row r="129" ht="15.75" customHeight="1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</row>
    <row r="130" ht="15.75" customHeight="1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</row>
    <row r="131" ht="15.75" customHeight="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</row>
    <row r="132" ht="15.75" customHeight="1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</row>
    <row r="133" ht="15.75" customHeight="1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</row>
    <row r="134" ht="15.75" customHeight="1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</row>
    <row r="135" ht="15.75" customHeight="1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</row>
    <row r="136" ht="15.75" customHeight="1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</row>
    <row r="137" ht="15.75" customHeight="1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</row>
    <row r="138" ht="15.75" customHeight="1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</row>
    <row r="139" ht="15.75" customHeight="1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</row>
    <row r="140" ht="15.75" customHeight="1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</row>
    <row r="141" ht="15.75" customHeight="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</row>
    <row r="142" ht="15.75" customHeight="1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</row>
    <row r="143" ht="15.75" customHeight="1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</row>
    <row r="144" ht="15.75" customHeight="1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</row>
    <row r="145" ht="15.75" customHeight="1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</row>
    <row r="146" ht="15.75" customHeight="1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</row>
    <row r="147" ht="15.75" customHeight="1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</row>
    <row r="148" ht="15.75" customHeight="1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</row>
    <row r="149" ht="15.75" customHeight="1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</row>
    <row r="150" ht="15.75" customHeight="1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</row>
    <row r="151" ht="15.75" customHeight="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</row>
    <row r="152" ht="15.75" customHeight="1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</row>
    <row r="153" ht="15.75" customHeight="1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</row>
    <row r="154" ht="15.75" customHeight="1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</row>
    <row r="155" ht="15.75" customHeight="1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</row>
    <row r="156" ht="15.75" customHeight="1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</row>
    <row r="157" ht="15.75" customHeight="1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</row>
    <row r="158" ht="15.75" customHeight="1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</row>
    <row r="159" ht="15.75" customHeight="1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</row>
    <row r="160" ht="15.75" customHeight="1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</row>
    <row r="161" ht="15.75" customHeight="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</row>
    <row r="162" ht="15.75" customHeight="1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</row>
    <row r="163" ht="15.75" customHeight="1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</row>
    <row r="164" ht="15.75" customHeight="1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</row>
    <row r="165" ht="15.75" customHeight="1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</row>
    <row r="166" ht="15.75" customHeight="1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</row>
    <row r="167" ht="15.75" customHeight="1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</row>
    <row r="168" ht="15.75" customHeight="1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</row>
    <row r="169" ht="15.75" customHeight="1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</row>
    <row r="170" ht="15.75" customHeight="1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</row>
    <row r="171" ht="15.75" customHeight="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</row>
    <row r="172" ht="15.75" customHeight="1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</row>
    <row r="173" ht="15.75" customHeight="1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</row>
    <row r="174" ht="15.75" customHeight="1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</row>
    <row r="175" ht="15.75" customHeight="1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</row>
    <row r="176" ht="15.75" customHeight="1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</row>
    <row r="177" ht="15.75" customHeight="1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</row>
    <row r="178" ht="15.75" customHeight="1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</row>
    <row r="179" ht="15.75" customHeight="1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</row>
    <row r="180" ht="15.75" customHeight="1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</row>
    <row r="181" ht="15.75" customHeight="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</row>
    <row r="182" ht="15.75" customHeight="1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</row>
    <row r="183" ht="15.75" customHeight="1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</row>
    <row r="184" ht="15.75" customHeight="1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</row>
    <row r="185" ht="15.75" customHeight="1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</row>
    <row r="186" ht="15.75" customHeight="1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</row>
    <row r="187" ht="15.75" customHeight="1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</row>
    <row r="188" ht="15.75" customHeight="1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</row>
    <row r="189" ht="15.75" customHeight="1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</row>
    <row r="190" ht="15.75" customHeight="1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</row>
    <row r="191" ht="15.75" customHeight="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</row>
    <row r="192" ht="15.75" customHeight="1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</row>
    <row r="193" ht="15.75" customHeight="1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</row>
    <row r="194" ht="15.75" customHeight="1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</row>
    <row r="195" ht="15.75" customHeight="1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</row>
    <row r="196" ht="15.75" customHeight="1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</row>
    <row r="197" ht="15.75" customHeight="1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</row>
    <row r="198" ht="15.75" customHeight="1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</row>
    <row r="199" ht="15.75" customHeight="1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</row>
    <row r="200" ht="15.75" customHeight="1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</row>
    <row r="201" ht="15.75" customHeight="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</row>
    <row r="202" ht="15.75" customHeight="1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</row>
    <row r="203" ht="15.75" customHeight="1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</row>
    <row r="204" ht="15.75" customHeight="1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</row>
    <row r="205" ht="15.75" customHeight="1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</row>
    <row r="206" ht="15.75" customHeight="1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</row>
    <row r="207" ht="15.75" customHeight="1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</row>
    <row r="208" ht="15.75" customHeight="1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</row>
    <row r="209" ht="15.75" customHeight="1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</row>
    <row r="210" ht="15.75" customHeight="1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</row>
    <row r="211" ht="15.75" customHeight="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</row>
    <row r="212" ht="15.75" customHeight="1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</row>
    <row r="213" ht="15.75" customHeight="1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</row>
    <row r="214" ht="15.75" customHeight="1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</row>
    <row r="215" ht="15.75" customHeight="1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</row>
    <row r="216" ht="15.75" customHeight="1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</row>
    <row r="217" ht="15.75" customHeight="1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</row>
    <row r="218" ht="15.75" customHeight="1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</row>
    <row r="219" ht="15.75" customHeight="1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</row>
    <row r="220" ht="15.75" customHeight="1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</row>
    <row r="221" ht="15.75" customHeight="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</row>
    <row r="222" ht="15.75" customHeight="1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</row>
    <row r="223" ht="15.75" customHeight="1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</row>
    <row r="224" ht="15.75" customHeight="1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</row>
    <row r="225" ht="15.75" customHeight="1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</row>
    <row r="226" ht="15.75" customHeight="1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</row>
    <row r="227" ht="15.75" customHeight="1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</row>
    <row r="228" ht="15.75" customHeight="1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</row>
    <row r="229" ht="15.75" customHeight="1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</row>
    <row r="230" ht="15.75" customHeight="1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</row>
    <row r="231" ht="15.75" customHeight="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</row>
    <row r="232" ht="15.75" customHeight="1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</row>
    <row r="233" ht="15.75" customHeight="1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</row>
    <row r="234" ht="15.75" customHeight="1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</row>
    <row r="235" ht="15.75" customHeight="1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</row>
    <row r="236" ht="15.75" customHeight="1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</row>
    <row r="237" ht="15.75" customHeight="1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</row>
    <row r="238" ht="15.75" customHeight="1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</row>
    <row r="239" ht="15.75" customHeight="1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</row>
    <row r="240" ht="15.75" customHeight="1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</row>
    <row r="241" ht="15.75" customHeight="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</row>
    <row r="242" ht="15.75" customHeight="1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</row>
    <row r="243" ht="15.75" customHeight="1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</row>
    <row r="244" ht="15.75" customHeight="1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</row>
    <row r="245" ht="15.75" customHeight="1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</row>
    <row r="246" ht="15.75" customHeight="1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</row>
    <row r="247" ht="15.75" customHeight="1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</row>
    <row r="248" ht="15.75" customHeight="1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</row>
    <row r="249" ht="15.75" customHeight="1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</row>
    <row r="250" ht="15.75" customHeight="1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</row>
    <row r="251" ht="15.75" customHeight="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</row>
    <row r="252" ht="15.75" customHeight="1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</row>
    <row r="253" ht="15.75" customHeight="1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</row>
    <row r="254" ht="15.75" customHeight="1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</row>
    <row r="255" ht="15.75" customHeight="1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</row>
    <row r="256" ht="15.75" customHeight="1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</row>
    <row r="257" ht="15.75" customHeight="1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</row>
    <row r="258" ht="15.75" customHeight="1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</row>
    <row r="259" ht="15.75" customHeight="1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</row>
    <row r="260" ht="15.75" customHeight="1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</row>
    <row r="261" ht="15.75" customHeight="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</row>
    <row r="262" ht="15.75" customHeight="1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</row>
    <row r="263" ht="15.75" customHeight="1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</row>
    <row r="264" ht="15.75" customHeight="1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</row>
    <row r="265" ht="15.75" customHeight="1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</row>
    <row r="266" ht="15.75" customHeight="1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</row>
    <row r="267" ht="15.75" customHeight="1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</row>
    <row r="268" ht="15.75" customHeight="1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</row>
    <row r="269" ht="15.75" customHeight="1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</row>
    <row r="270" ht="15.75" customHeight="1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</row>
    <row r="271" ht="15.75" customHeight="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</row>
    <row r="272" ht="15.75" customHeight="1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</row>
    <row r="273" ht="15.75" customHeight="1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</row>
    <row r="274" ht="15.75" customHeight="1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</row>
    <row r="275" ht="15.75" customHeight="1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</row>
    <row r="276" ht="15.75" customHeight="1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</row>
    <row r="277" ht="15.75" customHeight="1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</row>
    <row r="278" ht="15.75" customHeight="1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</row>
    <row r="279" ht="15.75" customHeight="1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</row>
    <row r="280" ht="15.75" customHeight="1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</row>
    <row r="281" ht="15.75" customHeight="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</row>
    <row r="282" ht="15.75" customHeight="1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</row>
    <row r="283" ht="15.75" customHeight="1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</row>
    <row r="284" ht="15.75" customHeight="1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</row>
    <row r="285" ht="15.75" customHeight="1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</row>
    <row r="286" ht="15.75" customHeight="1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</row>
    <row r="287" ht="15.75" customHeight="1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</row>
    <row r="288" ht="15.75" customHeight="1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</row>
    <row r="289" ht="15.75" customHeight="1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</row>
    <row r="290" ht="15.75" customHeight="1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</row>
    <row r="291" ht="15.75" customHeight="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</row>
    <row r="292" ht="15.75" customHeight="1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</row>
    <row r="293" ht="15.75" customHeight="1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</row>
    <row r="294" ht="15.75" customHeight="1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</row>
    <row r="295" ht="15.75" customHeight="1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</row>
    <row r="296" ht="15.75" customHeight="1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</row>
    <row r="297" ht="15.75" customHeight="1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</row>
    <row r="298" ht="15.75" customHeight="1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</row>
    <row r="299" ht="15.75" customHeight="1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</row>
    <row r="300" ht="15.75" customHeight="1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</row>
    <row r="301" ht="15.75" customHeight="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</row>
    <row r="302" ht="15.75" customHeight="1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</row>
    <row r="303" ht="15.75" customHeight="1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</row>
    <row r="304" ht="15.75" customHeight="1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</row>
    <row r="305" ht="15.75" customHeight="1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</row>
    <row r="306" ht="15.75" customHeight="1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</row>
    <row r="307" ht="15.75" customHeight="1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</row>
    <row r="308" ht="15.75" customHeight="1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</row>
    <row r="309" ht="15.75" customHeight="1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</row>
    <row r="310" ht="15.75" customHeight="1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</row>
    <row r="311" ht="15.75" customHeight="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</row>
    <row r="312" ht="15.75" customHeight="1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</row>
    <row r="313" ht="15.75" customHeight="1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</row>
    <row r="314" ht="15.75" customHeight="1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</row>
    <row r="315" ht="15.75" customHeight="1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</row>
    <row r="316" ht="15.75" customHeight="1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</row>
    <row r="317" ht="15.75" customHeight="1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</row>
    <row r="318" ht="15.75" customHeight="1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</row>
    <row r="319" ht="15.75" customHeight="1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</row>
    <row r="320" ht="15.75" customHeight="1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</row>
    <row r="321" ht="15.75" customHeight="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</row>
    <row r="322" ht="15.75" customHeight="1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</row>
    <row r="323" ht="15.75" customHeight="1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</row>
    <row r="324" ht="15.75" customHeight="1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</row>
    <row r="325" ht="15.75" customHeight="1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</row>
    <row r="326" ht="15.75" customHeight="1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</row>
    <row r="327" ht="15.75" customHeight="1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</row>
    <row r="328" ht="15.75" customHeight="1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</row>
    <row r="329" ht="15.75" customHeight="1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</row>
    <row r="330" ht="15.75" customHeight="1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</row>
    <row r="331" ht="15.75" customHeight="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</row>
    <row r="332" ht="15.75" customHeight="1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</row>
    <row r="333" ht="15.75" customHeight="1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</row>
    <row r="334" ht="15.75" customHeight="1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</row>
    <row r="335" ht="15.75" customHeight="1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</row>
    <row r="336" ht="15.75" customHeight="1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</row>
    <row r="337" ht="15.75" customHeight="1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</row>
    <row r="338" ht="15.75" customHeight="1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</row>
    <row r="339" ht="15.75" customHeight="1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</row>
    <row r="340" ht="15.75" customHeight="1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</row>
    <row r="341" ht="15.75" customHeight="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</row>
    <row r="342" ht="15.75" customHeight="1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</row>
    <row r="343" ht="15.75" customHeight="1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</row>
    <row r="344" ht="15.75" customHeight="1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</row>
    <row r="345" ht="15.75" customHeight="1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</row>
    <row r="346" ht="15.75" customHeight="1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</row>
    <row r="347" ht="15.75" customHeight="1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</row>
    <row r="348" ht="15.75" customHeight="1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</row>
    <row r="349" ht="15.75" customHeight="1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</row>
    <row r="350" ht="15.75" customHeight="1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</row>
    <row r="351" ht="15.75" customHeight="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</row>
    <row r="352" ht="15.75" customHeight="1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</row>
    <row r="353" ht="15.75" customHeight="1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</row>
    <row r="354" ht="15.75" customHeight="1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</row>
    <row r="355" ht="15.75" customHeight="1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</row>
    <row r="356" ht="15.75" customHeight="1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</row>
    <row r="357" ht="15.75" customHeight="1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</row>
    <row r="358" ht="15.75" customHeight="1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</row>
    <row r="359" ht="15.75" customHeight="1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</row>
    <row r="360" ht="15.75" customHeight="1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</row>
    <row r="361" ht="15.75" customHeight="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</row>
    <row r="362" ht="15.75" customHeight="1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</row>
    <row r="363" ht="15.75" customHeight="1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</row>
    <row r="364" ht="15.75" customHeight="1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</row>
    <row r="365" ht="15.75" customHeight="1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</row>
    <row r="366" ht="15.75" customHeight="1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</row>
    <row r="367" ht="15.75" customHeight="1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</row>
    <row r="368" ht="15.75" customHeight="1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</row>
    <row r="369" ht="15.75" customHeight="1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</row>
    <row r="370" ht="15.75" customHeight="1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</row>
    <row r="371" ht="15.75" customHeight="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</row>
    <row r="372" ht="15.75" customHeight="1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</row>
    <row r="373" ht="15.75" customHeight="1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</row>
    <row r="374" ht="15.75" customHeight="1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</row>
    <row r="375" ht="15.75" customHeight="1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</row>
    <row r="376" ht="15.75" customHeight="1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</row>
    <row r="377" ht="15.75" customHeight="1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</row>
    <row r="378" ht="15.75" customHeight="1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</row>
    <row r="379" ht="15.75" customHeight="1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</row>
    <row r="380" ht="15.75" customHeight="1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</row>
    <row r="381" ht="15.75" customHeight="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</row>
    <row r="382" ht="15.75" customHeight="1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</row>
    <row r="383" ht="15.75" customHeight="1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</row>
    <row r="384" ht="15.75" customHeight="1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</row>
    <row r="385" ht="15.75" customHeight="1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</row>
    <row r="386" ht="15.75" customHeight="1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</row>
    <row r="387" ht="15.75" customHeight="1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</row>
    <row r="388" ht="15.75" customHeight="1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</row>
    <row r="389" ht="15.75" customHeight="1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</row>
    <row r="390" ht="15.75" customHeight="1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</row>
    <row r="391" ht="15.75" customHeight="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</row>
    <row r="392" ht="15.75" customHeight="1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</row>
    <row r="393" ht="15.75" customHeight="1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</row>
    <row r="394" ht="15.75" customHeight="1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</row>
    <row r="395" ht="15.75" customHeight="1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</row>
    <row r="396" ht="15.75" customHeight="1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</row>
    <row r="397" ht="15.75" customHeight="1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</row>
    <row r="398" ht="15.75" customHeight="1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</row>
    <row r="399" ht="15.75" customHeight="1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</row>
    <row r="400" ht="15.75" customHeight="1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</row>
    <row r="401" ht="15.75" customHeight="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</row>
    <row r="402" ht="15.75" customHeight="1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</row>
    <row r="403" ht="15.75" customHeight="1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</row>
    <row r="404" ht="15.75" customHeight="1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</row>
    <row r="405" ht="15.75" customHeight="1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</row>
    <row r="406" ht="15.75" customHeight="1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</row>
    <row r="407" ht="15.75" customHeight="1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</row>
    <row r="408" ht="15.75" customHeight="1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</row>
    <row r="409" ht="15.75" customHeight="1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</row>
    <row r="410" ht="15.75" customHeight="1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</row>
    <row r="411" ht="15.75" customHeight="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</row>
    <row r="412" ht="15.75" customHeight="1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</row>
    <row r="413" ht="15.75" customHeight="1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</row>
    <row r="414" ht="15.75" customHeight="1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</row>
    <row r="415" ht="15.75" customHeight="1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</row>
    <row r="416" ht="15.75" customHeight="1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</row>
    <row r="417" ht="15.75" customHeight="1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</row>
    <row r="418" ht="15.75" customHeight="1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</row>
    <row r="419" ht="15.75" customHeight="1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</row>
    <row r="420" ht="15.75" customHeight="1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</row>
    <row r="421" ht="15.75" customHeight="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</row>
    <row r="422" ht="15.75" customHeight="1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</row>
    <row r="423" ht="15.75" customHeight="1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</row>
    <row r="424" ht="15.75" customHeight="1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</row>
    <row r="425" ht="15.75" customHeight="1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</row>
    <row r="426" ht="15.75" customHeight="1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</row>
    <row r="427" ht="15.75" customHeight="1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</row>
    <row r="428" ht="15.75" customHeight="1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</row>
    <row r="429" ht="15.75" customHeight="1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</row>
    <row r="430" ht="15.75" customHeight="1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</row>
    <row r="431" ht="15.75" customHeight="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</row>
    <row r="432" ht="15.75" customHeight="1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</row>
    <row r="433" ht="15.75" customHeight="1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</row>
    <row r="434" ht="15.75" customHeight="1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</row>
    <row r="435" ht="15.75" customHeight="1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</row>
    <row r="436" ht="15.75" customHeight="1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</row>
    <row r="437" ht="15.75" customHeight="1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</row>
    <row r="438" ht="15.75" customHeight="1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</row>
    <row r="439" ht="15.75" customHeight="1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</row>
    <row r="440" ht="15.75" customHeight="1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</row>
    <row r="441" ht="15.75" customHeight="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</row>
    <row r="442" ht="15.75" customHeight="1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</row>
    <row r="443" ht="15.75" customHeight="1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</row>
    <row r="444" ht="15.75" customHeight="1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</row>
    <row r="445" ht="15.75" customHeight="1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</row>
    <row r="446" ht="15.75" customHeight="1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</row>
    <row r="447" ht="15.75" customHeight="1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</row>
    <row r="448" ht="15.75" customHeight="1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</row>
    <row r="449" ht="15.75" customHeight="1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</row>
    <row r="450" ht="15.75" customHeight="1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</row>
    <row r="451" ht="15.75" customHeight="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</row>
    <row r="452" ht="15.75" customHeight="1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</row>
    <row r="453" ht="15.75" customHeight="1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</row>
    <row r="454" ht="15.75" customHeight="1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</row>
    <row r="455" ht="15.75" customHeight="1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</row>
    <row r="456" ht="15.75" customHeight="1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</row>
    <row r="457" ht="15.75" customHeight="1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</row>
    <row r="458" ht="15.75" customHeight="1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</row>
    <row r="459" ht="15.75" customHeight="1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</row>
    <row r="460" ht="15.75" customHeight="1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</row>
    <row r="461" ht="15.75" customHeight="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</row>
    <row r="462" ht="15.75" customHeight="1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</row>
    <row r="463" ht="15.75" customHeight="1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</row>
    <row r="464" ht="15.75" customHeight="1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</row>
    <row r="465" ht="15.75" customHeight="1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</row>
    <row r="466" ht="15.75" customHeight="1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</row>
    <row r="467" ht="15.75" customHeight="1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</row>
    <row r="468" ht="15.75" customHeight="1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</row>
    <row r="469" ht="15.75" customHeight="1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</row>
    <row r="470" ht="15.75" customHeight="1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</row>
    <row r="471" ht="15.75" customHeight="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</row>
    <row r="472" ht="15.75" customHeight="1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</row>
    <row r="473" ht="15.75" customHeight="1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</row>
    <row r="474" ht="15.75" customHeight="1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</row>
    <row r="475" ht="15.75" customHeight="1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</row>
    <row r="476" ht="15.75" customHeight="1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</row>
    <row r="477" ht="15.75" customHeight="1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</row>
    <row r="478" ht="15.75" customHeight="1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</row>
    <row r="479" ht="15.75" customHeight="1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</row>
    <row r="480" ht="15.75" customHeight="1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</row>
    <row r="481" ht="15.75" customHeight="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</row>
    <row r="482" ht="15.75" customHeight="1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</row>
    <row r="483" ht="15.75" customHeight="1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</row>
    <row r="484" ht="15.75" customHeight="1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</row>
    <row r="485" ht="15.75" customHeight="1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</row>
    <row r="486" ht="15.75" customHeight="1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</row>
    <row r="487" ht="15.75" customHeight="1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</row>
    <row r="488" ht="15.75" customHeight="1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</row>
    <row r="489" ht="15.75" customHeight="1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</row>
    <row r="490" ht="15.75" customHeight="1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</row>
    <row r="491" ht="15.75" customHeight="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</row>
    <row r="492" ht="15.75" customHeight="1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</row>
    <row r="493" ht="15.75" customHeight="1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</row>
    <row r="494" ht="15.75" customHeight="1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</row>
    <row r="495" ht="15.75" customHeight="1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</row>
    <row r="496" ht="15.75" customHeight="1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</row>
    <row r="497" ht="15.75" customHeight="1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</row>
    <row r="498" ht="15.75" customHeight="1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</row>
    <row r="499" ht="15.75" customHeight="1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</row>
    <row r="500" ht="15.75" customHeight="1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</row>
    <row r="501" ht="15.75" customHeight="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</row>
    <row r="502" ht="15.75" customHeight="1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</row>
    <row r="503" ht="15.75" customHeight="1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</row>
    <row r="504" ht="15.75" customHeight="1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</row>
    <row r="505" ht="15.75" customHeight="1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</row>
    <row r="506" ht="15.75" customHeight="1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</row>
    <row r="507" ht="15.75" customHeight="1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</row>
    <row r="508" ht="15.75" customHeight="1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</row>
    <row r="509" ht="15.75" customHeight="1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</row>
    <row r="510" ht="15.75" customHeight="1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</row>
    <row r="511" ht="15.75" customHeight="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</row>
    <row r="512" ht="15.75" customHeight="1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</row>
    <row r="513" ht="15.75" customHeight="1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</row>
    <row r="514" ht="15.75" customHeight="1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</row>
    <row r="515" ht="15.75" customHeight="1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</row>
    <row r="516" ht="15.75" customHeight="1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</row>
    <row r="517" ht="15.75" customHeight="1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</row>
    <row r="518" ht="15.75" customHeight="1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</row>
    <row r="519" ht="15.75" customHeight="1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</row>
    <row r="520" ht="15.75" customHeight="1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</row>
    <row r="521" ht="15.75" customHeight="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</row>
    <row r="522" ht="15.75" customHeight="1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</row>
    <row r="523" ht="15.75" customHeight="1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</row>
    <row r="524" ht="15.75" customHeight="1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</row>
    <row r="525" ht="15.75" customHeight="1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</row>
    <row r="526" ht="15.75" customHeight="1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</row>
    <row r="527" ht="15.75" customHeight="1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</row>
    <row r="528" ht="15.75" customHeight="1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</row>
    <row r="529" ht="15.75" customHeight="1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</row>
    <row r="530" ht="15.75" customHeight="1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</row>
    <row r="531" ht="15.75" customHeight="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</row>
    <row r="532" ht="15.75" customHeight="1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</row>
    <row r="533" ht="15.75" customHeight="1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</row>
    <row r="534" ht="15.75" customHeight="1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</row>
    <row r="535" ht="15.75" customHeight="1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</row>
    <row r="536" ht="15.75" customHeight="1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</row>
    <row r="537" ht="15.75" customHeight="1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</row>
    <row r="538" ht="15.75" customHeight="1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</row>
    <row r="539" ht="15.75" customHeight="1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</row>
    <row r="540" ht="15.75" customHeight="1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</row>
    <row r="541" ht="15.75" customHeight="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</row>
    <row r="542" ht="15.75" customHeight="1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</row>
    <row r="543" ht="15.75" customHeight="1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</row>
    <row r="544" ht="15.75" customHeight="1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</row>
    <row r="545" ht="15.75" customHeight="1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</row>
    <row r="546" ht="15.75" customHeight="1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</row>
    <row r="547" ht="15.75" customHeight="1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</row>
    <row r="548" ht="15.75" customHeight="1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</row>
    <row r="549" ht="15.75" customHeight="1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</row>
    <row r="550" ht="15.75" customHeight="1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</row>
    <row r="551" ht="15.75" customHeight="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</row>
    <row r="552" ht="15.75" customHeight="1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</row>
    <row r="553" ht="15.75" customHeight="1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</row>
    <row r="554" ht="15.75" customHeight="1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</row>
    <row r="555" ht="15.75" customHeight="1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</row>
    <row r="556" ht="15.75" customHeight="1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</row>
    <row r="557" ht="15.75" customHeight="1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</row>
    <row r="558" ht="15.75" customHeight="1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</row>
    <row r="559" ht="15.75" customHeight="1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</row>
    <row r="560" ht="15.75" customHeight="1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</row>
    <row r="561" ht="15.75" customHeight="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</row>
    <row r="562" ht="15.75" customHeight="1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</row>
    <row r="563" ht="15.75" customHeight="1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</row>
    <row r="564" ht="15.75" customHeight="1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</row>
    <row r="565" ht="15.75" customHeight="1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</row>
    <row r="566" ht="15.75" customHeight="1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</row>
    <row r="567" ht="15.75" customHeight="1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</row>
    <row r="568" ht="15.75" customHeight="1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</row>
    <row r="569" ht="15.75" customHeight="1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</row>
    <row r="570" ht="15.75" customHeight="1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</row>
    <row r="571" ht="15.75" customHeight="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</row>
    <row r="572" ht="15.75" customHeight="1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</row>
    <row r="573" ht="15.75" customHeight="1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</row>
    <row r="574" ht="15.75" customHeight="1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</row>
    <row r="575" ht="15.75" customHeight="1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</row>
    <row r="576" ht="15.75" customHeight="1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</row>
    <row r="577" ht="15.75" customHeight="1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</row>
    <row r="578" ht="15.75" customHeight="1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</row>
    <row r="579" ht="15.75" customHeight="1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</row>
    <row r="580" ht="15.75" customHeight="1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</row>
    <row r="581" ht="15.75" customHeight="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</row>
    <row r="582" ht="15.75" customHeight="1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</row>
    <row r="583" ht="15.75" customHeight="1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</row>
    <row r="584" ht="15.75" customHeight="1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</row>
    <row r="585" ht="15.75" customHeight="1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</row>
    <row r="586" ht="15.75" customHeight="1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</row>
    <row r="587" ht="15.75" customHeight="1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</row>
    <row r="588" ht="15.75" customHeight="1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</row>
    <row r="589" ht="15.75" customHeight="1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</row>
    <row r="590" ht="15.75" customHeight="1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</row>
    <row r="591" ht="15.75" customHeight="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</row>
    <row r="592" ht="15.75" customHeight="1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</row>
    <row r="593" ht="15.75" customHeight="1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</row>
    <row r="594" ht="15.75" customHeight="1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</row>
    <row r="595" ht="15.75" customHeight="1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</row>
    <row r="596" ht="15.75" customHeight="1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</row>
    <row r="597" ht="15.75" customHeight="1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</row>
    <row r="598" ht="15.75" customHeight="1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</row>
    <row r="599" ht="15.75" customHeight="1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</row>
    <row r="600" ht="15.75" customHeight="1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</row>
    <row r="601" ht="15.75" customHeight="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</row>
    <row r="602" ht="15.75" customHeight="1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</row>
    <row r="603" ht="15.75" customHeight="1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</row>
    <row r="604" ht="15.75" customHeight="1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</row>
    <row r="605" ht="15.75" customHeight="1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</row>
    <row r="606" ht="15.75" customHeight="1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</row>
    <row r="607" ht="15.75" customHeight="1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</row>
    <row r="608" ht="15.75" customHeight="1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</row>
    <row r="609" ht="15.75" customHeight="1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</row>
    <row r="610" ht="15.75" customHeight="1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</row>
    <row r="611" ht="15.75" customHeight="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</row>
    <row r="612" ht="15.75" customHeight="1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</row>
    <row r="613" ht="15.75" customHeight="1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</row>
    <row r="614" ht="15.75" customHeight="1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</row>
    <row r="615" ht="15.75" customHeight="1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</row>
    <row r="616" ht="15.75" customHeight="1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</row>
    <row r="617" ht="15.75" customHeight="1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</row>
    <row r="618" ht="15.75" customHeight="1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</row>
    <row r="619" ht="15.75" customHeight="1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</row>
    <row r="620" ht="15.75" customHeight="1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</row>
    <row r="621" ht="15.75" customHeight="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</row>
    <row r="622" ht="15.75" customHeight="1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</row>
    <row r="623" ht="15.75" customHeight="1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</row>
    <row r="624" ht="15.75" customHeight="1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</row>
    <row r="625" ht="15.75" customHeight="1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</row>
    <row r="626" ht="15.75" customHeight="1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</row>
    <row r="627" ht="15.75" customHeight="1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</row>
    <row r="628" ht="15.75" customHeight="1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</row>
    <row r="629" ht="15.75" customHeight="1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</row>
    <row r="630" ht="15.75" customHeight="1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</row>
    <row r="631" ht="15.75" customHeight="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</row>
    <row r="632" ht="15.75" customHeight="1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</row>
    <row r="633" ht="15.75" customHeight="1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</row>
    <row r="634" ht="15.75" customHeight="1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</row>
    <row r="635" ht="15.75" customHeight="1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</row>
    <row r="636" ht="15.75" customHeight="1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</row>
    <row r="637" ht="15.75" customHeight="1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</row>
    <row r="638" ht="15.75" customHeight="1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</row>
    <row r="639" ht="15.75" customHeight="1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</row>
    <row r="640" ht="15.75" customHeight="1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</row>
    <row r="641" ht="15.75" customHeight="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</row>
    <row r="642" ht="15.75" customHeight="1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</row>
    <row r="643" ht="15.75" customHeight="1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</row>
    <row r="644" ht="15.75" customHeight="1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</row>
    <row r="645" ht="15.75" customHeight="1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</row>
    <row r="646" ht="15.75" customHeight="1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</row>
    <row r="647" ht="15.75" customHeight="1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</row>
    <row r="648" ht="15.75" customHeight="1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</row>
    <row r="649" ht="15.75" customHeight="1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</row>
    <row r="650" ht="15.75" customHeight="1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</row>
    <row r="651" ht="15.75" customHeight="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</row>
    <row r="652" ht="15.75" customHeight="1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</row>
    <row r="653" ht="15.75" customHeight="1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</row>
    <row r="654" ht="15.75" customHeight="1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</row>
    <row r="655" ht="15.75" customHeight="1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</row>
    <row r="656" ht="15.75" customHeight="1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</row>
    <row r="657" ht="15.75" customHeight="1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</row>
    <row r="658" ht="15.75" customHeight="1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</row>
    <row r="659" ht="15.75" customHeight="1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</row>
    <row r="660" ht="15.75" customHeight="1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</row>
    <row r="661" ht="15.75" customHeight="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</row>
    <row r="662" ht="15.75" customHeight="1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</row>
    <row r="663" ht="15.75" customHeight="1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</row>
    <row r="664" ht="15.75" customHeight="1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</row>
    <row r="665" ht="15.75" customHeight="1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</row>
    <row r="666" ht="15.75" customHeight="1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</row>
    <row r="667" ht="15.75" customHeight="1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</row>
    <row r="668" ht="15.75" customHeight="1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</row>
    <row r="669" ht="15.75" customHeight="1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</row>
    <row r="670" ht="15.75" customHeight="1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</row>
    <row r="671" ht="15.75" customHeight="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</row>
    <row r="672" ht="15.75" customHeight="1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</row>
    <row r="673" ht="15.75" customHeight="1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</row>
    <row r="674" ht="15.75" customHeight="1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</row>
    <row r="675" ht="15.75" customHeight="1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</row>
    <row r="676" ht="15.75" customHeight="1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</row>
    <row r="677" ht="15.75" customHeight="1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</row>
    <row r="678" ht="15.75" customHeight="1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</row>
    <row r="679" ht="15.75" customHeight="1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</row>
    <row r="680" ht="15.75" customHeight="1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</row>
    <row r="681" ht="15.75" customHeight="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</row>
    <row r="682" ht="15.75" customHeight="1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</row>
    <row r="683" ht="15.75" customHeight="1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</row>
    <row r="684" ht="15.75" customHeight="1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</row>
    <row r="685" ht="15.75" customHeight="1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</row>
    <row r="686" ht="15.75" customHeight="1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</row>
    <row r="687" ht="15.75" customHeight="1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</row>
    <row r="688" ht="15.75" customHeight="1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</row>
    <row r="689" ht="15.75" customHeight="1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</row>
    <row r="690" ht="15.75" customHeight="1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</row>
    <row r="691" ht="15.75" customHeight="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</row>
    <row r="692" ht="15.75" customHeight="1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</row>
    <row r="693" ht="15.75" customHeight="1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</row>
    <row r="694" ht="15.75" customHeight="1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</row>
    <row r="695" ht="15.75" customHeight="1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</row>
    <row r="696" ht="15.75" customHeight="1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</row>
    <row r="697" ht="15.75" customHeight="1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</row>
    <row r="698" ht="15.75" customHeight="1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</row>
    <row r="699" ht="15.75" customHeight="1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</row>
    <row r="700" ht="15.75" customHeight="1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</row>
    <row r="701" ht="15.75" customHeight="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</row>
    <row r="702" ht="15.75" customHeight="1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</row>
    <row r="703" ht="15.75" customHeight="1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</row>
    <row r="704" ht="15.75" customHeight="1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</row>
    <row r="705" ht="15.75" customHeight="1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</row>
    <row r="706" ht="15.75" customHeight="1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</row>
    <row r="707" ht="15.75" customHeight="1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</row>
    <row r="708" ht="15.75" customHeight="1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</row>
    <row r="709" ht="15.75" customHeight="1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</row>
    <row r="710" ht="15.75" customHeight="1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</row>
    <row r="711" ht="15.75" customHeight="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</row>
    <row r="712" ht="15.75" customHeight="1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</row>
    <row r="713" ht="15.75" customHeight="1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</row>
    <row r="714" ht="15.75" customHeight="1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</row>
    <row r="715" ht="15.75" customHeight="1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</row>
    <row r="716" ht="15.75" customHeight="1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</row>
    <row r="717" ht="15.75" customHeight="1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</row>
    <row r="718" ht="15.75" customHeight="1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</row>
    <row r="719" ht="15.75" customHeight="1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</row>
    <row r="720" ht="15.75" customHeight="1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</row>
    <row r="721" ht="15.75" customHeight="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</row>
    <row r="722" ht="15.75" customHeight="1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</row>
    <row r="723" ht="15.75" customHeight="1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</row>
    <row r="724" ht="15.75" customHeight="1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</row>
    <row r="725" ht="15.75" customHeight="1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</row>
    <row r="726" ht="15.75" customHeight="1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</row>
    <row r="727" ht="15.75" customHeight="1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</row>
    <row r="728" ht="15.75" customHeight="1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</row>
    <row r="729" ht="15.75" customHeight="1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</row>
    <row r="730" ht="15.75" customHeight="1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</row>
    <row r="731" ht="15.75" customHeight="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</row>
    <row r="732" ht="15.75" customHeight="1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</row>
    <row r="733" ht="15.75" customHeight="1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</row>
    <row r="734" ht="15.75" customHeight="1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</row>
    <row r="735" ht="15.75" customHeight="1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</row>
    <row r="736" ht="15.75" customHeight="1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</row>
    <row r="737" ht="15.75" customHeight="1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</row>
    <row r="738" ht="15.75" customHeight="1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</row>
    <row r="739" ht="15.75" customHeight="1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</row>
    <row r="740" ht="15.75" customHeight="1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</row>
    <row r="741" ht="15.75" customHeight="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</row>
    <row r="742" ht="15.75" customHeight="1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</row>
    <row r="743" ht="15.75" customHeight="1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</row>
    <row r="744" ht="15.75" customHeight="1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</row>
    <row r="745" ht="15.75" customHeight="1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</row>
    <row r="746" ht="15.75" customHeight="1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</row>
    <row r="747" ht="15.75" customHeight="1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</row>
    <row r="748" ht="15.75" customHeight="1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</row>
    <row r="749" ht="15.75" customHeight="1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</row>
    <row r="750" ht="15.75" customHeight="1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</row>
    <row r="751" ht="15.75" customHeight="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</row>
    <row r="752" ht="15.75" customHeight="1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</row>
    <row r="753" ht="15.75" customHeight="1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</row>
    <row r="754" ht="15.75" customHeight="1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</row>
    <row r="755" ht="15.75" customHeight="1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</row>
    <row r="756" ht="15.75" customHeight="1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</row>
    <row r="757" ht="15.75" customHeight="1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</row>
    <row r="758" ht="15.75" customHeight="1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</row>
    <row r="759" ht="15.75" customHeight="1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</row>
    <row r="760" ht="15.75" customHeight="1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</row>
    <row r="761" ht="15.75" customHeight="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</row>
    <row r="762" ht="15.75" customHeight="1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</row>
    <row r="763" ht="15.75" customHeight="1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</row>
    <row r="764" ht="15.75" customHeight="1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</row>
    <row r="765" ht="15.75" customHeight="1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</row>
    <row r="766" ht="15.75" customHeight="1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</row>
    <row r="767" ht="15.75" customHeight="1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</row>
    <row r="768" ht="15.75" customHeight="1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</row>
    <row r="769" ht="15.75" customHeight="1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</row>
    <row r="770" ht="15.75" customHeight="1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</row>
    <row r="771" ht="15.75" customHeight="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</row>
    <row r="772" ht="15.75" customHeight="1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</row>
    <row r="773" ht="15.75" customHeight="1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</row>
    <row r="774" ht="15.75" customHeight="1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</row>
    <row r="775" ht="15.75" customHeight="1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</row>
    <row r="776" ht="15.75" customHeight="1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</row>
    <row r="777" ht="15.75" customHeight="1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</row>
    <row r="778" ht="15.75" customHeight="1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</row>
    <row r="779" ht="15.75" customHeight="1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</row>
    <row r="780" ht="15.75" customHeight="1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</row>
    <row r="781" ht="15.75" customHeight="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</row>
    <row r="782" ht="15.75" customHeight="1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</row>
    <row r="783" ht="15.75" customHeight="1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</row>
    <row r="784" ht="15.75" customHeight="1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</row>
    <row r="785" ht="15.75" customHeight="1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</row>
    <row r="786" ht="15.75" customHeight="1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</row>
    <row r="787" ht="15.75" customHeight="1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</row>
    <row r="788" ht="15.75" customHeight="1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</row>
    <row r="789" ht="15.75" customHeight="1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</row>
    <row r="790" ht="15.75" customHeight="1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</row>
    <row r="791" ht="15.75" customHeight="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</row>
    <row r="792" ht="15.75" customHeight="1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</row>
    <row r="793" ht="15.75" customHeight="1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</row>
    <row r="794" ht="15.75" customHeight="1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</row>
    <row r="795" ht="15.75" customHeight="1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</row>
    <row r="796" ht="15.75" customHeight="1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</row>
    <row r="797" ht="15.75" customHeight="1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</row>
    <row r="798" ht="15.75" customHeight="1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</row>
    <row r="799" ht="15.75" customHeight="1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</row>
    <row r="800" ht="15.75" customHeight="1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</row>
    <row r="801" ht="15.75" customHeight="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</row>
    <row r="802" ht="15.75" customHeight="1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</row>
    <row r="803" ht="15.75" customHeight="1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</row>
    <row r="804" ht="15.75" customHeight="1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</row>
    <row r="805" ht="15.75" customHeight="1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</row>
    <row r="806" ht="15.75" customHeight="1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</row>
    <row r="807" ht="15.75" customHeight="1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</row>
    <row r="808" ht="15.75" customHeight="1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</row>
    <row r="809" ht="15.75" customHeight="1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</row>
    <row r="810" ht="15.75" customHeight="1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</row>
    <row r="811" ht="15.75" customHeight="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</row>
    <row r="812" ht="15.75" customHeight="1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</row>
    <row r="813" ht="15.75" customHeight="1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</row>
    <row r="814" ht="15.75" customHeight="1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</row>
    <row r="815" ht="15.75" customHeight="1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</row>
    <row r="816" ht="15.75" customHeight="1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</row>
    <row r="817" ht="15.75" customHeight="1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</row>
    <row r="818" ht="15.75" customHeight="1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</row>
    <row r="819" ht="15.75" customHeight="1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</row>
    <row r="820" ht="15.75" customHeight="1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</row>
    <row r="821" ht="15.75" customHeight="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</row>
    <row r="822" ht="15.75" customHeight="1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</row>
    <row r="823" ht="15.75" customHeight="1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</row>
    <row r="824" ht="15.75" customHeight="1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</row>
    <row r="825" ht="15.75" customHeight="1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</row>
    <row r="826" ht="15.75" customHeight="1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</row>
    <row r="827" ht="15.75" customHeight="1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</row>
    <row r="828" ht="15.75" customHeight="1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</row>
    <row r="829" ht="15.75" customHeight="1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</row>
    <row r="830" ht="15.75" customHeight="1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</row>
    <row r="831" ht="15.75" customHeight="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</row>
    <row r="832" ht="15.75" customHeight="1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</row>
    <row r="833" ht="15.75" customHeight="1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</row>
    <row r="834" ht="15.75" customHeight="1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</row>
    <row r="835" ht="15.75" customHeight="1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</row>
    <row r="836" ht="15.75" customHeight="1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</row>
    <row r="837" ht="15.75" customHeight="1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</row>
    <row r="838" ht="15.75" customHeight="1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</row>
    <row r="839" ht="15.75" customHeight="1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</row>
    <row r="840" ht="15.75" customHeight="1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</row>
    <row r="841" ht="15.75" customHeight="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</row>
    <row r="842" ht="15.75" customHeight="1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</row>
    <row r="843" ht="15.75" customHeight="1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</row>
    <row r="844" ht="15.75" customHeight="1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</row>
    <row r="845" ht="15.75" customHeight="1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</row>
    <row r="846" ht="15.75" customHeight="1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</row>
    <row r="847" ht="15.75" customHeight="1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</row>
    <row r="848" ht="15.75" customHeight="1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</row>
    <row r="849" ht="15.75" customHeight="1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</row>
    <row r="850" ht="15.75" customHeight="1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</row>
    <row r="851" ht="15.75" customHeight="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</row>
    <row r="852" ht="15.75" customHeight="1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</row>
    <row r="853" ht="15.75" customHeight="1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</row>
    <row r="854" ht="15.75" customHeight="1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</row>
    <row r="855" ht="15.75" customHeight="1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</row>
    <row r="856" ht="15.75" customHeight="1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</row>
    <row r="857" ht="15.75" customHeight="1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</row>
    <row r="858" ht="15.75" customHeight="1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</row>
    <row r="859" ht="15.75" customHeight="1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</row>
    <row r="860" ht="15.75" customHeight="1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</row>
    <row r="861" ht="15.75" customHeight="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</row>
    <row r="862" ht="15.75" customHeight="1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</row>
    <row r="863" ht="15.75" customHeight="1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</row>
    <row r="864" ht="15.75" customHeight="1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</row>
    <row r="865" ht="15.75" customHeight="1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</row>
    <row r="866" ht="15.75" customHeight="1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</row>
    <row r="867" ht="15.75" customHeight="1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</row>
    <row r="868" ht="15.75" customHeight="1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</row>
    <row r="869" ht="15.75" customHeight="1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</row>
    <row r="870" ht="15.75" customHeight="1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</row>
    <row r="871" ht="15.75" customHeight="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</row>
    <row r="872" ht="15.75" customHeight="1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</row>
    <row r="873" ht="15.75" customHeight="1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</row>
    <row r="874" ht="15.75" customHeight="1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</row>
    <row r="875" ht="15.75" customHeight="1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</row>
    <row r="876" ht="15.75" customHeight="1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</row>
    <row r="877" ht="15.75" customHeight="1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</row>
    <row r="878" ht="15.75" customHeight="1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</row>
    <row r="879" ht="15.75" customHeight="1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</row>
    <row r="880" ht="15.75" customHeight="1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</row>
    <row r="881" ht="15.75" customHeight="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</row>
    <row r="882" ht="15.75" customHeight="1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</row>
    <row r="883" ht="15.75" customHeight="1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</row>
    <row r="884" ht="15.75" customHeight="1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</row>
    <row r="885" ht="15.75" customHeight="1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</row>
    <row r="886" ht="15.75" customHeight="1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</row>
    <row r="887" ht="15.75" customHeight="1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</row>
    <row r="888" ht="15.75" customHeight="1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</row>
    <row r="889" ht="15.75" customHeight="1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</row>
    <row r="890" ht="15.75" customHeight="1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</row>
    <row r="891" ht="15.75" customHeight="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</row>
    <row r="892" ht="15.75" customHeight="1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</row>
    <row r="893" ht="15.75" customHeight="1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</row>
  </sheetData>
  <mergeCells count="1">
    <mergeCell ref="J2:L2"/>
  </mergeCells>
  <conditionalFormatting sqref="Q1:Q893">
    <cfRule type="expression" dxfId="2" priority="1">
      <formula>AND(ISNUMBER(Q1), Q1&lt;=2)</formula>
    </cfRule>
  </conditionalFormatting>
  <conditionalFormatting sqref="Q1:Q893">
    <cfRule type="expression" dxfId="3" priority="2">
      <formula>AND(ISNUMBER(Q1), Q1&lt;=5)</formula>
    </cfRule>
  </conditionalFormatting>
  <conditionalFormatting sqref="Q1:Q893">
    <cfRule type="expression" dxfId="4" priority="3">
      <formula>AND(ISNUMBER(Q1), Q1&gt;5)</formula>
    </cfRule>
  </conditionalFormatting>
  <conditionalFormatting sqref="M18">
    <cfRule type="expression" dxfId="2" priority="4">
      <formula>M18&lt;(0.00025*INDIRECT("'2. Daily Client Money Report'!D20"))</formula>
    </cfRule>
  </conditionalFormatting>
  <conditionalFormatting sqref="M18">
    <cfRule type="expression" dxfId="3" priority="5">
      <formula>M18=(0.00025*INDIRECT("'2. Daily Client Money Report'!D20"))</formula>
    </cfRule>
  </conditionalFormatting>
  <conditionalFormatting sqref="M18">
    <cfRule type="expression" dxfId="4" priority="6">
      <formula>M18&gt;(0.00025*INDIRECT("'2. Daily Client Money Report'!D20"))</formula>
    </cfRule>
  </conditionalFormatting>
  <conditionalFormatting sqref="M47">
    <cfRule type="expression" dxfId="2" priority="7">
      <formula>M47&lt;(0.00025*INDIRECT("'2. Daily Client Money Report'!D30"))</formula>
    </cfRule>
  </conditionalFormatting>
  <conditionalFormatting sqref="M47">
    <cfRule type="expression" dxfId="3" priority="8">
      <formula>M47=(0.00025*INDIRECT("'2. Daily Client Money Report'!D30"))</formula>
    </cfRule>
  </conditionalFormatting>
  <conditionalFormatting sqref="M47">
    <cfRule type="expression" dxfId="4" priority="9">
      <formula>M47&gt;(0.00025*INDIRECT("'2. Daily Client Money Report'!D30"))</formula>
    </cfRule>
  </conditionalFormatting>
  <conditionalFormatting sqref="K6">
    <cfRule type="expression" dxfId="2" priority="10">
      <formula>$J$6="0-2 days"</formula>
    </cfRule>
  </conditionalFormatting>
  <conditionalFormatting sqref="K7">
    <cfRule type="expression" dxfId="3" priority="11">
      <formula>$J$7="3-5 days"</formula>
    </cfRule>
  </conditionalFormatting>
  <conditionalFormatting sqref="K8">
    <cfRule type="expression" dxfId="4" priority="12">
      <formula>$J$8="6-9 days"</formula>
    </cfRule>
  </conditionalFormatting>
  <conditionalFormatting sqref="K9">
    <cfRule type="expression" dxfId="4" priority="13">
      <formula>$J$9="10+ days"</formula>
    </cfRule>
  </conditionalFormatting>
  <conditionalFormatting sqref="K4">
    <cfRule type="expression" dxfId="2" priority="14">
      <formula>M18&lt;(0.00025*INDIRECT("'2. Daily Client Money Report'!D20"))</formula>
    </cfRule>
  </conditionalFormatting>
  <conditionalFormatting sqref="K4">
    <cfRule type="expression" dxfId="3" priority="15">
      <formula>M18=(0.00025*INDIRECT("'2. Daily Client Money Report'!D20"))</formula>
    </cfRule>
  </conditionalFormatting>
  <conditionalFormatting sqref="K4">
    <cfRule type="expression" dxfId="4" priority="16">
      <formula>M18&gt;(0.00025*INDIRECT("'2. Daily Client Money Report'!D20"))</formula>
    </cfRule>
  </conditionalFormatting>
  <conditionalFormatting sqref="K5">
    <cfRule type="expression" dxfId="2" priority="17">
      <formula>M47&lt;(0.00025*INDIRECT("'2. Daily Client Money Report'!D30"))</formula>
    </cfRule>
  </conditionalFormatting>
  <conditionalFormatting sqref="K5">
    <cfRule type="expression" dxfId="3" priority="18">
      <formula>M47=(0.00025*INDIRECT("'2. Daily Client Money Report'!D30"))</formula>
    </cfRule>
  </conditionalFormatting>
  <conditionalFormatting sqref="K5">
    <cfRule type="expression" dxfId="4" priority="19">
      <formula>M47&gt;(0.00025*INDIRECT("'2. Daily Client Money Report'!D30"))</formula>
    </cfRule>
  </conditionalFormatting>
  <hyperlinks>
    <hyperlink r:id="rId1" ref="D13"/>
    <hyperlink r:id="rId2" location="gid=470540843" ref="D14"/>
    <hyperlink r:id="rId3" ref="D42"/>
    <hyperlink r:id="rId4" location="gid=470540843" ref="D43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5" max="28" width="12.63"/>
    <col customWidth="1" min="32" max="32" width="16.25"/>
    <col customWidth="1" min="43" max="44" width="23.0"/>
  </cols>
  <sheetData>
    <row r="1">
      <c r="A1" s="246" t="s">
        <v>258</v>
      </c>
      <c r="O1" s="247"/>
      <c r="P1" s="248" t="s">
        <v>140</v>
      </c>
      <c r="AC1" s="247"/>
      <c r="AD1" s="248" t="s">
        <v>140</v>
      </c>
      <c r="AT1" s="247"/>
      <c r="AU1" s="248" t="s">
        <v>140</v>
      </c>
      <c r="BI1" s="248" t="s">
        <v>208</v>
      </c>
    </row>
    <row r="2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O2" s="247"/>
      <c r="P2" s="246" t="s">
        <v>259</v>
      </c>
      <c r="AC2" s="247"/>
      <c r="AD2" s="246" t="s">
        <v>260</v>
      </c>
      <c r="AT2" s="247"/>
      <c r="AU2" s="248" t="s">
        <v>261</v>
      </c>
      <c r="BI2" s="248" t="s">
        <v>261</v>
      </c>
    </row>
    <row r="3">
      <c r="A3" s="250" t="s">
        <v>149</v>
      </c>
      <c r="B3" s="250" t="s">
        <v>150</v>
      </c>
      <c r="C3" s="250" t="s">
        <v>151</v>
      </c>
      <c r="D3" s="250" t="s">
        <v>152</v>
      </c>
      <c r="E3" s="250" t="s">
        <v>153</v>
      </c>
      <c r="F3" s="250" t="s">
        <v>154</v>
      </c>
      <c r="G3" s="250" t="s">
        <v>155</v>
      </c>
      <c r="H3" s="250" t="s">
        <v>156</v>
      </c>
      <c r="I3" s="250" t="s">
        <v>157</v>
      </c>
      <c r="J3" s="250" t="s">
        <v>158</v>
      </c>
      <c r="K3" s="250" t="s">
        <v>159</v>
      </c>
      <c r="L3" s="250" t="s">
        <v>160</v>
      </c>
      <c r="M3" s="250" t="s">
        <v>161</v>
      </c>
      <c r="O3" s="247"/>
      <c r="AC3" s="247"/>
      <c r="AD3" s="251" t="str">
        <f>IFERROR(__xludf.DUMMYFUNCTION("{FILTER('3. Unalloc Rec'!C3:O983, '3. Unalloc Rec'!H3:H983 = ""cash_isa""); QUERY(A3:M1000, ""select * where F = 'cash_isa'"", 0)}"),"73df5aae-f42a-49a0-9d8f-616ca6dbebaa")</f>
        <v>73df5aae-f42a-49a0-9d8f-616ca6dbebaa</v>
      </c>
      <c r="AE3" s="251" t="str">
        <f>IFERROR(__xludf.DUMMYFUNCTION("""COMPUTED_VALUE"""),"019eb1df-f256-71a1-b1ce-7c7ae8b244bc")</f>
        <v>019eb1df-f256-71a1-b1ce-7c7ae8b244bc</v>
      </c>
      <c r="AF3" s="252">
        <f>IFERROR(__xludf.DUMMYFUNCTION("""COMPUTED_VALUE"""),46183.59097222222)</f>
        <v>46183.59097</v>
      </c>
      <c r="AG3" s="251" t="str">
        <f>IFERROR(__xludf.DUMMYFUNCTION("""COMPUTED_VALUE"""),"credit")</f>
        <v>credit</v>
      </c>
      <c r="AH3" s="253" t="str">
        <f>IFERROR(__xludf.DUMMYFUNCTION("""COMPUTED_VALUE"""),"29997.68")</f>
        <v>29997.68</v>
      </c>
      <c r="AI3" s="251" t="str">
        <f>IFERROR(__xludf.DUMMYFUNCTION("""COMPUTED_VALUE"""),"cash_isa")</f>
        <v>cash_isa</v>
      </c>
      <c r="AJ3" s="251" t="str">
        <f>IFERROR(__xludf.DUMMYFUNCTION("""COMPUTED_VALUE"""),"9bc00e6b-ce5f-48c5-ae3a-1baabe00f337")</f>
        <v>9bc00e6b-ce5f-48c5-ae3a-1baabe00f337</v>
      </c>
      <c r="AK3" s="251" t="str">
        <f>IFERROR(__xludf.DUMMYFUNCTION("""COMPUTED_VALUE"""),"e3a86178-e782-4b8e-a5af-c71a91f91e51")</f>
        <v>e3a86178-e782-4b8e-a5af-c71a91f91e51</v>
      </c>
      <c r="AL3" s="251" t="str">
        <f>IFERROR(__xludf.DUMMYFUNCTION("""COMPUTED_VALUE"""),"e3a86178-e782-4b8e-a5af-c71a91f91e51")</f>
        <v>e3a86178-e782-4b8e-a5af-c71a91f91e51</v>
      </c>
      <c r="AM3" s="251" t="str">
        <f>IFERROR(__xludf.DUMMYFUNCTION("""COMPUTED_VALUE"""),"400250 51421336-2136136478")</f>
        <v>400250 51421336-2136136478</v>
      </c>
      <c r="AN3" s="251">
        <f>IFERROR(__xludf.DUMMYFUNCTION("""COMPUTED_VALUE"""),29997.68)</f>
        <v>29997.68</v>
      </c>
      <c r="AO3" s="251" t="str">
        <f>IFERROR(__xludf.DUMMYFUNCTION("""COMPUTED_VALUE"""),"payin")</f>
        <v>payin</v>
      </c>
      <c r="AP3" s="252">
        <f>IFERROR(__xludf.DUMMYFUNCTION("""COMPUTED_VALUE"""),46182.22638888889)</f>
        <v>46182.22639</v>
      </c>
      <c r="AR3" s="251" t="str">
        <f t="shared" ref="AR3:AR680" si="1">ROUND(VALUE(AH3),2)&amp;"_"&amp;TRIM(LOWER(AG3))</f>
        <v>29997.68_credit</v>
      </c>
      <c r="AS3" s="251" t="str">
        <f t="shared" ref="AS3:AS680" si="2">IF(AH3="", "", LET(current_amt, ROUND(VALUE(AH3), 2), current_dir, TRIM(LOWER(AG3)), opposite_dir, IF(current_dir="credit", "debit", "credit"), occ, COUNTIFS($AH$3:AH3, AH3, $AG$3:AG3, AG3), opp_total, COUNTIFS($AH$3:$AH$1000, AH3, $AG$3:$AG$1000, opposite_dir), IF(opp_total &gt;= occ, "DROP", "KEEP")))</f>
        <v>KEEP</v>
      </c>
      <c r="AT3" s="247"/>
      <c r="AU3" s="251" t="str">
        <f>IFERROR(__xludf.DUMMYFUNCTION("SORT(FILTER(AD3:AP1000, AS3:AS1000=""KEEP""),3,TRUE)"),"73df5aae-f42a-49a0-9d8f-616ca6dbebaa")</f>
        <v>73df5aae-f42a-49a0-9d8f-616ca6dbebaa</v>
      </c>
      <c r="AV3" s="251" t="str">
        <f>IFERROR(__xludf.DUMMYFUNCTION("""COMPUTED_VALUE"""),"019eb1df-f256-71a1-b1ce-7c7ae8b244bc")</f>
        <v>019eb1df-f256-71a1-b1ce-7c7ae8b244bc</v>
      </c>
      <c r="AW3" s="252">
        <f>IFERROR(__xludf.DUMMYFUNCTION("""COMPUTED_VALUE"""),46183.59097222222)</f>
        <v>46183.59097</v>
      </c>
      <c r="AX3" s="251" t="str">
        <f>IFERROR(__xludf.DUMMYFUNCTION("""COMPUTED_VALUE"""),"credit")</f>
        <v>credit</v>
      </c>
      <c r="AY3" s="253" t="str">
        <f>IFERROR(__xludf.DUMMYFUNCTION("""COMPUTED_VALUE"""),"29997.68")</f>
        <v>29997.68</v>
      </c>
      <c r="AZ3" s="251" t="str">
        <f>IFERROR(__xludf.DUMMYFUNCTION("""COMPUTED_VALUE"""),"cash_isa")</f>
        <v>cash_isa</v>
      </c>
      <c r="BA3" s="251" t="str">
        <f>IFERROR(__xludf.DUMMYFUNCTION("""COMPUTED_VALUE"""),"9bc00e6b-ce5f-48c5-ae3a-1baabe00f337")</f>
        <v>9bc00e6b-ce5f-48c5-ae3a-1baabe00f337</v>
      </c>
      <c r="BB3" s="251" t="str">
        <f>IFERROR(__xludf.DUMMYFUNCTION("""COMPUTED_VALUE"""),"e3a86178-e782-4b8e-a5af-c71a91f91e51")</f>
        <v>e3a86178-e782-4b8e-a5af-c71a91f91e51</v>
      </c>
      <c r="BC3" s="251" t="str">
        <f>IFERROR(__xludf.DUMMYFUNCTION("""COMPUTED_VALUE"""),"e3a86178-e782-4b8e-a5af-c71a91f91e51")</f>
        <v>e3a86178-e782-4b8e-a5af-c71a91f91e51</v>
      </c>
      <c r="BD3" s="251" t="str">
        <f>IFERROR(__xludf.DUMMYFUNCTION("""COMPUTED_VALUE"""),"400250 51421336-2136136478")</f>
        <v>400250 51421336-2136136478</v>
      </c>
      <c r="BE3" s="251">
        <f>IFERROR(__xludf.DUMMYFUNCTION("""COMPUTED_VALUE"""),29997.68)</f>
        <v>29997.68</v>
      </c>
      <c r="BF3" s="251" t="str">
        <f>IFERROR(__xludf.DUMMYFUNCTION("""COMPUTED_VALUE"""),"payin")</f>
        <v>payin</v>
      </c>
      <c r="BG3" s="252">
        <f>IFERROR(__xludf.DUMMYFUNCTION("""COMPUTED_VALUE"""),46182.22638888889)</f>
        <v>46182.22639</v>
      </c>
      <c r="BI3" s="251" t="str">
        <f>IFERROR(__xludf.DUMMYFUNCTION("SORT(FILTER(AD1557:AP5000, AS1557:AS5000=""KEEP""),3,TRUE)"),"73df5aae-f42a-49a0-9d8f-616ca6dbebaa")</f>
        <v>73df5aae-f42a-49a0-9d8f-616ca6dbebaa</v>
      </c>
      <c r="BJ3" s="251" t="str">
        <f>IFERROR(__xludf.DUMMYFUNCTION("""COMPUTED_VALUE"""),"0199816b-0e35-745a-bffb-2eb385b18f78")</f>
        <v>0199816b-0e35-745a-bffb-2eb385b18f78</v>
      </c>
      <c r="BK3" s="252">
        <f>IFERROR(__xludf.DUMMYFUNCTION("""COMPUTED_VALUE"""),45925.63055555556)</f>
        <v>45925.63056</v>
      </c>
      <c r="BL3" s="251" t="str">
        <f>IFERROR(__xludf.DUMMYFUNCTION("""COMPUTED_VALUE"""),"credit")</f>
        <v>credit</v>
      </c>
      <c r="BM3" s="253" t="str">
        <f>IFERROR(__xludf.DUMMYFUNCTION("""COMPUTED_VALUE"""),"25.82")</f>
        <v>25.82</v>
      </c>
      <c r="BN3" s="251" t="str">
        <f>IFERROR(__xludf.DUMMYFUNCTION("""COMPUTED_VALUE"""),"lisa")</f>
        <v>lisa</v>
      </c>
      <c r="BO3" s="251" t="str">
        <f>IFERROR(__xludf.DUMMYFUNCTION("""COMPUTED_VALUE"""),"b7a59586-5d10-4989-91c2-f2376c7a6ab2")</f>
        <v>b7a59586-5d10-4989-91c2-f2376c7a6ab2</v>
      </c>
      <c r="BP3" s="251" t="str">
        <f>IFERROR(__xludf.DUMMYFUNCTION("""COMPUTED_VALUE"""),"8ecd675b-d3b5-4b51-9aee-fc2c558679b5")</f>
        <v>8ecd675b-d3b5-4b51-9aee-fc2c558679b5</v>
      </c>
      <c r="BQ3" s="251"/>
      <c r="BR3" s="254"/>
      <c r="BS3" s="211">
        <f>IFERROR(__xludf.DUMMYFUNCTION("""COMPUTED_VALUE"""),25.82)</f>
        <v>25.82</v>
      </c>
      <c r="BT3" s="251"/>
      <c r="BU3" s="252"/>
    </row>
    <row r="4">
      <c r="A4" s="255" t="s">
        <v>165</v>
      </c>
      <c r="B4" s="255" t="s">
        <v>262</v>
      </c>
      <c r="C4" s="256">
        <v>46189.324641203704</v>
      </c>
      <c r="D4" s="255" t="s">
        <v>167</v>
      </c>
      <c r="E4" s="257">
        <v>6879.1</v>
      </c>
      <c r="F4" s="255" t="s">
        <v>169</v>
      </c>
      <c r="G4" s="255" t="s">
        <v>170</v>
      </c>
      <c r="H4" s="255" t="s">
        <v>263</v>
      </c>
      <c r="I4" s="258"/>
      <c r="J4" s="258"/>
      <c r="K4" s="259"/>
      <c r="L4" s="258"/>
      <c r="M4" s="260"/>
      <c r="O4" s="247"/>
      <c r="AC4" s="247"/>
      <c r="AD4" s="251" t="str">
        <f>IFERROR(__xludf.DUMMYFUNCTION("""COMPUTED_VALUE"""),"73df5aae-f42a-49a0-9d8f-616ca6dbebaa")</f>
        <v>73df5aae-f42a-49a0-9d8f-616ca6dbebaa</v>
      </c>
      <c r="AE4" s="251" t="str">
        <f>IFERROR(__xludf.DUMMYFUNCTION("""COMPUTED_VALUE"""),"019eb6b9-c0a2-7317-ab4a-c235d039858e")</f>
        <v>019eb6b9-c0a2-7317-ab4a-c235d039858e</v>
      </c>
      <c r="AF4" s="261">
        <f>IFERROR(__xludf.DUMMYFUNCTION("""COMPUTED_VALUE"""),46184.53333333333)</f>
        <v>46184.53333</v>
      </c>
      <c r="AG4" s="251" t="str">
        <f>IFERROR(__xludf.DUMMYFUNCTION("""COMPUTED_VALUE"""),"credit")</f>
        <v>credit</v>
      </c>
      <c r="AH4" s="253">
        <f>IFERROR(__xludf.DUMMYFUNCTION("""COMPUTED_VALUE"""),18184.43)</f>
        <v>18184.43</v>
      </c>
      <c r="AI4" s="251" t="str">
        <f>IFERROR(__xludf.DUMMYFUNCTION("""COMPUTED_VALUE"""),"cash_isa")</f>
        <v>cash_isa</v>
      </c>
      <c r="AJ4" s="251" t="str">
        <f>IFERROR(__xludf.DUMMYFUNCTION("""COMPUTED_VALUE"""),"9bc00e6b-ce5f-48c5-ae3a-1baabe00f337")</f>
        <v>9bc00e6b-ce5f-48c5-ae3a-1baabe00f337</v>
      </c>
      <c r="AK4" s="251" t="str">
        <f>IFERROR(__xludf.DUMMYFUNCTION("""COMPUTED_VALUE"""),"8a36818d-cb4b-4b51-98cd-feffaecfad30")</f>
        <v>8a36818d-cb4b-4b51-98cd-feffaecfad30</v>
      </c>
      <c r="AL4" s="251" t="str">
        <f>IFERROR(__xludf.DUMMYFUNCTION("""COMPUTED_VALUE"""),"8a36818d-cb4b-4b51-98cd-feffaecfad30")</f>
        <v>8a36818d-cb4b-4b51-98cd-feffaecfad30</v>
      </c>
      <c r="AM4" s="251" t="str">
        <f>IFERROR(__xludf.DUMMYFUNCTION("""COMPUTED_VALUE"""),"13267202-51989231")</f>
        <v>13267202-51989231</v>
      </c>
      <c r="AN4" s="251">
        <f>IFERROR(__xludf.DUMMYFUNCTION("""COMPUTED_VALUE"""),18184.43)</f>
        <v>18184.43</v>
      </c>
      <c r="AO4" s="251" t="str">
        <f>IFERROR(__xludf.DUMMYFUNCTION("""COMPUTED_VALUE"""),"payin")</f>
        <v>payin</v>
      </c>
      <c r="AP4" s="261">
        <f>IFERROR(__xludf.DUMMYFUNCTION("""COMPUTED_VALUE"""),46183.16875)</f>
        <v>46183.16875</v>
      </c>
      <c r="AR4" s="251" t="str">
        <f t="shared" si="1"/>
        <v>18184.43_credit</v>
      </c>
      <c r="AS4" s="251" t="str">
        <f t="shared" si="2"/>
        <v>KEEP</v>
      </c>
      <c r="AT4" s="247"/>
      <c r="AU4" s="251" t="str">
        <f>IFERROR(__xludf.DUMMYFUNCTION("""COMPUTED_VALUE"""),"73df5aae-f42a-49a0-9d8f-616ca6dbebaa")</f>
        <v>73df5aae-f42a-49a0-9d8f-616ca6dbebaa</v>
      </c>
      <c r="AV4" s="251" t="str">
        <f>IFERROR(__xludf.DUMMYFUNCTION("""COMPUTED_VALUE"""),"019eb6b9-c0a2-7317-ab4a-c235d039858e")</f>
        <v>019eb6b9-c0a2-7317-ab4a-c235d039858e</v>
      </c>
      <c r="AW4" s="261">
        <f>IFERROR(__xludf.DUMMYFUNCTION("""COMPUTED_VALUE"""),46184.53333333333)</f>
        <v>46184.53333</v>
      </c>
      <c r="AX4" s="251" t="str">
        <f>IFERROR(__xludf.DUMMYFUNCTION("""COMPUTED_VALUE"""),"credit")</f>
        <v>credit</v>
      </c>
      <c r="AY4" s="253">
        <f>IFERROR(__xludf.DUMMYFUNCTION("""COMPUTED_VALUE"""),18184.43)</f>
        <v>18184.43</v>
      </c>
      <c r="AZ4" s="251" t="str">
        <f>IFERROR(__xludf.DUMMYFUNCTION("""COMPUTED_VALUE"""),"cash_isa")</f>
        <v>cash_isa</v>
      </c>
      <c r="BA4" s="251" t="str">
        <f>IFERROR(__xludf.DUMMYFUNCTION("""COMPUTED_VALUE"""),"9bc00e6b-ce5f-48c5-ae3a-1baabe00f337")</f>
        <v>9bc00e6b-ce5f-48c5-ae3a-1baabe00f337</v>
      </c>
      <c r="BB4" s="251" t="str">
        <f>IFERROR(__xludf.DUMMYFUNCTION("""COMPUTED_VALUE"""),"8a36818d-cb4b-4b51-98cd-feffaecfad30")</f>
        <v>8a36818d-cb4b-4b51-98cd-feffaecfad30</v>
      </c>
      <c r="BC4" s="251" t="str">
        <f>IFERROR(__xludf.DUMMYFUNCTION("""COMPUTED_VALUE"""),"8a36818d-cb4b-4b51-98cd-feffaecfad30")</f>
        <v>8a36818d-cb4b-4b51-98cd-feffaecfad30</v>
      </c>
      <c r="BD4" s="251" t="str">
        <f>IFERROR(__xludf.DUMMYFUNCTION("""COMPUTED_VALUE"""),"13267202-51989231")</f>
        <v>13267202-51989231</v>
      </c>
      <c r="BE4" s="251">
        <f>IFERROR(__xludf.DUMMYFUNCTION("""COMPUTED_VALUE"""),18184.43)</f>
        <v>18184.43</v>
      </c>
      <c r="BF4" s="251" t="str">
        <f>IFERROR(__xludf.DUMMYFUNCTION("""COMPUTED_VALUE"""),"payin")</f>
        <v>payin</v>
      </c>
      <c r="BG4" s="261">
        <f>IFERROR(__xludf.DUMMYFUNCTION("""COMPUTED_VALUE"""),46183.16875)</f>
        <v>46183.16875</v>
      </c>
      <c r="BI4" s="251" t="str">
        <f>IFERROR(__xludf.DUMMYFUNCTION("""COMPUTED_VALUE"""),"73df5aae-f42a-49a0-9d8f-616ca6dbebaa")</f>
        <v>73df5aae-f42a-49a0-9d8f-616ca6dbebaa</v>
      </c>
      <c r="BJ4" s="251" t="str">
        <f>IFERROR(__xludf.DUMMYFUNCTION("""COMPUTED_VALUE"""),"019a265f-0027-7d29-8ff1-8f39f64358c1")</f>
        <v>019a265f-0027-7d29-8ff1-8f39f64358c1</v>
      </c>
      <c r="BK4" s="252">
        <f>IFERROR(__xludf.DUMMYFUNCTION("""COMPUTED_VALUE"""),45957.66111111111)</f>
        <v>45957.66111</v>
      </c>
      <c r="BL4" s="251" t="str">
        <f>IFERROR(__xludf.DUMMYFUNCTION("""COMPUTED_VALUE"""),"credit")</f>
        <v>credit</v>
      </c>
      <c r="BM4" s="253" t="str">
        <f>IFERROR(__xludf.DUMMYFUNCTION("""COMPUTED_VALUE"""),"39.36")</f>
        <v>39.36</v>
      </c>
      <c r="BN4" s="251" t="str">
        <f>IFERROR(__xludf.DUMMYFUNCTION("""COMPUTED_VALUE"""),"lisa")</f>
        <v>lisa</v>
      </c>
      <c r="BO4" s="251" t="str">
        <f>IFERROR(__xludf.DUMMYFUNCTION("""COMPUTED_VALUE"""),"b7a59586-5d10-4989-91c2-f2376c7a6ab2")</f>
        <v>b7a59586-5d10-4989-91c2-f2376c7a6ab2</v>
      </c>
      <c r="BP4" s="251" t="str">
        <f>IFERROR(__xludf.DUMMYFUNCTION("""COMPUTED_VALUE"""),"7464d141-4aaa-46a8-ae96-c3c7997dfc03")</f>
        <v>7464d141-4aaa-46a8-ae96-c3c7997dfc03</v>
      </c>
      <c r="BQ4" s="251"/>
      <c r="BR4" s="254"/>
      <c r="BS4" s="211">
        <f>IFERROR(__xludf.DUMMYFUNCTION("""COMPUTED_VALUE"""),39.36)</f>
        <v>39.36</v>
      </c>
      <c r="BT4" s="251"/>
      <c r="BU4" s="252"/>
    </row>
    <row r="5">
      <c r="A5" s="262" t="s">
        <v>165</v>
      </c>
      <c r="B5" s="262" t="s">
        <v>264</v>
      </c>
      <c r="C5" s="263">
        <v>46189.325891203705</v>
      </c>
      <c r="D5" s="262" t="s">
        <v>265</v>
      </c>
      <c r="E5" s="264">
        <v>6879.1</v>
      </c>
      <c r="F5" s="262" t="s">
        <v>169</v>
      </c>
      <c r="G5" s="262" t="s">
        <v>170</v>
      </c>
      <c r="H5" s="262" t="s">
        <v>263</v>
      </c>
      <c r="I5" s="265"/>
      <c r="J5" s="265"/>
      <c r="K5" s="266"/>
      <c r="L5" s="265"/>
      <c r="M5" s="267"/>
      <c r="O5" s="247"/>
      <c r="AC5" s="247"/>
      <c r="AD5" s="251" t="str">
        <f>IFERROR(__xludf.DUMMYFUNCTION("""COMPUTED_VALUE"""),"73df5aae-f42a-49a0-9d8f-616ca6dbebaa")</f>
        <v>73df5aae-f42a-49a0-9d8f-616ca6dbebaa</v>
      </c>
      <c r="AE5" s="251" t="str">
        <f>IFERROR(__xludf.DUMMYFUNCTION("""COMPUTED_VALUE"""),"019ecb64-c843-7d12-81ee-f6401245704f")</f>
        <v>019ecb64-c843-7d12-81ee-f6401245704f</v>
      </c>
      <c r="AF5" s="261">
        <f>IFERROR(__xludf.DUMMYFUNCTION("""COMPUTED_VALUE"""),46188.54675925926)</f>
        <v>46188.54676</v>
      </c>
      <c r="AG5" s="251" t="str">
        <f>IFERROR(__xludf.DUMMYFUNCTION("""COMPUTED_VALUE"""),"credit")</f>
        <v>credit</v>
      </c>
      <c r="AH5" s="253">
        <f>IFERROR(__xludf.DUMMYFUNCTION("""COMPUTED_VALUE"""),64323.37)</f>
        <v>64323.37</v>
      </c>
      <c r="AI5" s="251" t="str">
        <f>IFERROR(__xludf.DUMMYFUNCTION("""COMPUTED_VALUE"""),"cash_isa")</f>
        <v>cash_isa</v>
      </c>
      <c r="AJ5" s="251" t="str">
        <f>IFERROR(__xludf.DUMMYFUNCTION("""COMPUTED_VALUE"""),"9bc00e6b-ce5f-48c5-ae3a-1baabe00f337")</f>
        <v>9bc00e6b-ce5f-48c5-ae3a-1baabe00f337</v>
      </c>
      <c r="AK5" s="251" t="str">
        <f>IFERROR(__xludf.DUMMYFUNCTION("""COMPUTED_VALUE"""),"79376e9a-a2d9-4da6-80da-2fccb69993e9")</f>
        <v>79376e9a-a2d9-4da6-80da-2fccb69993e9</v>
      </c>
      <c r="AL5" s="251" t="str">
        <f>IFERROR(__xludf.DUMMYFUNCTION("""COMPUTED_VALUE"""),"79376e9a-a2d9-4da6-80da-2fccb69993e9")</f>
        <v>79376e9a-a2d9-4da6-80da-2fccb69993e9</v>
      </c>
      <c r="AM5" s="251" t="str">
        <f>IFERROR(__xludf.DUMMYFUNCTION("""COMPUTED_VALUE"""),"NOREF-878813225")</f>
        <v>NOREF-878813225</v>
      </c>
      <c r="AN5" s="251">
        <f>IFERROR(__xludf.DUMMYFUNCTION("""COMPUTED_VALUE"""),64323.37)</f>
        <v>64323.37</v>
      </c>
      <c r="AO5" s="251" t="str">
        <f>IFERROR(__xludf.DUMMYFUNCTION("""COMPUTED_VALUE"""),"payin")</f>
        <v>payin</v>
      </c>
      <c r="AP5" s="261">
        <f>IFERROR(__xludf.DUMMYFUNCTION("""COMPUTED_VALUE"""),46185.08598379629)</f>
        <v>46185.08598</v>
      </c>
      <c r="AR5" s="251" t="str">
        <f t="shared" si="1"/>
        <v>64323.37_credit</v>
      </c>
      <c r="AS5" s="251" t="str">
        <f t="shared" si="2"/>
        <v>KEEP</v>
      </c>
      <c r="AT5" s="247"/>
      <c r="AU5" s="251" t="str">
        <f>IFERROR(__xludf.DUMMYFUNCTION("""COMPUTED_VALUE"""),"73df5aae-f42a-49a0-9d8f-616ca6dbebaa")</f>
        <v>73df5aae-f42a-49a0-9d8f-616ca6dbebaa</v>
      </c>
      <c r="AV5" s="251" t="str">
        <f>IFERROR(__xludf.DUMMYFUNCTION("""COMPUTED_VALUE"""),"019ecb64-c843-7d12-81ee-f6401245704f")</f>
        <v>019ecb64-c843-7d12-81ee-f6401245704f</v>
      </c>
      <c r="AW5" s="261">
        <f>IFERROR(__xludf.DUMMYFUNCTION("""COMPUTED_VALUE"""),46188.54675925926)</f>
        <v>46188.54676</v>
      </c>
      <c r="AX5" s="251" t="str">
        <f>IFERROR(__xludf.DUMMYFUNCTION("""COMPUTED_VALUE"""),"credit")</f>
        <v>credit</v>
      </c>
      <c r="AY5" s="253">
        <f>IFERROR(__xludf.DUMMYFUNCTION("""COMPUTED_VALUE"""),64323.37)</f>
        <v>64323.37</v>
      </c>
      <c r="AZ5" s="251" t="str">
        <f>IFERROR(__xludf.DUMMYFUNCTION("""COMPUTED_VALUE"""),"cash_isa")</f>
        <v>cash_isa</v>
      </c>
      <c r="BA5" s="251" t="str">
        <f>IFERROR(__xludf.DUMMYFUNCTION("""COMPUTED_VALUE"""),"9bc00e6b-ce5f-48c5-ae3a-1baabe00f337")</f>
        <v>9bc00e6b-ce5f-48c5-ae3a-1baabe00f337</v>
      </c>
      <c r="BB5" s="251" t="str">
        <f>IFERROR(__xludf.DUMMYFUNCTION("""COMPUTED_VALUE"""),"79376e9a-a2d9-4da6-80da-2fccb69993e9")</f>
        <v>79376e9a-a2d9-4da6-80da-2fccb69993e9</v>
      </c>
      <c r="BC5" s="251" t="str">
        <f>IFERROR(__xludf.DUMMYFUNCTION("""COMPUTED_VALUE"""),"79376e9a-a2d9-4da6-80da-2fccb69993e9")</f>
        <v>79376e9a-a2d9-4da6-80da-2fccb69993e9</v>
      </c>
      <c r="BD5" s="251" t="str">
        <f>IFERROR(__xludf.DUMMYFUNCTION("""COMPUTED_VALUE"""),"NOREF-878813225")</f>
        <v>NOREF-878813225</v>
      </c>
      <c r="BE5" s="251">
        <f>IFERROR(__xludf.DUMMYFUNCTION("""COMPUTED_VALUE"""),64323.37)</f>
        <v>64323.37</v>
      </c>
      <c r="BF5" s="251" t="str">
        <f>IFERROR(__xludf.DUMMYFUNCTION("""COMPUTED_VALUE"""),"payin")</f>
        <v>payin</v>
      </c>
      <c r="BG5" s="261">
        <f>IFERROR(__xludf.DUMMYFUNCTION("""COMPUTED_VALUE"""),46185.08598379629)</f>
        <v>46185.08598</v>
      </c>
      <c r="BI5" s="251" t="str">
        <f>IFERROR(__xludf.DUMMYFUNCTION("""COMPUTED_VALUE"""),"73df5aae-f42a-49a0-9d8f-616ca6dbebaa")</f>
        <v>73df5aae-f42a-49a0-9d8f-616ca6dbebaa</v>
      </c>
      <c r="BJ5" s="251" t="str">
        <f>IFERROR(__xludf.DUMMYFUNCTION("""COMPUTED_VALUE"""),"019c0522-3a07-719b-bcbd-b2f0eb14e013")</f>
        <v>019c0522-3a07-719b-bcbd-b2f0eb14e013</v>
      </c>
      <c r="BK5" s="252">
        <f>IFERROR(__xludf.DUMMYFUNCTION("""COMPUTED_VALUE"""),46050.62777777778)</f>
        <v>46050.62778</v>
      </c>
      <c r="BL5" s="251" t="str">
        <f>IFERROR(__xludf.DUMMYFUNCTION("""COMPUTED_VALUE"""),"credit")</f>
        <v>credit</v>
      </c>
      <c r="BM5" s="253" t="str">
        <f>IFERROR(__xludf.DUMMYFUNCTION("""COMPUTED_VALUE"""),"1250.5")</f>
        <v>1250.5</v>
      </c>
      <c r="BN5" s="251" t="str">
        <f>IFERROR(__xludf.DUMMYFUNCTION("""COMPUTED_VALUE"""),"lisa")</f>
        <v>lisa</v>
      </c>
      <c r="BO5" s="251" t="str">
        <f>IFERROR(__xludf.DUMMYFUNCTION("""COMPUTED_VALUE"""),"b7a59586-5d10-4989-91c2-f2376c7a6ab2")</f>
        <v>b7a59586-5d10-4989-91c2-f2376c7a6ab2</v>
      </c>
      <c r="BP5" s="251" t="str">
        <f>IFERROR(__xludf.DUMMYFUNCTION("""COMPUTED_VALUE"""),"7464d141-4aaa-46a8-ae96-c3c7997dfc03")</f>
        <v>7464d141-4aaa-46a8-ae96-c3c7997dfc03</v>
      </c>
      <c r="BQ5" s="251"/>
      <c r="BR5" s="254"/>
      <c r="BS5" s="211">
        <f>IFERROR(__xludf.DUMMYFUNCTION("""COMPUTED_VALUE"""),1250.5)</f>
        <v>1250.5</v>
      </c>
      <c r="BT5" s="251"/>
      <c r="BU5" s="252"/>
    </row>
    <row r="6">
      <c r="A6" s="255" t="s">
        <v>165</v>
      </c>
      <c r="B6" s="255" t="s">
        <v>266</v>
      </c>
      <c r="C6" s="256">
        <v>46189.328726851854</v>
      </c>
      <c r="D6" s="255" t="s">
        <v>167</v>
      </c>
      <c r="E6" s="257">
        <v>1000.0</v>
      </c>
      <c r="F6" s="255" t="s">
        <v>169</v>
      </c>
      <c r="G6" s="255" t="s">
        <v>170</v>
      </c>
      <c r="H6" s="255" t="s">
        <v>267</v>
      </c>
      <c r="I6" s="258"/>
      <c r="J6" s="258"/>
      <c r="K6" s="259"/>
      <c r="L6" s="258"/>
      <c r="M6" s="260"/>
      <c r="O6" s="247"/>
      <c r="AC6" s="247"/>
      <c r="AD6" s="251" t="str">
        <f>IFERROR(__xludf.DUMMYFUNCTION("""COMPUTED_VALUE"""),"73df5aae-f42a-49a0-9d8f-616ca6dbebaa")</f>
        <v>73df5aae-f42a-49a0-9d8f-616ca6dbebaa</v>
      </c>
      <c r="AE6" s="251" t="str">
        <f>IFERROR(__xludf.DUMMYFUNCTION("""COMPUTED_VALUE"""),"019ecb64-c733-7ae4-944c-db2cb0274f72")</f>
        <v>019ecb64-c733-7ae4-944c-db2cb0274f72</v>
      </c>
      <c r="AF6" s="261">
        <f>IFERROR(__xludf.DUMMYFUNCTION("""COMPUTED_VALUE"""),46188.54675925926)</f>
        <v>46188.54676</v>
      </c>
      <c r="AG6" s="251" t="str">
        <f>IFERROR(__xludf.DUMMYFUNCTION("""COMPUTED_VALUE"""),"credit")</f>
        <v>credit</v>
      </c>
      <c r="AH6" s="253">
        <f>IFERROR(__xludf.DUMMYFUNCTION("""COMPUTED_VALUE"""),40492.94)</f>
        <v>40492.94</v>
      </c>
      <c r="AI6" s="251" t="str">
        <f>IFERROR(__xludf.DUMMYFUNCTION("""COMPUTED_VALUE"""),"cash_isa")</f>
        <v>cash_isa</v>
      </c>
      <c r="AJ6" s="251" t="str">
        <f>IFERROR(__xludf.DUMMYFUNCTION("""COMPUTED_VALUE"""),"9bc00e6b-ce5f-48c5-ae3a-1baabe00f337")</f>
        <v>9bc00e6b-ce5f-48c5-ae3a-1baabe00f337</v>
      </c>
      <c r="AK6" s="251" t="str">
        <f>IFERROR(__xludf.DUMMYFUNCTION("""COMPUTED_VALUE"""),"d1610b83-cb8b-45f0-bea4-69fec40f5e82")</f>
        <v>d1610b83-cb8b-45f0-bea4-69fec40f5e82</v>
      </c>
      <c r="AL6" s="251" t="str">
        <f>IFERROR(__xludf.DUMMYFUNCTION("""COMPUTED_VALUE"""),"d1610b83-cb8b-45f0-bea4-69fec40f5e82")</f>
        <v>d1610b83-cb8b-45f0-bea4-69fec40f5e82</v>
      </c>
      <c r="AM6" s="251" t="str">
        <f>IFERROR(__xludf.DUMMYFUNCTION("""COMPUTED_VALUE"""),"NOREF-1362020235")</f>
        <v>NOREF-1362020235</v>
      </c>
      <c r="AN6" s="251">
        <f>IFERROR(__xludf.DUMMYFUNCTION("""COMPUTED_VALUE"""),40492.94)</f>
        <v>40492.94</v>
      </c>
      <c r="AO6" s="251" t="str">
        <f>IFERROR(__xludf.DUMMYFUNCTION("""COMPUTED_VALUE"""),"payin")</f>
        <v>payin</v>
      </c>
      <c r="AP6" s="261">
        <f>IFERROR(__xludf.DUMMYFUNCTION("""COMPUTED_VALUE"""),46185.668761574074)</f>
        <v>46185.66876</v>
      </c>
      <c r="AR6" s="251" t="str">
        <f t="shared" si="1"/>
        <v>40492.94_credit</v>
      </c>
      <c r="AS6" s="251" t="str">
        <f t="shared" si="2"/>
        <v>KEEP</v>
      </c>
      <c r="AT6" s="247"/>
      <c r="AU6" s="251" t="str">
        <f>IFERROR(__xludf.DUMMYFUNCTION("""COMPUTED_VALUE"""),"73df5aae-f42a-49a0-9d8f-616ca6dbebaa")</f>
        <v>73df5aae-f42a-49a0-9d8f-616ca6dbebaa</v>
      </c>
      <c r="AV6" s="251" t="str">
        <f>IFERROR(__xludf.DUMMYFUNCTION("""COMPUTED_VALUE"""),"019ecb64-c733-7ae4-944c-db2cb0274f72")</f>
        <v>019ecb64-c733-7ae4-944c-db2cb0274f72</v>
      </c>
      <c r="AW6" s="261">
        <f>IFERROR(__xludf.DUMMYFUNCTION("""COMPUTED_VALUE"""),46188.54675925926)</f>
        <v>46188.54676</v>
      </c>
      <c r="AX6" s="251" t="str">
        <f>IFERROR(__xludf.DUMMYFUNCTION("""COMPUTED_VALUE"""),"credit")</f>
        <v>credit</v>
      </c>
      <c r="AY6" s="253">
        <f>IFERROR(__xludf.DUMMYFUNCTION("""COMPUTED_VALUE"""),40492.94)</f>
        <v>40492.94</v>
      </c>
      <c r="AZ6" s="251" t="str">
        <f>IFERROR(__xludf.DUMMYFUNCTION("""COMPUTED_VALUE"""),"cash_isa")</f>
        <v>cash_isa</v>
      </c>
      <c r="BA6" s="251" t="str">
        <f>IFERROR(__xludf.DUMMYFUNCTION("""COMPUTED_VALUE"""),"9bc00e6b-ce5f-48c5-ae3a-1baabe00f337")</f>
        <v>9bc00e6b-ce5f-48c5-ae3a-1baabe00f337</v>
      </c>
      <c r="BB6" s="251" t="str">
        <f>IFERROR(__xludf.DUMMYFUNCTION("""COMPUTED_VALUE"""),"d1610b83-cb8b-45f0-bea4-69fec40f5e82")</f>
        <v>d1610b83-cb8b-45f0-bea4-69fec40f5e82</v>
      </c>
      <c r="BC6" s="251" t="str">
        <f>IFERROR(__xludf.DUMMYFUNCTION("""COMPUTED_VALUE"""),"d1610b83-cb8b-45f0-bea4-69fec40f5e82")</f>
        <v>d1610b83-cb8b-45f0-bea4-69fec40f5e82</v>
      </c>
      <c r="BD6" s="251" t="str">
        <f>IFERROR(__xludf.DUMMYFUNCTION("""COMPUTED_VALUE"""),"NOREF-1362020235")</f>
        <v>NOREF-1362020235</v>
      </c>
      <c r="BE6" s="251">
        <f>IFERROR(__xludf.DUMMYFUNCTION("""COMPUTED_VALUE"""),40492.94)</f>
        <v>40492.94</v>
      </c>
      <c r="BF6" s="251" t="str">
        <f>IFERROR(__xludf.DUMMYFUNCTION("""COMPUTED_VALUE"""),"payin")</f>
        <v>payin</v>
      </c>
      <c r="BG6" s="261">
        <f>IFERROR(__xludf.DUMMYFUNCTION("""COMPUTED_VALUE"""),46185.668761574074)</f>
        <v>46185.66876</v>
      </c>
      <c r="BI6" s="251" t="str">
        <f>IFERROR(__xludf.DUMMYFUNCTION("""COMPUTED_VALUE"""),"73df5aae-f42a-49a0-9d8f-616ca6dbebaa")</f>
        <v>73df5aae-f42a-49a0-9d8f-616ca6dbebaa</v>
      </c>
      <c r="BJ6" s="251" t="str">
        <f>IFERROR(__xludf.DUMMYFUNCTION("""COMPUTED_VALUE"""),"019c9e6e-9ac8-7b3e-a27b-af919f6932b8")</f>
        <v>019c9e6e-9ac8-7b3e-a27b-af919f6932b8</v>
      </c>
      <c r="BK6" s="252">
        <f>IFERROR(__xludf.DUMMYFUNCTION("""COMPUTED_VALUE"""),46080.39513888889)</f>
        <v>46080.39514</v>
      </c>
      <c r="BL6" s="251" t="str">
        <f>IFERROR(__xludf.DUMMYFUNCTION("""COMPUTED_VALUE"""),"credit")</f>
        <v>credit</v>
      </c>
      <c r="BM6" s="253" t="str">
        <f>IFERROR(__xludf.DUMMYFUNCTION("""COMPUTED_VALUE"""),"2509.51")</f>
        <v>2509.51</v>
      </c>
      <c r="BN6" s="251" t="str">
        <f>IFERROR(__xludf.DUMMYFUNCTION("""COMPUTED_VALUE"""),"lisa")</f>
        <v>lisa</v>
      </c>
      <c r="BO6" s="251" t="str">
        <f>IFERROR(__xludf.DUMMYFUNCTION("""COMPUTED_VALUE"""),"b7a59586-5d10-4989-91c2-f2376c7a6ab2")</f>
        <v>b7a59586-5d10-4989-91c2-f2376c7a6ab2</v>
      </c>
      <c r="BP6" s="251" t="str">
        <f>IFERROR(__xludf.DUMMYFUNCTION("""COMPUTED_VALUE"""),"7464d141-4aaa-46a8-ae96-c3c7997dfc03")</f>
        <v>7464d141-4aaa-46a8-ae96-c3c7997dfc03</v>
      </c>
      <c r="BQ6" s="251"/>
      <c r="BR6" s="254"/>
      <c r="BS6" s="211">
        <f>IFERROR(__xludf.DUMMYFUNCTION("""COMPUTED_VALUE"""),2168.01)</f>
        <v>2168.01</v>
      </c>
      <c r="BT6" s="251"/>
      <c r="BU6" s="252"/>
    </row>
    <row r="7">
      <c r="A7" s="262" t="s">
        <v>165</v>
      </c>
      <c r="B7" s="262" t="s">
        <v>268</v>
      </c>
      <c r="C7" s="263">
        <v>46189.33006944445</v>
      </c>
      <c r="D7" s="262" t="s">
        <v>265</v>
      </c>
      <c r="E7" s="264">
        <v>1000.0</v>
      </c>
      <c r="F7" s="262" t="s">
        <v>169</v>
      </c>
      <c r="G7" s="262" t="s">
        <v>170</v>
      </c>
      <c r="H7" s="262" t="s">
        <v>267</v>
      </c>
      <c r="I7" s="265"/>
      <c r="J7" s="265"/>
      <c r="K7" s="266"/>
      <c r="L7" s="265"/>
      <c r="M7" s="267"/>
      <c r="O7" s="247"/>
      <c r="AC7" s="247"/>
      <c r="AD7" s="251" t="str">
        <f>IFERROR(__xludf.DUMMYFUNCTION("""COMPUTED_VALUE"""),"73df5aae-f42a-49a0-9d8f-616ca6dbebaa")</f>
        <v>73df5aae-f42a-49a0-9d8f-616ca6dbebaa</v>
      </c>
      <c r="AE7" s="251" t="str">
        <f>IFERROR(__xludf.DUMMYFUNCTION("""COMPUTED_VALUE"""),"019ed024-854b-7377-878e-9bd25cd97072")</f>
        <v>019ed024-854b-7377-878e-9bd25cd97072</v>
      </c>
      <c r="AF7" s="261">
        <f>IFERROR(__xludf.DUMMYFUNCTION("""COMPUTED_VALUE"""),46189.468923611115)</f>
        <v>46189.46892</v>
      </c>
      <c r="AG7" s="251" t="str">
        <f>IFERROR(__xludf.DUMMYFUNCTION("""COMPUTED_VALUE"""),"credit")</f>
        <v>credit</v>
      </c>
      <c r="AH7" s="253">
        <f>IFERROR(__xludf.DUMMYFUNCTION("""COMPUTED_VALUE"""),21471.6)</f>
        <v>21471.6</v>
      </c>
      <c r="AI7" s="251" t="str">
        <f>IFERROR(__xludf.DUMMYFUNCTION("""COMPUTED_VALUE"""),"cash_isa")</f>
        <v>cash_isa</v>
      </c>
      <c r="AJ7" s="251" t="str">
        <f>IFERROR(__xludf.DUMMYFUNCTION("""COMPUTED_VALUE"""),"9bc00e6b-ce5f-48c5-ae3a-1baabe00f337")</f>
        <v>9bc00e6b-ce5f-48c5-ae3a-1baabe00f337</v>
      </c>
      <c r="AK7" s="251" t="str">
        <f>IFERROR(__xludf.DUMMYFUNCTION("""COMPUTED_VALUE"""),"228cd2f5-1ee0-4962-a649-82c9f17961ae")</f>
        <v>228cd2f5-1ee0-4962-a649-82c9f17961ae</v>
      </c>
      <c r="AL7" s="251" t="str">
        <f>IFERROR(__xludf.DUMMYFUNCTION("""COMPUTED_VALUE"""),"228cd2f5-1ee0-4962-a649-82c9f17961ae")</f>
        <v>228cd2f5-1ee0-4962-a649-82c9f17961ae</v>
      </c>
      <c r="AM7" s="251" t="str">
        <f>IFERROR(__xludf.DUMMYFUNCTION("""COMPUTED_VALUE"""),"WK648730Ba-580073357")</f>
        <v>WK648730Ba-580073357</v>
      </c>
      <c r="AN7" s="251">
        <f>IFERROR(__xludf.DUMMYFUNCTION("""COMPUTED_VALUE"""),21471.6)</f>
        <v>21471.6</v>
      </c>
      <c r="AO7" s="251" t="str">
        <f>IFERROR(__xludf.DUMMYFUNCTION("""COMPUTED_VALUE"""),"payin")</f>
        <v>payin</v>
      </c>
      <c r="AP7" s="261">
        <f>IFERROR(__xludf.DUMMYFUNCTION("""COMPUTED_VALUE"""),46188.66883101852)</f>
        <v>46188.66883</v>
      </c>
      <c r="AR7" s="251" t="str">
        <f t="shared" si="1"/>
        <v>21471.6_credit</v>
      </c>
      <c r="AS7" s="251" t="str">
        <f t="shared" si="2"/>
        <v>KEEP</v>
      </c>
      <c r="AT7" s="247"/>
      <c r="AU7" s="251" t="str">
        <f>IFERROR(__xludf.DUMMYFUNCTION("""COMPUTED_VALUE"""),"73df5aae-f42a-49a0-9d8f-616ca6dbebaa")</f>
        <v>73df5aae-f42a-49a0-9d8f-616ca6dbebaa</v>
      </c>
      <c r="AV7" s="251" t="str">
        <f>IFERROR(__xludf.DUMMYFUNCTION("""COMPUTED_VALUE"""),"019ecfae-a956-7cee-9cd6-cc020e483641")</f>
        <v>019ecfae-a956-7cee-9cd6-cc020e483641</v>
      </c>
      <c r="AW7" s="261">
        <f>IFERROR(__xludf.DUMMYFUNCTION("""COMPUTED_VALUE"""),46189.379525462966)</f>
        <v>46189.37953</v>
      </c>
      <c r="AX7" s="251" t="str">
        <f>IFERROR(__xludf.DUMMYFUNCTION("""COMPUTED_VALUE"""),"debit")</f>
        <v>debit</v>
      </c>
      <c r="AY7" s="251">
        <f>IFERROR(__xludf.DUMMYFUNCTION("""COMPUTED_VALUE"""),13326.74)</f>
        <v>13326.74</v>
      </c>
      <c r="AZ7" s="251" t="str">
        <f>IFERROR(__xludf.DUMMYFUNCTION("""COMPUTED_VALUE"""),"cash_isa")</f>
        <v>cash_isa</v>
      </c>
      <c r="BA7" s="251" t="str">
        <f>IFERROR(__xludf.DUMMYFUNCTION("""COMPUTED_VALUE"""),"9bc00e6b-ce5f-48c5-ae3a-1baabe00f337")</f>
        <v>9bc00e6b-ce5f-48c5-ae3a-1baabe00f337</v>
      </c>
      <c r="BB7" s="251" t="str">
        <f>IFERROR(__xludf.DUMMYFUNCTION("""COMPUTED_VALUE"""),"f0a37a7e-0033-47e7-97ae-2a9b66aa8fa6")</f>
        <v>f0a37a7e-0033-47e7-97ae-2a9b66aa8fa6</v>
      </c>
      <c r="BC7" s="251" t="str">
        <f>IFERROR(__xludf.DUMMYFUNCTION("""COMPUTED_VALUE"""),"f0a37a7e-0033-47e7-97ae-2a9b66aa8fa6")</f>
        <v>f0a37a7e-0033-47e7-97ae-2a9b66aa8fa6</v>
      </c>
      <c r="BD7" s="251"/>
      <c r="BE7" s="251">
        <f>IFERROR(__xludf.DUMMYFUNCTION("""COMPUTED_VALUE"""),13326.74)</f>
        <v>13326.74</v>
      </c>
      <c r="BF7" s="251" t="str">
        <f>IFERROR(__xludf.DUMMYFUNCTION("""COMPUTED_VALUE"""),"payout")</f>
        <v>payout</v>
      </c>
      <c r="BG7" s="261">
        <f>IFERROR(__xludf.DUMMYFUNCTION("""COMPUTED_VALUE"""),46183.25782407407)</f>
        <v>46183.25782</v>
      </c>
      <c r="BI7" s="251" t="str">
        <f>IFERROR(__xludf.DUMMYFUNCTION("""COMPUTED_VALUE"""),"73df5aae-f42a-49a0-9d8f-616ca6dbebaa")</f>
        <v>73df5aae-f42a-49a0-9d8f-616ca6dbebaa</v>
      </c>
      <c r="BJ7" s="251" t="str">
        <f>IFERROR(__xludf.DUMMYFUNCTION("""COMPUTED_VALUE"""),"019e986b-6909-779a-852a-fdf77fb1f880")</f>
        <v>019e986b-6909-779a-852a-fdf77fb1f880</v>
      </c>
      <c r="BK7" s="261">
        <f>IFERROR(__xludf.DUMMYFUNCTION("""COMPUTED_VALUE"""),46178.64857638889)</f>
        <v>46178.64858</v>
      </c>
      <c r="BL7" s="251" t="str">
        <f>IFERROR(__xludf.DUMMYFUNCTION("""COMPUTED_VALUE"""),"credit")</f>
        <v>credit</v>
      </c>
      <c r="BM7" s="251">
        <f>IFERROR(__xludf.DUMMYFUNCTION("""COMPUTED_VALUE"""),13.99)</f>
        <v>13.99</v>
      </c>
      <c r="BN7" s="251" t="str">
        <f>IFERROR(__xludf.DUMMYFUNCTION("""COMPUTED_VALUE"""),"lisa")</f>
        <v>lisa</v>
      </c>
      <c r="BO7" s="251" t="str">
        <f>IFERROR(__xludf.DUMMYFUNCTION("""COMPUTED_VALUE"""),"b7a59586-5d10-4989-91c2-f2376c7a6ab2")</f>
        <v>b7a59586-5d10-4989-91c2-f2376c7a6ab2</v>
      </c>
      <c r="BP7" s="251" t="str">
        <f>IFERROR(__xludf.DUMMYFUNCTION("""COMPUTED_VALUE"""),"6e288a26-6f54-4606-af76-43cc91f9103c")</f>
        <v>6e288a26-6f54-4606-af76-43cc91f9103c</v>
      </c>
      <c r="BQ7" s="251" t="str">
        <f>IFERROR(__xludf.DUMMYFUNCTION("""COMPUTED_VALUE"""),"6e288a26-6f54-4606-af76-43cc91f9103c")</f>
        <v>6e288a26-6f54-4606-af76-43cc91f9103c</v>
      </c>
      <c r="BR7" s="251" t="str">
        <f>IFERROR(__xludf.DUMMYFUNCTION("""COMPUTED_VALUE"""),"NOREF-190470356")</f>
        <v>NOREF-190470356</v>
      </c>
      <c r="BS7" s="251">
        <f>IFERROR(__xludf.DUMMYFUNCTION("""COMPUTED_VALUE"""),13.99)</f>
        <v>13.99</v>
      </c>
      <c r="BT7" s="251" t="str">
        <f>IFERROR(__xludf.DUMMYFUNCTION("""COMPUTED_VALUE"""),"payin")</f>
        <v>payin</v>
      </c>
      <c r="BU7" s="261">
        <f>IFERROR(__xludf.DUMMYFUNCTION("""COMPUTED_VALUE"""),46177.47902777778)</f>
        <v>46177.47903</v>
      </c>
    </row>
    <row r="8">
      <c r="A8" s="255" t="s">
        <v>165</v>
      </c>
      <c r="B8" s="255" t="s">
        <v>269</v>
      </c>
      <c r="C8" s="256">
        <v>46189.33090277778</v>
      </c>
      <c r="D8" s="255" t="s">
        <v>167</v>
      </c>
      <c r="E8" s="257">
        <v>21769.77</v>
      </c>
      <c r="F8" s="255" t="s">
        <v>169</v>
      </c>
      <c r="G8" s="255" t="s">
        <v>170</v>
      </c>
      <c r="H8" s="255" t="s">
        <v>270</v>
      </c>
      <c r="I8" s="258"/>
      <c r="J8" s="258"/>
      <c r="K8" s="259"/>
      <c r="L8" s="258"/>
      <c r="M8" s="260"/>
      <c r="O8" s="247"/>
      <c r="AC8" s="247"/>
      <c r="AD8" s="251" t="str">
        <f>IFERROR(__xludf.DUMMYFUNCTION("""COMPUTED_VALUE"""),"73df5aae-f42a-49a0-9d8f-616ca6dbebaa")</f>
        <v>73df5aae-f42a-49a0-9d8f-616ca6dbebaa</v>
      </c>
      <c r="AE8" s="251" t="str">
        <f>IFERROR(__xludf.DUMMYFUNCTION("""COMPUTED_VALUE"""),"019ed024-864c-78df-b53a-e34f6f766c49")</f>
        <v>019ed024-864c-78df-b53a-e34f6f766c49</v>
      </c>
      <c r="AF8" s="261">
        <f>IFERROR(__xludf.DUMMYFUNCTION("""COMPUTED_VALUE"""),46189.468923611115)</f>
        <v>46189.46892</v>
      </c>
      <c r="AG8" s="251" t="str">
        <f>IFERROR(__xludf.DUMMYFUNCTION("""COMPUTED_VALUE"""),"credit")</f>
        <v>credit</v>
      </c>
      <c r="AH8" s="253">
        <f>IFERROR(__xludf.DUMMYFUNCTION("""COMPUTED_VALUE"""),20974.52)</f>
        <v>20974.52</v>
      </c>
      <c r="AI8" s="251" t="str">
        <f>IFERROR(__xludf.DUMMYFUNCTION("""COMPUTED_VALUE"""),"cash_isa")</f>
        <v>cash_isa</v>
      </c>
      <c r="AJ8" s="251" t="str">
        <f>IFERROR(__xludf.DUMMYFUNCTION("""COMPUTED_VALUE"""),"9bc00e6b-ce5f-48c5-ae3a-1baabe00f337")</f>
        <v>9bc00e6b-ce5f-48c5-ae3a-1baabe00f337</v>
      </c>
      <c r="AK8" s="251" t="str">
        <f>IFERROR(__xludf.DUMMYFUNCTION("""COMPUTED_VALUE"""),"084ad475-9333-4dbe-8fb5-7d7b8ad84064")</f>
        <v>084ad475-9333-4dbe-8fb5-7d7b8ad84064</v>
      </c>
      <c r="AL8" s="251" t="str">
        <f>IFERROR(__xludf.DUMMYFUNCTION("""COMPUTED_VALUE"""),"084ad475-9333-4dbe-8fb5-7d7b8ad84064")</f>
        <v>084ad475-9333-4dbe-8fb5-7d7b8ad84064</v>
      </c>
      <c r="AM8" s="251" t="str">
        <f>IFERROR(__xludf.DUMMYFUNCTION("""COMPUTED_VALUE"""),"NZ656284A-1098901635")</f>
        <v>NZ656284A-1098901635</v>
      </c>
      <c r="AN8" s="251">
        <f>IFERROR(__xludf.DUMMYFUNCTION("""COMPUTED_VALUE"""),20974.52)</f>
        <v>20974.52</v>
      </c>
      <c r="AO8" s="251" t="str">
        <f>IFERROR(__xludf.DUMMYFUNCTION("""COMPUTED_VALUE"""),"payin")</f>
        <v>payin</v>
      </c>
      <c r="AP8" s="261">
        <f>IFERROR(__xludf.DUMMYFUNCTION("""COMPUTED_VALUE"""),46188.66883101852)</f>
        <v>46188.66883</v>
      </c>
      <c r="AR8" s="251" t="str">
        <f t="shared" si="1"/>
        <v>20974.52_credit</v>
      </c>
      <c r="AS8" s="251" t="str">
        <f t="shared" si="2"/>
        <v>KEEP</v>
      </c>
      <c r="AT8" s="247"/>
      <c r="AU8" s="251" t="str">
        <f>IFERROR(__xludf.DUMMYFUNCTION("""COMPUTED_VALUE"""),"73df5aae-f42a-49a0-9d8f-616ca6dbebaa")</f>
        <v>73df5aae-f42a-49a0-9d8f-616ca6dbebaa</v>
      </c>
      <c r="AV8" s="251" t="str">
        <f>IFERROR(__xludf.DUMMYFUNCTION("""COMPUTED_VALUE"""),"019ecfb2-4980-7229-903f-40db4994fdf1")</f>
        <v>019ecfb2-4980-7229-903f-40db4994fdf1</v>
      </c>
      <c r="AW8" s="261">
        <f>IFERROR(__xludf.DUMMYFUNCTION("""COMPUTED_VALUE"""),46189.382268518515)</f>
        <v>46189.38227</v>
      </c>
      <c r="AX8" s="251" t="str">
        <f>IFERROR(__xludf.DUMMYFUNCTION("""COMPUTED_VALUE"""),"debit")</f>
        <v>debit</v>
      </c>
      <c r="AY8" s="251">
        <f>IFERROR(__xludf.DUMMYFUNCTION("""COMPUTED_VALUE"""),18989.0)</f>
        <v>18989</v>
      </c>
      <c r="AZ8" s="251" t="str">
        <f>IFERROR(__xludf.DUMMYFUNCTION("""COMPUTED_VALUE"""),"cash_isa")</f>
        <v>cash_isa</v>
      </c>
      <c r="BA8" s="251" t="str">
        <f>IFERROR(__xludf.DUMMYFUNCTION("""COMPUTED_VALUE"""),"9bc00e6b-ce5f-48c5-ae3a-1baabe00f337")</f>
        <v>9bc00e6b-ce5f-48c5-ae3a-1baabe00f337</v>
      </c>
      <c r="BB8" s="251" t="str">
        <f>IFERROR(__xludf.DUMMYFUNCTION("""COMPUTED_VALUE"""),"d02fd859-d682-4368-bc53-bdd594a15f1b")</f>
        <v>d02fd859-d682-4368-bc53-bdd594a15f1b</v>
      </c>
      <c r="BC8" s="251" t="str">
        <f>IFERROR(__xludf.DUMMYFUNCTION("""COMPUTED_VALUE"""),"d02fd859-d682-4368-bc53-bdd594a15f1b")</f>
        <v>d02fd859-d682-4368-bc53-bdd594a15f1b</v>
      </c>
      <c r="BD8" s="251" t="str">
        <f>IFERROR(__xludf.DUMMYFUNCTION("""COMPUTED_VALUE"""),"Return of Funds-501102174")</f>
        <v>Return of Funds-501102174</v>
      </c>
      <c r="BE8" s="251">
        <f>IFERROR(__xludf.DUMMYFUNCTION("""COMPUTED_VALUE"""),18989.0)</f>
        <v>18989</v>
      </c>
      <c r="BF8" s="251" t="str">
        <f>IFERROR(__xludf.DUMMYFUNCTION("""COMPUTED_VALUE"""),"payin")</f>
        <v>payin</v>
      </c>
      <c r="BG8" s="261">
        <f>IFERROR(__xludf.DUMMYFUNCTION("""COMPUTED_VALUE"""),46181.562314814815)</f>
        <v>46181.56231</v>
      </c>
      <c r="BI8" s="251" t="str">
        <f>IFERROR(__xludf.DUMMYFUNCTION("""COMPUTED_VALUE"""),"73df5aae-f42a-49a0-9d8f-616ca6dbebaa")</f>
        <v>73df5aae-f42a-49a0-9d8f-616ca6dbebaa</v>
      </c>
      <c r="BJ8" s="251" t="str">
        <f>IFERROR(__xludf.DUMMYFUNCTION("""COMPUTED_VALUE"""),"019ead2b-a847-7e9b-9cf2-ad8d1ba559ad")</f>
        <v>019ead2b-a847-7e9b-9cf2-ad8d1ba559ad</v>
      </c>
      <c r="BK8" s="261">
        <f>IFERROR(__xludf.DUMMYFUNCTION("""COMPUTED_VALUE"""),46182.67800925926)</f>
        <v>46182.67801</v>
      </c>
      <c r="BL8" s="251" t="str">
        <f>IFERROR(__xludf.DUMMYFUNCTION("""COMPUTED_VALUE"""),"credit")</f>
        <v>credit</v>
      </c>
      <c r="BM8" s="251">
        <f>IFERROR(__xludf.DUMMYFUNCTION("""COMPUTED_VALUE"""),26032.55)</f>
        <v>26032.55</v>
      </c>
      <c r="BN8" s="251" t="str">
        <f>IFERROR(__xludf.DUMMYFUNCTION("""COMPUTED_VALUE"""),"lisa")</f>
        <v>lisa</v>
      </c>
      <c r="BO8" s="251" t="str">
        <f>IFERROR(__xludf.DUMMYFUNCTION("""COMPUTED_VALUE"""),"b7a59586-5d10-4989-91c2-f2376c7a6ab2")</f>
        <v>b7a59586-5d10-4989-91c2-f2376c7a6ab2</v>
      </c>
      <c r="BP8" s="251" t="str">
        <f>IFERROR(__xludf.DUMMYFUNCTION("""COMPUTED_VALUE"""),"ffe80a3e-ca2c-49f7-99e0-1fea99be39b5")</f>
        <v>ffe80a3e-ca2c-49f7-99e0-1fea99be39b5</v>
      </c>
      <c r="BQ8" s="251" t="str">
        <f>IFERROR(__xludf.DUMMYFUNCTION("""COMPUTED_VALUE"""),"ffe80a3e-ca2c-49f7-99e0-1fea99be39b5")</f>
        <v>ffe80a3e-ca2c-49f7-99e0-1fea99be39b5</v>
      </c>
      <c r="BR8" s="251" t="str">
        <f>IFERROR(__xludf.DUMMYFUNCTION("""COMPUTED_VALUE"""),"RETURN-810653200")</f>
        <v>RETURN-810653200</v>
      </c>
      <c r="BS8" s="251">
        <f>IFERROR(__xludf.DUMMYFUNCTION("""COMPUTED_VALUE"""),26032.55)</f>
        <v>26032.55</v>
      </c>
      <c r="BT8" s="251" t="str">
        <f>IFERROR(__xludf.DUMMYFUNCTION("""COMPUTED_VALUE"""),"payin")</f>
        <v>payin</v>
      </c>
      <c r="BU8" s="261">
        <f>IFERROR(__xludf.DUMMYFUNCTION("""COMPUTED_VALUE"""),46181.65377314815)</f>
        <v>46181.65377</v>
      </c>
    </row>
    <row r="9">
      <c r="A9" s="262" t="s">
        <v>165</v>
      </c>
      <c r="B9" s="262" t="s">
        <v>271</v>
      </c>
      <c r="C9" s="263">
        <v>46189.33186342593</v>
      </c>
      <c r="D9" s="262" t="s">
        <v>265</v>
      </c>
      <c r="E9" s="264">
        <v>21769.77</v>
      </c>
      <c r="F9" s="262" t="s">
        <v>169</v>
      </c>
      <c r="G9" s="262" t="s">
        <v>170</v>
      </c>
      <c r="H9" s="262" t="s">
        <v>270</v>
      </c>
      <c r="I9" s="265"/>
      <c r="J9" s="265"/>
      <c r="K9" s="266"/>
      <c r="L9" s="265"/>
      <c r="M9" s="267"/>
      <c r="O9" s="247"/>
      <c r="AC9" s="247"/>
      <c r="AD9" s="251" t="str">
        <f>IFERROR(__xludf.DUMMYFUNCTION("""COMPUTED_VALUE"""),"73df5aae-f42a-49a0-9d8f-616ca6dbebaa")</f>
        <v>73df5aae-f42a-49a0-9d8f-616ca6dbebaa</v>
      </c>
      <c r="AE9" s="251" t="str">
        <f>IFERROR(__xludf.DUMMYFUNCTION("""COMPUTED_VALUE"""),"019ed024-873d-7252-be6e-6e408eb5a4cb")</f>
        <v>019ed024-873d-7252-be6e-6e408eb5a4cb</v>
      </c>
      <c r="AF9" s="261">
        <f>IFERROR(__xludf.DUMMYFUNCTION("""COMPUTED_VALUE"""),46189.468923611115)</f>
        <v>46189.46892</v>
      </c>
      <c r="AG9" s="251" t="str">
        <f>IFERROR(__xludf.DUMMYFUNCTION("""COMPUTED_VALUE"""),"credit")</f>
        <v>credit</v>
      </c>
      <c r="AH9" s="253">
        <f>IFERROR(__xludf.DUMMYFUNCTION("""COMPUTED_VALUE"""),20918.18)</f>
        <v>20918.18</v>
      </c>
      <c r="AI9" s="251" t="str">
        <f>IFERROR(__xludf.DUMMYFUNCTION("""COMPUTED_VALUE"""),"cash_isa")</f>
        <v>cash_isa</v>
      </c>
      <c r="AJ9" s="251" t="str">
        <f>IFERROR(__xludf.DUMMYFUNCTION("""COMPUTED_VALUE"""),"9bc00e6b-ce5f-48c5-ae3a-1baabe00f337")</f>
        <v>9bc00e6b-ce5f-48c5-ae3a-1baabe00f337</v>
      </c>
      <c r="AK9" s="251" t="str">
        <f>IFERROR(__xludf.DUMMYFUNCTION("""COMPUTED_VALUE"""),"a7a2dae7-bd10-44fc-9b1b-25271dcf0442")</f>
        <v>a7a2dae7-bd10-44fc-9b1b-25271dcf0442</v>
      </c>
      <c r="AL9" s="251" t="str">
        <f>IFERROR(__xludf.DUMMYFUNCTION("""COMPUTED_VALUE"""),"a7a2dae7-bd10-44fc-9b1b-25271dcf0442")</f>
        <v>a7a2dae7-bd10-44fc-9b1b-25271dcf0442</v>
      </c>
      <c r="AM9" s="251" t="str">
        <f>IFERROR(__xludf.DUMMYFUNCTION("""COMPUTED_VALUE"""),"JX825895D-940686763")</f>
        <v>JX825895D-940686763</v>
      </c>
      <c r="AN9" s="251">
        <f>IFERROR(__xludf.DUMMYFUNCTION("""COMPUTED_VALUE"""),20918.18)</f>
        <v>20918.18</v>
      </c>
      <c r="AO9" s="251" t="str">
        <f>IFERROR(__xludf.DUMMYFUNCTION("""COMPUTED_VALUE"""),"payin")</f>
        <v>payin</v>
      </c>
      <c r="AP9" s="261">
        <f>IFERROR(__xludf.DUMMYFUNCTION("""COMPUTED_VALUE"""),46188.6688425926)</f>
        <v>46188.66884</v>
      </c>
      <c r="AR9" s="251" t="str">
        <f t="shared" si="1"/>
        <v>20918.18_credit</v>
      </c>
      <c r="AS9" s="251" t="str">
        <f t="shared" si="2"/>
        <v>KEEP</v>
      </c>
      <c r="AT9" s="247"/>
      <c r="AU9" s="251" t="str">
        <f>IFERROR(__xludf.DUMMYFUNCTION("""COMPUTED_VALUE"""),"73df5aae-f42a-49a0-9d8f-616ca6dbebaa")</f>
        <v>73df5aae-f42a-49a0-9d8f-616ca6dbebaa</v>
      </c>
      <c r="AV9" s="251" t="str">
        <f>IFERROR(__xludf.DUMMYFUNCTION("""COMPUTED_VALUE"""),"019ed015-c5dc-794f-b403-b3a6b5e5bcb3")</f>
        <v>019ed015-c5dc-794f-b403-b3a6b5e5bcb3</v>
      </c>
      <c r="AW9" s="261">
        <f>IFERROR(__xludf.DUMMYFUNCTION("""COMPUTED_VALUE"""),46189.45773148148)</f>
        <v>46189.45773</v>
      </c>
      <c r="AX9" s="251" t="str">
        <f>IFERROR(__xludf.DUMMYFUNCTION("""COMPUTED_VALUE"""),"debit")</f>
        <v>debit</v>
      </c>
      <c r="AY9" s="253">
        <f>IFERROR(__xludf.DUMMYFUNCTION("""COMPUTED_VALUE"""),2000.0)</f>
        <v>2000</v>
      </c>
      <c r="AZ9" s="251" t="str">
        <f>IFERROR(__xludf.DUMMYFUNCTION("""COMPUTED_VALUE"""),"cash_isa")</f>
        <v>cash_isa</v>
      </c>
      <c r="BA9" s="251" t="str">
        <f>IFERROR(__xludf.DUMMYFUNCTION("""COMPUTED_VALUE"""),"9bc00e6b-ce5f-48c5-ae3a-1baabe00f337")</f>
        <v>9bc00e6b-ce5f-48c5-ae3a-1baabe00f337</v>
      </c>
      <c r="BB9" s="251" t="str">
        <f>IFERROR(__xludf.DUMMYFUNCTION("""COMPUTED_VALUE"""),"484d47c0-4ba1-45b5-8762-e933a96e2578")</f>
        <v>484d47c0-4ba1-45b5-8762-e933a96e2578</v>
      </c>
      <c r="BC9" s="251"/>
      <c r="BD9" s="251"/>
      <c r="BE9" s="251"/>
      <c r="BF9" s="251"/>
      <c r="BG9" s="261"/>
      <c r="BI9" s="251" t="str">
        <f>IFERROR(__xludf.DUMMYFUNCTION("""COMPUTED_VALUE"""),"73df5aae-f42a-49a0-9d8f-616ca6dbebaa")</f>
        <v>73df5aae-f42a-49a0-9d8f-616ca6dbebaa</v>
      </c>
      <c r="BJ9" s="251" t="str">
        <f>IFERROR(__xludf.DUMMYFUNCTION("""COMPUTED_VALUE"""),"019eb0ad-e1f7-7848-a2f9-cb38e5c86b1d")</f>
        <v>019eb0ad-e1f7-7848-a2f9-cb38e5c86b1d</v>
      </c>
      <c r="BK9" s="252">
        <f>IFERROR(__xludf.DUMMYFUNCTION("""COMPUTED_VALUE"""),46183.35932870371)</f>
        <v>46183.35933</v>
      </c>
      <c r="BL9" s="251" t="str">
        <f>IFERROR(__xludf.DUMMYFUNCTION("""COMPUTED_VALUE"""),"credit")</f>
        <v>credit</v>
      </c>
      <c r="BM9" s="251">
        <f>IFERROR(__xludf.DUMMYFUNCTION("""COMPUTED_VALUE"""),15963.49)</f>
        <v>15963.49</v>
      </c>
      <c r="BN9" s="251" t="str">
        <f>IFERROR(__xludf.DUMMYFUNCTION("""COMPUTED_VALUE"""),"lisa")</f>
        <v>lisa</v>
      </c>
      <c r="BO9" s="251" t="str">
        <f>IFERROR(__xludf.DUMMYFUNCTION("""COMPUTED_VALUE"""),"b7a59586-5d10-4989-91c2-f2376c7a6ab2")</f>
        <v>b7a59586-5d10-4989-91c2-f2376c7a6ab2</v>
      </c>
      <c r="BP9" s="251" t="str">
        <f>IFERROR(__xludf.DUMMYFUNCTION("""COMPUTED_VALUE"""),"429d3d03-20ce-4949-97bc-52dd443bc473")</f>
        <v>429d3d03-20ce-4949-97bc-52dd443bc473</v>
      </c>
      <c r="BQ9" s="251" t="str">
        <f>IFERROR(__xludf.DUMMYFUNCTION("""COMPUTED_VALUE"""),"429d3d03-20ce-4949-97bc-52dd443bc473")</f>
        <v>429d3d03-20ce-4949-97bc-52dd443bc473</v>
      </c>
      <c r="BR9" s="251" t="str">
        <f>IFERROR(__xludf.DUMMYFUNCTION("""COMPUTED_VALUE"""),"NOREF-905760162")</f>
        <v>NOREF-905760162</v>
      </c>
      <c r="BS9" s="251">
        <f>IFERROR(__xludf.DUMMYFUNCTION("""COMPUTED_VALUE"""),15963.49)</f>
        <v>15963.49</v>
      </c>
      <c r="BT9" s="251" t="str">
        <f>IFERROR(__xludf.DUMMYFUNCTION("""COMPUTED_VALUE"""),"payin")</f>
        <v>payin</v>
      </c>
      <c r="BU9" s="252">
        <f>IFERROR(__xludf.DUMMYFUNCTION("""COMPUTED_VALUE"""),46181.49357638889)</f>
        <v>46181.49358</v>
      </c>
    </row>
    <row r="10">
      <c r="A10" s="255" t="s">
        <v>165</v>
      </c>
      <c r="B10" s="255" t="s">
        <v>272</v>
      </c>
      <c r="C10" s="256">
        <v>46189.33280092593</v>
      </c>
      <c r="D10" s="255" t="s">
        <v>167</v>
      </c>
      <c r="E10" s="257">
        <v>12001.69</v>
      </c>
      <c r="F10" s="255" t="s">
        <v>169</v>
      </c>
      <c r="G10" s="255" t="s">
        <v>170</v>
      </c>
      <c r="H10" s="255" t="s">
        <v>273</v>
      </c>
      <c r="I10" s="258"/>
      <c r="J10" s="258"/>
      <c r="K10" s="259"/>
      <c r="L10" s="258"/>
      <c r="M10" s="260"/>
      <c r="O10" s="247"/>
      <c r="AC10" s="247"/>
      <c r="AD10" s="251" t="str">
        <f>IFERROR(__xludf.DUMMYFUNCTION("""COMPUTED_VALUE"""),"73df5aae-f42a-49a0-9d8f-616ca6dbebaa")</f>
        <v>73df5aae-f42a-49a0-9d8f-616ca6dbebaa</v>
      </c>
      <c r="AE10" s="251" t="str">
        <f>IFERROR(__xludf.DUMMYFUNCTION("""COMPUTED_VALUE"""),"019ed024-8a33-7fb5-96a0-78ffd98b3516")</f>
        <v>019ed024-8a33-7fb5-96a0-78ffd98b3516</v>
      </c>
      <c r="AF10" s="261">
        <f>IFERROR(__xludf.DUMMYFUNCTION("""COMPUTED_VALUE"""),46189.468935185185)</f>
        <v>46189.46894</v>
      </c>
      <c r="AG10" s="251" t="str">
        <f>IFERROR(__xludf.DUMMYFUNCTION("""COMPUTED_VALUE"""),"credit")</f>
        <v>credit</v>
      </c>
      <c r="AH10" s="253">
        <f>IFERROR(__xludf.DUMMYFUNCTION("""COMPUTED_VALUE"""),7.35)</f>
        <v>7.35</v>
      </c>
      <c r="AI10" s="251" t="str">
        <f>IFERROR(__xludf.DUMMYFUNCTION("""COMPUTED_VALUE"""),"cash_isa")</f>
        <v>cash_isa</v>
      </c>
      <c r="AJ10" s="251" t="str">
        <f>IFERROR(__xludf.DUMMYFUNCTION("""COMPUTED_VALUE"""),"9bc00e6b-ce5f-48c5-ae3a-1baabe00f337")</f>
        <v>9bc00e6b-ce5f-48c5-ae3a-1baabe00f337</v>
      </c>
      <c r="AK10" s="251" t="str">
        <f>IFERROR(__xludf.DUMMYFUNCTION("""COMPUTED_VALUE"""),"42c3a58b-fec1-43e1-b86e-f071b829ba7a")</f>
        <v>42c3a58b-fec1-43e1-b86e-f071b829ba7a</v>
      </c>
      <c r="AL10" s="251" t="str">
        <f>IFERROR(__xludf.DUMMYFUNCTION("""COMPUTED_VALUE"""),"42c3a58b-fec1-43e1-b86e-f071b829ba7a")</f>
        <v>42c3a58b-fec1-43e1-b86e-f071b829ba7a</v>
      </c>
      <c r="AM10" s="251" t="str">
        <f>IFERROR(__xludf.DUMMYFUNCTION("""COMPUTED_VALUE"""),"NOREF-910332414")</f>
        <v>NOREF-910332414</v>
      </c>
      <c r="AN10" s="251">
        <f>IFERROR(__xludf.DUMMYFUNCTION("""COMPUTED_VALUE"""),7.35)</f>
        <v>7.35</v>
      </c>
      <c r="AO10" s="251" t="str">
        <f>IFERROR(__xludf.DUMMYFUNCTION("""COMPUTED_VALUE"""),"payin")</f>
        <v>payin</v>
      </c>
      <c r="AP10" s="261">
        <f>IFERROR(__xludf.DUMMYFUNCTION("""COMPUTED_VALUE"""),46188.454293981486)</f>
        <v>46188.45429</v>
      </c>
      <c r="AR10" s="251" t="str">
        <f t="shared" si="1"/>
        <v>7.35_credit</v>
      </c>
      <c r="AS10" s="251" t="str">
        <f t="shared" si="2"/>
        <v>KEEP</v>
      </c>
      <c r="AT10" s="247"/>
      <c r="AU10" s="251" t="str">
        <f>IFERROR(__xludf.DUMMYFUNCTION("""COMPUTED_VALUE"""),"73df5aae-f42a-49a0-9d8f-616ca6dbebaa")</f>
        <v>73df5aae-f42a-49a0-9d8f-616ca6dbebaa</v>
      </c>
      <c r="AV10" s="251" t="str">
        <f>IFERROR(__xludf.DUMMYFUNCTION("""COMPUTED_VALUE"""),"019ed015-d33d-7f61-8bb3-deadbf0d9c07")</f>
        <v>019ed015-d33d-7f61-8bb3-deadbf0d9c07</v>
      </c>
      <c r="AW10" s="261">
        <f>IFERROR(__xludf.DUMMYFUNCTION("""COMPUTED_VALUE"""),46189.457777777774)</f>
        <v>46189.45778</v>
      </c>
      <c r="AX10" s="251" t="str">
        <f>IFERROR(__xludf.DUMMYFUNCTION("""COMPUTED_VALUE"""),"debit")</f>
        <v>debit</v>
      </c>
      <c r="AY10" s="253">
        <f>IFERROR(__xludf.DUMMYFUNCTION("""COMPUTED_VALUE"""),3100.0)</f>
        <v>3100</v>
      </c>
      <c r="AZ10" s="251" t="str">
        <f>IFERROR(__xludf.DUMMYFUNCTION("""COMPUTED_VALUE"""),"cash_isa")</f>
        <v>cash_isa</v>
      </c>
      <c r="BA10" s="251" t="str">
        <f>IFERROR(__xludf.DUMMYFUNCTION("""COMPUTED_VALUE"""),"9bc00e6b-ce5f-48c5-ae3a-1baabe00f337")</f>
        <v>9bc00e6b-ce5f-48c5-ae3a-1baabe00f337</v>
      </c>
      <c r="BB10" s="251" t="str">
        <f>IFERROR(__xludf.DUMMYFUNCTION("""COMPUTED_VALUE"""),"635da7fc-5835-4ab2-807a-a13c63aab420")</f>
        <v>635da7fc-5835-4ab2-807a-a13c63aab420</v>
      </c>
      <c r="BC10" s="251"/>
      <c r="BD10" s="251"/>
      <c r="BE10" s="251"/>
      <c r="BF10" s="251"/>
      <c r="BG10" s="261"/>
      <c r="BI10" s="251" t="str">
        <f>IFERROR(__xludf.DUMMYFUNCTION("""COMPUTED_VALUE"""),"73df5aae-f42a-49a0-9d8f-616ca6dbebaa")</f>
        <v>73df5aae-f42a-49a0-9d8f-616ca6dbebaa</v>
      </c>
      <c r="BJ10" s="251" t="str">
        <f>IFERROR(__xludf.DUMMYFUNCTION("""COMPUTED_VALUE"""),"019eb2b6-0f93-7b2a-8031-39c79ca623c7")</f>
        <v>019eb2b6-0f93-7b2a-8031-39c79ca623c7</v>
      </c>
      <c r="BK10" s="252">
        <f>IFERROR(__xludf.DUMMYFUNCTION("""COMPUTED_VALUE"""),46183.753900462965)</f>
        <v>46183.7539</v>
      </c>
      <c r="BL10" s="251" t="str">
        <f>IFERROR(__xludf.DUMMYFUNCTION("""COMPUTED_VALUE"""),"credit")</f>
        <v>credit</v>
      </c>
      <c r="BM10" s="251">
        <f>IFERROR(__xludf.DUMMYFUNCTION("""COMPUTED_VALUE"""),703.22)</f>
        <v>703.22</v>
      </c>
      <c r="BN10" s="251" t="str">
        <f>IFERROR(__xludf.DUMMYFUNCTION("""COMPUTED_VALUE"""),"lisa")</f>
        <v>lisa</v>
      </c>
      <c r="BO10" s="251" t="str">
        <f>IFERROR(__xludf.DUMMYFUNCTION("""COMPUTED_VALUE"""),"b7a59586-5d10-4989-91c2-f2376c7a6ab2")</f>
        <v>b7a59586-5d10-4989-91c2-f2376c7a6ab2</v>
      </c>
      <c r="BP10" s="251" t="str">
        <f>IFERROR(__xludf.DUMMYFUNCTION("""COMPUTED_VALUE"""),"04016f15-a048-4e2f-ab88-ad6abdf6ed72")</f>
        <v>04016f15-a048-4e2f-ab88-ad6abdf6ed72</v>
      </c>
      <c r="BQ10" s="251" t="str">
        <f>IFERROR(__xludf.DUMMYFUNCTION("""COMPUTED_VALUE"""),"04016f15-a048-4e2f-ab88-ad6abdf6ed72")</f>
        <v>04016f15-a048-4e2f-ab88-ad6abdf6ed72</v>
      </c>
      <c r="BR10" s="251" t="str">
        <f>IFERROR(__xludf.DUMMYFUNCTION("""COMPUTED_VALUE"""),"FRESCO.21302.GFX.20-45732139")</f>
        <v>FRESCO.21302.GFX.20-45732139</v>
      </c>
      <c r="BS10" s="251">
        <f>IFERROR(__xludf.DUMMYFUNCTION("""COMPUTED_VALUE"""),703.22)</f>
        <v>703.22</v>
      </c>
      <c r="BT10" s="251" t="str">
        <f>IFERROR(__xludf.DUMMYFUNCTION("""COMPUTED_VALUE"""),"payin")</f>
        <v>payin</v>
      </c>
      <c r="BU10" s="252">
        <f>IFERROR(__xludf.DUMMYFUNCTION("""COMPUTED_VALUE"""),46182.584872685184)</f>
        <v>46182.58487</v>
      </c>
    </row>
    <row r="11">
      <c r="A11" s="262" t="s">
        <v>165</v>
      </c>
      <c r="B11" s="262" t="s">
        <v>274</v>
      </c>
      <c r="C11" s="263">
        <v>46189.33462962963</v>
      </c>
      <c r="D11" s="262" t="s">
        <v>265</v>
      </c>
      <c r="E11" s="264">
        <v>12001.69</v>
      </c>
      <c r="F11" s="262" t="s">
        <v>169</v>
      </c>
      <c r="G11" s="262" t="s">
        <v>170</v>
      </c>
      <c r="H11" s="262" t="s">
        <v>273</v>
      </c>
      <c r="I11" s="265"/>
      <c r="J11" s="265"/>
      <c r="K11" s="266"/>
      <c r="L11" s="265"/>
      <c r="M11" s="267"/>
      <c r="O11" s="247"/>
      <c r="AC11" s="247"/>
      <c r="AD11" s="251" t="str">
        <f>IFERROR(__xludf.DUMMYFUNCTION("""COMPUTED_VALUE"""),"73df5aae-f42a-49a0-9d8f-616ca6dbebaa")</f>
        <v>73df5aae-f42a-49a0-9d8f-616ca6dbebaa</v>
      </c>
      <c r="AE11" s="251" t="str">
        <f>IFERROR(__xludf.DUMMYFUNCTION("""COMPUTED_VALUE"""),"019ed024-88f1-789c-a803-e90f28c9087e")</f>
        <v>019ed024-88f1-789c-a803-e90f28c9087e</v>
      </c>
      <c r="AF11" s="261">
        <f>IFERROR(__xludf.DUMMYFUNCTION("""COMPUTED_VALUE"""),46189.468935185185)</f>
        <v>46189.46894</v>
      </c>
      <c r="AG11" s="251" t="str">
        <f>IFERROR(__xludf.DUMMYFUNCTION("""COMPUTED_VALUE"""),"credit")</f>
        <v>credit</v>
      </c>
      <c r="AH11" s="253">
        <f>IFERROR(__xludf.DUMMYFUNCTION("""COMPUTED_VALUE"""),250.0)</f>
        <v>250</v>
      </c>
      <c r="AI11" s="251" t="str">
        <f>IFERROR(__xludf.DUMMYFUNCTION("""COMPUTED_VALUE"""),"cash_isa")</f>
        <v>cash_isa</v>
      </c>
      <c r="AJ11" s="251" t="str">
        <f>IFERROR(__xludf.DUMMYFUNCTION("""COMPUTED_VALUE"""),"9bc00e6b-ce5f-48c5-ae3a-1baabe00f337")</f>
        <v>9bc00e6b-ce5f-48c5-ae3a-1baabe00f337</v>
      </c>
      <c r="AK11" s="251" t="str">
        <f>IFERROR(__xludf.DUMMYFUNCTION("""COMPUTED_VALUE"""),"5a92f897-6035-4172-9831-90028a8a98c2")</f>
        <v>5a92f897-6035-4172-9831-90028a8a98c2</v>
      </c>
      <c r="AL11" s="251" t="str">
        <f>IFERROR(__xludf.DUMMYFUNCTION("""COMPUTED_VALUE"""),"5a92f897-6035-4172-9831-90028a8a98c2")</f>
        <v>5a92f897-6035-4172-9831-90028a8a98c2</v>
      </c>
      <c r="AM11" s="251" t="str">
        <f>IFERROR(__xludf.DUMMYFUNCTION("""COMPUTED_VALUE"""),"JC321715Da-518647334")</f>
        <v>JC321715Da-518647334</v>
      </c>
      <c r="AN11" s="251">
        <f>IFERROR(__xludf.DUMMYFUNCTION("""COMPUTED_VALUE"""),250.0)</f>
        <v>250</v>
      </c>
      <c r="AO11" s="251" t="str">
        <f>IFERROR(__xludf.DUMMYFUNCTION("""COMPUTED_VALUE"""),"payin")</f>
        <v>payin</v>
      </c>
      <c r="AP11" s="261">
        <f>IFERROR(__xludf.DUMMYFUNCTION("""COMPUTED_VALUE"""),46188.66883101852)</f>
        <v>46188.66883</v>
      </c>
      <c r="AR11" s="251" t="str">
        <f t="shared" si="1"/>
        <v>250_credit</v>
      </c>
      <c r="AS11" s="251" t="str">
        <f t="shared" si="2"/>
        <v>KEEP</v>
      </c>
      <c r="AT11" s="247"/>
      <c r="AU11" s="251" t="str">
        <f>IFERROR(__xludf.DUMMYFUNCTION("""COMPUTED_VALUE"""),"73df5aae-f42a-49a0-9d8f-616ca6dbebaa")</f>
        <v>73df5aae-f42a-49a0-9d8f-616ca6dbebaa</v>
      </c>
      <c r="AV11" s="251" t="str">
        <f>IFERROR(__xludf.DUMMYFUNCTION("""COMPUTED_VALUE"""),"019ed024-854b-7377-878e-9bd25cd97072")</f>
        <v>019ed024-854b-7377-878e-9bd25cd97072</v>
      </c>
      <c r="AW11" s="261">
        <f>IFERROR(__xludf.DUMMYFUNCTION("""COMPUTED_VALUE"""),46189.468923611115)</f>
        <v>46189.46892</v>
      </c>
      <c r="AX11" s="251" t="str">
        <f>IFERROR(__xludf.DUMMYFUNCTION("""COMPUTED_VALUE"""),"credit")</f>
        <v>credit</v>
      </c>
      <c r="AY11" s="253">
        <f>IFERROR(__xludf.DUMMYFUNCTION("""COMPUTED_VALUE"""),21471.6)</f>
        <v>21471.6</v>
      </c>
      <c r="AZ11" s="251" t="str">
        <f>IFERROR(__xludf.DUMMYFUNCTION("""COMPUTED_VALUE"""),"cash_isa")</f>
        <v>cash_isa</v>
      </c>
      <c r="BA11" s="251" t="str">
        <f>IFERROR(__xludf.DUMMYFUNCTION("""COMPUTED_VALUE"""),"9bc00e6b-ce5f-48c5-ae3a-1baabe00f337")</f>
        <v>9bc00e6b-ce5f-48c5-ae3a-1baabe00f337</v>
      </c>
      <c r="BB11" s="251" t="str">
        <f>IFERROR(__xludf.DUMMYFUNCTION("""COMPUTED_VALUE"""),"228cd2f5-1ee0-4962-a649-82c9f17961ae")</f>
        <v>228cd2f5-1ee0-4962-a649-82c9f17961ae</v>
      </c>
      <c r="BC11" s="251" t="str">
        <f>IFERROR(__xludf.DUMMYFUNCTION("""COMPUTED_VALUE"""),"228cd2f5-1ee0-4962-a649-82c9f17961ae")</f>
        <v>228cd2f5-1ee0-4962-a649-82c9f17961ae</v>
      </c>
      <c r="BD11" s="251" t="str">
        <f>IFERROR(__xludf.DUMMYFUNCTION("""COMPUTED_VALUE"""),"WK648730Ba-580073357")</f>
        <v>WK648730Ba-580073357</v>
      </c>
      <c r="BE11" s="251">
        <f>IFERROR(__xludf.DUMMYFUNCTION("""COMPUTED_VALUE"""),21471.6)</f>
        <v>21471.6</v>
      </c>
      <c r="BF11" s="251" t="str">
        <f>IFERROR(__xludf.DUMMYFUNCTION("""COMPUTED_VALUE"""),"payin")</f>
        <v>payin</v>
      </c>
      <c r="BG11" s="261">
        <f>IFERROR(__xludf.DUMMYFUNCTION("""COMPUTED_VALUE"""),46188.66883101852)</f>
        <v>46188.66883</v>
      </c>
      <c r="BI11" s="251" t="str">
        <f>IFERROR(__xludf.DUMMYFUNCTION("""COMPUTED_VALUE"""),"73df5aae-f42a-49a0-9d8f-616ca6dbebaa")</f>
        <v>73df5aae-f42a-49a0-9d8f-616ca6dbebaa</v>
      </c>
      <c r="BJ11" s="251" t="str">
        <f>IFERROR(__xludf.DUMMYFUNCTION("""COMPUTED_VALUE"""),"019eb6b9-6a8d-73ef-87dc-cb539797754d")</f>
        <v>019eb6b9-6a8d-73ef-87dc-cb539797754d</v>
      </c>
      <c r="BK11" s="261">
        <f>IFERROR(__xludf.DUMMYFUNCTION("""COMPUTED_VALUE"""),46184.533159722225)</f>
        <v>46184.53316</v>
      </c>
      <c r="BL11" s="251" t="str">
        <f>IFERROR(__xludf.DUMMYFUNCTION("""COMPUTED_VALUE"""),"credit")</f>
        <v>credit</v>
      </c>
      <c r="BM11" s="251">
        <f>IFERROR(__xludf.DUMMYFUNCTION("""COMPUTED_VALUE"""),108.26)</f>
        <v>108.26</v>
      </c>
      <c r="BN11" s="251" t="str">
        <f>IFERROR(__xludf.DUMMYFUNCTION("""COMPUTED_VALUE"""),"lisa")</f>
        <v>lisa</v>
      </c>
      <c r="BO11" s="251" t="str">
        <f>IFERROR(__xludf.DUMMYFUNCTION("""COMPUTED_VALUE"""),"b7a59586-5d10-4989-91c2-f2376c7a6ab2")</f>
        <v>b7a59586-5d10-4989-91c2-f2376c7a6ab2</v>
      </c>
      <c r="BP11" s="251" t="str">
        <f>IFERROR(__xludf.DUMMYFUNCTION("""COMPUTED_VALUE"""),"11ab5e3b-6091-443a-9edf-dd35b41adeb6")</f>
        <v>11ab5e3b-6091-443a-9edf-dd35b41adeb6</v>
      </c>
      <c r="BQ11" s="251" t="str">
        <f>IFERROR(__xludf.DUMMYFUNCTION("""COMPUTED_VALUE"""),"11ab5e3b-6091-443a-9edf-dd35b41adeb6")</f>
        <v>11ab5e3b-6091-443a-9edf-dd35b41adeb6</v>
      </c>
      <c r="BR11" s="251" t="str">
        <f>IFERROR(__xludf.DUMMYFUNCTION("""COMPUTED_VALUE"""),"72FEE306a-571949853")</f>
        <v>72FEE306a-571949853</v>
      </c>
      <c r="BS11" s="251">
        <f>IFERROR(__xludf.DUMMYFUNCTION("""COMPUTED_VALUE"""),108.26)</f>
        <v>108.26</v>
      </c>
      <c r="BT11" s="251" t="str">
        <f>IFERROR(__xludf.DUMMYFUNCTION("""COMPUTED_VALUE"""),"payin")</f>
        <v>payin</v>
      </c>
      <c r="BU11" s="261">
        <f>IFERROR(__xludf.DUMMYFUNCTION("""COMPUTED_VALUE"""),46183.39266203703)</f>
        <v>46183.39266</v>
      </c>
    </row>
    <row r="12">
      <c r="A12" s="255" t="s">
        <v>165</v>
      </c>
      <c r="B12" s="255" t="s">
        <v>275</v>
      </c>
      <c r="C12" s="256">
        <v>46189.3356712963</v>
      </c>
      <c r="D12" s="255" t="s">
        <v>167</v>
      </c>
      <c r="E12" s="257">
        <v>21791.12</v>
      </c>
      <c r="F12" s="255" t="s">
        <v>169</v>
      </c>
      <c r="G12" s="255" t="s">
        <v>170</v>
      </c>
      <c r="H12" s="255" t="s">
        <v>276</v>
      </c>
      <c r="I12" s="258"/>
      <c r="J12" s="258"/>
      <c r="K12" s="259"/>
      <c r="L12" s="258"/>
      <c r="M12" s="260"/>
      <c r="O12" s="247"/>
      <c r="AC12" s="247"/>
      <c r="AD12" s="251" t="str">
        <f>IFERROR(__xludf.DUMMYFUNCTION("""COMPUTED_VALUE"""),"73df5aae-f42a-49a0-9d8f-616ca6dbebaa")</f>
        <v>73df5aae-f42a-49a0-9d8f-616ca6dbebaa</v>
      </c>
      <c r="AE12" s="251" t="str">
        <f>IFERROR(__xludf.DUMMYFUNCTION("""COMPUTED_VALUE"""),"019ed024-8817-7d80-9685-39944e000a98")</f>
        <v>019ed024-8817-7d80-9685-39944e000a98</v>
      </c>
      <c r="AF12" s="261">
        <f>IFERROR(__xludf.DUMMYFUNCTION("""COMPUTED_VALUE"""),46189.468935185185)</f>
        <v>46189.46894</v>
      </c>
      <c r="AG12" s="251" t="str">
        <f>IFERROR(__xludf.DUMMYFUNCTION("""COMPUTED_VALUE"""),"credit")</f>
        <v>credit</v>
      </c>
      <c r="AH12" s="253">
        <f>IFERROR(__xludf.DUMMYFUNCTION("""COMPUTED_VALUE"""),42534.92)</f>
        <v>42534.92</v>
      </c>
      <c r="AI12" s="251" t="str">
        <f>IFERROR(__xludf.DUMMYFUNCTION("""COMPUTED_VALUE"""),"cash_isa")</f>
        <v>cash_isa</v>
      </c>
      <c r="AJ12" s="251" t="str">
        <f>IFERROR(__xludf.DUMMYFUNCTION("""COMPUTED_VALUE"""),"9bc00e6b-ce5f-48c5-ae3a-1baabe00f337")</f>
        <v>9bc00e6b-ce5f-48c5-ae3a-1baabe00f337</v>
      </c>
      <c r="AK12" s="251" t="str">
        <f>IFERROR(__xludf.DUMMYFUNCTION("""COMPUTED_VALUE"""),"a50f2b4e-4ed2-48c6-ae8b-f3052f76d926")</f>
        <v>a50f2b4e-4ed2-48c6-ae8b-f3052f76d926</v>
      </c>
      <c r="AL12" s="251" t="str">
        <f>IFERROR(__xludf.DUMMYFUNCTION("""COMPUTED_VALUE"""),"a50f2b4e-4ed2-48c6-ae8b-f3052f76d926")</f>
        <v>a50f2b4e-4ed2-48c6-ae8b-f3052f76d926</v>
      </c>
      <c r="AM12" s="251" t="str">
        <f>IFERROR(__xludf.DUMMYFUNCTION("""COMPUTED_VALUE"""),"YM189882D-95846103")</f>
        <v>YM189882D-95846103</v>
      </c>
      <c r="AN12" s="251">
        <f>IFERROR(__xludf.DUMMYFUNCTION("""COMPUTED_VALUE"""),42534.92)</f>
        <v>42534.92</v>
      </c>
      <c r="AO12" s="251" t="str">
        <f>IFERROR(__xludf.DUMMYFUNCTION("""COMPUTED_VALUE"""),"payin")</f>
        <v>payin</v>
      </c>
      <c r="AP12" s="261">
        <f>IFERROR(__xludf.DUMMYFUNCTION("""COMPUTED_VALUE"""),46188.6688425926)</f>
        <v>46188.66884</v>
      </c>
      <c r="AR12" s="251" t="str">
        <f t="shared" si="1"/>
        <v>42534.92_credit</v>
      </c>
      <c r="AS12" s="251" t="str">
        <f t="shared" si="2"/>
        <v>KEEP</v>
      </c>
      <c r="AT12" s="247"/>
      <c r="AU12" s="251" t="str">
        <f>IFERROR(__xludf.DUMMYFUNCTION("""COMPUTED_VALUE"""),"73df5aae-f42a-49a0-9d8f-616ca6dbebaa")</f>
        <v>73df5aae-f42a-49a0-9d8f-616ca6dbebaa</v>
      </c>
      <c r="AV12" s="251" t="str">
        <f>IFERROR(__xludf.DUMMYFUNCTION("""COMPUTED_VALUE"""),"019ed024-864c-78df-b53a-e34f6f766c49")</f>
        <v>019ed024-864c-78df-b53a-e34f6f766c49</v>
      </c>
      <c r="AW12" s="261">
        <f>IFERROR(__xludf.DUMMYFUNCTION("""COMPUTED_VALUE"""),46189.468923611115)</f>
        <v>46189.46892</v>
      </c>
      <c r="AX12" s="251" t="str">
        <f>IFERROR(__xludf.DUMMYFUNCTION("""COMPUTED_VALUE"""),"credit")</f>
        <v>credit</v>
      </c>
      <c r="AY12" s="253">
        <f>IFERROR(__xludf.DUMMYFUNCTION("""COMPUTED_VALUE"""),20974.52)</f>
        <v>20974.52</v>
      </c>
      <c r="AZ12" s="251" t="str">
        <f>IFERROR(__xludf.DUMMYFUNCTION("""COMPUTED_VALUE"""),"cash_isa")</f>
        <v>cash_isa</v>
      </c>
      <c r="BA12" s="251" t="str">
        <f>IFERROR(__xludf.DUMMYFUNCTION("""COMPUTED_VALUE"""),"9bc00e6b-ce5f-48c5-ae3a-1baabe00f337")</f>
        <v>9bc00e6b-ce5f-48c5-ae3a-1baabe00f337</v>
      </c>
      <c r="BB12" s="251" t="str">
        <f>IFERROR(__xludf.DUMMYFUNCTION("""COMPUTED_VALUE"""),"084ad475-9333-4dbe-8fb5-7d7b8ad84064")</f>
        <v>084ad475-9333-4dbe-8fb5-7d7b8ad84064</v>
      </c>
      <c r="BC12" s="251" t="str">
        <f>IFERROR(__xludf.DUMMYFUNCTION("""COMPUTED_VALUE"""),"084ad475-9333-4dbe-8fb5-7d7b8ad84064")</f>
        <v>084ad475-9333-4dbe-8fb5-7d7b8ad84064</v>
      </c>
      <c r="BD12" s="251" t="str">
        <f>IFERROR(__xludf.DUMMYFUNCTION("""COMPUTED_VALUE"""),"NZ656284A-1098901635")</f>
        <v>NZ656284A-1098901635</v>
      </c>
      <c r="BE12" s="251">
        <f>IFERROR(__xludf.DUMMYFUNCTION("""COMPUTED_VALUE"""),20974.52)</f>
        <v>20974.52</v>
      </c>
      <c r="BF12" s="251" t="str">
        <f>IFERROR(__xludf.DUMMYFUNCTION("""COMPUTED_VALUE"""),"payin")</f>
        <v>payin</v>
      </c>
      <c r="BG12" s="261">
        <f>IFERROR(__xludf.DUMMYFUNCTION("""COMPUTED_VALUE"""),46188.66883101852)</f>
        <v>46188.66883</v>
      </c>
      <c r="BI12" s="251" t="str">
        <f>IFERROR(__xludf.DUMMYFUNCTION("""COMPUTED_VALUE"""),"73df5aae-f42a-49a0-9d8f-616ca6dbebaa")</f>
        <v>73df5aae-f42a-49a0-9d8f-616ca6dbebaa</v>
      </c>
      <c r="BJ12" s="251" t="str">
        <f>IFERROR(__xludf.DUMMYFUNCTION("""COMPUTED_VALUE"""),"019ebcb7-d5e1-7bf7-b141-b8a6e63065d4")</f>
        <v>019ebcb7-d5e1-7bf7-b141-b8a6e63065d4</v>
      </c>
      <c r="BK12" s="261">
        <f>IFERROR(__xludf.DUMMYFUNCTION("""COMPUTED_VALUE"""),46185.69704861111)</f>
        <v>46185.69705</v>
      </c>
      <c r="BL12" s="251" t="str">
        <f>IFERROR(__xludf.DUMMYFUNCTION("""COMPUTED_VALUE"""),"credit")</f>
        <v>credit</v>
      </c>
      <c r="BM12" s="251">
        <f>IFERROR(__xludf.DUMMYFUNCTION("""COMPUTED_VALUE"""),12949.42)</f>
        <v>12949.42</v>
      </c>
      <c r="BN12" s="251" t="str">
        <f>IFERROR(__xludf.DUMMYFUNCTION("""COMPUTED_VALUE"""),"lisa")</f>
        <v>lisa</v>
      </c>
      <c r="BO12" s="251" t="str">
        <f>IFERROR(__xludf.DUMMYFUNCTION("""COMPUTED_VALUE"""),"b7a59586-5d10-4989-91c2-f2376c7a6ab2")</f>
        <v>b7a59586-5d10-4989-91c2-f2376c7a6ab2</v>
      </c>
      <c r="BP12" s="251" t="str">
        <f>IFERROR(__xludf.DUMMYFUNCTION("""COMPUTED_VALUE"""),"70f1e299-11ac-4280-a6e2-1dc1137e001b")</f>
        <v>70f1e299-11ac-4280-a6e2-1dc1137e001b</v>
      </c>
      <c r="BQ12" s="251" t="str">
        <f>IFERROR(__xludf.DUMMYFUNCTION("""COMPUTED_VALUE"""),"70f1e299-11ac-4280-a6e2-1dc1137e001b")</f>
        <v>70f1e299-11ac-4280-a6e2-1dc1137e001b</v>
      </c>
      <c r="BR12" s="251" t="str">
        <f>IFERROR(__xludf.DUMMYFUNCTION("""COMPUTED_VALUE"""),"NOREF-838618946")</f>
        <v>NOREF-838618946</v>
      </c>
      <c r="BS12" s="251">
        <f>IFERROR(__xludf.DUMMYFUNCTION("""COMPUTED_VALUE"""),12949.42)</f>
        <v>12949.42</v>
      </c>
      <c r="BT12" s="251" t="str">
        <f>IFERROR(__xludf.DUMMYFUNCTION("""COMPUTED_VALUE"""),"payin")</f>
        <v>payin</v>
      </c>
      <c r="BU12" s="261">
        <f>IFERROR(__xludf.DUMMYFUNCTION("""COMPUTED_VALUE"""),46184.635046296295)</f>
        <v>46184.63505</v>
      </c>
    </row>
    <row r="13">
      <c r="A13" s="262" t="s">
        <v>165</v>
      </c>
      <c r="B13" s="262" t="s">
        <v>277</v>
      </c>
      <c r="C13" s="263">
        <v>46189.337118055555</v>
      </c>
      <c r="D13" s="262" t="s">
        <v>265</v>
      </c>
      <c r="E13" s="264">
        <v>21791.12</v>
      </c>
      <c r="F13" s="262" t="s">
        <v>169</v>
      </c>
      <c r="G13" s="262" t="s">
        <v>170</v>
      </c>
      <c r="H13" s="262" t="s">
        <v>276</v>
      </c>
      <c r="I13" s="265"/>
      <c r="J13" s="265"/>
      <c r="K13" s="266"/>
      <c r="L13" s="265"/>
      <c r="M13" s="267"/>
      <c r="O13" s="247"/>
      <c r="AC13" s="247"/>
      <c r="AD13" s="251" t="str">
        <f>IFERROR(__xludf.DUMMYFUNCTION("""COMPUTED_VALUE"""),"73df5aae-f42a-49a0-9d8f-616ca6dbebaa")</f>
        <v>73df5aae-f42a-49a0-9d8f-616ca6dbebaa</v>
      </c>
      <c r="AE13" s="251" t="str">
        <f>IFERROR(__xludf.DUMMYFUNCTION("""COMPUTED_VALUE"""),"019ed0b1-3052-7f73-9d08-db917a292c59")</f>
        <v>019ed0b1-3052-7f73-9d08-db917a292c59</v>
      </c>
      <c r="AF13" s="261">
        <f>IFERROR(__xludf.DUMMYFUNCTION("""COMPUTED_VALUE"""),46189.575625)</f>
        <v>46189.57563</v>
      </c>
      <c r="AG13" s="251" t="str">
        <f>IFERROR(__xludf.DUMMYFUNCTION("""COMPUTED_VALUE"""),"credit")</f>
        <v>credit</v>
      </c>
      <c r="AH13" s="253">
        <f>IFERROR(__xludf.DUMMYFUNCTION("""COMPUTED_VALUE"""),14930.71)</f>
        <v>14930.71</v>
      </c>
      <c r="AI13" s="251" t="str">
        <f>IFERROR(__xludf.DUMMYFUNCTION("""COMPUTED_VALUE"""),"cash_isa")</f>
        <v>cash_isa</v>
      </c>
      <c r="AJ13" s="251" t="str">
        <f>IFERROR(__xludf.DUMMYFUNCTION("""COMPUTED_VALUE"""),"9bc00e6b-ce5f-48c5-ae3a-1baabe00f337")</f>
        <v>9bc00e6b-ce5f-48c5-ae3a-1baabe00f337</v>
      </c>
      <c r="AK13" s="251" t="str">
        <f>IFERROR(__xludf.DUMMYFUNCTION("""COMPUTED_VALUE"""),"37db9098-7f00-401d-be6f-68777404753c")</f>
        <v>37db9098-7f00-401d-be6f-68777404753c</v>
      </c>
      <c r="AL13" s="251"/>
      <c r="AM13" s="251"/>
      <c r="AN13" s="251">
        <f>IFERROR(__xludf.DUMMYFUNCTION("""COMPUTED_VALUE"""),14930.71)</f>
        <v>14930.71</v>
      </c>
      <c r="AO13" s="251"/>
      <c r="AP13" s="261"/>
      <c r="AR13" s="251" t="str">
        <f t="shared" si="1"/>
        <v>14930.71_credit</v>
      </c>
      <c r="AS13" s="251" t="str">
        <f t="shared" si="2"/>
        <v>KEEP</v>
      </c>
      <c r="AT13" s="247"/>
      <c r="AU13" s="251" t="str">
        <f>IFERROR(__xludf.DUMMYFUNCTION("""COMPUTED_VALUE"""),"73df5aae-f42a-49a0-9d8f-616ca6dbebaa")</f>
        <v>73df5aae-f42a-49a0-9d8f-616ca6dbebaa</v>
      </c>
      <c r="AV13" s="251" t="str">
        <f>IFERROR(__xludf.DUMMYFUNCTION("""COMPUTED_VALUE"""),"019ed024-873d-7252-be6e-6e408eb5a4cb")</f>
        <v>019ed024-873d-7252-be6e-6e408eb5a4cb</v>
      </c>
      <c r="AW13" s="261">
        <f>IFERROR(__xludf.DUMMYFUNCTION("""COMPUTED_VALUE"""),46189.468923611115)</f>
        <v>46189.46892</v>
      </c>
      <c r="AX13" s="251" t="str">
        <f>IFERROR(__xludf.DUMMYFUNCTION("""COMPUTED_VALUE"""),"credit")</f>
        <v>credit</v>
      </c>
      <c r="AY13" s="253">
        <f>IFERROR(__xludf.DUMMYFUNCTION("""COMPUTED_VALUE"""),20918.18)</f>
        <v>20918.18</v>
      </c>
      <c r="AZ13" s="251" t="str">
        <f>IFERROR(__xludf.DUMMYFUNCTION("""COMPUTED_VALUE"""),"cash_isa")</f>
        <v>cash_isa</v>
      </c>
      <c r="BA13" s="251" t="str">
        <f>IFERROR(__xludf.DUMMYFUNCTION("""COMPUTED_VALUE"""),"9bc00e6b-ce5f-48c5-ae3a-1baabe00f337")</f>
        <v>9bc00e6b-ce5f-48c5-ae3a-1baabe00f337</v>
      </c>
      <c r="BB13" s="251" t="str">
        <f>IFERROR(__xludf.DUMMYFUNCTION("""COMPUTED_VALUE"""),"a7a2dae7-bd10-44fc-9b1b-25271dcf0442")</f>
        <v>a7a2dae7-bd10-44fc-9b1b-25271dcf0442</v>
      </c>
      <c r="BC13" s="251" t="str">
        <f>IFERROR(__xludf.DUMMYFUNCTION("""COMPUTED_VALUE"""),"a7a2dae7-bd10-44fc-9b1b-25271dcf0442")</f>
        <v>a7a2dae7-bd10-44fc-9b1b-25271dcf0442</v>
      </c>
      <c r="BD13" s="251" t="str">
        <f>IFERROR(__xludf.DUMMYFUNCTION("""COMPUTED_VALUE"""),"JX825895D-940686763")</f>
        <v>JX825895D-940686763</v>
      </c>
      <c r="BE13" s="251">
        <f>IFERROR(__xludf.DUMMYFUNCTION("""COMPUTED_VALUE"""),20918.18)</f>
        <v>20918.18</v>
      </c>
      <c r="BF13" s="251" t="str">
        <f>IFERROR(__xludf.DUMMYFUNCTION("""COMPUTED_VALUE"""),"payin")</f>
        <v>payin</v>
      </c>
      <c r="BG13" s="261">
        <f>IFERROR(__xludf.DUMMYFUNCTION("""COMPUTED_VALUE"""),46188.6688425926)</f>
        <v>46188.66884</v>
      </c>
      <c r="BI13" s="251" t="str">
        <f>IFERROR(__xludf.DUMMYFUNCTION("""COMPUTED_VALUE"""),"73df5aae-f42a-49a0-9d8f-616ca6dbebaa")</f>
        <v>73df5aae-f42a-49a0-9d8f-616ca6dbebaa</v>
      </c>
      <c r="BJ13" s="251" t="str">
        <f>IFERROR(__xludf.DUMMYFUNCTION("""COMPUTED_VALUE"""),"019ecc1e-fb7b-7adf-a1b5-209ce9f1e444")</f>
        <v>019ecc1e-fb7b-7adf-a1b5-209ce9f1e444</v>
      </c>
      <c r="BK13" s="261">
        <f>IFERROR(__xludf.DUMMYFUNCTION("""COMPUTED_VALUE"""),46188.687997685185)</f>
        <v>46188.688</v>
      </c>
      <c r="BL13" s="251" t="str">
        <f>IFERROR(__xludf.DUMMYFUNCTION("""COMPUTED_VALUE"""),"credit")</f>
        <v>credit</v>
      </c>
      <c r="BM13" s="251">
        <f>IFERROR(__xludf.DUMMYFUNCTION("""COMPUTED_VALUE"""),56199.56)</f>
        <v>56199.56</v>
      </c>
      <c r="BN13" s="251" t="str">
        <f>IFERROR(__xludf.DUMMYFUNCTION("""COMPUTED_VALUE"""),"lisa")</f>
        <v>lisa</v>
      </c>
      <c r="BO13" s="251" t="str">
        <f>IFERROR(__xludf.DUMMYFUNCTION("""COMPUTED_VALUE"""),"b7a59586-5d10-4989-91c2-f2376c7a6ab2")</f>
        <v>b7a59586-5d10-4989-91c2-f2376c7a6ab2</v>
      </c>
      <c r="BP13" s="251" t="str">
        <f>IFERROR(__xludf.DUMMYFUNCTION("""COMPUTED_VALUE"""),"cc9da595-2186-4ffd-b8d8-6ec93cfb525a")</f>
        <v>cc9da595-2186-4ffd-b8d8-6ec93cfb525a</v>
      </c>
      <c r="BQ13" s="251" t="str">
        <f>IFERROR(__xludf.DUMMYFUNCTION("""COMPUTED_VALUE"""),"cc9da595-2186-4ffd-b8d8-6ec93cfb525a")</f>
        <v>cc9da595-2186-4ffd-b8d8-6ec93cfb525a</v>
      </c>
      <c r="BR13" s="251" t="str">
        <f>IFERROR(__xludf.DUMMYFUNCTION("""COMPUTED_VALUE"""),"b413ebba-1125098511")</f>
        <v>b413ebba-1125098511</v>
      </c>
      <c r="BS13" s="251">
        <f>IFERROR(__xludf.DUMMYFUNCTION("""COMPUTED_VALUE"""),56199.56)</f>
        <v>56199.56</v>
      </c>
      <c r="BT13" s="251" t="str">
        <f>IFERROR(__xludf.DUMMYFUNCTION("""COMPUTED_VALUE"""),"payin")</f>
        <v>payin</v>
      </c>
      <c r="BU13" s="261">
        <f>IFERROR(__xludf.DUMMYFUNCTION("""COMPUTED_VALUE"""),46185.09993055556)</f>
        <v>46185.09993</v>
      </c>
    </row>
    <row r="14">
      <c r="A14" s="255" t="s">
        <v>165</v>
      </c>
      <c r="B14" s="255" t="s">
        <v>278</v>
      </c>
      <c r="C14" s="256">
        <v>46189.34025462963</v>
      </c>
      <c r="D14" s="255" t="s">
        <v>167</v>
      </c>
      <c r="E14" s="257">
        <v>51998.41</v>
      </c>
      <c r="F14" s="255" t="s">
        <v>169</v>
      </c>
      <c r="G14" s="255" t="s">
        <v>170</v>
      </c>
      <c r="H14" s="255" t="s">
        <v>279</v>
      </c>
      <c r="I14" s="258"/>
      <c r="J14" s="258"/>
      <c r="K14" s="259"/>
      <c r="L14" s="258"/>
      <c r="M14" s="260"/>
      <c r="O14" s="247"/>
      <c r="AC14" s="247"/>
      <c r="AD14" s="251" t="str">
        <f>IFERROR(__xludf.DUMMYFUNCTION("""COMPUTED_VALUE"""),"73df5aae-f42a-49a0-9d8f-616ca6dbebaa")</f>
        <v>73df5aae-f42a-49a0-9d8f-616ca6dbebaa</v>
      </c>
      <c r="AE14" s="251" t="str">
        <f>IFERROR(__xludf.DUMMYFUNCTION("""COMPUTED_VALUE"""),"019ed0fa-b1c2-7819-857e-40a98c4e3541")</f>
        <v>019ed0fa-b1c2-7819-857e-40a98c4e3541</v>
      </c>
      <c r="AF14" s="261">
        <f>IFERROR(__xludf.DUMMYFUNCTION("""COMPUTED_VALUE"""),46189.631377314814)</f>
        <v>46189.63138</v>
      </c>
      <c r="AG14" s="251" t="str">
        <f>IFERROR(__xludf.DUMMYFUNCTION("""COMPUTED_VALUE"""),"credit")</f>
        <v>credit</v>
      </c>
      <c r="AH14" s="253">
        <f>IFERROR(__xludf.DUMMYFUNCTION("""COMPUTED_VALUE"""),20000.0)</f>
        <v>20000</v>
      </c>
      <c r="AI14" s="251" t="str">
        <f>IFERROR(__xludf.DUMMYFUNCTION("""COMPUTED_VALUE"""),"cash_isa")</f>
        <v>cash_isa</v>
      </c>
      <c r="AJ14" s="251" t="str">
        <f>IFERROR(__xludf.DUMMYFUNCTION("""COMPUTED_VALUE"""),"9bc00e6b-ce5f-48c5-ae3a-1baabe00f337")</f>
        <v>9bc00e6b-ce5f-48c5-ae3a-1baabe00f337</v>
      </c>
      <c r="AK14" s="251" t="str">
        <f>IFERROR(__xludf.DUMMYFUNCTION("""COMPUTED_VALUE"""),"fc861623-56a0-47e2-bd62-7aa9db1633a8")</f>
        <v>fc861623-56a0-47e2-bd62-7aa9db1633a8</v>
      </c>
      <c r="AL14" s="251"/>
      <c r="AM14" s="251"/>
      <c r="AN14" s="251">
        <f>IFERROR(__xludf.DUMMYFUNCTION("""COMPUTED_VALUE"""),20000.0)</f>
        <v>20000</v>
      </c>
      <c r="AO14" s="251"/>
      <c r="AP14" s="261"/>
      <c r="AR14" s="251" t="str">
        <f t="shared" si="1"/>
        <v>20000_credit</v>
      </c>
      <c r="AS14" s="251" t="str">
        <f t="shared" si="2"/>
        <v>DROP</v>
      </c>
      <c r="AT14" s="247"/>
      <c r="AU14" s="251" t="str">
        <f>IFERROR(__xludf.DUMMYFUNCTION("""COMPUTED_VALUE"""),"73df5aae-f42a-49a0-9d8f-616ca6dbebaa")</f>
        <v>73df5aae-f42a-49a0-9d8f-616ca6dbebaa</v>
      </c>
      <c r="AV14" s="251" t="str">
        <f>IFERROR(__xludf.DUMMYFUNCTION("""COMPUTED_VALUE"""),"019ed024-854b-7377-878e-9bd25cd97072")</f>
        <v>019ed024-854b-7377-878e-9bd25cd97072</v>
      </c>
      <c r="AW14" s="261">
        <f>IFERROR(__xludf.DUMMYFUNCTION("""COMPUTED_VALUE"""),46189.468923611115)</f>
        <v>46189.46892</v>
      </c>
      <c r="AX14" s="251" t="str">
        <f>IFERROR(__xludf.DUMMYFUNCTION("""COMPUTED_VALUE"""),"credit")</f>
        <v>credit</v>
      </c>
      <c r="AY14" s="251">
        <f>IFERROR(__xludf.DUMMYFUNCTION("""COMPUTED_VALUE"""),21471.6)</f>
        <v>21471.6</v>
      </c>
      <c r="AZ14" s="251" t="str">
        <f>IFERROR(__xludf.DUMMYFUNCTION("""COMPUTED_VALUE"""),"cash_isa")</f>
        <v>cash_isa</v>
      </c>
      <c r="BA14" s="251" t="str">
        <f>IFERROR(__xludf.DUMMYFUNCTION("""COMPUTED_VALUE"""),"9bc00e6b-ce5f-48c5-ae3a-1baabe00f337")</f>
        <v>9bc00e6b-ce5f-48c5-ae3a-1baabe00f337</v>
      </c>
      <c r="BB14" s="251" t="str">
        <f>IFERROR(__xludf.DUMMYFUNCTION("""COMPUTED_VALUE"""),"228cd2f5-1ee0-4962-a649-82c9f17961ae")</f>
        <v>228cd2f5-1ee0-4962-a649-82c9f17961ae</v>
      </c>
      <c r="BC14" s="251" t="str">
        <f>IFERROR(__xludf.DUMMYFUNCTION("""COMPUTED_VALUE"""),"228cd2f5-1ee0-4962-a649-82c9f17961ae")</f>
        <v>228cd2f5-1ee0-4962-a649-82c9f17961ae</v>
      </c>
      <c r="BD14" s="251" t="str">
        <f>IFERROR(__xludf.DUMMYFUNCTION("""COMPUTED_VALUE"""),"WK648730Ba-580073357")</f>
        <v>WK648730Ba-580073357</v>
      </c>
      <c r="BE14" s="251">
        <f>IFERROR(__xludf.DUMMYFUNCTION("""COMPUTED_VALUE"""),21471.6)</f>
        <v>21471.6</v>
      </c>
      <c r="BF14" s="251" t="str">
        <f>IFERROR(__xludf.DUMMYFUNCTION("""COMPUTED_VALUE"""),"payin")</f>
        <v>payin</v>
      </c>
      <c r="BG14" s="261">
        <f>IFERROR(__xludf.DUMMYFUNCTION("""COMPUTED_VALUE"""),46188.66883101852)</f>
        <v>46188.66883</v>
      </c>
      <c r="BI14" s="251" t="str">
        <f>IFERROR(__xludf.DUMMYFUNCTION("""COMPUTED_VALUE"""),"73df5aae-f42a-49a0-9d8f-616ca6dbebaa")</f>
        <v>73df5aae-f42a-49a0-9d8f-616ca6dbebaa</v>
      </c>
      <c r="BJ14" s="251" t="str">
        <f>IFERROR(__xludf.DUMMYFUNCTION("""COMPUTED_VALUE"""),"019ecc1e-f9c0-7af4-98a2-f8ee6e2cc3bc")</f>
        <v>019ecc1e-f9c0-7af4-98a2-f8ee6e2cc3bc</v>
      </c>
      <c r="BK14" s="261">
        <f>IFERROR(__xludf.DUMMYFUNCTION("""COMPUTED_VALUE"""),46188.687997685185)</f>
        <v>46188.688</v>
      </c>
      <c r="BL14" s="251" t="str">
        <f>IFERROR(__xludf.DUMMYFUNCTION("""COMPUTED_VALUE"""),"credit")</f>
        <v>credit</v>
      </c>
      <c r="BM14" s="251">
        <f>IFERROR(__xludf.DUMMYFUNCTION("""COMPUTED_VALUE"""),26992.22)</f>
        <v>26992.22</v>
      </c>
      <c r="BN14" s="251" t="str">
        <f>IFERROR(__xludf.DUMMYFUNCTION("""COMPUTED_VALUE"""),"lisa")</f>
        <v>lisa</v>
      </c>
      <c r="BO14" s="251" t="str">
        <f>IFERROR(__xludf.DUMMYFUNCTION("""COMPUTED_VALUE"""),"b7a59586-5d10-4989-91c2-f2376c7a6ab2")</f>
        <v>b7a59586-5d10-4989-91c2-f2376c7a6ab2</v>
      </c>
      <c r="BP14" s="251" t="str">
        <f>IFERROR(__xludf.DUMMYFUNCTION("""COMPUTED_VALUE"""),"ac9ac199-2324-4ca2-a5db-61b4463bb5e1")</f>
        <v>ac9ac199-2324-4ca2-a5db-61b4463bb5e1</v>
      </c>
      <c r="BQ14" s="251" t="str">
        <f>IFERROR(__xludf.DUMMYFUNCTION("""COMPUTED_VALUE"""),"ac9ac199-2324-4ca2-a5db-61b4463bb5e1")</f>
        <v>ac9ac199-2324-4ca2-a5db-61b4463bb5e1</v>
      </c>
      <c r="BR14" s="251" t="str">
        <f>IFERROR(__xludf.DUMMYFUNCTION("""COMPUTED_VALUE"""),"5520f7fd-1754025676")</f>
        <v>5520f7fd-1754025676</v>
      </c>
      <c r="BS14" s="251">
        <f>IFERROR(__xludf.DUMMYFUNCTION("""COMPUTED_VALUE"""),26992.22)</f>
        <v>26992.22</v>
      </c>
      <c r="BT14" s="251" t="str">
        <f>IFERROR(__xludf.DUMMYFUNCTION("""COMPUTED_VALUE"""),"payin")</f>
        <v>payin</v>
      </c>
      <c r="BU14" s="261">
        <f>IFERROR(__xludf.DUMMYFUNCTION("""COMPUTED_VALUE"""),46185.104837962965)</f>
        <v>46185.10484</v>
      </c>
    </row>
    <row r="15">
      <c r="A15" s="262" t="s">
        <v>165</v>
      </c>
      <c r="B15" s="262" t="s">
        <v>280</v>
      </c>
      <c r="C15" s="263">
        <v>46189.34135416667</v>
      </c>
      <c r="D15" s="262" t="s">
        <v>265</v>
      </c>
      <c r="E15" s="264">
        <v>51998.41</v>
      </c>
      <c r="F15" s="262" t="s">
        <v>169</v>
      </c>
      <c r="G15" s="262" t="s">
        <v>170</v>
      </c>
      <c r="H15" s="262" t="s">
        <v>279</v>
      </c>
      <c r="I15" s="265"/>
      <c r="J15" s="265"/>
      <c r="K15" s="266"/>
      <c r="L15" s="265"/>
      <c r="M15" s="267"/>
      <c r="O15" s="247"/>
      <c r="AC15" s="247"/>
      <c r="AD15" s="251" t="str">
        <f>IFERROR(__xludf.DUMMYFUNCTION("""COMPUTED_VALUE"""),"73df5aae-f42a-49a0-9d8f-616ca6dbebaa")</f>
        <v>73df5aae-f42a-49a0-9d8f-616ca6dbebaa</v>
      </c>
      <c r="AE15" s="251" t="str">
        <f>IFERROR(__xludf.DUMMYFUNCTION("""COMPUTED_VALUE"""),"019ecf66-4e5f-7d1d-ab8b-3f663490584d")</f>
        <v>019ecf66-4e5f-7d1d-ab8b-3f663490584d</v>
      </c>
      <c r="AF15" s="261">
        <f>IFERROR(__xludf.DUMMYFUNCTION("""COMPUTED_VALUE"""),46189.324641203704)</f>
        <v>46189.32464</v>
      </c>
      <c r="AG15" s="251" t="str">
        <f>IFERROR(__xludf.DUMMYFUNCTION("""COMPUTED_VALUE"""),"credit")</f>
        <v>credit</v>
      </c>
      <c r="AH15" s="253">
        <f>IFERROR(__xludf.DUMMYFUNCTION("""COMPUTED_VALUE"""),6879.1)</f>
        <v>6879.1</v>
      </c>
      <c r="AI15" s="251" t="str">
        <f>IFERROR(__xludf.DUMMYFUNCTION("""COMPUTED_VALUE"""),"cash_isa")</f>
        <v>cash_isa</v>
      </c>
      <c r="AJ15" s="251" t="str">
        <f>IFERROR(__xludf.DUMMYFUNCTION("""COMPUTED_VALUE"""),"9bc00e6b-ce5f-48c5-ae3a-1baabe00f337")</f>
        <v>9bc00e6b-ce5f-48c5-ae3a-1baabe00f337</v>
      </c>
      <c r="AK15" s="251" t="str">
        <f>IFERROR(__xludf.DUMMYFUNCTION("""COMPUTED_VALUE"""),"91d3f2bc-40eb-40b5-abfd-b8c37565b61e")</f>
        <v>91d3f2bc-40eb-40b5-abfd-b8c37565b61e</v>
      </c>
      <c r="AL15" s="251"/>
      <c r="AM15" s="251"/>
      <c r="AN15" s="251"/>
      <c r="AO15" s="251"/>
      <c r="AP15" s="261"/>
      <c r="AR15" s="251" t="str">
        <f t="shared" si="1"/>
        <v>6879.1_credit</v>
      </c>
      <c r="AS15" s="251" t="str">
        <f t="shared" si="2"/>
        <v>DROP</v>
      </c>
      <c r="AT15" s="247"/>
      <c r="AU15" s="251" t="str">
        <f>IFERROR(__xludf.DUMMYFUNCTION("""COMPUTED_VALUE"""),"73df5aae-f42a-49a0-9d8f-616ca6dbebaa")</f>
        <v>73df5aae-f42a-49a0-9d8f-616ca6dbebaa</v>
      </c>
      <c r="AV15" s="251" t="str">
        <f>IFERROR(__xludf.DUMMYFUNCTION("""COMPUTED_VALUE"""),"019ed024-864c-78df-b53a-e34f6f766c49")</f>
        <v>019ed024-864c-78df-b53a-e34f6f766c49</v>
      </c>
      <c r="AW15" s="261">
        <f>IFERROR(__xludf.DUMMYFUNCTION("""COMPUTED_VALUE"""),46189.468923611115)</f>
        <v>46189.46892</v>
      </c>
      <c r="AX15" s="251" t="str">
        <f>IFERROR(__xludf.DUMMYFUNCTION("""COMPUTED_VALUE"""),"credit")</f>
        <v>credit</v>
      </c>
      <c r="AY15" s="251">
        <f>IFERROR(__xludf.DUMMYFUNCTION("""COMPUTED_VALUE"""),20974.52)</f>
        <v>20974.52</v>
      </c>
      <c r="AZ15" s="251" t="str">
        <f>IFERROR(__xludf.DUMMYFUNCTION("""COMPUTED_VALUE"""),"cash_isa")</f>
        <v>cash_isa</v>
      </c>
      <c r="BA15" s="251" t="str">
        <f>IFERROR(__xludf.DUMMYFUNCTION("""COMPUTED_VALUE"""),"9bc00e6b-ce5f-48c5-ae3a-1baabe00f337")</f>
        <v>9bc00e6b-ce5f-48c5-ae3a-1baabe00f337</v>
      </c>
      <c r="BB15" s="251" t="str">
        <f>IFERROR(__xludf.DUMMYFUNCTION("""COMPUTED_VALUE"""),"084ad475-9333-4dbe-8fb5-7d7b8ad84064")</f>
        <v>084ad475-9333-4dbe-8fb5-7d7b8ad84064</v>
      </c>
      <c r="BC15" s="251" t="str">
        <f>IFERROR(__xludf.DUMMYFUNCTION("""COMPUTED_VALUE"""),"084ad475-9333-4dbe-8fb5-7d7b8ad84064")</f>
        <v>084ad475-9333-4dbe-8fb5-7d7b8ad84064</v>
      </c>
      <c r="BD15" s="251" t="str">
        <f>IFERROR(__xludf.DUMMYFUNCTION("""COMPUTED_VALUE"""),"NZ656284A-1098901635")</f>
        <v>NZ656284A-1098901635</v>
      </c>
      <c r="BE15" s="251">
        <f>IFERROR(__xludf.DUMMYFUNCTION("""COMPUTED_VALUE"""),20974.52)</f>
        <v>20974.52</v>
      </c>
      <c r="BF15" s="251" t="str">
        <f>IFERROR(__xludf.DUMMYFUNCTION("""COMPUTED_VALUE"""),"payin")</f>
        <v>payin</v>
      </c>
      <c r="BG15" s="261">
        <f>IFERROR(__xludf.DUMMYFUNCTION("""COMPUTED_VALUE"""),46188.66883101852)</f>
        <v>46188.66883</v>
      </c>
      <c r="BI15" s="251" t="str">
        <f>IFERROR(__xludf.DUMMYFUNCTION("""COMPUTED_VALUE"""),"73df5aae-f42a-49a0-9d8f-616ca6dbebaa")</f>
        <v>73df5aae-f42a-49a0-9d8f-616ca6dbebaa</v>
      </c>
      <c r="BJ15" s="251" t="str">
        <f>IFERROR(__xludf.DUMMYFUNCTION("""COMPUTED_VALUE"""),"019ecc1e-fc07-76a6-ae0d-2b27455a3529")</f>
        <v>019ecc1e-fc07-76a6-ae0d-2b27455a3529</v>
      </c>
      <c r="BK15" s="261">
        <f>IFERROR(__xludf.DUMMYFUNCTION("""COMPUTED_VALUE"""),46188.687997685185)</f>
        <v>46188.688</v>
      </c>
      <c r="BL15" s="251" t="str">
        <f>IFERROR(__xludf.DUMMYFUNCTION("""COMPUTED_VALUE"""),"credit")</f>
        <v>credit</v>
      </c>
      <c r="BM15" s="251">
        <f>IFERROR(__xludf.DUMMYFUNCTION("""COMPUTED_VALUE"""),5412.33)</f>
        <v>5412.33</v>
      </c>
      <c r="BN15" s="251" t="str">
        <f>IFERROR(__xludf.DUMMYFUNCTION("""COMPUTED_VALUE"""),"lisa")</f>
        <v>lisa</v>
      </c>
      <c r="BO15" s="251" t="str">
        <f>IFERROR(__xludf.DUMMYFUNCTION("""COMPUTED_VALUE"""),"b7a59586-5d10-4989-91c2-f2376c7a6ab2")</f>
        <v>b7a59586-5d10-4989-91c2-f2376c7a6ab2</v>
      </c>
      <c r="BP15" s="251" t="str">
        <f>IFERROR(__xludf.DUMMYFUNCTION("""COMPUTED_VALUE"""),"e3ede257-3bac-4de0-b9e1-bdf3a2e4663b")</f>
        <v>e3ede257-3bac-4de0-b9e1-bdf3a2e4663b</v>
      </c>
      <c r="BQ15" s="251" t="str">
        <f>IFERROR(__xludf.DUMMYFUNCTION("""COMPUTED_VALUE"""),"e3ede257-3bac-4de0-b9e1-bdf3a2e4663b")</f>
        <v>e3ede257-3bac-4de0-b9e1-bdf3a2e4663b</v>
      </c>
      <c r="BR15" s="251" t="str">
        <f>IFERROR(__xludf.DUMMYFUNCTION("""COMPUTED_VALUE"""),"65FA81EB-1878983804")</f>
        <v>65FA81EB-1878983804</v>
      </c>
      <c r="BS15" s="251">
        <f>IFERROR(__xludf.DUMMYFUNCTION("""COMPUTED_VALUE"""),5412.33)</f>
        <v>5412.33</v>
      </c>
      <c r="BT15" s="251" t="str">
        <f>IFERROR(__xludf.DUMMYFUNCTION("""COMPUTED_VALUE"""),"payin")</f>
        <v>payin</v>
      </c>
      <c r="BU15" s="261">
        <f>IFERROR(__xludf.DUMMYFUNCTION("""COMPUTED_VALUE"""),46185.54)</f>
        <v>46185.54</v>
      </c>
    </row>
    <row r="16">
      <c r="A16" s="255" t="s">
        <v>165</v>
      </c>
      <c r="B16" s="255" t="s">
        <v>281</v>
      </c>
      <c r="C16" s="256">
        <v>46189.342986111114</v>
      </c>
      <c r="D16" s="255" t="s">
        <v>167</v>
      </c>
      <c r="E16" s="257">
        <v>41.57</v>
      </c>
      <c r="F16" s="255" t="s">
        <v>169</v>
      </c>
      <c r="G16" s="255" t="s">
        <v>170</v>
      </c>
      <c r="H16" s="255" t="s">
        <v>282</v>
      </c>
      <c r="I16" s="258"/>
      <c r="J16" s="258"/>
      <c r="K16" s="259"/>
      <c r="L16" s="258"/>
      <c r="M16" s="260"/>
      <c r="O16" s="247"/>
      <c r="AC16" s="247"/>
      <c r="AD16" s="251" t="str">
        <f>IFERROR(__xludf.DUMMYFUNCTION("""COMPUTED_VALUE"""),"73df5aae-f42a-49a0-9d8f-616ca6dbebaa")</f>
        <v>73df5aae-f42a-49a0-9d8f-616ca6dbebaa</v>
      </c>
      <c r="AE16" s="251" t="str">
        <f>IFERROR(__xludf.DUMMYFUNCTION("""COMPUTED_VALUE"""),"019ecf67-f3f8-7864-b2db-1d9be3c1983e")</f>
        <v>019ecf67-f3f8-7864-b2db-1d9be3c1983e</v>
      </c>
      <c r="AF16" s="261">
        <f>IFERROR(__xludf.DUMMYFUNCTION("""COMPUTED_VALUE"""),46189.325891203705)</f>
        <v>46189.32589</v>
      </c>
      <c r="AG16" s="251" t="str">
        <f>IFERROR(__xludf.DUMMYFUNCTION("""COMPUTED_VALUE"""),"debit")</f>
        <v>debit</v>
      </c>
      <c r="AH16" s="253">
        <f>IFERROR(__xludf.DUMMYFUNCTION("""COMPUTED_VALUE"""),6879.1)</f>
        <v>6879.1</v>
      </c>
      <c r="AI16" s="251" t="str">
        <f>IFERROR(__xludf.DUMMYFUNCTION("""COMPUTED_VALUE"""),"cash_isa")</f>
        <v>cash_isa</v>
      </c>
      <c r="AJ16" s="251" t="str">
        <f>IFERROR(__xludf.DUMMYFUNCTION("""COMPUTED_VALUE"""),"9bc00e6b-ce5f-48c5-ae3a-1baabe00f337")</f>
        <v>9bc00e6b-ce5f-48c5-ae3a-1baabe00f337</v>
      </c>
      <c r="AK16" s="251" t="str">
        <f>IFERROR(__xludf.DUMMYFUNCTION("""COMPUTED_VALUE"""),"91d3f2bc-40eb-40b5-abfd-b8c37565b61e")</f>
        <v>91d3f2bc-40eb-40b5-abfd-b8c37565b61e</v>
      </c>
      <c r="AL16" s="251"/>
      <c r="AM16" s="251"/>
      <c r="AN16" s="251"/>
      <c r="AO16" s="251"/>
      <c r="AP16" s="261"/>
      <c r="AR16" s="251" t="str">
        <f t="shared" si="1"/>
        <v>6879.1_debit</v>
      </c>
      <c r="AS16" s="251" t="str">
        <f t="shared" si="2"/>
        <v>DROP</v>
      </c>
      <c r="AT16" s="247"/>
      <c r="AU16" s="251" t="str">
        <f>IFERROR(__xludf.DUMMYFUNCTION("""COMPUTED_VALUE"""),"73df5aae-f42a-49a0-9d8f-616ca6dbebaa")</f>
        <v>73df5aae-f42a-49a0-9d8f-616ca6dbebaa</v>
      </c>
      <c r="AV16" s="251" t="str">
        <f>IFERROR(__xludf.DUMMYFUNCTION("""COMPUTED_VALUE"""),"019ed024-873d-7252-be6e-6e408eb5a4cb")</f>
        <v>019ed024-873d-7252-be6e-6e408eb5a4cb</v>
      </c>
      <c r="AW16" s="261">
        <f>IFERROR(__xludf.DUMMYFUNCTION("""COMPUTED_VALUE"""),46189.468923611115)</f>
        <v>46189.46892</v>
      </c>
      <c r="AX16" s="251" t="str">
        <f>IFERROR(__xludf.DUMMYFUNCTION("""COMPUTED_VALUE"""),"credit")</f>
        <v>credit</v>
      </c>
      <c r="AY16" s="251">
        <f>IFERROR(__xludf.DUMMYFUNCTION("""COMPUTED_VALUE"""),20918.18)</f>
        <v>20918.18</v>
      </c>
      <c r="AZ16" s="251" t="str">
        <f>IFERROR(__xludf.DUMMYFUNCTION("""COMPUTED_VALUE"""),"cash_isa")</f>
        <v>cash_isa</v>
      </c>
      <c r="BA16" s="251" t="str">
        <f>IFERROR(__xludf.DUMMYFUNCTION("""COMPUTED_VALUE"""),"9bc00e6b-ce5f-48c5-ae3a-1baabe00f337")</f>
        <v>9bc00e6b-ce5f-48c5-ae3a-1baabe00f337</v>
      </c>
      <c r="BB16" s="251" t="str">
        <f>IFERROR(__xludf.DUMMYFUNCTION("""COMPUTED_VALUE"""),"a7a2dae7-bd10-44fc-9b1b-25271dcf0442")</f>
        <v>a7a2dae7-bd10-44fc-9b1b-25271dcf0442</v>
      </c>
      <c r="BC16" s="251" t="str">
        <f>IFERROR(__xludf.DUMMYFUNCTION("""COMPUTED_VALUE"""),"a7a2dae7-bd10-44fc-9b1b-25271dcf0442")</f>
        <v>a7a2dae7-bd10-44fc-9b1b-25271dcf0442</v>
      </c>
      <c r="BD16" s="251" t="str">
        <f>IFERROR(__xludf.DUMMYFUNCTION("""COMPUTED_VALUE"""),"JX825895D-940686763")</f>
        <v>JX825895D-940686763</v>
      </c>
      <c r="BE16" s="251">
        <f>IFERROR(__xludf.DUMMYFUNCTION("""COMPUTED_VALUE"""),20918.18)</f>
        <v>20918.18</v>
      </c>
      <c r="BF16" s="251" t="str">
        <f>IFERROR(__xludf.DUMMYFUNCTION("""COMPUTED_VALUE"""),"payin")</f>
        <v>payin</v>
      </c>
      <c r="BG16" s="261">
        <f>IFERROR(__xludf.DUMMYFUNCTION("""COMPUTED_VALUE"""),46188.6688425926)</f>
        <v>46188.66884</v>
      </c>
      <c r="BI16" s="251" t="str">
        <f>IFERROR(__xludf.DUMMYFUNCTION("""COMPUTED_VALUE"""),"73df5aae-f42a-49a0-9d8f-616ca6dbebaa")</f>
        <v>73df5aae-f42a-49a0-9d8f-616ca6dbebaa</v>
      </c>
      <c r="BJ16" s="251" t="str">
        <f>IFERROR(__xludf.DUMMYFUNCTION("""COMPUTED_VALUE"""),"019ecfa0-3f18-7e31-adfb-8ce2d8bdb8ee")</f>
        <v>019ecfa0-3f18-7e31-adfb-8ce2d8bdb8ee</v>
      </c>
      <c r="BK16" s="261">
        <f>IFERROR(__xludf.DUMMYFUNCTION("""COMPUTED_VALUE"""),46189.36858796296)</f>
        <v>46189.36859</v>
      </c>
      <c r="BL16" s="251" t="str">
        <f>IFERROR(__xludf.DUMMYFUNCTION("""COMPUTED_VALUE"""),"debit")</f>
        <v>debit</v>
      </c>
      <c r="BM16" s="251">
        <f>IFERROR(__xludf.DUMMYFUNCTION("""COMPUTED_VALUE"""),2947.19)</f>
        <v>2947.19</v>
      </c>
      <c r="BN16" s="251" t="str">
        <f>IFERROR(__xludf.DUMMYFUNCTION("""COMPUTED_VALUE"""),"lisa")</f>
        <v>lisa</v>
      </c>
      <c r="BO16" s="251" t="str">
        <f>IFERROR(__xludf.DUMMYFUNCTION("""COMPUTED_VALUE"""),"b7a59586-5d10-4989-91c2-f2376c7a6ab2")</f>
        <v>b7a59586-5d10-4989-91c2-f2376c7a6ab2</v>
      </c>
      <c r="BP16" s="251" t="str">
        <f>IFERROR(__xludf.DUMMYFUNCTION("""COMPUTED_VALUE"""),"1935cc33-9511-4da6-9e60-9efd3b40b01f")</f>
        <v>1935cc33-9511-4da6-9e60-9efd3b40b01f</v>
      </c>
      <c r="BQ16" s="251" t="str">
        <f>IFERROR(__xludf.DUMMYFUNCTION("""COMPUTED_VALUE"""),"1935cc33-9511-4da6-9e60-9efd3b40b01f")</f>
        <v>1935cc33-9511-4da6-9e60-9efd3b40b01f</v>
      </c>
      <c r="BR16" s="251" t="str">
        <f>IFERROR(__xludf.DUMMYFUNCTION("""COMPUTED_VALUE"""),"2B5BA2F8-2009140117")</f>
        <v>2B5BA2F8-2009140117</v>
      </c>
      <c r="BS16" s="251">
        <f>IFERROR(__xludf.DUMMYFUNCTION("""COMPUTED_VALUE"""),2947.19)</f>
        <v>2947.19</v>
      </c>
      <c r="BT16" s="251" t="str">
        <f>IFERROR(__xludf.DUMMYFUNCTION("""COMPUTED_VALUE"""),"payin")</f>
        <v>payin</v>
      </c>
      <c r="BU16" s="261">
        <f>IFERROR(__xludf.DUMMYFUNCTION("""COMPUTED_VALUE"""),46175.52678240741)</f>
        <v>46175.52678</v>
      </c>
    </row>
    <row r="17">
      <c r="A17" s="262" t="s">
        <v>165</v>
      </c>
      <c r="B17" s="262" t="s">
        <v>283</v>
      </c>
      <c r="C17" s="263">
        <v>46189.343564814815</v>
      </c>
      <c r="D17" s="262" t="s">
        <v>167</v>
      </c>
      <c r="E17" s="264">
        <v>64323.91</v>
      </c>
      <c r="F17" s="262" t="s">
        <v>169</v>
      </c>
      <c r="G17" s="262" t="s">
        <v>170</v>
      </c>
      <c r="H17" s="262" t="s">
        <v>284</v>
      </c>
      <c r="I17" s="265"/>
      <c r="J17" s="265"/>
      <c r="K17" s="266"/>
      <c r="L17" s="265"/>
      <c r="M17" s="267"/>
      <c r="O17" s="247"/>
      <c r="AC17" s="247"/>
      <c r="AD17" s="251" t="str">
        <f>IFERROR(__xludf.DUMMYFUNCTION("""COMPUTED_VALUE"""),"73df5aae-f42a-49a0-9d8f-616ca6dbebaa")</f>
        <v>73df5aae-f42a-49a0-9d8f-616ca6dbebaa</v>
      </c>
      <c r="AE17" s="251" t="str">
        <f>IFERROR(__xludf.DUMMYFUNCTION("""COMPUTED_VALUE"""),"019ecf6b-b130-7c98-ab0b-5639f735de4f")</f>
        <v>019ecf6b-b130-7c98-ab0b-5639f735de4f</v>
      </c>
      <c r="AF17" s="261">
        <f>IFERROR(__xludf.DUMMYFUNCTION("""COMPUTED_VALUE"""),46189.32872685185)</f>
        <v>46189.32873</v>
      </c>
      <c r="AG17" s="251" t="str">
        <f>IFERROR(__xludf.DUMMYFUNCTION("""COMPUTED_VALUE"""),"credit")</f>
        <v>credit</v>
      </c>
      <c r="AH17" s="253">
        <f>IFERROR(__xludf.DUMMYFUNCTION("""COMPUTED_VALUE"""),1000.0)</f>
        <v>1000</v>
      </c>
      <c r="AI17" s="251" t="str">
        <f>IFERROR(__xludf.DUMMYFUNCTION("""COMPUTED_VALUE"""),"cash_isa")</f>
        <v>cash_isa</v>
      </c>
      <c r="AJ17" s="251" t="str">
        <f>IFERROR(__xludf.DUMMYFUNCTION("""COMPUTED_VALUE"""),"9bc00e6b-ce5f-48c5-ae3a-1baabe00f337")</f>
        <v>9bc00e6b-ce5f-48c5-ae3a-1baabe00f337</v>
      </c>
      <c r="AK17" s="251" t="str">
        <f>IFERROR(__xludf.DUMMYFUNCTION("""COMPUTED_VALUE"""),"594e43b2-4c16-4cdd-9a32-89078ce028d1")</f>
        <v>594e43b2-4c16-4cdd-9a32-89078ce028d1</v>
      </c>
      <c r="AL17" s="251"/>
      <c r="AM17" s="251"/>
      <c r="AN17" s="251"/>
      <c r="AO17" s="251"/>
      <c r="AP17" s="261"/>
      <c r="AR17" s="251" t="str">
        <f t="shared" si="1"/>
        <v>1000_credit</v>
      </c>
      <c r="AS17" s="251" t="str">
        <f t="shared" si="2"/>
        <v>DROP</v>
      </c>
      <c r="AT17" s="247"/>
      <c r="AU17" s="251" t="str">
        <f>IFERROR(__xludf.DUMMYFUNCTION("""COMPUTED_VALUE"""),"73df5aae-f42a-49a0-9d8f-616ca6dbebaa")</f>
        <v>73df5aae-f42a-49a0-9d8f-616ca6dbebaa</v>
      </c>
      <c r="AV17" s="251" t="str">
        <f>IFERROR(__xludf.DUMMYFUNCTION("""COMPUTED_VALUE"""),"019ed024-8a33-7fb5-96a0-78ffd98b3516")</f>
        <v>019ed024-8a33-7fb5-96a0-78ffd98b3516</v>
      </c>
      <c r="AW17" s="261">
        <f>IFERROR(__xludf.DUMMYFUNCTION("""COMPUTED_VALUE"""),46189.468935185185)</f>
        <v>46189.46894</v>
      </c>
      <c r="AX17" s="251" t="str">
        <f>IFERROR(__xludf.DUMMYFUNCTION("""COMPUTED_VALUE"""),"credit")</f>
        <v>credit</v>
      </c>
      <c r="AY17" s="253">
        <f>IFERROR(__xludf.DUMMYFUNCTION("""COMPUTED_VALUE"""),7.35)</f>
        <v>7.35</v>
      </c>
      <c r="AZ17" s="251" t="str">
        <f>IFERROR(__xludf.DUMMYFUNCTION("""COMPUTED_VALUE"""),"cash_isa")</f>
        <v>cash_isa</v>
      </c>
      <c r="BA17" s="251" t="str">
        <f>IFERROR(__xludf.DUMMYFUNCTION("""COMPUTED_VALUE"""),"9bc00e6b-ce5f-48c5-ae3a-1baabe00f337")</f>
        <v>9bc00e6b-ce5f-48c5-ae3a-1baabe00f337</v>
      </c>
      <c r="BB17" s="251" t="str">
        <f>IFERROR(__xludf.DUMMYFUNCTION("""COMPUTED_VALUE"""),"42c3a58b-fec1-43e1-b86e-f071b829ba7a")</f>
        <v>42c3a58b-fec1-43e1-b86e-f071b829ba7a</v>
      </c>
      <c r="BC17" s="251" t="str">
        <f>IFERROR(__xludf.DUMMYFUNCTION("""COMPUTED_VALUE"""),"42c3a58b-fec1-43e1-b86e-f071b829ba7a")</f>
        <v>42c3a58b-fec1-43e1-b86e-f071b829ba7a</v>
      </c>
      <c r="BD17" s="251" t="str">
        <f>IFERROR(__xludf.DUMMYFUNCTION("""COMPUTED_VALUE"""),"NOREF-910332414")</f>
        <v>NOREF-910332414</v>
      </c>
      <c r="BE17" s="251">
        <f>IFERROR(__xludf.DUMMYFUNCTION("""COMPUTED_VALUE"""),7.35)</f>
        <v>7.35</v>
      </c>
      <c r="BF17" s="251" t="str">
        <f>IFERROR(__xludf.DUMMYFUNCTION("""COMPUTED_VALUE"""),"payin")</f>
        <v>payin</v>
      </c>
      <c r="BG17" s="261">
        <f>IFERROR(__xludf.DUMMYFUNCTION("""COMPUTED_VALUE"""),46188.454293981486)</f>
        <v>46188.45429</v>
      </c>
      <c r="BI17" s="251" t="str">
        <f>IFERROR(__xludf.DUMMYFUNCTION("""COMPUTED_VALUE"""),"73df5aae-f42a-49a0-9d8f-616ca6dbebaa")</f>
        <v>73df5aae-f42a-49a0-9d8f-616ca6dbebaa</v>
      </c>
      <c r="BJ17" s="251" t="str">
        <f>IFERROR(__xludf.DUMMYFUNCTION("""COMPUTED_VALUE"""),"019ed106-8d18-738d-8a7e-5bc8a77ccb6c")</f>
        <v>019ed106-8d18-738d-8a7e-5bc8a77ccb6c</v>
      </c>
      <c r="BK17" s="261">
        <f>IFERROR(__xludf.DUMMYFUNCTION("""COMPUTED_VALUE"""),46189.64037037037)</f>
        <v>46189.64037</v>
      </c>
      <c r="BL17" s="251" t="str">
        <f>IFERROR(__xludf.DUMMYFUNCTION("""COMPUTED_VALUE"""),"debit")</f>
        <v>debit</v>
      </c>
      <c r="BM17" s="251">
        <f>IFERROR(__xludf.DUMMYFUNCTION("""COMPUTED_VALUE"""),21205.46)</f>
        <v>21205.46</v>
      </c>
      <c r="BN17" s="251" t="str">
        <f>IFERROR(__xludf.DUMMYFUNCTION("""COMPUTED_VALUE"""),"lisa")</f>
        <v>lisa</v>
      </c>
      <c r="BO17" s="251" t="str">
        <f>IFERROR(__xludf.DUMMYFUNCTION("""COMPUTED_VALUE"""),"b7a59586-5d10-4989-91c2-f2376c7a6ab2")</f>
        <v>b7a59586-5d10-4989-91c2-f2376c7a6ab2</v>
      </c>
      <c r="BP17" s="251" t="str">
        <f>IFERROR(__xludf.DUMMYFUNCTION("""COMPUTED_VALUE"""),"629fffa4-8403-483e-bfcf-bd8f562531f6")</f>
        <v>629fffa4-8403-483e-bfcf-bd8f562531f6</v>
      </c>
      <c r="BQ17" s="251"/>
      <c r="BR17" s="251"/>
      <c r="BS17" s="251"/>
      <c r="BT17" s="251"/>
      <c r="BU17" s="261"/>
    </row>
    <row r="18">
      <c r="A18" s="255" t="s">
        <v>165</v>
      </c>
      <c r="B18" s="255" t="s">
        <v>285</v>
      </c>
      <c r="C18" s="256">
        <v>46189.34428240741</v>
      </c>
      <c r="D18" s="255" t="s">
        <v>265</v>
      </c>
      <c r="E18" s="257">
        <v>41.57</v>
      </c>
      <c r="F18" s="255" t="s">
        <v>169</v>
      </c>
      <c r="G18" s="255" t="s">
        <v>170</v>
      </c>
      <c r="H18" s="255" t="s">
        <v>282</v>
      </c>
      <c r="I18" s="258"/>
      <c r="J18" s="258"/>
      <c r="K18" s="259"/>
      <c r="L18" s="258"/>
      <c r="M18" s="260"/>
      <c r="O18" s="247"/>
      <c r="AC18" s="247"/>
      <c r="AD18" s="251" t="str">
        <f>IFERROR(__xludf.DUMMYFUNCTION("""COMPUTED_VALUE"""),"73df5aae-f42a-49a0-9d8f-616ca6dbebaa")</f>
        <v>73df5aae-f42a-49a0-9d8f-616ca6dbebaa</v>
      </c>
      <c r="AE18" s="251" t="str">
        <f>IFERROR(__xludf.DUMMYFUNCTION("""COMPUTED_VALUE"""),"019ecf6d-7783-75cc-a067-1d4535a564d3")</f>
        <v>019ecf6d-7783-75cc-a067-1d4535a564d3</v>
      </c>
      <c r="AF18" s="261">
        <f>IFERROR(__xludf.DUMMYFUNCTION("""COMPUTED_VALUE"""),46189.33006944445)</f>
        <v>46189.33007</v>
      </c>
      <c r="AG18" s="251" t="str">
        <f>IFERROR(__xludf.DUMMYFUNCTION("""COMPUTED_VALUE"""),"debit")</f>
        <v>debit</v>
      </c>
      <c r="AH18" s="253">
        <f>IFERROR(__xludf.DUMMYFUNCTION("""COMPUTED_VALUE"""),1000.0)</f>
        <v>1000</v>
      </c>
      <c r="AI18" s="251" t="str">
        <f>IFERROR(__xludf.DUMMYFUNCTION("""COMPUTED_VALUE"""),"cash_isa")</f>
        <v>cash_isa</v>
      </c>
      <c r="AJ18" s="251" t="str">
        <f>IFERROR(__xludf.DUMMYFUNCTION("""COMPUTED_VALUE"""),"9bc00e6b-ce5f-48c5-ae3a-1baabe00f337")</f>
        <v>9bc00e6b-ce5f-48c5-ae3a-1baabe00f337</v>
      </c>
      <c r="AK18" s="251" t="str">
        <f>IFERROR(__xludf.DUMMYFUNCTION("""COMPUTED_VALUE"""),"594e43b2-4c16-4cdd-9a32-89078ce028d1")</f>
        <v>594e43b2-4c16-4cdd-9a32-89078ce028d1</v>
      </c>
      <c r="AL18" s="251"/>
      <c r="AM18" s="251"/>
      <c r="AN18" s="251"/>
      <c r="AO18" s="251"/>
      <c r="AP18" s="261"/>
      <c r="AR18" s="251" t="str">
        <f t="shared" si="1"/>
        <v>1000_debit</v>
      </c>
      <c r="AS18" s="251" t="str">
        <f t="shared" si="2"/>
        <v>DROP</v>
      </c>
      <c r="AT18" s="247"/>
      <c r="AU18" s="251" t="str">
        <f>IFERROR(__xludf.DUMMYFUNCTION("""COMPUTED_VALUE"""),"73df5aae-f42a-49a0-9d8f-616ca6dbebaa")</f>
        <v>73df5aae-f42a-49a0-9d8f-616ca6dbebaa</v>
      </c>
      <c r="AV18" s="251" t="str">
        <f>IFERROR(__xludf.DUMMYFUNCTION("""COMPUTED_VALUE"""),"019ed024-88f1-789c-a803-e90f28c9087e")</f>
        <v>019ed024-88f1-789c-a803-e90f28c9087e</v>
      </c>
      <c r="AW18" s="261">
        <f>IFERROR(__xludf.DUMMYFUNCTION("""COMPUTED_VALUE"""),46189.468935185185)</f>
        <v>46189.46894</v>
      </c>
      <c r="AX18" s="251" t="str">
        <f>IFERROR(__xludf.DUMMYFUNCTION("""COMPUTED_VALUE"""),"credit")</f>
        <v>credit</v>
      </c>
      <c r="AY18" s="253">
        <f>IFERROR(__xludf.DUMMYFUNCTION("""COMPUTED_VALUE"""),250.0)</f>
        <v>250</v>
      </c>
      <c r="AZ18" s="251" t="str">
        <f>IFERROR(__xludf.DUMMYFUNCTION("""COMPUTED_VALUE"""),"cash_isa")</f>
        <v>cash_isa</v>
      </c>
      <c r="BA18" s="251" t="str">
        <f>IFERROR(__xludf.DUMMYFUNCTION("""COMPUTED_VALUE"""),"9bc00e6b-ce5f-48c5-ae3a-1baabe00f337")</f>
        <v>9bc00e6b-ce5f-48c5-ae3a-1baabe00f337</v>
      </c>
      <c r="BB18" s="251" t="str">
        <f>IFERROR(__xludf.DUMMYFUNCTION("""COMPUTED_VALUE"""),"5a92f897-6035-4172-9831-90028a8a98c2")</f>
        <v>5a92f897-6035-4172-9831-90028a8a98c2</v>
      </c>
      <c r="BC18" s="251" t="str">
        <f>IFERROR(__xludf.DUMMYFUNCTION("""COMPUTED_VALUE"""),"5a92f897-6035-4172-9831-90028a8a98c2")</f>
        <v>5a92f897-6035-4172-9831-90028a8a98c2</v>
      </c>
      <c r="BD18" s="251" t="str">
        <f>IFERROR(__xludf.DUMMYFUNCTION("""COMPUTED_VALUE"""),"JC321715Da-518647334")</f>
        <v>JC321715Da-518647334</v>
      </c>
      <c r="BE18" s="251">
        <f>IFERROR(__xludf.DUMMYFUNCTION("""COMPUTED_VALUE"""),250.0)</f>
        <v>250</v>
      </c>
      <c r="BF18" s="251" t="str">
        <f>IFERROR(__xludf.DUMMYFUNCTION("""COMPUTED_VALUE"""),"payin")</f>
        <v>payin</v>
      </c>
      <c r="BG18" s="261">
        <f>IFERROR(__xludf.DUMMYFUNCTION("""COMPUTED_VALUE"""),46188.66883101852)</f>
        <v>46188.66883</v>
      </c>
      <c r="BI18" s="251" t="str">
        <f>IFERROR(__xludf.DUMMYFUNCTION("""COMPUTED_VALUE"""),"73df5aae-f42a-49a0-9d8f-616ca6dbebaa")</f>
        <v>73df5aae-f42a-49a0-9d8f-616ca6dbebaa</v>
      </c>
      <c r="BJ18" s="251" t="str">
        <f>IFERROR(__xludf.DUMMYFUNCTION("""COMPUTED_VALUE"""),"019ed10b-87fe-7bfe-9ab3-43b1831a7655")</f>
        <v>019ed10b-87fe-7bfe-9ab3-43b1831a7655</v>
      </c>
      <c r="BK18" s="261">
        <f>IFERROR(__xludf.DUMMYFUNCTION("""COMPUTED_VALUE"""),46189.64414351852)</f>
        <v>46189.64414</v>
      </c>
      <c r="BL18" s="251" t="str">
        <f>IFERROR(__xludf.DUMMYFUNCTION("""COMPUTED_VALUE"""),"debit")</f>
        <v>debit</v>
      </c>
      <c r="BM18" s="251">
        <f>IFERROR(__xludf.DUMMYFUNCTION("""COMPUTED_VALUE"""),26943.49)</f>
        <v>26943.49</v>
      </c>
      <c r="BN18" s="251" t="str">
        <f>IFERROR(__xludf.DUMMYFUNCTION("""COMPUTED_VALUE"""),"lisa")</f>
        <v>lisa</v>
      </c>
      <c r="BO18" s="251" t="str">
        <f>IFERROR(__xludf.DUMMYFUNCTION("""COMPUTED_VALUE"""),"b7a59586-5d10-4989-91c2-f2376c7a6ab2")</f>
        <v>b7a59586-5d10-4989-91c2-f2376c7a6ab2</v>
      </c>
      <c r="BP18" s="251" t="str">
        <f>IFERROR(__xludf.DUMMYFUNCTION("""COMPUTED_VALUE"""),"abd21e39-3692-4dad-953e-1ce78659b0dc")</f>
        <v>abd21e39-3692-4dad-953e-1ce78659b0dc</v>
      </c>
      <c r="BQ18" s="251"/>
      <c r="BR18" s="251"/>
      <c r="BS18" s="251"/>
      <c r="BT18" s="251"/>
      <c r="BU18" s="261"/>
    </row>
    <row r="19">
      <c r="A19" s="262" t="s">
        <v>165</v>
      </c>
      <c r="B19" s="262" t="s">
        <v>286</v>
      </c>
      <c r="C19" s="263">
        <v>46189.345347222225</v>
      </c>
      <c r="D19" s="262" t="s">
        <v>167</v>
      </c>
      <c r="E19" s="264">
        <v>5983.9</v>
      </c>
      <c r="F19" s="262" t="s">
        <v>169</v>
      </c>
      <c r="G19" s="262" t="s">
        <v>170</v>
      </c>
      <c r="H19" s="262" t="s">
        <v>287</v>
      </c>
      <c r="I19" s="265"/>
      <c r="J19" s="265"/>
      <c r="K19" s="266"/>
      <c r="L19" s="265"/>
      <c r="M19" s="267"/>
      <c r="O19" s="247"/>
      <c r="AC19" s="247"/>
      <c r="AD19" s="251" t="str">
        <f>IFERROR(__xludf.DUMMYFUNCTION("""COMPUTED_VALUE"""),"73df5aae-f42a-49a0-9d8f-616ca6dbebaa")</f>
        <v>73df5aae-f42a-49a0-9d8f-616ca6dbebaa</v>
      </c>
      <c r="AE19" s="251" t="str">
        <f>IFERROR(__xludf.DUMMYFUNCTION("""COMPUTED_VALUE"""),"019ecf6e-8f11-753c-8898-9bf70a4b7f21")</f>
        <v>019ecf6e-8f11-753c-8898-9bf70a4b7f21</v>
      </c>
      <c r="AF19" s="261">
        <f>IFERROR(__xludf.DUMMYFUNCTION("""COMPUTED_VALUE"""),46189.33090277778)</f>
        <v>46189.3309</v>
      </c>
      <c r="AG19" s="251" t="str">
        <f>IFERROR(__xludf.DUMMYFUNCTION("""COMPUTED_VALUE"""),"credit")</f>
        <v>credit</v>
      </c>
      <c r="AH19" s="253">
        <f>IFERROR(__xludf.DUMMYFUNCTION("""COMPUTED_VALUE"""),21769.77)</f>
        <v>21769.77</v>
      </c>
      <c r="AI19" s="251" t="str">
        <f>IFERROR(__xludf.DUMMYFUNCTION("""COMPUTED_VALUE"""),"cash_isa")</f>
        <v>cash_isa</v>
      </c>
      <c r="AJ19" s="251" t="str">
        <f>IFERROR(__xludf.DUMMYFUNCTION("""COMPUTED_VALUE"""),"9bc00e6b-ce5f-48c5-ae3a-1baabe00f337")</f>
        <v>9bc00e6b-ce5f-48c5-ae3a-1baabe00f337</v>
      </c>
      <c r="AK19" s="251" t="str">
        <f>IFERROR(__xludf.DUMMYFUNCTION("""COMPUTED_VALUE"""),"9438e43a-27ed-4543-a6a9-a8d6dcc297fa")</f>
        <v>9438e43a-27ed-4543-a6a9-a8d6dcc297fa</v>
      </c>
      <c r="AL19" s="251"/>
      <c r="AM19" s="251"/>
      <c r="AN19" s="251"/>
      <c r="AO19" s="251"/>
      <c r="AP19" s="261"/>
      <c r="AR19" s="251" t="str">
        <f t="shared" si="1"/>
        <v>21769.77_credit</v>
      </c>
      <c r="AS19" s="251" t="str">
        <f t="shared" si="2"/>
        <v>DROP</v>
      </c>
      <c r="AT19" s="247"/>
      <c r="AU19" s="251" t="str">
        <f>IFERROR(__xludf.DUMMYFUNCTION("""COMPUTED_VALUE"""),"73df5aae-f42a-49a0-9d8f-616ca6dbebaa")</f>
        <v>73df5aae-f42a-49a0-9d8f-616ca6dbebaa</v>
      </c>
      <c r="AV19" s="251" t="str">
        <f>IFERROR(__xludf.DUMMYFUNCTION("""COMPUTED_VALUE"""),"019ed024-8817-7d80-9685-39944e000a98")</f>
        <v>019ed024-8817-7d80-9685-39944e000a98</v>
      </c>
      <c r="AW19" s="261">
        <f>IFERROR(__xludf.DUMMYFUNCTION("""COMPUTED_VALUE"""),46189.468935185185)</f>
        <v>46189.46894</v>
      </c>
      <c r="AX19" s="251" t="str">
        <f>IFERROR(__xludf.DUMMYFUNCTION("""COMPUTED_VALUE"""),"credit")</f>
        <v>credit</v>
      </c>
      <c r="AY19" s="253">
        <f>IFERROR(__xludf.DUMMYFUNCTION("""COMPUTED_VALUE"""),42534.92)</f>
        <v>42534.92</v>
      </c>
      <c r="AZ19" s="251" t="str">
        <f>IFERROR(__xludf.DUMMYFUNCTION("""COMPUTED_VALUE"""),"cash_isa")</f>
        <v>cash_isa</v>
      </c>
      <c r="BA19" s="251" t="str">
        <f>IFERROR(__xludf.DUMMYFUNCTION("""COMPUTED_VALUE"""),"9bc00e6b-ce5f-48c5-ae3a-1baabe00f337")</f>
        <v>9bc00e6b-ce5f-48c5-ae3a-1baabe00f337</v>
      </c>
      <c r="BB19" s="251" t="str">
        <f>IFERROR(__xludf.DUMMYFUNCTION("""COMPUTED_VALUE"""),"a50f2b4e-4ed2-48c6-ae8b-f3052f76d926")</f>
        <v>a50f2b4e-4ed2-48c6-ae8b-f3052f76d926</v>
      </c>
      <c r="BC19" s="251" t="str">
        <f>IFERROR(__xludf.DUMMYFUNCTION("""COMPUTED_VALUE"""),"a50f2b4e-4ed2-48c6-ae8b-f3052f76d926")</f>
        <v>a50f2b4e-4ed2-48c6-ae8b-f3052f76d926</v>
      </c>
      <c r="BD19" s="251" t="str">
        <f>IFERROR(__xludf.DUMMYFUNCTION("""COMPUTED_VALUE"""),"YM189882D-95846103")</f>
        <v>YM189882D-95846103</v>
      </c>
      <c r="BE19" s="251">
        <f>IFERROR(__xludf.DUMMYFUNCTION("""COMPUTED_VALUE"""),42534.92)</f>
        <v>42534.92</v>
      </c>
      <c r="BF19" s="251" t="str">
        <f>IFERROR(__xludf.DUMMYFUNCTION("""COMPUTED_VALUE"""),"payin")</f>
        <v>payin</v>
      </c>
      <c r="BG19" s="261">
        <f>IFERROR(__xludf.DUMMYFUNCTION("""COMPUTED_VALUE"""),46188.6688425926)</f>
        <v>46188.66884</v>
      </c>
      <c r="BI19" s="251" t="str">
        <f>IFERROR(__xludf.DUMMYFUNCTION("""COMPUTED_VALUE"""),"73df5aae-f42a-49a0-9d8f-616ca6dbebaa")</f>
        <v>73df5aae-f42a-49a0-9d8f-616ca6dbebaa</v>
      </c>
      <c r="BJ19" s="251" t="str">
        <f>IFERROR(__xludf.DUMMYFUNCTION("""COMPUTED_VALUE"""),"019ed10e-c95e-7385-85da-4610da8ec41d")</f>
        <v>019ed10e-c95e-7385-85da-4610da8ec41d</v>
      </c>
      <c r="BK19" s="261">
        <f>IFERROR(__xludf.DUMMYFUNCTION("""COMPUTED_VALUE"""),46189.646620370375)</f>
        <v>46189.64662</v>
      </c>
      <c r="BL19" s="251" t="str">
        <f>IFERROR(__xludf.DUMMYFUNCTION("""COMPUTED_VALUE"""),"debit")</f>
        <v>debit</v>
      </c>
      <c r="BM19" s="251">
        <f>IFERROR(__xludf.DUMMYFUNCTION("""COMPUTED_VALUE"""),17528.76)</f>
        <v>17528.76</v>
      </c>
      <c r="BN19" s="251" t="str">
        <f>IFERROR(__xludf.DUMMYFUNCTION("""COMPUTED_VALUE"""),"lisa")</f>
        <v>lisa</v>
      </c>
      <c r="BO19" s="251" t="str">
        <f>IFERROR(__xludf.DUMMYFUNCTION("""COMPUTED_VALUE"""),"b7a59586-5d10-4989-91c2-f2376c7a6ab2")</f>
        <v>b7a59586-5d10-4989-91c2-f2376c7a6ab2</v>
      </c>
      <c r="BP19" s="251" t="str">
        <f>IFERROR(__xludf.DUMMYFUNCTION("""COMPUTED_VALUE"""),"422fddac-6442-4981-a853-f69f70a6b24e")</f>
        <v>422fddac-6442-4981-a853-f69f70a6b24e</v>
      </c>
      <c r="BQ19" s="251"/>
      <c r="BR19" s="251"/>
      <c r="BS19" s="251"/>
      <c r="BT19" s="251"/>
      <c r="BU19" s="261"/>
    </row>
    <row r="20">
      <c r="A20" s="255" t="s">
        <v>165</v>
      </c>
      <c r="B20" s="255" t="s">
        <v>288</v>
      </c>
      <c r="C20" s="256">
        <v>46189.34594907407</v>
      </c>
      <c r="D20" s="255" t="s">
        <v>265</v>
      </c>
      <c r="E20" s="257">
        <v>64323.91</v>
      </c>
      <c r="F20" s="255" t="s">
        <v>169</v>
      </c>
      <c r="G20" s="255" t="s">
        <v>170</v>
      </c>
      <c r="H20" s="255" t="s">
        <v>284</v>
      </c>
      <c r="I20" s="258"/>
      <c r="J20" s="258"/>
      <c r="K20" s="259"/>
      <c r="L20" s="258"/>
      <c r="M20" s="260"/>
      <c r="O20" s="247"/>
      <c r="AC20" s="247"/>
      <c r="AD20" s="251" t="str">
        <f>IFERROR(__xludf.DUMMYFUNCTION("""COMPUTED_VALUE"""),"73df5aae-f42a-49a0-9d8f-616ca6dbebaa")</f>
        <v>73df5aae-f42a-49a0-9d8f-616ca6dbebaa</v>
      </c>
      <c r="AE20" s="251" t="str">
        <f>IFERROR(__xludf.DUMMYFUNCTION("""COMPUTED_VALUE"""),"019ecf6f-d53d-72ab-945b-6e5f498392aa")</f>
        <v>019ecf6f-d53d-72ab-945b-6e5f498392aa</v>
      </c>
      <c r="AF20" s="261">
        <f>IFERROR(__xludf.DUMMYFUNCTION("""COMPUTED_VALUE"""),46189.33186342593)</f>
        <v>46189.33186</v>
      </c>
      <c r="AG20" s="251" t="str">
        <f>IFERROR(__xludf.DUMMYFUNCTION("""COMPUTED_VALUE"""),"debit")</f>
        <v>debit</v>
      </c>
      <c r="AH20" s="253">
        <f>IFERROR(__xludf.DUMMYFUNCTION("""COMPUTED_VALUE"""),21769.77)</f>
        <v>21769.77</v>
      </c>
      <c r="AI20" s="251" t="str">
        <f>IFERROR(__xludf.DUMMYFUNCTION("""COMPUTED_VALUE"""),"cash_isa")</f>
        <v>cash_isa</v>
      </c>
      <c r="AJ20" s="251" t="str">
        <f>IFERROR(__xludf.DUMMYFUNCTION("""COMPUTED_VALUE"""),"9bc00e6b-ce5f-48c5-ae3a-1baabe00f337")</f>
        <v>9bc00e6b-ce5f-48c5-ae3a-1baabe00f337</v>
      </c>
      <c r="AK20" s="251" t="str">
        <f>IFERROR(__xludf.DUMMYFUNCTION("""COMPUTED_VALUE"""),"9438e43a-27ed-4543-a6a9-a8d6dcc297fa")</f>
        <v>9438e43a-27ed-4543-a6a9-a8d6dcc297fa</v>
      </c>
      <c r="AL20" s="251"/>
      <c r="AM20" s="251"/>
      <c r="AN20" s="251"/>
      <c r="AO20" s="251"/>
      <c r="AP20" s="261"/>
      <c r="AR20" s="251" t="str">
        <f t="shared" si="1"/>
        <v>21769.77_debit</v>
      </c>
      <c r="AS20" s="251" t="str">
        <f t="shared" si="2"/>
        <v>DROP</v>
      </c>
      <c r="AT20" s="247"/>
      <c r="AU20" s="251" t="str">
        <f>IFERROR(__xludf.DUMMYFUNCTION("""COMPUTED_VALUE"""),"73df5aae-f42a-49a0-9d8f-616ca6dbebaa")</f>
        <v>73df5aae-f42a-49a0-9d8f-616ca6dbebaa</v>
      </c>
      <c r="AV20" s="251" t="str">
        <f>IFERROR(__xludf.DUMMYFUNCTION("""COMPUTED_VALUE"""),"019ed024-8a33-7fb5-96a0-78ffd98b3516")</f>
        <v>019ed024-8a33-7fb5-96a0-78ffd98b3516</v>
      </c>
      <c r="AW20" s="261">
        <f>IFERROR(__xludf.DUMMYFUNCTION("""COMPUTED_VALUE"""),46189.468935185185)</f>
        <v>46189.46894</v>
      </c>
      <c r="AX20" s="251" t="str">
        <f>IFERROR(__xludf.DUMMYFUNCTION("""COMPUTED_VALUE"""),"credit")</f>
        <v>credit</v>
      </c>
      <c r="AY20" s="251">
        <f>IFERROR(__xludf.DUMMYFUNCTION("""COMPUTED_VALUE"""),7.35)</f>
        <v>7.35</v>
      </c>
      <c r="AZ20" s="251" t="str">
        <f>IFERROR(__xludf.DUMMYFUNCTION("""COMPUTED_VALUE"""),"cash_isa")</f>
        <v>cash_isa</v>
      </c>
      <c r="BA20" s="251" t="str">
        <f>IFERROR(__xludf.DUMMYFUNCTION("""COMPUTED_VALUE"""),"9bc00e6b-ce5f-48c5-ae3a-1baabe00f337")</f>
        <v>9bc00e6b-ce5f-48c5-ae3a-1baabe00f337</v>
      </c>
      <c r="BB20" s="251" t="str">
        <f>IFERROR(__xludf.DUMMYFUNCTION("""COMPUTED_VALUE"""),"42c3a58b-fec1-43e1-b86e-f071b829ba7a")</f>
        <v>42c3a58b-fec1-43e1-b86e-f071b829ba7a</v>
      </c>
      <c r="BC20" s="251" t="str">
        <f>IFERROR(__xludf.DUMMYFUNCTION("""COMPUTED_VALUE"""),"42c3a58b-fec1-43e1-b86e-f071b829ba7a")</f>
        <v>42c3a58b-fec1-43e1-b86e-f071b829ba7a</v>
      </c>
      <c r="BD20" s="251" t="str">
        <f>IFERROR(__xludf.DUMMYFUNCTION("""COMPUTED_VALUE"""),"NOREF-910332414")</f>
        <v>NOREF-910332414</v>
      </c>
      <c r="BE20" s="251">
        <f>IFERROR(__xludf.DUMMYFUNCTION("""COMPUTED_VALUE"""),7.35)</f>
        <v>7.35</v>
      </c>
      <c r="BF20" s="251" t="str">
        <f>IFERROR(__xludf.DUMMYFUNCTION("""COMPUTED_VALUE"""),"payin")</f>
        <v>payin</v>
      </c>
      <c r="BG20" s="261">
        <f>IFERROR(__xludf.DUMMYFUNCTION("""COMPUTED_VALUE"""),46188.454293981486)</f>
        <v>46188.45429</v>
      </c>
      <c r="BI20" s="251" t="str">
        <f>IFERROR(__xludf.DUMMYFUNCTION("""COMPUTED_VALUE"""),"73df5aae-f42a-49a0-9d8f-616ca6dbebaa")</f>
        <v>73df5aae-f42a-49a0-9d8f-616ca6dbebaa</v>
      </c>
      <c r="BJ20" s="251" t="str">
        <f>IFERROR(__xludf.DUMMYFUNCTION("""COMPUTED_VALUE"""),"019ed111-80c9-71c2-80c7-3a0950730587")</f>
        <v>019ed111-80c9-71c2-80c7-3a0950730587</v>
      </c>
      <c r="BK20" s="261">
        <f>IFERROR(__xludf.DUMMYFUNCTION("""COMPUTED_VALUE"""),46189.648680555554)</f>
        <v>46189.64868</v>
      </c>
      <c r="BL20" s="251" t="str">
        <f>IFERROR(__xludf.DUMMYFUNCTION("""COMPUTED_VALUE"""),"debit")</f>
        <v>debit</v>
      </c>
      <c r="BM20" s="251">
        <f>IFERROR(__xludf.DUMMYFUNCTION("""COMPUTED_VALUE"""),1000.42)</f>
        <v>1000.42</v>
      </c>
      <c r="BN20" s="251" t="str">
        <f>IFERROR(__xludf.DUMMYFUNCTION("""COMPUTED_VALUE"""),"lisa")</f>
        <v>lisa</v>
      </c>
      <c r="BO20" s="251" t="str">
        <f>IFERROR(__xludf.DUMMYFUNCTION("""COMPUTED_VALUE"""),"b7a59586-5d10-4989-91c2-f2376c7a6ab2")</f>
        <v>b7a59586-5d10-4989-91c2-f2376c7a6ab2</v>
      </c>
      <c r="BP20" s="251" t="str">
        <f>IFERROR(__xludf.DUMMYFUNCTION("""COMPUTED_VALUE"""),"4e841ef5-73e4-4848-91ba-916bf1dd82de")</f>
        <v>4e841ef5-73e4-4848-91ba-916bf1dd82de</v>
      </c>
      <c r="BQ20" s="251" t="str">
        <f>IFERROR(__xludf.DUMMYFUNCTION("""COMPUTED_VALUE"""),"4e841ef5-73e4-4848-91ba-916bf1dd82de")</f>
        <v>4e841ef5-73e4-4848-91ba-916bf1dd82de</v>
      </c>
      <c r="BR20" s="251" t="str">
        <f>IFERROR(__xludf.DUMMYFUNCTION("""COMPUTED_VALUE"""),"6362d774-321174183")</f>
        <v>6362d774-321174183</v>
      </c>
      <c r="BS20" s="251">
        <f>IFERROR(__xludf.DUMMYFUNCTION("""COMPUTED_VALUE"""),1000.42)</f>
        <v>1000.42</v>
      </c>
      <c r="BT20" s="251" t="str">
        <f>IFERROR(__xludf.DUMMYFUNCTION("""COMPUTED_VALUE"""),"payin")</f>
        <v>payin</v>
      </c>
      <c r="BU20" s="261">
        <f>IFERROR(__xludf.DUMMYFUNCTION("""COMPUTED_VALUE"""),46175.11004629629)</f>
        <v>46175.11005</v>
      </c>
    </row>
    <row r="21">
      <c r="A21" s="262" t="s">
        <v>165</v>
      </c>
      <c r="B21" s="262" t="s">
        <v>289</v>
      </c>
      <c r="C21" s="263">
        <v>46189.346296296295</v>
      </c>
      <c r="D21" s="262" t="s">
        <v>265</v>
      </c>
      <c r="E21" s="264">
        <v>5983.9</v>
      </c>
      <c r="F21" s="262" t="s">
        <v>169</v>
      </c>
      <c r="G21" s="262" t="s">
        <v>170</v>
      </c>
      <c r="H21" s="262" t="s">
        <v>287</v>
      </c>
      <c r="I21" s="265"/>
      <c r="J21" s="265"/>
      <c r="K21" s="266"/>
      <c r="L21" s="265"/>
      <c r="M21" s="267"/>
      <c r="O21" s="247"/>
      <c r="AC21" s="247"/>
      <c r="AD21" s="251" t="str">
        <f>IFERROR(__xludf.DUMMYFUNCTION("""COMPUTED_VALUE"""),"73df5aae-f42a-49a0-9d8f-616ca6dbebaa")</f>
        <v>73df5aae-f42a-49a0-9d8f-616ca6dbebaa</v>
      </c>
      <c r="AE21" s="251" t="str">
        <f>IFERROR(__xludf.DUMMYFUNCTION("""COMPUTED_VALUE"""),"019ecf71-0f39-7517-ba66-2d9a255cf8fb")</f>
        <v>019ecf71-0f39-7517-ba66-2d9a255cf8fb</v>
      </c>
      <c r="AF21" s="261">
        <f>IFERROR(__xludf.DUMMYFUNCTION("""COMPUTED_VALUE"""),46189.33280092593)</f>
        <v>46189.3328</v>
      </c>
      <c r="AG21" s="251" t="str">
        <f>IFERROR(__xludf.DUMMYFUNCTION("""COMPUTED_VALUE"""),"credit")</f>
        <v>credit</v>
      </c>
      <c r="AH21" s="253">
        <f>IFERROR(__xludf.DUMMYFUNCTION("""COMPUTED_VALUE"""),12001.69)</f>
        <v>12001.69</v>
      </c>
      <c r="AI21" s="251" t="str">
        <f>IFERROR(__xludf.DUMMYFUNCTION("""COMPUTED_VALUE"""),"cash_isa")</f>
        <v>cash_isa</v>
      </c>
      <c r="AJ21" s="251" t="str">
        <f>IFERROR(__xludf.DUMMYFUNCTION("""COMPUTED_VALUE"""),"9bc00e6b-ce5f-48c5-ae3a-1baabe00f337")</f>
        <v>9bc00e6b-ce5f-48c5-ae3a-1baabe00f337</v>
      </c>
      <c r="AK21" s="251" t="str">
        <f>IFERROR(__xludf.DUMMYFUNCTION("""COMPUTED_VALUE"""),"43fda8b1-46b9-42e8-ae27-47e24487252b")</f>
        <v>43fda8b1-46b9-42e8-ae27-47e24487252b</v>
      </c>
      <c r="AL21" s="251"/>
      <c r="AM21" s="251"/>
      <c r="AN21" s="251"/>
      <c r="AO21" s="251"/>
      <c r="AP21" s="261"/>
      <c r="AR21" s="251" t="str">
        <f t="shared" si="1"/>
        <v>12001.69_credit</v>
      </c>
      <c r="AS21" s="251" t="str">
        <f t="shared" si="2"/>
        <v>DROP</v>
      </c>
      <c r="AT21" s="247"/>
      <c r="AU21" s="251" t="str">
        <f>IFERROR(__xludf.DUMMYFUNCTION("""COMPUTED_VALUE"""),"73df5aae-f42a-49a0-9d8f-616ca6dbebaa")</f>
        <v>73df5aae-f42a-49a0-9d8f-616ca6dbebaa</v>
      </c>
      <c r="AV21" s="251" t="str">
        <f>IFERROR(__xludf.DUMMYFUNCTION("""COMPUTED_VALUE"""),"019ed024-88f1-789c-a803-e90f28c9087e")</f>
        <v>019ed024-88f1-789c-a803-e90f28c9087e</v>
      </c>
      <c r="AW21" s="261">
        <f>IFERROR(__xludf.DUMMYFUNCTION("""COMPUTED_VALUE"""),46189.468935185185)</f>
        <v>46189.46894</v>
      </c>
      <c r="AX21" s="251" t="str">
        <f>IFERROR(__xludf.DUMMYFUNCTION("""COMPUTED_VALUE"""),"credit")</f>
        <v>credit</v>
      </c>
      <c r="AY21" s="251">
        <f>IFERROR(__xludf.DUMMYFUNCTION("""COMPUTED_VALUE"""),250.0)</f>
        <v>250</v>
      </c>
      <c r="AZ21" s="251" t="str">
        <f>IFERROR(__xludf.DUMMYFUNCTION("""COMPUTED_VALUE"""),"cash_isa")</f>
        <v>cash_isa</v>
      </c>
      <c r="BA21" s="251" t="str">
        <f>IFERROR(__xludf.DUMMYFUNCTION("""COMPUTED_VALUE"""),"9bc00e6b-ce5f-48c5-ae3a-1baabe00f337")</f>
        <v>9bc00e6b-ce5f-48c5-ae3a-1baabe00f337</v>
      </c>
      <c r="BB21" s="251" t="str">
        <f>IFERROR(__xludf.DUMMYFUNCTION("""COMPUTED_VALUE"""),"5a92f897-6035-4172-9831-90028a8a98c2")</f>
        <v>5a92f897-6035-4172-9831-90028a8a98c2</v>
      </c>
      <c r="BC21" s="251" t="str">
        <f>IFERROR(__xludf.DUMMYFUNCTION("""COMPUTED_VALUE"""),"5a92f897-6035-4172-9831-90028a8a98c2")</f>
        <v>5a92f897-6035-4172-9831-90028a8a98c2</v>
      </c>
      <c r="BD21" s="251" t="str">
        <f>IFERROR(__xludf.DUMMYFUNCTION("""COMPUTED_VALUE"""),"JC321715Da-518647334")</f>
        <v>JC321715Da-518647334</v>
      </c>
      <c r="BE21" s="251">
        <f>IFERROR(__xludf.DUMMYFUNCTION("""COMPUTED_VALUE"""),250.0)</f>
        <v>250</v>
      </c>
      <c r="BF21" s="251" t="str">
        <f>IFERROR(__xludf.DUMMYFUNCTION("""COMPUTED_VALUE"""),"payin")</f>
        <v>payin</v>
      </c>
      <c r="BG21" s="261">
        <f>IFERROR(__xludf.DUMMYFUNCTION("""COMPUTED_VALUE"""),46188.66883101852)</f>
        <v>46188.66883</v>
      </c>
      <c r="BI21" s="251" t="str">
        <f>IFERROR(__xludf.DUMMYFUNCTION("""COMPUTED_VALUE"""),"73df5aae-f42a-49a0-9d8f-616ca6dbebaa")</f>
        <v>73df5aae-f42a-49a0-9d8f-616ca6dbebaa</v>
      </c>
      <c r="BJ21" s="251" t="str">
        <f>IFERROR(__xludf.DUMMYFUNCTION("""COMPUTED_VALUE"""),"019ed112-f8af-78aa-8996-cea5aa226d4d")</f>
        <v>019ed112-f8af-78aa-8996-cea5aa226d4d</v>
      </c>
      <c r="BK21" s="261">
        <f>IFERROR(__xludf.DUMMYFUNCTION("""COMPUTED_VALUE"""),46189.64979166667)</f>
        <v>46189.64979</v>
      </c>
      <c r="BL21" s="251" t="str">
        <f>IFERROR(__xludf.DUMMYFUNCTION("""COMPUTED_VALUE"""),"debit")</f>
        <v>debit</v>
      </c>
      <c r="BM21" s="251">
        <f>IFERROR(__xludf.DUMMYFUNCTION("""COMPUTED_VALUE"""),287.51)</f>
        <v>287.51</v>
      </c>
      <c r="BN21" s="251" t="str">
        <f>IFERROR(__xludf.DUMMYFUNCTION("""COMPUTED_VALUE"""),"lisa")</f>
        <v>lisa</v>
      </c>
      <c r="BO21" s="251" t="str">
        <f>IFERROR(__xludf.DUMMYFUNCTION("""COMPUTED_VALUE"""),"b7a59586-5d10-4989-91c2-f2376c7a6ab2")</f>
        <v>b7a59586-5d10-4989-91c2-f2376c7a6ab2</v>
      </c>
      <c r="BP21" s="251" t="str">
        <f>IFERROR(__xludf.DUMMYFUNCTION("""COMPUTED_VALUE"""),"269f467b-4dc9-4274-b31d-aced2ae027f2")</f>
        <v>269f467b-4dc9-4274-b31d-aced2ae027f2</v>
      </c>
      <c r="BQ21" s="251" t="str">
        <f>IFERROR(__xludf.DUMMYFUNCTION("""COMPUTED_VALUE"""),"269f467b-4dc9-4274-b31d-aced2ae027f2")</f>
        <v>269f467b-4dc9-4274-b31d-aced2ae027f2</v>
      </c>
      <c r="BR21" s="251" t="str">
        <f>IFERROR(__xludf.DUMMYFUNCTION("""COMPUTED_VALUE"""),"OPF620134950-422241025")</f>
        <v>OPF620134950-422241025</v>
      </c>
      <c r="BS21" s="251">
        <f>IFERROR(__xludf.DUMMYFUNCTION("""COMPUTED_VALUE"""),287.51)</f>
        <v>287.51</v>
      </c>
      <c r="BT21" s="251" t="str">
        <f>IFERROR(__xludf.DUMMYFUNCTION("""COMPUTED_VALUE"""),"payin")</f>
        <v>payin</v>
      </c>
      <c r="BU21" s="261">
        <f>IFERROR(__xludf.DUMMYFUNCTION("""COMPUTED_VALUE"""),46175.39371527778)</f>
        <v>46175.39372</v>
      </c>
    </row>
    <row r="22">
      <c r="A22" s="255" t="s">
        <v>165</v>
      </c>
      <c r="B22" s="255" t="s">
        <v>290</v>
      </c>
      <c r="C22" s="256">
        <v>46189.347280092596</v>
      </c>
      <c r="D22" s="255" t="s">
        <v>167</v>
      </c>
      <c r="E22" s="257">
        <v>43516.22</v>
      </c>
      <c r="F22" s="255" t="s">
        <v>169</v>
      </c>
      <c r="G22" s="255" t="s">
        <v>170</v>
      </c>
      <c r="H22" s="255" t="s">
        <v>291</v>
      </c>
      <c r="I22" s="258"/>
      <c r="J22" s="258"/>
      <c r="K22" s="259"/>
      <c r="L22" s="258"/>
      <c r="M22" s="260"/>
      <c r="O22" s="247"/>
      <c r="AC22" s="247"/>
      <c r="AD22" s="251" t="str">
        <f>IFERROR(__xludf.DUMMYFUNCTION("""COMPUTED_VALUE"""),"73df5aae-f42a-49a0-9d8f-616ca6dbebaa")</f>
        <v>73df5aae-f42a-49a0-9d8f-616ca6dbebaa</v>
      </c>
      <c r="AE22" s="251" t="str">
        <f>IFERROR(__xludf.DUMMYFUNCTION("""COMPUTED_VALUE"""),"019ecf73-786f-735a-8d04-a5ef897c515a")</f>
        <v>019ecf73-786f-735a-8d04-a5ef897c515a</v>
      </c>
      <c r="AF22" s="261">
        <f>IFERROR(__xludf.DUMMYFUNCTION("""COMPUTED_VALUE"""),46189.33462962963)</f>
        <v>46189.33463</v>
      </c>
      <c r="AG22" s="251" t="str">
        <f>IFERROR(__xludf.DUMMYFUNCTION("""COMPUTED_VALUE"""),"debit")</f>
        <v>debit</v>
      </c>
      <c r="AH22" s="253">
        <f>IFERROR(__xludf.DUMMYFUNCTION("""COMPUTED_VALUE"""),12001.69)</f>
        <v>12001.69</v>
      </c>
      <c r="AI22" s="251" t="str">
        <f>IFERROR(__xludf.DUMMYFUNCTION("""COMPUTED_VALUE"""),"cash_isa")</f>
        <v>cash_isa</v>
      </c>
      <c r="AJ22" s="251" t="str">
        <f>IFERROR(__xludf.DUMMYFUNCTION("""COMPUTED_VALUE"""),"9bc00e6b-ce5f-48c5-ae3a-1baabe00f337")</f>
        <v>9bc00e6b-ce5f-48c5-ae3a-1baabe00f337</v>
      </c>
      <c r="AK22" s="251" t="str">
        <f>IFERROR(__xludf.DUMMYFUNCTION("""COMPUTED_VALUE"""),"43fda8b1-46b9-42e8-ae27-47e24487252b")</f>
        <v>43fda8b1-46b9-42e8-ae27-47e24487252b</v>
      </c>
      <c r="AL22" s="251"/>
      <c r="AM22" s="251"/>
      <c r="AN22" s="251"/>
      <c r="AO22" s="251"/>
      <c r="AP22" s="261"/>
      <c r="AR22" s="251" t="str">
        <f t="shared" si="1"/>
        <v>12001.69_debit</v>
      </c>
      <c r="AS22" s="251" t="str">
        <f t="shared" si="2"/>
        <v>DROP</v>
      </c>
      <c r="AT22" s="247"/>
      <c r="AU22" s="251" t="str">
        <f>IFERROR(__xludf.DUMMYFUNCTION("""COMPUTED_VALUE"""),"73df5aae-f42a-49a0-9d8f-616ca6dbebaa")</f>
        <v>73df5aae-f42a-49a0-9d8f-616ca6dbebaa</v>
      </c>
      <c r="AV22" s="251" t="str">
        <f>IFERROR(__xludf.DUMMYFUNCTION("""COMPUTED_VALUE"""),"019ed024-8817-7d80-9685-39944e000a98")</f>
        <v>019ed024-8817-7d80-9685-39944e000a98</v>
      </c>
      <c r="AW22" s="261">
        <f>IFERROR(__xludf.DUMMYFUNCTION("""COMPUTED_VALUE"""),46189.468935185185)</f>
        <v>46189.46894</v>
      </c>
      <c r="AX22" s="251" t="str">
        <f>IFERROR(__xludf.DUMMYFUNCTION("""COMPUTED_VALUE"""),"credit")</f>
        <v>credit</v>
      </c>
      <c r="AY22" s="251">
        <f>IFERROR(__xludf.DUMMYFUNCTION("""COMPUTED_VALUE"""),42534.92)</f>
        <v>42534.92</v>
      </c>
      <c r="AZ22" s="251" t="str">
        <f>IFERROR(__xludf.DUMMYFUNCTION("""COMPUTED_VALUE"""),"cash_isa")</f>
        <v>cash_isa</v>
      </c>
      <c r="BA22" s="251" t="str">
        <f>IFERROR(__xludf.DUMMYFUNCTION("""COMPUTED_VALUE"""),"9bc00e6b-ce5f-48c5-ae3a-1baabe00f337")</f>
        <v>9bc00e6b-ce5f-48c5-ae3a-1baabe00f337</v>
      </c>
      <c r="BB22" s="251" t="str">
        <f>IFERROR(__xludf.DUMMYFUNCTION("""COMPUTED_VALUE"""),"a50f2b4e-4ed2-48c6-ae8b-f3052f76d926")</f>
        <v>a50f2b4e-4ed2-48c6-ae8b-f3052f76d926</v>
      </c>
      <c r="BC22" s="251" t="str">
        <f>IFERROR(__xludf.DUMMYFUNCTION("""COMPUTED_VALUE"""),"a50f2b4e-4ed2-48c6-ae8b-f3052f76d926")</f>
        <v>a50f2b4e-4ed2-48c6-ae8b-f3052f76d926</v>
      </c>
      <c r="BD22" s="251" t="str">
        <f>IFERROR(__xludf.DUMMYFUNCTION("""COMPUTED_VALUE"""),"YM189882D-95846103")</f>
        <v>YM189882D-95846103</v>
      </c>
      <c r="BE22" s="251">
        <f>IFERROR(__xludf.DUMMYFUNCTION("""COMPUTED_VALUE"""),42534.92)</f>
        <v>42534.92</v>
      </c>
      <c r="BF22" s="251" t="str">
        <f>IFERROR(__xludf.DUMMYFUNCTION("""COMPUTED_VALUE"""),"payin")</f>
        <v>payin</v>
      </c>
      <c r="BG22" s="261">
        <f>IFERROR(__xludf.DUMMYFUNCTION("""COMPUTED_VALUE"""),46188.6688425926)</f>
        <v>46188.66884</v>
      </c>
      <c r="BI22" s="251" t="str">
        <f>IFERROR(__xludf.DUMMYFUNCTION("""COMPUTED_VALUE"""),"73df5aae-f42a-49a0-9d8f-616ca6dbebaa")</f>
        <v>73df5aae-f42a-49a0-9d8f-616ca6dbebaa</v>
      </c>
      <c r="BJ22" s="251" t="str">
        <f>IFERROR(__xludf.DUMMYFUNCTION("""COMPUTED_VALUE"""),"019ed112-f7af-7caa-9686-de7b4e8d9dfb")</f>
        <v>019ed112-f7af-7caa-9686-de7b4e8d9dfb</v>
      </c>
      <c r="BK22" s="261">
        <f>IFERROR(__xludf.DUMMYFUNCTION("""COMPUTED_VALUE"""),46189.64979166667)</f>
        <v>46189.64979</v>
      </c>
      <c r="BL22" s="251" t="str">
        <f>IFERROR(__xludf.DUMMYFUNCTION("""COMPUTED_VALUE"""),"debit")</f>
        <v>debit</v>
      </c>
      <c r="BM22" s="251">
        <f>IFERROR(__xludf.DUMMYFUNCTION("""COMPUTED_VALUE"""),14249.6)</f>
        <v>14249.6</v>
      </c>
      <c r="BN22" s="251" t="str">
        <f>IFERROR(__xludf.DUMMYFUNCTION("""COMPUTED_VALUE"""),"lisa")</f>
        <v>lisa</v>
      </c>
      <c r="BO22" s="251" t="str">
        <f>IFERROR(__xludf.DUMMYFUNCTION("""COMPUTED_VALUE"""),"b7a59586-5d10-4989-91c2-f2376c7a6ab2")</f>
        <v>b7a59586-5d10-4989-91c2-f2376c7a6ab2</v>
      </c>
      <c r="BP22" s="251" t="str">
        <f>IFERROR(__xludf.DUMMYFUNCTION("""COMPUTED_VALUE"""),"3bcaf2ad-dac4-40c4-9479-a43fde56f84f")</f>
        <v>3bcaf2ad-dac4-40c4-9479-a43fde56f84f</v>
      </c>
      <c r="BQ22" s="251" t="str">
        <f>IFERROR(__xludf.DUMMYFUNCTION("""COMPUTED_VALUE"""),"3bcaf2ad-dac4-40c4-9479-a43fde56f84f")</f>
        <v>3bcaf2ad-dac4-40c4-9479-a43fde56f84f</v>
      </c>
      <c r="BR22" s="251" t="str">
        <f>IFERROR(__xludf.DUMMYFUNCTION("""COMPUTED_VALUE"""),"NOREF-1340928121")</f>
        <v>NOREF-1340928121</v>
      </c>
      <c r="BS22" s="251">
        <f>IFERROR(__xludf.DUMMYFUNCTION("""COMPUTED_VALUE"""),14249.6)</f>
        <v>14249.6</v>
      </c>
      <c r="BT22" s="251" t="str">
        <f>IFERROR(__xludf.DUMMYFUNCTION("""COMPUTED_VALUE"""),"payin")</f>
        <v>payin</v>
      </c>
      <c r="BU22" s="261">
        <f>IFERROR(__xludf.DUMMYFUNCTION("""COMPUTED_VALUE"""),46175.46650462963)</f>
        <v>46175.4665</v>
      </c>
    </row>
    <row r="23">
      <c r="A23" s="262" t="s">
        <v>165</v>
      </c>
      <c r="B23" s="262" t="s">
        <v>292</v>
      </c>
      <c r="C23" s="263">
        <v>46189.348078703704</v>
      </c>
      <c r="D23" s="262" t="s">
        <v>167</v>
      </c>
      <c r="E23" s="264">
        <v>33950.32</v>
      </c>
      <c r="F23" s="262" t="s">
        <v>169</v>
      </c>
      <c r="G23" s="262" t="s">
        <v>170</v>
      </c>
      <c r="H23" s="262" t="s">
        <v>293</v>
      </c>
      <c r="I23" s="265"/>
      <c r="J23" s="265"/>
      <c r="K23" s="266"/>
      <c r="L23" s="265"/>
      <c r="M23" s="267"/>
      <c r="O23" s="247"/>
      <c r="AC23" s="247"/>
      <c r="AD23" s="251" t="str">
        <f>IFERROR(__xludf.DUMMYFUNCTION("""COMPUTED_VALUE"""),"73df5aae-f42a-49a0-9d8f-616ca6dbebaa")</f>
        <v>73df5aae-f42a-49a0-9d8f-616ca6dbebaa</v>
      </c>
      <c r="AE23" s="251" t="str">
        <f>IFERROR(__xludf.DUMMYFUNCTION("""COMPUTED_VALUE"""),"019ecf74-d8d6-7b98-aed4-3cd32fccee78")</f>
        <v>019ecf74-d8d6-7b98-aed4-3cd32fccee78</v>
      </c>
      <c r="AF23" s="261">
        <f>IFERROR(__xludf.DUMMYFUNCTION("""COMPUTED_VALUE"""),46189.3356712963)</f>
        <v>46189.33567</v>
      </c>
      <c r="AG23" s="251" t="str">
        <f>IFERROR(__xludf.DUMMYFUNCTION("""COMPUTED_VALUE"""),"credit")</f>
        <v>credit</v>
      </c>
      <c r="AH23" s="253">
        <f>IFERROR(__xludf.DUMMYFUNCTION("""COMPUTED_VALUE"""),21791.12)</f>
        <v>21791.12</v>
      </c>
      <c r="AI23" s="251" t="str">
        <f>IFERROR(__xludf.DUMMYFUNCTION("""COMPUTED_VALUE"""),"cash_isa")</f>
        <v>cash_isa</v>
      </c>
      <c r="AJ23" s="251" t="str">
        <f>IFERROR(__xludf.DUMMYFUNCTION("""COMPUTED_VALUE"""),"9bc00e6b-ce5f-48c5-ae3a-1baabe00f337")</f>
        <v>9bc00e6b-ce5f-48c5-ae3a-1baabe00f337</v>
      </c>
      <c r="AK23" s="251" t="str">
        <f>IFERROR(__xludf.DUMMYFUNCTION("""COMPUTED_VALUE"""),"68bf96ba-6b4e-4626-989e-f5394ed71986")</f>
        <v>68bf96ba-6b4e-4626-989e-f5394ed71986</v>
      </c>
      <c r="AL23" s="251"/>
      <c r="AM23" s="251"/>
      <c r="AN23" s="251"/>
      <c r="AO23" s="251"/>
      <c r="AP23" s="261"/>
      <c r="AR23" s="251" t="str">
        <f t="shared" si="1"/>
        <v>21791.12_credit</v>
      </c>
      <c r="AS23" s="251" t="str">
        <f t="shared" si="2"/>
        <v>DROP</v>
      </c>
      <c r="AT23" s="247"/>
      <c r="AU23" s="251" t="str">
        <f>IFERROR(__xludf.DUMMYFUNCTION("""COMPUTED_VALUE"""),"73df5aae-f42a-49a0-9d8f-616ca6dbebaa")</f>
        <v>73df5aae-f42a-49a0-9d8f-616ca6dbebaa</v>
      </c>
      <c r="AV23" s="251" t="str">
        <f>IFERROR(__xludf.DUMMYFUNCTION("""COMPUTED_VALUE"""),"019ed0b1-3052-7f73-9d08-db917a292c59")</f>
        <v>019ed0b1-3052-7f73-9d08-db917a292c59</v>
      </c>
      <c r="AW23" s="261">
        <f>IFERROR(__xludf.DUMMYFUNCTION("""COMPUTED_VALUE"""),46189.575625)</f>
        <v>46189.57563</v>
      </c>
      <c r="AX23" s="251" t="str">
        <f>IFERROR(__xludf.DUMMYFUNCTION("""COMPUTED_VALUE"""),"credit")</f>
        <v>credit</v>
      </c>
      <c r="AY23" s="253">
        <f>IFERROR(__xludf.DUMMYFUNCTION("""COMPUTED_VALUE"""),14930.71)</f>
        <v>14930.71</v>
      </c>
      <c r="AZ23" s="251" t="str">
        <f>IFERROR(__xludf.DUMMYFUNCTION("""COMPUTED_VALUE"""),"cash_isa")</f>
        <v>cash_isa</v>
      </c>
      <c r="BA23" s="251" t="str">
        <f>IFERROR(__xludf.DUMMYFUNCTION("""COMPUTED_VALUE"""),"9bc00e6b-ce5f-48c5-ae3a-1baabe00f337")</f>
        <v>9bc00e6b-ce5f-48c5-ae3a-1baabe00f337</v>
      </c>
      <c r="BB23" s="251" t="str">
        <f>IFERROR(__xludf.DUMMYFUNCTION("""COMPUTED_VALUE"""),"37db9098-7f00-401d-be6f-68777404753c")</f>
        <v>37db9098-7f00-401d-be6f-68777404753c</v>
      </c>
      <c r="BC23" s="251"/>
      <c r="BD23" s="251"/>
      <c r="BE23" s="251">
        <f>IFERROR(__xludf.DUMMYFUNCTION("""COMPUTED_VALUE"""),14930.71)</f>
        <v>14930.71</v>
      </c>
      <c r="BF23" s="251"/>
      <c r="BG23" s="261"/>
      <c r="BI23" s="251" t="str">
        <f>IFERROR(__xludf.DUMMYFUNCTION("""COMPUTED_VALUE"""),"73df5aae-f42a-49a0-9d8f-616ca6dbebaa")</f>
        <v>73df5aae-f42a-49a0-9d8f-616ca6dbebaa</v>
      </c>
      <c r="BJ23" s="251" t="str">
        <f>IFERROR(__xludf.DUMMYFUNCTION("""COMPUTED_VALUE"""),"019ed119-0d06-7305-887b-bea851e02e7c")</f>
        <v>019ed119-0d06-7305-887b-bea851e02e7c</v>
      </c>
      <c r="BK23" s="261">
        <f>IFERROR(__xludf.DUMMYFUNCTION("""COMPUTED_VALUE"""),46189.65439814815)</f>
        <v>46189.6544</v>
      </c>
      <c r="BL23" s="251" t="str">
        <f>IFERROR(__xludf.DUMMYFUNCTION("""COMPUTED_VALUE"""),"debit")</f>
        <v>debit</v>
      </c>
      <c r="BM23" s="251">
        <f>IFERROR(__xludf.DUMMYFUNCTION("""COMPUTED_VALUE"""),21409.16)</f>
        <v>21409.16</v>
      </c>
      <c r="BN23" s="251" t="str">
        <f>IFERROR(__xludf.DUMMYFUNCTION("""COMPUTED_VALUE"""),"lisa")</f>
        <v>lisa</v>
      </c>
      <c r="BO23" s="251" t="str">
        <f>IFERROR(__xludf.DUMMYFUNCTION("""COMPUTED_VALUE"""),"b7a59586-5d10-4989-91c2-f2376c7a6ab2")</f>
        <v>b7a59586-5d10-4989-91c2-f2376c7a6ab2</v>
      </c>
      <c r="BP23" s="251" t="str">
        <f>IFERROR(__xludf.DUMMYFUNCTION("""COMPUTED_VALUE"""),"c3704b90-6ee3-4441-a76b-af7641bd865e")</f>
        <v>c3704b90-6ee3-4441-a76b-af7641bd865e</v>
      </c>
      <c r="BQ23" s="251" t="str">
        <f>IFERROR(__xludf.DUMMYFUNCTION("""COMPUTED_VALUE"""),"c3704b90-6ee3-4441-a76b-af7641bd865e")</f>
        <v>c3704b90-6ee3-4441-a76b-af7641bd865e</v>
      </c>
      <c r="BR23" s="251" t="str">
        <f>IFERROR(__xludf.DUMMYFUNCTION("""COMPUTED_VALUE"""),"28f40f33-1429865569")</f>
        <v>28f40f33-1429865569</v>
      </c>
      <c r="BS23" s="251">
        <f>IFERROR(__xludf.DUMMYFUNCTION("""COMPUTED_VALUE"""),21409.16)</f>
        <v>21409.16</v>
      </c>
      <c r="BT23" s="251" t="str">
        <f>IFERROR(__xludf.DUMMYFUNCTION("""COMPUTED_VALUE"""),"payin")</f>
        <v>payin</v>
      </c>
      <c r="BU23" s="261">
        <f>IFERROR(__xludf.DUMMYFUNCTION("""COMPUTED_VALUE"""),46185.09847222222)</f>
        <v>46185.09847</v>
      </c>
    </row>
    <row r="24">
      <c r="A24" s="255" t="s">
        <v>165</v>
      </c>
      <c r="B24" s="255" t="s">
        <v>294</v>
      </c>
      <c r="C24" s="256">
        <v>46189.348344907405</v>
      </c>
      <c r="D24" s="255" t="s">
        <v>265</v>
      </c>
      <c r="E24" s="257">
        <v>43516.22</v>
      </c>
      <c r="F24" s="255" t="s">
        <v>169</v>
      </c>
      <c r="G24" s="255" t="s">
        <v>170</v>
      </c>
      <c r="H24" s="255" t="s">
        <v>291</v>
      </c>
      <c r="I24" s="258"/>
      <c r="J24" s="258"/>
      <c r="K24" s="259"/>
      <c r="L24" s="258"/>
      <c r="M24" s="260"/>
      <c r="O24" s="247"/>
      <c r="AC24" s="247"/>
      <c r="AD24" s="251" t="str">
        <f>IFERROR(__xludf.DUMMYFUNCTION("""COMPUTED_VALUE"""),"73df5aae-f42a-49a0-9d8f-616ca6dbebaa")</f>
        <v>73df5aae-f42a-49a0-9d8f-616ca6dbebaa</v>
      </c>
      <c r="AE24" s="251" t="str">
        <f>IFERROR(__xludf.DUMMYFUNCTION("""COMPUTED_VALUE"""),"019ecf76-bf63-76d6-aa04-0abf78a5d505")</f>
        <v>019ecf76-bf63-76d6-aa04-0abf78a5d505</v>
      </c>
      <c r="AF24" s="261">
        <f>IFERROR(__xludf.DUMMYFUNCTION("""COMPUTED_VALUE"""),46189.337118055555)</f>
        <v>46189.33712</v>
      </c>
      <c r="AG24" s="251" t="str">
        <f>IFERROR(__xludf.DUMMYFUNCTION("""COMPUTED_VALUE"""),"debit")</f>
        <v>debit</v>
      </c>
      <c r="AH24" s="253">
        <f>IFERROR(__xludf.DUMMYFUNCTION("""COMPUTED_VALUE"""),21791.12)</f>
        <v>21791.12</v>
      </c>
      <c r="AI24" s="251" t="str">
        <f>IFERROR(__xludf.DUMMYFUNCTION("""COMPUTED_VALUE"""),"cash_isa")</f>
        <v>cash_isa</v>
      </c>
      <c r="AJ24" s="251" t="str">
        <f>IFERROR(__xludf.DUMMYFUNCTION("""COMPUTED_VALUE"""),"9bc00e6b-ce5f-48c5-ae3a-1baabe00f337")</f>
        <v>9bc00e6b-ce5f-48c5-ae3a-1baabe00f337</v>
      </c>
      <c r="AK24" s="251" t="str">
        <f>IFERROR(__xludf.DUMMYFUNCTION("""COMPUTED_VALUE"""),"68bf96ba-6b4e-4626-989e-f5394ed71986")</f>
        <v>68bf96ba-6b4e-4626-989e-f5394ed71986</v>
      </c>
      <c r="AL24" s="251"/>
      <c r="AM24" s="251"/>
      <c r="AN24" s="251"/>
      <c r="AO24" s="251"/>
      <c r="AP24" s="261"/>
      <c r="AR24" s="251" t="str">
        <f t="shared" si="1"/>
        <v>21791.12_debit</v>
      </c>
      <c r="AS24" s="251" t="str">
        <f t="shared" si="2"/>
        <v>DROP</v>
      </c>
      <c r="AT24" s="247"/>
      <c r="AU24" s="251" t="str">
        <f>IFERROR(__xludf.DUMMYFUNCTION("""COMPUTED_VALUE"""),"73df5aae-f42a-49a0-9d8f-616ca6dbebaa")</f>
        <v>73df5aae-f42a-49a0-9d8f-616ca6dbebaa</v>
      </c>
      <c r="AV24" s="251" t="str">
        <f>IFERROR(__xludf.DUMMYFUNCTION("""COMPUTED_VALUE"""),"019ed0b1-3052-7f73-9d08-db917a292c59")</f>
        <v>019ed0b1-3052-7f73-9d08-db917a292c59</v>
      </c>
      <c r="AW24" s="261">
        <f>IFERROR(__xludf.DUMMYFUNCTION("""COMPUTED_VALUE"""),46189.575625)</f>
        <v>46189.57563</v>
      </c>
      <c r="AX24" s="251" t="str">
        <f>IFERROR(__xludf.DUMMYFUNCTION("""COMPUTED_VALUE"""),"credit")</f>
        <v>credit</v>
      </c>
      <c r="AY24" s="251">
        <f>IFERROR(__xludf.DUMMYFUNCTION("""COMPUTED_VALUE"""),14930.71)</f>
        <v>14930.71</v>
      </c>
      <c r="AZ24" s="251" t="str">
        <f>IFERROR(__xludf.DUMMYFUNCTION("""COMPUTED_VALUE"""),"cash_isa")</f>
        <v>cash_isa</v>
      </c>
      <c r="BA24" s="251" t="str">
        <f>IFERROR(__xludf.DUMMYFUNCTION("""COMPUTED_VALUE"""),"9bc00e6b-ce5f-48c5-ae3a-1baabe00f337")</f>
        <v>9bc00e6b-ce5f-48c5-ae3a-1baabe00f337</v>
      </c>
      <c r="BB24" s="251" t="str">
        <f>IFERROR(__xludf.DUMMYFUNCTION("""COMPUTED_VALUE"""),"37db9098-7f00-401d-be6f-68777404753c")</f>
        <v>37db9098-7f00-401d-be6f-68777404753c</v>
      </c>
      <c r="BC24" s="251"/>
      <c r="BD24" s="251"/>
      <c r="BE24" s="251"/>
      <c r="BF24" s="251"/>
      <c r="BG24" s="261"/>
      <c r="BI24" s="251" t="str">
        <f>IFERROR(__xludf.DUMMYFUNCTION("""COMPUTED_VALUE"""),"73df5aae-f42a-49a0-9d8f-616ca6dbebaa")</f>
        <v>73df5aae-f42a-49a0-9d8f-616ca6dbebaa</v>
      </c>
      <c r="BJ24" s="251" t="str">
        <f>IFERROR(__xludf.DUMMYFUNCTION("""COMPUTED_VALUE"""),"019ed124-a6d9-770c-a0e0-67d2a0908bde")</f>
        <v>019ed124-a6d9-770c-a0e0-67d2a0908bde</v>
      </c>
      <c r="BK24" s="261">
        <f>IFERROR(__xludf.DUMMYFUNCTION("""COMPUTED_VALUE"""),46189.66320601852)</f>
        <v>46189.66321</v>
      </c>
      <c r="BL24" s="251" t="str">
        <f>IFERROR(__xludf.DUMMYFUNCTION("""COMPUTED_VALUE"""),"credit")</f>
        <v>credit</v>
      </c>
      <c r="BM24" s="251">
        <f>IFERROR(__xludf.DUMMYFUNCTION("""COMPUTED_VALUE"""),15800.69)</f>
        <v>15800.69</v>
      </c>
      <c r="BN24" s="251" t="str">
        <f>IFERROR(__xludf.DUMMYFUNCTION("""COMPUTED_VALUE"""),"lisa")</f>
        <v>lisa</v>
      </c>
      <c r="BO24" s="251" t="str">
        <f>IFERROR(__xludf.DUMMYFUNCTION("""COMPUTED_VALUE"""),"b7a59586-5d10-4989-91c2-f2376c7a6ab2")</f>
        <v>b7a59586-5d10-4989-91c2-f2376c7a6ab2</v>
      </c>
      <c r="BP24" s="251" t="str">
        <f>IFERROR(__xludf.DUMMYFUNCTION("""COMPUTED_VALUE"""),"6c7ca4f4-7fef-4b08-8ff8-2f8d2c79a1e2")</f>
        <v>6c7ca4f4-7fef-4b08-8ff8-2f8d2c79a1e2</v>
      </c>
      <c r="BQ24" s="251" t="str">
        <f>IFERROR(__xludf.DUMMYFUNCTION("""COMPUTED_VALUE"""),"6c7ca4f4-7fef-4b08-8ff8-2f8d2c79a1e2")</f>
        <v>6c7ca4f4-7fef-4b08-8ff8-2f8d2c79a1e2</v>
      </c>
      <c r="BR24" s="251" t="str">
        <f>IFERROR(__xludf.DUMMYFUNCTION("""COMPUTED_VALUE"""),"CDF50426-712770789")</f>
        <v>CDF50426-712770789</v>
      </c>
      <c r="BS24" s="251">
        <f>IFERROR(__xludf.DUMMYFUNCTION("""COMPUTED_VALUE"""),15800.69)</f>
        <v>15800.69</v>
      </c>
      <c r="BT24" s="251" t="str">
        <f>IFERROR(__xludf.DUMMYFUNCTION("""COMPUTED_VALUE"""),"payin")</f>
        <v>payin</v>
      </c>
      <c r="BU24" s="261">
        <f>IFERROR(__xludf.DUMMYFUNCTION("""COMPUTED_VALUE"""),46188.56484953704)</f>
        <v>46188.56485</v>
      </c>
    </row>
    <row r="25">
      <c r="A25" s="262" t="s">
        <v>165</v>
      </c>
      <c r="B25" s="262" t="s">
        <v>295</v>
      </c>
      <c r="C25" s="263">
        <v>46189.34853009259</v>
      </c>
      <c r="D25" s="262" t="s">
        <v>167</v>
      </c>
      <c r="E25" s="264">
        <v>43175.87</v>
      </c>
      <c r="F25" s="262" t="s">
        <v>169</v>
      </c>
      <c r="G25" s="262" t="s">
        <v>170</v>
      </c>
      <c r="H25" s="262" t="s">
        <v>296</v>
      </c>
      <c r="I25" s="265"/>
      <c r="J25" s="265"/>
      <c r="K25" s="266"/>
      <c r="L25" s="265"/>
      <c r="M25" s="267"/>
      <c r="O25" s="247"/>
      <c r="AC25" s="247"/>
      <c r="AD25" s="251" t="str">
        <f>IFERROR(__xludf.DUMMYFUNCTION("""COMPUTED_VALUE"""),"73df5aae-f42a-49a0-9d8f-616ca6dbebaa")</f>
        <v>73df5aae-f42a-49a0-9d8f-616ca6dbebaa</v>
      </c>
      <c r="AE25" s="251" t="str">
        <f>IFERROR(__xludf.DUMMYFUNCTION("""COMPUTED_VALUE"""),"019ecf7a-e489-72cd-9b73-1bd7516d5e2f")</f>
        <v>019ecf7a-e489-72cd-9b73-1bd7516d5e2f</v>
      </c>
      <c r="AF25" s="261">
        <f>IFERROR(__xludf.DUMMYFUNCTION("""COMPUTED_VALUE"""),46189.34025462963)</f>
        <v>46189.34025</v>
      </c>
      <c r="AG25" s="251" t="str">
        <f>IFERROR(__xludf.DUMMYFUNCTION("""COMPUTED_VALUE"""),"credit")</f>
        <v>credit</v>
      </c>
      <c r="AH25" s="253">
        <f>IFERROR(__xludf.DUMMYFUNCTION("""COMPUTED_VALUE"""),51998.41)</f>
        <v>51998.41</v>
      </c>
      <c r="AI25" s="251" t="str">
        <f>IFERROR(__xludf.DUMMYFUNCTION("""COMPUTED_VALUE"""),"cash_isa")</f>
        <v>cash_isa</v>
      </c>
      <c r="AJ25" s="251" t="str">
        <f>IFERROR(__xludf.DUMMYFUNCTION("""COMPUTED_VALUE"""),"9bc00e6b-ce5f-48c5-ae3a-1baabe00f337")</f>
        <v>9bc00e6b-ce5f-48c5-ae3a-1baabe00f337</v>
      </c>
      <c r="AK25" s="251" t="str">
        <f>IFERROR(__xludf.DUMMYFUNCTION("""COMPUTED_VALUE"""),"205cdd7c-d2ed-4603-9ba0-b085b08ee3ed")</f>
        <v>205cdd7c-d2ed-4603-9ba0-b085b08ee3ed</v>
      </c>
      <c r="AL25" s="251"/>
      <c r="AM25" s="251"/>
      <c r="AN25" s="251"/>
      <c r="AO25" s="251"/>
      <c r="AP25" s="261"/>
      <c r="AR25" s="251" t="str">
        <f t="shared" si="1"/>
        <v>51998.41_credit</v>
      </c>
      <c r="AS25" s="251" t="str">
        <f t="shared" si="2"/>
        <v>DROP</v>
      </c>
      <c r="AT25" s="247"/>
      <c r="AU25" s="251" t="str">
        <f>IFERROR(__xludf.DUMMYFUNCTION("""COMPUTED_VALUE"""),"73df5aae-f42a-49a0-9d8f-616ca6dbebaa")</f>
        <v>73df5aae-f42a-49a0-9d8f-616ca6dbebaa</v>
      </c>
      <c r="AV25" s="251" t="str">
        <f>IFERROR(__xludf.DUMMYFUNCTION("""COMPUTED_VALUE"""),"019ed0fa-b1c2-7819-857e-40a98c4e3541")</f>
        <v>019ed0fa-b1c2-7819-857e-40a98c4e3541</v>
      </c>
      <c r="AW25" s="261">
        <f>IFERROR(__xludf.DUMMYFUNCTION("""COMPUTED_VALUE"""),46189.631377314814)</f>
        <v>46189.63138</v>
      </c>
      <c r="AX25" s="251" t="str">
        <f>IFERROR(__xludf.DUMMYFUNCTION("""COMPUTED_VALUE"""),"credit")</f>
        <v>credit</v>
      </c>
      <c r="AY25" s="251">
        <f>IFERROR(__xludf.DUMMYFUNCTION("""COMPUTED_VALUE"""),20000.0)</f>
        <v>20000</v>
      </c>
      <c r="AZ25" s="251" t="str">
        <f>IFERROR(__xludf.DUMMYFUNCTION("""COMPUTED_VALUE"""),"cash_isa")</f>
        <v>cash_isa</v>
      </c>
      <c r="BA25" s="251" t="str">
        <f>IFERROR(__xludf.DUMMYFUNCTION("""COMPUTED_VALUE"""),"9bc00e6b-ce5f-48c5-ae3a-1baabe00f337")</f>
        <v>9bc00e6b-ce5f-48c5-ae3a-1baabe00f337</v>
      </c>
      <c r="BB25" s="251" t="str">
        <f>IFERROR(__xludf.DUMMYFUNCTION("""COMPUTED_VALUE"""),"fc861623-56a0-47e2-bd62-7aa9db1633a8")</f>
        <v>fc861623-56a0-47e2-bd62-7aa9db1633a8</v>
      </c>
      <c r="BC25" s="251"/>
      <c r="BD25" s="251"/>
      <c r="BE25" s="251"/>
      <c r="BF25" s="251"/>
      <c r="BG25" s="261"/>
      <c r="BI25" s="251" t="str">
        <f>IFERROR(__xludf.DUMMYFUNCTION("""COMPUTED_VALUE"""),"73df5aae-f42a-49a0-9d8f-616ca6dbebaa")</f>
        <v>73df5aae-f42a-49a0-9d8f-616ca6dbebaa</v>
      </c>
      <c r="BJ25" s="251" t="str">
        <f>IFERROR(__xludf.DUMMYFUNCTION("""COMPUTED_VALUE"""),"019ed124-a6d9-770c-a0e0-67d2a0908bde")</f>
        <v>019ed124-a6d9-770c-a0e0-67d2a0908bde</v>
      </c>
      <c r="BK25" s="261">
        <f>IFERROR(__xludf.DUMMYFUNCTION("""COMPUTED_VALUE"""),46189.66320601852)</f>
        <v>46189.66321</v>
      </c>
      <c r="BL25" s="251" t="str">
        <f>IFERROR(__xludf.DUMMYFUNCTION("""COMPUTED_VALUE"""),"credit")</f>
        <v>credit</v>
      </c>
      <c r="BM25" s="251">
        <f>IFERROR(__xludf.DUMMYFUNCTION("""COMPUTED_VALUE"""),15800.69)</f>
        <v>15800.69</v>
      </c>
      <c r="BN25" s="251" t="str">
        <f>IFERROR(__xludf.DUMMYFUNCTION("""COMPUTED_VALUE"""),"lisa")</f>
        <v>lisa</v>
      </c>
      <c r="BO25" s="251" t="str">
        <f>IFERROR(__xludf.DUMMYFUNCTION("""COMPUTED_VALUE"""),"b7a59586-5d10-4989-91c2-f2376c7a6ab2")</f>
        <v>b7a59586-5d10-4989-91c2-f2376c7a6ab2</v>
      </c>
      <c r="BP25" s="251" t="str">
        <f>IFERROR(__xludf.DUMMYFUNCTION("""COMPUTED_VALUE"""),"6c7ca4f4-7fef-4b08-8ff8-2f8d2c79a1e2")</f>
        <v>6c7ca4f4-7fef-4b08-8ff8-2f8d2c79a1e2</v>
      </c>
      <c r="BQ25" s="251" t="str">
        <f>IFERROR(__xludf.DUMMYFUNCTION("""COMPUTED_VALUE"""),"6c7ca4f4-7fef-4b08-8ff8-2f8d2c79a1e2")</f>
        <v>6c7ca4f4-7fef-4b08-8ff8-2f8d2c79a1e2</v>
      </c>
      <c r="BR25" s="251" t="str">
        <f>IFERROR(__xludf.DUMMYFUNCTION("""COMPUTED_VALUE"""),"CDF50426-712770789")</f>
        <v>CDF50426-712770789</v>
      </c>
      <c r="BS25" s="251">
        <f>IFERROR(__xludf.DUMMYFUNCTION("""COMPUTED_VALUE"""),15800.69)</f>
        <v>15800.69</v>
      </c>
      <c r="BT25" s="251" t="str">
        <f>IFERROR(__xludf.DUMMYFUNCTION("""COMPUTED_VALUE"""),"payin")</f>
        <v>payin</v>
      </c>
      <c r="BU25" s="261">
        <f>IFERROR(__xludf.DUMMYFUNCTION("""COMPUTED_VALUE"""),46188.56484953704)</f>
        <v>46188.56485</v>
      </c>
    </row>
    <row r="26">
      <c r="A26" s="255" t="s">
        <v>165</v>
      </c>
      <c r="B26" s="255" t="s">
        <v>297</v>
      </c>
      <c r="C26" s="256">
        <v>46189.349016203705</v>
      </c>
      <c r="D26" s="255" t="s">
        <v>265</v>
      </c>
      <c r="E26" s="257">
        <v>33950.32</v>
      </c>
      <c r="F26" s="255" t="s">
        <v>169</v>
      </c>
      <c r="G26" s="255" t="s">
        <v>170</v>
      </c>
      <c r="H26" s="255" t="s">
        <v>293</v>
      </c>
      <c r="I26" s="258"/>
      <c r="J26" s="258"/>
      <c r="K26" s="259"/>
      <c r="L26" s="258"/>
      <c r="M26" s="260"/>
      <c r="O26" s="247"/>
      <c r="AC26" s="247"/>
      <c r="AD26" s="251" t="str">
        <f>IFERROR(__xludf.DUMMYFUNCTION("""COMPUTED_VALUE"""),"73df5aae-f42a-49a0-9d8f-616ca6dbebaa")</f>
        <v>73df5aae-f42a-49a0-9d8f-616ca6dbebaa</v>
      </c>
      <c r="AE26" s="251" t="str">
        <f>IFERROR(__xludf.DUMMYFUNCTION("""COMPUTED_VALUE"""),"019ecf7c-55ad-7427-9bb9-58b36cfaddae")</f>
        <v>019ecf7c-55ad-7427-9bb9-58b36cfaddae</v>
      </c>
      <c r="AF26" s="261">
        <f>IFERROR(__xludf.DUMMYFUNCTION("""COMPUTED_VALUE"""),46189.34135416667)</f>
        <v>46189.34135</v>
      </c>
      <c r="AG26" s="251" t="str">
        <f>IFERROR(__xludf.DUMMYFUNCTION("""COMPUTED_VALUE"""),"debit")</f>
        <v>debit</v>
      </c>
      <c r="AH26" s="253">
        <f>IFERROR(__xludf.DUMMYFUNCTION("""COMPUTED_VALUE"""),51998.41)</f>
        <v>51998.41</v>
      </c>
      <c r="AI26" s="251" t="str">
        <f>IFERROR(__xludf.DUMMYFUNCTION("""COMPUTED_VALUE"""),"cash_isa")</f>
        <v>cash_isa</v>
      </c>
      <c r="AJ26" s="251" t="str">
        <f>IFERROR(__xludf.DUMMYFUNCTION("""COMPUTED_VALUE"""),"9bc00e6b-ce5f-48c5-ae3a-1baabe00f337")</f>
        <v>9bc00e6b-ce5f-48c5-ae3a-1baabe00f337</v>
      </c>
      <c r="AK26" s="251" t="str">
        <f>IFERROR(__xludf.DUMMYFUNCTION("""COMPUTED_VALUE"""),"205cdd7c-d2ed-4603-9ba0-b085b08ee3ed")</f>
        <v>205cdd7c-d2ed-4603-9ba0-b085b08ee3ed</v>
      </c>
      <c r="AL26" s="251"/>
      <c r="AM26" s="251"/>
      <c r="AN26" s="251"/>
      <c r="AO26" s="251"/>
      <c r="AP26" s="261"/>
      <c r="AR26" s="251" t="str">
        <f t="shared" si="1"/>
        <v>51998.41_debit</v>
      </c>
      <c r="AS26" s="251" t="str">
        <f t="shared" si="2"/>
        <v>DROP</v>
      </c>
      <c r="AT26" s="247"/>
      <c r="AU26" s="251" t="str">
        <f>IFERROR(__xludf.DUMMYFUNCTION("""COMPUTED_VALUE"""),"73df5aae-f42a-49a0-9d8f-616ca6dbebaa")</f>
        <v>73df5aae-f42a-49a0-9d8f-616ca6dbebaa</v>
      </c>
      <c r="AV26" s="251" t="str">
        <f>IFERROR(__xludf.DUMMYFUNCTION("""COMPUTED_VALUE"""),"019ed113-db36-7cc1-bf1f-f2778d3e3a69")</f>
        <v>019ed113-db36-7cc1-bf1f-f2778d3e3a69</v>
      </c>
      <c r="AW26" s="261">
        <f>IFERROR(__xludf.DUMMYFUNCTION("""COMPUTED_VALUE"""),46189.65046296296)</f>
        <v>46189.65046</v>
      </c>
      <c r="AX26" s="251" t="str">
        <f>IFERROR(__xludf.DUMMYFUNCTION("""COMPUTED_VALUE"""),"debit")</f>
        <v>debit</v>
      </c>
      <c r="AY26" s="251">
        <f>IFERROR(__xludf.DUMMYFUNCTION("""COMPUTED_VALUE"""),21672.66)</f>
        <v>21672.66</v>
      </c>
      <c r="AZ26" s="251" t="str">
        <f>IFERROR(__xludf.DUMMYFUNCTION("""COMPUTED_VALUE"""),"cash_isa")</f>
        <v>cash_isa</v>
      </c>
      <c r="BA26" s="251" t="str">
        <f>IFERROR(__xludf.DUMMYFUNCTION("""COMPUTED_VALUE"""),"9bc00e6b-ce5f-48c5-ae3a-1baabe00f337")</f>
        <v>9bc00e6b-ce5f-48c5-ae3a-1baabe00f337</v>
      </c>
      <c r="BB26" s="251" t="str">
        <f>IFERROR(__xludf.DUMMYFUNCTION("""COMPUTED_VALUE"""),"98dfe598-22b1-4ae2-919c-cdeeecf42108")</f>
        <v>98dfe598-22b1-4ae2-919c-cdeeecf42108</v>
      </c>
      <c r="BC26" s="251" t="str">
        <f>IFERROR(__xludf.DUMMYFUNCTION("""COMPUTED_VALUE"""),"98dfe598-22b1-4ae2-919c-cdeeecf42108")</f>
        <v>98dfe598-22b1-4ae2-919c-cdeeecf42108</v>
      </c>
      <c r="BD26" s="251" t="str">
        <f>IFERROR(__xludf.DUMMYFUNCTION("""COMPUTED_VALUE"""),"NOREF-2119575534")</f>
        <v>NOREF-2119575534</v>
      </c>
      <c r="BE26" s="251">
        <f>IFERROR(__xludf.DUMMYFUNCTION("""COMPUTED_VALUE"""),21672.66)</f>
        <v>21672.66</v>
      </c>
      <c r="BF26" s="251" t="str">
        <f>IFERROR(__xludf.DUMMYFUNCTION("""COMPUTED_VALUE"""),"payin")</f>
        <v>payin</v>
      </c>
      <c r="BG26" s="261">
        <f>IFERROR(__xludf.DUMMYFUNCTION("""COMPUTED_VALUE"""),46153.67741898148)</f>
        <v>46153.67742</v>
      </c>
      <c r="BI26" s="251" t="str">
        <f>IFERROR(__xludf.DUMMYFUNCTION("""COMPUTED_VALUE"""),"73df5aae-f42a-49a0-9d8f-616ca6dbebaa")</f>
        <v>73df5aae-f42a-49a0-9d8f-616ca6dbebaa</v>
      </c>
      <c r="BJ26" s="251" t="str">
        <f>IFERROR(__xludf.DUMMYFUNCTION("""COMPUTED_VALUE"""),"019ed129-5b0c-7dce-adaa-6bdb0e9e7e19")</f>
        <v>019ed129-5b0c-7dce-adaa-6bdb0e9e7e19</v>
      </c>
      <c r="BK26" s="261">
        <f>IFERROR(__xludf.DUMMYFUNCTION("""COMPUTED_VALUE"""),46189.66677083333)</f>
        <v>46189.66677</v>
      </c>
      <c r="BL26" s="251" t="str">
        <f>IFERROR(__xludf.DUMMYFUNCTION("""COMPUTED_VALUE"""),"debit")</f>
        <v>debit</v>
      </c>
      <c r="BM26" s="251">
        <f>IFERROR(__xludf.DUMMYFUNCTION("""COMPUTED_VALUE"""),1000.44)</f>
        <v>1000.44</v>
      </c>
      <c r="BN26" s="251" t="str">
        <f>IFERROR(__xludf.DUMMYFUNCTION("""COMPUTED_VALUE"""),"lisa")</f>
        <v>lisa</v>
      </c>
      <c r="BO26" s="251" t="str">
        <f>IFERROR(__xludf.DUMMYFUNCTION("""COMPUTED_VALUE"""),"b7a59586-5d10-4989-91c2-f2376c7a6ab2")</f>
        <v>b7a59586-5d10-4989-91c2-f2376c7a6ab2</v>
      </c>
      <c r="BP26" s="251" t="str">
        <f>IFERROR(__xludf.DUMMYFUNCTION("""COMPUTED_VALUE"""),"0007e97e-74a0-43ac-b3f7-38fcfed1342d")</f>
        <v>0007e97e-74a0-43ac-b3f7-38fcfed1342d</v>
      </c>
      <c r="BQ26" s="251" t="str">
        <f>IFERROR(__xludf.DUMMYFUNCTION("""COMPUTED_VALUE"""),"0007e97e-74a0-43ac-b3f7-38fcfed1342d")</f>
        <v>0007e97e-74a0-43ac-b3f7-38fcfed1342d</v>
      </c>
      <c r="BR26" s="251" t="str">
        <f>IFERROR(__xludf.DUMMYFUNCTION("""COMPUTED_VALUE"""),"NOREF-1430831478")</f>
        <v>NOREF-1430831478</v>
      </c>
      <c r="BS26" s="251">
        <f>IFERROR(__xludf.DUMMYFUNCTION("""COMPUTED_VALUE"""),1000.44)</f>
        <v>1000.44</v>
      </c>
      <c r="BT26" s="251" t="str">
        <f>IFERROR(__xludf.DUMMYFUNCTION("""COMPUTED_VALUE"""),"payin")</f>
        <v>payin</v>
      </c>
      <c r="BU26" s="261">
        <f>IFERROR(__xludf.DUMMYFUNCTION("""COMPUTED_VALUE"""),46183.41357638889)</f>
        <v>46183.41358</v>
      </c>
    </row>
    <row r="27">
      <c r="A27" s="262" t="s">
        <v>165</v>
      </c>
      <c r="B27" s="262" t="s">
        <v>298</v>
      </c>
      <c r="C27" s="263">
        <v>46189.350497685184</v>
      </c>
      <c r="D27" s="262" t="s">
        <v>167</v>
      </c>
      <c r="E27" s="264">
        <v>20619.97</v>
      </c>
      <c r="F27" s="262" t="s">
        <v>169</v>
      </c>
      <c r="G27" s="262" t="s">
        <v>170</v>
      </c>
      <c r="H27" s="262" t="s">
        <v>299</v>
      </c>
      <c r="I27" s="265"/>
      <c r="J27" s="265"/>
      <c r="K27" s="266"/>
      <c r="L27" s="265"/>
      <c r="M27" s="267"/>
      <c r="O27" s="247"/>
      <c r="AC27" s="247"/>
      <c r="AD27" s="251" t="str">
        <f>IFERROR(__xludf.DUMMYFUNCTION("""COMPUTED_VALUE"""),"73df5aae-f42a-49a0-9d8f-616ca6dbebaa")</f>
        <v>73df5aae-f42a-49a0-9d8f-616ca6dbebaa</v>
      </c>
      <c r="AE27" s="251" t="str">
        <f>IFERROR(__xludf.DUMMYFUNCTION("""COMPUTED_VALUE"""),"019ecf7e-7e01-76e2-ad1b-8a434ab054a0")</f>
        <v>019ecf7e-7e01-76e2-ad1b-8a434ab054a0</v>
      </c>
      <c r="AF27" s="261">
        <f>IFERROR(__xludf.DUMMYFUNCTION("""COMPUTED_VALUE"""),46189.34298611111)</f>
        <v>46189.34299</v>
      </c>
      <c r="AG27" s="251" t="str">
        <f>IFERROR(__xludf.DUMMYFUNCTION("""COMPUTED_VALUE"""),"credit")</f>
        <v>credit</v>
      </c>
      <c r="AH27" s="253">
        <f>IFERROR(__xludf.DUMMYFUNCTION("""COMPUTED_VALUE"""),41.57)</f>
        <v>41.57</v>
      </c>
      <c r="AI27" s="251" t="str">
        <f>IFERROR(__xludf.DUMMYFUNCTION("""COMPUTED_VALUE"""),"cash_isa")</f>
        <v>cash_isa</v>
      </c>
      <c r="AJ27" s="251" t="str">
        <f>IFERROR(__xludf.DUMMYFUNCTION("""COMPUTED_VALUE"""),"9bc00e6b-ce5f-48c5-ae3a-1baabe00f337")</f>
        <v>9bc00e6b-ce5f-48c5-ae3a-1baabe00f337</v>
      </c>
      <c r="AK27" s="251" t="str">
        <f>IFERROR(__xludf.DUMMYFUNCTION("""COMPUTED_VALUE"""),"5d9ab65f-d47d-440b-86fc-aada0df5983e")</f>
        <v>5d9ab65f-d47d-440b-86fc-aada0df5983e</v>
      </c>
      <c r="AL27" s="251"/>
      <c r="AM27" s="251"/>
      <c r="AN27" s="251"/>
      <c r="AO27" s="251"/>
      <c r="AP27" s="261"/>
      <c r="AR27" s="251" t="str">
        <f t="shared" si="1"/>
        <v>41.57_credit</v>
      </c>
      <c r="AS27" s="251" t="str">
        <f t="shared" si="2"/>
        <v>DROP</v>
      </c>
      <c r="AT27" s="247"/>
    </row>
    <row r="28">
      <c r="A28" s="255" t="s">
        <v>165</v>
      </c>
      <c r="B28" s="255" t="s">
        <v>300</v>
      </c>
      <c r="C28" s="256">
        <v>46189.350856481484</v>
      </c>
      <c r="D28" s="255" t="s">
        <v>265</v>
      </c>
      <c r="E28" s="257">
        <v>43175.87</v>
      </c>
      <c r="F28" s="255" t="s">
        <v>169</v>
      </c>
      <c r="G28" s="255" t="s">
        <v>170</v>
      </c>
      <c r="H28" s="255" t="s">
        <v>296</v>
      </c>
      <c r="I28" s="258"/>
      <c r="J28" s="258"/>
      <c r="K28" s="259"/>
      <c r="L28" s="258"/>
      <c r="M28" s="260"/>
      <c r="O28" s="247"/>
      <c r="AC28" s="247"/>
      <c r="AD28" s="251" t="str">
        <f>IFERROR(__xludf.DUMMYFUNCTION("""COMPUTED_VALUE"""),"73df5aae-f42a-49a0-9d8f-616ca6dbebaa")</f>
        <v>73df5aae-f42a-49a0-9d8f-616ca6dbebaa</v>
      </c>
      <c r="AE28" s="251" t="str">
        <f>IFERROR(__xludf.DUMMYFUNCTION("""COMPUTED_VALUE"""),"019ecf7f-4053-7b98-956f-d28b77a4465d")</f>
        <v>019ecf7f-4053-7b98-956f-d28b77a4465d</v>
      </c>
      <c r="AF28" s="261">
        <f>IFERROR(__xludf.DUMMYFUNCTION("""COMPUTED_VALUE"""),46189.343564814815)</f>
        <v>46189.34356</v>
      </c>
      <c r="AG28" s="251" t="str">
        <f>IFERROR(__xludf.DUMMYFUNCTION("""COMPUTED_VALUE"""),"credit")</f>
        <v>credit</v>
      </c>
      <c r="AH28" s="253">
        <f>IFERROR(__xludf.DUMMYFUNCTION("""COMPUTED_VALUE"""),64323.91)</f>
        <v>64323.91</v>
      </c>
      <c r="AI28" s="251" t="str">
        <f>IFERROR(__xludf.DUMMYFUNCTION("""COMPUTED_VALUE"""),"cash_isa")</f>
        <v>cash_isa</v>
      </c>
      <c r="AJ28" s="251" t="str">
        <f>IFERROR(__xludf.DUMMYFUNCTION("""COMPUTED_VALUE"""),"9bc00e6b-ce5f-48c5-ae3a-1baabe00f337")</f>
        <v>9bc00e6b-ce5f-48c5-ae3a-1baabe00f337</v>
      </c>
      <c r="AK28" s="251" t="str">
        <f>IFERROR(__xludf.DUMMYFUNCTION("""COMPUTED_VALUE"""),"0e6bf5a2-5f83-4dba-882b-f61da8185090")</f>
        <v>0e6bf5a2-5f83-4dba-882b-f61da8185090</v>
      </c>
      <c r="AL28" s="251"/>
      <c r="AM28" s="251"/>
      <c r="AN28" s="251"/>
      <c r="AO28" s="251"/>
      <c r="AP28" s="261"/>
      <c r="AR28" s="251" t="str">
        <f t="shared" si="1"/>
        <v>64323.91_credit</v>
      </c>
      <c r="AS28" s="251" t="str">
        <f t="shared" si="2"/>
        <v>DROP</v>
      </c>
      <c r="AT28" s="247"/>
    </row>
    <row r="29">
      <c r="A29" s="262" t="s">
        <v>165</v>
      </c>
      <c r="B29" s="262" t="s">
        <v>301</v>
      </c>
      <c r="C29" s="263">
        <v>46189.35109953704</v>
      </c>
      <c r="D29" s="262" t="s">
        <v>167</v>
      </c>
      <c r="E29" s="264">
        <v>41791.17</v>
      </c>
      <c r="F29" s="262" t="s">
        <v>169</v>
      </c>
      <c r="G29" s="262" t="s">
        <v>170</v>
      </c>
      <c r="H29" s="262" t="s">
        <v>302</v>
      </c>
      <c r="I29" s="265"/>
      <c r="J29" s="265"/>
      <c r="K29" s="266"/>
      <c r="L29" s="265"/>
      <c r="M29" s="267"/>
      <c r="O29" s="247"/>
      <c r="AC29" s="247"/>
      <c r="AD29" s="251" t="str">
        <f>IFERROR(__xludf.DUMMYFUNCTION("""COMPUTED_VALUE"""),"73df5aae-f42a-49a0-9d8f-616ca6dbebaa")</f>
        <v>73df5aae-f42a-49a0-9d8f-616ca6dbebaa</v>
      </c>
      <c r="AE29" s="251" t="str">
        <f>IFERROR(__xludf.DUMMYFUNCTION("""COMPUTED_VALUE"""),"019ecf80-33b1-7893-b131-a45c80eb3ade")</f>
        <v>019ecf80-33b1-7893-b131-a45c80eb3ade</v>
      </c>
      <c r="AF29" s="261">
        <f>IFERROR(__xludf.DUMMYFUNCTION("""COMPUTED_VALUE"""),46189.34428240741)</f>
        <v>46189.34428</v>
      </c>
      <c r="AG29" s="251" t="str">
        <f>IFERROR(__xludf.DUMMYFUNCTION("""COMPUTED_VALUE"""),"debit")</f>
        <v>debit</v>
      </c>
      <c r="AH29" s="253">
        <f>IFERROR(__xludf.DUMMYFUNCTION("""COMPUTED_VALUE"""),41.57)</f>
        <v>41.57</v>
      </c>
      <c r="AI29" s="251" t="str">
        <f>IFERROR(__xludf.DUMMYFUNCTION("""COMPUTED_VALUE"""),"cash_isa")</f>
        <v>cash_isa</v>
      </c>
      <c r="AJ29" s="251" t="str">
        <f>IFERROR(__xludf.DUMMYFUNCTION("""COMPUTED_VALUE"""),"9bc00e6b-ce5f-48c5-ae3a-1baabe00f337")</f>
        <v>9bc00e6b-ce5f-48c5-ae3a-1baabe00f337</v>
      </c>
      <c r="AK29" s="251" t="str">
        <f>IFERROR(__xludf.DUMMYFUNCTION("""COMPUTED_VALUE"""),"5d9ab65f-d47d-440b-86fc-aada0df5983e")</f>
        <v>5d9ab65f-d47d-440b-86fc-aada0df5983e</v>
      </c>
      <c r="AL29" s="251"/>
      <c r="AM29" s="251"/>
      <c r="AN29" s="251"/>
      <c r="AO29" s="251"/>
      <c r="AP29" s="261"/>
      <c r="AR29" s="251" t="str">
        <f t="shared" si="1"/>
        <v>41.57_debit</v>
      </c>
      <c r="AS29" s="251" t="str">
        <f t="shared" si="2"/>
        <v>DROP</v>
      </c>
      <c r="AT29" s="247"/>
    </row>
    <row r="30">
      <c r="A30" s="255" t="s">
        <v>165</v>
      </c>
      <c r="B30" s="255" t="s">
        <v>303</v>
      </c>
      <c r="C30" s="256">
        <v>46189.351956018516</v>
      </c>
      <c r="D30" s="255" t="s">
        <v>265</v>
      </c>
      <c r="E30" s="257">
        <v>41791.17</v>
      </c>
      <c r="F30" s="255" t="s">
        <v>169</v>
      </c>
      <c r="G30" s="255" t="s">
        <v>170</v>
      </c>
      <c r="H30" s="255" t="s">
        <v>302</v>
      </c>
      <c r="I30" s="258"/>
      <c r="J30" s="258"/>
      <c r="K30" s="259"/>
      <c r="L30" s="258"/>
      <c r="M30" s="260"/>
      <c r="O30" s="247"/>
      <c r="AC30" s="247"/>
      <c r="AD30" s="251" t="str">
        <f>IFERROR(__xludf.DUMMYFUNCTION("""COMPUTED_VALUE"""),"73df5aae-f42a-49a0-9d8f-616ca6dbebaa")</f>
        <v>73df5aae-f42a-49a0-9d8f-616ca6dbebaa</v>
      </c>
      <c r="AE30" s="251" t="str">
        <f>IFERROR(__xludf.DUMMYFUNCTION("""COMPUTED_VALUE"""),"019ecf81-99d5-7b76-843e-8be19854b4e5")</f>
        <v>019ecf81-99d5-7b76-843e-8be19854b4e5</v>
      </c>
      <c r="AF30" s="261">
        <f>IFERROR(__xludf.DUMMYFUNCTION("""COMPUTED_VALUE"""),46189.34534722222)</f>
        <v>46189.34535</v>
      </c>
      <c r="AG30" s="251" t="str">
        <f>IFERROR(__xludf.DUMMYFUNCTION("""COMPUTED_VALUE"""),"credit")</f>
        <v>credit</v>
      </c>
      <c r="AH30" s="253">
        <f>IFERROR(__xludf.DUMMYFUNCTION("""COMPUTED_VALUE"""),5983.9)</f>
        <v>5983.9</v>
      </c>
      <c r="AI30" s="251" t="str">
        <f>IFERROR(__xludf.DUMMYFUNCTION("""COMPUTED_VALUE"""),"cash_isa")</f>
        <v>cash_isa</v>
      </c>
      <c r="AJ30" s="251" t="str">
        <f>IFERROR(__xludf.DUMMYFUNCTION("""COMPUTED_VALUE"""),"9bc00e6b-ce5f-48c5-ae3a-1baabe00f337")</f>
        <v>9bc00e6b-ce5f-48c5-ae3a-1baabe00f337</v>
      </c>
      <c r="AK30" s="251" t="str">
        <f>IFERROR(__xludf.DUMMYFUNCTION("""COMPUTED_VALUE"""),"c2e67f69-0639-42c8-ad6e-b466688be698")</f>
        <v>c2e67f69-0639-42c8-ad6e-b466688be698</v>
      </c>
      <c r="AL30" s="251"/>
      <c r="AM30" s="251"/>
      <c r="AN30" s="251"/>
      <c r="AO30" s="251"/>
      <c r="AP30" s="261"/>
      <c r="AR30" s="251" t="str">
        <f t="shared" si="1"/>
        <v>5983.9_credit</v>
      </c>
      <c r="AS30" s="251" t="str">
        <f t="shared" si="2"/>
        <v>DROP</v>
      </c>
      <c r="AT30" s="247"/>
    </row>
    <row r="31">
      <c r="A31" s="262" t="s">
        <v>165</v>
      </c>
      <c r="B31" s="262" t="s">
        <v>304</v>
      </c>
      <c r="C31" s="263">
        <v>46189.35196759259</v>
      </c>
      <c r="D31" s="262" t="s">
        <v>265</v>
      </c>
      <c r="E31" s="264">
        <v>20619.97</v>
      </c>
      <c r="F31" s="262" t="s">
        <v>169</v>
      </c>
      <c r="G31" s="262" t="s">
        <v>170</v>
      </c>
      <c r="H31" s="262" t="s">
        <v>299</v>
      </c>
      <c r="I31" s="265"/>
      <c r="J31" s="265"/>
      <c r="K31" s="266"/>
      <c r="L31" s="265"/>
      <c r="M31" s="267"/>
      <c r="O31" s="247"/>
      <c r="AC31" s="247"/>
      <c r="AD31" s="251" t="str">
        <f>IFERROR(__xludf.DUMMYFUNCTION("""COMPUTED_VALUE"""),"73df5aae-f42a-49a0-9d8f-616ca6dbebaa")</f>
        <v>73df5aae-f42a-49a0-9d8f-616ca6dbebaa</v>
      </c>
      <c r="AE31" s="251" t="str">
        <f>IFERROR(__xludf.DUMMYFUNCTION("""COMPUTED_VALUE"""),"019ecf82-6586-7984-9b18-d51401b605bd")</f>
        <v>019ecf82-6586-7984-9b18-d51401b605bd</v>
      </c>
      <c r="AF31" s="261">
        <f>IFERROR(__xludf.DUMMYFUNCTION("""COMPUTED_VALUE"""),46189.34594907408)</f>
        <v>46189.34595</v>
      </c>
      <c r="AG31" s="251" t="str">
        <f>IFERROR(__xludf.DUMMYFUNCTION("""COMPUTED_VALUE"""),"debit")</f>
        <v>debit</v>
      </c>
      <c r="AH31" s="253">
        <f>IFERROR(__xludf.DUMMYFUNCTION("""COMPUTED_VALUE"""),64323.91)</f>
        <v>64323.91</v>
      </c>
      <c r="AI31" s="251" t="str">
        <f>IFERROR(__xludf.DUMMYFUNCTION("""COMPUTED_VALUE"""),"cash_isa")</f>
        <v>cash_isa</v>
      </c>
      <c r="AJ31" s="251" t="str">
        <f>IFERROR(__xludf.DUMMYFUNCTION("""COMPUTED_VALUE"""),"9bc00e6b-ce5f-48c5-ae3a-1baabe00f337")</f>
        <v>9bc00e6b-ce5f-48c5-ae3a-1baabe00f337</v>
      </c>
      <c r="AK31" s="251" t="str">
        <f>IFERROR(__xludf.DUMMYFUNCTION("""COMPUTED_VALUE"""),"0e6bf5a2-5f83-4dba-882b-f61da8185090")</f>
        <v>0e6bf5a2-5f83-4dba-882b-f61da8185090</v>
      </c>
      <c r="AL31" s="251"/>
      <c r="AM31" s="251"/>
      <c r="AN31" s="251"/>
      <c r="AO31" s="251"/>
      <c r="AP31" s="261"/>
      <c r="AR31" s="251" t="str">
        <f t="shared" si="1"/>
        <v>64323.91_debit</v>
      </c>
      <c r="AS31" s="251" t="str">
        <f t="shared" si="2"/>
        <v>DROP</v>
      </c>
      <c r="AT31" s="247"/>
    </row>
    <row r="32">
      <c r="A32" s="255" t="s">
        <v>165</v>
      </c>
      <c r="B32" s="255" t="s">
        <v>305</v>
      </c>
      <c r="C32" s="256">
        <v>46189.35228009259</v>
      </c>
      <c r="D32" s="255" t="s">
        <v>167</v>
      </c>
      <c r="E32" s="257">
        <v>20902.73</v>
      </c>
      <c r="F32" s="255" t="s">
        <v>169</v>
      </c>
      <c r="G32" s="255" t="s">
        <v>170</v>
      </c>
      <c r="H32" s="255" t="s">
        <v>306</v>
      </c>
      <c r="I32" s="258"/>
      <c r="J32" s="258"/>
      <c r="K32" s="259"/>
      <c r="L32" s="258"/>
      <c r="M32" s="260"/>
      <c r="O32" s="247"/>
      <c r="AC32" s="247"/>
      <c r="AD32" s="251" t="str">
        <f>IFERROR(__xludf.DUMMYFUNCTION("""COMPUTED_VALUE"""),"73df5aae-f42a-49a0-9d8f-616ca6dbebaa")</f>
        <v>73df5aae-f42a-49a0-9d8f-616ca6dbebaa</v>
      </c>
      <c r="AE32" s="251" t="str">
        <f>IFERROR(__xludf.DUMMYFUNCTION("""COMPUTED_VALUE"""),"019ecf82-dc4b-7660-bc65-34689d6a0cb5")</f>
        <v>019ecf82-dc4b-7660-bc65-34689d6a0cb5</v>
      </c>
      <c r="AF32" s="261">
        <f>IFERROR(__xludf.DUMMYFUNCTION("""COMPUTED_VALUE"""),46189.346296296295)</f>
        <v>46189.3463</v>
      </c>
      <c r="AG32" s="251" t="str">
        <f>IFERROR(__xludf.DUMMYFUNCTION("""COMPUTED_VALUE"""),"debit")</f>
        <v>debit</v>
      </c>
      <c r="AH32" s="253">
        <f>IFERROR(__xludf.DUMMYFUNCTION("""COMPUTED_VALUE"""),5983.9)</f>
        <v>5983.9</v>
      </c>
      <c r="AI32" s="251" t="str">
        <f>IFERROR(__xludf.DUMMYFUNCTION("""COMPUTED_VALUE"""),"cash_isa")</f>
        <v>cash_isa</v>
      </c>
      <c r="AJ32" s="251" t="str">
        <f>IFERROR(__xludf.DUMMYFUNCTION("""COMPUTED_VALUE"""),"9bc00e6b-ce5f-48c5-ae3a-1baabe00f337")</f>
        <v>9bc00e6b-ce5f-48c5-ae3a-1baabe00f337</v>
      </c>
      <c r="AK32" s="251" t="str">
        <f>IFERROR(__xludf.DUMMYFUNCTION("""COMPUTED_VALUE"""),"c2e67f69-0639-42c8-ad6e-b466688be698")</f>
        <v>c2e67f69-0639-42c8-ad6e-b466688be698</v>
      </c>
      <c r="AL32" s="251"/>
      <c r="AM32" s="251"/>
      <c r="AN32" s="251"/>
      <c r="AO32" s="251"/>
      <c r="AP32" s="261"/>
      <c r="AR32" s="251" t="str">
        <f t="shared" si="1"/>
        <v>5983.9_debit</v>
      </c>
      <c r="AS32" s="251" t="str">
        <f t="shared" si="2"/>
        <v>DROP</v>
      </c>
      <c r="AT32" s="247"/>
    </row>
    <row r="33">
      <c r="A33" s="262" t="s">
        <v>165</v>
      </c>
      <c r="B33" s="262" t="s">
        <v>307</v>
      </c>
      <c r="C33" s="263">
        <v>46189.35251157408</v>
      </c>
      <c r="D33" s="262" t="s">
        <v>167</v>
      </c>
      <c r="E33" s="264">
        <v>42620.95</v>
      </c>
      <c r="F33" s="262" t="s">
        <v>169</v>
      </c>
      <c r="G33" s="262" t="s">
        <v>170</v>
      </c>
      <c r="H33" s="262" t="s">
        <v>308</v>
      </c>
      <c r="I33" s="265"/>
      <c r="J33" s="265"/>
      <c r="K33" s="266"/>
      <c r="L33" s="265"/>
      <c r="M33" s="267"/>
      <c r="O33" s="247"/>
      <c r="AC33" s="247"/>
      <c r="AD33" s="251" t="str">
        <f>IFERROR(__xludf.DUMMYFUNCTION("""COMPUTED_VALUE"""),"73df5aae-f42a-49a0-9d8f-616ca6dbebaa")</f>
        <v>73df5aae-f42a-49a0-9d8f-616ca6dbebaa</v>
      </c>
      <c r="AE33" s="251" t="str">
        <f>IFERROR(__xludf.DUMMYFUNCTION("""COMPUTED_VALUE"""),"019ecf84-2564-7568-86d7-f5bc38db90ce")</f>
        <v>019ecf84-2564-7568-86d7-f5bc38db90ce</v>
      </c>
      <c r="AF33" s="261">
        <f>IFERROR(__xludf.DUMMYFUNCTION("""COMPUTED_VALUE"""),46189.347280092596)</f>
        <v>46189.34728</v>
      </c>
      <c r="AG33" s="251" t="str">
        <f>IFERROR(__xludf.DUMMYFUNCTION("""COMPUTED_VALUE"""),"credit")</f>
        <v>credit</v>
      </c>
      <c r="AH33" s="253">
        <f>IFERROR(__xludf.DUMMYFUNCTION("""COMPUTED_VALUE"""),43516.22)</f>
        <v>43516.22</v>
      </c>
      <c r="AI33" s="251" t="str">
        <f>IFERROR(__xludf.DUMMYFUNCTION("""COMPUTED_VALUE"""),"cash_isa")</f>
        <v>cash_isa</v>
      </c>
      <c r="AJ33" s="251" t="str">
        <f>IFERROR(__xludf.DUMMYFUNCTION("""COMPUTED_VALUE"""),"9bc00e6b-ce5f-48c5-ae3a-1baabe00f337")</f>
        <v>9bc00e6b-ce5f-48c5-ae3a-1baabe00f337</v>
      </c>
      <c r="AK33" s="251" t="str">
        <f>IFERROR(__xludf.DUMMYFUNCTION("""COMPUTED_VALUE"""),"d7cdd0e3-4ed8-45e6-9437-21b31d2214e9")</f>
        <v>d7cdd0e3-4ed8-45e6-9437-21b31d2214e9</v>
      </c>
      <c r="AL33" s="251"/>
      <c r="AM33" s="251"/>
      <c r="AN33" s="251"/>
      <c r="AO33" s="251"/>
      <c r="AP33" s="261"/>
      <c r="AR33" s="251" t="str">
        <f t="shared" si="1"/>
        <v>43516.22_credit</v>
      </c>
      <c r="AS33" s="251" t="str">
        <f t="shared" si="2"/>
        <v>DROP</v>
      </c>
      <c r="AT33" s="247"/>
    </row>
    <row r="34">
      <c r="A34" s="255" t="s">
        <v>165</v>
      </c>
      <c r="B34" s="255" t="s">
        <v>309</v>
      </c>
      <c r="C34" s="256">
        <v>46189.35328703704</v>
      </c>
      <c r="D34" s="255" t="s">
        <v>167</v>
      </c>
      <c r="E34" s="257">
        <v>21429.12</v>
      </c>
      <c r="F34" s="255" t="s">
        <v>169</v>
      </c>
      <c r="G34" s="255" t="s">
        <v>170</v>
      </c>
      <c r="H34" s="255" t="s">
        <v>310</v>
      </c>
      <c r="I34" s="258"/>
      <c r="J34" s="258"/>
      <c r="K34" s="259"/>
      <c r="L34" s="258"/>
      <c r="M34" s="260"/>
      <c r="O34" s="247"/>
      <c r="AC34" s="247"/>
      <c r="AD34" s="251" t="str">
        <f>IFERROR(__xludf.DUMMYFUNCTION("""COMPUTED_VALUE"""),"73df5aae-f42a-49a0-9d8f-616ca6dbebaa")</f>
        <v>73df5aae-f42a-49a0-9d8f-616ca6dbebaa</v>
      </c>
      <c r="AE34" s="251" t="str">
        <f>IFERROR(__xludf.DUMMYFUNCTION("""COMPUTED_VALUE"""),"019ecf85-3437-7732-9d69-781ef136ee47")</f>
        <v>019ecf85-3437-7732-9d69-781ef136ee47</v>
      </c>
      <c r="AF34" s="261">
        <f>IFERROR(__xludf.DUMMYFUNCTION("""COMPUTED_VALUE"""),46189.348078703704)</f>
        <v>46189.34808</v>
      </c>
      <c r="AG34" s="251" t="str">
        <f>IFERROR(__xludf.DUMMYFUNCTION("""COMPUTED_VALUE"""),"credit")</f>
        <v>credit</v>
      </c>
      <c r="AH34" s="253">
        <f>IFERROR(__xludf.DUMMYFUNCTION("""COMPUTED_VALUE"""),33950.32)</f>
        <v>33950.32</v>
      </c>
      <c r="AI34" s="251" t="str">
        <f>IFERROR(__xludf.DUMMYFUNCTION("""COMPUTED_VALUE"""),"cash_isa")</f>
        <v>cash_isa</v>
      </c>
      <c r="AJ34" s="251" t="str">
        <f>IFERROR(__xludf.DUMMYFUNCTION("""COMPUTED_VALUE"""),"9bc00e6b-ce5f-48c5-ae3a-1baabe00f337")</f>
        <v>9bc00e6b-ce5f-48c5-ae3a-1baabe00f337</v>
      </c>
      <c r="AK34" s="251" t="str">
        <f>IFERROR(__xludf.DUMMYFUNCTION("""COMPUTED_VALUE"""),"b62bdbfd-3364-49ee-bdea-86f10c50c819")</f>
        <v>b62bdbfd-3364-49ee-bdea-86f10c50c819</v>
      </c>
      <c r="AL34" s="251"/>
      <c r="AM34" s="251"/>
      <c r="AN34" s="251"/>
      <c r="AO34" s="251"/>
      <c r="AP34" s="261"/>
      <c r="AR34" s="251" t="str">
        <f t="shared" si="1"/>
        <v>33950.32_credit</v>
      </c>
      <c r="AS34" s="251" t="str">
        <f t="shared" si="2"/>
        <v>DROP</v>
      </c>
      <c r="AT34" s="247"/>
    </row>
    <row r="35">
      <c r="A35" s="262" t="s">
        <v>165</v>
      </c>
      <c r="B35" s="262" t="s">
        <v>311</v>
      </c>
      <c r="C35" s="263">
        <v>46189.353425925925</v>
      </c>
      <c r="D35" s="262" t="s">
        <v>265</v>
      </c>
      <c r="E35" s="264">
        <v>20902.73</v>
      </c>
      <c r="F35" s="262" t="s">
        <v>169</v>
      </c>
      <c r="G35" s="262" t="s">
        <v>170</v>
      </c>
      <c r="H35" s="262" t="s">
        <v>306</v>
      </c>
      <c r="I35" s="265"/>
      <c r="J35" s="265"/>
      <c r="K35" s="266"/>
      <c r="L35" s="265"/>
      <c r="M35" s="267"/>
      <c r="O35" s="247"/>
      <c r="AC35" s="247"/>
      <c r="AD35" s="251" t="str">
        <f>IFERROR(__xludf.DUMMYFUNCTION("""COMPUTED_VALUE"""),"73df5aae-f42a-49a0-9d8f-616ca6dbebaa")</f>
        <v>73df5aae-f42a-49a0-9d8f-616ca6dbebaa</v>
      </c>
      <c r="AE35" s="251" t="str">
        <f>IFERROR(__xludf.DUMMYFUNCTION("""COMPUTED_VALUE"""),"019ecf85-8c83-7334-b02c-3507c1e46c82")</f>
        <v>019ecf85-8c83-7334-b02c-3507c1e46c82</v>
      </c>
      <c r="AF35" s="261">
        <f>IFERROR(__xludf.DUMMYFUNCTION("""COMPUTED_VALUE"""),46189.34834490741)</f>
        <v>46189.34834</v>
      </c>
      <c r="AG35" s="251" t="str">
        <f>IFERROR(__xludf.DUMMYFUNCTION("""COMPUTED_VALUE"""),"debit")</f>
        <v>debit</v>
      </c>
      <c r="AH35" s="253">
        <f>IFERROR(__xludf.DUMMYFUNCTION("""COMPUTED_VALUE"""),43516.22)</f>
        <v>43516.22</v>
      </c>
      <c r="AI35" s="251" t="str">
        <f>IFERROR(__xludf.DUMMYFUNCTION("""COMPUTED_VALUE"""),"cash_isa")</f>
        <v>cash_isa</v>
      </c>
      <c r="AJ35" s="251" t="str">
        <f>IFERROR(__xludf.DUMMYFUNCTION("""COMPUTED_VALUE"""),"9bc00e6b-ce5f-48c5-ae3a-1baabe00f337")</f>
        <v>9bc00e6b-ce5f-48c5-ae3a-1baabe00f337</v>
      </c>
      <c r="AK35" s="251" t="str">
        <f>IFERROR(__xludf.DUMMYFUNCTION("""COMPUTED_VALUE"""),"d7cdd0e3-4ed8-45e6-9437-21b31d2214e9")</f>
        <v>d7cdd0e3-4ed8-45e6-9437-21b31d2214e9</v>
      </c>
      <c r="AL35" s="251"/>
      <c r="AM35" s="251"/>
      <c r="AN35" s="251"/>
      <c r="AO35" s="251"/>
      <c r="AP35" s="261"/>
      <c r="AR35" s="251" t="str">
        <f t="shared" si="1"/>
        <v>43516.22_debit</v>
      </c>
      <c r="AS35" s="251" t="str">
        <f t="shared" si="2"/>
        <v>DROP</v>
      </c>
      <c r="AT35" s="247"/>
    </row>
    <row r="36">
      <c r="A36" s="255" t="s">
        <v>165</v>
      </c>
      <c r="B36" s="255" t="s">
        <v>312</v>
      </c>
      <c r="C36" s="256">
        <v>46189.354155092595</v>
      </c>
      <c r="D36" s="255" t="s">
        <v>265</v>
      </c>
      <c r="E36" s="257">
        <v>42620.95</v>
      </c>
      <c r="F36" s="255" t="s">
        <v>169</v>
      </c>
      <c r="G36" s="255" t="s">
        <v>170</v>
      </c>
      <c r="H36" s="255" t="s">
        <v>308</v>
      </c>
      <c r="I36" s="258"/>
      <c r="J36" s="258"/>
      <c r="K36" s="259"/>
      <c r="L36" s="258"/>
      <c r="M36" s="260"/>
      <c r="O36" s="247"/>
      <c r="AC36" s="247"/>
      <c r="AD36" s="251" t="str">
        <f>IFERROR(__xludf.DUMMYFUNCTION("""COMPUTED_VALUE"""),"73df5aae-f42a-49a0-9d8f-616ca6dbebaa")</f>
        <v>73df5aae-f42a-49a0-9d8f-616ca6dbebaa</v>
      </c>
      <c r="AE36" s="251" t="str">
        <f>IFERROR(__xludf.DUMMYFUNCTION("""COMPUTED_VALUE"""),"019ecf85-cc66-7aff-abb6-e421b907b077")</f>
        <v>019ecf85-cc66-7aff-abb6-e421b907b077</v>
      </c>
      <c r="AF36" s="261">
        <f>IFERROR(__xludf.DUMMYFUNCTION("""COMPUTED_VALUE"""),46189.3485300926)</f>
        <v>46189.34853</v>
      </c>
      <c r="AG36" s="251" t="str">
        <f>IFERROR(__xludf.DUMMYFUNCTION("""COMPUTED_VALUE"""),"credit")</f>
        <v>credit</v>
      </c>
      <c r="AH36" s="253">
        <f>IFERROR(__xludf.DUMMYFUNCTION("""COMPUTED_VALUE"""),43175.87)</f>
        <v>43175.87</v>
      </c>
      <c r="AI36" s="251" t="str">
        <f>IFERROR(__xludf.DUMMYFUNCTION("""COMPUTED_VALUE"""),"cash_isa")</f>
        <v>cash_isa</v>
      </c>
      <c r="AJ36" s="251" t="str">
        <f>IFERROR(__xludf.DUMMYFUNCTION("""COMPUTED_VALUE"""),"9bc00e6b-ce5f-48c5-ae3a-1baabe00f337")</f>
        <v>9bc00e6b-ce5f-48c5-ae3a-1baabe00f337</v>
      </c>
      <c r="AK36" s="251" t="str">
        <f>IFERROR(__xludf.DUMMYFUNCTION("""COMPUTED_VALUE"""),"c5f9e2a7-273d-4d39-9244-99e807cc62bb")</f>
        <v>c5f9e2a7-273d-4d39-9244-99e807cc62bb</v>
      </c>
      <c r="AL36" s="251"/>
      <c r="AM36" s="251"/>
      <c r="AN36" s="251"/>
      <c r="AO36" s="251"/>
      <c r="AP36" s="261"/>
      <c r="AR36" s="251" t="str">
        <f t="shared" si="1"/>
        <v>43175.87_credit</v>
      </c>
      <c r="AS36" s="251" t="str">
        <f t="shared" si="2"/>
        <v>DROP</v>
      </c>
      <c r="AT36" s="247"/>
    </row>
    <row r="37">
      <c r="A37" s="262" t="s">
        <v>165</v>
      </c>
      <c r="B37" s="262" t="s">
        <v>313</v>
      </c>
      <c r="C37" s="263">
        <v>46189.35418981482</v>
      </c>
      <c r="D37" s="262" t="s">
        <v>167</v>
      </c>
      <c r="E37" s="264">
        <v>30124.06</v>
      </c>
      <c r="F37" s="262" t="s">
        <v>169</v>
      </c>
      <c r="G37" s="262" t="s">
        <v>170</v>
      </c>
      <c r="H37" s="262" t="s">
        <v>314</v>
      </c>
      <c r="I37" s="265"/>
      <c r="J37" s="265"/>
      <c r="K37" s="266"/>
      <c r="L37" s="265"/>
      <c r="M37" s="267"/>
      <c r="O37" s="247"/>
      <c r="AC37" s="247"/>
      <c r="AD37" s="251" t="str">
        <f>IFERROR(__xludf.DUMMYFUNCTION("""COMPUTED_VALUE"""),"73df5aae-f42a-49a0-9d8f-616ca6dbebaa")</f>
        <v>73df5aae-f42a-49a0-9d8f-616ca6dbebaa</v>
      </c>
      <c r="AE37" s="251" t="str">
        <f>IFERROR(__xludf.DUMMYFUNCTION("""COMPUTED_VALUE"""),"019ecf86-7090-7d46-93ff-eadf6515cf6a")</f>
        <v>019ecf86-7090-7d46-93ff-eadf6515cf6a</v>
      </c>
      <c r="AF37" s="261">
        <f>IFERROR(__xludf.DUMMYFUNCTION("""COMPUTED_VALUE"""),46189.349016203705)</f>
        <v>46189.34902</v>
      </c>
      <c r="AG37" s="251" t="str">
        <f>IFERROR(__xludf.DUMMYFUNCTION("""COMPUTED_VALUE"""),"debit")</f>
        <v>debit</v>
      </c>
      <c r="AH37" s="253">
        <f>IFERROR(__xludf.DUMMYFUNCTION("""COMPUTED_VALUE"""),33950.32)</f>
        <v>33950.32</v>
      </c>
      <c r="AI37" s="251" t="str">
        <f>IFERROR(__xludf.DUMMYFUNCTION("""COMPUTED_VALUE"""),"cash_isa")</f>
        <v>cash_isa</v>
      </c>
      <c r="AJ37" s="251" t="str">
        <f>IFERROR(__xludf.DUMMYFUNCTION("""COMPUTED_VALUE"""),"9bc00e6b-ce5f-48c5-ae3a-1baabe00f337")</f>
        <v>9bc00e6b-ce5f-48c5-ae3a-1baabe00f337</v>
      </c>
      <c r="AK37" s="251" t="str">
        <f>IFERROR(__xludf.DUMMYFUNCTION("""COMPUTED_VALUE"""),"b62bdbfd-3364-49ee-bdea-86f10c50c819")</f>
        <v>b62bdbfd-3364-49ee-bdea-86f10c50c819</v>
      </c>
      <c r="AL37" s="251"/>
      <c r="AM37" s="251"/>
      <c r="AN37" s="251"/>
      <c r="AO37" s="251"/>
      <c r="AP37" s="261"/>
      <c r="AR37" s="251" t="str">
        <f t="shared" si="1"/>
        <v>33950.32_debit</v>
      </c>
      <c r="AS37" s="251" t="str">
        <f t="shared" si="2"/>
        <v>DROP</v>
      </c>
      <c r="AT37" s="247"/>
    </row>
    <row r="38">
      <c r="A38" s="255" t="s">
        <v>165</v>
      </c>
      <c r="B38" s="255" t="s">
        <v>315</v>
      </c>
      <c r="C38" s="256">
        <v>46189.35488425926</v>
      </c>
      <c r="D38" s="255" t="s">
        <v>265</v>
      </c>
      <c r="E38" s="257">
        <v>21429.12</v>
      </c>
      <c r="F38" s="255" t="s">
        <v>169</v>
      </c>
      <c r="G38" s="255" t="s">
        <v>170</v>
      </c>
      <c r="H38" s="255" t="s">
        <v>310</v>
      </c>
      <c r="I38" s="258"/>
      <c r="J38" s="258"/>
      <c r="K38" s="259"/>
      <c r="L38" s="258"/>
      <c r="M38" s="260"/>
      <c r="O38" s="247"/>
      <c r="AC38" s="247"/>
      <c r="AD38" s="251" t="str">
        <f>IFERROR(__xludf.DUMMYFUNCTION("""COMPUTED_VALUE"""),"73df5aae-f42a-49a0-9d8f-616ca6dbebaa")</f>
        <v>73df5aae-f42a-49a0-9d8f-616ca6dbebaa</v>
      </c>
      <c r="AE38" s="251" t="str">
        <f>IFERROR(__xludf.DUMMYFUNCTION("""COMPUTED_VALUE"""),"019ecf88-6644-7bb9-ad1c-7b69816bf46a")</f>
        <v>019ecf88-6644-7bb9-ad1c-7b69816bf46a</v>
      </c>
      <c r="AF38" s="261">
        <f>IFERROR(__xludf.DUMMYFUNCTION("""COMPUTED_VALUE"""),46189.350497685184)</f>
        <v>46189.3505</v>
      </c>
      <c r="AG38" s="251" t="str">
        <f>IFERROR(__xludf.DUMMYFUNCTION("""COMPUTED_VALUE"""),"credit")</f>
        <v>credit</v>
      </c>
      <c r="AH38" s="253">
        <f>IFERROR(__xludf.DUMMYFUNCTION("""COMPUTED_VALUE"""),20619.97)</f>
        <v>20619.97</v>
      </c>
      <c r="AI38" s="251" t="str">
        <f>IFERROR(__xludf.DUMMYFUNCTION("""COMPUTED_VALUE"""),"cash_isa")</f>
        <v>cash_isa</v>
      </c>
      <c r="AJ38" s="251" t="str">
        <f>IFERROR(__xludf.DUMMYFUNCTION("""COMPUTED_VALUE"""),"9bc00e6b-ce5f-48c5-ae3a-1baabe00f337")</f>
        <v>9bc00e6b-ce5f-48c5-ae3a-1baabe00f337</v>
      </c>
      <c r="AK38" s="251" t="str">
        <f>IFERROR(__xludf.DUMMYFUNCTION("""COMPUTED_VALUE"""),"8b616f8a-bd8e-41d8-90df-75136e898d98")</f>
        <v>8b616f8a-bd8e-41d8-90df-75136e898d98</v>
      </c>
      <c r="AL38" s="251"/>
      <c r="AM38" s="251"/>
      <c r="AN38" s="251"/>
      <c r="AO38" s="251"/>
      <c r="AP38" s="261"/>
      <c r="AR38" s="251" t="str">
        <f t="shared" si="1"/>
        <v>20619.97_credit</v>
      </c>
      <c r="AS38" s="251" t="str">
        <f t="shared" si="2"/>
        <v>DROP</v>
      </c>
      <c r="AT38" s="247"/>
    </row>
    <row r="39">
      <c r="A39" s="262" t="s">
        <v>165</v>
      </c>
      <c r="B39" s="262" t="s">
        <v>316</v>
      </c>
      <c r="C39" s="263">
        <v>46189.355625</v>
      </c>
      <c r="D39" s="262" t="s">
        <v>167</v>
      </c>
      <c r="E39" s="264">
        <v>15678.39</v>
      </c>
      <c r="F39" s="262" t="s">
        <v>169</v>
      </c>
      <c r="G39" s="262" t="s">
        <v>170</v>
      </c>
      <c r="H39" s="262" t="s">
        <v>317</v>
      </c>
      <c r="I39" s="265"/>
      <c r="J39" s="265"/>
      <c r="K39" s="266"/>
      <c r="L39" s="265"/>
      <c r="M39" s="267"/>
      <c r="O39" s="247"/>
      <c r="AC39" s="247"/>
      <c r="AD39" s="251" t="str">
        <f>IFERROR(__xludf.DUMMYFUNCTION("""COMPUTED_VALUE"""),"73df5aae-f42a-49a0-9d8f-616ca6dbebaa")</f>
        <v>73df5aae-f42a-49a0-9d8f-616ca6dbebaa</v>
      </c>
      <c r="AE39" s="251" t="str">
        <f>IFERROR(__xludf.DUMMYFUNCTION("""COMPUTED_VALUE"""),"019ecf88-dd66-75bc-a72c-3d4ed0285cd1")</f>
        <v>019ecf88-dd66-75bc-a72c-3d4ed0285cd1</v>
      </c>
      <c r="AF39" s="261">
        <f>IFERROR(__xludf.DUMMYFUNCTION("""COMPUTED_VALUE"""),46189.350856481484)</f>
        <v>46189.35086</v>
      </c>
      <c r="AG39" s="251" t="str">
        <f>IFERROR(__xludf.DUMMYFUNCTION("""COMPUTED_VALUE"""),"debit")</f>
        <v>debit</v>
      </c>
      <c r="AH39" s="253">
        <f>IFERROR(__xludf.DUMMYFUNCTION("""COMPUTED_VALUE"""),43175.87)</f>
        <v>43175.87</v>
      </c>
      <c r="AI39" s="251" t="str">
        <f>IFERROR(__xludf.DUMMYFUNCTION("""COMPUTED_VALUE"""),"cash_isa")</f>
        <v>cash_isa</v>
      </c>
      <c r="AJ39" s="251" t="str">
        <f>IFERROR(__xludf.DUMMYFUNCTION("""COMPUTED_VALUE"""),"9bc00e6b-ce5f-48c5-ae3a-1baabe00f337")</f>
        <v>9bc00e6b-ce5f-48c5-ae3a-1baabe00f337</v>
      </c>
      <c r="AK39" s="251" t="str">
        <f>IFERROR(__xludf.DUMMYFUNCTION("""COMPUTED_VALUE"""),"c5f9e2a7-273d-4d39-9244-99e807cc62bb")</f>
        <v>c5f9e2a7-273d-4d39-9244-99e807cc62bb</v>
      </c>
      <c r="AL39" s="251"/>
      <c r="AM39" s="251"/>
      <c r="AN39" s="251"/>
      <c r="AO39" s="251"/>
      <c r="AP39" s="261"/>
      <c r="AR39" s="251" t="str">
        <f t="shared" si="1"/>
        <v>43175.87_debit</v>
      </c>
      <c r="AS39" s="251" t="str">
        <f t="shared" si="2"/>
        <v>DROP</v>
      </c>
      <c r="AT39" s="247"/>
    </row>
    <row r="40">
      <c r="A40" s="255" t="s">
        <v>165</v>
      </c>
      <c r="B40" s="255" t="s">
        <v>318</v>
      </c>
      <c r="C40" s="256">
        <v>46189.35643518518</v>
      </c>
      <c r="D40" s="255" t="s">
        <v>265</v>
      </c>
      <c r="E40" s="257">
        <v>30124.06</v>
      </c>
      <c r="F40" s="255" t="s">
        <v>169</v>
      </c>
      <c r="G40" s="255" t="s">
        <v>170</v>
      </c>
      <c r="H40" s="255" t="s">
        <v>314</v>
      </c>
      <c r="I40" s="258"/>
      <c r="J40" s="258"/>
      <c r="K40" s="259"/>
      <c r="L40" s="258"/>
      <c r="M40" s="260"/>
      <c r="O40" s="247"/>
      <c r="AC40" s="247"/>
      <c r="AD40" s="251" t="str">
        <f>IFERROR(__xludf.DUMMYFUNCTION("""COMPUTED_VALUE"""),"73df5aae-f42a-49a0-9d8f-616ca6dbebaa")</f>
        <v>73df5aae-f42a-49a0-9d8f-616ca6dbebaa</v>
      </c>
      <c r="AE40" s="251" t="str">
        <f>IFERROR(__xludf.DUMMYFUNCTION("""COMPUTED_VALUE"""),"019ecf89-311d-7d31-a446-1a62bd0f20e0")</f>
        <v>019ecf89-311d-7d31-a446-1a62bd0f20e0</v>
      </c>
      <c r="AF40" s="261">
        <f>IFERROR(__xludf.DUMMYFUNCTION("""COMPUTED_VALUE"""),46189.35109953704)</f>
        <v>46189.3511</v>
      </c>
      <c r="AG40" s="251" t="str">
        <f>IFERROR(__xludf.DUMMYFUNCTION("""COMPUTED_VALUE"""),"credit")</f>
        <v>credit</v>
      </c>
      <c r="AH40" s="253">
        <f>IFERROR(__xludf.DUMMYFUNCTION("""COMPUTED_VALUE"""),41791.17)</f>
        <v>41791.17</v>
      </c>
      <c r="AI40" s="251" t="str">
        <f>IFERROR(__xludf.DUMMYFUNCTION("""COMPUTED_VALUE"""),"cash_isa")</f>
        <v>cash_isa</v>
      </c>
      <c r="AJ40" s="251" t="str">
        <f>IFERROR(__xludf.DUMMYFUNCTION("""COMPUTED_VALUE"""),"9bc00e6b-ce5f-48c5-ae3a-1baabe00f337")</f>
        <v>9bc00e6b-ce5f-48c5-ae3a-1baabe00f337</v>
      </c>
      <c r="AK40" s="251" t="str">
        <f>IFERROR(__xludf.DUMMYFUNCTION("""COMPUTED_VALUE"""),"845dcc7b-e80c-47ba-978d-eaf51da59982")</f>
        <v>845dcc7b-e80c-47ba-978d-eaf51da59982</v>
      </c>
      <c r="AL40" s="251"/>
      <c r="AM40" s="251"/>
      <c r="AN40" s="251"/>
      <c r="AO40" s="251"/>
      <c r="AP40" s="261"/>
      <c r="AR40" s="251" t="str">
        <f t="shared" si="1"/>
        <v>41791.17_credit</v>
      </c>
      <c r="AS40" s="251" t="str">
        <f t="shared" si="2"/>
        <v>DROP</v>
      </c>
      <c r="AT40" s="247"/>
    </row>
    <row r="41">
      <c r="A41" s="262" t="s">
        <v>165</v>
      </c>
      <c r="B41" s="262" t="s">
        <v>319</v>
      </c>
      <c r="C41" s="263">
        <v>46189.35741898148</v>
      </c>
      <c r="D41" s="262" t="s">
        <v>265</v>
      </c>
      <c r="E41" s="264">
        <v>15678.39</v>
      </c>
      <c r="F41" s="262" t="s">
        <v>169</v>
      </c>
      <c r="G41" s="262" t="s">
        <v>170</v>
      </c>
      <c r="H41" s="262" t="s">
        <v>317</v>
      </c>
      <c r="I41" s="265"/>
      <c r="J41" s="265"/>
      <c r="K41" s="266"/>
      <c r="L41" s="265"/>
      <c r="M41" s="267"/>
      <c r="O41" s="247"/>
      <c r="AC41" s="247"/>
      <c r="AD41" s="251" t="str">
        <f>IFERROR(__xludf.DUMMYFUNCTION("""COMPUTED_VALUE"""),"73df5aae-f42a-49a0-9d8f-616ca6dbebaa")</f>
        <v>73df5aae-f42a-49a0-9d8f-616ca6dbebaa</v>
      </c>
      <c r="AE41" s="251" t="str">
        <f>IFERROR(__xludf.DUMMYFUNCTION("""COMPUTED_VALUE"""),"019ecf8a-5132-7f8f-a6e1-5446a97d8314")</f>
        <v>019ecf8a-5132-7f8f-a6e1-5446a97d8314</v>
      </c>
      <c r="AF41" s="261">
        <f>IFERROR(__xludf.DUMMYFUNCTION("""COMPUTED_VALUE"""),46189.35195601852)</f>
        <v>46189.35196</v>
      </c>
      <c r="AG41" s="251" t="str">
        <f>IFERROR(__xludf.DUMMYFUNCTION("""COMPUTED_VALUE"""),"debit")</f>
        <v>debit</v>
      </c>
      <c r="AH41" s="253">
        <f>IFERROR(__xludf.DUMMYFUNCTION("""COMPUTED_VALUE"""),41791.17)</f>
        <v>41791.17</v>
      </c>
      <c r="AI41" s="251" t="str">
        <f>IFERROR(__xludf.DUMMYFUNCTION("""COMPUTED_VALUE"""),"cash_isa")</f>
        <v>cash_isa</v>
      </c>
      <c r="AJ41" s="251" t="str">
        <f>IFERROR(__xludf.DUMMYFUNCTION("""COMPUTED_VALUE"""),"9bc00e6b-ce5f-48c5-ae3a-1baabe00f337")</f>
        <v>9bc00e6b-ce5f-48c5-ae3a-1baabe00f337</v>
      </c>
      <c r="AK41" s="251" t="str">
        <f>IFERROR(__xludf.DUMMYFUNCTION("""COMPUTED_VALUE"""),"845dcc7b-e80c-47ba-978d-eaf51da59982")</f>
        <v>845dcc7b-e80c-47ba-978d-eaf51da59982</v>
      </c>
      <c r="AL41" s="251"/>
      <c r="AM41" s="251"/>
      <c r="AN41" s="251"/>
      <c r="AO41" s="251"/>
      <c r="AP41" s="261"/>
      <c r="AR41" s="251" t="str">
        <f t="shared" si="1"/>
        <v>41791.17_debit</v>
      </c>
      <c r="AS41" s="251" t="str">
        <f t="shared" si="2"/>
        <v>DROP</v>
      </c>
      <c r="AT41" s="247"/>
    </row>
    <row r="42">
      <c r="A42" s="255" t="s">
        <v>165</v>
      </c>
      <c r="B42" s="255" t="s">
        <v>320</v>
      </c>
      <c r="C42" s="256">
        <v>46189.36267361111</v>
      </c>
      <c r="D42" s="255" t="s">
        <v>167</v>
      </c>
      <c r="E42" s="257">
        <v>41788.29</v>
      </c>
      <c r="F42" s="255" t="s">
        <v>169</v>
      </c>
      <c r="G42" s="255" t="s">
        <v>170</v>
      </c>
      <c r="H42" s="255" t="s">
        <v>321</v>
      </c>
      <c r="I42" s="258"/>
      <c r="J42" s="258"/>
      <c r="K42" s="259"/>
      <c r="L42" s="258"/>
      <c r="M42" s="260"/>
      <c r="O42" s="247"/>
      <c r="AC42" s="247"/>
      <c r="AD42" s="251" t="str">
        <f>IFERROR(__xludf.DUMMYFUNCTION("""COMPUTED_VALUE"""),"73df5aae-f42a-49a0-9d8f-616ca6dbebaa")</f>
        <v>73df5aae-f42a-49a0-9d8f-616ca6dbebaa</v>
      </c>
      <c r="AE42" s="251" t="str">
        <f>IFERROR(__xludf.DUMMYFUNCTION("""COMPUTED_VALUE"""),"019ecf8a-53f3-7688-812f-62e1e9ae6177")</f>
        <v>019ecf8a-53f3-7688-812f-62e1e9ae6177</v>
      </c>
      <c r="AF42" s="261">
        <f>IFERROR(__xludf.DUMMYFUNCTION("""COMPUTED_VALUE"""),46189.35196759259)</f>
        <v>46189.35197</v>
      </c>
      <c r="AG42" s="251" t="str">
        <f>IFERROR(__xludf.DUMMYFUNCTION("""COMPUTED_VALUE"""),"debit")</f>
        <v>debit</v>
      </c>
      <c r="AH42" s="253">
        <f>IFERROR(__xludf.DUMMYFUNCTION("""COMPUTED_VALUE"""),20619.97)</f>
        <v>20619.97</v>
      </c>
      <c r="AI42" s="251" t="str">
        <f>IFERROR(__xludf.DUMMYFUNCTION("""COMPUTED_VALUE"""),"cash_isa")</f>
        <v>cash_isa</v>
      </c>
      <c r="AJ42" s="251" t="str">
        <f>IFERROR(__xludf.DUMMYFUNCTION("""COMPUTED_VALUE"""),"9bc00e6b-ce5f-48c5-ae3a-1baabe00f337")</f>
        <v>9bc00e6b-ce5f-48c5-ae3a-1baabe00f337</v>
      </c>
      <c r="AK42" s="251" t="str">
        <f>IFERROR(__xludf.DUMMYFUNCTION("""COMPUTED_VALUE"""),"8b616f8a-bd8e-41d8-90df-75136e898d98")</f>
        <v>8b616f8a-bd8e-41d8-90df-75136e898d98</v>
      </c>
      <c r="AL42" s="251"/>
      <c r="AM42" s="251"/>
      <c r="AN42" s="251"/>
      <c r="AO42" s="251"/>
      <c r="AP42" s="261"/>
      <c r="AR42" s="251" t="str">
        <f t="shared" si="1"/>
        <v>20619.97_debit</v>
      </c>
      <c r="AS42" s="251" t="str">
        <f t="shared" si="2"/>
        <v>DROP</v>
      </c>
      <c r="AT42" s="247"/>
    </row>
    <row r="43">
      <c r="A43" s="262" t="s">
        <v>165</v>
      </c>
      <c r="B43" s="262" t="s">
        <v>322</v>
      </c>
      <c r="C43" s="263">
        <v>46189.36403935185</v>
      </c>
      <c r="D43" s="262" t="s">
        <v>167</v>
      </c>
      <c r="E43" s="264">
        <v>41464.02</v>
      </c>
      <c r="F43" s="262" t="s">
        <v>169</v>
      </c>
      <c r="G43" s="262" t="s">
        <v>170</v>
      </c>
      <c r="H43" s="262" t="s">
        <v>323</v>
      </c>
      <c r="I43" s="265"/>
      <c r="J43" s="265"/>
      <c r="K43" s="266"/>
      <c r="L43" s="265"/>
      <c r="M43" s="267"/>
      <c r="O43" s="247"/>
      <c r="AC43" s="247"/>
      <c r="AD43" s="251" t="str">
        <f>IFERROR(__xludf.DUMMYFUNCTION("""COMPUTED_VALUE"""),"73df5aae-f42a-49a0-9d8f-616ca6dbebaa")</f>
        <v>73df5aae-f42a-49a0-9d8f-616ca6dbebaa</v>
      </c>
      <c r="AE43" s="251" t="str">
        <f>IFERROR(__xludf.DUMMYFUNCTION("""COMPUTED_VALUE"""),"019ecf8a-bd53-71e8-baeb-d5cc3ee5c011")</f>
        <v>019ecf8a-bd53-71e8-baeb-d5cc3ee5c011</v>
      </c>
      <c r="AF43" s="261">
        <f>IFERROR(__xludf.DUMMYFUNCTION("""COMPUTED_VALUE"""),46189.35228009259)</f>
        <v>46189.35228</v>
      </c>
      <c r="AG43" s="251" t="str">
        <f>IFERROR(__xludf.DUMMYFUNCTION("""COMPUTED_VALUE"""),"credit")</f>
        <v>credit</v>
      </c>
      <c r="AH43" s="253">
        <f>IFERROR(__xludf.DUMMYFUNCTION("""COMPUTED_VALUE"""),20902.73)</f>
        <v>20902.73</v>
      </c>
      <c r="AI43" s="251" t="str">
        <f>IFERROR(__xludf.DUMMYFUNCTION("""COMPUTED_VALUE"""),"cash_isa")</f>
        <v>cash_isa</v>
      </c>
      <c r="AJ43" s="251" t="str">
        <f>IFERROR(__xludf.DUMMYFUNCTION("""COMPUTED_VALUE"""),"9bc00e6b-ce5f-48c5-ae3a-1baabe00f337")</f>
        <v>9bc00e6b-ce5f-48c5-ae3a-1baabe00f337</v>
      </c>
      <c r="AK43" s="251" t="str">
        <f>IFERROR(__xludf.DUMMYFUNCTION("""COMPUTED_VALUE"""),"0ca1b8b4-66c3-47cf-9239-c860dddc4cc9")</f>
        <v>0ca1b8b4-66c3-47cf-9239-c860dddc4cc9</v>
      </c>
      <c r="AL43" s="251"/>
      <c r="AM43" s="251"/>
      <c r="AN43" s="251"/>
      <c r="AO43" s="251"/>
      <c r="AP43" s="261"/>
      <c r="AR43" s="251" t="str">
        <f t="shared" si="1"/>
        <v>20902.73_credit</v>
      </c>
      <c r="AS43" s="251" t="str">
        <f t="shared" si="2"/>
        <v>DROP</v>
      </c>
      <c r="AT43" s="247"/>
    </row>
    <row r="44">
      <c r="A44" s="255" t="s">
        <v>165</v>
      </c>
      <c r="B44" s="255" t="s">
        <v>324</v>
      </c>
      <c r="C44" s="256">
        <v>46189.36487268518</v>
      </c>
      <c r="D44" s="255" t="s">
        <v>265</v>
      </c>
      <c r="E44" s="257">
        <v>41788.29</v>
      </c>
      <c r="F44" s="255" t="s">
        <v>169</v>
      </c>
      <c r="G44" s="255" t="s">
        <v>170</v>
      </c>
      <c r="H44" s="255" t="s">
        <v>321</v>
      </c>
      <c r="I44" s="258"/>
      <c r="J44" s="258"/>
      <c r="K44" s="259"/>
      <c r="L44" s="258"/>
      <c r="M44" s="260"/>
      <c r="O44" s="247"/>
      <c r="AC44" s="247"/>
      <c r="AD44" s="251" t="str">
        <f>IFERROR(__xludf.DUMMYFUNCTION("""COMPUTED_VALUE"""),"73df5aae-f42a-49a0-9d8f-616ca6dbebaa")</f>
        <v>73df5aae-f42a-49a0-9d8f-616ca6dbebaa</v>
      </c>
      <c r="AE44" s="251" t="str">
        <f>IFERROR(__xludf.DUMMYFUNCTION("""COMPUTED_VALUE"""),"019ecf8b-0bd9-7b32-9575-e7e5238114eb")</f>
        <v>019ecf8b-0bd9-7b32-9575-e7e5238114eb</v>
      </c>
      <c r="AF44" s="261">
        <f>IFERROR(__xludf.DUMMYFUNCTION("""COMPUTED_VALUE"""),46189.35251157408)</f>
        <v>46189.35251</v>
      </c>
      <c r="AG44" s="251" t="str">
        <f>IFERROR(__xludf.DUMMYFUNCTION("""COMPUTED_VALUE"""),"credit")</f>
        <v>credit</v>
      </c>
      <c r="AH44" s="253">
        <f>IFERROR(__xludf.DUMMYFUNCTION("""COMPUTED_VALUE"""),42620.95)</f>
        <v>42620.95</v>
      </c>
      <c r="AI44" s="251" t="str">
        <f>IFERROR(__xludf.DUMMYFUNCTION("""COMPUTED_VALUE"""),"cash_isa")</f>
        <v>cash_isa</v>
      </c>
      <c r="AJ44" s="251" t="str">
        <f>IFERROR(__xludf.DUMMYFUNCTION("""COMPUTED_VALUE"""),"9bc00e6b-ce5f-48c5-ae3a-1baabe00f337")</f>
        <v>9bc00e6b-ce5f-48c5-ae3a-1baabe00f337</v>
      </c>
      <c r="AK44" s="251" t="str">
        <f>IFERROR(__xludf.DUMMYFUNCTION("""COMPUTED_VALUE"""),"1162a08c-59f0-42e2-9c3a-dc7b5d58bef3")</f>
        <v>1162a08c-59f0-42e2-9c3a-dc7b5d58bef3</v>
      </c>
      <c r="AL44" s="251"/>
      <c r="AM44" s="251"/>
      <c r="AN44" s="251"/>
      <c r="AO44" s="251"/>
      <c r="AP44" s="261"/>
      <c r="AR44" s="251" t="str">
        <f t="shared" si="1"/>
        <v>42620.95_credit</v>
      </c>
      <c r="AS44" s="251" t="str">
        <f t="shared" si="2"/>
        <v>DROP</v>
      </c>
      <c r="AT44" s="247"/>
    </row>
    <row r="45">
      <c r="A45" s="262" t="s">
        <v>165</v>
      </c>
      <c r="B45" s="262" t="s">
        <v>325</v>
      </c>
      <c r="C45" s="263">
        <v>46189.365798611114</v>
      </c>
      <c r="D45" s="262" t="s">
        <v>265</v>
      </c>
      <c r="E45" s="264">
        <v>41464.02</v>
      </c>
      <c r="F45" s="262" t="s">
        <v>169</v>
      </c>
      <c r="G45" s="262" t="s">
        <v>170</v>
      </c>
      <c r="H45" s="262" t="s">
        <v>323</v>
      </c>
      <c r="I45" s="265"/>
      <c r="J45" s="265"/>
      <c r="K45" s="266"/>
      <c r="L45" s="265"/>
      <c r="M45" s="267"/>
      <c r="O45" s="247"/>
      <c r="AC45" s="247"/>
      <c r="AD45" s="251" t="str">
        <f>IFERROR(__xludf.DUMMYFUNCTION("""COMPUTED_VALUE"""),"73df5aae-f42a-49a0-9d8f-616ca6dbebaa")</f>
        <v>73df5aae-f42a-49a0-9d8f-616ca6dbebaa</v>
      </c>
      <c r="AE45" s="251" t="str">
        <f>IFERROR(__xludf.DUMMYFUNCTION("""COMPUTED_VALUE"""),"019ecf8c-1110-78f0-aa0c-9d38f0eb2166")</f>
        <v>019ecf8c-1110-78f0-aa0c-9d38f0eb2166</v>
      </c>
      <c r="AF45" s="261">
        <f>IFERROR(__xludf.DUMMYFUNCTION("""COMPUTED_VALUE"""),46189.35328703704)</f>
        <v>46189.35329</v>
      </c>
      <c r="AG45" s="251" t="str">
        <f>IFERROR(__xludf.DUMMYFUNCTION("""COMPUTED_VALUE"""),"credit")</f>
        <v>credit</v>
      </c>
      <c r="AH45" s="253">
        <f>IFERROR(__xludf.DUMMYFUNCTION("""COMPUTED_VALUE"""),21429.12)</f>
        <v>21429.12</v>
      </c>
      <c r="AI45" s="251" t="str">
        <f>IFERROR(__xludf.DUMMYFUNCTION("""COMPUTED_VALUE"""),"cash_isa")</f>
        <v>cash_isa</v>
      </c>
      <c r="AJ45" s="251" t="str">
        <f>IFERROR(__xludf.DUMMYFUNCTION("""COMPUTED_VALUE"""),"9bc00e6b-ce5f-48c5-ae3a-1baabe00f337")</f>
        <v>9bc00e6b-ce5f-48c5-ae3a-1baabe00f337</v>
      </c>
      <c r="AK45" s="251" t="str">
        <f>IFERROR(__xludf.DUMMYFUNCTION("""COMPUTED_VALUE"""),"5500a291-d4a3-4c20-8f81-385002437c7b")</f>
        <v>5500a291-d4a3-4c20-8f81-385002437c7b</v>
      </c>
      <c r="AL45" s="251"/>
      <c r="AM45" s="251"/>
      <c r="AN45" s="251"/>
      <c r="AO45" s="251"/>
      <c r="AP45" s="261"/>
      <c r="AR45" s="251" t="str">
        <f t="shared" si="1"/>
        <v>21429.12_credit</v>
      </c>
      <c r="AS45" s="251" t="str">
        <f t="shared" si="2"/>
        <v>DROP</v>
      </c>
      <c r="AT45" s="247"/>
    </row>
    <row r="46">
      <c r="A46" s="255" t="s">
        <v>165</v>
      </c>
      <c r="B46" s="255" t="s">
        <v>326</v>
      </c>
      <c r="C46" s="256">
        <v>46189.36605324074</v>
      </c>
      <c r="D46" s="255" t="s">
        <v>167</v>
      </c>
      <c r="E46" s="257">
        <v>20858.76</v>
      </c>
      <c r="F46" s="255" t="s">
        <v>169</v>
      </c>
      <c r="G46" s="255" t="s">
        <v>170</v>
      </c>
      <c r="H46" s="255" t="s">
        <v>327</v>
      </c>
      <c r="I46" s="258"/>
      <c r="J46" s="258"/>
      <c r="K46" s="259"/>
      <c r="L46" s="258"/>
      <c r="M46" s="260"/>
      <c r="O46" s="247"/>
      <c r="AC46" s="247"/>
      <c r="AD46" s="251" t="str">
        <f>IFERROR(__xludf.DUMMYFUNCTION("""COMPUTED_VALUE"""),"73df5aae-f42a-49a0-9d8f-616ca6dbebaa")</f>
        <v>73df5aae-f42a-49a0-9d8f-616ca6dbebaa</v>
      </c>
      <c r="AE46" s="251" t="str">
        <f>IFERROR(__xludf.DUMMYFUNCTION("""COMPUTED_VALUE"""),"019ecf8c-3fa7-7dfe-beb5-d12f795a9f26")</f>
        <v>019ecf8c-3fa7-7dfe-beb5-d12f795a9f26</v>
      </c>
      <c r="AF46" s="261">
        <f>IFERROR(__xludf.DUMMYFUNCTION("""COMPUTED_VALUE"""),46189.353425925925)</f>
        <v>46189.35343</v>
      </c>
      <c r="AG46" s="251" t="str">
        <f>IFERROR(__xludf.DUMMYFUNCTION("""COMPUTED_VALUE"""),"debit")</f>
        <v>debit</v>
      </c>
      <c r="AH46" s="253">
        <f>IFERROR(__xludf.DUMMYFUNCTION("""COMPUTED_VALUE"""),20902.73)</f>
        <v>20902.73</v>
      </c>
      <c r="AI46" s="251" t="str">
        <f>IFERROR(__xludf.DUMMYFUNCTION("""COMPUTED_VALUE"""),"cash_isa")</f>
        <v>cash_isa</v>
      </c>
      <c r="AJ46" s="251" t="str">
        <f>IFERROR(__xludf.DUMMYFUNCTION("""COMPUTED_VALUE"""),"9bc00e6b-ce5f-48c5-ae3a-1baabe00f337")</f>
        <v>9bc00e6b-ce5f-48c5-ae3a-1baabe00f337</v>
      </c>
      <c r="AK46" s="251" t="str">
        <f>IFERROR(__xludf.DUMMYFUNCTION("""COMPUTED_VALUE"""),"0ca1b8b4-66c3-47cf-9239-c860dddc4cc9")</f>
        <v>0ca1b8b4-66c3-47cf-9239-c860dddc4cc9</v>
      </c>
      <c r="AL46" s="251"/>
      <c r="AM46" s="251"/>
      <c r="AN46" s="251"/>
      <c r="AO46" s="251"/>
      <c r="AP46" s="261"/>
      <c r="AR46" s="251" t="str">
        <f t="shared" si="1"/>
        <v>20902.73_debit</v>
      </c>
      <c r="AS46" s="251" t="str">
        <f t="shared" si="2"/>
        <v>DROP</v>
      </c>
      <c r="AT46" s="247"/>
    </row>
    <row r="47">
      <c r="A47" s="262" t="s">
        <v>165</v>
      </c>
      <c r="B47" s="262" t="s">
        <v>328</v>
      </c>
      <c r="C47" s="263">
        <v>46189.36803240741</v>
      </c>
      <c r="D47" s="262" t="s">
        <v>265</v>
      </c>
      <c r="E47" s="264">
        <v>20858.76</v>
      </c>
      <c r="F47" s="262" t="s">
        <v>169</v>
      </c>
      <c r="G47" s="262" t="s">
        <v>170</v>
      </c>
      <c r="H47" s="262" t="s">
        <v>327</v>
      </c>
      <c r="I47" s="265"/>
      <c r="J47" s="265"/>
      <c r="K47" s="266"/>
      <c r="L47" s="265"/>
      <c r="M47" s="267"/>
      <c r="O47" s="247"/>
      <c r="AC47" s="247"/>
      <c r="AD47" s="251" t="str">
        <f>IFERROR(__xludf.DUMMYFUNCTION("""COMPUTED_VALUE"""),"73df5aae-f42a-49a0-9d8f-616ca6dbebaa")</f>
        <v>73df5aae-f42a-49a0-9d8f-616ca6dbebaa</v>
      </c>
      <c r="AE47" s="251" t="str">
        <f>IFERROR(__xludf.DUMMYFUNCTION("""COMPUTED_VALUE"""),"019ecf8d-3769-76ca-b384-c2cb88dd928a")</f>
        <v>019ecf8d-3769-76ca-b384-c2cb88dd928a</v>
      </c>
      <c r="AF47" s="261">
        <f>IFERROR(__xludf.DUMMYFUNCTION("""COMPUTED_VALUE"""),46189.35415509259)</f>
        <v>46189.35416</v>
      </c>
      <c r="AG47" s="251" t="str">
        <f>IFERROR(__xludf.DUMMYFUNCTION("""COMPUTED_VALUE"""),"debit")</f>
        <v>debit</v>
      </c>
      <c r="AH47" s="253">
        <f>IFERROR(__xludf.DUMMYFUNCTION("""COMPUTED_VALUE"""),42620.95)</f>
        <v>42620.95</v>
      </c>
      <c r="AI47" s="251" t="str">
        <f>IFERROR(__xludf.DUMMYFUNCTION("""COMPUTED_VALUE"""),"cash_isa")</f>
        <v>cash_isa</v>
      </c>
      <c r="AJ47" s="251" t="str">
        <f>IFERROR(__xludf.DUMMYFUNCTION("""COMPUTED_VALUE"""),"9bc00e6b-ce5f-48c5-ae3a-1baabe00f337")</f>
        <v>9bc00e6b-ce5f-48c5-ae3a-1baabe00f337</v>
      </c>
      <c r="AK47" s="251" t="str">
        <f>IFERROR(__xludf.DUMMYFUNCTION("""COMPUTED_VALUE"""),"1162a08c-59f0-42e2-9c3a-dc7b5d58bef3")</f>
        <v>1162a08c-59f0-42e2-9c3a-dc7b5d58bef3</v>
      </c>
      <c r="AL47" s="251"/>
      <c r="AM47" s="251"/>
      <c r="AN47" s="251"/>
      <c r="AO47" s="251"/>
      <c r="AP47" s="261"/>
      <c r="AR47" s="251" t="str">
        <f t="shared" si="1"/>
        <v>42620.95_debit</v>
      </c>
      <c r="AS47" s="251" t="str">
        <f t="shared" si="2"/>
        <v>DROP</v>
      </c>
      <c r="AT47" s="247"/>
    </row>
    <row r="48">
      <c r="A48" s="255" t="s">
        <v>165</v>
      </c>
      <c r="B48" s="255" t="s">
        <v>329</v>
      </c>
      <c r="C48" s="256">
        <v>46189.36804398148</v>
      </c>
      <c r="D48" s="255" t="s">
        <v>167</v>
      </c>
      <c r="E48" s="257">
        <v>42213.57</v>
      </c>
      <c r="F48" s="255" t="s">
        <v>169</v>
      </c>
      <c r="G48" s="255" t="s">
        <v>170</v>
      </c>
      <c r="H48" s="255" t="s">
        <v>330</v>
      </c>
      <c r="I48" s="258"/>
      <c r="J48" s="258"/>
      <c r="K48" s="259"/>
      <c r="L48" s="258"/>
      <c r="M48" s="260"/>
      <c r="O48" s="247"/>
      <c r="AC48" s="247"/>
      <c r="AD48" s="251" t="str">
        <f>IFERROR(__xludf.DUMMYFUNCTION("""COMPUTED_VALUE"""),"73df5aae-f42a-49a0-9d8f-616ca6dbebaa")</f>
        <v>73df5aae-f42a-49a0-9d8f-616ca6dbebaa</v>
      </c>
      <c r="AE48" s="251" t="str">
        <f>IFERROR(__xludf.DUMMYFUNCTION("""COMPUTED_VALUE"""),"019ecf8d-42ca-73b4-9e10-9485842d30d5")</f>
        <v>019ecf8d-42ca-73b4-9e10-9485842d30d5</v>
      </c>
      <c r="AF48" s="261">
        <f>IFERROR(__xludf.DUMMYFUNCTION("""COMPUTED_VALUE"""),46189.35418981481)</f>
        <v>46189.35419</v>
      </c>
      <c r="AG48" s="251" t="str">
        <f>IFERROR(__xludf.DUMMYFUNCTION("""COMPUTED_VALUE"""),"credit")</f>
        <v>credit</v>
      </c>
      <c r="AH48" s="253">
        <f>IFERROR(__xludf.DUMMYFUNCTION("""COMPUTED_VALUE"""),30124.06)</f>
        <v>30124.06</v>
      </c>
      <c r="AI48" s="251" t="str">
        <f>IFERROR(__xludf.DUMMYFUNCTION("""COMPUTED_VALUE"""),"cash_isa")</f>
        <v>cash_isa</v>
      </c>
      <c r="AJ48" s="251" t="str">
        <f>IFERROR(__xludf.DUMMYFUNCTION("""COMPUTED_VALUE"""),"9bc00e6b-ce5f-48c5-ae3a-1baabe00f337")</f>
        <v>9bc00e6b-ce5f-48c5-ae3a-1baabe00f337</v>
      </c>
      <c r="AK48" s="251" t="str">
        <f>IFERROR(__xludf.DUMMYFUNCTION("""COMPUTED_VALUE"""),"0b60b1f8-e681-4814-9643-b035fc4c3e8c")</f>
        <v>0b60b1f8-e681-4814-9643-b035fc4c3e8c</v>
      </c>
      <c r="AL48" s="251"/>
      <c r="AM48" s="251"/>
      <c r="AN48" s="251"/>
      <c r="AO48" s="251"/>
      <c r="AP48" s="261"/>
      <c r="AR48" s="251" t="str">
        <f t="shared" si="1"/>
        <v>30124.06_credit</v>
      </c>
      <c r="AS48" s="251" t="str">
        <f t="shared" si="2"/>
        <v>DROP</v>
      </c>
      <c r="AT48" s="247"/>
    </row>
    <row r="49">
      <c r="A49" s="262" t="s">
        <v>165</v>
      </c>
      <c r="B49" s="262" t="s">
        <v>331</v>
      </c>
      <c r="C49" s="263">
        <v>46189.369479166664</v>
      </c>
      <c r="D49" s="262" t="s">
        <v>167</v>
      </c>
      <c r="E49" s="264">
        <v>27138.16</v>
      </c>
      <c r="F49" s="262" t="s">
        <v>169</v>
      </c>
      <c r="G49" s="262" t="s">
        <v>170</v>
      </c>
      <c r="H49" s="262" t="s">
        <v>332</v>
      </c>
      <c r="I49" s="265"/>
      <c r="J49" s="265"/>
      <c r="K49" s="266"/>
      <c r="L49" s="265"/>
      <c r="M49" s="267"/>
      <c r="O49" s="247"/>
      <c r="AC49" s="247"/>
      <c r="AD49" s="251" t="str">
        <f>IFERROR(__xludf.DUMMYFUNCTION("""COMPUTED_VALUE"""),"73df5aae-f42a-49a0-9d8f-616ca6dbebaa")</f>
        <v>73df5aae-f42a-49a0-9d8f-616ca6dbebaa</v>
      </c>
      <c r="AE49" s="251" t="str">
        <f>IFERROR(__xludf.DUMMYFUNCTION("""COMPUTED_VALUE"""),"019ecf8e-2d29-7ad4-b61a-380cbb8924fb")</f>
        <v>019ecf8e-2d29-7ad4-b61a-380cbb8924fb</v>
      </c>
      <c r="AF49" s="261">
        <f>IFERROR(__xludf.DUMMYFUNCTION("""COMPUTED_VALUE"""),46189.35488425926)</f>
        <v>46189.35488</v>
      </c>
      <c r="AG49" s="251" t="str">
        <f>IFERROR(__xludf.DUMMYFUNCTION("""COMPUTED_VALUE"""),"debit")</f>
        <v>debit</v>
      </c>
      <c r="AH49" s="253">
        <f>IFERROR(__xludf.DUMMYFUNCTION("""COMPUTED_VALUE"""),21429.12)</f>
        <v>21429.12</v>
      </c>
      <c r="AI49" s="251" t="str">
        <f>IFERROR(__xludf.DUMMYFUNCTION("""COMPUTED_VALUE"""),"cash_isa")</f>
        <v>cash_isa</v>
      </c>
      <c r="AJ49" s="251" t="str">
        <f>IFERROR(__xludf.DUMMYFUNCTION("""COMPUTED_VALUE"""),"9bc00e6b-ce5f-48c5-ae3a-1baabe00f337")</f>
        <v>9bc00e6b-ce5f-48c5-ae3a-1baabe00f337</v>
      </c>
      <c r="AK49" s="251" t="str">
        <f>IFERROR(__xludf.DUMMYFUNCTION("""COMPUTED_VALUE"""),"5500a291-d4a3-4c20-8f81-385002437c7b")</f>
        <v>5500a291-d4a3-4c20-8f81-385002437c7b</v>
      </c>
      <c r="AL49" s="251"/>
      <c r="AM49" s="251"/>
      <c r="AN49" s="251"/>
      <c r="AO49" s="251"/>
      <c r="AP49" s="261"/>
      <c r="AR49" s="251" t="str">
        <f t="shared" si="1"/>
        <v>21429.12_debit</v>
      </c>
      <c r="AS49" s="251" t="str">
        <f t="shared" si="2"/>
        <v>DROP</v>
      </c>
      <c r="AT49" s="247"/>
    </row>
    <row r="50">
      <c r="A50" s="255" t="s">
        <v>165</v>
      </c>
      <c r="B50" s="255" t="s">
        <v>333</v>
      </c>
      <c r="C50" s="256">
        <v>46189.36986111111</v>
      </c>
      <c r="D50" s="255" t="s">
        <v>265</v>
      </c>
      <c r="E50" s="257">
        <v>42213.57</v>
      </c>
      <c r="F50" s="255" t="s">
        <v>169</v>
      </c>
      <c r="G50" s="255" t="s">
        <v>170</v>
      </c>
      <c r="H50" s="255" t="s">
        <v>330</v>
      </c>
      <c r="I50" s="258"/>
      <c r="J50" s="258"/>
      <c r="K50" s="259"/>
      <c r="L50" s="258"/>
      <c r="M50" s="260"/>
      <c r="O50" s="247"/>
      <c r="AC50" s="247"/>
      <c r="AD50" s="251" t="str">
        <f>IFERROR(__xludf.DUMMYFUNCTION("""COMPUTED_VALUE"""),"73df5aae-f42a-49a0-9d8f-616ca6dbebaa")</f>
        <v>73df5aae-f42a-49a0-9d8f-616ca6dbebaa</v>
      </c>
      <c r="AE50" s="251" t="str">
        <f>IFERROR(__xludf.DUMMYFUNCTION("""COMPUTED_VALUE"""),"019ecf8f-25aa-766e-97c7-ca1f7294dff4")</f>
        <v>019ecf8f-25aa-766e-97c7-ca1f7294dff4</v>
      </c>
      <c r="AF50" s="261">
        <f>IFERROR(__xludf.DUMMYFUNCTION("""COMPUTED_VALUE"""),46189.355625)</f>
        <v>46189.35563</v>
      </c>
      <c r="AG50" s="251" t="str">
        <f>IFERROR(__xludf.DUMMYFUNCTION("""COMPUTED_VALUE"""),"credit")</f>
        <v>credit</v>
      </c>
      <c r="AH50" s="253">
        <f>IFERROR(__xludf.DUMMYFUNCTION("""COMPUTED_VALUE"""),15678.39)</f>
        <v>15678.39</v>
      </c>
      <c r="AI50" s="251" t="str">
        <f>IFERROR(__xludf.DUMMYFUNCTION("""COMPUTED_VALUE"""),"cash_isa")</f>
        <v>cash_isa</v>
      </c>
      <c r="AJ50" s="251" t="str">
        <f>IFERROR(__xludf.DUMMYFUNCTION("""COMPUTED_VALUE"""),"9bc00e6b-ce5f-48c5-ae3a-1baabe00f337")</f>
        <v>9bc00e6b-ce5f-48c5-ae3a-1baabe00f337</v>
      </c>
      <c r="AK50" s="251" t="str">
        <f>IFERROR(__xludf.DUMMYFUNCTION("""COMPUTED_VALUE"""),"14a3d68f-c132-4f17-8952-1c4b7e23fe77")</f>
        <v>14a3d68f-c132-4f17-8952-1c4b7e23fe77</v>
      </c>
      <c r="AL50" s="251"/>
      <c r="AM50" s="251"/>
      <c r="AN50" s="251"/>
      <c r="AO50" s="251"/>
      <c r="AP50" s="261"/>
      <c r="AR50" s="251" t="str">
        <f t="shared" si="1"/>
        <v>15678.39_credit</v>
      </c>
      <c r="AS50" s="251" t="str">
        <f t="shared" si="2"/>
        <v>DROP</v>
      </c>
      <c r="AT50" s="247"/>
    </row>
    <row r="51">
      <c r="A51" s="262" t="s">
        <v>165</v>
      </c>
      <c r="B51" s="262" t="s">
        <v>334</v>
      </c>
      <c r="C51" s="263">
        <v>46189.370844907404</v>
      </c>
      <c r="D51" s="262" t="s">
        <v>167</v>
      </c>
      <c r="E51" s="264">
        <v>20708.18</v>
      </c>
      <c r="F51" s="262" t="s">
        <v>169</v>
      </c>
      <c r="G51" s="262" t="s">
        <v>170</v>
      </c>
      <c r="H51" s="262" t="s">
        <v>335</v>
      </c>
      <c r="I51" s="265"/>
      <c r="J51" s="265"/>
      <c r="K51" s="266"/>
      <c r="L51" s="265"/>
      <c r="M51" s="267"/>
      <c r="O51" s="247"/>
      <c r="AC51" s="247"/>
      <c r="AD51" s="251" t="str">
        <f>IFERROR(__xludf.DUMMYFUNCTION("""COMPUTED_VALUE"""),"73df5aae-f42a-49a0-9d8f-616ca6dbebaa")</f>
        <v>73df5aae-f42a-49a0-9d8f-616ca6dbebaa</v>
      </c>
      <c r="AE51" s="251" t="str">
        <f>IFERROR(__xludf.DUMMYFUNCTION("""COMPUTED_VALUE"""),"019ecf90-396e-705f-9580-362a52fee9e5")</f>
        <v>019ecf90-396e-705f-9580-362a52fee9e5</v>
      </c>
      <c r="AF51" s="261">
        <f>IFERROR(__xludf.DUMMYFUNCTION("""COMPUTED_VALUE"""),46189.35643518518)</f>
        <v>46189.35644</v>
      </c>
      <c r="AG51" s="251" t="str">
        <f>IFERROR(__xludf.DUMMYFUNCTION("""COMPUTED_VALUE"""),"debit")</f>
        <v>debit</v>
      </c>
      <c r="AH51" s="253">
        <f>IFERROR(__xludf.DUMMYFUNCTION("""COMPUTED_VALUE"""),30124.06)</f>
        <v>30124.06</v>
      </c>
      <c r="AI51" s="251" t="str">
        <f>IFERROR(__xludf.DUMMYFUNCTION("""COMPUTED_VALUE"""),"cash_isa")</f>
        <v>cash_isa</v>
      </c>
      <c r="AJ51" s="251" t="str">
        <f>IFERROR(__xludf.DUMMYFUNCTION("""COMPUTED_VALUE"""),"9bc00e6b-ce5f-48c5-ae3a-1baabe00f337")</f>
        <v>9bc00e6b-ce5f-48c5-ae3a-1baabe00f337</v>
      </c>
      <c r="AK51" s="251" t="str">
        <f>IFERROR(__xludf.DUMMYFUNCTION("""COMPUTED_VALUE"""),"0b60b1f8-e681-4814-9643-b035fc4c3e8c")</f>
        <v>0b60b1f8-e681-4814-9643-b035fc4c3e8c</v>
      </c>
      <c r="AL51" s="251"/>
      <c r="AM51" s="251"/>
      <c r="AN51" s="251"/>
      <c r="AO51" s="251"/>
      <c r="AP51" s="261"/>
      <c r="AR51" s="251" t="str">
        <f t="shared" si="1"/>
        <v>30124.06_debit</v>
      </c>
      <c r="AS51" s="251" t="str">
        <f t="shared" si="2"/>
        <v>DROP</v>
      </c>
      <c r="AT51" s="247"/>
    </row>
    <row r="52">
      <c r="A52" s="255" t="s">
        <v>165</v>
      </c>
      <c r="B52" s="255" t="s">
        <v>336</v>
      </c>
      <c r="C52" s="256">
        <v>46189.37126157407</v>
      </c>
      <c r="D52" s="255" t="s">
        <v>167</v>
      </c>
      <c r="E52" s="257">
        <v>20910.88</v>
      </c>
      <c r="F52" s="255" t="s">
        <v>169</v>
      </c>
      <c r="G52" s="255" t="s">
        <v>170</v>
      </c>
      <c r="H52" s="255" t="s">
        <v>337</v>
      </c>
      <c r="I52" s="258"/>
      <c r="J52" s="258"/>
      <c r="K52" s="259"/>
      <c r="L52" s="258"/>
      <c r="M52" s="260"/>
      <c r="O52" s="247"/>
      <c r="AC52" s="247"/>
      <c r="AD52" s="251" t="str">
        <f>IFERROR(__xludf.DUMMYFUNCTION("""COMPUTED_VALUE"""),"73df5aae-f42a-49a0-9d8f-616ca6dbebaa")</f>
        <v>73df5aae-f42a-49a0-9d8f-616ca6dbebaa</v>
      </c>
      <c r="AE52" s="251" t="str">
        <f>IFERROR(__xludf.DUMMYFUNCTION("""COMPUTED_VALUE"""),"019ecf91-8372-70ee-9010-f68eefd42fb9")</f>
        <v>019ecf91-8372-70ee-9010-f68eefd42fb9</v>
      </c>
      <c r="AF52" s="261">
        <f>IFERROR(__xludf.DUMMYFUNCTION("""COMPUTED_VALUE"""),46189.35741898148)</f>
        <v>46189.35742</v>
      </c>
      <c r="AG52" s="251" t="str">
        <f>IFERROR(__xludf.DUMMYFUNCTION("""COMPUTED_VALUE"""),"debit")</f>
        <v>debit</v>
      </c>
      <c r="AH52" s="253">
        <f>IFERROR(__xludf.DUMMYFUNCTION("""COMPUTED_VALUE"""),15678.39)</f>
        <v>15678.39</v>
      </c>
      <c r="AI52" s="251" t="str">
        <f>IFERROR(__xludf.DUMMYFUNCTION("""COMPUTED_VALUE"""),"cash_isa")</f>
        <v>cash_isa</v>
      </c>
      <c r="AJ52" s="251" t="str">
        <f>IFERROR(__xludf.DUMMYFUNCTION("""COMPUTED_VALUE"""),"9bc00e6b-ce5f-48c5-ae3a-1baabe00f337")</f>
        <v>9bc00e6b-ce5f-48c5-ae3a-1baabe00f337</v>
      </c>
      <c r="AK52" s="251" t="str">
        <f>IFERROR(__xludf.DUMMYFUNCTION("""COMPUTED_VALUE"""),"14a3d68f-c132-4f17-8952-1c4b7e23fe77")</f>
        <v>14a3d68f-c132-4f17-8952-1c4b7e23fe77</v>
      </c>
      <c r="AL52" s="251"/>
      <c r="AM52" s="251"/>
      <c r="AN52" s="251"/>
      <c r="AO52" s="251"/>
      <c r="AP52" s="261"/>
      <c r="AR52" s="251" t="str">
        <f t="shared" si="1"/>
        <v>15678.39_debit</v>
      </c>
      <c r="AS52" s="251" t="str">
        <f t="shared" si="2"/>
        <v>DROP</v>
      </c>
      <c r="AT52" s="247"/>
    </row>
    <row r="53">
      <c r="A53" s="262" t="s">
        <v>165</v>
      </c>
      <c r="B53" s="262" t="s">
        <v>338</v>
      </c>
      <c r="C53" s="263">
        <v>46189.37149305556</v>
      </c>
      <c r="D53" s="262" t="s">
        <v>167</v>
      </c>
      <c r="E53" s="264">
        <v>600.0</v>
      </c>
      <c r="F53" s="262" t="s">
        <v>169</v>
      </c>
      <c r="G53" s="262" t="s">
        <v>170</v>
      </c>
      <c r="H53" s="262" t="s">
        <v>339</v>
      </c>
      <c r="I53" s="265"/>
      <c r="J53" s="265"/>
      <c r="K53" s="266"/>
      <c r="L53" s="265"/>
      <c r="M53" s="267"/>
      <c r="O53" s="247"/>
      <c r="AC53" s="247"/>
      <c r="AD53" s="251" t="str">
        <f>IFERROR(__xludf.DUMMYFUNCTION("""COMPUTED_VALUE"""),"73df5aae-f42a-49a0-9d8f-616ca6dbebaa")</f>
        <v>73df5aae-f42a-49a0-9d8f-616ca6dbebaa</v>
      </c>
      <c r="AE53" s="251" t="str">
        <f>IFERROR(__xludf.DUMMYFUNCTION("""COMPUTED_VALUE"""),"019ecf98-733d-72a0-a05c-1a32af726a8d")</f>
        <v>019ecf98-733d-72a0-a05c-1a32af726a8d</v>
      </c>
      <c r="AF53" s="261">
        <f>IFERROR(__xludf.DUMMYFUNCTION("""COMPUTED_VALUE"""),46189.36267361111)</f>
        <v>46189.36267</v>
      </c>
      <c r="AG53" s="251" t="str">
        <f>IFERROR(__xludf.DUMMYFUNCTION("""COMPUTED_VALUE"""),"credit")</f>
        <v>credit</v>
      </c>
      <c r="AH53" s="253">
        <f>IFERROR(__xludf.DUMMYFUNCTION("""COMPUTED_VALUE"""),41788.29)</f>
        <v>41788.29</v>
      </c>
      <c r="AI53" s="251" t="str">
        <f>IFERROR(__xludf.DUMMYFUNCTION("""COMPUTED_VALUE"""),"cash_isa")</f>
        <v>cash_isa</v>
      </c>
      <c r="AJ53" s="251" t="str">
        <f>IFERROR(__xludf.DUMMYFUNCTION("""COMPUTED_VALUE"""),"9bc00e6b-ce5f-48c5-ae3a-1baabe00f337")</f>
        <v>9bc00e6b-ce5f-48c5-ae3a-1baabe00f337</v>
      </c>
      <c r="AK53" s="251" t="str">
        <f>IFERROR(__xludf.DUMMYFUNCTION("""COMPUTED_VALUE"""),"0285c1e8-83b6-480d-816e-e296ce32b465")</f>
        <v>0285c1e8-83b6-480d-816e-e296ce32b465</v>
      </c>
      <c r="AL53" s="251"/>
      <c r="AM53" s="251"/>
      <c r="AN53" s="251"/>
      <c r="AO53" s="251"/>
      <c r="AP53" s="261"/>
      <c r="AR53" s="251" t="str">
        <f t="shared" si="1"/>
        <v>41788.29_credit</v>
      </c>
      <c r="AS53" s="251" t="str">
        <f t="shared" si="2"/>
        <v>DROP</v>
      </c>
      <c r="AT53" s="247"/>
    </row>
    <row r="54">
      <c r="A54" s="255" t="s">
        <v>165</v>
      </c>
      <c r="B54" s="255" t="s">
        <v>340</v>
      </c>
      <c r="C54" s="256">
        <v>46189.371875</v>
      </c>
      <c r="D54" s="255" t="s">
        <v>265</v>
      </c>
      <c r="E54" s="257">
        <v>27138.16</v>
      </c>
      <c r="F54" s="255" t="s">
        <v>169</v>
      </c>
      <c r="G54" s="255" t="s">
        <v>170</v>
      </c>
      <c r="H54" s="255" t="s">
        <v>332</v>
      </c>
      <c r="I54" s="258"/>
      <c r="J54" s="258"/>
      <c r="K54" s="259"/>
      <c r="L54" s="258"/>
      <c r="M54" s="260"/>
      <c r="O54" s="247"/>
      <c r="AC54" s="247"/>
      <c r="AD54" s="251" t="str">
        <f>IFERROR(__xludf.DUMMYFUNCTION("""COMPUTED_VALUE"""),"73df5aae-f42a-49a0-9d8f-616ca6dbebaa")</f>
        <v>73df5aae-f42a-49a0-9d8f-616ca6dbebaa</v>
      </c>
      <c r="AE54" s="251" t="str">
        <f>IFERROR(__xludf.DUMMYFUNCTION("""COMPUTED_VALUE"""),"019ecf9a-3fb2-726a-9cfc-134ad8836621")</f>
        <v>019ecf9a-3fb2-726a-9cfc-134ad8836621</v>
      </c>
      <c r="AF54" s="261">
        <f>IFERROR(__xludf.DUMMYFUNCTION("""COMPUTED_VALUE"""),46189.36403935185)</f>
        <v>46189.36404</v>
      </c>
      <c r="AG54" s="251" t="str">
        <f>IFERROR(__xludf.DUMMYFUNCTION("""COMPUTED_VALUE"""),"credit")</f>
        <v>credit</v>
      </c>
      <c r="AH54" s="253">
        <f>IFERROR(__xludf.DUMMYFUNCTION("""COMPUTED_VALUE"""),41464.02)</f>
        <v>41464.02</v>
      </c>
      <c r="AI54" s="251" t="str">
        <f>IFERROR(__xludf.DUMMYFUNCTION("""COMPUTED_VALUE"""),"cash_isa")</f>
        <v>cash_isa</v>
      </c>
      <c r="AJ54" s="251" t="str">
        <f>IFERROR(__xludf.DUMMYFUNCTION("""COMPUTED_VALUE"""),"9bc00e6b-ce5f-48c5-ae3a-1baabe00f337")</f>
        <v>9bc00e6b-ce5f-48c5-ae3a-1baabe00f337</v>
      </c>
      <c r="AK54" s="251" t="str">
        <f>IFERROR(__xludf.DUMMYFUNCTION("""COMPUTED_VALUE"""),"1b095b3a-bec1-4b04-b23d-6104525e3eb2")</f>
        <v>1b095b3a-bec1-4b04-b23d-6104525e3eb2</v>
      </c>
      <c r="AL54" s="251"/>
      <c r="AM54" s="251"/>
      <c r="AN54" s="251"/>
      <c r="AO54" s="251"/>
      <c r="AP54" s="261"/>
      <c r="AR54" s="251" t="str">
        <f t="shared" si="1"/>
        <v>41464.02_credit</v>
      </c>
      <c r="AS54" s="251" t="str">
        <f t="shared" si="2"/>
        <v>DROP</v>
      </c>
      <c r="AT54" s="247"/>
    </row>
    <row r="55">
      <c r="A55" s="262" t="s">
        <v>165</v>
      </c>
      <c r="B55" s="262" t="s">
        <v>341</v>
      </c>
      <c r="C55" s="263">
        <v>46189.37268518518</v>
      </c>
      <c r="D55" s="262" t="s">
        <v>167</v>
      </c>
      <c r="E55" s="264">
        <v>15731.47</v>
      </c>
      <c r="F55" s="262" t="s">
        <v>169</v>
      </c>
      <c r="G55" s="262" t="s">
        <v>170</v>
      </c>
      <c r="H55" s="262" t="s">
        <v>342</v>
      </c>
      <c r="I55" s="265"/>
      <c r="J55" s="265"/>
      <c r="K55" s="266"/>
      <c r="L55" s="265"/>
      <c r="M55" s="267"/>
      <c r="O55" s="247"/>
      <c r="AC55" s="247"/>
      <c r="AD55" s="251" t="str">
        <f>IFERROR(__xludf.DUMMYFUNCTION("""COMPUTED_VALUE"""),"73df5aae-f42a-49a0-9d8f-616ca6dbebaa")</f>
        <v>73df5aae-f42a-49a0-9d8f-616ca6dbebaa</v>
      </c>
      <c r="AE55" s="251" t="str">
        <f>IFERROR(__xludf.DUMMYFUNCTION("""COMPUTED_VALUE"""),"019ecf9b-58da-7469-9667-1796b687fa1c")</f>
        <v>019ecf9b-58da-7469-9667-1796b687fa1c</v>
      </c>
      <c r="AF55" s="261">
        <f>IFERROR(__xludf.DUMMYFUNCTION("""COMPUTED_VALUE"""),46189.36487268518)</f>
        <v>46189.36487</v>
      </c>
      <c r="AG55" s="251" t="str">
        <f>IFERROR(__xludf.DUMMYFUNCTION("""COMPUTED_VALUE"""),"debit")</f>
        <v>debit</v>
      </c>
      <c r="AH55" s="253">
        <f>IFERROR(__xludf.DUMMYFUNCTION("""COMPUTED_VALUE"""),41788.29)</f>
        <v>41788.29</v>
      </c>
      <c r="AI55" s="251" t="str">
        <f>IFERROR(__xludf.DUMMYFUNCTION("""COMPUTED_VALUE"""),"cash_isa")</f>
        <v>cash_isa</v>
      </c>
      <c r="AJ55" s="251" t="str">
        <f>IFERROR(__xludf.DUMMYFUNCTION("""COMPUTED_VALUE"""),"9bc00e6b-ce5f-48c5-ae3a-1baabe00f337")</f>
        <v>9bc00e6b-ce5f-48c5-ae3a-1baabe00f337</v>
      </c>
      <c r="AK55" s="251" t="str">
        <f>IFERROR(__xludf.DUMMYFUNCTION("""COMPUTED_VALUE"""),"0285c1e8-83b6-480d-816e-e296ce32b465")</f>
        <v>0285c1e8-83b6-480d-816e-e296ce32b465</v>
      </c>
      <c r="AL55" s="251"/>
      <c r="AM55" s="251"/>
      <c r="AN55" s="251"/>
      <c r="AO55" s="251"/>
      <c r="AP55" s="261"/>
      <c r="AR55" s="251" t="str">
        <f t="shared" si="1"/>
        <v>41788.29_debit</v>
      </c>
      <c r="AS55" s="251" t="str">
        <f t="shared" si="2"/>
        <v>DROP</v>
      </c>
      <c r="AT55" s="247"/>
    </row>
    <row r="56">
      <c r="A56" s="255" t="s">
        <v>165</v>
      </c>
      <c r="B56" s="255" t="s">
        <v>343</v>
      </c>
      <c r="C56" s="256">
        <v>46189.37293981481</v>
      </c>
      <c r="D56" s="255" t="s">
        <v>265</v>
      </c>
      <c r="E56" s="257">
        <v>20708.18</v>
      </c>
      <c r="F56" s="255" t="s">
        <v>169</v>
      </c>
      <c r="G56" s="255" t="s">
        <v>170</v>
      </c>
      <c r="H56" s="255" t="s">
        <v>335</v>
      </c>
      <c r="I56" s="258"/>
      <c r="J56" s="258"/>
      <c r="K56" s="259"/>
      <c r="L56" s="258"/>
      <c r="M56" s="260"/>
      <c r="O56" s="247"/>
      <c r="AC56" s="247"/>
      <c r="AD56" s="251" t="str">
        <f>IFERROR(__xludf.DUMMYFUNCTION("""COMPUTED_VALUE"""),"73df5aae-f42a-49a0-9d8f-616ca6dbebaa")</f>
        <v>73df5aae-f42a-49a0-9d8f-616ca6dbebaa</v>
      </c>
      <c r="AE56" s="251" t="str">
        <f>IFERROR(__xludf.DUMMYFUNCTION("""COMPUTED_VALUE"""),"019ecf9c-8fb5-7f14-bc37-2c5eddcd0c9c")</f>
        <v>019ecf9c-8fb5-7f14-bc37-2c5eddcd0c9c</v>
      </c>
      <c r="AF56" s="261">
        <f>IFERROR(__xludf.DUMMYFUNCTION("""COMPUTED_VALUE"""),46189.36579861111)</f>
        <v>46189.3658</v>
      </c>
      <c r="AG56" s="251" t="str">
        <f>IFERROR(__xludf.DUMMYFUNCTION("""COMPUTED_VALUE"""),"debit")</f>
        <v>debit</v>
      </c>
      <c r="AH56" s="253">
        <f>IFERROR(__xludf.DUMMYFUNCTION("""COMPUTED_VALUE"""),41464.02)</f>
        <v>41464.02</v>
      </c>
      <c r="AI56" s="251" t="str">
        <f>IFERROR(__xludf.DUMMYFUNCTION("""COMPUTED_VALUE"""),"cash_isa")</f>
        <v>cash_isa</v>
      </c>
      <c r="AJ56" s="251" t="str">
        <f>IFERROR(__xludf.DUMMYFUNCTION("""COMPUTED_VALUE"""),"9bc00e6b-ce5f-48c5-ae3a-1baabe00f337")</f>
        <v>9bc00e6b-ce5f-48c5-ae3a-1baabe00f337</v>
      </c>
      <c r="AK56" s="251" t="str">
        <f>IFERROR(__xludf.DUMMYFUNCTION("""COMPUTED_VALUE"""),"1b095b3a-bec1-4b04-b23d-6104525e3eb2")</f>
        <v>1b095b3a-bec1-4b04-b23d-6104525e3eb2</v>
      </c>
      <c r="AL56" s="251"/>
      <c r="AM56" s="251"/>
      <c r="AN56" s="251"/>
      <c r="AO56" s="251"/>
      <c r="AP56" s="261"/>
      <c r="AR56" s="251" t="str">
        <f t="shared" si="1"/>
        <v>41464.02_debit</v>
      </c>
      <c r="AS56" s="251" t="str">
        <f t="shared" si="2"/>
        <v>DROP</v>
      </c>
      <c r="AT56" s="247"/>
    </row>
    <row r="57">
      <c r="A57" s="262" t="s">
        <v>165</v>
      </c>
      <c r="B57" s="262" t="s">
        <v>344</v>
      </c>
      <c r="C57" s="263">
        <v>46189.373136574075</v>
      </c>
      <c r="D57" s="262" t="s">
        <v>265</v>
      </c>
      <c r="E57" s="264">
        <v>600.0</v>
      </c>
      <c r="F57" s="262" t="s">
        <v>169</v>
      </c>
      <c r="G57" s="262" t="s">
        <v>170</v>
      </c>
      <c r="H57" s="262" t="s">
        <v>339</v>
      </c>
      <c r="I57" s="265"/>
      <c r="J57" s="265"/>
      <c r="K57" s="266"/>
      <c r="L57" s="265"/>
      <c r="M57" s="267"/>
      <c r="O57" s="247"/>
      <c r="AC57" s="247"/>
      <c r="AD57" s="251" t="str">
        <f>IFERROR(__xludf.DUMMYFUNCTION("""COMPUTED_VALUE"""),"73df5aae-f42a-49a0-9d8f-616ca6dbebaa")</f>
        <v>73df5aae-f42a-49a0-9d8f-616ca6dbebaa</v>
      </c>
      <c r="AE57" s="251" t="str">
        <f>IFERROR(__xludf.DUMMYFUNCTION("""COMPUTED_VALUE"""),"019ecf9c-e80e-7ff5-b563-e60cf12dd0a3")</f>
        <v>019ecf9c-e80e-7ff5-b563-e60cf12dd0a3</v>
      </c>
      <c r="AF57" s="261">
        <f>IFERROR(__xludf.DUMMYFUNCTION("""COMPUTED_VALUE"""),46189.36605324074)</f>
        <v>46189.36605</v>
      </c>
      <c r="AG57" s="251" t="str">
        <f>IFERROR(__xludf.DUMMYFUNCTION("""COMPUTED_VALUE"""),"credit")</f>
        <v>credit</v>
      </c>
      <c r="AH57" s="253">
        <f>IFERROR(__xludf.DUMMYFUNCTION("""COMPUTED_VALUE"""),20858.76)</f>
        <v>20858.76</v>
      </c>
      <c r="AI57" s="251" t="str">
        <f>IFERROR(__xludf.DUMMYFUNCTION("""COMPUTED_VALUE"""),"cash_isa")</f>
        <v>cash_isa</v>
      </c>
      <c r="AJ57" s="251" t="str">
        <f>IFERROR(__xludf.DUMMYFUNCTION("""COMPUTED_VALUE"""),"9bc00e6b-ce5f-48c5-ae3a-1baabe00f337")</f>
        <v>9bc00e6b-ce5f-48c5-ae3a-1baabe00f337</v>
      </c>
      <c r="AK57" s="251" t="str">
        <f>IFERROR(__xludf.DUMMYFUNCTION("""COMPUTED_VALUE"""),"7431ff90-4b3c-41d6-b433-d7eb0ee49d31")</f>
        <v>7431ff90-4b3c-41d6-b433-d7eb0ee49d31</v>
      </c>
      <c r="AL57" s="251"/>
      <c r="AM57" s="251"/>
      <c r="AN57" s="251"/>
      <c r="AO57" s="251"/>
      <c r="AP57" s="261"/>
      <c r="AR57" s="251" t="str">
        <f t="shared" si="1"/>
        <v>20858.76_credit</v>
      </c>
      <c r="AS57" s="251" t="str">
        <f t="shared" si="2"/>
        <v>DROP</v>
      </c>
      <c r="AT57" s="247"/>
    </row>
    <row r="58">
      <c r="A58" s="255" t="s">
        <v>165</v>
      </c>
      <c r="B58" s="255" t="s">
        <v>345</v>
      </c>
      <c r="C58" s="256">
        <v>46189.373148148145</v>
      </c>
      <c r="D58" s="255" t="s">
        <v>265</v>
      </c>
      <c r="E58" s="257">
        <v>20910.88</v>
      </c>
      <c r="F58" s="255" t="s">
        <v>169</v>
      </c>
      <c r="G58" s="255" t="s">
        <v>170</v>
      </c>
      <c r="H58" s="255" t="s">
        <v>337</v>
      </c>
      <c r="I58" s="258"/>
      <c r="J58" s="258"/>
      <c r="K58" s="259"/>
      <c r="L58" s="258"/>
      <c r="M58" s="260"/>
      <c r="O58" s="247"/>
      <c r="AC58" s="247"/>
      <c r="AD58" s="251" t="str">
        <f>IFERROR(__xludf.DUMMYFUNCTION("""COMPUTED_VALUE"""),"73df5aae-f42a-49a0-9d8f-616ca6dbebaa")</f>
        <v>73df5aae-f42a-49a0-9d8f-616ca6dbebaa</v>
      </c>
      <c r="AE58" s="251" t="str">
        <f>IFERROR(__xludf.DUMMYFUNCTION("""COMPUTED_VALUE"""),"019ecf9f-8449-7522-9db7-a30e43628c8e")</f>
        <v>019ecf9f-8449-7522-9db7-a30e43628c8e</v>
      </c>
      <c r="AF58" s="261">
        <f>IFERROR(__xludf.DUMMYFUNCTION("""COMPUTED_VALUE"""),46189.36803240741)</f>
        <v>46189.36803</v>
      </c>
      <c r="AG58" s="251" t="str">
        <f>IFERROR(__xludf.DUMMYFUNCTION("""COMPUTED_VALUE"""),"debit")</f>
        <v>debit</v>
      </c>
      <c r="AH58" s="253">
        <f>IFERROR(__xludf.DUMMYFUNCTION("""COMPUTED_VALUE"""),20858.76)</f>
        <v>20858.76</v>
      </c>
      <c r="AI58" s="251" t="str">
        <f>IFERROR(__xludf.DUMMYFUNCTION("""COMPUTED_VALUE"""),"cash_isa")</f>
        <v>cash_isa</v>
      </c>
      <c r="AJ58" s="251" t="str">
        <f>IFERROR(__xludf.DUMMYFUNCTION("""COMPUTED_VALUE"""),"9bc00e6b-ce5f-48c5-ae3a-1baabe00f337")</f>
        <v>9bc00e6b-ce5f-48c5-ae3a-1baabe00f337</v>
      </c>
      <c r="AK58" s="251" t="str">
        <f>IFERROR(__xludf.DUMMYFUNCTION("""COMPUTED_VALUE"""),"7431ff90-4b3c-41d6-b433-d7eb0ee49d31")</f>
        <v>7431ff90-4b3c-41d6-b433-d7eb0ee49d31</v>
      </c>
      <c r="AL58" s="251"/>
      <c r="AM58" s="251"/>
      <c r="AN58" s="251"/>
      <c r="AO58" s="251"/>
      <c r="AP58" s="261"/>
      <c r="AR58" s="251" t="str">
        <f t="shared" si="1"/>
        <v>20858.76_debit</v>
      </c>
      <c r="AS58" s="251" t="str">
        <f t="shared" si="2"/>
        <v>DROP</v>
      </c>
      <c r="AT58" s="247"/>
    </row>
    <row r="59">
      <c r="A59" s="262" t="s">
        <v>165</v>
      </c>
      <c r="B59" s="262" t="s">
        <v>346</v>
      </c>
      <c r="C59" s="263">
        <v>46189.37462962963</v>
      </c>
      <c r="D59" s="262" t="s">
        <v>167</v>
      </c>
      <c r="E59" s="264">
        <v>40854.07</v>
      </c>
      <c r="F59" s="262" t="s">
        <v>169</v>
      </c>
      <c r="G59" s="262" t="s">
        <v>170</v>
      </c>
      <c r="H59" s="262" t="s">
        <v>347</v>
      </c>
      <c r="I59" s="265"/>
      <c r="J59" s="265"/>
      <c r="K59" s="266"/>
      <c r="L59" s="265"/>
      <c r="M59" s="267"/>
      <c r="O59" s="247"/>
      <c r="AC59" s="247"/>
      <c r="AD59" s="251" t="str">
        <f>IFERROR(__xludf.DUMMYFUNCTION("""COMPUTED_VALUE"""),"73df5aae-f42a-49a0-9d8f-616ca6dbebaa")</f>
        <v>73df5aae-f42a-49a0-9d8f-616ca6dbebaa</v>
      </c>
      <c r="AE59" s="251" t="str">
        <f>IFERROR(__xludf.DUMMYFUNCTION("""COMPUTED_VALUE"""),"019ecf9f-861e-7c86-bcca-0ec31ba3c4e5")</f>
        <v>019ecf9f-861e-7c86-bcca-0ec31ba3c4e5</v>
      </c>
      <c r="AF59" s="261">
        <f>IFERROR(__xludf.DUMMYFUNCTION("""COMPUTED_VALUE"""),46189.36804398148)</f>
        <v>46189.36804</v>
      </c>
      <c r="AG59" s="251" t="str">
        <f>IFERROR(__xludf.DUMMYFUNCTION("""COMPUTED_VALUE"""),"credit")</f>
        <v>credit</v>
      </c>
      <c r="AH59" s="253">
        <f>IFERROR(__xludf.DUMMYFUNCTION("""COMPUTED_VALUE"""),42213.57)</f>
        <v>42213.57</v>
      </c>
      <c r="AI59" s="251" t="str">
        <f>IFERROR(__xludf.DUMMYFUNCTION("""COMPUTED_VALUE"""),"cash_isa")</f>
        <v>cash_isa</v>
      </c>
      <c r="AJ59" s="251" t="str">
        <f>IFERROR(__xludf.DUMMYFUNCTION("""COMPUTED_VALUE"""),"9bc00e6b-ce5f-48c5-ae3a-1baabe00f337")</f>
        <v>9bc00e6b-ce5f-48c5-ae3a-1baabe00f337</v>
      </c>
      <c r="AK59" s="251" t="str">
        <f>IFERROR(__xludf.DUMMYFUNCTION("""COMPUTED_VALUE"""),"b66586bc-b32a-4693-b8da-db48ee5bceb3")</f>
        <v>b66586bc-b32a-4693-b8da-db48ee5bceb3</v>
      </c>
      <c r="AL59" s="251"/>
      <c r="AM59" s="251"/>
      <c r="AN59" s="251"/>
      <c r="AO59" s="251"/>
      <c r="AP59" s="261"/>
      <c r="AR59" s="251" t="str">
        <f t="shared" si="1"/>
        <v>42213.57_credit</v>
      </c>
      <c r="AS59" s="251" t="str">
        <f t="shared" si="2"/>
        <v>DROP</v>
      </c>
      <c r="AT59" s="247"/>
    </row>
    <row r="60">
      <c r="A60" s="255" t="s">
        <v>165</v>
      </c>
      <c r="B60" s="255" t="s">
        <v>348</v>
      </c>
      <c r="C60" s="256">
        <v>46189.37496527778</v>
      </c>
      <c r="D60" s="255" t="s">
        <v>167</v>
      </c>
      <c r="E60" s="257">
        <v>21033.77</v>
      </c>
      <c r="F60" s="255" t="s">
        <v>169</v>
      </c>
      <c r="G60" s="255" t="s">
        <v>170</v>
      </c>
      <c r="H60" s="255" t="s">
        <v>349</v>
      </c>
      <c r="I60" s="258"/>
      <c r="J60" s="258"/>
      <c r="K60" s="259"/>
      <c r="L60" s="258"/>
      <c r="M60" s="260"/>
      <c r="O60" s="247"/>
      <c r="AC60" s="247"/>
      <c r="AD60" s="251" t="str">
        <f>IFERROR(__xludf.DUMMYFUNCTION("""COMPUTED_VALUE"""),"73df5aae-f42a-49a0-9d8f-616ca6dbebaa")</f>
        <v>73df5aae-f42a-49a0-9d8f-616ca6dbebaa</v>
      </c>
      <c r="AE60" s="251" t="str">
        <f>IFERROR(__xludf.DUMMYFUNCTION("""COMPUTED_VALUE"""),"019ecfa1-69af-7300-9a1f-616dd17b956a")</f>
        <v>019ecfa1-69af-7300-9a1f-616dd17b956a</v>
      </c>
      <c r="AF60" s="261">
        <f>IFERROR(__xludf.DUMMYFUNCTION("""COMPUTED_VALUE"""),46189.369479166664)</f>
        <v>46189.36948</v>
      </c>
      <c r="AG60" s="251" t="str">
        <f>IFERROR(__xludf.DUMMYFUNCTION("""COMPUTED_VALUE"""),"credit")</f>
        <v>credit</v>
      </c>
      <c r="AH60" s="253">
        <f>IFERROR(__xludf.DUMMYFUNCTION("""COMPUTED_VALUE"""),27138.16)</f>
        <v>27138.16</v>
      </c>
      <c r="AI60" s="251" t="str">
        <f>IFERROR(__xludf.DUMMYFUNCTION("""COMPUTED_VALUE"""),"cash_isa")</f>
        <v>cash_isa</v>
      </c>
      <c r="AJ60" s="251" t="str">
        <f>IFERROR(__xludf.DUMMYFUNCTION("""COMPUTED_VALUE"""),"9bc00e6b-ce5f-48c5-ae3a-1baabe00f337")</f>
        <v>9bc00e6b-ce5f-48c5-ae3a-1baabe00f337</v>
      </c>
      <c r="AK60" s="251" t="str">
        <f>IFERROR(__xludf.DUMMYFUNCTION("""COMPUTED_VALUE"""),"7656788e-1cb3-4ca4-89c4-a220c453ea4c")</f>
        <v>7656788e-1cb3-4ca4-89c4-a220c453ea4c</v>
      </c>
      <c r="AL60" s="251"/>
      <c r="AM60" s="251"/>
      <c r="AN60" s="251"/>
      <c r="AO60" s="251"/>
      <c r="AP60" s="261"/>
      <c r="AR60" s="251" t="str">
        <f t="shared" si="1"/>
        <v>27138.16_credit</v>
      </c>
      <c r="AS60" s="251" t="str">
        <f t="shared" si="2"/>
        <v>DROP</v>
      </c>
      <c r="AT60" s="247"/>
    </row>
    <row r="61">
      <c r="A61" s="262" t="s">
        <v>165</v>
      </c>
      <c r="B61" s="262" t="s">
        <v>350</v>
      </c>
      <c r="C61" s="263">
        <v>46189.3750462963</v>
      </c>
      <c r="D61" s="262" t="s">
        <v>265</v>
      </c>
      <c r="E61" s="264">
        <v>15731.47</v>
      </c>
      <c r="F61" s="262" t="s">
        <v>169</v>
      </c>
      <c r="G61" s="262" t="s">
        <v>170</v>
      </c>
      <c r="H61" s="262" t="s">
        <v>342</v>
      </c>
      <c r="I61" s="265"/>
      <c r="J61" s="265"/>
      <c r="K61" s="266"/>
      <c r="L61" s="265"/>
      <c r="M61" s="267"/>
      <c r="O61" s="247"/>
      <c r="AC61" s="247"/>
      <c r="AD61" s="251" t="str">
        <f>IFERROR(__xludf.DUMMYFUNCTION("""COMPUTED_VALUE"""),"73df5aae-f42a-49a0-9d8f-616ca6dbebaa")</f>
        <v>73df5aae-f42a-49a0-9d8f-616ca6dbebaa</v>
      </c>
      <c r="AE61" s="251" t="str">
        <f>IFERROR(__xludf.DUMMYFUNCTION("""COMPUTED_VALUE"""),"019ecfa1-ea2d-7221-8eda-3be9471854a7")</f>
        <v>019ecfa1-ea2d-7221-8eda-3be9471854a7</v>
      </c>
      <c r="AF61" s="261">
        <f>IFERROR(__xludf.DUMMYFUNCTION("""COMPUTED_VALUE"""),46189.36986111111)</f>
        <v>46189.36986</v>
      </c>
      <c r="AG61" s="251" t="str">
        <f>IFERROR(__xludf.DUMMYFUNCTION("""COMPUTED_VALUE"""),"debit")</f>
        <v>debit</v>
      </c>
      <c r="AH61" s="253">
        <f>IFERROR(__xludf.DUMMYFUNCTION("""COMPUTED_VALUE"""),42213.57)</f>
        <v>42213.57</v>
      </c>
      <c r="AI61" s="251" t="str">
        <f>IFERROR(__xludf.DUMMYFUNCTION("""COMPUTED_VALUE"""),"cash_isa")</f>
        <v>cash_isa</v>
      </c>
      <c r="AJ61" s="251" t="str">
        <f>IFERROR(__xludf.DUMMYFUNCTION("""COMPUTED_VALUE"""),"9bc00e6b-ce5f-48c5-ae3a-1baabe00f337")</f>
        <v>9bc00e6b-ce5f-48c5-ae3a-1baabe00f337</v>
      </c>
      <c r="AK61" s="251" t="str">
        <f>IFERROR(__xludf.DUMMYFUNCTION("""COMPUTED_VALUE"""),"b66586bc-b32a-4693-b8da-db48ee5bceb3")</f>
        <v>b66586bc-b32a-4693-b8da-db48ee5bceb3</v>
      </c>
      <c r="AL61" s="251"/>
      <c r="AM61" s="251"/>
      <c r="AN61" s="251"/>
      <c r="AO61" s="251"/>
      <c r="AP61" s="261"/>
      <c r="AR61" s="251" t="str">
        <f t="shared" si="1"/>
        <v>42213.57_debit</v>
      </c>
      <c r="AS61" s="251" t="str">
        <f t="shared" si="2"/>
        <v>DROP</v>
      </c>
      <c r="AT61" s="247"/>
    </row>
    <row r="62">
      <c r="A62" s="255" t="s">
        <v>165</v>
      </c>
      <c r="B62" s="255" t="s">
        <v>351</v>
      </c>
      <c r="C62" s="256">
        <v>46189.37657407407</v>
      </c>
      <c r="D62" s="255" t="s">
        <v>265</v>
      </c>
      <c r="E62" s="257">
        <v>40854.07</v>
      </c>
      <c r="F62" s="255" t="s">
        <v>169</v>
      </c>
      <c r="G62" s="255" t="s">
        <v>170</v>
      </c>
      <c r="H62" s="255" t="s">
        <v>347</v>
      </c>
      <c r="I62" s="258"/>
      <c r="J62" s="258"/>
      <c r="K62" s="259"/>
      <c r="L62" s="258"/>
      <c r="M62" s="260"/>
      <c r="O62" s="247"/>
      <c r="AC62" s="247"/>
      <c r="AD62" s="251" t="str">
        <f>IFERROR(__xludf.DUMMYFUNCTION("""COMPUTED_VALUE"""),"73df5aae-f42a-49a0-9d8f-616ca6dbebaa")</f>
        <v>73df5aae-f42a-49a0-9d8f-616ca6dbebaa</v>
      </c>
      <c r="AE62" s="251" t="str">
        <f>IFERROR(__xludf.DUMMYFUNCTION("""COMPUTED_VALUE"""),"019ecfa3-36bf-76b9-a6ee-d5038c340978")</f>
        <v>019ecfa3-36bf-76b9-a6ee-d5038c340978</v>
      </c>
      <c r="AF62" s="261">
        <f>IFERROR(__xludf.DUMMYFUNCTION("""COMPUTED_VALUE"""),46189.370844907404)</f>
        <v>46189.37084</v>
      </c>
      <c r="AG62" s="251" t="str">
        <f>IFERROR(__xludf.DUMMYFUNCTION("""COMPUTED_VALUE"""),"credit")</f>
        <v>credit</v>
      </c>
      <c r="AH62" s="253">
        <f>IFERROR(__xludf.DUMMYFUNCTION("""COMPUTED_VALUE"""),20708.18)</f>
        <v>20708.18</v>
      </c>
      <c r="AI62" s="251" t="str">
        <f>IFERROR(__xludf.DUMMYFUNCTION("""COMPUTED_VALUE"""),"cash_isa")</f>
        <v>cash_isa</v>
      </c>
      <c r="AJ62" s="251" t="str">
        <f>IFERROR(__xludf.DUMMYFUNCTION("""COMPUTED_VALUE"""),"9bc00e6b-ce5f-48c5-ae3a-1baabe00f337")</f>
        <v>9bc00e6b-ce5f-48c5-ae3a-1baabe00f337</v>
      </c>
      <c r="AK62" s="251" t="str">
        <f>IFERROR(__xludf.DUMMYFUNCTION("""COMPUTED_VALUE"""),"887de5c0-de23-4ec2-8e28-5f7a3d8297b1")</f>
        <v>887de5c0-de23-4ec2-8e28-5f7a3d8297b1</v>
      </c>
      <c r="AL62" s="251"/>
      <c r="AM62" s="251"/>
      <c r="AN62" s="251"/>
      <c r="AO62" s="251"/>
      <c r="AP62" s="261"/>
      <c r="AR62" s="251" t="str">
        <f t="shared" si="1"/>
        <v>20708.18_credit</v>
      </c>
      <c r="AS62" s="251" t="str">
        <f t="shared" si="2"/>
        <v>DROP</v>
      </c>
      <c r="AT62" s="247"/>
    </row>
    <row r="63">
      <c r="A63" s="262" t="s">
        <v>165</v>
      </c>
      <c r="B63" s="262" t="s">
        <v>352</v>
      </c>
      <c r="C63" s="263">
        <v>46189.37732638889</v>
      </c>
      <c r="D63" s="262" t="s">
        <v>265</v>
      </c>
      <c r="E63" s="264">
        <v>21033.77</v>
      </c>
      <c r="F63" s="262" t="s">
        <v>169</v>
      </c>
      <c r="G63" s="262" t="s">
        <v>170</v>
      </c>
      <c r="H63" s="262" t="s">
        <v>349</v>
      </c>
      <c r="I63" s="265"/>
      <c r="J63" s="265"/>
      <c r="K63" s="266"/>
      <c r="L63" s="265"/>
      <c r="M63" s="267"/>
      <c r="O63" s="247"/>
      <c r="AC63" s="247"/>
      <c r="AD63" s="251" t="str">
        <f>IFERROR(__xludf.DUMMYFUNCTION("""COMPUTED_VALUE"""),"73df5aae-f42a-49a0-9d8f-616ca6dbebaa")</f>
        <v>73df5aae-f42a-49a0-9d8f-616ca6dbebaa</v>
      </c>
      <c r="AE63" s="251" t="str">
        <f>IFERROR(__xludf.DUMMYFUNCTION("""COMPUTED_VALUE"""),"019ecfa3-c30a-7245-a1b8-e52f58dce3a8")</f>
        <v>019ecfa3-c30a-7245-a1b8-e52f58dce3a8</v>
      </c>
      <c r="AF63" s="261">
        <f>IFERROR(__xludf.DUMMYFUNCTION("""COMPUTED_VALUE"""),46189.37126157407)</f>
        <v>46189.37126</v>
      </c>
      <c r="AG63" s="251" t="str">
        <f>IFERROR(__xludf.DUMMYFUNCTION("""COMPUTED_VALUE"""),"credit")</f>
        <v>credit</v>
      </c>
      <c r="AH63" s="253">
        <f>IFERROR(__xludf.DUMMYFUNCTION("""COMPUTED_VALUE"""),20910.88)</f>
        <v>20910.88</v>
      </c>
      <c r="AI63" s="251" t="str">
        <f>IFERROR(__xludf.DUMMYFUNCTION("""COMPUTED_VALUE"""),"cash_isa")</f>
        <v>cash_isa</v>
      </c>
      <c r="AJ63" s="251" t="str">
        <f>IFERROR(__xludf.DUMMYFUNCTION("""COMPUTED_VALUE"""),"9bc00e6b-ce5f-48c5-ae3a-1baabe00f337")</f>
        <v>9bc00e6b-ce5f-48c5-ae3a-1baabe00f337</v>
      </c>
      <c r="AK63" s="251" t="str">
        <f>IFERROR(__xludf.DUMMYFUNCTION("""COMPUTED_VALUE"""),"e7447f5e-e526-4c5f-adf1-8e8cd0b72125")</f>
        <v>e7447f5e-e526-4c5f-adf1-8e8cd0b72125</v>
      </c>
      <c r="AL63" s="251"/>
      <c r="AM63" s="251"/>
      <c r="AN63" s="251"/>
      <c r="AO63" s="251"/>
      <c r="AP63" s="261"/>
      <c r="AR63" s="251" t="str">
        <f t="shared" si="1"/>
        <v>20910.88_credit</v>
      </c>
      <c r="AS63" s="251" t="str">
        <f t="shared" si="2"/>
        <v>DROP</v>
      </c>
      <c r="AT63" s="247"/>
    </row>
    <row r="64">
      <c r="A64" s="255" t="s">
        <v>165</v>
      </c>
      <c r="B64" s="255" t="s">
        <v>353</v>
      </c>
      <c r="C64" s="256">
        <v>46189.38103009259</v>
      </c>
      <c r="D64" s="255" t="s">
        <v>167</v>
      </c>
      <c r="E64" s="257">
        <v>23722.56</v>
      </c>
      <c r="F64" s="255" t="s">
        <v>169</v>
      </c>
      <c r="G64" s="255" t="s">
        <v>170</v>
      </c>
      <c r="H64" s="255" t="s">
        <v>354</v>
      </c>
      <c r="I64" s="258"/>
      <c r="J64" s="258"/>
      <c r="K64" s="259"/>
      <c r="L64" s="258"/>
      <c r="M64" s="260"/>
      <c r="O64" s="247"/>
      <c r="AC64" s="247"/>
      <c r="AD64" s="251" t="str">
        <f>IFERROR(__xludf.DUMMYFUNCTION("""COMPUTED_VALUE"""),"73df5aae-f42a-49a0-9d8f-616ca6dbebaa")</f>
        <v>73df5aae-f42a-49a0-9d8f-616ca6dbebaa</v>
      </c>
      <c r="AE64" s="251" t="str">
        <f>IFERROR(__xludf.DUMMYFUNCTION("""COMPUTED_VALUE"""),"019ecfa4-1488-7afd-9c60-e29637613cce")</f>
        <v>019ecfa4-1488-7afd-9c60-e29637613cce</v>
      </c>
      <c r="AF64" s="261">
        <f>IFERROR(__xludf.DUMMYFUNCTION("""COMPUTED_VALUE"""),46189.37149305556)</f>
        <v>46189.37149</v>
      </c>
      <c r="AG64" s="251" t="str">
        <f>IFERROR(__xludf.DUMMYFUNCTION("""COMPUTED_VALUE"""),"credit")</f>
        <v>credit</v>
      </c>
      <c r="AH64" s="253">
        <f>IFERROR(__xludf.DUMMYFUNCTION("""COMPUTED_VALUE"""),600.0)</f>
        <v>600</v>
      </c>
      <c r="AI64" s="251" t="str">
        <f>IFERROR(__xludf.DUMMYFUNCTION("""COMPUTED_VALUE"""),"cash_isa")</f>
        <v>cash_isa</v>
      </c>
      <c r="AJ64" s="251" t="str">
        <f>IFERROR(__xludf.DUMMYFUNCTION("""COMPUTED_VALUE"""),"9bc00e6b-ce5f-48c5-ae3a-1baabe00f337")</f>
        <v>9bc00e6b-ce5f-48c5-ae3a-1baabe00f337</v>
      </c>
      <c r="AK64" s="251" t="str">
        <f>IFERROR(__xludf.DUMMYFUNCTION("""COMPUTED_VALUE"""),"085b2804-8667-41d1-bb69-7a8e9fc6fb9c")</f>
        <v>085b2804-8667-41d1-bb69-7a8e9fc6fb9c</v>
      </c>
      <c r="AL64" s="251"/>
      <c r="AM64" s="251"/>
      <c r="AN64" s="251"/>
      <c r="AO64" s="251"/>
      <c r="AP64" s="261"/>
      <c r="AR64" s="251" t="str">
        <f t="shared" si="1"/>
        <v>600_credit</v>
      </c>
      <c r="AS64" s="251" t="str">
        <f t="shared" si="2"/>
        <v>DROP</v>
      </c>
      <c r="AT64" s="247"/>
    </row>
    <row r="65">
      <c r="A65" s="262" t="s">
        <v>165</v>
      </c>
      <c r="B65" s="262" t="s">
        <v>355</v>
      </c>
      <c r="C65" s="263">
        <v>46189.38265046296</v>
      </c>
      <c r="D65" s="262" t="s">
        <v>265</v>
      </c>
      <c r="E65" s="264">
        <v>23722.56</v>
      </c>
      <c r="F65" s="262" t="s">
        <v>169</v>
      </c>
      <c r="G65" s="262" t="s">
        <v>170</v>
      </c>
      <c r="H65" s="262" t="s">
        <v>354</v>
      </c>
      <c r="I65" s="265"/>
      <c r="J65" s="265"/>
      <c r="K65" s="266"/>
      <c r="L65" s="265"/>
      <c r="M65" s="267"/>
      <c r="O65" s="247"/>
      <c r="AC65" s="247"/>
      <c r="AD65" s="251" t="str">
        <f>IFERROR(__xludf.DUMMYFUNCTION("""COMPUTED_VALUE"""),"73df5aae-f42a-49a0-9d8f-616ca6dbebaa")</f>
        <v>73df5aae-f42a-49a0-9d8f-616ca6dbebaa</v>
      </c>
      <c r="AE65" s="251" t="str">
        <f>IFERROR(__xludf.DUMMYFUNCTION("""COMPUTED_VALUE"""),"019ecfa4-95ab-78b2-9df6-0cc0395860c0")</f>
        <v>019ecfa4-95ab-78b2-9df6-0cc0395860c0</v>
      </c>
      <c r="AF65" s="261">
        <f>IFERROR(__xludf.DUMMYFUNCTION("""COMPUTED_VALUE"""),46189.371875)</f>
        <v>46189.37188</v>
      </c>
      <c r="AG65" s="251" t="str">
        <f>IFERROR(__xludf.DUMMYFUNCTION("""COMPUTED_VALUE"""),"debit")</f>
        <v>debit</v>
      </c>
      <c r="AH65" s="253">
        <f>IFERROR(__xludf.DUMMYFUNCTION("""COMPUTED_VALUE"""),27138.16)</f>
        <v>27138.16</v>
      </c>
      <c r="AI65" s="251" t="str">
        <f>IFERROR(__xludf.DUMMYFUNCTION("""COMPUTED_VALUE"""),"cash_isa")</f>
        <v>cash_isa</v>
      </c>
      <c r="AJ65" s="251" t="str">
        <f>IFERROR(__xludf.DUMMYFUNCTION("""COMPUTED_VALUE"""),"9bc00e6b-ce5f-48c5-ae3a-1baabe00f337")</f>
        <v>9bc00e6b-ce5f-48c5-ae3a-1baabe00f337</v>
      </c>
      <c r="AK65" s="251" t="str">
        <f>IFERROR(__xludf.DUMMYFUNCTION("""COMPUTED_VALUE"""),"7656788e-1cb3-4ca4-89c4-a220c453ea4c")</f>
        <v>7656788e-1cb3-4ca4-89c4-a220c453ea4c</v>
      </c>
      <c r="AL65" s="251"/>
      <c r="AM65" s="251"/>
      <c r="AN65" s="251"/>
      <c r="AO65" s="251"/>
      <c r="AP65" s="261"/>
      <c r="AR65" s="251" t="str">
        <f t="shared" si="1"/>
        <v>27138.16_debit</v>
      </c>
      <c r="AS65" s="251" t="str">
        <f t="shared" si="2"/>
        <v>DROP</v>
      </c>
      <c r="AT65" s="247"/>
    </row>
    <row r="66">
      <c r="A66" s="255" t="s">
        <v>165</v>
      </c>
      <c r="B66" s="255" t="s">
        <v>356</v>
      </c>
      <c r="C66" s="256">
        <v>46189.38381944445</v>
      </c>
      <c r="D66" s="255" t="s">
        <v>167</v>
      </c>
      <c r="E66" s="257">
        <v>22843.96</v>
      </c>
      <c r="F66" s="255" t="s">
        <v>169</v>
      </c>
      <c r="G66" s="255" t="s">
        <v>170</v>
      </c>
      <c r="H66" s="255" t="s">
        <v>357</v>
      </c>
      <c r="I66" s="258"/>
      <c r="J66" s="258"/>
      <c r="K66" s="259"/>
      <c r="L66" s="258"/>
      <c r="M66" s="260"/>
      <c r="O66" s="247"/>
      <c r="AC66" s="247"/>
      <c r="AD66" s="251" t="str">
        <f>IFERROR(__xludf.DUMMYFUNCTION("""COMPUTED_VALUE"""),"73df5aae-f42a-49a0-9d8f-616ca6dbebaa")</f>
        <v>73df5aae-f42a-49a0-9d8f-616ca6dbebaa</v>
      </c>
      <c r="AE66" s="251" t="str">
        <f>IFERROR(__xludf.DUMMYFUNCTION("""COMPUTED_VALUE"""),"019ecfa5-a521-7820-94ee-27e0e26b36f4")</f>
        <v>019ecfa5-a521-7820-94ee-27e0e26b36f4</v>
      </c>
      <c r="AF66" s="261">
        <f>IFERROR(__xludf.DUMMYFUNCTION("""COMPUTED_VALUE"""),46189.37268518518)</f>
        <v>46189.37269</v>
      </c>
      <c r="AG66" s="251" t="str">
        <f>IFERROR(__xludf.DUMMYFUNCTION("""COMPUTED_VALUE"""),"credit")</f>
        <v>credit</v>
      </c>
      <c r="AH66" s="253">
        <f>IFERROR(__xludf.DUMMYFUNCTION("""COMPUTED_VALUE"""),15731.47)</f>
        <v>15731.47</v>
      </c>
      <c r="AI66" s="251" t="str">
        <f>IFERROR(__xludf.DUMMYFUNCTION("""COMPUTED_VALUE"""),"cash_isa")</f>
        <v>cash_isa</v>
      </c>
      <c r="AJ66" s="251" t="str">
        <f>IFERROR(__xludf.DUMMYFUNCTION("""COMPUTED_VALUE"""),"9bc00e6b-ce5f-48c5-ae3a-1baabe00f337")</f>
        <v>9bc00e6b-ce5f-48c5-ae3a-1baabe00f337</v>
      </c>
      <c r="AK66" s="251" t="str">
        <f>IFERROR(__xludf.DUMMYFUNCTION("""COMPUTED_VALUE"""),"cc1d8e4c-a245-4b9d-a206-5c73b7275d86")</f>
        <v>cc1d8e4c-a245-4b9d-a206-5c73b7275d86</v>
      </c>
      <c r="AL66" s="251"/>
      <c r="AM66" s="251"/>
      <c r="AN66" s="251"/>
      <c r="AO66" s="251"/>
      <c r="AP66" s="261"/>
      <c r="AR66" s="251" t="str">
        <f t="shared" si="1"/>
        <v>15731.47_credit</v>
      </c>
      <c r="AS66" s="251" t="str">
        <f t="shared" si="2"/>
        <v>DROP</v>
      </c>
      <c r="AT66" s="247"/>
    </row>
    <row r="67">
      <c r="A67" s="262" t="s">
        <v>165</v>
      </c>
      <c r="B67" s="262" t="s">
        <v>358</v>
      </c>
      <c r="C67" s="263">
        <v>46189.38553240741</v>
      </c>
      <c r="D67" s="262" t="s">
        <v>265</v>
      </c>
      <c r="E67" s="264">
        <v>22843.96</v>
      </c>
      <c r="F67" s="262" t="s">
        <v>169</v>
      </c>
      <c r="G67" s="262" t="s">
        <v>170</v>
      </c>
      <c r="H67" s="262" t="s">
        <v>357</v>
      </c>
      <c r="I67" s="265"/>
      <c r="J67" s="265"/>
      <c r="K67" s="266"/>
      <c r="L67" s="265"/>
      <c r="M67" s="267"/>
      <c r="O67" s="247"/>
      <c r="AC67" s="247"/>
      <c r="AD67" s="251" t="str">
        <f>IFERROR(__xludf.DUMMYFUNCTION("""COMPUTED_VALUE"""),"73df5aae-f42a-49a0-9d8f-616ca6dbebaa")</f>
        <v>73df5aae-f42a-49a0-9d8f-616ca6dbebaa</v>
      </c>
      <c r="AE67" s="251" t="str">
        <f>IFERROR(__xludf.DUMMYFUNCTION("""COMPUTED_VALUE"""),"019ecfa5-f985-75d7-9239-6f575e107b7b")</f>
        <v>019ecfa5-f985-75d7-9239-6f575e107b7b</v>
      </c>
      <c r="AF67" s="261">
        <f>IFERROR(__xludf.DUMMYFUNCTION("""COMPUTED_VALUE"""),46189.37293981481)</f>
        <v>46189.37294</v>
      </c>
      <c r="AG67" s="251" t="str">
        <f>IFERROR(__xludf.DUMMYFUNCTION("""COMPUTED_VALUE"""),"debit")</f>
        <v>debit</v>
      </c>
      <c r="AH67" s="253">
        <f>IFERROR(__xludf.DUMMYFUNCTION("""COMPUTED_VALUE"""),20708.18)</f>
        <v>20708.18</v>
      </c>
      <c r="AI67" s="251" t="str">
        <f>IFERROR(__xludf.DUMMYFUNCTION("""COMPUTED_VALUE"""),"cash_isa")</f>
        <v>cash_isa</v>
      </c>
      <c r="AJ67" s="251" t="str">
        <f>IFERROR(__xludf.DUMMYFUNCTION("""COMPUTED_VALUE"""),"9bc00e6b-ce5f-48c5-ae3a-1baabe00f337")</f>
        <v>9bc00e6b-ce5f-48c5-ae3a-1baabe00f337</v>
      </c>
      <c r="AK67" s="251" t="str">
        <f>IFERROR(__xludf.DUMMYFUNCTION("""COMPUTED_VALUE"""),"887de5c0-de23-4ec2-8e28-5f7a3d8297b1")</f>
        <v>887de5c0-de23-4ec2-8e28-5f7a3d8297b1</v>
      </c>
      <c r="AL67" s="251"/>
      <c r="AM67" s="251"/>
      <c r="AN67" s="251"/>
      <c r="AO67" s="251"/>
      <c r="AP67" s="261"/>
      <c r="AR67" s="251" t="str">
        <f t="shared" si="1"/>
        <v>20708.18_debit</v>
      </c>
      <c r="AS67" s="251" t="str">
        <f t="shared" si="2"/>
        <v>DROP</v>
      </c>
      <c r="AT67" s="247"/>
    </row>
    <row r="68">
      <c r="A68" s="255" t="s">
        <v>165</v>
      </c>
      <c r="B68" s="255" t="s">
        <v>359</v>
      </c>
      <c r="C68" s="256">
        <v>46189.385879629626</v>
      </c>
      <c r="D68" s="255" t="s">
        <v>167</v>
      </c>
      <c r="E68" s="257">
        <v>20740.46</v>
      </c>
      <c r="F68" s="255" t="s">
        <v>169</v>
      </c>
      <c r="G68" s="255" t="s">
        <v>170</v>
      </c>
      <c r="H68" s="255" t="s">
        <v>360</v>
      </c>
      <c r="I68" s="258"/>
      <c r="J68" s="258"/>
      <c r="K68" s="259"/>
      <c r="L68" s="258"/>
      <c r="M68" s="260"/>
      <c r="O68" s="247"/>
      <c r="AC68" s="247"/>
      <c r="AD68" s="251" t="str">
        <f>IFERROR(__xludf.DUMMYFUNCTION("""COMPUTED_VALUE"""),"73df5aae-f42a-49a0-9d8f-616ca6dbebaa")</f>
        <v>73df5aae-f42a-49a0-9d8f-616ca6dbebaa</v>
      </c>
      <c r="AE68" s="251" t="str">
        <f>IFERROR(__xludf.DUMMYFUNCTION("""COMPUTED_VALUE"""),"019ecfa6-3ef4-7337-b7fd-41d0ca08caa1")</f>
        <v>019ecfa6-3ef4-7337-b7fd-41d0ca08caa1</v>
      </c>
      <c r="AF68" s="261">
        <f>IFERROR(__xludf.DUMMYFUNCTION("""COMPUTED_VALUE"""),46189.373136574075)</f>
        <v>46189.37314</v>
      </c>
      <c r="AG68" s="251" t="str">
        <f>IFERROR(__xludf.DUMMYFUNCTION("""COMPUTED_VALUE"""),"debit")</f>
        <v>debit</v>
      </c>
      <c r="AH68" s="253">
        <f>IFERROR(__xludf.DUMMYFUNCTION("""COMPUTED_VALUE"""),600.0)</f>
        <v>600</v>
      </c>
      <c r="AI68" s="251" t="str">
        <f>IFERROR(__xludf.DUMMYFUNCTION("""COMPUTED_VALUE"""),"cash_isa")</f>
        <v>cash_isa</v>
      </c>
      <c r="AJ68" s="251" t="str">
        <f>IFERROR(__xludf.DUMMYFUNCTION("""COMPUTED_VALUE"""),"9bc00e6b-ce5f-48c5-ae3a-1baabe00f337")</f>
        <v>9bc00e6b-ce5f-48c5-ae3a-1baabe00f337</v>
      </c>
      <c r="AK68" s="251" t="str">
        <f>IFERROR(__xludf.DUMMYFUNCTION("""COMPUTED_VALUE"""),"085b2804-8667-41d1-bb69-7a8e9fc6fb9c")</f>
        <v>085b2804-8667-41d1-bb69-7a8e9fc6fb9c</v>
      </c>
      <c r="AL68" s="251"/>
      <c r="AM68" s="251"/>
      <c r="AN68" s="251"/>
      <c r="AO68" s="251"/>
      <c r="AP68" s="261"/>
      <c r="AR68" s="251" t="str">
        <f t="shared" si="1"/>
        <v>600_debit</v>
      </c>
      <c r="AS68" s="251" t="str">
        <f t="shared" si="2"/>
        <v>DROP</v>
      </c>
      <c r="AT68" s="247"/>
    </row>
    <row r="69">
      <c r="A69" s="262" t="s">
        <v>165</v>
      </c>
      <c r="B69" s="262" t="s">
        <v>361</v>
      </c>
      <c r="C69" s="263">
        <v>46189.386979166666</v>
      </c>
      <c r="D69" s="262" t="s">
        <v>167</v>
      </c>
      <c r="E69" s="264">
        <v>2755.69</v>
      </c>
      <c r="F69" s="262" t="s">
        <v>169</v>
      </c>
      <c r="G69" s="262" t="s">
        <v>170</v>
      </c>
      <c r="H69" s="262" t="s">
        <v>362</v>
      </c>
      <c r="I69" s="265"/>
      <c r="J69" s="265"/>
      <c r="K69" s="266"/>
      <c r="L69" s="265"/>
      <c r="M69" s="267"/>
      <c r="O69" s="247"/>
      <c r="AC69" s="247"/>
      <c r="AD69" s="251" t="str">
        <f>IFERROR(__xludf.DUMMYFUNCTION("""COMPUTED_VALUE"""),"73df5aae-f42a-49a0-9d8f-616ca6dbebaa")</f>
        <v>73df5aae-f42a-49a0-9d8f-616ca6dbebaa</v>
      </c>
      <c r="AE69" s="251" t="str">
        <f>IFERROR(__xludf.DUMMYFUNCTION("""COMPUTED_VALUE"""),"019ecfa6-40b7-76ab-ae6c-74db43f45680")</f>
        <v>019ecfa6-40b7-76ab-ae6c-74db43f45680</v>
      </c>
      <c r="AF69" s="261">
        <f>IFERROR(__xludf.DUMMYFUNCTION("""COMPUTED_VALUE"""),46189.37314814815)</f>
        <v>46189.37315</v>
      </c>
      <c r="AG69" s="251" t="str">
        <f>IFERROR(__xludf.DUMMYFUNCTION("""COMPUTED_VALUE"""),"debit")</f>
        <v>debit</v>
      </c>
      <c r="AH69" s="253">
        <f>IFERROR(__xludf.DUMMYFUNCTION("""COMPUTED_VALUE"""),20910.88)</f>
        <v>20910.88</v>
      </c>
      <c r="AI69" s="251" t="str">
        <f>IFERROR(__xludf.DUMMYFUNCTION("""COMPUTED_VALUE"""),"cash_isa")</f>
        <v>cash_isa</v>
      </c>
      <c r="AJ69" s="251" t="str">
        <f>IFERROR(__xludf.DUMMYFUNCTION("""COMPUTED_VALUE"""),"9bc00e6b-ce5f-48c5-ae3a-1baabe00f337")</f>
        <v>9bc00e6b-ce5f-48c5-ae3a-1baabe00f337</v>
      </c>
      <c r="AK69" s="251" t="str">
        <f>IFERROR(__xludf.DUMMYFUNCTION("""COMPUTED_VALUE"""),"e7447f5e-e526-4c5f-adf1-8e8cd0b72125")</f>
        <v>e7447f5e-e526-4c5f-adf1-8e8cd0b72125</v>
      </c>
      <c r="AL69" s="251"/>
      <c r="AM69" s="251"/>
      <c r="AN69" s="251"/>
      <c r="AO69" s="251"/>
      <c r="AP69" s="261"/>
      <c r="AR69" s="251" t="str">
        <f t="shared" si="1"/>
        <v>20910.88_debit</v>
      </c>
      <c r="AS69" s="251" t="str">
        <f t="shared" si="2"/>
        <v>DROP</v>
      </c>
      <c r="AT69" s="247"/>
    </row>
    <row r="70">
      <c r="A70" s="255" t="s">
        <v>165</v>
      </c>
      <c r="B70" s="255" t="s">
        <v>363</v>
      </c>
      <c r="C70" s="256">
        <v>46189.38715277778</v>
      </c>
      <c r="D70" s="255" t="s">
        <v>167</v>
      </c>
      <c r="E70" s="257">
        <v>41156.98</v>
      </c>
      <c r="F70" s="255" t="s">
        <v>169</v>
      </c>
      <c r="G70" s="255" t="s">
        <v>170</v>
      </c>
      <c r="H70" s="255" t="s">
        <v>364</v>
      </c>
      <c r="I70" s="258"/>
      <c r="J70" s="258"/>
      <c r="K70" s="259"/>
      <c r="L70" s="258"/>
      <c r="M70" s="260"/>
      <c r="O70" s="247"/>
      <c r="AC70" s="247"/>
      <c r="AD70" s="251" t="str">
        <f>IFERROR(__xludf.DUMMYFUNCTION("""COMPUTED_VALUE"""),"73df5aae-f42a-49a0-9d8f-616ca6dbebaa")</f>
        <v>73df5aae-f42a-49a0-9d8f-616ca6dbebaa</v>
      </c>
      <c r="AE70" s="251" t="str">
        <f>IFERROR(__xludf.DUMMYFUNCTION("""COMPUTED_VALUE"""),"019ecfa8-36c0-75fc-b091-53d4fd822c98")</f>
        <v>019ecfa8-36c0-75fc-b091-53d4fd822c98</v>
      </c>
      <c r="AF70" s="261">
        <f>IFERROR(__xludf.DUMMYFUNCTION("""COMPUTED_VALUE"""),46189.37462962963)</f>
        <v>46189.37463</v>
      </c>
      <c r="AG70" s="251" t="str">
        <f>IFERROR(__xludf.DUMMYFUNCTION("""COMPUTED_VALUE"""),"credit")</f>
        <v>credit</v>
      </c>
      <c r="AH70" s="253">
        <f>IFERROR(__xludf.DUMMYFUNCTION("""COMPUTED_VALUE"""),40854.07)</f>
        <v>40854.07</v>
      </c>
      <c r="AI70" s="251" t="str">
        <f>IFERROR(__xludf.DUMMYFUNCTION("""COMPUTED_VALUE"""),"cash_isa")</f>
        <v>cash_isa</v>
      </c>
      <c r="AJ70" s="251" t="str">
        <f>IFERROR(__xludf.DUMMYFUNCTION("""COMPUTED_VALUE"""),"9bc00e6b-ce5f-48c5-ae3a-1baabe00f337")</f>
        <v>9bc00e6b-ce5f-48c5-ae3a-1baabe00f337</v>
      </c>
      <c r="AK70" s="251" t="str">
        <f>IFERROR(__xludf.DUMMYFUNCTION("""COMPUTED_VALUE"""),"806f931e-51a6-4b29-8854-3f9befa1d615")</f>
        <v>806f931e-51a6-4b29-8854-3f9befa1d615</v>
      </c>
      <c r="AL70" s="251"/>
      <c r="AM70" s="251"/>
      <c r="AN70" s="251"/>
      <c r="AO70" s="251"/>
      <c r="AP70" s="261"/>
      <c r="AR70" s="251" t="str">
        <f t="shared" si="1"/>
        <v>40854.07_credit</v>
      </c>
      <c r="AS70" s="251" t="str">
        <f t="shared" si="2"/>
        <v>DROP</v>
      </c>
      <c r="AT70" s="247"/>
    </row>
    <row r="71">
      <c r="A71" s="262" t="s">
        <v>165</v>
      </c>
      <c r="B71" s="262" t="s">
        <v>365</v>
      </c>
      <c r="C71" s="263">
        <v>46189.38825231481</v>
      </c>
      <c r="D71" s="262" t="s">
        <v>265</v>
      </c>
      <c r="E71" s="264">
        <v>20740.46</v>
      </c>
      <c r="F71" s="262" t="s">
        <v>169</v>
      </c>
      <c r="G71" s="262" t="s">
        <v>170</v>
      </c>
      <c r="H71" s="262" t="s">
        <v>360</v>
      </c>
      <c r="I71" s="265"/>
      <c r="J71" s="265"/>
      <c r="K71" s="266"/>
      <c r="L71" s="265"/>
      <c r="M71" s="267"/>
      <c r="O71" s="247"/>
      <c r="AC71" s="247"/>
      <c r="AD71" s="251" t="str">
        <f>IFERROR(__xludf.DUMMYFUNCTION("""COMPUTED_VALUE"""),"73df5aae-f42a-49a0-9d8f-616ca6dbebaa")</f>
        <v>73df5aae-f42a-49a0-9d8f-616ca6dbebaa</v>
      </c>
      <c r="AE71" s="251" t="str">
        <f>IFERROR(__xludf.DUMMYFUNCTION("""COMPUTED_VALUE"""),"019ecfa8-a63d-7ba2-9de3-567700e8661e")</f>
        <v>019ecfa8-a63d-7ba2-9de3-567700e8661e</v>
      </c>
      <c r="AF71" s="261">
        <f>IFERROR(__xludf.DUMMYFUNCTION("""COMPUTED_VALUE"""),46189.37496527778)</f>
        <v>46189.37497</v>
      </c>
      <c r="AG71" s="251" t="str">
        <f>IFERROR(__xludf.DUMMYFUNCTION("""COMPUTED_VALUE"""),"credit")</f>
        <v>credit</v>
      </c>
      <c r="AH71" s="253">
        <f>IFERROR(__xludf.DUMMYFUNCTION("""COMPUTED_VALUE"""),21033.77)</f>
        <v>21033.77</v>
      </c>
      <c r="AI71" s="251" t="str">
        <f>IFERROR(__xludf.DUMMYFUNCTION("""COMPUTED_VALUE"""),"cash_isa")</f>
        <v>cash_isa</v>
      </c>
      <c r="AJ71" s="251" t="str">
        <f>IFERROR(__xludf.DUMMYFUNCTION("""COMPUTED_VALUE"""),"9bc00e6b-ce5f-48c5-ae3a-1baabe00f337")</f>
        <v>9bc00e6b-ce5f-48c5-ae3a-1baabe00f337</v>
      </c>
      <c r="AK71" s="251" t="str">
        <f>IFERROR(__xludf.DUMMYFUNCTION("""COMPUTED_VALUE"""),"d64c241a-b8b6-4195-9500-aaa8e44ec56d")</f>
        <v>d64c241a-b8b6-4195-9500-aaa8e44ec56d</v>
      </c>
      <c r="AL71" s="251"/>
      <c r="AM71" s="251"/>
      <c r="AN71" s="251"/>
      <c r="AO71" s="251"/>
      <c r="AP71" s="261"/>
      <c r="AR71" s="251" t="str">
        <f t="shared" si="1"/>
        <v>21033.77_credit</v>
      </c>
      <c r="AS71" s="251" t="str">
        <f t="shared" si="2"/>
        <v>DROP</v>
      </c>
      <c r="AT71" s="247"/>
    </row>
    <row r="72">
      <c r="A72" s="255" t="s">
        <v>165</v>
      </c>
      <c r="B72" s="255" t="s">
        <v>366</v>
      </c>
      <c r="C72" s="256">
        <v>46189.38872685185</v>
      </c>
      <c r="D72" s="255" t="s">
        <v>265</v>
      </c>
      <c r="E72" s="257">
        <v>2755.69</v>
      </c>
      <c r="F72" s="255" t="s">
        <v>169</v>
      </c>
      <c r="G72" s="255" t="s">
        <v>170</v>
      </c>
      <c r="H72" s="255" t="s">
        <v>362</v>
      </c>
      <c r="I72" s="258"/>
      <c r="J72" s="258"/>
      <c r="K72" s="259"/>
      <c r="L72" s="258"/>
      <c r="M72" s="260"/>
      <c r="O72" s="247"/>
      <c r="AC72" s="247"/>
      <c r="AD72" s="251" t="str">
        <f>IFERROR(__xludf.DUMMYFUNCTION("""COMPUTED_VALUE"""),"73df5aae-f42a-49a0-9d8f-616ca6dbebaa")</f>
        <v>73df5aae-f42a-49a0-9d8f-616ca6dbebaa</v>
      </c>
      <c r="AE72" s="251" t="str">
        <f>IFERROR(__xludf.DUMMYFUNCTION("""COMPUTED_VALUE"""),"019ecfa8-c18d-7ac0-baeb-e1e953df29fb")</f>
        <v>019ecfa8-c18d-7ac0-baeb-e1e953df29fb</v>
      </c>
      <c r="AF72" s="261">
        <f>IFERROR(__xludf.DUMMYFUNCTION("""COMPUTED_VALUE"""),46189.37504629629)</f>
        <v>46189.37505</v>
      </c>
      <c r="AG72" s="251" t="str">
        <f>IFERROR(__xludf.DUMMYFUNCTION("""COMPUTED_VALUE"""),"debit")</f>
        <v>debit</v>
      </c>
      <c r="AH72" s="253">
        <f>IFERROR(__xludf.DUMMYFUNCTION("""COMPUTED_VALUE"""),15731.47)</f>
        <v>15731.47</v>
      </c>
      <c r="AI72" s="251" t="str">
        <f>IFERROR(__xludf.DUMMYFUNCTION("""COMPUTED_VALUE"""),"cash_isa")</f>
        <v>cash_isa</v>
      </c>
      <c r="AJ72" s="251" t="str">
        <f>IFERROR(__xludf.DUMMYFUNCTION("""COMPUTED_VALUE"""),"9bc00e6b-ce5f-48c5-ae3a-1baabe00f337")</f>
        <v>9bc00e6b-ce5f-48c5-ae3a-1baabe00f337</v>
      </c>
      <c r="AK72" s="251" t="str">
        <f>IFERROR(__xludf.DUMMYFUNCTION("""COMPUTED_VALUE"""),"cc1d8e4c-a245-4b9d-a206-5c73b7275d86")</f>
        <v>cc1d8e4c-a245-4b9d-a206-5c73b7275d86</v>
      </c>
      <c r="AL72" s="251"/>
      <c r="AM72" s="251"/>
      <c r="AN72" s="251"/>
      <c r="AO72" s="251"/>
      <c r="AP72" s="261"/>
      <c r="AR72" s="251" t="str">
        <f t="shared" si="1"/>
        <v>15731.47_debit</v>
      </c>
      <c r="AS72" s="251" t="str">
        <f t="shared" si="2"/>
        <v>DROP</v>
      </c>
      <c r="AT72" s="247"/>
    </row>
    <row r="73">
      <c r="A73" s="262" t="s">
        <v>165</v>
      </c>
      <c r="B73" s="262" t="s">
        <v>367</v>
      </c>
      <c r="C73" s="263">
        <v>46189.38872685185</v>
      </c>
      <c r="D73" s="262" t="s">
        <v>265</v>
      </c>
      <c r="E73" s="264">
        <v>41156.98</v>
      </c>
      <c r="F73" s="262" t="s">
        <v>169</v>
      </c>
      <c r="G73" s="262" t="s">
        <v>170</v>
      </c>
      <c r="H73" s="262" t="s">
        <v>364</v>
      </c>
      <c r="I73" s="265"/>
      <c r="J73" s="265"/>
      <c r="K73" s="266"/>
      <c r="L73" s="265"/>
      <c r="M73" s="267"/>
      <c r="O73" s="247"/>
      <c r="AC73" s="247"/>
      <c r="AD73" s="251" t="str">
        <f>IFERROR(__xludf.DUMMYFUNCTION("""COMPUTED_VALUE"""),"73df5aae-f42a-49a0-9d8f-616ca6dbebaa")</f>
        <v>73df5aae-f42a-49a0-9d8f-616ca6dbebaa</v>
      </c>
      <c r="AE73" s="251" t="str">
        <f>IFERROR(__xludf.DUMMYFUNCTION("""COMPUTED_VALUE"""),"019ecfaa-c79a-7a3d-b3c5-2d6e0a16ac20")</f>
        <v>019ecfaa-c79a-7a3d-b3c5-2d6e0a16ac20</v>
      </c>
      <c r="AF73" s="261">
        <f>IFERROR(__xludf.DUMMYFUNCTION("""COMPUTED_VALUE"""),46189.37657407408)</f>
        <v>46189.37657</v>
      </c>
      <c r="AG73" s="251" t="str">
        <f>IFERROR(__xludf.DUMMYFUNCTION("""COMPUTED_VALUE"""),"debit")</f>
        <v>debit</v>
      </c>
      <c r="AH73" s="253">
        <f>IFERROR(__xludf.DUMMYFUNCTION("""COMPUTED_VALUE"""),40854.07)</f>
        <v>40854.07</v>
      </c>
      <c r="AI73" s="251" t="str">
        <f>IFERROR(__xludf.DUMMYFUNCTION("""COMPUTED_VALUE"""),"cash_isa")</f>
        <v>cash_isa</v>
      </c>
      <c r="AJ73" s="251" t="str">
        <f>IFERROR(__xludf.DUMMYFUNCTION("""COMPUTED_VALUE"""),"9bc00e6b-ce5f-48c5-ae3a-1baabe00f337")</f>
        <v>9bc00e6b-ce5f-48c5-ae3a-1baabe00f337</v>
      </c>
      <c r="AK73" s="251" t="str">
        <f>IFERROR(__xludf.DUMMYFUNCTION("""COMPUTED_VALUE"""),"806f931e-51a6-4b29-8854-3f9befa1d615")</f>
        <v>806f931e-51a6-4b29-8854-3f9befa1d615</v>
      </c>
      <c r="AL73" s="251"/>
      <c r="AM73" s="251"/>
      <c r="AN73" s="251"/>
      <c r="AO73" s="251"/>
      <c r="AP73" s="261"/>
      <c r="AR73" s="251" t="str">
        <f t="shared" si="1"/>
        <v>40854.07_debit</v>
      </c>
      <c r="AS73" s="251" t="str">
        <f t="shared" si="2"/>
        <v>DROP</v>
      </c>
      <c r="AT73" s="247"/>
    </row>
    <row r="74">
      <c r="A74" s="255" t="s">
        <v>165</v>
      </c>
      <c r="B74" s="255" t="s">
        <v>368</v>
      </c>
      <c r="C74" s="256">
        <v>46189.38958333333</v>
      </c>
      <c r="D74" s="255" t="s">
        <v>167</v>
      </c>
      <c r="E74" s="257">
        <v>727.92</v>
      </c>
      <c r="F74" s="255" t="s">
        <v>169</v>
      </c>
      <c r="G74" s="255" t="s">
        <v>170</v>
      </c>
      <c r="H74" s="255" t="s">
        <v>369</v>
      </c>
      <c r="I74" s="258"/>
      <c r="J74" s="258"/>
      <c r="K74" s="259"/>
      <c r="L74" s="258"/>
      <c r="M74" s="260"/>
      <c r="O74" s="247"/>
      <c r="AC74" s="247"/>
      <c r="AD74" s="251" t="str">
        <f>IFERROR(__xludf.DUMMYFUNCTION("""COMPUTED_VALUE"""),"73df5aae-f42a-49a0-9d8f-616ca6dbebaa")</f>
        <v>73df5aae-f42a-49a0-9d8f-616ca6dbebaa</v>
      </c>
      <c r="AE74" s="251" t="str">
        <f>IFERROR(__xludf.DUMMYFUNCTION("""COMPUTED_VALUE"""),"019ecfab-c336-7820-8c3d-91db6724f641")</f>
        <v>019ecfab-c336-7820-8c3d-91db6724f641</v>
      </c>
      <c r="AF74" s="261">
        <f>IFERROR(__xludf.DUMMYFUNCTION("""COMPUTED_VALUE"""),46189.37732638889)</f>
        <v>46189.37733</v>
      </c>
      <c r="AG74" s="251" t="str">
        <f>IFERROR(__xludf.DUMMYFUNCTION("""COMPUTED_VALUE"""),"debit")</f>
        <v>debit</v>
      </c>
      <c r="AH74" s="253">
        <f>IFERROR(__xludf.DUMMYFUNCTION("""COMPUTED_VALUE"""),21033.77)</f>
        <v>21033.77</v>
      </c>
      <c r="AI74" s="251" t="str">
        <f>IFERROR(__xludf.DUMMYFUNCTION("""COMPUTED_VALUE"""),"cash_isa")</f>
        <v>cash_isa</v>
      </c>
      <c r="AJ74" s="251" t="str">
        <f>IFERROR(__xludf.DUMMYFUNCTION("""COMPUTED_VALUE"""),"9bc00e6b-ce5f-48c5-ae3a-1baabe00f337")</f>
        <v>9bc00e6b-ce5f-48c5-ae3a-1baabe00f337</v>
      </c>
      <c r="AK74" s="251" t="str">
        <f>IFERROR(__xludf.DUMMYFUNCTION("""COMPUTED_VALUE"""),"d64c241a-b8b6-4195-9500-aaa8e44ec56d")</f>
        <v>d64c241a-b8b6-4195-9500-aaa8e44ec56d</v>
      </c>
      <c r="AL74" s="251"/>
      <c r="AM74" s="251"/>
      <c r="AN74" s="251"/>
      <c r="AO74" s="251"/>
      <c r="AP74" s="261"/>
      <c r="AR74" s="251" t="str">
        <f t="shared" si="1"/>
        <v>21033.77_debit</v>
      </c>
      <c r="AS74" s="251" t="str">
        <f t="shared" si="2"/>
        <v>DROP</v>
      </c>
      <c r="AT74" s="247"/>
    </row>
    <row r="75">
      <c r="A75" s="262" t="s">
        <v>165</v>
      </c>
      <c r="B75" s="262" t="s">
        <v>370</v>
      </c>
      <c r="C75" s="263">
        <v>46189.39184027778</v>
      </c>
      <c r="D75" s="262" t="s">
        <v>265</v>
      </c>
      <c r="E75" s="264">
        <v>727.92</v>
      </c>
      <c r="F75" s="262" t="s">
        <v>169</v>
      </c>
      <c r="G75" s="262" t="s">
        <v>170</v>
      </c>
      <c r="H75" s="262" t="s">
        <v>369</v>
      </c>
      <c r="I75" s="265"/>
      <c r="J75" s="265"/>
      <c r="K75" s="266"/>
      <c r="L75" s="265"/>
      <c r="M75" s="267"/>
      <c r="O75" s="247"/>
      <c r="AC75" s="247"/>
      <c r="AD75" s="251" t="str">
        <f>IFERROR(__xludf.DUMMYFUNCTION("""COMPUTED_VALUE"""),"73df5aae-f42a-49a0-9d8f-616ca6dbebaa")</f>
        <v>73df5aae-f42a-49a0-9d8f-616ca6dbebaa</v>
      </c>
      <c r="AE75" s="251" t="str">
        <f>IFERROR(__xludf.DUMMYFUNCTION("""COMPUTED_VALUE"""),"019ecfb0-a778-78e7-97d2-b6f41f176b36")</f>
        <v>019ecfb0-a778-78e7-97d2-b6f41f176b36</v>
      </c>
      <c r="AF75" s="261">
        <f>IFERROR(__xludf.DUMMYFUNCTION("""COMPUTED_VALUE"""),46189.3810300926)</f>
        <v>46189.38103</v>
      </c>
      <c r="AG75" s="251" t="str">
        <f>IFERROR(__xludf.DUMMYFUNCTION("""COMPUTED_VALUE"""),"credit")</f>
        <v>credit</v>
      </c>
      <c r="AH75" s="253">
        <f>IFERROR(__xludf.DUMMYFUNCTION("""COMPUTED_VALUE"""),23722.56)</f>
        <v>23722.56</v>
      </c>
      <c r="AI75" s="251" t="str">
        <f>IFERROR(__xludf.DUMMYFUNCTION("""COMPUTED_VALUE"""),"cash_isa")</f>
        <v>cash_isa</v>
      </c>
      <c r="AJ75" s="251" t="str">
        <f>IFERROR(__xludf.DUMMYFUNCTION("""COMPUTED_VALUE"""),"9bc00e6b-ce5f-48c5-ae3a-1baabe00f337")</f>
        <v>9bc00e6b-ce5f-48c5-ae3a-1baabe00f337</v>
      </c>
      <c r="AK75" s="251" t="str">
        <f>IFERROR(__xludf.DUMMYFUNCTION("""COMPUTED_VALUE"""),"e9d9ba53-346f-47d3-8481-c47875d3b472")</f>
        <v>e9d9ba53-346f-47d3-8481-c47875d3b472</v>
      </c>
      <c r="AL75" s="251"/>
      <c r="AM75" s="251"/>
      <c r="AN75" s="251"/>
      <c r="AO75" s="251"/>
      <c r="AP75" s="261"/>
      <c r="AR75" s="251" t="str">
        <f t="shared" si="1"/>
        <v>23722.56_credit</v>
      </c>
      <c r="AS75" s="251" t="str">
        <f t="shared" si="2"/>
        <v>DROP</v>
      </c>
      <c r="AT75" s="247"/>
    </row>
    <row r="76">
      <c r="A76" s="255" t="s">
        <v>165</v>
      </c>
      <c r="B76" s="255" t="s">
        <v>371</v>
      </c>
      <c r="C76" s="256">
        <v>46189.39399305556</v>
      </c>
      <c r="D76" s="255" t="s">
        <v>167</v>
      </c>
      <c r="E76" s="257">
        <v>20656.08</v>
      </c>
      <c r="F76" s="255" t="s">
        <v>169</v>
      </c>
      <c r="G76" s="255" t="s">
        <v>170</v>
      </c>
      <c r="H76" s="255" t="s">
        <v>372</v>
      </c>
      <c r="I76" s="258"/>
      <c r="J76" s="258"/>
      <c r="K76" s="259"/>
      <c r="L76" s="258"/>
      <c r="M76" s="260"/>
      <c r="O76" s="247"/>
      <c r="AC76" s="247"/>
      <c r="AD76" s="251" t="str">
        <f>IFERROR(__xludf.DUMMYFUNCTION("""COMPUTED_VALUE"""),"73df5aae-f42a-49a0-9d8f-616ca6dbebaa")</f>
        <v>73df5aae-f42a-49a0-9d8f-616ca6dbebaa</v>
      </c>
      <c r="AE76" s="251" t="str">
        <f>IFERROR(__xludf.DUMMYFUNCTION("""COMPUTED_VALUE"""),"019ecfb2-c757-7ad1-9dea-6d577be8f156")</f>
        <v>019ecfb2-c757-7ad1-9dea-6d577be8f156</v>
      </c>
      <c r="AF76" s="261">
        <f>IFERROR(__xludf.DUMMYFUNCTION("""COMPUTED_VALUE"""),46189.38265046296)</f>
        <v>46189.38265</v>
      </c>
      <c r="AG76" s="251" t="str">
        <f>IFERROR(__xludf.DUMMYFUNCTION("""COMPUTED_VALUE"""),"debit")</f>
        <v>debit</v>
      </c>
      <c r="AH76" s="253">
        <f>IFERROR(__xludf.DUMMYFUNCTION("""COMPUTED_VALUE"""),23722.56)</f>
        <v>23722.56</v>
      </c>
      <c r="AI76" s="251" t="str">
        <f>IFERROR(__xludf.DUMMYFUNCTION("""COMPUTED_VALUE"""),"cash_isa")</f>
        <v>cash_isa</v>
      </c>
      <c r="AJ76" s="251" t="str">
        <f>IFERROR(__xludf.DUMMYFUNCTION("""COMPUTED_VALUE"""),"9bc00e6b-ce5f-48c5-ae3a-1baabe00f337")</f>
        <v>9bc00e6b-ce5f-48c5-ae3a-1baabe00f337</v>
      </c>
      <c r="AK76" s="251" t="str">
        <f>IFERROR(__xludf.DUMMYFUNCTION("""COMPUTED_VALUE"""),"e9d9ba53-346f-47d3-8481-c47875d3b472")</f>
        <v>e9d9ba53-346f-47d3-8481-c47875d3b472</v>
      </c>
      <c r="AL76" s="251"/>
      <c r="AM76" s="251"/>
      <c r="AN76" s="251"/>
      <c r="AO76" s="251"/>
      <c r="AP76" s="261"/>
      <c r="AR76" s="251" t="str">
        <f t="shared" si="1"/>
        <v>23722.56_debit</v>
      </c>
      <c r="AS76" s="251" t="str">
        <f t="shared" si="2"/>
        <v>DROP</v>
      </c>
      <c r="AT76" s="247"/>
    </row>
    <row r="77">
      <c r="A77" s="262" t="s">
        <v>165</v>
      </c>
      <c r="B77" s="262" t="s">
        <v>373</v>
      </c>
      <c r="C77" s="263">
        <v>46189.394791666666</v>
      </c>
      <c r="D77" s="262" t="s">
        <v>167</v>
      </c>
      <c r="E77" s="264">
        <v>20913.69</v>
      </c>
      <c r="F77" s="262" t="s">
        <v>169</v>
      </c>
      <c r="G77" s="262" t="s">
        <v>170</v>
      </c>
      <c r="H77" s="262" t="s">
        <v>374</v>
      </c>
      <c r="I77" s="265"/>
      <c r="J77" s="265"/>
      <c r="K77" s="266"/>
      <c r="L77" s="265"/>
      <c r="M77" s="267"/>
      <c r="O77" s="247"/>
      <c r="AC77" s="247"/>
      <c r="AD77" s="251" t="str">
        <f>IFERROR(__xludf.DUMMYFUNCTION("""COMPUTED_VALUE"""),"73df5aae-f42a-49a0-9d8f-616ca6dbebaa")</f>
        <v>73df5aae-f42a-49a0-9d8f-616ca6dbebaa</v>
      </c>
      <c r="AE77" s="251" t="str">
        <f>IFERROR(__xludf.DUMMYFUNCTION("""COMPUTED_VALUE"""),"019ecfb4-549d-755e-958e-c721ba1b4f5d")</f>
        <v>019ecfb4-549d-755e-958e-c721ba1b4f5d</v>
      </c>
      <c r="AF77" s="261">
        <f>IFERROR(__xludf.DUMMYFUNCTION("""COMPUTED_VALUE"""),46189.38381944444)</f>
        <v>46189.38382</v>
      </c>
      <c r="AG77" s="251" t="str">
        <f>IFERROR(__xludf.DUMMYFUNCTION("""COMPUTED_VALUE"""),"credit")</f>
        <v>credit</v>
      </c>
      <c r="AH77" s="253">
        <f>IFERROR(__xludf.DUMMYFUNCTION("""COMPUTED_VALUE"""),22843.96)</f>
        <v>22843.96</v>
      </c>
      <c r="AI77" s="251" t="str">
        <f>IFERROR(__xludf.DUMMYFUNCTION("""COMPUTED_VALUE"""),"cash_isa")</f>
        <v>cash_isa</v>
      </c>
      <c r="AJ77" s="251" t="str">
        <f>IFERROR(__xludf.DUMMYFUNCTION("""COMPUTED_VALUE"""),"9bc00e6b-ce5f-48c5-ae3a-1baabe00f337")</f>
        <v>9bc00e6b-ce5f-48c5-ae3a-1baabe00f337</v>
      </c>
      <c r="AK77" s="251" t="str">
        <f>IFERROR(__xludf.DUMMYFUNCTION("""COMPUTED_VALUE"""),"c3ff4fac-5b26-4300-8002-b1da8163bf53")</f>
        <v>c3ff4fac-5b26-4300-8002-b1da8163bf53</v>
      </c>
      <c r="AL77" s="251"/>
      <c r="AM77" s="251"/>
      <c r="AN77" s="251"/>
      <c r="AO77" s="251"/>
      <c r="AP77" s="261"/>
      <c r="AR77" s="251" t="str">
        <f t="shared" si="1"/>
        <v>22843.96_credit</v>
      </c>
      <c r="AS77" s="251" t="str">
        <f t="shared" si="2"/>
        <v>DROP</v>
      </c>
      <c r="AT77" s="247"/>
    </row>
    <row r="78">
      <c r="A78" s="255" t="s">
        <v>165</v>
      </c>
      <c r="B78" s="255" t="s">
        <v>375</v>
      </c>
      <c r="C78" s="256">
        <v>46189.39625</v>
      </c>
      <c r="D78" s="255" t="s">
        <v>265</v>
      </c>
      <c r="E78" s="257">
        <v>20656.08</v>
      </c>
      <c r="F78" s="255" t="s">
        <v>169</v>
      </c>
      <c r="G78" s="255" t="s">
        <v>170</v>
      </c>
      <c r="H78" s="255" t="s">
        <v>372</v>
      </c>
      <c r="I78" s="258"/>
      <c r="J78" s="258"/>
      <c r="K78" s="259"/>
      <c r="L78" s="258"/>
      <c r="M78" s="260"/>
      <c r="O78" s="247"/>
      <c r="AC78" s="247"/>
      <c r="AD78" s="251" t="str">
        <f>IFERROR(__xludf.DUMMYFUNCTION("""COMPUTED_VALUE"""),"73df5aae-f42a-49a0-9d8f-616ca6dbebaa")</f>
        <v>73df5aae-f42a-49a0-9d8f-616ca6dbebaa</v>
      </c>
      <c r="AE78" s="251" t="str">
        <f>IFERROR(__xludf.DUMMYFUNCTION("""COMPUTED_VALUE"""),"019ecfb6-9633-7d5d-95b8-5d83498d1997")</f>
        <v>019ecfb6-9633-7d5d-95b8-5d83498d1997</v>
      </c>
      <c r="AF78" s="261">
        <f>IFERROR(__xludf.DUMMYFUNCTION("""COMPUTED_VALUE"""),46189.38553240741)</f>
        <v>46189.38553</v>
      </c>
      <c r="AG78" s="251" t="str">
        <f>IFERROR(__xludf.DUMMYFUNCTION("""COMPUTED_VALUE"""),"debit")</f>
        <v>debit</v>
      </c>
      <c r="AH78" s="253">
        <f>IFERROR(__xludf.DUMMYFUNCTION("""COMPUTED_VALUE"""),22843.96)</f>
        <v>22843.96</v>
      </c>
      <c r="AI78" s="251" t="str">
        <f>IFERROR(__xludf.DUMMYFUNCTION("""COMPUTED_VALUE"""),"cash_isa")</f>
        <v>cash_isa</v>
      </c>
      <c r="AJ78" s="251" t="str">
        <f>IFERROR(__xludf.DUMMYFUNCTION("""COMPUTED_VALUE"""),"9bc00e6b-ce5f-48c5-ae3a-1baabe00f337")</f>
        <v>9bc00e6b-ce5f-48c5-ae3a-1baabe00f337</v>
      </c>
      <c r="AK78" s="251" t="str">
        <f>IFERROR(__xludf.DUMMYFUNCTION("""COMPUTED_VALUE"""),"c3ff4fac-5b26-4300-8002-b1da8163bf53")</f>
        <v>c3ff4fac-5b26-4300-8002-b1da8163bf53</v>
      </c>
      <c r="AL78" s="251"/>
      <c r="AM78" s="251"/>
      <c r="AN78" s="251"/>
      <c r="AO78" s="251"/>
      <c r="AP78" s="261"/>
      <c r="AR78" s="251" t="str">
        <f t="shared" si="1"/>
        <v>22843.96_debit</v>
      </c>
      <c r="AS78" s="251" t="str">
        <f t="shared" si="2"/>
        <v>DROP</v>
      </c>
      <c r="AT78" s="247"/>
    </row>
    <row r="79">
      <c r="A79" s="262" t="s">
        <v>165</v>
      </c>
      <c r="B79" s="262" t="s">
        <v>376</v>
      </c>
      <c r="C79" s="263">
        <v>46189.39827546296</v>
      </c>
      <c r="D79" s="262" t="s">
        <v>265</v>
      </c>
      <c r="E79" s="264">
        <v>20913.69</v>
      </c>
      <c r="F79" s="262" t="s">
        <v>169</v>
      </c>
      <c r="G79" s="262" t="s">
        <v>170</v>
      </c>
      <c r="H79" s="262" t="s">
        <v>374</v>
      </c>
      <c r="I79" s="265"/>
      <c r="J79" s="265"/>
      <c r="K79" s="266"/>
      <c r="L79" s="265"/>
      <c r="M79" s="267"/>
      <c r="O79" s="247"/>
      <c r="AC79" s="247"/>
      <c r="AD79" s="251" t="str">
        <f>IFERROR(__xludf.DUMMYFUNCTION("""COMPUTED_VALUE"""),"73df5aae-f42a-49a0-9d8f-616ca6dbebaa")</f>
        <v>73df5aae-f42a-49a0-9d8f-616ca6dbebaa</v>
      </c>
      <c r="AE79" s="251" t="str">
        <f>IFERROR(__xludf.DUMMYFUNCTION("""COMPUTED_VALUE"""),"019ecfb7-09d3-771c-8873-eae6cacf3a3c")</f>
        <v>019ecfb7-09d3-771c-8873-eae6cacf3a3c</v>
      </c>
      <c r="AF79" s="261">
        <f>IFERROR(__xludf.DUMMYFUNCTION("""COMPUTED_VALUE"""),46189.385879629626)</f>
        <v>46189.38588</v>
      </c>
      <c r="AG79" s="251" t="str">
        <f>IFERROR(__xludf.DUMMYFUNCTION("""COMPUTED_VALUE"""),"credit")</f>
        <v>credit</v>
      </c>
      <c r="AH79" s="253">
        <f>IFERROR(__xludf.DUMMYFUNCTION("""COMPUTED_VALUE"""),20740.46)</f>
        <v>20740.46</v>
      </c>
      <c r="AI79" s="251" t="str">
        <f>IFERROR(__xludf.DUMMYFUNCTION("""COMPUTED_VALUE"""),"cash_isa")</f>
        <v>cash_isa</v>
      </c>
      <c r="AJ79" s="251" t="str">
        <f>IFERROR(__xludf.DUMMYFUNCTION("""COMPUTED_VALUE"""),"9bc00e6b-ce5f-48c5-ae3a-1baabe00f337")</f>
        <v>9bc00e6b-ce5f-48c5-ae3a-1baabe00f337</v>
      </c>
      <c r="AK79" s="251" t="str">
        <f>IFERROR(__xludf.DUMMYFUNCTION("""COMPUTED_VALUE"""),"1c32520d-4809-42ef-b7cd-8930d841a73e")</f>
        <v>1c32520d-4809-42ef-b7cd-8930d841a73e</v>
      </c>
      <c r="AL79" s="251"/>
      <c r="AM79" s="251"/>
      <c r="AN79" s="251"/>
      <c r="AO79" s="251"/>
      <c r="AP79" s="261"/>
      <c r="AR79" s="251" t="str">
        <f t="shared" si="1"/>
        <v>20740.46_credit</v>
      </c>
      <c r="AS79" s="251" t="str">
        <f t="shared" si="2"/>
        <v>DROP</v>
      </c>
      <c r="AT79" s="247"/>
    </row>
    <row r="80">
      <c r="A80" s="255" t="s">
        <v>165</v>
      </c>
      <c r="B80" s="255" t="s">
        <v>377</v>
      </c>
      <c r="C80" s="256">
        <v>46189.40180555556</v>
      </c>
      <c r="D80" s="255" t="s">
        <v>167</v>
      </c>
      <c r="E80" s="257">
        <v>20816.05</v>
      </c>
      <c r="F80" s="255" t="s">
        <v>169</v>
      </c>
      <c r="G80" s="255" t="s">
        <v>170</v>
      </c>
      <c r="H80" s="255" t="s">
        <v>378</v>
      </c>
      <c r="I80" s="258"/>
      <c r="J80" s="258"/>
      <c r="K80" s="259"/>
      <c r="L80" s="258"/>
      <c r="M80" s="260"/>
      <c r="O80" s="247"/>
      <c r="AC80" s="247"/>
      <c r="AD80" s="251" t="str">
        <f>IFERROR(__xludf.DUMMYFUNCTION("""COMPUTED_VALUE"""),"73df5aae-f42a-49a0-9d8f-616ca6dbebaa")</f>
        <v>73df5aae-f42a-49a0-9d8f-616ca6dbebaa</v>
      </c>
      <c r="AE80" s="251" t="str">
        <f>IFERROR(__xludf.DUMMYFUNCTION("""COMPUTED_VALUE"""),"019ecfb8-7bab-798c-8afe-74ae2e042828")</f>
        <v>019ecfb8-7bab-798c-8afe-74ae2e042828</v>
      </c>
      <c r="AF80" s="261">
        <f>IFERROR(__xludf.DUMMYFUNCTION("""COMPUTED_VALUE"""),46189.386979166666)</f>
        <v>46189.38698</v>
      </c>
      <c r="AG80" s="251" t="str">
        <f>IFERROR(__xludf.DUMMYFUNCTION("""COMPUTED_VALUE"""),"credit")</f>
        <v>credit</v>
      </c>
      <c r="AH80" s="253">
        <f>IFERROR(__xludf.DUMMYFUNCTION("""COMPUTED_VALUE"""),2755.69)</f>
        <v>2755.69</v>
      </c>
      <c r="AI80" s="251" t="str">
        <f>IFERROR(__xludf.DUMMYFUNCTION("""COMPUTED_VALUE"""),"cash_isa")</f>
        <v>cash_isa</v>
      </c>
      <c r="AJ80" s="251" t="str">
        <f>IFERROR(__xludf.DUMMYFUNCTION("""COMPUTED_VALUE"""),"9bc00e6b-ce5f-48c5-ae3a-1baabe00f337")</f>
        <v>9bc00e6b-ce5f-48c5-ae3a-1baabe00f337</v>
      </c>
      <c r="AK80" s="251" t="str">
        <f>IFERROR(__xludf.DUMMYFUNCTION("""COMPUTED_VALUE"""),"464c3adf-be90-4c81-865b-cd45ec0d11a2")</f>
        <v>464c3adf-be90-4c81-865b-cd45ec0d11a2</v>
      </c>
      <c r="AL80" s="251"/>
      <c r="AM80" s="251"/>
      <c r="AN80" s="251"/>
      <c r="AO80" s="251"/>
      <c r="AP80" s="261"/>
      <c r="AR80" s="251" t="str">
        <f t="shared" si="1"/>
        <v>2755.69_credit</v>
      </c>
      <c r="AS80" s="251" t="str">
        <f t="shared" si="2"/>
        <v>DROP</v>
      </c>
      <c r="AT80" s="247"/>
    </row>
    <row r="81">
      <c r="A81" s="262" t="s">
        <v>165</v>
      </c>
      <c r="B81" s="262" t="s">
        <v>379</v>
      </c>
      <c r="C81" s="263">
        <v>46189.40225694444</v>
      </c>
      <c r="D81" s="262" t="s">
        <v>167</v>
      </c>
      <c r="E81" s="264">
        <v>40000.0</v>
      </c>
      <c r="F81" s="262" t="s">
        <v>169</v>
      </c>
      <c r="G81" s="262" t="s">
        <v>170</v>
      </c>
      <c r="H81" s="262" t="s">
        <v>380</v>
      </c>
      <c r="I81" s="265"/>
      <c r="J81" s="265"/>
      <c r="K81" s="266"/>
      <c r="L81" s="265"/>
      <c r="M81" s="267"/>
      <c r="O81" s="247"/>
      <c r="AC81" s="247"/>
      <c r="AD81" s="251" t="str">
        <f>IFERROR(__xludf.DUMMYFUNCTION("""COMPUTED_VALUE"""),"73df5aae-f42a-49a0-9d8f-616ca6dbebaa")</f>
        <v>73df5aae-f42a-49a0-9d8f-616ca6dbebaa</v>
      </c>
      <c r="AE81" s="251" t="str">
        <f>IFERROR(__xludf.DUMMYFUNCTION("""COMPUTED_VALUE"""),"019ecfb8-b6c2-7b9b-8ba0-e446d15e83a5")</f>
        <v>019ecfb8-b6c2-7b9b-8ba0-e446d15e83a5</v>
      </c>
      <c r="AF81" s="261">
        <f>IFERROR(__xludf.DUMMYFUNCTION("""COMPUTED_VALUE"""),46189.38715277778)</f>
        <v>46189.38715</v>
      </c>
      <c r="AG81" s="251" t="str">
        <f>IFERROR(__xludf.DUMMYFUNCTION("""COMPUTED_VALUE"""),"credit")</f>
        <v>credit</v>
      </c>
      <c r="AH81" s="253">
        <f>IFERROR(__xludf.DUMMYFUNCTION("""COMPUTED_VALUE"""),41156.98)</f>
        <v>41156.98</v>
      </c>
      <c r="AI81" s="251" t="str">
        <f>IFERROR(__xludf.DUMMYFUNCTION("""COMPUTED_VALUE"""),"cash_isa")</f>
        <v>cash_isa</v>
      </c>
      <c r="AJ81" s="251" t="str">
        <f>IFERROR(__xludf.DUMMYFUNCTION("""COMPUTED_VALUE"""),"9bc00e6b-ce5f-48c5-ae3a-1baabe00f337")</f>
        <v>9bc00e6b-ce5f-48c5-ae3a-1baabe00f337</v>
      </c>
      <c r="AK81" s="251" t="str">
        <f>IFERROR(__xludf.DUMMYFUNCTION("""COMPUTED_VALUE"""),"e6e73ee3-1c63-4f16-ad0c-75d3997b34a6")</f>
        <v>e6e73ee3-1c63-4f16-ad0c-75d3997b34a6</v>
      </c>
      <c r="AL81" s="251"/>
      <c r="AM81" s="251"/>
      <c r="AN81" s="251"/>
      <c r="AO81" s="251"/>
      <c r="AP81" s="261"/>
      <c r="AR81" s="251" t="str">
        <f t="shared" si="1"/>
        <v>41156.98_credit</v>
      </c>
      <c r="AS81" s="251" t="str">
        <f t="shared" si="2"/>
        <v>DROP</v>
      </c>
      <c r="AT81" s="247"/>
    </row>
    <row r="82">
      <c r="A82" s="255" t="s">
        <v>165</v>
      </c>
      <c r="B82" s="255" t="s">
        <v>381</v>
      </c>
      <c r="C82" s="256">
        <v>46189.403819444444</v>
      </c>
      <c r="D82" s="255" t="s">
        <v>167</v>
      </c>
      <c r="E82" s="257">
        <v>20727.2</v>
      </c>
      <c r="F82" s="255" t="s">
        <v>169</v>
      </c>
      <c r="G82" s="255" t="s">
        <v>170</v>
      </c>
      <c r="H82" s="255" t="s">
        <v>382</v>
      </c>
      <c r="I82" s="258"/>
      <c r="J82" s="258"/>
      <c r="K82" s="259"/>
      <c r="L82" s="258"/>
      <c r="M82" s="260"/>
      <c r="O82" s="247"/>
      <c r="AC82" s="247"/>
      <c r="AD82" s="251" t="str">
        <f>IFERROR(__xludf.DUMMYFUNCTION("""COMPUTED_VALUE"""),"73df5aae-f42a-49a0-9d8f-616ca6dbebaa")</f>
        <v>73df5aae-f42a-49a0-9d8f-616ca6dbebaa</v>
      </c>
      <c r="AE82" s="251" t="str">
        <f>IFERROR(__xludf.DUMMYFUNCTION("""COMPUTED_VALUE"""),"019ecfba-2b4b-76d0-b0bf-997507f4f4bf")</f>
        <v>019ecfba-2b4b-76d0-b0bf-997507f4f4bf</v>
      </c>
      <c r="AF82" s="261">
        <f>IFERROR(__xludf.DUMMYFUNCTION("""COMPUTED_VALUE"""),46189.38825231481)</f>
        <v>46189.38825</v>
      </c>
      <c r="AG82" s="251" t="str">
        <f>IFERROR(__xludf.DUMMYFUNCTION("""COMPUTED_VALUE"""),"debit")</f>
        <v>debit</v>
      </c>
      <c r="AH82" s="253">
        <f>IFERROR(__xludf.DUMMYFUNCTION("""COMPUTED_VALUE"""),20740.46)</f>
        <v>20740.46</v>
      </c>
      <c r="AI82" s="251" t="str">
        <f>IFERROR(__xludf.DUMMYFUNCTION("""COMPUTED_VALUE"""),"cash_isa")</f>
        <v>cash_isa</v>
      </c>
      <c r="AJ82" s="251" t="str">
        <f>IFERROR(__xludf.DUMMYFUNCTION("""COMPUTED_VALUE"""),"9bc00e6b-ce5f-48c5-ae3a-1baabe00f337")</f>
        <v>9bc00e6b-ce5f-48c5-ae3a-1baabe00f337</v>
      </c>
      <c r="AK82" s="251" t="str">
        <f>IFERROR(__xludf.DUMMYFUNCTION("""COMPUTED_VALUE"""),"1c32520d-4809-42ef-b7cd-8930d841a73e")</f>
        <v>1c32520d-4809-42ef-b7cd-8930d841a73e</v>
      </c>
      <c r="AL82" s="251"/>
      <c r="AM82" s="251"/>
      <c r="AN82" s="251"/>
      <c r="AO82" s="251"/>
      <c r="AP82" s="261"/>
      <c r="AR82" s="251" t="str">
        <f t="shared" si="1"/>
        <v>20740.46_debit</v>
      </c>
      <c r="AS82" s="251" t="str">
        <f t="shared" si="2"/>
        <v>DROP</v>
      </c>
      <c r="AT82" s="247"/>
    </row>
    <row r="83">
      <c r="A83" s="262" t="s">
        <v>165</v>
      </c>
      <c r="B83" s="262" t="s">
        <v>383</v>
      </c>
      <c r="C83" s="263">
        <v>46189.40430555555</v>
      </c>
      <c r="D83" s="262" t="s">
        <v>167</v>
      </c>
      <c r="E83" s="264">
        <v>21193.4</v>
      </c>
      <c r="F83" s="262" t="s">
        <v>169</v>
      </c>
      <c r="G83" s="262" t="s">
        <v>170</v>
      </c>
      <c r="H83" s="262" t="s">
        <v>384</v>
      </c>
      <c r="I83" s="265"/>
      <c r="J83" s="265"/>
      <c r="K83" s="266"/>
      <c r="L83" s="265"/>
      <c r="M83" s="267"/>
      <c r="O83" s="247"/>
      <c r="AC83" s="247"/>
      <c r="AD83" s="251" t="str">
        <f>IFERROR(__xludf.DUMMYFUNCTION("""COMPUTED_VALUE"""),"73df5aae-f42a-49a0-9d8f-616ca6dbebaa")</f>
        <v>73df5aae-f42a-49a0-9d8f-616ca6dbebaa</v>
      </c>
      <c r="AE83" s="251" t="str">
        <f>IFERROR(__xludf.DUMMYFUNCTION("""COMPUTED_VALUE"""),"019ecfba-ccd3-7b68-b37a-47b443a61147")</f>
        <v>019ecfba-ccd3-7b68-b37a-47b443a61147</v>
      </c>
      <c r="AF83" s="261">
        <f>IFERROR(__xludf.DUMMYFUNCTION("""COMPUTED_VALUE"""),46189.38872685185)</f>
        <v>46189.38873</v>
      </c>
      <c r="AG83" s="251" t="str">
        <f>IFERROR(__xludf.DUMMYFUNCTION("""COMPUTED_VALUE"""),"debit")</f>
        <v>debit</v>
      </c>
      <c r="AH83" s="253">
        <f>IFERROR(__xludf.DUMMYFUNCTION("""COMPUTED_VALUE"""),2755.69)</f>
        <v>2755.69</v>
      </c>
      <c r="AI83" s="251" t="str">
        <f>IFERROR(__xludf.DUMMYFUNCTION("""COMPUTED_VALUE"""),"cash_isa")</f>
        <v>cash_isa</v>
      </c>
      <c r="AJ83" s="251" t="str">
        <f>IFERROR(__xludf.DUMMYFUNCTION("""COMPUTED_VALUE"""),"9bc00e6b-ce5f-48c5-ae3a-1baabe00f337")</f>
        <v>9bc00e6b-ce5f-48c5-ae3a-1baabe00f337</v>
      </c>
      <c r="AK83" s="251" t="str">
        <f>IFERROR(__xludf.DUMMYFUNCTION("""COMPUTED_VALUE"""),"464c3adf-be90-4c81-865b-cd45ec0d11a2")</f>
        <v>464c3adf-be90-4c81-865b-cd45ec0d11a2</v>
      </c>
      <c r="AL83" s="251"/>
      <c r="AM83" s="251"/>
      <c r="AN83" s="251"/>
      <c r="AO83" s="251"/>
      <c r="AP83" s="261"/>
      <c r="AR83" s="251" t="str">
        <f t="shared" si="1"/>
        <v>2755.69_debit</v>
      </c>
      <c r="AS83" s="251" t="str">
        <f t="shared" si="2"/>
        <v>DROP</v>
      </c>
      <c r="AT83" s="247"/>
    </row>
    <row r="84">
      <c r="A84" s="255" t="s">
        <v>165</v>
      </c>
      <c r="B84" s="255" t="s">
        <v>385</v>
      </c>
      <c r="C84" s="256">
        <v>46189.4065625</v>
      </c>
      <c r="D84" s="255" t="s">
        <v>167</v>
      </c>
      <c r="E84" s="257">
        <v>42012.77</v>
      </c>
      <c r="F84" s="255" t="s">
        <v>169</v>
      </c>
      <c r="G84" s="255" t="s">
        <v>170</v>
      </c>
      <c r="H84" s="255" t="s">
        <v>386</v>
      </c>
      <c r="I84" s="258"/>
      <c r="J84" s="258"/>
      <c r="K84" s="259"/>
      <c r="L84" s="258"/>
      <c r="M84" s="260"/>
      <c r="O84" s="247"/>
      <c r="AC84" s="247"/>
      <c r="AD84" s="251" t="str">
        <f>IFERROR(__xludf.DUMMYFUNCTION("""COMPUTED_VALUE"""),"73df5aae-f42a-49a0-9d8f-616ca6dbebaa")</f>
        <v>73df5aae-f42a-49a0-9d8f-616ca6dbebaa</v>
      </c>
      <c r="AE84" s="251" t="str">
        <f>IFERROR(__xludf.DUMMYFUNCTION("""COMPUTED_VALUE"""),"019ecfba-ccd2-7d45-85bf-aef5ff813610")</f>
        <v>019ecfba-ccd2-7d45-85bf-aef5ff813610</v>
      </c>
      <c r="AF84" s="261">
        <f>IFERROR(__xludf.DUMMYFUNCTION("""COMPUTED_VALUE"""),46189.38872685185)</f>
        <v>46189.38873</v>
      </c>
      <c r="AG84" s="251" t="str">
        <f>IFERROR(__xludf.DUMMYFUNCTION("""COMPUTED_VALUE"""),"debit")</f>
        <v>debit</v>
      </c>
      <c r="AH84" s="253">
        <f>IFERROR(__xludf.DUMMYFUNCTION("""COMPUTED_VALUE"""),41156.98)</f>
        <v>41156.98</v>
      </c>
      <c r="AI84" s="251" t="str">
        <f>IFERROR(__xludf.DUMMYFUNCTION("""COMPUTED_VALUE"""),"cash_isa")</f>
        <v>cash_isa</v>
      </c>
      <c r="AJ84" s="251" t="str">
        <f>IFERROR(__xludf.DUMMYFUNCTION("""COMPUTED_VALUE"""),"9bc00e6b-ce5f-48c5-ae3a-1baabe00f337")</f>
        <v>9bc00e6b-ce5f-48c5-ae3a-1baabe00f337</v>
      </c>
      <c r="AK84" s="251" t="str">
        <f>IFERROR(__xludf.DUMMYFUNCTION("""COMPUTED_VALUE"""),"e6e73ee3-1c63-4f16-ad0c-75d3997b34a6")</f>
        <v>e6e73ee3-1c63-4f16-ad0c-75d3997b34a6</v>
      </c>
      <c r="AL84" s="251"/>
      <c r="AM84" s="251"/>
      <c r="AN84" s="251"/>
      <c r="AO84" s="251"/>
      <c r="AP84" s="261"/>
      <c r="AR84" s="251" t="str">
        <f t="shared" si="1"/>
        <v>41156.98_debit</v>
      </c>
      <c r="AS84" s="251" t="str">
        <f t="shared" si="2"/>
        <v>DROP</v>
      </c>
      <c r="AT84" s="247"/>
    </row>
    <row r="85">
      <c r="A85" s="262" t="s">
        <v>165</v>
      </c>
      <c r="B85" s="262" t="s">
        <v>387</v>
      </c>
      <c r="C85" s="263">
        <v>46189.40672453704</v>
      </c>
      <c r="D85" s="262" t="s">
        <v>167</v>
      </c>
      <c r="E85" s="264">
        <v>63064.73</v>
      </c>
      <c r="F85" s="262" t="s">
        <v>169</v>
      </c>
      <c r="G85" s="262" t="s">
        <v>170</v>
      </c>
      <c r="H85" s="262" t="s">
        <v>388</v>
      </c>
      <c r="I85" s="265"/>
      <c r="J85" s="265"/>
      <c r="K85" s="266"/>
      <c r="L85" s="265"/>
      <c r="M85" s="267"/>
      <c r="O85" s="247"/>
      <c r="AC85" s="247"/>
      <c r="AD85" s="251" t="str">
        <f>IFERROR(__xludf.DUMMYFUNCTION("""COMPUTED_VALUE"""),"73df5aae-f42a-49a0-9d8f-616ca6dbebaa")</f>
        <v>73df5aae-f42a-49a0-9d8f-616ca6dbebaa</v>
      </c>
      <c r="AE85" s="251" t="str">
        <f>IFERROR(__xludf.DUMMYFUNCTION("""COMPUTED_VALUE"""),"019ecfbb-eaf2-7fd6-a472-412280385a3c")</f>
        <v>019ecfbb-eaf2-7fd6-a472-412280385a3c</v>
      </c>
      <c r="AF85" s="261">
        <f>IFERROR(__xludf.DUMMYFUNCTION("""COMPUTED_VALUE"""),46189.38958333334)</f>
        <v>46189.38958</v>
      </c>
      <c r="AG85" s="251" t="str">
        <f>IFERROR(__xludf.DUMMYFUNCTION("""COMPUTED_VALUE"""),"credit")</f>
        <v>credit</v>
      </c>
      <c r="AH85" s="253">
        <f>IFERROR(__xludf.DUMMYFUNCTION("""COMPUTED_VALUE"""),727.92)</f>
        <v>727.92</v>
      </c>
      <c r="AI85" s="251" t="str">
        <f>IFERROR(__xludf.DUMMYFUNCTION("""COMPUTED_VALUE"""),"cash_isa")</f>
        <v>cash_isa</v>
      </c>
      <c r="AJ85" s="251" t="str">
        <f>IFERROR(__xludf.DUMMYFUNCTION("""COMPUTED_VALUE"""),"9bc00e6b-ce5f-48c5-ae3a-1baabe00f337")</f>
        <v>9bc00e6b-ce5f-48c5-ae3a-1baabe00f337</v>
      </c>
      <c r="AK85" s="251" t="str">
        <f>IFERROR(__xludf.DUMMYFUNCTION("""COMPUTED_VALUE"""),"fca929dd-d228-47be-a9b0-9603fc297783")</f>
        <v>fca929dd-d228-47be-a9b0-9603fc297783</v>
      </c>
      <c r="AL85" s="251"/>
      <c r="AM85" s="251"/>
      <c r="AN85" s="251"/>
      <c r="AO85" s="251"/>
      <c r="AP85" s="261"/>
      <c r="AR85" s="251" t="str">
        <f t="shared" si="1"/>
        <v>727.92_credit</v>
      </c>
      <c r="AS85" s="251" t="str">
        <f t="shared" si="2"/>
        <v>DROP</v>
      </c>
      <c r="AT85" s="247"/>
    </row>
    <row r="86">
      <c r="A86" s="255" t="s">
        <v>165</v>
      </c>
      <c r="B86" s="255" t="s">
        <v>389</v>
      </c>
      <c r="C86" s="256">
        <v>46189.4071412037</v>
      </c>
      <c r="D86" s="255" t="s">
        <v>265</v>
      </c>
      <c r="E86" s="257">
        <v>21193.4</v>
      </c>
      <c r="F86" s="255" t="s">
        <v>169</v>
      </c>
      <c r="G86" s="255" t="s">
        <v>170</v>
      </c>
      <c r="H86" s="255" t="s">
        <v>384</v>
      </c>
      <c r="I86" s="258"/>
      <c r="J86" s="258"/>
      <c r="K86" s="259"/>
      <c r="L86" s="258"/>
      <c r="M86" s="260"/>
      <c r="O86" s="247"/>
      <c r="AC86" s="247"/>
      <c r="AD86" s="251" t="str">
        <f>IFERROR(__xludf.DUMMYFUNCTION("""COMPUTED_VALUE"""),"73df5aae-f42a-49a0-9d8f-616ca6dbebaa")</f>
        <v>73df5aae-f42a-49a0-9d8f-616ca6dbebaa</v>
      </c>
      <c r="AE86" s="251" t="str">
        <f>IFERROR(__xludf.DUMMYFUNCTION("""COMPUTED_VALUE"""),"019ecfbe-e647-71f6-8eb4-23c8df6d89a2")</f>
        <v>019ecfbe-e647-71f6-8eb4-23c8df6d89a2</v>
      </c>
      <c r="AF86" s="261">
        <f>IFERROR(__xludf.DUMMYFUNCTION("""COMPUTED_VALUE"""),46189.39184027778)</f>
        <v>46189.39184</v>
      </c>
      <c r="AG86" s="251" t="str">
        <f>IFERROR(__xludf.DUMMYFUNCTION("""COMPUTED_VALUE"""),"debit")</f>
        <v>debit</v>
      </c>
      <c r="AH86" s="253">
        <f>IFERROR(__xludf.DUMMYFUNCTION("""COMPUTED_VALUE"""),727.92)</f>
        <v>727.92</v>
      </c>
      <c r="AI86" s="251" t="str">
        <f>IFERROR(__xludf.DUMMYFUNCTION("""COMPUTED_VALUE"""),"cash_isa")</f>
        <v>cash_isa</v>
      </c>
      <c r="AJ86" s="251" t="str">
        <f>IFERROR(__xludf.DUMMYFUNCTION("""COMPUTED_VALUE"""),"9bc00e6b-ce5f-48c5-ae3a-1baabe00f337")</f>
        <v>9bc00e6b-ce5f-48c5-ae3a-1baabe00f337</v>
      </c>
      <c r="AK86" s="251" t="str">
        <f>IFERROR(__xludf.DUMMYFUNCTION("""COMPUTED_VALUE"""),"fca929dd-d228-47be-a9b0-9603fc297783")</f>
        <v>fca929dd-d228-47be-a9b0-9603fc297783</v>
      </c>
      <c r="AL86" s="251"/>
      <c r="AM86" s="251"/>
      <c r="AN86" s="251"/>
      <c r="AO86" s="251"/>
      <c r="AP86" s="261"/>
      <c r="AR86" s="251" t="str">
        <f t="shared" si="1"/>
        <v>727.92_debit</v>
      </c>
      <c r="AS86" s="251" t="str">
        <f t="shared" si="2"/>
        <v>DROP</v>
      </c>
      <c r="AT86" s="247"/>
    </row>
    <row r="87">
      <c r="A87" s="262" t="s">
        <v>165</v>
      </c>
      <c r="B87" s="262" t="s">
        <v>390</v>
      </c>
      <c r="C87" s="263">
        <v>46189.40787037037</v>
      </c>
      <c r="D87" s="262" t="s">
        <v>167</v>
      </c>
      <c r="E87" s="264">
        <v>40954.62</v>
      </c>
      <c r="F87" s="262" t="s">
        <v>169</v>
      </c>
      <c r="G87" s="262" t="s">
        <v>170</v>
      </c>
      <c r="H87" s="262" t="s">
        <v>391</v>
      </c>
      <c r="I87" s="265"/>
      <c r="J87" s="265"/>
      <c r="K87" s="266"/>
      <c r="L87" s="265"/>
      <c r="M87" s="267"/>
      <c r="O87" s="247"/>
      <c r="AC87" s="247"/>
      <c r="AD87" s="251" t="str">
        <f>IFERROR(__xludf.DUMMYFUNCTION("""COMPUTED_VALUE"""),"73df5aae-f42a-49a0-9d8f-616ca6dbebaa")</f>
        <v>73df5aae-f42a-49a0-9d8f-616ca6dbebaa</v>
      </c>
      <c r="AE87" s="251" t="str">
        <f>IFERROR(__xludf.DUMMYFUNCTION("""COMPUTED_VALUE"""),"019ecfc1-bcd5-75e8-a3be-5273a90af382")</f>
        <v>019ecfc1-bcd5-75e8-a3be-5273a90af382</v>
      </c>
      <c r="AF87" s="261">
        <f>IFERROR(__xludf.DUMMYFUNCTION("""COMPUTED_VALUE"""),46189.39399305556)</f>
        <v>46189.39399</v>
      </c>
      <c r="AG87" s="251" t="str">
        <f>IFERROR(__xludf.DUMMYFUNCTION("""COMPUTED_VALUE"""),"credit")</f>
        <v>credit</v>
      </c>
      <c r="AH87" s="253">
        <f>IFERROR(__xludf.DUMMYFUNCTION("""COMPUTED_VALUE"""),20656.08)</f>
        <v>20656.08</v>
      </c>
      <c r="AI87" s="251" t="str">
        <f>IFERROR(__xludf.DUMMYFUNCTION("""COMPUTED_VALUE"""),"cash_isa")</f>
        <v>cash_isa</v>
      </c>
      <c r="AJ87" s="251" t="str">
        <f>IFERROR(__xludf.DUMMYFUNCTION("""COMPUTED_VALUE"""),"9bc00e6b-ce5f-48c5-ae3a-1baabe00f337")</f>
        <v>9bc00e6b-ce5f-48c5-ae3a-1baabe00f337</v>
      </c>
      <c r="AK87" s="251" t="str">
        <f>IFERROR(__xludf.DUMMYFUNCTION("""COMPUTED_VALUE"""),"acf2f3fe-9ef9-4b48-88da-0cef6f9c4128")</f>
        <v>acf2f3fe-9ef9-4b48-88da-0cef6f9c4128</v>
      </c>
      <c r="AL87" s="251"/>
      <c r="AM87" s="251"/>
      <c r="AN87" s="251"/>
      <c r="AO87" s="251"/>
      <c r="AP87" s="261"/>
      <c r="AR87" s="251" t="str">
        <f t="shared" si="1"/>
        <v>20656.08_credit</v>
      </c>
      <c r="AS87" s="251" t="str">
        <f t="shared" si="2"/>
        <v>DROP</v>
      </c>
      <c r="AT87" s="247"/>
    </row>
    <row r="88">
      <c r="A88" s="255" t="s">
        <v>165</v>
      </c>
      <c r="B88" s="255" t="s">
        <v>392</v>
      </c>
      <c r="C88" s="256">
        <v>46189.408171296294</v>
      </c>
      <c r="D88" s="255" t="s">
        <v>265</v>
      </c>
      <c r="E88" s="257">
        <v>20727.2</v>
      </c>
      <c r="F88" s="255" t="s">
        <v>169</v>
      </c>
      <c r="G88" s="255" t="s">
        <v>170</v>
      </c>
      <c r="H88" s="255" t="s">
        <v>382</v>
      </c>
      <c r="I88" s="258"/>
      <c r="J88" s="258"/>
      <c r="K88" s="259"/>
      <c r="L88" s="258"/>
      <c r="M88" s="260"/>
      <c r="O88" s="247"/>
      <c r="AC88" s="247"/>
      <c r="AD88" s="251" t="str">
        <f>IFERROR(__xludf.DUMMYFUNCTION("""COMPUTED_VALUE"""),"73df5aae-f42a-49a0-9d8f-616ca6dbebaa")</f>
        <v>73df5aae-f42a-49a0-9d8f-616ca6dbebaa</v>
      </c>
      <c r="AE88" s="251" t="str">
        <f>IFERROR(__xludf.DUMMYFUNCTION("""COMPUTED_VALUE"""),"019ecfc2-ca60-761b-b9bc-f79157ae8bf9")</f>
        <v>019ecfc2-ca60-761b-b9bc-f79157ae8bf9</v>
      </c>
      <c r="AF88" s="261">
        <f>IFERROR(__xludf.DUMMYFUNCTION("""COMPUTED_VALUE"""),46189.394791666666)</f>
        <v>46189.39479</v>
      </c>
      <c r="AG88" s="251" t="str">
        <f>IFERROR(__xludf.DUMMYFUNCTION("""COMPUTED_VALUE"""),"credit")</f>
        <v>credit</v>
      </c>
      <c r="AH88" s="253">
        <f>IFERROR(__xludf.DUMMYFUNCTION("""COMPUTED_VALUE"""),20913.69)</f>
        <v>20913.69</v>
      </c>
      <c r="AI88" s="251" t="str">
        <f>IFERROR(__xludf.DUMMYFUNCTION("""COMPUTED_VALUE"""),"cash_isa")</f>
        <v>cash_isa</v>
      </c>
      <c r="AJ88" s="251" t="str">
        <f>IFERROR(__xludf.DUMMYFUNCTION("""COMPUTED_VALUE"""),"9bc00e6b-ce5f-48c5-ae3a-1baabe00f337")</f>
        <v>9bc00e6b-ce5f-48c5-ae3a-1baabe00f337</v>
      </c>
      <c r="AK88" s="251" t="str">
        <f>IFERROR(__xludf.DUMMYFUNCTION("""COMPUTED_VALUE"""),"99c5b718-fa4f-4da0-9e40-18baded50ea4")</f>
        <v>99c5b718-fa4f-4da0-9e40-18baded50ea4</v>
      </c>
      <c r="AL88" s="251"/>
      <c r="AM88" s="251"/>
      <c r="AN88" s="251"/>
      <c r="AO88" s="251"/>
      <c r="AP88" s="261"/>
      <c r="AR88" s="251" t="str">
        <f t="shared" si="1"/>
        <v>20913.69_credit</v>
      </c>
      <c r="AS88" s="251" t="str">
        <f t="shared" si="2"/>
        <v>DROP</v>
      </c>
      <c r="AT88" s="247"/>
    </row>
    <row r="89">
      <c r="A89" s="262" t="s">
        <v>165</v>
      </c>
      <c r="B89" s="262" t="s">
        <v>393</v>
      </c>
      <c r="C89" s="263">
        <v>46189.40824074074</v>
      </c>
      <c r="D89" s="262" t="s">
        <v>265</v>
      </c>
      <c r="E89" s="264">
        <v>20816.05</v>
      </c>
      <c r="F89" s="262" t="s">
        <v>169</v>
      </c>
      <c r="G89" s="262" t="s">
        <v>170</v>
      </c>
      <c r="H89" s="262" t="s">
        <v>378</v>
      </c>
      <c r="I89" s="265"/>
      <c r="J89" s="265"/>
      <c r="K89" s="266"/>
      <c r="L89" s="265"/>
      <c r="M89" s="267"/>
      <c r="O89" s="247"/>
      <c r="AC89" s="247"/>
      <c r="AD89" s="251" t="str">
        <f>IFERROR(__xludf.DUMMYFUNCTION("""COMPUTED_VALUE"""),"73df5aae-f42a-49a0-9d8f-616ca6dbebaa")</f>
        <v>73df5aae-f42a-49a0-9d8f-616ca6dbebaa</v>
      </c>
      <c r="AE89" s="251" t="str">
        <f>IFERROR(__xludf.DUMMYFUNCTION("""COMPUTED_VALUE"""),"019ecfc4-b46a-77b1-8061-f706ea491aca")</f>
        <v>019ecfc4-b46a-77b1-8061-f706ea491aca</v>
      </c>
      <c r="AF89" s="261">
        <f>IFERROR(__xludf.DUMMYFUNCTION("""COMPUTED_VALUE"""),46189.396250000005)</f>
        <v>46189.39625</v>
      </c>
      <c r="AG89" s="251" t="str">
        <f>IFERROR(__xludf.DUMMYFUNCTION("""COMPUTED_VALUE"""),"debit")</f>
        <v>debit</v>
      </c>
      <c r="AH89" s="253">
        <f>IFERROR(__xludf.DUMMYFUNCTION("""COMPUTED_VALUE"""),20656.08)</f>
        <v>20656.08</v>
      </c>
      <c r="AI89" s="251" t="str">
        <f>IFERROR(__xludf.DUMMYFUNCTION("""COMPUTED_VALUE"""),"cash_isa")</f>
        <v>cash_isa</v>
      </c>
      <c r="AJ89" s="251" t="str">
        <f>IFERROR(__xludf.DUMMYFUNCTION("""COMPUTED_VALUE"""),"9bc00e6b-ce5f-48c5-ae3a-1baabe00f337")</f>
        <v>9bc00e6b-ce5f-48c5-ae3a-1baabe00f337</v>
      </c>
      <c r="AK89" s="251" t="str">
        <f>IFERROR(__xludf.DUMMYFUNCTION("""COMPUTED_VALUE"""),"acf2f3fe-9ef9-4b48-88da-0cef6f9c4128")</f>
        <v>acf2f3fe-9ef9-4b48-88da-0cef6f9c4128</v>
      </c>
      <c r="AL89" s="251"/>
      <c r="AM89" s="251"/>
      <c r="AN89" s="251"/>
      <c r="AO89" s="251"/>
      <c r="AP89" s="261"/>
      <c r="AR89" s="251" t="str">
        <f t="shared" si="1"/>
        <v>20656.08_debit</v>
      </c>
      <c r="AS89" s="251" t="str">
        <f t="shared" si="2"/>
        <v>DROP</v>
      </c>
      <c r="AT89" s="247"/>
    </row>
    <row r="90">
      <c r="A90" s="255" t="s">
        <v>165</v>
      </c>
      <c r="B90" s="255" t="s">
        <v>394</v>
      </c>
      <c r="C90" s="256">
        <v>46189.40855324074</v>
      </c>
      <c r="D90" s="255" t="s">
        <v>265</v>
      </c>
      <c r="E90" s="257">
        <v>40000.0</v>
      </c>
      <c r="F90" s="255" t="s">
        <v>169</v>
      </c>
      <c r="G90" s="255" t="s">
        <v>170</v>
      </c>
      <c r="H90" s="255" t="s">
        <v>380</v>
      </c>
      <c r="I90" s="258"/>
      <c r="J90" s="258"/>
      <c r="K90" s="259"/>
      <c r="L90" s="258"/>
      <c r="M90" s="260"/>
      <c r="O90" s="247"/>
      <c r="AC90" s="247"/>
      <c r="AD90" s="251" t="str">
        <f>IFERROR(__xludf.DUMMYFUNCTION("""COMPUTED_VALUE"""),"73df5aae-f42a-49a0-9d8f-616ca6dbebaa")</f>
        <v>73df5aae-f42a-49a0-9d8f-616ca6dbebaa</v>
      </c>
      <c r="AE90" s="251" t="str">
        <f>IFERROR(__xludf.DUMMYFUNCTION("""COMPUTED_VALUE"""),"019ecfc7-60c5-71bb-bfb1-31d095f78e71")</f>
        <v>019ecfc7-60c5-71bb-bfb1-31d095f78e71</v>
      </c>
      <c r="AF90" s="261">
        <f>IFERROR(__xludf.DUMMYFUNCTION("""COMPUTED_VALUE"""),46189.39827546296)</f>
        <v>46189.39828</v>
      </c>
      <c r="AG90" s="251" t="str">
        <f>IFERROR(__xludf.DUMMYFUNCTION("""COMPUTED_VALUE"""),"debit")</f>
        <v>debit</v>
      </c>
      <c r="AH90" s="253">
        <f>IFERROR(__xludf.DUMMYFUNCTION("""COMPUTED_VALUE"""),20913.69)</f>
        <v>20913.69</v>
      </c>
      <c r="AI90" s="251" t="str">
        <f>IFERROR(__xludf.DUMMYFUNCTION("""COMPUTED_VALUE"""),"cash_isa")</f>
        <v>cash_isa</v>
      </c>
      <c r="AJ90" s="251" t="str">
        <f>IFERROR(__xludf.DUMMYFUNCTION("""COMPUTED_VALUE"""),"9bc00e6b-ce5f-48c5-ae3a-1baabe00f337")</f>
        <v>9bc00e6b-ce5f-48c5-ae3a-1baabe00f337</v>
      </c>
      <c r="AK90" s="251" t="str">
        <f>IFERROR(__xludf.DUMMYFUNCTION("""COMPUTED_VALUE"""),"99c5b718-fa4f-4da0-9e40-18baded50ea4")</f>
        <v>99c5b718-fa4f-4da0-9e40-18baded50ea4</v>
      </c>
      <c r="AL90" s="251"/>
      <c r="AM90" s="251"/>
      <c r="AN90" s="251"/>
      <c r="AO90" s="251"/>
      <c r="AP90" s="261"/>
      <c r="AR90" s="251" t="str">
        <f t="shared" si="1"/>
        <v>20913.69_debit</v>
      </c>
      <c r="AS90" s="251" t="str">
        <f t="shared" si="2"/>
        <v>DROP</v>
      </c>
      <c r="AT90" s="247"/>
    </row>
    <row r="91">
      <c r="A91" s="262" t="s">
        <v>165</v>
      </c>
      <c r="B91" s="262" t="s">
        <v>395</v>
      </c>
      <c r="C91" s="263">
        <v>46189.409004629626</v>
      </c>
      <c r="D91" s="262" t="s">
        <v>265</v>
      </c>
      <c r="E91" s="264">
        <v>42012.77</v>
      </c>
      <c r="F91" s="262" t="s">
        <v>169</v>
      </c>
      <c r="G91" s="262" t="s">
        <v>170</v>
      </c>
      <c r="H91" s="262" t="s">
        <v>386</v>
      </c>
      <c r="I91" s="265"/>
      <c r="J91" s="265"/>
      <c r="K91" s="266"/>
      <c r="L91" s="265"/>
      <c r="M91" s="267"/>
      <c r="O91" s="247"/>
      <c r="AC91" s="247"/>
      <c r="AD91" s="251" t="str">
        <f>IFERROR(__xludf.DUMMYFUNCTION("""COMPUTED_VALUE"""),"73df5aae-f42a-49a0-9d8f-616ca6dbebaa")</f>
        <v>73df5aae-f42a-49a0-9d8f-616ca6dbebaa</v>
      </c>
      <c r="AE91" s="251" t="str">
        <f>IFERROR(__xludf.DUMMYFUNCTION("""COMPUTED_VALUE"""),"019ecfcc-0878-7774-b253-f925a4cc049c")</f>
        <v>019ecfcc-0878-7774-b253-f925a4cc049c</v>
      </c>
      <c r="AF91" s="261">
        <f>IFERROR(__xludf.DUMMYFUNCTION("""COMPUTED_VALUE"""),46189.40180555556)</f>
        <v>46189.40181</v>
      </c>
      <c r="AG91" s="251" t="str">
        <f>IFERROR(__xludf.DUMMYFUNCTION("""COMPUTED_VALUE"""),"credit")</f>
        <v>credit</v>
      </c>
      <c r="AH91" s="253">
        <f>IFERROR(__xludf.DUMMYFUNCTION("""COMPUTED_VALUE"""),20816.05)</f>
        <v>20816.05</v>
      </c>
      <c r="AI91" s="251" t="str">
        <f>IFERROR(__xludf.DUMMYFUNCTION("""COMPUTED_VALUE"""),"cash_isa")</f>
        <v>cash_isa</v>
      </c>
      <c r="AJ91" s="251" t="str">
        <f>IFERROR(__xludf.DUMMYFUNCTION("""COMPUTED_VALUE"""),"9bc00e6b-ce5f-48c5-ae3a-1baabe00f337")</f>
        <v>9bc00e6b-ce5f-48c5-ae3a-1baabe00f337</v>
      </c>
      <c r="AK91" s="251" t="str">
        <f>IFERROR(__xludf.DUMMYFUNCTION("""COMPUTED_VALUE"""),"9a195fee-945d-4055-924e-a8914679c8f8")</f>
        <v>9a195fee-945d-4055-924e-a8914679c8f8</v>
      </c>
      <c r="AL91" s="251"/>
      <c r="AM91" s="251"/>
      <c r="AN91" s="251"/>
      <c r="AO91" s="251"/>
      <c r="AP91" s="261"/>
      <c r="AR91" s="251" t="str">
        <f t="shared" si="1"/>
        <v>20816.05_credit</v>
      </c>
      <c r="AS91" s="251" t="str">
        <f t="shared" si="2"/>
        <v>DROP</v>
      </c>
      <c r="AT91" s="247"/>
    </row>
    <row r="92">
      <c r="A92" s="255" t="s">
        <v>165</v>
      </c>
      <c r="B92" s="255" t="s">
        <v>396</v>
      </c>
      <c r="C92" s="256">
        <v>46189.40929398148</v>
      </c>
      <c r="D92" s="255" t="s">
        <v>167</v>
      </c>
      <c r="E92" s="257">
        <v>20315.69</v>
      </c>
      <c r="F92" s="255" t="s">
        <v>169</v>
      </c>
      <c r="G92" s="255" t="s">
        <v>170</v>
      </c>
      <c r="H92" s="255" t="s">
        <v>397</v>
      </c>
      <c r="I92" s="258"/>
      <c r="J92" s="258"/>
      <c r="K92" s="259"/>
      <c r="L92" s="258"/>
      <c r="M92" s="260"/>
      <c r="O92" s="247"/>
      <c r="AC92" s="247"/>
      <c r="AD92" s="251" t="str">
        <f>IFERROR(__xludf.DUMMYFUNCTION("""COMPUTED_VALUE"""),"73df5aae-f42a-49a0-9d8f-616ca6dbebaa")</f>
        <v>73df5aae-f42a-49a0-9d8f-616ca6dbebaa</v>
      </c>
      <c r="AE92" s="251" t="str">
        <f>IFERROR(__xludf.DUMMYFUNCTION("""COMPUTED_VALUE"""),"019ecfcc-a214-77e5-b232-d9c31fdf2cc1")</f>
        <v>019ecfcc-a214-77e5-b232-d9c31fdf2cc1</v>
      </c>
      <c r="AF92" s="261">
        <f>IFERROR(__xludf.DUMMYFUNCTION("""COMPUTED_VALUE"""),46189.40225694445)</f>
        <v>46189.40226</v>
      </c>
      <c r="AG92" s="251" t="str">
        <f>IFERROR(__xludf.DUMMYFUNCTION("""COMPUTED_VALUE"""),"credit")</f>
        <v>credit</v>
      </c>
      <c r="AH92" s="253">
        <f>IFERROR(__xludf.DUMMYFUNCTION("""COMPUTED_VALUE"""),40000.0)</f>
        <v>40000</v>
      </c>
      <c r="AI92" s="251" t="str">
        <f>IFERROR(__xludf.DUMMYFUNCTION("""COMPUTED_VALUE"""),"cash_isa")</f>
        <v>cash_isa</v>
      </c>
      <c r="AJ92" s="251" t="str">
        <f>IFERROR(__xludf.DUMMYFUNCTION("""COMPUTED_VALUE"""),"9bc00e6b-ce5f-48c5-ae3a-1baabe00f337")</f>
        <v>9bc00e6b-ce5f-48c5-ae3a-1baabe00f337</v>
      </c>
      <c r="AK92" s="251" t="str">
        <f>IFERROR(__xludf.DUMMYFUNCTION("""COMPUTED_VALUE"""),"d06ca8c3-926d-48dd-bd9f-648d61167466")</f>
        <v>d06ca8c3-926d-48dd-bd9f-648d61167466</v>
      </c>
      <c r="AL92" s="251"/>
      <c r="AM92" s="251"/>
      <c r="AN92" s="251"/>
      <c r="AO92" s="251"/>
      <c r="AP92" s="261"/>
      <c r="AR92" s="251" t="str">
        <f t="shared" si="1"/>
        <v>40000_credit</v>
      </c>
      <c r="AS92" s="251" t="str">
        <f t="shared" si="2"/>
        <v>DROP</v>
      </c>
      <c r="AT92" s="247"/>
    </row>
    <row r="93">
      <c r="A93" s="262" t="s">
        <v>165</v>
      </c>
      <c r="B93" s="262" t="s">
        <v>398</v>
      </c>
      <c r="C93" s="263">
        <v>46189.41054398148</v>
      </c>
      <c r="D93" s="262" t="s">
        <v>167</v>
      </c>
      <c r="E93" s="264">
        <v>30441.83</v>
      </c>
      <c r="F93" s="262" t="s">
        <v>169</v>
      </c>
      <c r="G93" s="262" t="s">
        <v>170</v>
      </c>
      <c r="H93" s="262" t="s">
        <v>399</v>
      </c>
      <c r="I93" s="265"/>
      <c r="J93" s="265"/>
      <c r="K93" s="266"/>
      <c r="L93" s="265"/>
      <c r="M93" s="267"/>
      <c r="O93" s="247"/>
      <c r="AC93" s="247"/>
      <c r="AD93" s="251" t="str">
        <f>IFERROR(__xludf.DUMMYFUNCTION("""COMPUTED_VALUE"""),"73df5aae-f42a-49a0-9d8f-616ca6dbebaa")</f>
        <v>73df5aae-f42a-49a0-9d8f-616ca6dbebaa</v>
      </c>
      <c r="AE93" s="251" t="str">
        <f>IFERROR(__xludf.DUMMYFUNCTION("""COMPUTED_VALUE"""),"019ecfce-b2b0-7d81-b536-40ac01b6aee5")</f>
        <v>019ecfce-b2b0-7d81-b536-40ac01b6aee5</v>
      </c>
      <c r="AF93" s="261">
        <f>IFERROR(__xludf.DUMMYFUNCTION("""COMPUTED_VALUE"""),46189.403819444444)</f>
        <v>46189.40382</v>
      </c>
      <c r="AG93" s="251" t="str">
        <f>IFERROR(__xludf.DUMMYFUNCTION("""COMPUTED_VALUE"""),"credit")</f>
        <v>credit</v>
      </c>
      <c r="AH93" s="253">
        <f>IFERROR(__xludf.DUMMYFUNCTION("""COMPUTED_VALUE"""),20727.2)</f>
        <v>20727.2</v>
      </c>
      <c r="AI93" s="251" t="str">
        <f>IFERROR(__xludf.DUMMYFUNCTION("""COMPUTED_VALUE"""),"cash_isa")</f>
        <v>cash_isa</v>
      </c>
      <c r="AJ93" s="251" t="str">
        <f>IFERROR(__xludf.DUMMYFUNCTION("""COMPUTED_VALUE"""),"9bc00e6b-ce5f-48c5-ae3a-1baabe00f337")</f>
        <v>9bc00e6b-ce5f-48c5-ae3a-1baabe00f337</v>
      </c>
      <c r="AK93" s="251" t="str">
        <f>IFERROR(__xludf.DUMMYFUNCTION("""COMPUTED_VALUE"""),"50844745-d144-4d29-a09e-4f8144026e9b")</f>
        <v>50844745-d144-4d29-a09e-4f8144026e9b</v>
      </c>
      <c r="AL93" s="251"/>
      <c r="AM93" s="251"/>
      <c r="AN93" s="251"/>
      <c r="AO93" s="251"/>
      <c r="AP93" s="261"/>
      <c r="AR93" s="251" t="str">
        <f t="shared" si="1"/>
        <v>20727.2_credit</v>
      </c>
      <c r="AS93" s="251" t="str">
        <f t="shared" si="2"/>
        <v>DROP</v>
      </c>
      <c r="AT93" s="247"/>
    </row>
    <row r="94">
      <c r="A94" s="255" t="s">
        <v>165</v>
      </c>
      <c r="B94" s="255" t="s">
        <v>400</v>
      </c>
      <c r="C94" s="256">
        <v>46189.41106481481</v>
      </c>
      <c r="D94" s="255" t="s">
        <v>167</v>
      </c>
      <c r="E94" s="257">
        <v>44141.82</v>
      </c>
      <c r="F94" s="255" t="s">
        <v>169</v>
      </c>
      <c r="G94" s="255" t="s">
        <v>170</v>
      </c>
      <c r="H94" s="255" t="s">
        <v>401</v>
      </c>
      <c r="I94" s="258"/>
      <c r="J94" s="258"/>
      <c r="K94" s="259"/>
      <c r="L94" s="258"/>
      <c r="M94" s="260"/>
      <c r="O94" s="247"/>
      <c r="AC94" s="247"/>
      <c r="AD94" s="251" t="str">
        <f>IFERROR(__xludf.DUMMYFUNCTION("""COMPUTED_VALUE"""),"73df5aae-f42a-49a0-9d8f-616ca6dbebaa")</f>
        <v>73df5aae-f42a-49a0-9d8f-616ca6dbebaa</v>
      </c>
      <c r="AE94" s="251" t="str">
        <f>IFERROR(__xludf.DUMMYFUNCTION("""COMPUTED_VALUE"""),"019ecfcf-543d-70fa-9bdb-1e981ed4c0ef")</f>
        <v>019ecfcf-543d-70fa-9bdb-1e981ed4c0ef</v>
      </c>
      <c r="AF94" s="261">
        <f>IFERROR(__xludf.DUMMYFUNCTION("""COMPUTED_VALUE"""),46189.40430555555)</f>
        <v>46189.40431</v>
      </c>
      <c r="AG94" s="251" t="str">
        <f>IFERROR(__xludf.DUMMYFUNCTION("""COMPUTED_VALUE"""),"credit")</f>
        <v>credit</v>
      </c>
      <c r="AH94" s="253">
        <f>IFERROR(__xludf.DUMMYFUNCTION("""COMPUTED_VALUE"""),21193.4)</f>
        <v>21193.4</v>
      </c>
      <c r="AI94" s="251" t="str">
        <f>IFERROR(__xludf.DUMMYFUNCTION("""COMPUTED_VALUE"""),"cash_isa")</f>
        <v>cash_isa</v>
      </c>
      <c r="AJ94" s="251" t="str">
        <f>IFERROR(__xludf.DUMMYFUNCTION("""COMPUTED_VALUE"""),"9bc00e6b-ce5f-48c5-ae3a-1baabe00f337")</f>
        <v>9bc00e6b-ce5f-48c5-ae3a-1baabe00f337</v>
      </c>
      <c r="AK94" s="251" t="str">
        <f>IFERROR(__xludf.DUMMYFUNCTION("""COMPUTED_VALUE"""),"75751cf9-1175-44c2-86b1-1d34fd23a9ed")</f>
        <v>75751cf9-1175-44c2-86b1-1d34fd23a9ed</v>
      </c>
      <c r="AL94" s="251"/>
      <c r="AM94" s="251"/>
      <c r="AN94" s="251"/>
      <c r="AO94" s="251"/>
      <c r="AP94" s="261"/>
      <c r="AR94" s="251" t="str">
        <f t="shared" si="1"/>
        <v>21193.4_credit</v>
      </c>
      <c r="AS94" s="251" t="str">
        <f t="shared" si="2"/>
        <v>DROP</v>
      </c>
      <c r="AT94" s="247"/>
    </row>
    <row r="95">
      <c r="A95" s="262" t="s">
        <v>165</v>
      </c>
      <c r="B95" s="262" t="s">
        <v>402</v>
      </c>
      <c r="C95" s="263">
        <v>46189.41244212963</v>
      </c>
      <c r="D95" s="262" t="s">
        <v>265</v>
      </c>
      <c r="E95" s="264">
        <v>20315.69</v>
      </c>
      <c r="F95" s="262" t="s">
        <v>169</v>
      </c>
      <c r="G95" s="262" t="s">
        <v>170</v>
      </c>
      <c r="H95" s="262" t="s">
        <v>397</v>
      </c>
      <c r="I95" s="265"/>
      <c r="J95" s="265"/>
      <c r="K95" s="266"/>
      <c r="L95" s="265"/>
      <c r="M95" s="267"/>
      <c r="O95" s="247"/>
      <c r="AC95" s="247"/>
      <c r="AD95" s="251" t="str">
        <f>IFERROR(__xludf.DUMMYFUNCTION("""COMPUTED_VALUE"""),"73df5aae-f42a-49a0-9d8f-616ca6dbebaa")</f>
        <v>73df5aae-f42a-49a0-9d8f-616ca6dbebaa</v>
      </c>
      <c r="AE95" s="251" t="str">
        <f>IFERROR(__xludf.DUMMYFUNCTION("""COMPUTED_VALUE"""),"019ecfd2-4ed0-7080-9e06-0c36c56c0a7c")</f>
        <v>019ecfd2-4ed0-7080-9e06-0c36c56c0a7c</v>
      </c>
      <c r="AF95" s="261">
        <f>IFERROR(__xludf.DUMMYFUNCTION("""COMPUTED_VALUE"""),46189.4065625)</f>
        <v>46189.40656</v>
      </c>
      <c r="AG95" s="251" t="str">
        <f>IFERROR(__xludf.DUMMYFUNCTION("""COMPUTED_VALUE"""),"credit")</f>
        <v>credit</v>
      </c>
      <c r="AH95" s="253">
        <f>IFERROR(__xludf.DUMMYFUNCTION("""COMPUTED_VALUE"""),42012.77)</f>
        <v>42012.77</v>
      </c>
      <c r="AI95" s="251" t="str">
        <f>IFERROR(__xludf.DUMMYFUNCTION("""COMPUTED_VALUE"""),"cash_isa")</f>
        <v>cash_isa</v>
      </c>
      <c r="AJ95" s="251" t="str">
        <f>IFERROR(__xludf.DUMMYFUNCTION("""COMPUTED_VALUE"""),"9bc00e6b-ce5f-48c5-ae3a-1baabe00f337")</f>
        <v>9bc00e6b-ce5f-48c5-ae3a-1baabe00f337</v>
      </c>
      <c r="AK95" s="251" t="str">
        <f>IFERROR(__xludf.DUMMYFUNCTION("""COMPUTED_VALUE"""),"e9d4408b-c07c-4972-840d-7a7f65a2929b")</f>
        <v>e9d4408b-c07c-4972-840d-7a7f65a2929b</v>
      </c>
      <c r="AL95" s="251"/>
      <c r="AM95" s="251"/>
      <c r="AN95" s="251"/>
      <c r="AO95" s="251"/>
      <c r="AP95" s="261"/>
      <c r="AR95" s="251" t="str">
        <f t="shared" si="1"/>
        <v>42012.77_credit</v>
      </c>
      <c r="AS95" s="251" t="str">
        <f t="shared" si="2"/>
        <v>DROP</v>
      </c>
      <c r="AT95" s="247"/>
    </row>
    <row r="96">
      <c r="A96" s="255" t="s">
        <v>165</v>
      </c>
      <c r="B96" s="255" t="s">
        <v>403</v>
      </c>
      <c r="C96" s="256">
        <v>46189.41302083333</v>
      </c>
      <c r="D96" s="255" t="s">
        <v>167</v>
      </c>
      <c r="E96" s="257">
        <v>2376.76</v>
      </c>
      <c r="F96" s="255" t="s">
        <v>169</v>
      </c>
      <c r="G96" s="255" t="s">
        <v>170</v>
      </c>
      <c r="H96" s="255" t="s">
        <v>404</v>
      </c>
      <c r="I96" s="258"/>
      <c r="J96" s="258"/>
      <c r="K96" s="259"/>
      <c r="L96" s="258"/>
      <c r="M96" s="260"/>
      <c r="O96" s="247"/>
      <c r="AC96" s="247"/>
      <c r="AD96" s="251" t="str">
        <f>IFERROR(__xludf.DUMMYFUNCTION("""COMPUTED_VALUE"""),"73df5aae-f42a-49a0-9d8f-616ca6dbebaa")</f>
        <v>73df5aae-f42a-49a0-9d8f-616ca6dbebaa</v>
      </c>
      <c r="AE96" s="251" t="str">
        <f>IFERROR(__xludf.DUMMYFUNCTION("""COMPUTED_VALUE"""),"019ecfd2-8466-7367-b5e2-a7f2c9a8343e")</f>
        <v>019ecfd2-8466-7367-b5e2-a7f2c9a8343e</v>
      </c>
      <c r="AF96" s="261">
        <f>IFERROR(__xludf.DUMMYFUNCTION("""COMPUTED_VALUE"""),46189.40672453704)</f>
        <v>46189.40672</v>
      </c>
      <c r="AG96" s="251" t="str">
        <f>IFERROR(__xludf.DUMMYFUNCTION("""COMPUTED_VALUE"""),"credit")</f>
        <v>credit</v>
      </c>
      <c r="AH96" s="253">
        <f>IFERROR(__xludf.DUMMYFUNCTION("""COMPUTED_VALUE"""),63064.73)</f>
        <v>63064.73</v>
      </c>
      <c r="AI96" s="251" t="str">
        <f>IFERROR(__xludf.DUMMYFUNCTION("""COMPUTED_VALUE"""),"cash_isa")</f>
        <v>cash_isa</v>
      </c>
      <c r="AJ96" s="251" t="str">
        <f>IFERROR(__xludf.DUMMYFUNCTION("""COMPUTED_VALUE"""),"9bc00e6b-ce5f-48c5-ae3a-1baabe00f337")</f>
        <v>9bc00e6b-ce5f-48c5-ae3a-1baabe00f337</v>
      </c>
      <c r="AK96" s="251" t="str">
        <f>IFERROR(__xludf.DUMMYFUNCTION("""COMPUTED_VALUE"""),"85316de7-3c6a-4eac-bfbe-698ff3ec9240")</f>
        <v>85316de7-3c6a-4eac-bfbe-698ff3ec9240</v>
      </c>
      <c r="AL96" s="251"/>
      <c r="AM96" s="251"/>
      <c r="AN96" s="251"/>
      <c r="AO96" s="251"/>
      <c r="AP96" s="261"/>
      <c r="AR96" s="251" t="str">
        <f t="shared" si="1"/>
        <v>63064.73_credit</v>
      </c>
      <c r="AS96" s="251" t="str">
        <f t="shared" si="2"/>
        <v>DROP</v>
      </c>
      <c r="AT96" s="247"/>
    </row>
    <row r="97">
      <c r="A97" s="262" t="s">
        <v>165</v>
      </c>
      <c r="B97" s="262" t="s">
        <v>405</v>
      </c>
      <c r="C97" s="263">
        <v>46189.41302083333</v>
      </c>
      <c r="D97" s="262" t="s">
        <v>167</v>
      </c>
      <c r="E97" s="264">
        <v>6.98</v>
      </c>
      <c r="F97" s="262" t="s">
        <v>169</v>
      </c>
      <c r="G97" s="262" t="s">
        <v>170</v>
      </c>
      <c r="H97" s="262" t="s">
        <v>406</v>
      </c>
      <c r="I97" s="265"/>
      <c r="J97" s="265"/>
      <c r="K97" s="266"/>
      <c r="L97" s="265"/>
      <c r="M97" s="267"/>
      <c r="O97" s="247"/>
      <c r="AC97" s="247"/>
      <c r="AD97" s="251" t="str">
        <f>IFERROR(__xludf.DUMMYFUNCTION("""COMPUTED_VALUE"""),"73df5aae-f42a-49a0-9d8f-616ca6dbebaa")</f>
        <v>73df5aae-f42a-49a0-9d8f-616ca6dbebaa</v>
      </c>
      <c r="AE97" s="251" t="str">
        <f>IFERROR(__xludf.DUMMYFUNCTION("""COMPUTED_VALUE"""),"019ecfd3-1206-7f52-ae95-60443c5f908d")</f>
        <v>019ecfd3-1206-7f52-ae95-60443c5f908d</v>
      </c>
      <c r="AF97" s="261">
        <f>IFERROR(__xludf.DUMMYFUNCTION("""COMPUTED_VALUE"""),46189.4071412037)</f>
        <v>46189.40714</v>
      </c>
      <c r="AG97" s="251" t="str">
        <f>IFERROR(__xludf.DUMMYFUNCTION("""COMPUTED_VALUE"""),"debit")</f>
        <v>debit</v>
      </c>
      <c r="AH97" s="253">
        <f>IFERROR(__xludf.DUMMYFUNCTION("""COMPUTED_VALUE"""),21193.4)</f>
        <v>21193.4</v>
      </c>
      <c r="AI97" s="251" t="str">
        <f>IFERROR(__xludf.DUMMYFUNCTION("""COMPUTED_VALUE"""),"cash_isa")</f>
        <v>cash_isa</v>
      </c>
      <c r="AJ97" s="251" t="str">
        <f>IFERROR(__xludf.DUMMYFUNCTION("""COMPUTED_VALUE"""),"9bc00e6b-ce5f-48c5-ae3a-1baabe00f337")</f>
        <v>9bc00e6b-ce5f-48c5-ae3a-1baabe00f337</v>
      </c>
      <c r="AK97" s="251" t="str">
        <f>IFERROR(__xludf.DUMMYFUNCTION("""COMPUTED_VALUE"""),"75751cf9-1175-44c2-86b1-1d34fd23a9ed")</f>
        <v>75751cf9-1175-44c2-86b1-1d34fd23a9ed</v>
      </c>
      <c r="AL97" s="251"/>
      <c r="AM97" s="251"/>
      <c r="AN97" s="251"/>
      <c r="AO97" s="251"/>
      <c r="AP97" s="261"/>
      <c r="AR97" s="251" t="str">
        <f t="shared" si="1"/>
        <v>21193.4_debit</v>
      </c>
      <c r="AS97" s="251" t="str">
        <f t="shared" si="2"/>
        <v>DROP</v>
      </c>
      <c r="AT97" s="247"/>
    </row>
    <row r="98">
      <c r="A98" s="255" t="s">
        <v>165</v>
      </c>
      <c r="B98" s="255" t="s">
        <v>407</v>
      </c>
      <c r="C98" s="256">
        <v>46189.413136574076</v>
      </c>
      <c r="D98" s="255" t="s">
        <v>265</v>
      </c>
      <c r="E98" s="257">
        <v>30441.83</v>
      </c>
      <c r="F98" s="255" t="s">
        <v>169</v>
      </c>
      <c r="G98" s="255" t="s">
        <v>170</v>
      </c>
      <c r="H98" s="255" t="s">
        <v>399</v>
      </c>
      <c r="I98" s="258"/>
      <c r="J98" s="258"/>
      <c r="K98" s="259"/>
      <c r="L98" s="258"/>
      <c r="M98" s="260"/>
      <c r="O98" s="247"/>
      <c r="AC98" s="247"/>
      <c r="AD98" s="251" t="str">
        <f>IFERROR(__xludf.DUMMYFUNCTION("""COMPUTED_VALUE"""),"73df5aae-f42a-49a0-9d8f-616ca6dbebaa")</f>
        <v>73df5aae-f42a-49a0-9d8f-616ca6dbebaa</v>
      </c>
      <c r="AE98" s="251" t="str">
        <f>IFERROR(__xludf.DUMMYFUNCTION("""COMPUTED_VALUE"""),"019ecfd4-085d-7b81-bfb8-3eb32f33d7cc")</f>
        <v>019ecfd4-085d-7b81-bfb8-3eb32f33d7cc</v>
      </c>
      <c r="AF98" s="261">
        <f>IFERROR(__xludf.DUMMYFUNCTION("""COMPUTED_VALUE"""),46189.40787037037)</f>
        <v>46189.40787</v>
      </c>
      <c r="AG98" s="251" t="str">
        <f>IFERROR(__xludf.DUMMYFUNCTION("""COMPUTED_VALUE"""),"credit")</f>
        <v>credit</v>
      </c>
      <c r="AH98" s="253">
        <f>IFERROR(__xludf.DUMMYFUNCTION("""COMPUTED_VALUE"""),40954.62)</f>
        <v>40954.62</v>
      </c>
      <c r="AI98" s="251" t="str">
        <f>IFERROR(__xludf.DUMMYFUNCTION("""COMPUTED_VALUE"""),"cash_isa")</f>
        <v>cash_isa</v>
      </c>
      <c r="AJ98" s="251" t="str">
        <f>IFERROR(__xludf.DUMMYFUNCTION("""COMPUTED_VALUE"""),"9bc00e6b-ce5f-48c5-ae3a-1baabe00f337")</f>
        <v>9bc00e6b-ce5f-48c5-ae3a-1baabe00f337</v>
      </c>
      <c r="AK98" s="251" t="str">
        <f>IFERROR(__xludf.DUMMYFUNCTION("""COMPUTED_VALUE"""),"af943799-ebd2-4832-a144-a32b4c3e4e52")</f>
        <v>af943799-ebd2-4832-a144-a32b4c3e4e52</v>
      </c>
      <c r="AL98" s="251"/>
      <c r="AM98" s="251"/>
      <c r="AN98" s="251"/>
      <c r="AO98" s="251"/>
      <c r="AP98" s="261"/>
      <c r="AR98" s="251" t="str">
        <f t="shared" si="1"/>
        <v>40954.62_credit</v>
      </c>
      <c r="AS98" s="251" t="str">
        <f t="shared" si="2"/>
        <v>DROP</v>
      </c>
      <c r="AT98" s="247"/>
    </row>
    <row r="99">
      <c r="A99" s="262" t="s">
        <v>165</v>
      </c>
      <c r="B99" s="262" t="s">
        <v>408</v>
      </c>
      <c r="C99" s="263">
        <v>46189.41339120371</v>
      </c>
      <c r="D99" s="262" t="s">
        <v>265</v>
      </c>
      <c r="E99" s="264">
        <v>40954.62</v>
      </c>
      <c r="F99" s="262" t="s">
        <v>169</v>
      </c>
      <c r="G99" s="262" t="s">
        <v>170</v>
      </c>
      <c r="H99" s="262" t="s">
        <v>391</v>
      </c>
      <c r="I99" s="265"/>
      <c r="J99" s="265"/>
      <c r="K99" s="266"/>
      <c r="L99" s="265"/>
      <c r="M99" s="267"/>
      <c r="O99" s="247"/>
      <c r="AC99" s="247"/>
      <c r="AD99" s="251" t="str">
        <f>IFERROR(__xludf.DUMMYFUNCTION("""COMPUTED_VALUE"""),"73df5aae-f42a-49a0-9d8f-616ca6dbebaa")</f>
        <v>73df5aae-f42a-49a0-9d8f-616ca6dbebaa</v>
      </c>
      <c r="AE99" s="251" t="str">
        <f>IFERROR(__xludf.DUMMYFUNCTION("""COMPUTED_VALUE"""),"019ecfd4-6d4a-7c05-ae7c-81c49cc861fa")</f>
        <v>019ecfd4-6d4a-7c05-ae7c-81c49cc861fa</v>
      </c>
      <c r="AF99" s="261">
        <f>IFERROR(__xludf.DUMMYFUNCTION("""COMPUTED_VALUE"""),46189.408171296294)</f>
        <v>46189.40817</v>
      </c>
      <c r="AG99" s="251" t="str">
        <f>IFERROR(__xludf.DUMMYFUNCTION("""COMPUTED_VALUE"""),"debit")</f>
        <v>debit</v>
      </c>
      <c r="AH99" s="253">
        <f>IFERROR(__xludf.DUMMYFUNCTION("""COMPUTED_VALUE"""),20727.2)</f>
        <v>20727.2</v>
      </c>
      <c r="AI99" s="251" t="str">
        <f>IFERROR(__xludf.DUMMYFUNCTION("""COMPUTED_VALUE"""),"cash_isa")</f>
        <v>cash_isa</v>
      </c>
      <c r="AJ99" s="251" t="str">
        <f>IFERROR(__xludf.DUMMYFUNCTION("""COMPUTED_VALUE"""),"9bc00e6b-ce5f-48c5-ae3a-1baabe00f337")</f>
        <v>9bc00e6b-ce5f-48c5-ae3a-1baabe00f337</v>
      </c>
      <c r="AK99" s="251" t="str">
        <f>IFERROR(__xludf.DUMMYFUNCTION("""COMPUTED_VALUE"""),"50844745-d144-4d29-a09e-4f8144026e9b")</f>
        <v>50844745-d144-4d29-a09e-4f8144026e9b</v>
      </c>
      <c r="AL99" s="251"/>
      <c r="AM99" s="251"/>
      <c r="AN99" s="251"/>
      <c r="AO99" s="251"/>
      <c r="AP99" s="261"/>
      <c r="AR99" s="251" t="str">
        <f t="shared" si="1"/>
        <v>20727.2_debit</v>
      </c>
      <c r="AS99" s="251" t="str">
        <f t="shared" si="2"/>
        <v>DROP</v>
      </c>
      <c r="AT99" s="247"/>
    </row>
    <row r="100">
      <c r="A100" s="255" t="s">
        <v>165</v>
      </c>
      <c r="B100" s="255" t="s">
        <v>409</v>
      </c>
      <c r="C100" s="256">
        <v>46189.41385416667</v>
      </c>
      <c r="D100" s="255" t="s">
        <v>265</v>
      </c>
      <c r="E100" s="257">
        <v>63064.73</v>
      </c>
      <c r="F100" s="255" t="s">
        <v>169</v>
      </c>
      <c r="G100" s="255" t="s">
        <v>170</v>
      </c>
      <c r="H100" s="255" t="s">
        <v>388</v>
      </c>
      <c r="I100" s="258"/>
      <c r="J100" s="258"/>
      <c r="K100" s="259"/>
      <c r="L100" s="258"/>
      <c r="M100" s="260"/>
      <c r="O100" s="247"/>
      <c r="AC100" s="247"/>
      <c r="AD100" s="251" t="str">
        <f>IFERROR(__xludf.DUMMYFUNCTION("""COMPUTED_VALUE"""),"73df5aae-f42a-49a0-9d8f-616ca6dbebaa")</f>
        <v>73df5aae-f42a-49a0-9d8f-616ca6dbebaa</v>
      </c>
      <c r="AE100" s="251" t="str">
        <f>IFERROR(__xludf.DUMMYFUNCTION("""COMPUTED_VALUE"""),"019ecfd4-8389-73f0-a4bd-b01c0be37427")</f>
        <v>019ecfd4-8389-73f0-a4bd-b01c0be37427</v>
      </c>
      <c r="AF100" s="261">
        <f>IFERROR(__xludf.DUMMYFUNCTION("""COMPUTED_VALUE"""),46189.40824074074)</f>
        <v>46189.40824</v>
      </c>
      <c r="AG100" s="251" t="str">
        <f>IFERROR(__xludf.DUMMYFUNCTION("""COMPUTED_VALUE"""),"debit")</f>
        <v>debit</v>
      </c>
      <c r="AH100" s="253">
        <f>IFERROR(__xludf.DUMMYFUNCTION("""COMPUTED_VALUE"""),20816.05)</f>
        <v>20816.05</v>
      </c>
      <c r="AI100" s="251" t="str">
        <f>IFERROR(__xludf.DUMMYFUNCTION("""COMPUTED_VALUE"""),"cash_isa")</f>
        <v>cash_isa</v>
      </c>
      <c r="AJ100" s="251" t="str">
        <f>IFERROR(__xludf.DUMMYFUNCTION("""COMPUTED_VALUE"""),"9bc00e6b-ce5f-48c5-ae3a-1baabe00f337")</f>
        <v>9bc00e6b-ce5f-48c5-ae3a-1baabe00f337</v>
      </c>
      <c r="AK100" s="251" t="str">
        <f>IFERROR(__xludf.DUMMYFUNCTION("""COMPUTED_VALUE"""),"9a195fee-945d-4055-924e-a8914679c8f8")</f>
        <v>9a195fee-945d-4055-924e-a8914679c8f8</v>
      </c>
      <c r="AL100" s="251"/>
      <c r="AM100" s="251"/>
      <c r="AN100" s="251"/>
      <c r="AO100" s="251"/>
      <c r="AP100" s="261"/>
      <c r="AR100" s="251" t="str">
        <f t="shared" si="1"/>
        <v>20816.05_debit</v>
      </c>
      <c r="AS100" s="251" t="str">
        <f t="shared" si="2"/>
        <v>DROP</v>
      </c>
      <c r="AT100" s="247"/>
    </row>
    <row r="101">
      <c r="A101" s="262" t="s">
        <v>165</v>
      </c>
      <c r="B101" s="262" t="s">
        <v>410</v>
      </c>
      <c r="C101" s="263">
        <v>46189.414293981485</v>
      </c>
      <c r="D101" s="262" t="s">
        <v>167</v>
      </c>
      <c r="E101" s="264">
        <v>5426.19</v>
      </c>
      <c r="F101" s="262" t="s">
        <v>169</v>
      </c>
      <c r="G101" s="262" t="s">
        <v>170</v>
      </c>
      <c r="H101" s="262" t="s">
        <v>411</v>
      </c>
      <c r="I101" s="265"/>
      <c r="J101" s="265"/>
      <c r="K101" s="266"/>
      <c r="L101" s="265"/>
      <c r="M101" s="267"/>
      <c r="O101" s="247"/>
      <c r="AC101" s="247"/>
      <c r="AD101" s="251" t="str">
        <f>IFERROR(__xludf.DUMMYFUNCTION("""COMPUTED_VALUE"""),"73df5aae-f42a-49a0-9d8f-616ca6dbebaa")</f>
        <v>73df5aae-f42a-49a0-9d8f-616ca6dbebaa</v>
      </c>
      <c r="AE101" s="251" t="str">
        <f>IFERROR(__xludf.DUMMYFUNCTION("""COMPUTED_VALUE"""),"019ecfd4-ee0b-7d5b-8cbe-f6904f4ae5df")</f>
        <v>019ecfd4-ee0b-7d5b-8cbe-f6904f4ae5df</v>
      </c>
      <c r="AF101" s="261">
        <f>IFERROR(__xludf.DUMMYFUNCTION("""COMPUTED_VALUE"""),46189.40855324074)</f>
        <v>46189.40855</v>
      </c>
      <c r="AG101" s="251" t="str">
        <f>IFERROR(__xludf.DUMMYFUNCTION("""COMPUTED_VALUE"""),"debit")</f>
        <v>debit</v>
      </c>
      <c r="AH101" s="253">
        <f>IFERROR(__xludf.DUMMYFUNCTION("""COMPUTED_VALUE"""),40000.0)</f>
        <v>40000</v>
      </c>
      <c r="AI101" s="251" t="str">
        <f>IFERROR(__xludf.DUMMYFUNCTION("""COMPUTED_VALUE"""),"cash_isa")</f>
        <v>cash_isa</v>
      </c>
      <c r="AJ101" s="251" t="str">
        <f>IFERROR(__xludf.DUMMYFUNCTION("""COMPUTED_VALUE"""),"9bc00e6b-ce5f-48c5-ae3a-1baabe00f337")</f>
        <v>9bc00e6b-ce5f-48c5-ae3a-1baabe00f337</v>
      </c>
      <c r="AK101" s="251" t="str">
        <f>IFERROR(__xludf.DUMMYFUNCTION("""COMPUTED_VALUE"""),"d06ca8c3-926d-48dd-bd9f-648d61167466")</f>
        <v>d06ca8c3-926d-48dd-bd9f-648d61167466</v>
      </c>
      <c r="AL101" s="251"/>
      <c r="AM101" s="251"/>
      <c r="AN101" s="251"/>
      <c r="AO101" s="251"/>
      <c r="AP101" s="261"/>
      <c r="AR101" s="251" t="str">
        <f t="shared" si="1"/>
        <v>40000_debit</v>
      </c>
      <c r="AS101" s="251" t="str">
        <f t="shared" si="2"/>
        <v>DROP</v>
      </c>
      <c r="AT101" s="247"/>
    </row>
    <row r="102">
      <c r="A102" s="255" t="s">
        <v>165</v>
      </c>
      <c r="B102" s="255" t="s">
        <v>412</v>
      </c>
      <c r="C102" s="256">
        <v>46189.4146412037</v>
      </c>
      <c r="D102" s="255" t="s">
        <v>265</v>
      </c>
      <c r="E102" s="257">
        <v>2376.76</v>
      </c>
      <c r="F102" s="255" t="s">
        <v>169</v>
      </c>
      <c r="G102" s="255" t="s">
        <v>170</v>
      </c>
      <c r="H102" s="255" t="s">
        <v>404</v>
      </c>
      <c r="I102" s="258"/>
      <c r="J102" s="258"/>
      <c r="K102" s="259"/>
      <c r="L102" s="258"/>
      <c r="M102" s="260"/>
      <c r="O102" s="247"/>
      <c r="AC102" s="247"/>
      <c r="AD102" s="251" t="str">
        <f>IFERROR(__xludf.DUMMYFUNCTION("""COMPUTED_VALUE"""),"73df5aae-f42a-49a0-9d8f-616ca6dbebaa")</f>
        <v>73df5aae-f42a-49a0-9d8f-616ca6dbebaa</v>
      </c>
      <c r="AE102" s="251" t="str">
        <f>IFERROR(__xludf.DUMMYFUNCTION("""COMPUTED_VALUE"""),"019ecfd5-86ee-7db6-ac70-d06b71d7556a")</f>
        <v>019ecfd5-86ee-7db6-ac70-d06b71d7556a</v>
      </c>
      <c r="AF102" s="261">
        <f>IFERROR(__xludf.DUMMYFUNCTION("""COMPUTED_VALUE"""),46189.40900462963)</f>
        <v>46189.409</v>
      </c>
      <c r="AG102" s="251" t="str">
        <f>IFERROR(__xludf.DUMMYFUNCTION("""COMPUTED_VALUE"""),"debit")</f>
        <v>debit</v>
      </c>
      <c r="AH102" s="253">
        <f>IFERROR(__xludf.DUMMYFUNCTION("""COMPUTED_VALUE"""),42012.77)</f>
        <v>42012.77</v>
      </c>
      <c r="AI102" s="251" t="str">
        <f>IFERROR(__xludf.DUMMYFUNCTION("""COMPUTED_VALUE"""),"cash_isa")</f>
        <v>cash_isa</v>
      </c>
      <c r="AJ102" s="251" t="str">
        <f>IFERROR(__xludf.DUMMYFUNCTION("""COMPUTED_VALUE"""),"9bc00e6b-ce5f-48c5-ae3a-1baabe00f337")</f>
        <v>9bc00e6b-ce5f-48c5-ae3a-1baabe00f337</v>
      </c>
      <c r="AK102" s="251" t="str">
        <f>IFERROR(__xludf.DUMMYFUNCTION("""COMPUTED_VALUE"""),"e9d4408b-c07c-4972-840d-7a7f65a2929b")</f>
        <v>e9d4408b-c07c-4972-840d-7a7f65a2929b</v>
      </c>
      <c r="AL102" s="251"/>
      <c r="AM102" s="251"/>
      <c r="AN102" s="251"/>
      <c r="AO102" s="251"/>
      <c r="AP102" s="261"/>
      <c r="AR102" s="251" t="str">
        <f t="shared" si="1"/>
        <v>42012.77_debit</v>
      </c>
      <c r="AS102" s="251" t="str">
        <f t="shared" si="2"/>
        <v>DROP</v>
      </c>
      <c r="AT102" s="247"/>
    </row>
    <row r="103">
      <c r="A103" s="262" t="s">
        <v>165</v>
      </c>
      <c r="B103" s="262" t="s">
        <v>413</v>
      </c>
      <c r="C103" s="263">
        <v>46189.41792824074</v>
      </c>
      <c r="D103" s="262" t="s">
        <v>265</v>
      </c>
      <c r="E103" s="264">
        <v>44141.82</v>
      </c>
      <c r="F103" s="262" t="s">
        <v>169</v>
      </c>
      <c r="G103" s="262" t="s">
        <v>170</v>
      </c>
      <c r="H103" s="262" t="s">
        <v>401</v>
      </c>
      <c r="I103" s="265"/>
      <c r="J103" s="265"/>
      <c r="K103" s="266"/>
      <c r="L103" s="265"/>
      <c r="M103" s="267"/>
      <c r="O103" s="247"/>
      <c r="AC103" s="247"/>
      <c r="AD103" s="251" t="str">
        <f>IFERROR(__xludf.DUMMYFUNCTION("""COMPUTED_VALUE"""),"73df5aae-f42a-49a0-9d8f-616ca6dbebaa")</f>
        <v>73df5aae-f42a-49a0-9d8f-616ca6dbebaa</v>
      </c>
      <c r="AE103" s="251" t="str">
        <f>IFERROR(__xludf.DUMMYFUNCTION("""COMPUTED_VALUE"""),"019ecfd5-ea3b-74f1-969f-43cf1b17274c")</f>
        <v>019ecfd5-ea3b-74f1-969f-43cf1b17274c</v>
      </c>
      <c r="AF103" s="261">
        <f>IFERROR(__xludf.DUMMYFUNCTION("""COMPUTED_VALUE"""),46189.40929398148)</f>
        <v>46189.40929</v>
      </c>
      <c r="AG103" s="251" t="str">
        <f>IFERROR(__xludf.DUMMYFUNCTION("""COMPUTED_VALUE"""),"credit")</f>
        <v>credit</v>
      </c>
      <c r="AH103" s="253">
        <f>IFERROR(__xludf.DUMMYFUNCTION("""COMPUTED_VALUE"""),20315.69)</f>
        <v>20315.69</v>
      </c>
      <c r="AI103" s="251" t="str">
        <f>IFERROR(__xludf.DUMMYFUNCTION("""COMPUTED_VALUE"""),"cash_isa")</f>
        <v>cash_isa</v>
      </c>
      <c r="AJ103" s="251" t="str">
        <f>IFERROR(__xludf.DUMMYFUNCTION("""COMPUTED_VALUE"""),"9bc00e6b-ce5f-48c5-ae3a-1baabe00f337")</f>
        <v>9bc00e6b-ce5f-48c5-ae3a-1baabe00f337</v>
      </c>
      <c r="AK103" s="251" t="str">
        <f>IFERROR(__xludf.DUMMYFUNCTION("""COMPUTED_VALUE"""),"984de537-45ec-4eec-8cd3-9e1e99073ac8")</f>
        <v>984de537-45ec-4eec-8cd3-9e1e99073ac8</v>
      </c>
      <c r="AL103" s="251"/>
      <c r="AM103" s="251"/>
      <c r="AN103" s="251"/>
      <c r="AO103" s="251"/>
      <c r="AP103" s="261"/>
      <c r="AR103" s="251" t="str">
        <f t="shared" si="1"/>
        <v>20315.69_credit</v>
      </c>
      <c r="AS103" s="251" t="str">
        <f t="shared" si="2"/>
        <v>DROP</v>
      </c>
      <c r="AT103" s="247"/>
    </row>
    <row r="104">
      <c r="A104" s="255" t="s">
        <v>165</v>
      </c>
      <c r="B104" s="255" t="s">
        <v>414</v>
      </c>
      <c r="C104" s="256">
        <v>46189.41824074074</v>
      </c>
      <c r="D104" s="255" t="s">
        <v>265</v>
      </c>
      <c r="E104" s="257">
        <v>6.98</v>
      </c>
      <c r="F104" s="255" t="s">
        <v>169</v>
      </c>
      <c r="G104" s="255" t="s">
        <v>170</v>
      </c>
      <c r="H104" s="255" t="s">
        <v>406</v>
      </c>
      <c r="I104" s="258"/>
      <c r="J104" s="258"/>
      <c r="K104" s="259"/>
      <c r="L104" s="258"/>
      <c r="M104" s="260"/>
      <c r="O104" s="247"/>
      <c r="AC104" s="247"/>
      <c r="AD104" s="251" t="str">
        <f>IFERROR(__xludf.DUMMYFUNCTION("""COMPUTED_VALUE"""),"73df5aae-f42a-49a0-9d8f-616ca6dbebaa")</f>
        <v>73df5aae-f42a-49a0-9d8f-616ca6dbebaa</v>
      </c>
      <c r="AE104" s="251" t="str">
        <f>IFERROR(__xludf.DUMMYFUNCTION("""COMPUTED_VALUE"""),"019ecfd7-8cbf-7edf-9b89-6da6438015aa")</f>
        <v>019ecfd7-8cbf-7edf-9b89-6da6438015aa</v>
      </c>
      <c r="AF104" s="261">
        <f>IFERROR(__xludf.DUMMYFUNCTION("""COMPUTED_VALUE"""),46189.41054398148)</f>
        <v>46189.41054</v>
      </c>
      <c r="AG104" s="251" t="str">
        <f>IFERROR(__xludf.DUMMYFUNCTION("""COMPUTED_VALUE"""),"credit")</f>
        <v>credit</v>
      </c>
      <c r="AH104" s="253">
        <f>IFERROR(__xludf.DUMMYFUNCTION("""COMPUTED_VALUE"""),30441.83)</f>
        <v>30441.83</v>
      </c>
      <c r="AI104" s="251" t="str">
        <f>IFERROR(__xludf.DUMMYFUNCTION("""COMPUTED_VALUE"""),"cash_isa")</f>
        <v>cash_isa</v>
      </c>
      <c r="AJ104" s="251" t="str">
        <f>IFERROR(__xludf.DUMMYFUNCTION("""COMPUTED_VALUE"""),"9bc00e6b-ce5f-48c5-ae3a-1baabe00f337")</f>
        <v>9bc00e6b-ce5f-48c5-ae3a-1baabe00f337</v>
      </c>
      <c r="AK104" s="251" t="str">
        <f>IFERROR(__xludf.DUMMYFUNCTION("""COMPUTED_VALUE"""),"37a5ace5-d5b7-4f7d-9dd0-311ba95756be")</f>
        <v>37a5ace5-d5b7-4f7d-9dd0-311ba95756be</v>
      </c>
      <c r="AL104" s="251"/>
      <c r="AM104" s="251"/>
      <c r="AN104" s="251"/>
      <c r="AO104" s="251"/>
      <c r="AP104" s="261"/>
      <c r="AR104" s="251" t="str">
        <f t="shared" si="1"/>
        <v>30441.83_credit</v>
      </c>
      <c r="AS104" s="251" t="str">
        <f t="shared" si="2"/>
        <v>DROP</v>
      </c>
      <c r="AT104" s="247"/>
    </row>
    <row r="105">
      <c r="A105" s="262" t="s">
        <v>165</v>
      </c>
      <c r="B105" s="262" t="s">
        <v>415</v>
      </c>
      <c r="C105" s="263">
        <v>46189.41846064815</v>
      </c>
      <c r="D105" s="262" t="s">
        <v>167</v>
      </c>
      <c r="E105" s="264">
        <v>2224.0</v>
      </c>
      <c r="F105" s="262" t="s">
        <v>169</v>
      </c>
      <c r="G105" s="262" t="s">
        <v>170</v>
      </c>
      <c r="H105" s="262" t="s">
        <v>416</v>
      </c>
      <c r="I105" s="265"/>
      <c r="J105" s="265"/>
      <c r="K105" s="266"/>
      <c r="L105" s="265"/>
      <c r="M105" s="267"/>
      <c r="O105" s="247"/>
      <c r="AC105" s="247"/>
      <c r="AD105" s="251" t="str">
        <f>IFERROR(__xludf.DUMMYFUNCTION("""COMPUTED_VALUE"""),"73df5aae-f42a-49a0-9d8f-616ca6dbebaa")</f>
        <v>73df5aae-f42a-49a0-9d8f-616ca6dbebaa</v>
      </c>
      <c r="AE105" s="251" t="str">
        <f>IFERROR(__xludf.DUMMYFUNCTION("""COMPUTED_VALUE"""),"019ecfd8-3d3b-71c4-b989-de8e93431036")</f>
        <v>019ecfd8-3d3b-71c4-b989-de8e93431036</v>
      </c>
      <c r="AF105" s="261">
        <f>IFERROR(__xludf.DUMMYFUNCTION("""COMPUTED_VALUE"""),46189.41106481482)</f>
        <v>46189.41106</v>
      </c>
      <c r="AG105" s="251" t="str">
        <f>IFERROR(__xludf.DUMMYFUNCTION("""COMPUTED_VALUE"""),"credit")</f>
        <v>credit</v>
      </c>
      <c r="AH105" s="253">
        <f>IFERROR(__xludf.DUMMYFUNCTION("""COMPUTED_VALUE"""),44141.82)</f>
        <v>44141.82</v>
      </c>
      <c r="AI105" s="251" t="str">
        <f>IFERROR(__xludf.DUMMYFUNCTION("""COMPUTED_VALUE"""),"cash_isa")</f>
        <v>cash_isa</v>
      </c>
      <c r="AJ105" s="251" t="str">
        <f>IFERROR(__xludf.DUMMYFUNCTION("""COMPUTED_VALUE"""),"9bc00e6b-ce5f-48c5-ae3a-1baabe00f337")</f>
        <v>9bc00e6b-ce5f-48c5-ae3a-1baabe00f337</v>
      </c>
      <c r="AK105" s="251" t="str">
        <f>IFERROR(__xludf.DUMMYFUNCTION("""COMPUTED_VALUE"""),"7b3a6887-2bc2-43a1-8a39-8f79bc8d0bb5")</f>
        <v>7b3a6887-2bc2-43a1-8a39-8f79bc8d0bb5</v>
      </c>
      <c r="AL105" s="251"/>
      <c r="AM105" s="251"/>
      <c r="AN105" s="251"/>
      <c r="AO105" s="251"/>
      <c r="AP105" s="261"/>
      <c r="AR105" s="251" t="str">
        <f t="shared" si="1"/>
        <v>44141.82_credit</v>
      </c>
      <c r="AS105" s="251" t="str">
        <f t="shared" si="2"/>
        <v>DROP</v>
      </c>
      <c r="AT105" s="247"/>
    </row>
    <row r="106">
      <c r="A106" s="255" t="s">
        <v>165</v>
      </c>
      <c r="B106" s="255" t="s">
        <v>417</v>
      </c>
      <c r="C106" s="256">
        <v>46189.41850694444</v>
      </c>
      <c r="D106" s="255" t="s">
        <v>265</v>
      </c>
      <c r="E106" s="257">
        <v>5426.19</v>
      </c>
      <c r="F106" s="255" t="s">
        <v>169</v>
      </c>
      <c r="G106" s="255" t="s">
        <v>170</v>
      </c>
      <c r="H106" s="255" t="s">
        <v>411</v>
      </c>
      <c r="I106" s="258"/>
      <c r="J106" s="258"/>
      <c r="K106" s="259"/>
      <c r="L106" s="258"/>
      <c r="M106" s="260"/>
      <c r="O106" s="247"/>
      <c r="AC106" s="247"/>
      <c r="AD106" s="251" t="str">
        <f>IFERROR(__xludf.DUMMYFUNCTION("""COMPUTED_VALUE"""),"73df5aae-f42a-49a0-9d8f-616ca6dbebaa")</f>
        <v>73df5aae-f42a-49a0-9d8f-616ca6dbebaa</v>
      </c>
      <c r="AE106" s="251" t="str">
        <f>IFERROR(__xludf.DUMMYFUNCTION("""COMPUTED_VALUE"""),"019ecfda-1105-7596-b7d3-f9b71a1e89b4")</f>
        <v>019ecfda-1105-7596-b7d3-f9b71a1e89b4</v>
      </c>
      <c r="AF106" s="261">
        <f>IFERROR(__xludf.DUMMYFUNCTION("""COMPUTED_VALUE"""),46189.41244212963)</f>
        <v>46189.41244</v>
      </c>
      <c r="AG106" s="251" t="str">
        <f>IFERROR(__xludf.DUMMYFUNCTION("""COMPUTED_VALUE"""),"debit")</f>
        <v>debit</v>
      </c>
      <c r="AH106" s="253">
        <f>IFERROR(__xludf.DUMMYFUNCTION("""COMPUTED_VALUE"""),20315.69)</f>
        <v>20315.69</v>
      </c>
      <c r="AI106" s="251" t="str">
        <f>IFERROR(__xludf.DUMMYFUNCTION("""COMPUTED_VALUE"""),"cash_isa")</f>
        <v>cash_isa</v>
      </c>
      <c r="AJ106" s="251" t="str">
        <f>IFERROR(__xludf.DUMMYFUNCTION("""COMPUTED_VALUE"""),"9bc00e6b-ce5f-48c5-ae3a-1baabe00f337")</f>
        <v>9bc00e6b-ce5f-48c5-ae3a-1baabe00f337</v>
      </c>
      <c r="AK106" s="251" t="str">
        <f>IFERROR(__xludf.DUMMYFUNCTION("""COMPUTED_VALUE"""),"984de537-45ec-4eec-8cd3-9e1e99073ac8")</f>
        <v>984de537-45ec-4eec-8cd3-9e1e99073ac8</v>
      </c>
      <c r="AL106" s="251"/>
      <c r="AM106" s="251"/>
      <c r="AN106" s="251"/>
      <c r="AO106" s="251"/>
      <c r="AP106" s="261"/>
      <c r="AR106" s="251" t="str">
        <f t="shared" si="1"/>
        <v>20315.69_debit</v>
      </c>
      <c r="AS106" s="251" t="str">
        <f t="shared" si="2"/>
        <v>DROP</v>
      </c>
      <c r="AT106" s="247"/>
    </row>
    <row r="107">
      <c r="A107" s="262" t="s">
        <v>165</v>
      </c>
      <c r="B107" s="262" t="s">
        <v>418</v>
      </c>
      <c r="C107" s="263">
        <v>46189.42053240741</v>
      </c>
      <c r="D107" s="262" t="s">
        <v>265</v>
      </c>
      <c r="E107" s="264">
        <v>2224.0</v>
      </c>
      <c r="F107" s="262" t="s">
        <v>169</v>
      </c>
      <c r="G107" s="262" t="s">
        <v>170</v>
      </c>
      <c r="H107" s="262" t="s">
        <v>416</v>
      </c>
      <c r="I107" s="265"/>
      <c r="J107" s="265"/>
      <c r="K107" s="266"/>
      <c r="L107" s="265"/>
      <c r="M107" s="267"/>
      <c r="O107" s="247"/>
      <c r="AC107" s="247"/>
      <c r="AD107" s="251" t="str">
        <f>IFERROR(__xludf.DUMMYFUNCTION("""COMPUTED_VALUE"""),"73df5aae-f42a-49a0-9d8f-616ca6dbebaa")</f>
        <v>73df5aae-f42a-49a0-9d8f-616ca6dbebaa</v>
      </c>
      <c r="AE107" s="251" t="str">
        <f>IFERROR(__xludf.DUMMYFUNCTION("""COMPUTED_VALUE"""),"019ecfda-d11f-7bbc-bd50-68fad6742d66")</f>
        <v>019ecfda-d11f-7bbc-bd50-68fad6742d66</v>
      </c>
      <c r="AF107" s="261">
        <f>IFERROR(__xludf.DUMMYFUNCTION("""COMPUTED_VALUE"""),46189.41302083334)</f>
        <v>46189.41302</v>
      </c>
      <c r="AG107" s="251" t="str">
        <f>IFERROR(__xludf.DUMMYFUNCTION("""COMPUTED_VALUE"""),"credit")</f>
        <v>credit</v>
      </c>
      <c r="AH107" s="253">
        <f>IFERROR(__xludf.DUMMYFUNCTION("""COMPUTED_VALUE"""),2376.76)</f>
        <v>2376.76</v>
      </c>
      <c r="AI107" s="251" t="str">
        <f>IFERROR(__xludf.DUMMYFUNCTION("""COMPUTED_VALUE"""),"cash_isa")</f>
        <v>cash_isa</v>
      </c>
      <c r="AJ107" s="251" t="str">
        <f>IFERROR(__xludf.DUMMYFUNCTION("""COMPUTED_VALUE"""),"9bc00e6b-ce5f-48c5-ae3a-1baabe00f337")</f>
        <v>9bc00e6b-ce5f-48c5-ae3a-1baabe00f337</v>
      </c>
      <c r="AK107" s="251" t="str">
        <f>IFERROR(__xludf.DUMMYFUNCTION("""COMPUTED_VALUE"""),"6afccf8a-4161-47b8-b09c-170c1cb01d2f")</f>
        <v>6afccf8a-4161-47b8-b09c-170c1cb01d2f</v>
      </c>
      <c r="AL107" s="251"/>
      <c r="AM107" s="251"/>
      <c r="AN107" s="251"/>
      <c r="AO107" s="251"/>
      <c r="AP107" s="261"/>
      <c r="AR107" s="251" t="str">
        <f t="shared" si="1"/>
        <v>2376.76_credit</v>
      </c>
      <c r="AS107" s="251" t="str">
        <f t="shared" si="2"/>
        <v>DROP</v>
      </c>
      <c r="AT107" s="247"/>
    </row>
    <row r="108">
      <c r="A108" s="255" t="s">
        <v>165</v>
      </c>
      <c r="B108" s="255" t="s">
        <v>419</v>
      </c>
      <c r="C108" s="256">
        <v>46189.42177083333</v>
      </c>
      <c r="D108" s="255" t="s">
        <v>167</v>
      </c>
      <c r="E108" s="257">
        <v>41937.75</v>
      </c>
      <c r="F108" s="255" t="s">
        <v>169</v>
      </c>
      <c r="G108" s="255" t="s">
        <v>170</v>
      </c>
      <c r="H108" s="255" t="s">
        <v>420</v>
      </c>
      <c r="I108" s="258"/>
      <c r="J108" s="258"/>
      <c r="K108" s="259"/>
      <c r="L108" s="258"/>
      <c r="M108" s="260"/>
      <c r="O108" s="247"/>
      <c r="AC108" s="247"/>
      <c r="AD108" s="251" t="str">
        <f>IFERROR(__xludf.DUMMYFUNCTION("""COMPUTED_VALUE"""),"73df5aae-f42a-49a0-9d8f-616ca6dbebaa")</f>
        <v>73df5aae-f42a-49a0-9d8f-616ca6dbebaa</v>
      </c>
      <c r="AE108" s="251" t="str">
        <f>IFERROR(__xludf.DUMMYFUNCTION("""COMPUTED_VALUE"""),"019ecfda-d404-77b4-86a0-d94de9a1d86a")</f>
        <v>019ecfda-d404-77b4-86a0-d94de9a1d86a</v>
      </c>
      <c r="AF108" s="261">
        <f>IFERROR(__xludf.DUMMYFUNCTION("""COMPUTED_VALUE"""),46189.41302083334)</f>
        <v>46189.41302</v>
      </c>
      <c r="AG108" s="251" t="str">
        <f>IFERROR(__xludf.DUMMYFUNCTION("""COMPUTED_VALUE"""),"credit")</f>
        <v>credit</v>
      </c>
      <c r="AH108" s="253">
        <f>IFERROR(__xludf.DUMMYFUNCTION("""COMPUTED_VALUE"""),6.98)</f>
        <v>6.98</v>
      </c>
      <c r="AI108" s="251" t="str">
        <f>IFERROR(__xludf.DUMMYFUNCTION("""COMPUTED_VALUE"""),"cash_isa")</f>
        <v>cash_isa</v>
      </c>
      <c r="AJ108" s="251" t="str">
        <f>IFERROR(__xludf.DUMMYFUNCTION("""COMPUTED_VALUE"""),"9bc00e6b-ce5f-48c5-ae3a-1baabe00f337")</f>
        <v>9bc00e6b-ce5f-48c5-ae3a-1baabe00f337</v>
      </c>
      <c r="AK108" s="251" t="str">
        <f>IFERROR(__xludf.DUMMYFUNCTION("""COMPUTED_VALUE"""),"dabd6b93-ef72-40a5-b95c-414bc162f360")</f>
        <v>dabd6b93-ef72-40a5-b95c-414bc162f360</v>
      </c>
      <c r="AL108" s="251"/>
      <c r="AM108" s="251"/>
      <c r="AN108" s="251"/>
      <c r="AO108" s="251"/>
      <c r="AP108" s="261"/>
      <c r="AR108" s="251" t="str">
        <f t="shared" si="1"/>
        <v>6.98_credit</v>
      </c>
      <c r="AS108" s="251" t="str">
        <f t="shared" si="2"/>
        <v>DROP</v>
      </c>
      <c r="AT108" s="247"/>
    </row>
    <row r="109">
      <c r="A109" s="262" t="s">
        <v>165</v>
      </c>
      <c r="B109" s="262" t="s">
        <v>421</v>
      </c>
      <c r="C109" s="263">
        <v>46189.42246527778</v>
      </c>
      <c r="D109" s="262" t="s">
        <v>167</v>
      </c>
      <c r="E109" s="264">
        <v>20000.0</v>
      </c>
      <c r="F109" s="262" t="s">
        <v>169</v>
      </c>
      <c r="G109" s="262" t="s">
        <v>170</v>
      </c>
      <c r="H109" s="262" t="s">
        <v>422</v>
      </c>
      <c r="I109" s="265"/>
      <c r="J109" s="265"/>
      <c r="K109" s="266"/>
      <c r="L109" s="265"/>
      <c r="M109" s="267"/>
      <c r="O109" s="247"/>
      <c r="AC109" s="247"/>
      <c r="AD109" s="251" t="str">
        <f>IFERROR(__xludf.DUMMYFUNCTION("""COMPUTED_VALUE"""),"73df5aae-f42a-49a0-9d8f-616ca6dbebaa")</f>
        <v>73df5aae-f42a-49a0-9d8f-616ca6dbebaa</v>
      </c>
      <c r="AE109" s="251" t="str">
        <f>IFERROR(__xludf.DUMMYFUNCTION("""COMPUTED_VALUE"""),"019ecfda-f8ab-7b1b-9880-101f05f6351a")</f>
        <v>019ecfda-f8ab-7b1b-9880-101f05f6351a</v>
      </c>
      <c r="AF109" s="261">
        <f>IFERROR(__xludf.DUMMYFUNCTION("""COMPUTED_VALUE"""),46189.413136574076)</f>
        <v>46189.41314</v>
      </c>
      <c r="AG109" s="251" t="str">
        <f>IFERROR(__xludf.DUMMYFUNCTION("""COMPUTED_VALUE"""),"debit")</f>
        <v>debit</v>
      </c>
      <c r="AH109" s="253">
        <f>IFERROR(__xludf.DUMMYFUNCTION("""COMPUTED_VALUE"""),30441.83)</f>
        <v>30441.83</v>
      </c>
      <c r="AI109" s="251" t="str">
        <f>IFERROR(__xludf.DUMMYFUNCTION("""COMPUTED_VALUE"""),"cash_isa")</f>
        <v>cash_isa</v>
      </c>
      <c r="AJ109" s="251" t="str">
        <f>IFERROR(__xludf.DUMMYFUNCTION("""COMPUTED_VALUE"""),"9bc00e6b-ce5f-48c5-ae3a-1baabe00f337")</f>
        <v>9bc00e6b-ce5f-48c5-ae3a-1baabe00f337</v>
      </c>
      <c r="AK109" s="251" t="str">
        <f>IFERROR(__xludf.DUMMYFUNCTION("""COMPUTED_VALUE"""),"37a5ace5-d5b7-4f7d-9dd0-311ba95756be")</f>
        <v>37a5ace5-d5b7-4f7d-9dd0-311ba95756be</v>
      </c>
      <c r="AL109" s="251"/>
      <c r="AM109" s="251"/>
      <c r="AN109" s="251"/>
      <c r="AO109" s="251"/>
      <c r="AP109" s="261"/>
      <c r="AR109" s="251" t="str">
        <f t="shared" si="1"/>
        <v>30441.83_debit</v>
      </c>
      <c r="AS109" s="251" t="str">
        <f t="shared" si="2"/>
        <v>DROP</v>
      </c>
      <c r="AT109" s="247"/>
    </row>
    <row r="110">
      <c r="A110" s="255" t="s">
        <v>165</v>
      </c>
      <c r="B110" s="255" t="s">
        <v>423</v>
      </c>
      <c r="C110" s="256">
        <v>46189.42340277778</v>
      </c>
      <c r="D110" s="255" t="s">
        <v>265</v>
      </c>
      <c r="E110" s="257">
        <v>41937.75</v>
      </c>
      <c r="F110" s="255" t="s">
        <v>169</v>
      </c>
      <c r="G110" s="255" t="s">
        <v>170</v>
      </c>
      <c r="H110" s="255" t="s">
        <v>420</v>
      </c>
      <c r="I110" s="258"/>
      <c r="J110" s="258"/>
      <c r="K110" s="259"/>
      <c r="L110" s="258"/>
      <c r="M110" s="260"/>
      <c r="O110" s="247"/>
      <c r="AC110" s="247"/>
      <c r="AD110" s="251" t="str">
        <f>IFERROR(__xludf.DUMMYFUNCTION("""COMPUTED_VALUE"""),"73df5aae-f42a-49a0-9d8f-616ca6dbebaa")</f>
        <v>73df5aae-f42a-49a0-9d8f-616ca6dbebaa</v>
      </c>
      <c r="AE110" s="251" t="str">
        <f>IFERROR(__xludf.DUMMYFUNCTION("""COMPUTED_VALUE"""),"019ecfdb-4fee-7202-90c4-21fe0d88c49a")</f>
        <v>019ecfdb-4fee-7202-90c4-21fe0d88c49a</v>
      </c>
      <c r="AF110" s="252">
        <f>IFERROR(__xludf.DUMMYFUNCTION("""COMPUTED_VALUE"""),46189.41339120371)</f>
        <v>46189.41339</v>
      </c>
      <c r="AG110" s="251" t="str">
        <f>IFERROR(__xludf.DUMMYFUNCTION("""COMPUTED_VALUE"""),"debit")</f>
        <v>debit</v>
      </c>
      <c r="AH110" s="253">
        <f>IFERROR(__xludf.DUMMYFUNCTION("""COMPUTED_VALUE"""),40954.62)</f>
        <v>40954.62</v>
      </c>
      <c r="AI110" s="251" t="str">
        <f>IFERROR(__xludf.DUMMYFUNCTION("""COMPUTED_VALUE"""),"cash_isa")</f>
        <v>cash_isa</v>
      </c>
      <c r="AJ110" s="251" t="str">
        <f>IFERROR(__xludf.DUMMYFUNCTION("""COMPUTED_VALUE"""),"9bc00e6b-ce5f-48c5-ae3a-1baabe00f337")</f>
        <v>9bc00e6b-ce5f-48c5-ae3a-1baabe00f337</v>
      </c>
      <c r="AK110" s="251" t="str">
        <f>IFERROR(__xludf.DUMMYFUNCTION("""COMPUTED_VALUE"""),"af943799-ebd2-4832-a144-a32b4c3e4e52")</f>
        <v>af943799-ebd2-4832-a144-a32b4c3e4e52</v>
      </c>
      <c r="AL110" s="251"/>
      <c r="AM110" s="251"/>
      <c r="AN110" s="251"/>
      <c r="AO110" s="251"/>
      <c r="AP110" s="252"/>
      <c r="AR110" s="251" t="str">
        <f t="shared" si="1"/>
        <v>40954.62_debit</v>
      </c>
      <c r="AS110" s="251" t="str">
        <f t="shared" si="2"/>
        <v>DROP</v>
      </c>
      <c r="AT110" s="247"/>
    </row>
    <row r="111">
      <c r="A111" s="262" t="s">
        <v>165</v>
      </c>
      <c r="B111" s="262" t="s">
        <v>424</v>
      </c>
      <c r="C111" s="263">
        <v>46189.4237037037</v>
      </c>
      <c r="D111" s="262" t="s">
        <v>265</v>
      </c>
      <c r="E111" s="264">
        <v>20000.0</v>
      </c>
      <c r="F111" s="262" t="s">
        <v>169</v>
      </c>
      <c r="G111" s="262" t="s">
        <v>170</v>
      </c>
      <c r="H111" s="262" t="s">
        <v>422</v>
      </c>
      <c r="I111" s="265"/>
      <c r="J111" s="265"/>
      <c r="K111" s="266"/>
      <c r="L111" s="265"/>
      <c r="M111" s="267"/>
      <c r="O111" s="247"/>
      <c r="AC111" s="247"/>
      <c r="AD111" s="251" t="str">
        <f>IFERROR(__xludf.DUMMYFUNCTION("""COMPUTED_VALUE"""),"73df5aae-f42a-49a0-9d8f-616ca6dbebaa")</f>
        <v>73df5aae-f42a-49a0-9d8f-616ca6dbebaa</v>
      </c>
      <c r="AE111" s="251" t="str">
        <f>IFERROR(__xludf.DUMMYFUNCTION("""COMPUTED_VALUE"""),"019ecfdb-e9e9-7bf0-8995-f2d42439db77")</f>
        <v>019ecfdb-e9e9-7bf0-8995-f2d42439db77</v>
      </c>
      <c r="AF111" s="252">
        <f>IFERROR(__xludf.DUMMYFUNCTION("""COMPUTED_VALUE"""),46189.41385416666)</f>
        <v>46189.41385</v>
      </c>
      <c r="AG111" s="251" t="str">
        <f>IFERROR(__xludf.DUMMYFUNCTION("""COMPUTED_VALUE"""),"debit")</f>
        <v>debit</v>
      </c>
      <c r="AH111" s="253">
        <f>IFERROR(__xludf.DUMMYFUNCTION("""COMPUTED_VALUE"""),63064.73)</f>
        <v>63064.73</v>
      </c>
      <c r="AI111" s="251" t="str">
        <f>IFERROR(__xludf.DUMMYFUNCTION("""COMPUTED_VALUE"""),"cash_isa")</f>
        <v>cash_isa</v>
      </c>
      <c r="AJ111" s="251" t="str">
        <f>IFERROR(__xludf.DUMMYFUNCTION("""COMPUTED_VALUE"""),"9bc00e6b-ce5f-48c5-ae3a-1baabe00f337")</f>
        <v>9bc00e6b-ce5f-48c5-ae3a-1baabe00f337</v>
      </c>
      <c r="AK111" s="251" t="str">
        <f>IFERROR(__xludf.DUMMYFUNCTION("""COMPUTED_VALUE"""),"85316de7-3c6a-4eac-bfbe-698ff3ec9240")</f>
        <v>85316de7-3c6a-4eac-bfbe-698ff3ec9240</v>
      </c>
      <c r="AL111" s="251"/>
      <c r="AM111" s="251"/>
      <c r="AN111" s="251"/>
      <c r="AO111" s="251"/>
      <c r="AP111" s="252"/>
      <c r="AR111" s="251" t="str">
        <f t="shared" si="1"/>
        <v>63064.73_debit</v>
      </c>
      <c r="AS111" s="251" t="str">
        <f t="shared" si="2"/>
        <v>DROP</v>
      </c>
      <c r="AT111" s="247"/>
    </row>
    <row r="112">
      <c r="A112" s="255" t="s">
        <v>165</v>
      </c>
      <c r="B112" s="255" t="s">
        <v>425</v>
      </c>
      <c r="C112" s="256">
        <v>46189.42637731481</v>
      </c>
      <c r="D112" s="255" t="s">
        <v>167</v>
      </c>
      <c r="E112" s="257">
        <v>41920.75</v>
      </c>
      <c r="F112" s="255" t="s">
        <v>169</v>
      </c>
      <c r="G112" s="255" t="s">
        <v>170</v>
      </c>
      <c r="H112" s="255" t="s">
        <v>426</v>
      </c>
      <c r="I112" s="258"/>
      <c r="J112" s="258"/>
      <c r="K112" s="259"/>
      <c r="L112" s="258"/>
      <c r="M112" s="260"/>
      <c r="O112" s="247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  <c r="AC112" s="247"/>
      <c r="AD112" s="251" t="str">
        <f>IFERROR(__xludf.DUMMYFUNCTION("""COMPUTED_VALUE"""),"73df5aae-f42a-49a0-9d8f-616ca6dbebaa")</f>
        <v>73df5aae-f42a-49a0-9d8f-616ca6dbebaa</v>
      </c>
      <c r="AE112" s="251" t="str">
        <f>IFERROR(__xludf.DUMMYFUNCTION("""COMPUTED_VALUE"""),"019ecfdc-7fd6-75c0-aff0-2130ab5d2651")</f>
        <v>019ecfdc-7fd6-75c0-aff0-2130ab5d2651</v>
      </c>
      <c r="AF112" s="252">
        <f>IFERROR(__xludf.DUMMYFUNCTION("""COMPUTED_VALUE"""),46189.41429398148)</f>
        <v>46189.41429</v>
      </c>
      <c r="AG112" s="251" t="str">
        <f>IFERROR(__xludf.DUMMYFUNCTION("""COMPUTED_VALUE"""),"credit")</f>
        <v>credit</v>
      </c>
      <c r="AH112" s="253">
        <f>IFERROR(__xludf.DUMMYFUNCTION("""COMPUTED_VALUE"""),5426.19)</f>
        <v>5426.19</v>
      </c>
      <c r="AI112" s="251" t="str">
        <f>IFERROR(__xludf.DUMMYFUNCTION("""COMPUTED_VALUE"""),"cash_isa")</f>
        <v>cash_isa</v>
      </c>
      <c r="AJ112" s="251" t="str">
        <f>IFERROR(__xludf.DUMMYFUNCTION("""COMPUTED_VALUE"""),"9bc00e6b-ce5f-48c5-ae3a-1baabe00f337")</f>
        <v>9bc00e6b-ce5f-48c5-ae3a-1baabe00f337</v>
      </c>
      <c r="AK112" s="251" t="str">
        <f>IFERROR(__xludf.DUMMYFUNCTION("""COMPUTED_VALUE"""),"05386179-1729-4c16-b37b-597b7b1156a6")</f>
        <v>05386179-1729-4c16-b37b-597b7b1156a6</v>
      </c>
      <c r="AL112" s="251"/>
      <c r="AM112" s="251"/>
      <c r="AN112" s="251"/>
      <c r="AO112" s="251"/>
      <c r="AP112" s="252"/>
      <c r="AR112" s="251" t="str">
        <f t="shared" si="1"/>
        <v>5426.19_credit</v>
      </c>
      <c r="AS112" s="251" t="str">
        <f t="shared" si="2"/>
        <v>DROP</v>
      </c>
      <c r="AT112" s="247"/>
    </row>
    <row r="113">
      <c r="A113" s="262" t="s">
        <v>165</v>
      </c>
      <c r="B113" s="262" t="s">
        <v>427</v>
      </c>
      <c r="C113" s="263">
        <v>46189.42873842592</v>
      </c>
      <c r="D113" s="262" t="s">
        <v>265</v>
      </c>
      <c r="E113" s="264">
        <v>41920.75</v>
      </c>
      <c r="F113" s="262" t="s">
        <v>169</v>
      </c>
      <c r="G113" s="262" t="s">
        <v>170</v>
      </c>
      <c r="H113" s="262" t="s">
        <v>426</v>
      </c>
      <c r="I113" s="265"/>
      <c r="J113" s="265"/>
      <c r="K113" s="266"/>
      <c r="L113" s="265"/>
      <c r="M113" s="267"/>
      <c r="O113" s="247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7"/>
      <c r="AD113" s="251" t="str">
        <f>IFERROR(__xludf.DUMMYFUNCTION("""COMPUTED_VALUE"""),"73df5aae-f42a-49a0-9d8f-616ca6dbebaa")</f>
        <v>73df5aae-f42a-49a0-9d8f-616ca6dbebaa</v>
      </c>
      <c r="AE113" s="251" t="str">
        <f>IFERROR(__xludf.DUMMYFUNCTION("""COMPUTED_VALUE"""),"019ecfdc-f6f3-705d-9598-bdb4df32530e")</f>
        <v>019ecfdc-f6f3-705d-9598-bdb4df32530e</v>
      </c>
      <c r="AF113" s="252">
        <f>IFERROR(__xludf.DUMMYFUNCTION("""COMPUTED_VALUE"""),46189.41464120371)</f>
        <v>46189.41464</v>
      </c>
      <c r="AG113" s="251" t="str">
        <f>IFERROR(__xludf.DUMMYFUNCTION("""COMPUTED_VALUE"""),"debit")</f>
        <v>debit</v>
      </c>
      <c r="AH113" s="253">
        <f>IFERROR(__xludf.DUMMYFUNCTION("""COMPUTED_VALUE"""),2376.76)</f>
        <v>2376.76</v>
      </c>
      <c r="AI113" s="251" t="str">
        <f>IFERROR(__xludf.DUMMYFUNCTION("""COMPUTED_VALUE"""),"cash_isa")</f>
        <v>cash_isa</v>
      </c>
      <c r="AJ113" s="251" t="str">
        <f>IFERROR(__xludf.DUMMYFUNCTION("""COMPUTED_VALUE"""),"9bc00e6b-ce5f-48c5-ae3a-1baabe00f337")</f>
        <v>9bc00e6b-ce5f-48c5-ae3a-1baabe00f337</v>
      </c>
      <c r="AK113" s="251" t="str">
        <f>IFERROR(__xludf.DUMMYFUNCTION("""COMPUTED_VALUE"""),"6afccf8a-4161-47b8-b09c-170c1cb01d2f")</f>
        <v>6afccf8a-4161-47b8-b09c-170c1cb01d2f</v>
      </c>
      <c r="AL113" s="251"/>
      <c r="AM113" s="251"/>
      <c r="AN113" s="251"/>
      <c r="AO113" s="251"/>
      <c r="AP113" s="252"/>
      <c r="AR113" s="251" t="str">
        <f t="shared" si="1"/>
        <v>2376.76_debit</v>
      </c>
      <c r="AS113" s="251" t="str">
        <f t="shared" si="2"/>
        <v>DROP</v>
      </c>
      <c r="AT113" s="247"/>
    </row>
    <row r="114">
      <c r="A114" s="255" t="s">
        <v>165</v>
      </c>
      <c r="B114" s="255" t="s">
        <v>428</v>
      </c>
      <c r="C114" s="256">
        <v>46189.430138888885</v>
      </c>
      <c r="D114" s="255" t="s">
        <v>167</v>
      </c>
      <c r="E114" s="257">
        <v>12832.36</v>
      </c>
      <c r="F114" s="255" t="s">
        <v>169</v>
      </c>
      <c r="G114" s="255" t="s">
        <v>170</v>
      </c>
      <c r="H114" s="255" t="s">
        <v>429</v>
      </c>
      <c r="I114" s="258"/>
      <c r="J114" s="258"/>
      <c r="K114" s="259"/>
      <c r="L114" s="258"/>
      <c r="M114" s="260"/>
      <c r="O114" s="247"/>
      <c r="AC114" s="247"/>
      <c r="AD114" s="251" t="str">
        <f>IFERROR(__xludf.DUMMYFUNCTION("""COMPUTED_VALUE"""),"73df5aae-f42a-49a0-9d8f-616ca6dbebaa")</f>
        <v>73df5aae-f42a-49a0-9d8f-616ca6dbebaa</v>
      </c>
      <c r="AE114" s="251" t="str">
        <f>IFERROR(__xludf.DUMMYFUNCTION("""COMPUTED_VALUE"""),"019ecfe1-4bdf-74ea-aa7c-f91b938e38b5")</f>
        <v>019ecfe1-4bdf-74ea-aa7c-f91b938e38b5</v>
      </c>
      <c r="AF114" s="252">
        <f>IFERROR(__xludf.DUMMYFUNCTION("""COMPUTED_VALUE"""),46189.41792824074)</f>
        <v>46189.41793</v>
      </c>
      <c r="AG114" s="251" t="str">
        <f>IFERROR(__xludf.DUMMYFUNCTION("""COMPUTED_VALUE"""),"debit")</f>
        <v>debit</v>
      </c>
      <c r="AH114" s="253">
        <f>IFERROR(__xludf.DUMMYFUNCTION("""COMPUTED_VALUE"""),44141.82)</f>
        <v>44141.82</v>
      </c>
      <c r="AI114" s="251" t="str">
        <f>IFERROR(__xludf.DUMMYFUNCTION("""COMPUTED_VALUE"""),"cash_isa")</f>
        <v>cash_isa</v>
      </c>
      <c r="AJ114" s="251" t="str">
        <f>IFERROR(__xludf.DUMMYFUNCTION("""COMPUTED_VALUE"""),"9bc00e6b-ce5f-48c5-ae3a-1baabe00f337")</f>
        <v>9bc00e6b-ce5f-48c5-ae3a-1baabe00f337</v>
      </c>
      <c r="AK114" s="251" t="str">
        <f>IFERROR(__xludf.DUMMYFUNCTION("""COMPUTED_VALUE"""),"7b3a6887-2bc2-43a1-8a39-8f79bc8d0bb5")</f>
        <v>7b3a6887-2bc2-43a1-8a39-8f79bc8d0bb5</v>
      </c>
      <c r="AL114" s="251"/>
      <c r="AM114" s="251"/>
      <c r="AN114" s="251"/>
      <c r="AO114" s="251"/>
      <c r="AP114" s="252"/>
      <c r="AR114" s="251" t="str">
        <f t="shared" si="1"/>
        <v>44141.82_debit</v>
      </c>
      <c r="AS114" s="251" t="str">
        <f t="shared" si="2"/>
        <v>DROP</v>
      </c>
      <c r="AT114" s="247"/>
    </row>
    <row r="115">
      <c r="A115" s="262" t="s">
        <v>165</v>
      </c>
      <c r="B115" s="262" t="s">
        <v>430</v>
      </c>
      <c r="C115" s="263">
        <v>46189.43068287037</v>
      </c>
      <c r="D115" s="262" t="s">
        <v>167</v>
      </c>
      <c r="E115" s="264">
        <v>133065.71</v>
      </c>
      <c r="F115" s="262" t="s">
        <v>169</v>
      </c>
      <c r="G115" s="262" t="s">
        <v>170</v>
      </c>
      <c r="H115" s="262" t="s">
        <v>431</v>
      </c>
      <c r="I115" s="265"/>
      <c r="J115" s="265"/>
      <c r="K115" s="266"/>
      <c r="L115" s="265"/>
      <c r="M115" s="267"/>
      <c r="O115" s="247"/>
      <c r="AC115" s="247"/>
      <c r="AD115" s="251" t="str">
        <f>IFERROR(__xludf.DUMMYFUNCTION("""COMPUTED_VALUE"""),"73df5aae-f42a-49a0-9d8f-616ca6dbebaa")</f>
        <v>73df5aae-f42a-49a0-9d8f-616ca6dbebaa</v>
      </c>
      <c r="AE115" s="251" t="str">
        <f>IFERROR(__xludf.DUMMYFUNCTION("""COMPUTED_VALUE"""),"019ecfe1-b3a6-7dd5-a8bf-22d41499f54b")</f>
        <v>019ecfe1-b3a6-7dd5-a8bf-22d41499f54b</v>
      </c>
      <c r="AF115" s="252">
        <f>IFERROR(__xludf.DUMMYFUNCTION("""COMPUTED_VALUE"""),46189.41824074074)</f>
        <v>46189.41824</v>
      </c>
      <c r="AG115" s="251" t="str">
        <f>IFERROR(__xludf.DUMMYFUNCTION("""COMPUTED_VALUE"""),"debit")</f>
        <v>debit</v>
      </c>
      <c r="AH115" s="253">
        <f>IFERROR(__xludf.DUMMYFUNCTION("""COMPUTED_VALUE"""),6.98)</f>
        <v>6.98</v>
      </c>
      <c r="AI115" s="251" t="str">
        <f>IFERROR(__xludf.DUMMYFUNCTION("""COMPUTED_VALUE"""),"cash_isa")</f>
        <v>cash_isa</v>
      </c>
      <c r="AJ115" s="251" t="str">
        <f>IFERROR(__xludf.DUMMYFUNCTION("""COMPUTED_VALUE"""),"9bc00e6b-ce5f-48c5-ae3a-1baabe00f337")</f>
        <v>9bc00e6b-ce5f-48c5-ae3a-1baabe00f337</v>
      </c>
      <c r="AK115" s="251" t="str">
        <f>IFERROR(__xludf.DUMMYFUNCTION("""COMPUTED_VALUE"""),"dabd6b93-ef72-40a5-b95c-414bc162f360")</f>
        <v>dabd6b93-ef72-40a5-b95c-414bc162f360</v>
      </c>
      <c r="AL115" s="251"/>
      <c r="AM115" s="251"/>
      <c r="AN115" s="251"/>
      <c r="AO115" s="251"/>
      <c r="AP115" s="252"/>
      <c r="AR115" s="251" t="str">
        <f t="shared" si="1"/>
        <v>6.98_debit</v>
      </c>
      <c r="AS115" s="251" t="str">
        <f t="shared" si="2"/>
        <v>DROP</v>
      </c>
      <c r="AT115" s="247"/>
    </row>
    <row r="116">
      <c r="A116" s="255" t="s">
        <v>165</v>
      </c>
      <c r="B116" s="255" t="s">
        <v>432</v>
      </c>
      <c r="C116" s="256">
        <v>46189.43158564815</v>
      </c>
      <c r="D116" s="255" t="s">
        <v>265</v>
      </c>
      <c r="E116" s="257">
        <v>12832.36</v>
      </c>
      <c r="F116" s="255" t="s">
        <v>169</v>
      </c>
      <c r="G116" s="255" t="s">
        <v>170</v>
      </c>
      <c r="H116" s="255" t="s">
        <v>429</v>
      </c>
      <c r="I116" s="258"/>
      <c r="J116" s="258"/>
      <c r="K116" s="259"/>
      <c r="L116" s="258"/>
      <c r="M116" s="260"/>
      <c r="O116" s="247"/>
      <c r="AC116" s="247"/>
      <c r="AD116" s="251" t="str">
        <f>IFERROR(__xludf.DUMMYFUNCTION("""COMPUTED_VALUE"""),"73df5aae-f42a-49a0-9d8f-616ca6dbebaa")</f>
        <v>73df5aae-f42a-49a0-9d8f-616ca6dbebaa</v>
      </c>
      <c r="AE116" s="251" t="str">
        <f>IFERROR(__xludf.DUMMYFUNCTION("""COMPUTED_VALUE"""),"019ecfe1-fd3c-758e-9983-b6e2911c5dc9")</f>
        <v>019ecfe1-fd3c-758e-9983-b6e2911c5dc9</v>
      </c>
      <c r="AF116" s="252">
        <f>IFERROR(__xludf.DUMMYFUNCTION("""COMPUTED_VALUE"""),46189.41846064814)</f>
        <v>46189.41846</v>
      </c>
      <c r="AG116" s="251" t="str">
        <f>IFERROR(__xludf.DUMMYFUNCTION("""COMPUTED_VALUE"""),"credit")</f>
        <v>credit</v>
      </c>
      <c r="AH116" s="253">
        <f>IFERROR(__xludf.DUMMYFUNCTION("""COMPUTED_VALUE"""),2224.0)</f>
        <v>2224</v>
      </c>
      <c r="AI116" s="251" t="str">
        <f>IFERROR(__xludf.DUMMYFUNCTION("""COMPUTED_VALUE"""),"cash_isa")</f>
        <v>cash_isa</v>
      </c>
      <c r="AJ116" s="251" t="str">
        <f>IFERROR(__xludf.DUMMYFUNCTION("""COMPUTED_VALUE"""),"9bc00e6b-ce5f-48c5-ae3a-1baabe00f337")</f>
        <v>9bc00e6b-ce5f-48c5-ae3a-1baabe00f337</v>
      </c>
      <c r="AK116" s="251" t="str">
        <f>IFERROR(__xludf.DUMMYFUNCTION("""COMPUTED_VALUE"""),"95ad8cd2-710a-4039-9696-9cea9b8bc9f7")</f>
        <v>95ad8cd2-710a-4039-9696-9cea9b8bc9f7</v>
      </c>
      <c r="AL116" s="251"/>
      <c r="AM116" s="251"/>
      <c r="AN116" s="251"/>
      <c r="AO116" s="251"/>
      <c r="AP116" s="252"/>
      <c r="AR116" s="251" t="str">
        <f t="shared" si="1"/>
        <v>2224_credit</v>
      </c>
      <c r="AS116" s="251" t="str">
        <f t="shared" si="2"/>
        <v>DROP</v>
      </c>
      <c r="AT116" s="247"/>
    </row>
    <row r="117">
      <c r="A117" s="262" t="s">
        <v>165</v>
      </c>
      <c r="B117" s="262" t="s">
        <v>433</v>
      </c>
      <c r="C117" s="263">
        <v>46189.43212962963</v>
      </c>
      <c r="D117" s="262" t="s">
        <v>167</v>
      </c>
      <c r="E117" s="264">
        <v>10985.66</v>
      </c>
      <c r="F117" s="262" t="s">
        <v>169</v>
      </c>
      <c r="G117" s="262" t="s">
        <v>170</v>
      </c>
      <c r="H117" s="262" t="s">
        <v>434</v>
      </c>
      <c r="I117" s="265"/>
      <c r="J117" s="265"/>
      <c r="K117" s="266"/>
      <c r="L117" s="265"/>
      <c r="M117" s="267"/>
      <c r="O117" s="247"/>
      <c r="AC117" s="247"/>
      <c r="AD117" s="251" t="str">
        <f>IFERROR(__xludf.DUMMYFUNCTION("""COMPUTED_VALUE"""),"73df5aae-f42a-49a0-9d8f-616ca6dbebaa")</f>
        <v>73df5aae-f42a-49a0-9d8f-616ca6dbebaa</v>
      </c>
      <c r="AE117" s="251" t="str">
        <f>IFERROR(__xludf.DUMMYFUNCTION("""COMPUTED_VALUE"""),"019ecfe2-0ffa-74b7-b461-0a9396982981")</f>
        <v>019ecfe2-0ffa-74b7-b461-0a9396982981</v>
      </c>
      <c r="AF117" s="261">
        <f>IFERROR(__xludf.DUMMYFUNCTION("""COMPUTED_VALUE"""),46189.41850694444)</f>
        <v>46189.41851</v>
      </c>
      <c r="AG117" s="251" t="str">
        <f>IFERROR(__xludf.DUMMYFUNCTION("""COMPUTED_VALUE"""),"debit")</f>
        <v>debit</v>
      </c>
      <c r="AH117" s="253">
        <f>IFERROR(__xludf.DUMMYFUNCTION("""COMPUTED_VALUE"""),5426.19)</f>
        <v>5426.19</v>
      </c>
      <c r="AI117" s="251" t="str">
        <f>IFERROR(__xludf.DUMMYFUNCTION("""COMPUTED_VALUE"""),"cash_isa")</f>
        <v>cash_isa</v>
      </c>
      <c r="AJ117" s="251" t="str">
        <f>IFERROR(__xludf.DUMMYFUNCTION("""COMPUTED_VALUE"""),"9bc00e6b-ce5f-48c5-ae3a-1baabe00f337")</f>
        <v>9bc00e6b-ce5f-48c5-ae3a-1baabe00f337</v>
      </c>
      <c r="AK117" s="251" t="str">
        <f>IFERROR(__xludf.DUMMYFUNCTION("""COMPUTED_VALUE"""),"05386179-1729-4c16-b37b-597b7b1156a6")</f>
        <v>05386179-1729-4c16-b37b-597b7b1156a6</v>
      </c>
      <c r="AL117" s="251"/>
      <c r="AM117" s="251"/>
      <c r="AN117" s="251"/>
      <c r="AO117" s="251"/>
      <c r="AP117" s="261"/>
      <c r="AR117" s="251" t="str">
        <f t="shared" si="1"/>
        <v>5426.19_debit</v>
      </c>
      <c r="AS117" s="251" t="str">
        <f t="shared" si="2"/>
        <v>DROP</v>
      </c>
      <c r="AT117" s="247"/>
    </row>
    <row r="118">
      <c r="A118" s="255" t="s">
        <v>165</v>
      </c>
      <c r="B118" s="255" t="s">
        <v>435</v>
      </c>
      <c r="C118" s="256">
        <v>46189.43236111111</v>
      </c>
      <c r="D118" s="255" t="s">
        <v>265</v>
      </c>
      <c r="E118" s="257">
        <v>133065.71</v>
      </c>
      <c r="F118" s="255" t="s">
        <v>169</v>
      </c>
      <c r="G118" s="255" t="s">
        <v>170</v>
      </c>
      <c r="H118" s="255" t="s">
        <v>431</v>
      </c>
      <c r="I118" s="258"/>
      <c r="J118" s="258"/>
      <c r="K118" s="259"/>
      <c r="L118" s="258"/>
      <c r="M118" s="260"/>
      <c r="O118" s="247"/>
      <c r="AC118" s="247"/>
      <c r="AD118" s="251" t="str">
        <f>IFERROR(__xludf.DUMMYFUNCTION("""COMPUTED_VALUE"""),"73df5aae-f42a-49a0-9d8f-616ca6dbebaa")</f>
        <v>73df5aae-f42a-49a0-9d8f-616ca6dbebaa</v>
      </c>
      <c r="AE118" s="251" t="str">
        <f>IFERROR(__xludf.DUMMYFUNCTION("""COMPUTED_VALUE"""),"019ecfe4-b938-7a81-ac9c-400794620593")</f>
        <v>019ecfe4-b938-7a81-ac9c-400794620593</v>
      </c>
      <c r="AF118" s="261">
        <f>IFERROR(__xludf.DUMMYFUNCTION("""COMPUTED_VALUE"""),46189.42053240741)</f>
        <v>46189.42053</v>
      </c>
      <c r="AG118" s="251" t="str">
        <f>IFERROR(__xludf.DUMMYFUNCTION("""COMPUTED_VALUE"""),"debit")</f>
        <v>debit</v>
      </c>
      <c r="AH118" s="253">
        <f>IFERROR(__xludf.DUMMYFUNCTION("""COMPUTED_VALUE"""),2224.0)</f>
        <v>2224</v>
      </c>
      <c r="AI118" s="251" t="str">
        <f>IFERROR(__xludf.DUMMYFUNCTION("""COMPUTED_VALUE"""),"cash_isa")</f>
        <v>cash_isa</v>
      </c>
      <c r="AJ118" s="251" t="str">
        <f>IFERROR(__xludf.DUMMYFUNCTION("""COMPUTED_VALUE"""),"9bc00e6b-ce5f-48c5-ae3a-1baabe00f337")</f>
        <v>9bc00e6b-ce5f-48c5-ae3a-1baabe00f337</v>
      </c>
      <c r="AK118" s="251" t="str">
        <f>IFERROR(__xludf.DUMMYFUNCTION("""COMPUTED_VALUE"""),"95ad8cd2-710a-4039-9696-9cea9b8bc9f7")</f>
        <v>95ad8cd2-710a-4039-9696-9cea9b8bc9f7</v>
      </c>
      <c r="AL118" s="251"/>
      <c r="AM118" s="251"/>
      <c r="AN118" s="251"/>
      <c r="AO118" s="251"/>
      <c r="AP118" s="261"/>
      <c r="AR118" s="251" t="str">
        <f t="shared" si="1"/>
        <v>2224_debit</v>
      </c>
      <c r="AS118" s="251" t="str">
        <f t="shared" si="2"/>
        <v>DROP</v>
      </c>
      <c r="AT118" s="247"/>
    </row>
    <row r="119">
      <c r="A119" s="262" t="s">
        <v>165</v>
      </c>
      <c r="B119" s="262" t="s">
        <v>436</v>
      </c>
      <c r="C119" s="263">
        <v>46189.43262731482</v>
      </c>
      <c r="D119" s="262" t="s">
        <v>167</v>
      </c>
      <c r="E119" s="264">
        <v>20942.42</v>
      </c>
      <c r="F119" s="262" t="s">
        <v>169</v>
      </c>
      <c r="G119" s="262" t="s">
        <v>170</v>
      </c>
      <c r="H119" s="262" t="s">
        <v>437</v>
      </c>
      <c r="I119" s="265"/>
      <c r="J119" s="265"/>
      <c r="K119" s="266"/>
      <c r="L119" s="265"/>
      <c r="M119" s="267"/>
      <c r="O119" s="247"/>
      <c r="AC119" s="247"/>
      <c r="AD119" s="251" t="str">
        <f>IFERROR(__xludf.DUMMYFUNCTION("""COMPUTED_VALUE"""),"73df5aae-f42a-49a0-9d8f-616ca6dbebaa")</f>
        <v>73df5aae-f42a-49a0-9d8f-616ca6dbebaa</v>
      </c>
      <c r="AE119" s="251" t="str">
        <f>IFERROR(__xludf.DUMMYFUNCTION("""COMPUTED_VALUE"""),"019ecfe6-5a92-78ac-a9f8-11fb51c7d0f7")</f>
        <v>019ecfe6-5a92-78ac-a9f8-11fb51c7d0f7</v>
      </c>
      <c r="AF119" s="261">
        <f>IFERROR(__xludf.DUMMYFUNCTION("""COMPUTED_VALUE"""),46189.42177083333)</f>
        <v>46189.42177</v>
      </c>
      <c r="AG119" s="251" t="str">
        <f>IFERROR(__xludf.DUMMYFUNCTION("""COMPUTED_VALUE"""),"credit")</f>
        <v>credit</v>
      </c>
      <c r="AH119" s="253">
        <f>IFERROR(__xludf.DUMMYFUNCTION("""COMPUTED_VALUE"""),41937.75)</f>
        <v>41937.75</v>
      </c>
      <c r="AI119" s="251" t="str">
        <f>IFERROR(__xludf.DUMMYFUNCTION("""COMPUTED_VALUE"""),"cash_isa")</f>
        <v>cash_isa</v>
      </c>
      <c r="AJ119" s="251" t="str">
        <f>IFERROR(__xludf.DUMMYFUNCTION("""COMPUTED_VALUE"""),"9bc00e6b-ce5f-48c5-ae3a-1baabe00f337")</f>
        <v>9bc00e6b-ce5f-48c5-ae3a-1baabe00f337</v>
      </c>
      <c r="AK119" s="251" t="str">
        <f>IFERROR(__xludf.DUMMYFUNCTION("""COMPUTED_VALUE"""),"c3534356-94a7-4f98-9418-aecb2ac19d2a")</f>
        <v>c3534356-94a7-4f98-9418-aecb2ac19d2a</v>
      </c>
      <c r="AL119" s="251"/>
      <c r="AM119" s="251"/>
      <c r="AN119" s="251"/>
      <c r="AO119" s="251"/>
      <c r="AP119" s="261"/>
      <c r="AR119" s="251" t="str">
        <f t="shared" si="1"/>
        <v>41937.75_credit</v>
      </c>
      <c r="AS119" s="251" t="str">
        <f t="shared" si="2"/>
        <v>DROP</v>
      </c>
      <c r="AT119" s="247"/>
    </row>
    <row r="120">
      <c r="A120" s="255" t="s">
        <v>165</v>
      </c>
      <c r="B120" s="255" t="s">
        <v>438</v>
      </c>
      <c r="C120" s="256">
        <v>46189.4346875</v>
      </c>
      <c r="D120" s="255" t="s">
        <v>265</v>
      </c>
      <c r="E120" s="257">
        <v>10985.66</v>
      </c>
      <c r="F120" s="255" t="s">
        <v>169</v>
      </c>
      <c r="G120" s="255" t="s">
        <v>170</v>
      </c>
      <c r="H120" s="255" t="s">
        <v>434</v>
      </c>
      <c r="I120" s="258"/>
      <c r="J120" s="258"/>
      <c r="K120" s="259"/>
      <c r="L120" s="258"/>
      <c r="M120" s="260"/>
      <c r="O120" s="247"/>
      <c r="AC120" s="247"/>
      <c r="AD120" s="251" t="str">
        <f>IFERROR(__xludf.DUMMYFUNCTION("""COMPUTED_VALUE"""),"73df5aae-f42a-49a0-9d8f-616ca6dbebaa")</f>
        <v>73df5aae-f42a-49a0-9d8f-616ca6dbebaa</v>
      </c>
      <c r="AE120" s="251" t="str">
        <f>IFERROR(__xludf.DUMMYFUNCTION("""COMPUTED_VALUE"""),"019ecfe7-47ed-7e53-a1e0-3d91e8fd6735")</f>
        <v>019ecfe7-47ed-7e53-a1e0-3d91e8fd6735</v>
      </c>
      <c r="AF120" s="261">
        <f>IFERROR(__xludf.DUMMYFUNCTION("""COMPUTED_VALUE"""),46189.42246527778)</f>
        <v>46189.42247</v>
      </c>
      <c r="AG120" s="251" t="str">
        <f>IFERROR(__xludf.DUMMYFUNCTION("""COMPUTED_VALUE"""),"credit")</f>
        <v>credit</v>
      </c>
      <c r="AH120" s="253">
        <f>IFERROR(__xludf.DUMMYFUNCTION("""COMPUTED_VALUE"""),20000.0)</f>
        <v>20000</v>
      </c>
      <c r="AI120" s="251" t="str">
        <f>IFERROR(__xludf.DUMMYFUNCTION("""COMPUTED_VALUE"""),"cash_isa")</f>
        <v>cash_isa</v>
      </c>
      <c r="AJ120" s="251" t="str">
        <f>IFERROR(__xludf.DUMMYFUNCTION("""COMPUTED_VALUE"""),"9bc00e6b-ce5f-48c5-ae3a-1baabe00f337")</f>
        <v>9bc00e6b-ce5f-48c5-ae3a-1baabe00f337</v>
      </c>
      <c r="AK120" s="251" t="str">
        <f>IFERROR(__xludf.DUMMYFUNCTION("""COMPUTED_VALUE"""),"d4671432-c6d2-4fc3-8839-3461ae7b1760")</f>
        <v>d4671432-c6d2-4fc3-8839-3461ae7b1760</v>
      </c>
      <c r="AL120" s="251"/>
      <c r="AM120" s="251"/>
      <c r="AN120" s="251"/>
      <c r="AO120" s="251"/>
      <c r="AP120" s="261"/>
      <c r="AR120" s="251" t="str">
        <f t="shared" si="1"/>
        <v>20000_credit</v>
      </c>
      <c r="AS120" s="251" t="str">
        <f t="shared" si="2"/>
        <v>DROP</v>
      </c>
      <c r="AT120" s="247"/>
    </row>
    <row r="121">
      <c r="A121" s="262" t="s">
        <v>165</v>
      </c>
      <c r="B121" s="262" t="s">
        <v>439</v>
      </c>
      <c r="C121" s="263">
        <v>46189.434699074074</v>
      </c>
      <c r="D121" s="262" t="s">
        <v>265</v>
      </c>
      <c r="E121" s="264">
        <v>20942.42</v>
      </c>
      <c r="F121" s="262" t="s">
        <v>169</v>
      </c>
      <c r="G121" s="262" t="s">
        <v>170</v>
      </c>
      <c r="H121" s="262" t="s">
        <v>437</v>
      </c>
      <c r="I121" s="265"/>
      <c r="J121" s="265"/>
      <c r="K121" s="266"/>
      <c r="L121" s="265"/>
      <c r="M121" s="267"/>
      <c r="O121" s="247"/>
      <c r="AC121" s="247"/>
      <c r="AD121" s="251" t="str">
        <f>IFERROR(__xludf.DUMMYFUNCTION("""COMPUTED_VALUE"""),"73df5aae-f42a-49a0-9d8f-616ca6dbebaa")</f>
        <v>73df5aae-f42a-49a0-9d8f-616ca6dbebaa</v>
      </c>
      <c r="AE121" s="251" t="str">
        <f>IFERROR(__xludf.DUMMYFUNCTION("""COMPUTED_VALUE"""),"019ecfe8-83a4-7c6c-b3b1-b4e874529a29")</f>
        <v>019ecfe8-83a4-7c6c-b3b1-b4e874529a29</v>
      </c>
      <c r="AF121" s="261">
        <f>IFERROR(__xludf.DUMMYFUNCTION("""COMPUTED_VALUE"""),46189.42340277778)</f>
        <v>46189.4234</v>
      </c>
      <c r="AG121" s="251" t="str">
        <f>IFERROR(__xludf.DUMMYFUNCTION("""COMPUTED_VALUE"""),"debit")</f>
        <v>debit</v>
      </c>
      <c r="AH121" s="253">
        <f>IFERROR(__xludf.DUMMYFUNCTION("""COMPUTED_VALUE"""),41937.75)</f>
        <v>41937.75</v>
      </c>
      <c r="AI121" s="251" t="str">
        <f>IFERROR(__xludf.DUMMYFUNCTION("""COMPUTED_VALUE"""),"cash_isa")</f>
        <v>cash_isa</v>
      </c>
      <c r="AJ121" s="251" t="str">
        <f>IFERROR(__xludf.DUMMYFUNCTION("""COMPUTED_VALUE"""),"9bc00e6b-ce5f-48c5-ae3a-1baabe00f337")</f>
        <v>9bc00e6b-ce5f-48c5-ae3a-1baabe00f337</v>
      </c>
      <c r="AK121" s="251" t="str">
        <f>IFERROR(__xludf.DUMMYFUNCTION("""COMPUTED_VALUE"""),"c3534356-94a7-4f98-9418-aecb2ac19d2a")</f>
        <v>c3534356-94a7-4f98-9418-aecb2ac19d2a</v>
      </c>
      <c r="AL121" s="251"/>
      <c r="AM121" s="251"/>
      <c r="AN121" s="251"/>
      <c r="AO121" s="251"/>
      <c r="AP121" s="261"/>
      <c r="AR121" s="251" t="str">
        <f t="shared" si="1"/>
        <v>41937.75_debit</v>
      </c>
      <c r="AS121" s="251" t="str">
        <f t="shared" si="2"/>
        <v>DROP</v>
      </c>
      <c r="AT121" s="247"/>
    </row>
    <row r="122">
      <c r="A122" s="255" t="s">
        <v>165</v>
      </c>
      <c r="B122" s="255" t="s">
        <v>440</v>
      </c>
      <c r="C122" s="256">
        <v>46189.4359375</v>
      </c>
      <c r="D122" s="255" t="s">
        <v>167</v>
      </c>
      <c r="E122" s="257">
        <v>6186.34</v>
      </c>
      <c r="F122" s="255" t="s">
        <v>169</v>
      </c>
      <c r="G122" s="255" t="s">
        <v>170</v>
      </c>
      <c r="H122" s="255" t="s">
        <v>441</v>
      </c>
      <c r="I122" s="258"/>
      <c r="J122" s="258"/>
      <c r="K122" s="259"/>
      <c r="L122" s="258"/>
      <c r="M122" s="260"/>
      <c r="O122" s="247"/>
      <c r="AC122" s="247"/>
      <c r="AD122" s="251" t="str">
        <f>IFERROR(__xludf.DUMMYFUNCTION("""COMPUTED_VALUE"""),"73df5aae-f42a-49a0-9d8f-616ca6dbebaa")</f>
        <v>73df5aae-f42a-49a0-9d8f-616ca6dbebaa</v>
      </c>
      <c r="AE122" s="251" t="str">
        <f>IFERROR(__xludf.DUMMYFUNCTION("""COMPUTED_VALUE"""),"019ecfe8-e90c-73bf-85aa-7bdd7a0ff9ff")</f>
        <v>019ecfe8-e90c-73bf-85aa-7bdd7a0ff9ff</v>
      </c>
      <c r="AF122" s="261">
        <f>IFERROR(__xludf.DUMMYFUNCTION("""COMPUTED_VALUE"""),46189.4237037037)</f>
        <v>46189.4237</v>
      </c>
      <c r="AG122" s="251" t="str">
        <f>IFERROR(__xludf.DUMMYFUNCTION("""COMPUTED_VALUE"""),"debit")</f>
        <v>debit</v>
      </c>
      <c r="AH122" s="253">
        <f>IFERROR(__xludf.DUMMYFUNCTION("""COMPUTED_VALUE"""),20000.0)</f>
        <v>20000</v>
      </c>
      <c r="AI122" s="251" t="str">
        <f>IFERROR(__xludf.DUMMYFUNCTION("""COMPUTED_VALUE"""),"cash_isa")</f>
        <v>cash_isa</v>
      </c>
      <c r="AJ122" s="251" t="str">
        <f>IFERROR(__xludf.DUMMYFUNCTION("""COMPUTED_VALUE"""),"9bc00e6b-ce5f-48c5-ae3a-1baabe00f337")</f>
        <v>9bc00e6b-ce5f-48c5-ae3a-1baabe00f337</v>
      </c>
      <c r="AK122" s="251" t="str">
        <f>IFERROR(__xludf.DUMMYFUNCTION("""COMPUTED_VALUE"""),"d4671432-c6d2-4fc3-8839-3461ae7b1760")</f>
        <v>d4671432-c6d2-4fc3-8839-3461ae7b1760</v>
      </c>
      <c r="AL122" s="251"/>
      <c r="AM122" s="251"/>
      <c r="AN122" s="251"/>
      <c r="AO122" s="251"/>
      <c r="AP122" s="261"/>
      <c r="AR122" s="251" t="str">
        <f t="shared" si="1"/>
        <v>20000_debit</v>
      </c>
      <c r="AS122" s="251" t="str">
        <f t="shared" si="2"/>
        <v>DROP</v>
      </c>
      <c r="AT122" s="247"/>
    </row>
    <row r="123">
      <c r="A123" s="262" t="s">
        <v>165</v>
      </c>
      <c r="B123" s="262" t="s">
        <v>442</v>
      </c>
      <c r="C123" s="263">
        <v>46189.43738425926</v>
      </c>
      <c r="D123" s="262" t="s">
        <v>265</v>
      </c>
      <c r="E123" s="264">
        <v>6186.34</v>
      </c>
      <c r="F123" s="262" t="s">
        <v>169</v>
      </c>
      <c r="G123" s="262" t="s">
        <v>170</v>
      </c>
      <c r="H123" s="262" t="s">
        <v>441</v>
      </c>
      <c r="I123" s="265"/>
      <c r="J123" s="265"/>
      <c r="K123" s="266"/>
      <c r="L123" s="265"/>
      <c r="M123" s="267"/>
      <c r="O123" s="247"/>
      <c r="AC123" s="247"/>
      <c r="AD123" s="251" t="str">
        <f>IFERROR(__xludf.DUMMYFUNCTION("""COMPUTED_VALUE"""),"73df5aae-f42a-49a0-9d8f-616ca6dbebaa")</f>
        <v>73df5aae-f42a-49a0-9d8f-616ca6dbebaa</v>
      </c>
      <c r="AE123" s="251" t="str">
        <f>IFERROR(__xludf.DUMMYFUNCTION("""COMPUTED_VALUE"""),"019ecfec-6d66-76e7-8c55-b29676b29a6b")</f>
        <v>019ecfec-6d66-76e7-8c55-b29676b29a6b</v>
      </c>
      <c r="AF123" s="261">
        <f>IFERROR(__xludf.DUMMYFUNCTION("""COMPUTED_VALUE"""),46189.42637731481)</f>
        <v>46189.42638</v>
      </c>
      <c r="AG123" s="251" t="str">
        <f>IFERROR(__xludf.DUMMYFUNCTION("""COMPUTED_VALUE"""),"credit")</f>
        <v>credit</v>
      </c>
      <c r="AH123" s="253">
        <f>IFERROR(__xludf.DUMMYFUNCTION("""COMPUTED_VALUE"""),41920.75)</f>
        <v>41920.75</v>
      </c>
      <c r="AI123" s="251" t="str">
        <f>IFERROR(__xludf.DUMMYFUNCTION("""COMPUTED_VALUE"""),"cash_isa")</f>
        <v>cash_isa</v>
      </c>
      <c r="AJ123" s="251" t="str">
        <f>IFERROR(__xludf.DUMMYFUNCTION("""COMPUTED_VALUE"""),"9bc00e6b-ce5f-48c5-ae3a-1baabe00f337")</f>
        <v>9bc00e6b-ce5f-48c5-ae3a-1baabe00f337</v>
      </c>
      <c r="AK123" s="251" t="str">
        <f>IFERROR(__xludf.DUMMYFUNCTION("""COMPUTED_VALUE"""),"c9359381-7d45-4095-8b40-992e44e6b975")</f>
        <v>c9359381-7d45-4095-8b40-992e44e6b975</v>
      </c>
      <c r="AL123" s="251"/>
      <c r="AM123" s="251"/>
      <c r="AN123" s="251"/>
      <c r="AO123" s="251"/>
      <c r="AP123" s="261"/>
      <c r="AR123" s="251" t="str">
        <f t="shared" si="1"/>
        <v>41920.75_credit</v>
      </c>
      <c r="AS123" s="251" t="str">
        <f t="shared" si="2"/>
        <v>DROP</v>
      </c>
      <c r="AT123" s="247"/>
    </row>
    <row r="124">
      <c r="A124" s="255" t="s">
        <v>165</v>
      </c>
      <c r="B124" s="255" t="s">
        <v>443</v>
      </c>
      <c r="C124" s="256">
        <v>46189.43951388889</v>
      </c>
      <c r="D124" s="255" t="s">
        <v>167</v>
      </c>
      <c r="E124" s="257">
        <v>1000.0</v>
      </c>
      <c r="F124" s="255" t="s">
        <v>169</v>
      </c>
      <c r="G124" s="255" t="s">
        <v>170</v>
      </c>
      <c r="H124" s="255" t="s">
        <v>444</v>
      </c>
      <c r="I124" s="258"/>
      <c r="J124" s="258"/>
      <c r="K124" s="259"/>
      <c r="L124" s="258"/>
      <c r="M124" s="260"/>
      <c r="O124" s="247"/>
      <c r="AC124" s="247"/>
      <c r="AD124" s="251" t="str">
        <f>IFERROR(__xludf.DUMMYFUNCTION("""COMPUTED_VALUE"""),"73df5aae-f42a-49a0-9d8f-616ca6dbebaa")</f>
        <v>73df5aae-f42a-49a0-9d8f-616ca6dbebaa</v>
      </c>
      <c r="AE124" s="251" t="str">
        <f>IFERROR(__xludf.DUMMYFUNCTION("""COMPUTED_VALUE"""),"019ecfef-8a39-78c5-9592-1e472ef26b5b")</f>
        <v>019ecfef-8a39-78c5-9592-1e472ef26b5b</v>
      </c>
      <c r="AF124" s="261">
        <f>IFERROR(__xludf.DUMMYFUNCTION("""COMPUTED_VALUE"""),46189.42873842592)</f>
        <v>46189.42874</v>
      </c>
      <c r="AG124" s="251" t="str">
        <f>IFERROR(__xludf.DUMMYFUNCTION("""COMPUTED_VALUE"""),"debit")</f>
        <v>debit</v>
      </c>
      <c r="AH124" s="253">
        <f>IFERROR(__xludf.DUMMYFUNCTION("""COMPUTED_VALUE"""),41920.75)</f>
        <v>41920.75</v>
      </c>
      <c r="AI124" s="251" t="str">
        <f>IFERROR(__xludf.DUMMYFUNCTION("""COMPUTED_VALUE"""),"cash_isa")</f>
        <v>cash_isa</v>
      </c>
      <c r="AJ124" s="251" t="str">
        <f>IFERROR(__xludf.DUMMYFUNCTION("""COMPUTED_VALUE"""),"9bc00e6b-ce5f-48c5-ae3a-1baabe00f337")</f>
        <v>9bc00e6b-ce5f-48c5-ae3a-1baabe00f337</v>
      </c>
      <c r="AK124" s="251" t="str">
        <f>IFERROR(__xludf.DUMMYFUNCTION("""COMPUTED_VALUE"""),"c9359381-7d45-4095-8b40-992e44e6b975")</f>
        <v>c9359381-7d45-4095-8b40-992e44e6b975</v>
      </c>
      <c r="AL124" s="251"/>
      <c r="AM124" s="251"/>
      <c r="AN124" s="251"/>
      <c r="AO124" s="251"/>
      <c r="AP124" s="261"/>
      <c r="AR124" s="251" t="str">
        <f t="shared" si="1"/>
        <v>41920.75_debit</v>
      </c>
      <c r="AS124" s="251" t="str">
        <f t="shared" si="2"/>
        <v>DROP</v>
      </c>
      <c r="AT124" s="247"/>
    </row>
    <row r="125">
      <c r="A125" s="262" t="s">
        <v>165</v>
      </c>
      <c r="B125" s="262" t="s">
        <v>445</v>
      </c>
      <c r="C125" s="263">
        <v>46189.43984953704</v>
      </c>
      <c r="D125" s="262" t="s">
        <v>167</v>
      </c>
      <c r="E125" s="264">
        <v>5203.61</v>
      </c>
      <c r="F125" s="262" t="s">
        <v>169</v>
      </c>
      <c r="G125" s="262" t="s">
        <v>170</v>
      </c>
      <c r="H125" s="262" t="s">
        <v>446</v>
      </c>
      <c r="I125" s="265"/>
      <c r="J125" s="265"/>
      <c r="K125" s="266"/>
      <c r="L125" s="265"/>
      <c r="M125" s="267"/>
      <c r="O125" s="247"/>
      <c r="AC125" s="247"/>
      <c r="AD125" s="251" t="str">
        <f>IFERROR(__xludf.DUMMYFUNCTION("""COMPUTED_VALUE"""),"73df5aae-f42a-49a0-9d8f-616ca6dbebaa")</f>
        <v>73df5aae-f42a-49a0-9d8f-616ca6dbebaa</v>
      </c>
      <c r="AE125" s="251" t="str">
        <f>IFERROR(__xludf.DUMMYFUNCTION("""COMPUTED_VALUE"""),"019ecff1-639a-7cd4-85fc-17fb64912826")</f>
        <v>019ecff1-639a-7cd4-85fc-17fb64912826</v>
      </c>
      <c r="AF125" s="261">
        <f>IFERROR(__xludf.DUMMYFUNCTION("""COMPUTED_VALUE"""),46189.430138888885)</f>
        <v>46189.43014</v>
      </c>
      <c r="AG125" s="251" t="str">
        <f>IFERROR(__xludf.DUMMYFUNCTION("""COMPUTED_VALUE"""),"credit")</f>
        <v>credit</v>
      </c>
      <c r="AH125" s="253">
        <f>IFERROR(__xludf.DUMMYFUNCTION("""COMPUTED_VALUE"""),12832.36)</f>
        <v>12832.36</v>
      </c>
      <c r="AI125" s="251" t="str">
        <f>IFERROR(__xludf.DUMMYFUNCTION("""COMPUTED_VALUE"""),"cash_isa")</f>
        <v>cash_isa</v>
      </c>
      <c r="AJ125" s="251" t="str">
        <f>IFERROR(__xludf.DUMMYFUNCTION("""COMPUTED_VALUE"""),"9bc00e6b-ce5f-48c5-ae3a-1baabe00f337")</f>
        <v>9bc00e6b-ce5f-48c5-ae3a-1baabe00f337</v>
      </c>
      <c r="AK125" s="251" t="str">
        <f>IFERROR(__xludf.DUMMYFUNCTION("""COMPUTED_VALUE"""),"f13d5a05-7b74-4c2a-8510-e5e0bb8a659a")</f>
        <v>f13d5a05-7b74-4c2a-8510-e5e0bb8a659a</v>
      </c>
      <c r="AL125" s="251"/>
      <c r="AM125" s="251"/>
      <c r="AN125" s="251"/>
      <c r="AO125" s="251"/>
      <c r="AP125" s="261"/>
      <c r="AR125" s="251" t="str">
        <f t="shared" si="1"/>
        <v>12832.36_credit</v>
      </c>
      <c r="AS125" s="251" t="str">
        <f t="shared" si="2"/>
        <v>DROP</v>
      </c>
      <c r="AT125" s="247"/>
    </row>
    <row r="126">
      <c r="A126" s="255" t="s">
        <v>165</v>
      </c>
      <c r="B126" s="255" t="s">
        <v>447</v>
      </c>
      <c r="C126" s="256">
        <v>46189.44158564815</v>
      </c>
      <c r="D126" s="255" t="s">
        <v>265</v>
      </c>
      <c r="E126" s="257">
        <v>5203.61</v>
      </c>
      <c r="F126" s="255" t="s">
        <v>169</v>
      </c>
      <c r="G126" s="255" t="s">
        <v>170</v>
      </c>
      <c r="H126" s="255" t="s">
        <v>446</v>
      </c>
      <c r="I126" s="258"/>
      <c r="J126" s="258"/>
      <c r="K126" s="259"/>
      <c r="L126" s="258"/>
      <c r="M126" s="260"/>
      <c r="O126" s="247"/>
      <c r="AC126" s="247"/>
      <c r="AD126" s="251" t="str">
        <f>IFERROR(__xludf.DUMMYFUNCTION("""COMPUTED_VALUE"""),"73df5aae-f42a-49a0-9d8f-616ca6dbebaa")</f>
        <v>73df5aae-f42a-49a0-9d8f-616ca6dbebaa</v>
      </c>
      <c r="AE126" s="251" t="str">
        <f>IFERROR(__xludf.DUMMYFUNCTION("""COMPUTED_VALUE"""),"019ecff2-1aa5-72b3-ac9e-47746a478142")</f>
        <v>019ecff2-1aa5-72b3-ac9e-47746a478142</v>
      </c>
      <c r="AF126" s="261">
        <f>IFERROR(__xludf.DUMMYFUNCTION("""COMPUTED_VALUE"""),46189.43068287037)</f>
        <v>46189.43068</v>
      </c>
      <c r="AG126" s="251" t="str">
        <f>IFERROR(__xludf.DUMMYFUNCTION("""COMPUTED_VALUE"""),"credit")</f>
        <v>credit</v>
      </c>
      <c r="AH126" s="253">
        <f>IFERROR(__xludf.DUMMYFUNCTION("""COMPUTED_VALUE"""),133065.71)</f>
        <v>133065.71</v>
      </c>
      <c r="AI126" s="251" t="str">
        <f>IFERROR(__xludf.DUMMYFUNCTION("""COMPUTED_VALUE"""),"cash_isa")</f>
        <v>cash_isa</v>
      </c>
      <c r="AJ126" s="251" t="str">
        <f>IFERROR(__xludf.DUMMYFUNCTION("""COMPUTED_VALUE"""),"9bc00e6b-ce5f-48c5-ae3a-1baabe00f337")</f>
        <v>9bc00e6b-ce5f-48c5-ae3a-1baabe00f337</v>
      </c>
      <c r="AK126" s="251" t="str">
        <f>IFERROR(__xludf.DUMMYFUNCTION("""COMPUTED_VALUE"""),"74ca6fef-ecdf-46c2-bccd-48b9c63dde40")</f>
        <v>74ca6fef-ecdf-46c2-bccd-48b9c63dde40</v>
      </c>
      <c r="AL126" s="251"/>
      <c r="AM126" s="251"/>
      <c r="AN126" s="251"/>
      <c r="AO126" s="251"/>
      <c r="AP126" s="261"/>
      <c r="AR126" s="251" t="str">
        <f t="shared" si="1"/>
        <v>133065.71_credit</v>
      </c>
      <c r="AS126" s="251" t="str">
        <f t="shared" si="2"/>
        <v>DROP</v>
      </c>
      <c r="AT126" s="247"/>
    </row>
    <row r="127">
      <c r="A127" s="262" t="s">
        <v>165</v>
      </c>
      <c r="B127" s="262" t="s">
        <v>448</v>
      </c>
      <c r="C127" s="263">
        <v>46189.44162037037</v>
      </c>
      <c r="D127" s="262" t="s">
        <v>265</v>
      </c>
      <c r="E127" s="264">
        <v>1000.0</v>
      </c>
      <c r="F127" s="262" t="s">
        <v>169</v>
      </c>
      <c r="G127" s="262" t="s">
        <v>170</v>
      </c>
      <c r="H127" s="262" t="s">
        <v>444</v>
      </c>
      <c r="I127" s="265"/>
      <c r="J127" s="265"/>
      <c r="K127" s="266"/>
      <c r="L127" s="265"/>
      <c r="M127" s="267"/>
      <c r="O127" s="247"/>
      <c r="AC127" s="247"/>
      <c r="AD127" s="251" t="str">
        <f>IFERROR(__xludf.DUMMYFUNCTION("""COMPUTED_VALUE"""),"73df5aae-f42a-49a0-9d8f-616ca6dbebaa")</f>
        <v>73df5aae-f42a-49a0-9d8f-616ca6dbebaa</v>
      </c>
      <c r="AE127" s="251" t="str">
        <f>IFERROR(__xludf.DUMMYFUNCTION("""COMPUTED_VALUE"""),"019ecff3-4abb-70bf-b8bd-2910d17704d9")</f>
        <v>019ecff3-4abb-70bf-b8bd-2910d17704d9</v>
      </c>
      <c r="AF127" s="261">
        <f>IFERROR(__xludf.DUMMYFUNCTION("""COMPUTED_VALUE"""),46189.43158564815)</f>
        <v>46189.43159</v>
      </c>
      <c r="AG127" s="251" t="str">
        <f>IFERROR(__xludf.DUMMYFUNCTION("""COMPUTED_VALUE"""),"debit")</f>
        <v>debit</v>
      </c>
      <c r="AH127" s="253">
        <f>IFERROR(__xludf.DUMMYFUNCTION("""COMPUTED_VALUE"""),12832.36)</f>
        <v>12832.36</v>
      </c>
      <c r="AI127" s="251" t="str">
        <f>IFERROR(__xludf.DUMMYFUNCTION("""COMPUTED_VALUE"""),"cash_isa")</f>
        <v>cash_isa</v>
      </c>
      <c r="AJ127" s="251" t="str">
        <f>IFERROR(__xludf.DUMMYFUNCTION("""COMPUTED_VALUE"""),"9bc00e6b-ce5f-48c5-ae3a-1baabe00f337")</f>
        <v>9bc00e6b-ce5f-48c5-ae3a-1baabe00f337</v>
      </c>
      <c r="AK127" s="251" t="str">
        <f>IFERROR(__xludf.DUMMYFUNCTION("""COMPUTED_VALUE"""),"f13d5a05-7b74-4c2a-8510-e5e0bb8a659a")</f>
        <v>f13d5a05-7b74-4c2a-8510-e5e0bb8a659a</v>
      </c>
      <c r="AL127" s="251"/>
      <c r="AM127" s="251"/>
      <c r="AN127" s="251"/>
      <c r="AO127" s="251"/>
      <c r="AP127" s="261"/>
      <c r="AR127" s="251" t="str">
        <f t="shared" si="1"/>
        <v>12832.36_debit</v>
      </c>
      <c r="AS127" s="251" t="str">
        <f t="shared" si="2"/>
        <v>DROP</v>
      </c>
      <c r="AT127" s="247"/>
    </row>
    <row r="128">
      <c r="A128" s="255" t="s">
        <v>165</v>
      </c>
      <c r="B128" s="255" t="s">
        <v>449</v>
      </c>
      <c r="C128" s="256">
        <v>46189.441979166666</v>
      </c>
      <c r="D128" s="255" t="s">
        <v>167</v>
      </c>
      <c r="E128" s="257">
        <v>75890.47</v>
      </c>
      <c r="F128" s="255" t="s">
        <v>169</v>
      </c>
      <c r="G128" s="255" t="s">
        <v>170</v>
      </c>
      <c r="H128" s="255" t="s">
        <v>450</v>
      </c>
      <c r="I128" s="258"/>
      <c r="J128" s="258"/>
      <c r="K128" s="259"/>
      <c r="L128" s="258"/>
      <c r="M128" s="260"/>
      <c r="O128" s="247"/>
      <c r="AC128" s="247"/>
      <c r="AD128" s="251" t="str">
        <f>IFERROR(__xludf.DUMMYFUNCTION("""COMPUTED_VALUE"""),"73df5aae-f42a-49a0-9d8f-616ca6dbebaa")</f>
        <v>73df5aae-f42a-49a0-9d8f-616ca6dbebaa</v>
      </c>
      <c r="AE128" s="251" t="str">
        <f>IFERROR(__xludf.DUMMYFUNCTION("""COMPUTED_VALUE"""),"019ecff4-03cb-70eb-92f7-4864b4e3ea47")</f>
        <v>019ecff4-03cb-70eb-92f7-4864b4e3ea47</v>
      </c>
      <c r="AF128" s="261">
        <f>IFERROR(__xludf.DUMMYFUNCTION("""COMPUTED_VALUE"""),46189.432129629626)</f>
        <v>46189.43213</v>
      </c>
      <c r="AG128" s="251" t="str">
        <f>IFERROR(__xludf.DUMMYFUNCTION("""COMPUTED_VALUE"""),"credit")</f>
        <v>credit</v>
      </c>
      <c r="AH128" s="253">
        <f>IFERROR(__xludf.DUMMYFUNCTION("""COMPUTED_VALUE"""),10985.66)</f>
        <v>10985.66</v>
      </c>
      <c r="AI128" s="251" t="str">
        <f>IFERROR(__xludf.DUMMYFUNCTION("""COMPUTED_VALUE"""),"cash_isa")</f>
        <v>cash_isa</v>
      </c>
      <c r="AJ128" s="251" t="str">
        <f>IFERROR(__xludf.DUMMYFUNCTION("""COMPUTED_VALUE"""),"9bc00e6b-ce5f-48c5-ae3a-1baabe00f337")</f>
        <v>9bc00e6b-ce5f-48c5-ae3a-1baabe00f337</v>
      </c>
      <c r="AK128" s="251" t="str">
        <f>IFERROR(__xludf.DUMMYFUNCTION("""COMPUTED_VALUE"""),"08f64c16-842a-4dd6-8b07-320a4ce99b2f")</f>
        <v>08f64c16-842a-4dd6-8b07-320a4ce99b2f</v>
      </c>
      <c r="AL128" s="251"/>
      <c r="AM128" s="251"/>
      <c r="AN128" s="251"/>
      <c r="AO128" s="251"/>
      <c r="AP128" s="261"/>
      <c r="AR128" s="251" t="str">
        <f t="shared" si="1"/>
        <v>10985.66_credit</v>
      </c>
      <c r="AS128" s="251" t="str">
        <f t="shared" si="2"/>
        <v>DROP</v>
      </c>
      <c r="AT128" s="247"/>
    </row>
    <row r="129">
      <c r="A129" s="262" t="s">
        <v>165</v>
      </c>
      <c r="B129" s="262" t="s">
        <v>451</v>
      </c>
      <c r="C129" s="263">
        <v>46189.44287037037</v>
      </c>
      <c r="D129" s="262" t="s">
        <v>167</v>
      </c>
      <c r="E129" s="264">
        <v>20798.28</v>
      </c>
      <c r="F129" s="262" t="s">
        <v>213</v>
      </c>
      <c r="G129" s="262" t="s">
        <v>214</v>
      </c>
      <c r="H129" s="262" t="s">
        <v>452</v>
      </c>
      <c r="I129" s="265"/>
      <c r="J129" s="265"/>
      <c r="K129" s="266"/>
      <c r="L129" s="265"/>
      <c r="M129" s="267"/>
      <c r="O129" s="247"/>
      <c r="AC129" s="247"/>
      <c r="AD129" s="251" t="str">
        <f>IFERROR(__xludf.DUMMYFUNCTION("""COMPUTED_VALUE"""),"73df5aae-f42a-49a0-9d8f-616ca6dbebaa")</f>
        <v>73df5aae-f42a-49a0-9d8f-616ca6dbebaa</v>
      </c>
      <c r="AE129" s="251" t="str">
        <f>IFERROR(__xludf.DUMMYFUNCTION("""COMPUTED_VALUE"""),"019ecff4-505c-70da-97a3-bcac90dfe94e")</f>
        <v>019ecff4-505c-70da-97a3-bcac90dfe94e</v>
      </c>
      <c r="AF129" s="261">
        <f>IFERROR(__xludf.DUMMYFUNCTION("""COMPUTED_VALUE"""),46189.43236111111)</f>
        <v>46189.43236</v>
      </c>
      <c r="AG129" s="251" t="str">
        <f>IFERROR(__xludf.DUMMYFUNCTION("""COMPUTED_VALUE"""),"debit")</f>
        <v>debit</v>
      </c>
      <c r="AH129" s="253">
        <f>IFERROR(__xludf.DUMMYFUNCTION("""COMPUTED_VALUE"""),133065.71)</f>
        <v>133065.71</v>
      </c>
      <c r="AI129" s="251" t="str">
        <f>IFERROR(__xludf.DUMMYFUNCTION("""COMPUTED_VALUE"""),"cash_isa")</f>
        <v>cash_isa</v>
      </c>
      <c r="AJ129" s="251" t="str">
        <f>IFERROR(__xludf.DUMMYFUNCTION("""COMPUTED_VALUE"""),"9bc00e6b-ce5f-48c5-ae3a-1baabe00f337")</f>
        <v>9bc00e6b-ce5f-48c5-ae3a-1baabe00f337</v>
      </c>
      <c r="AK129" s="251" t="str">
        <f>IFERROR(__xludf.DUMMYFUNCTION("""COMPUTED_VALUE"""),"74ca6fef-ecdf-46c2-bccd-48b9c63dde40")</f>
        <v>74ca6fef-ecdf-46c2-bccd-48b9c63dde40</v>
      </c>
      <c r="AL129" s="251"/>
      <c r="AM129" s="251"/>
      <c r="AN129" s="251"/>
      <c r="AO129" s="251"/>
      <c r="AP129" s="261"/>
      <c r="AR129" s="251" t="str">
        <f t="shared" si="1"/>
        <v>133065.71_debit</v>
      </c>
      <c r="AS129" s="251" t="str">
        <f t="shared" si="2"/>
        <v>DROP</v>
      </c>
      <c r="AT129" s="247"/>
    </row>
    <row r="130">
      <c r="A130" s="255" t="s">
        <v>165</v>
      </c>
      <c r="B130" s="255" t="s">
        <v>453</v>
      </c>
      <c r="C130" s="256">
        <v>46189.44466435185</v>
      </c>
      <c r="D130" s="255" t="s">
        <v>265</v>
      </c>
      <c r="E130" s="257">
        <v>75890.47</v>
      </c>
      <c r="F130" s="255" t="s">
        <v>169</v>
      </c>
      <c r="G130" s="255" t="s">
        <v>170</v>
      </c>
      <c r="H130" s="255" t="s">
        <v>450</v>
      </c>
      <c r="I130" s="258"/>
      <c r="J130" s="258"/>
      <c r="K130" s="259"/>
      <c r="L130" s="258"/>
      <c r="M130" s="260"/>
      <c r="O130" s="247"/>
      <c r="AC130" s="247"/>
      <c r="AD130" s="251" t="str">
        <f>IFERROR(__xludf.DUMMYFUNCTION("""COMPUTED_VALUE"""),"73df5aae-f42a-49a0-9d8f-616ca6dbebaa")</f>
        <v>73df5aae-f42a-49a0-9d8f-616ca6dbebaa</v>
      </c>
      <c r="AE130" s="251" t="str">
        <f>IFERROR(__xludf.DUMMYFUNCTION("""COMPUTED_VALUE"""),"019ecff4-acc3-7afa-a7de-bc633cd71d12")</f>
        <v>019ecff4-acc3-7afa-a7de-bc633cd71d12</v>
      </c>
      <c r="AF130" s="261">
        <f>IFERROR(__xludf.DUMMYFUNCTION("""COMPUTED_VALUE"""),46189.43262731482)</f>
        <v>46189.43263</v>
      </c>
      <c r="AG130" s="251" t="str">
        <f>IFERROR(__xludf.DUMMYFUNCTION("""COMPUTED_VALUE"""),"credit")</f>
        <v>credit</v>
      </c>
      <c r="AH130" s="253">
        <f>IFERROR(__xludf.DUMMYFUNCTION("""COMPUTED_VALUE"""),20942.42)</f>
        <v>20942.42</v>
      </c>
      <c r="AI130" s="251" t="str">
        <f>IFERROR(__xludf.DUMMYFUNCTION("""COMPUTED_VALUE"""),"cash_isa")</f>
        <v>cash_isa</v>
      </c>
      <c r="AJ130" s="251" t="str">
        <f>IFERROR(__xludf.DUMMYFUNCTION("""COMPUTED_VALUE"""),"9bc00e6b-ce5f-48c5-ae3a-1baabe00f337")</f>
        <v>9bc00e6b-ce5f-48c5-ae3a-1baabe00f337</v>
      </c>
      <c r="AK130" s="251" t="str">
        <f>IFERROR(__xludf.DUMMYFUNCTION("""COMPUTED_VALUE"""),"d60a6d76-7fc3-4977-96c4-2aa320c895c8")</f>
        <v>d60a6d76-7fc3-4977-96c4-2aa320c895c8</v>
      </c>
      <c r="AL130" s="251"/>
      <c r="AM130" s="251"/>
      <c r="AN130" s="251"/>
      <c r="AO130" s="251"/>
      <c r="AP130" s="261"/>
      <c r="AR130" s="251" t="str">
        <f t="shared" si="1"/>
        <v>20942.42_credit</v>
      </c>
      <c r="AS130" s="251" t="str">
        <f t="shared" si="2"/>
        <v>DROP</v>
      </c>
      <c r="AT130" s="247"/>
    </row>
    <row r="131">
      <c r="A131" s="262" t="s">
        <v>165</v>
      </c>
      <c r="B131" s="262" t="s">
        <v>454</v>
      </c>
      <c r="C131" s="263">
        <v>46189.447291666664</v>
      </c>
      <c r="D131" s="262" t="s">
        <v>167</v>
      </c>
      <c r="E131" s="264">
        <v>3020.8</v>
      </c>
      <c r="F131" s="262" t="s">
        <v>169</v>
      </c>
      <c r="G131" s="262" t="s">
        <v>170</v>
      </c>
      <c r="H131" s="262" t="s">
        <v>455</v>
      </c>
      <c r="I131" s="265"/>
      <c r="J131" s="265"/>
      <c r="K131" s="266"/>
      <c r="L131" s="265"/>
      <c r="M131" s="267"/>
      <c r="O131" s="247"/>
      <c r="AC131" s="247"/>
      <c r="AD131" s="251" t="str">
        <f>IFERROR(__xludf.DUMMYFUNCTION("""COMPUTED_VALUE"""),"73df5aae-f42a-49a0-9d8f-616ca6dbebaa")</f>
        <v>73df5aae-f42a-49a0-9d8f-616ca6dbebaa</v>
      </c>
      <c r="AE131" s="251" t="str">
        <f>IFERROR(__xludf.DUMMYFUNCTION("""COMPUTED_VALUE"""),"019ecff7-6463-74c3-8a2b-78bab1d02365")</f>
        <v>019ecff7-6463-74c3-8a2b-78bab1d02365</v>
      </c>
      <c r="AF131" s="261">
        <f>IFERROR(__xludf.DUMMYFUNCTION("""COMPUTED_VALUE"""),46189.434687500005)</f>
        <v>46189.43469</v>
      </c>
      <c r="AG131" s="251" t="str">
        <f>IFERROR(__xludf.DUMMYFUNCTION("""COMPUTED_VALUE"""),"debit")</f>
        <v>debit</v>
      </c>
      <c r="AH131" s="253">
        <f>IFERROR(__xludf.DUMMYFUNCTION("""COMPUTED_VALUE"""),10985.66)</f>
        <v>10985.66</v>
      </c>
      <c r="AI131" s="251" t="str">
        <f>IFERROR(__xludf.DUMMYFUNCTION("""COMPUTED_VALUE"""),"cash_isa")</f>
        <v>cash_isa</v>
      </c>
      <c r="AJ131" s="251" t="str">
        <f>IFERROR(__xludf.DUMMYFUNCTION("""COMPUTED_VALUE"""),"9bc00e6b-ce5f-48c5-ae3a-1baabe00f337")</f>
        <v>9bc00e6b-ce5f-48c5-ae3a-1baabe00f337</v>
      </c>
      <c r="AK131" s="251" t="str">
        <f>IFERROR(__xludf.DUMMYFUNCTION("""COMPUTED_VALUE"""),"08f64c16-842a-4dd6-8b07-320a4ce99b2f")</f>
        <v>08f64c16-842a-4dd6-8b07-320a4ce99b2f</v>
      </c>
      <c r="AL131" s="251"/>
      <c r="AM131" s="251"/>
      <c r="AN131" s="251"/>
      <c r="AO131" s="251"/>
      <c r="AP131" s="261"/>
      <c r="AR131" s="251" t="str">
        <f t="shared" si="1"/>
        <v>10985.66_debit</v>
      </c>
      <c r="AS131" s="251" t="str">
        <f t="shared" si="2"/>
        <v>DROP</v>
      </c>
      <c r="AT131" s="247"/>
    </row>
    <row r="132">
      <c r="A132" s="255" t="s">
        <v>165</v>
      </c>
      <c r="B132" s="255" t="s">
        <v>456</v>
      </c>
      <c r="C132" s="256">
        <v>46189.44903935185</v>
      </c>
      <c r="D132" s="255" t="s">
        <v>167</v>
      </c>
      <c r="E132" s="257">
        <v>6374.77</v>
      </c>
      <c r="F132" s="255" t="s">
        <v>169</v>
      </c>
      <c r="G132" s="255" t="s">
        <v>170</v>
      </c>
      <c r="H132" s="255" t="s">
        <v>457</v>
      </c>
      <c r="I132" s="258"/>
      <c r="J132" s="258"/>
      <c r="K132" s="259"/>
      <c r="L132" s="258"/>
      <c r="M132" s="260"/>
      <c r="O132" s="247"/>
      <c r="AC132" s="247"/>
      <c r="AD132" s="251" t="str">
        <f>IFERROR(__xludf.DUMMYFUNCTION("""COMPUTED_VALUE"""),"73df5aae-f42a-49a0-9d8f-616ca6dbebaa")</f>
        <v>73df5aae-f42a-49a0-9d8f-616ca6dbebaa</v>
      </c>
      <c r="AE132" s="251" t="str">
        <f>IFERROR(__xludf.DUMMYFUNCTION("""COMPUTED_VALUE"""),"019ecff7-679d-70c2-a836-103324c0d90c")</f>
        <v>019ecff7-679d-70c2-a836-103324c0d90c</v>
      </c>
      <c r="AF132" s="261">
        <f>IFERROR(__xludf.DUMMYFUNCTION("""COMPUTED_VALUE"""),46189.434699074074)</f>
        <v>46189.4347</v>
      </c>
      <c r="AG132" s="251" t="str">
        <f>IFERROR(__xludf.DUMMYFUNCTION("""COMPUTED_VALUE"""),"debit")</f>
        <v>debit</v>
      </c>
      <c r="AH132" s="253">
        <f>IFERROR(__xludf.DUMMYFUNCTION("""COMPUTED_VALUE"""),20942.42)</f>
        <v>20942.42</v>
      </c>
      <c r="AI132" s="251" t="str">
        <f>IFERROR(__xludf.DUMMYFUNCTION("""COMPUTED_VALUE"""),"cash_isa")</f>
        <v>cash_isa</v>
      </c>
      <c r="AJ132" s="251" t="str">
        <f>IFERROR(__xludf.DUMMYFUNCTION("""COMPUTED_VALUE"""),"9bc00e6b-ce5f-48c5-ae3a-1baabe00f337")</f>
        <v>9bc00e6b-ce5f-48c5-ae3a-1baabe00f337</v>
      </c>
      <c r="AK132" s="251" t="str">
        <f>IFERROR(__xludf.DUMMYFUNCTION("""COMPUTED_VALUE"""),"d60a6d76-7fc3-4977-96c4-2aa320c895c8")</f>
        <v>d60a6d76-7fc3-4977-96c4-2aa320c895c8</v>
      </c>
      <c r="AL132" s="251"/>
      <c r="AM132" s="251"/>
      <c r="AN132" s="251"/>
      <c r="AO132" s="251"/>
      <c r="AP132" s="261"/>
      <c r="AR132" s="251" t="str">
        <f t="shared" si="1"/>
        <v>20942.42_debit</v>
      </c>
      <c r="AS132" s="251" t="str">
        <f t="shared" si="2"/>
        <v>DROP</v>
      </c>
      <c r="AT132" s="247"/>
    </row>
    <row r="133">
      <c r="A133" s="262" t="s">
        <v>165</v>
      </c>
      <c r="B133" s="262" t="s">
        <v>458</v>
      </c>
      <c r="C133" s="263">
        <v>46189.45</v>
      </c>
      <c r="D133" s="262" t="s">
        <v>265</v>
      </c>
      <c r="E133" s="264">
        <v>3020.8</v>
      </c>
      <c r="F133" s="262" t="s">
        <v>169</v>
      </c>
      <c r="G133" s="262" t="s">
        <v>170</v>
      </c>
      <c r="H133" s="262" t="s">
        <v>455</v>
      </c>
      <c r="I133" s="265"/>
      <c r="J133" s="265"/>
      <c r="K133" s="266"/>
      <c r="L133" s="265"/>
      <c r="M133" s="267"/>
      <c r="O133" s="247"/>
      <c r="AC133" s="247"/>
      <c r="AD133" s="251" t="str">
        <f>IFERROR(__xludf.DUMMYFUNCTION("""COMPUTED_VALUE"""),"73df5aae-f42a-49a0-9d8f-616ca6dbebaa")</f>
        <v>73df5aae-f42a-49a0-9d8f-616ca6dbebaa</v>
      </c>
      <c r="AE133" s="251" t="str">
        <f>IFERROR(__xludf.DUMMYFUNCTION("""COMPUTED_VALUE"""),"019ecff9-0a91-7d12-bbd5-593a025f1941")</f>
        <v>019ecff9-0a91-7d12-bbd5-593a025f1941</v>
      </c>
      <c r="AF133" s="261">
        <f>IFERROR(__xludf.DUMMYFUNCTION("""COMPUTED_VALUE"""),46189.4359375)</f>
        <v>46189.43594</v>
      </c>
      <c r="AG133" s="251" t="str">
        <f>IFERROR(__xludf.DUMMYFUNCTION("""COMPUTED_VALUE"""),"credit")</f>
        <v>credit</v>
      </c>
      <c r="AH133" s="253">
        <f>IFERROR(__xludf.DUMMYFUNCTION("""COMPUTED_VALUE"""),6186.34)</f>
        <v>6186.34</v>
      </c>
      <c r="AI133" s="251" t="str">
        <f>IFERROR(__xludf.DUMMYFUNCTION("""COMPUTED_VALUE"""),"cash_isa")</f>
        <v>cash_isa</v>
      </c>
      <c r="AJ133" s="251" t="str">
        <f>IFERROR(__xludf.DUMMYFUNCTION("""COMPUTED_VALUE"""),"9bc00e6b-ce5f-48c5-ae3a-1baabe00f337")</f>
        <v>9bc00e6b-ce5f-48c5-ae3a-1baabe00f337</v>
      </c>
      <c r="AK133" s="251" t="str">
        <f>IFERROR(__xludf.DUMMYFUNCTION("""COMPUTED_VALUE"""),"f4ee3d99-fd77-4502-bd40-9926f2e8b5c5")</f>
        <v>f4ee3d99-fd77-4502-bd40-9926f2e8b5c5</v>
      </c>
      <c r="AL133" s="251"/>
      <c r="AM133" s="251"/>
      <c r="AN133" s="251"/>
      <c r="AO133" s="251"/>
      <c r="AP133" s="261"/>
      <c r="AR133" s="251" t="str">
        <f t="shared" si="1"/>
        <v>6186.34_credit</v>
      </c>
      <c r="AS133" s="251" t="str">
        <f t="shared" si="2"/>
        <v>DROP</v>
      </c>
      <c r="AT133" s="247"/>
    </row>
    <row r="134">
      <c r="A134" s="255" t="s">
        <v>165</v>
      </c>
      <c r="B134" s="255" t="s">
        <v>459</v>
      </c>
      <c r="C134" s="256">
        <v>46189.45050925926</v>
      </c>
      <c r="D134" s="255" t="s">
        <v>167</v>
      </c>
      <c r="E134" s="257">
        <v>19386.73</v>
      </c>
      <c r="F134" s="255" t="s">
        <v>169</v>
      </c>
      <c r="G134" s="255" t="s">
        <v>170</v>
      </c>
      <c r="H134" s="255" t="s">
        <v>460</v>
      </c>
      <c r="I134" s="258"/>
      <c r="J134" s="258"/>
      <c r="K134" s="259"/>
      <c r="L134" s="258"/>
      <c r="M134" s="260"/>
      <c r="O134" s="247"/>
      <c r="AC134" s="247"/>
      <c r="AD134" s="251" t="str">
        <f>IFERROR(__xludf.DUMMYFUNCTION("""COMPUTED_VALUE"""),"73df5aae-f42a-49a0-9d8f-616ca6dbebaa")</f>
        <v>73df5aae-f42a-49a0-9d8f-616ca6dbebaa</v>
      </c>
      <c r="AE134" s="251" t="str">
        <f>IFERROR(__xludf.DUMMYFUNCTION("""COMPUTED_VALUE"""),"019ecffa-efd8-7a7f-94ac-20d9152e0934")</f>
        <v>019ecffa-efd8-7a7f-94ac-20d9152e0934</v>
      </c>
      <c r="AF134" s="261">
        <f>IFERROR(__xludf.DUMMYFUNCTION("""COMPUTED_VALUE"""),46189.43738425926)</f>
        <v>46189.43738</v>
      </c>
      <c r="AG134" s="251" t="str">
        <f>IFERROR(__xludf.DUMMYFUNCTION("""COMPUTED_VALUE"""),"debit")</f>
        <v>debit</v>
      </c>
      <c r="AH134" s="253">
        <f>IFERROR(__xludf.DUMMYFUNCTION("""COMPUTED_VALUE"""),6186.34)</f>
        <v>6186.34</v>
      </c>
      <c r="AI134" s="251" t="str">
        <f>IFERROR(__xludf.DUMMYFUNCTION("""COMPUTED_VALUE"""),"cash_isa")</f>
        <v>cash_isa</v>
      </c>
      <c r="AJ134" s="251" t="str">
        <f>IFERROR(__xludf.DUMMYFUNCTION("""COMPUTED_VALUE"""),"9bc00e6b-ce5f-48c5-ae3a-1baabe00f337")</f>
        <v>9bc00e6b-ce5f-48c5-ae3a-1baabe00f337</v>
      </c>
      <c r="AK134" s="251" t="str">
        <f>IFERROR(__xludf.DUMMYFUNCTION("""COMPUTED_VALUE"""),"f4ee3d99-fd77-4502-bd40-9926f2e8b5c5")</f>
        <v>f4ee3d99-fd77-4502-bd40-9926f2e8b5c5</v>
      </c>
      <c r="AL134" s="251"/>
      <c r="AM134" s="251"/>
      <c r="AN134" s="251"/>
      <c r="AO134" s="251"/>
      <c r="AP134" s="261"/>
      <c r="AR134" s="251" t="str">
        <f t="shared" si="1"/>
        <v>6186.34_debit</v>
      </c>
      <c r="AS134" s="251" t="str">
        <f t="shared" si="2"/>
        <v>DROP</v>
      </c>
      <c r="AT134" s="247"/>
    </row>
    <row r="135">
      <c r="A135" s="262" t="s">
        <v>165</v>
      </c>
      <c r="B135" s="262" t="s">
        <v>461</v>
      </c>
      <c r="C135" s="263">
        <v>46189.45118055555</v>
      </c>
      <c r="D135" s="262" t="s">
        <v>265</v>
      </c>
      <c r="E135" s="264">
        <v>6374.77</v>
      </c>
      <c r="F135" s="262" t="s">
        <v>169</v>
      </c>
      <c r="G135" s="262" t="s">
        <v>170</v>
      </c>
      <c r="H135" s="262" t="s">
        <v>457</v>
      </c>
      <c r="I135" s="265"/>
      <c r="J135" s="265"/>
      <c r="K135" s="266"/>
      <c r="L135" s="265"/>
      <c r="M135" s="267"/>
      <c r="O135" s="247"/>
      <c r="AC135" s="247"/>
      <c r="AD135" s="251" t="str">
        <f>IFERROR(__xludf.DUMMYFUNCTION("""COMPUTED_VALUE"""),"73df5aae-f42a-49a0-9d8f-616ca6dbebaa")</f>
        <v>73df5aae-f42a-49a0-9d8f-616ca6dbebaa</v>
      </c>
      <c r="AE135" s="251" t="str">
        <f>IFERROR(__xludf.DUMMYFUNCTION("""COMPUTED_VALUE"""),"019ecffd-bf93-72e7-aa2a-c310bac24641")</f>
        <v>019ecffd-bf93-72e7-aa2a-c310bac24641</v>
      </c>
      <c r="AF135" s="261">
        <f>IFERROR(__xludf.DUMMYFUNCTION("""COMPUTED_VALUE"""),46189.439513888894)</f>
        <v>46189.43951</v>
      </c>
      <c r="AG135" s="251" t="str">
        <f>IFERROR(__xludf.DUMMYFUNCTION("""COMPUTED_VALUE"""),"credit")</f>
        <v>credit</v>
      </c>
      <c r="AH135" s="253">
        <f>IFERROR(__xludf.DUMMYFUNCTION("""COMPUTED_VALUE"""),1000.0)</f>
        <v>1000</v>
      </c>
      <c r="AI135" s="251" t="str">
        <f>IFERROR(__xludf.DUMMYFUNCTION("""COMPUTED_VALUE"""),"cash_isa")</f>
        <v>cash_isa</v>
      </c>
      <c r="AJ135" s="251" t="str">
        <f>IFERROR(__xludf.DUMMYFUNCTION("""COMPUTED_VALUE"""),"9bc00e6b-ce5f-48c5-ae3a-1baabe00f337")</f>
        <v>9bc00e6b-ce5f-48c5-ae3a-1baabe00f337</v>
      </c>
      <c r="AK135" s="251" t="str">
        <f>IFERROR(__xludf.DUMMYFUNCTION("""COMPUTED_VALUE"""),"e1d028a1-bc5a-4ae9-b711-3375c2443760")</f>
        <v>e1d028a1-bc5a-4ae9-b711-3375c2443760</v>
      </c>
      <c r="AL135" s="251"/>
      <c r="AM135" s="251"/>
      <c r="AN135" s="251"/>
      <c r="AO135" s="251"/>
      <c r="AP135" s="261"/>
      <c r="AR135" s="251" t="str">
        <f t="shared" si="1"/>
        <v>1000_credit</v>
      </c>
      <c r="AS135" s="251" t="str">
        <f t="shared" si="2"/>
        <v>DROP</v>
      </c>
      <c r="AT135" s="247"/>
    </row>
    <row r="136">
      <c r="A136" s="255" t="s">
        <v>165</v>
      </c>
      <c r="B136" s="255" t="s">
        <v>462</v>
      </c>
      <c r="C136" s="256">
        <v>46189.45155092593</v>
      </c>
      <c r="D136" s="255" t="s">
        <v>167</v>
      </c>
      <c r="E136" s="257">
        <v>5222.75</v>
      </c>
      <c r="F136" s="255" t="s">
        <v>213</v>
      </c>
      <c r="G136" s="255" t="s">
        <v>214</v>
      </c>
      <c r="H136" s="255" t="s">
        <v>463</v>
      </c>
      <c r="I136" s="258"/>
      <c r="J136" s="258"/>
      <c r="K136" s="259"/>
      <c r="L136" s="258"/>
      <c r="M136" s="260"/>
      <c r="O136" s="247"/>
      <c r="AC136" s="247"/>
      <c r="AD136" s="251" t="str">
        <f>IFERROR(__xludf.DUMMYFUNCTION("""COMPUTED_VALUE"""),"73df5aae-f42a-49a0-9d8f-616ca6dbebaa")</f>
        <v>73df5aae-f42a-49a0-9d8f-616ca6dbebaa</v>
      </c>
      <c r="AE136" s="251" t="str">
        <f>IFERROR(__xludf.DUMMYFUNCTION("""COMPUTED_VALUE"""),"019ecffe-3196-79f7-bcaf-8edb3b102638")</f>
        <v>019ecffe-3196-79f7-bcaf-8edb3b102638</v>
      </c>
      <c r="AF136" s="261">
        <f>IFERROR(__xludf.DUMMYFUNCTION("""COMPUTED_VALUE"""),46189.43984953704)</f>
        <v>46189.43985</v>
      </c>
      <c r="AG136" s="251" t="str">
        <f>IFERROR(__xludf.DUMMYFUNCTION("""COMPUTED_VALUE"""),"credit")</f>
        <v>credit</v>
      </c>
      <c r="AH136" s="253">
        <f>IFERROR(__xludf.DUMMYFUNCTION("""COMPUTED_VALUE"""),5203.61)</f>
        <v>5203.61</v>
      </c>
      <c r="AI136" s="251" t="str">
        <f>IFERROR(__xludf.DUMMYFUNCTION("""COMPUTED_VALUE"""),"cash_isa")</f>
        <v>cash_isa</v>
      </c>
      <c r="AJ136" s="251" t="str">
        <f>IFERROR(__xludf.DUMMYFUNCTION("""COMPUTED_VALUE"""),"9bc00e6b-ce5f-48c5-ae3a-1baabe00f337")</f>
        <v>9bc00e6b-ce5f-48c5-ae3a-1baabe00f337</v>
      </c>
      <c r="AK136" s="251" t="str">
        <f>IFERROR(__xludf.DUMMYFUNCTION("""COMPUTED_VALUE"""),"a205a3f4-c6cf-4a8d-a22e-3b167f82931a")</f>
        <v>a205a3f4-c6cf-4a8d-a22e-3b167f82931a</v>
      </c>
      <c r="AL136" s="251"/>
      <c r="AM136" s="251"/>
      <c r="AN136" s="251"/>
      <c r="AO136" s="251"/>
      <c r="AP136" s="261"/>
      <c r="AR136" s="251" t="str">
        <f t="shared" si="1"/>
        <v>5203.61_credit</v>
      </c>
      <c r="AS136" s="251" t="str">
        <f t="shared" si="2"/>
        <v>DROP</v>
      </c>
      <c r="AT136" s="247"/>
    </row>
    <row r="137">
      <c r="A137" s="262" t="s">
        <v>165</v>
      </c>
      <c r="B137" s="262" t="s">
        <v>464</v>
      </c>
      <c r="C137" s="263">
        <v>46189.45172453704</v>
      </c>
      <c r="D137" s="262" t="s">
        <v>167</v>
      </c>
      <c r="E137" s="264">
        <v>5271.34</v>
      </c>
      <c r="F137" s="262" t="s">
        <v>169</v>
      </c>
      <c r="G137" s="262" t="s">
        <v>170</v>
      </c>
      <c r="H137" s="262" t="s">
        <v>465</v>
      </c>
      <c r="I137" s="265"/>
      <c r="J137" s="265"/>
      <c r="K137" s="266"/>
      <c r="L137" s="265"/>
      <c r="M137" s="267"/>
      <c r="O137" s="247"/>
      <c r="AC137" s="247"/>
      <c r="AD137" s="251" t="str">
        <f>IFERROR(__xludf.DUMMYFUNCTION("""COMPUTED_VALUE"""),"73df5aae-f42a-49a0-9d8f-616ca6dbebaa")</f>
        <v>73df5aae-f42a-49a0-9d8f-616ca6dbebaa</v>
      </c>
      <c r="AE137" s="251" t="str">
        <f>IFERROR(__xludf.DUMMYFUNCTION("""COMPUTED_VALUE"""),"019ed000-7b75-7818-aff3-b94ed798205a")</f>
        <v>019ed000-7b75-7818-aff3-b94ed798205a</v>
      </c>
      <c r="AF137" s="261">
        <f>IFERROR(__xludf.DUMMYFUNCTION("""COMPUTED_VALUE"""),46189.44158564815)</f>
        <v>46189.44159</v>
      </c>
      <c r="AG137" s="251" t="str">
        <f>IFERROR(__xludf.DUMMYFUNCTION("""COMPUTED_VALUE"""),"debit")</f>
        <v>debit</v>
      </c>
      <c r="AH137" s="253">
        <f>IFERROR(__xludf.DUMMYFUNCTION("""COMPUTED_VALUE"""),5203.61)</f>
        <v>5203.61</v>
      </c>
      <c r="AI137" s="251" t="str">
        <f>IFERROR(__xludf.DUMMYFUNCTION("""COMPUTED_VALUE"""),"cash_isa")</f>
        <v>cash_isa</v>
      </c>
      <c r="AJ137" s="251" t="str">
        <f>IFERROR(__xludf.DUMMYFUNCTION("""COMPUTED_VALUE"""),"9bc00e6b-ce5f-48c5-ae3a-1baabe00f337")</f>
        <v>9bc00e6b-ce5f-48c5-ae3a-1baabe00f337</v>
      </c>
      <c r="AK137" s="251" t="str">
        <f>IFERROR(__xludf.DUMMYFUNCTION("""COMPUTED_VALUE"""),"a205a3f4-c6cf-4a8d-a22e-3b167f82931a")</f>
        <v>a205a3f4-c6cf-4a8d-a22e-3b167f82931a</v>
      </c>
      <c r="AL137" s="251"/>
      <c r="AM137" s="251"/>
      <c r="AN137" s="251"/>
      <c r="AO137" s="251"/>
      <c r="AP137" s="261"/>
      <c r="AR137" s="251" t="str">
        <f t="shared" si="1"/>
        <v>5203.61_debit</v>
      </c>
      <c r="AS137" s="251" t="str">
        <f t="shared" si="2"/>
        <v>DROP</v>
      </c>
      <c r="AT137" s="247"/>
    </row>
    <row r="138">
      <c r="A138" s="255" t="s">
        <v>165</v>
      </c>
      <c r="B138" s="255" t="s">
        <v>466</v>
      </c>
      <c r="C138" s="256">
        <v>46189.45295138889</v>
      </c>
      <c r="D138" s="255" t="s">
        <v>265</v>
      </c>
      <c r="E138" s="257">
        <v>19386.73</v>
      </c>
      <c r="F138" s="255" t="s">
        <v>169</v>
      </c>
      <c r="G138" s="255" t="s">
        <v>170</v>
      </c>
      <c r="H138" s="255" t="s">
        <v>460</v>
      </c>
      <c r="I138" s="258"/>
      <c r="J138" s="258"/>
      <c r="K138" s="259"/>
      <c r="L138" s="258"/>
      <c r="M138" s="260"/>
      <c r="O138" s="247"/>
      <c r="AC138" s="247"/>
      <c r="AD138" s="251" t="str">
        <f>IFERROR(__xludf.DUMMYFUNCTION("""COMPUTED_VALUE"""),"73df5aae-f42a-49a0-9d8f-616ca6dbebaa")</f>
        <v>73df5aae-f42a-49a0-9d8f-616ca6dbebaa</v>
      </c>
      <c r="AE138" s="251" t="str">
        <f>IFERROR(__xludf.DUMMYFUNCTION("""COMPUTED_VALUE"""),"019ed000-88be-7097-a17f-746fe56edbdc")</f>
        <v>019ed000-88be-7097-a17f-746fe56edbdc</v>
      </c>
      <c r="AF138" s="261">
        <f>IFERROR(__xludf.DUMMYFUNCTION("""COMPUTED_VALUE"""),46189.44162037037)</f>
        <v>46189.44162</v>
      </c>
      <c r="AG138" s="251" t="str">
        <f>IFERROR(__xludf.DUMMYFUNCTION("""COMPUTED_VALUE"""),"debit")</f>
        <v>debit</v>
      </c>
      <c r="AH138" s="253">
        <f>IFERROR(__xludf.DUMMYFUNCTION("""COMPUTED_VALUE"""),1000.0)</f>
        <v>1000</v>
      </c>
      <c r="AI138" s="251" t="str">
        <f>IFERROR(__xludf.DUMMYFUNCTION("""COMPUTED_VALUE"""),"cash_isa")</f>
        <v>cash_isa</v>
      </c>
      <c r="AJ138" s="251" t="str">
        <f>IFERROR(__xludf.DUMMYFUNCTION("""COMPUTED_VALUE"""),"9bc00e6b-ce5f-48c5-ae3a-1baabe00f337")</f>
        <v>9bc00e6b-ce5f-48c5-ae3a-1baabe00f337</v>
      </c>
      <c r="AK138" s="251" t="str">
        <f>IFERROR(__xludf.DUMMYFUNCTION("""COMPUTED_VALUE"""),"e1d028a1-bc5a-4ae9-b711-3375c2443760")</f>
        <v>e1d028a1-bc5a-4ae9-b711-3375c2443760</v>
      </c>
      <c r="AL138" s="251"/>
      <c r="AM138" s="251"/>
      <c r="AN138" s="251"/>
      <c r="AO138" s="251"/>
      <c r="AP138" s="261"/>
      <c r="AR138" s="251" t="str">
        <f t="shared" si="1"/>
        <v>1000_debit</v>
      </c>
      <c r="AS138" s="251" t="str">
        <f t="shared" si="2"/>
        <v>DROP</v>
      </c>
      <c r="AT138" s="247"/>
    </row>
    <row r="139">
      <c r="A139" s="262" t="s">
        <v>165</v>
      </c>
      <c r="B139" s="262" t="s">
        <v>467</v>
      </c>
      <c r="C139" s="263">
        <v>46189.453680555554</v>
      </c>
      <c r="D139" s="262" t="s">
        <v>265</v>
      </c>
      <c r="E139" s="264">
        <v>5271.34</v>
      </c>
      <c r="F139" s="262" t="s">
        <v>169</v>
      </c>
      <c r="G139" s="262" t="s">
        <v>170</v>
      </c>
      <c r="H139" s="262" t="s">
        <v>465</v>
      </c>
      <c r="I139" s="265"/>
      <c r="J139" s="265"/>
      <c r="K139" s="266"/>
      <c r="L139" s="265"/>
      <c r="M139" s="267"/>
      <c r="O139" s="247"/>
      <c r="AC139" s="247"/>
      <c r="AD139" s="251" t="str">
        <f>IFERROR(__xludf.DUMMYFUNCTION("""COMPUTED_VALUE"""),"73df5aae-f42a-49a0-9d8f-616ca6dbebaa")</f>
        <v>73df5aae-f42a-49a0-9d8f-616ca6dbebaa</v>
      </c>
      <c r="AE139" s="251" t="str">
        <f>IFERROR(__xludf.DUMMYFUNCTION("""COMPUTED_VALUE"""),"019ed000-fec6-7615-bb6e-465c1845f6f7")</f>
        <v>019ed000-fec6-7615-bb6e-465c1845f6f7</v>
      </c>
      <c r="AF139" s="261">
        <f>IFERROR(__xludf.DUMMYFUNCTION("""COMPUTED_VALUE"""),46189.441979166666)</f>
        <v>46189.44198</v>
      </c>
      <c r="AG139" s="251" t="str">
        <f>IFERROR(__xludf.DUMMYFUNCTION("""COMPUTED_VALUE"""),"credit")</f>
        <v>credit</v>
      </c>
      <c r="AH139" s="253">
        <f>IFERROR(__xludf.DUMMYFUNCTION("""COMPUTED_VALUE"""),75890.47)</f>
        <v>75890.47</v>
      </c>
      <c r="AI139" s="251" t="str">
        <f>IFERROR(__xludf.DUMMYFUNCTION("""COMPUTED_VALUE"""),"cash_isa")</f>
        <v>cash_isa</v>
      </c>
      <c r="AJ139" s="251" t="str">
        <f>IFERROR(__xludf.DUMMYFUNCTION("""COMPUTED_VALUE"""),"9bc00e6b-ce5f-48c5-ae3a-1baabe00f337")</f>
        <v>9bc00e6b-ce5f-48c5-ae3a-1baabe00f337</v>
      </c>
      <c r="AK139" s="251" t="str">
        <f>IFERROR(__xludf.DUMMYFUNCTION("""COMPUTED_VALUE"""),"e0677982-f0a9-452c-8d00-dd5f9f617bce")</f>
        <v>e0677982-f0a9-452c-8d00-dd5f9f617bce</v>
      </c>
      <c r="AL139" s="251"/>
      <c r="AM139" s="251"/>
      <c r="AN139" s="251"/>
      <c r="AO139" s="251"/>
      <c r="AP139" s="261"/>
      <c r="AR139" s="251" t="str">
        <f t="shared" si="1"/>
        <v>75890.47_credit</v>
      </c>
      <c r="AS139" s="251" t="str">
        <f t="shared" si="2"/>
        <v>DROP</v>
      </c>
      <c r="AT139" s="247"/>
    </row>
    <row r="140">
      <c r="A140" s="255" t="s">
        <v>165</v>
      </c>
      <c r="B140" s="255" t="s">
        <v>468</v>
      </c>
      <c r="C140" s="256">
        <v>46189.454618055555</v>
      </c>
      <c r="D140" s="255" t="s">
        <v>167</v>
      </c>
      <c r="E140" s="257">
        <v>16778.7</v>
      </c>
      <c r="F140" s="255" t="s">
        <v>169</v>
      </c>
      <c r="G140" s="255" t="s">
        <v>170</v>
      </c>
      <c r="H140" s="255" t="s">
        <v>469</v>
      </c>
      <c r="I140" s="258"/>
      <c r="J140" s="258"/>
      <c r="K140" s="259"/>
      <c r="L140" s="258"/>
      <c r="M140" s="260"/>
      <c r="O140" s="247"/>
      <c r="AC140" s="247"/>
      <c r="AD140" s="251" t="str">
        <f>IFERROR(__xludf.DUMMYFUNCTION("""COMPUTED_VALUE"""),"73df5aae-f42a-49a0-9d8f-616ca6dbebaa")</f>
        <v>73df5aae-f42a-49a0-9d8f-616ca6dbebaa</v>
      </c>
      <c r="AE140" s="251" t="str">
        <f>IFERROR(__xludf.DUMMYFUNCTION("""COMPUTED_VALUE"""),"019ed004-8a0d-7195-ab68-655c59616846")</f>
        <v>019ed004-8a0d-7195-ab68-655c59616846</v>
      </c>
      <c r="AF140" s="261">
        <f>IFERROR(__xludf.DUMMYFUNCTION("""COMPUTED_VALUE"""),46189.44466435185)</f>
        <v>46189.44466</v>
      </c>
      <c r="AG140" s="251" t="str">
        <f>IFERROR(__xludf.DUMMYFUNCTION("""COMPUTED_VALUE"""),"debit")</f>
        <v>debit</v>
      </c>
      <c r="AH140" s="253">
        <f>IFERROR(__xludf.DUMMYFUNCTION("""COMPUTED_VALUE"""),75890.47)</f>
        <v>75890.47</v>
      </c>
      <c r="AI140" s="251" t="str">
        <f>IFERROR(__xludf.DUMMYFUNCTION("""COMPUTED_VALUE"""),"cash_isa")</f>
        <v>cash_isa</v>
      </c>
      <c r="AJ140" s="251" t="str">
        <f>IFERROR(__xludf.DUMMYFUNCTION("""COMPUTED_VALUE"""),"9bc00e6b-ce5f-48c5-ae3a-1baabe00f337")</f>
        <v>9bc00e6b-ce5f-48c5-ae3a-1baabe00f337</v>
      </c>
      <c r="AK140" s="251" t="str">
        <f>IFERROR(__xludf.DUMMYFUNCTION("""COMPUTED_VALUE"""),"e0677982-f0a9-452c-8d00-dd5f9f617bce")</f>
        <v>e0677982-f0a9-452c-8d00-dd5f9f617bce</v>
      </c>
      <c r="AL140" s="251"/>
      <c r="AM140" s="251"/>
      <c r="AN140" s="251"/>
      <c r="AO140" s="251"/>
      <c r="AP140" s="261"/>
      <c r="AR140" s="251" t="str">
        <f t="shared" si="1"/>
        <v>75890.47_debit</v>
      </c>
      <c r="AS140" s="251" t="str">
        <f t="shared" si="2"/>
        <v>DROP</v>
      </c>
      <c r="AT140" s="247"/>
    </row>
    <row r="141">
      <c r="A141" s="262" t="s">
        <v>165</v>
      </c>
      <c r="B141" s="262" t="s">
        <v>470</v>
      </c>
      <c r="C141" s="263">
        <v>46189.45659722222</v>
      </c>
      <c r="D141" s="262" t="s">
        <v>265</v>
      </c>
      <c r="E141" s="264">
        <v>16778.7</v>
      </c>
      <c r="F141" s="262" t="s">
        <v>169</v>
      </c>
      <c r="G141" s="262" t="s">
        <v>170</v>
      </c>
      <c r="H141" s="262" t="s">
        <v>469</v>
      </c>
      <c r="I141" s="265"/>
      <c r="J141" s="265"/>
      <c r="K141" s="266"/>
      <c r="L141" s="265"/>
      <c r="M141" s="267"/>
      <c r="O141" s="247"/>
      <c r="AC141" s="247"/>
      <c r="AD141" s="251" t="str">
        <f>IFERROR(__xludf.DUMMYFUNCTION("""COMPUTED_VALUE"""),"73df5aae-f42a-49a0-9d8f-616ca6dbebaa")</f>
        <v>73df5aae-f42a-49a0-9d8f-616ca6dbebaa</v>
      </c>
      <c r="AE141" s="251" t="str">
        <f>IFERROR(__xludf.DUMMYFUNCTION("""COMPUTED_VALUE"""),"019ed008-02d0-7fde-a4a7-e196bbc8fad4")</f>
        <v>019ed008-02d0-7fde-a4a7-e196bbc8fad4</v>
      </c>
      <c r="AF141" s="261">
        <f>IFERROR(__xludf.DUMMYFUNCTION("""COMPUTED_VALUE"""),46189.44729166667)</f>
        <v>46189.44729</v>
      </c>
      <c r="AG141" s="251" t="str">
        <f>IFERROR(__xludf.DUMMYFUNCTION("""COMPUTED_VALUE"""),"credit")</f>
        <v>credit</v>
      </c>
      <c r="AH141" s="253">
        <f>IFERROR(__xludf.DUMMYFUNCTION("""COMPUTED_VALUE"""),3020.8)</f>
        <v>3020.8</v>
      </c>
      <c r="AI141" s="251" t="str">
        <f>IFERROR(__xludf.DUMMYFUNCTION("""COMPUTED_VALUE"""),"cash_isa")</f>
        <v>cash_isa</v>
      </c>
      <c r="AJ141" s="251" t="str">
        <f>IFERROR(__xludf.DUMMYFUNCTION("""COMPUTED_VALUE"""),"9bc00e6b-ce5f-48c5-ae3a-1baabe00f337")</f>
        <v>9bc00e6b-ce5f-48c5-ae3a-1baabe00f337</v>
      </c>
      <c r="AK141" s="251" t="str">
        <f>IFERROR(__xludf.DUMMYFUNCTION("""COMPUTED_VALUE"""),"193ad4bb-6f45-42d3-bdfa-768376641602")</f>
        <v>193ad4bb-6f45-42d3-bdfa-768376641602</v>
      </c>
      <c r="AL141" s="251"/>
      <c r="AM141" s="251"/>
      <c r="AN141" s="251"/>
      <c r="AO141" s="251"/>
      <c r="AP141" s="261"/>
      <c r="AR141" s="251" t="str">
        <f t="shared" si="1"/>
        <v>3020.8_credit</v>
      </c>
      <c r="AS141" s="251" t="str">
        <f t="shared" si="2"/>
        <v>DROP</v>
      </c>
      <c r="AT141" s="247"/>
    </row>
    <row r="142">
      <c r="A142" s="255" t="s">
        <v>165</v>
      </c>
      <c r="B142" s="255" t="s">
        <v>471</v>
      </c>
      <c r="C142" s="256">
        <v>46189.45773148148</v>
      </c>
      <c r="D142" s="255" t="s">
        <v>265</v>
      </c>
      <c r="E142" s="257">
        <v>2000.0</v>
      </c>
      <c r="F142" s="255" t="s">
        <v>169</v>
      </c>
      <c r="G142" s="255" t="s">
        <v>170</v>
      </c>
      <c r="H142" s="255" t="s">
        <v>472</v>
      </c>
      <c r="I142" s="258"/>
      <c r="J142" s="258"/>
      <c r="K142" s="259"/>
      <c r="L142" s="258"/>
      <c r="M142" s="260"/>
      <c r="O142" s="247"/>
      <c r="AC142" s="247"/>
      <c r="AD142" s="251" t="str">
        <f>IFERROR(__xludf.DUMMYFUNCTION("""COMPUTED_VALUE"""),"73df5aae-f42a-49a0-9d8f-616ca6dbebaa")</f>
        <v>73df5aae-f42a-49a0-9d8f-616ca6dbebaa</v>
      </c>
      <c r="AE142" s="251" t="str">
        <f>IFERROR(__xludf.DUMMYFUNCTION("""COMPUTED_VALUE"""),"019ed00a-4f1a-7d04-b070-9c247512ac34")</f>
        <v>019ed00a-4f1a-7d04-b070-9c247512ac34</v>
      </c>
      <c r="AF142" s="261">
        <f>IFERROR(__xludf.DUMMYFUNCTION("""COMPUTED_VALUE"""),46189.44903935185)</f>
        <v>46189.44904</v>
      </c>
      <c r="AG142" s="251" t="str">
        <f>IFERROR(__xludf.DUMMYFUNCTION("""COMPUTED_VALUE"""),"credit")</f>
        <v>credit</v>
      </c>
      <c r="AH142" s="253">
        <f>IFERROR(__xludf.DUMMYFUNCTION("""COMPUTED_VALUE"""),6374.77)</f>
        <v>6374.77</v>
      </c>
      <c r="AI142" s="251" t="str">
        <f>IFERROR(__xludf.DUMMYFUNCTION("""COMPUTED_VALUE"""),"cash_isa")</f>
        <v>cash_isa</v>
      </c>
      <c r="AJ142" s="251" t="str">
        <f>IFERROR(__xludf.DUMMYFUNCTION("""COMPUTED_VALUE"""),"9bc00e6b-ce5f-48c5-ae3a-1baabe00f337")</f>
        <v>9bc00e6b-ce5f-48c5-ae3a-1baabe00f337</v>
      </c>
      <c r="AK142" s="251" t="str">
        <f>IFERROR(__xludf.DUMMYFUNCTION("""COMPUTED_VALUE"""),"95595b40-d639-4aed-a8ab-b9945a463474")</f>
        <v>95595b40-d639-4aed-a8ab-b9945a463474</v>
      </c>
      <c r="AL142" s="251"/>
      <c r="AM142" s="251"/>
      <c r="AN142" s="251"/>
      <c r="AO142" s="251"/>
      <c r="AP142" s="261"/>
      <c r="AR142" s="251" t="str">
        <f t="shared" si="1"/>
        <v>6374.77_credit</v>
      </c>
      <c r="AS142" s="251" t="str">
        <f t="shared" si="2"/>
        <v>DROP</v>
      </c>
      <c r="AT142" s="247"/>
    </row>
    <row r="143">
      <c r="A143" s="262" t="s">
        <v>165</v>
      </c>
      <c r="B143" s="262" t="s">
        <v>473</v>
      </c>
      <c r="C143" s="263">
        <v>46189.45777777778</v>
      </c>
      <c r="D143" s="262" t="s">
        <v>265</v>
      </c>
      <c r="E143" s="264">
        <v>3100.0</v>
      </c>
      <c r="F143" s="262" t="s">
        <v>169</v>
      </c>
      <c r="G143" s="262" t="s">
        <v>170</v>
      </c>
      <c r="H143" s="262" t="s">
        <v>474</v>
      </c>
      <c r="I143" s="265"/>
      <c r="J143" s="265"/>
      <c r="K143" s="266"/>
      <c r="L143" s="265"/>
      <c r="M143" s="267"/>
      <c r="O143" s="247"/>
      <c r="AC143" s="247"/>
      <c r="AD143" s="251" t="str">
        <f>IFERROR(__xludf.DUMMYFUNCTION("""COMPUTED_VALUE"""),"73df5aae-f42a-49a0-9d8f-616ca6dbebaa")</f>
        <v>73df5aae-f42a-49a0-9d8f-616ca6dbebaa</v>
      </c>
      <c r="AE143" s="251" t="str">
        <f>IFERROR(__xludf.DUMMYFUNCTION("""COMPUTED_VALUE"""),"019ed00b-93f3-7792-8cf5-70fa2c0fb27f")</f>
        <v>019ed00b-93f3-7792-8cf5-70fa2c0fb27f</v>
      </c>
      <c r="AF143" s="261">
        <f>IFERROR(__xludf.DUMMYFUNCTION("""COMPUTED_VALUE"""),46189.45)</f>
        <v>46189.45</v>
      </c>
      <c r="AG143" s="251" t="str">
        <f>IFERROR(__xludf.DUMMYFUNCTION("""COMPUTED_VALUE"""),"debit")</f>
        <v>debit</v>
      </c>
      <c r="AH143" s="253">
        <f>IFERROR(__xludf.DUMMYFUNCTION("""COMPUTED_VALUE"""),3020.8)</f>
        <v>3020.8</v>
      </c>
      <c r="AI143" s="251" t="str">
        <f>IFERROR(__xludf.DUMMYFUNCTION("""COMPUTED_VALUE"""),"cash_isa")</f>
        <v>cash_isa</v>
      </c>
      <c r="AJ143" s="251" t="str">
        <f>IFERROR(__xludf.DUMMYFUNCTION("""COMPUTED_VALUE"""),"9bc00e6b-ce5f-48c5-ae3a-1baabe00f337")</f>
        <v>9bc00e6b-ce5f-48c5-ae3a-1baabe00f337</v>
      </c>
      <c r="AK143" s="251" t="str">
        <f>IFERROR(__xludf.DUMMYFUNCTION("""COMPUTED_VALUE"""),"193ad4bb-6f45-42d3-bdfa-768376641602")</f>
        <v>193ad4bb-6f45-42d3-bdfa-768376641602</v>
      </c>
      <c r="AL143" s="251"/>
      <c r="AM143" s="251"/>
      <c r="AN143" s="251"/>
      <c r="AO143" s="251"/>
      <c r="AP143" s="261"/>
      <c r="AR143" s="251" t="str">
        <f t="shared" si="1"/>
        <v>3020.8_debit</v>
      </c>
      <c r="AS143" s="251" t="str">
        <f t="shared" si="2"/>
        <v>DROP</v>
      </c>
      <c r="AT143" s="247"/>
    </row>
    <row r="144">
      <c r="A144" s="255" t="s">
        <v>165</v>
      </c>
      <c r="B144" s="255" t="s">
        <v>475</v>
      </c>
      <c r="C144" s="256">
        <v>46189.46267361111</v>
      </c>
      <c r="D144" s="255" t="s">
        <v>167</v>
      </c>
      <c r="E144" s="257">
        <v>15709.88</v>
      </c>
      <c r="F144" s="255" t="s">
        <v>213</v>
      </c>
      <c r="G144" s="255" t="s">
        <v>214</v>
      </c>
      <c r="H144" s="255" t="s">
        <v>476</v>
      </c>
      <c r="I144" s="258"/>
      <c r="J144" s="258"/>
      <c r="K144" s="259"/>
      <c r="L144" s="258"/>
      <c r="M144" s="260"/>
      <c r="O144" s="247"/>
      <c r="AC144" s="247"/>
      <c r="AD144" s="251" t="str">
        <f>IFERROR(__xludf.DUMMYFUNCTION("""COMPUTED_VALUE"""),"73df5aae-f42a-49a0-9d8f-616ca6dbebaa")</f>
        <v>73df5aae-f42a-49a0-9d8f-616ca6dbebaa</v>
      </c>
      <c r="AE144" s="251" t="str">
        <f>IFERROR(__xludf.DUMMYFUNCTION("""COMPUTED_VALUE"""),"019ed00c-3e30-783e-a4a4-bc2573cb6c89")</f>
        <v>019ed00c-3e30-783e-a4a4-bc2573cb6c89</v>
      </c>
      <c r="AF144" s="261">
        <f>IFERROR(__xludf.DUMMYFUNCTION("""COMPUTED_VALUE"""),46189.45050925926)</f>
        <v>46189.45051</v>
      </c>
      <c r="AG144" s="251" t="str">
        <f>IFERROR(__xludf.DUMMYFUNCTION("""COMPUTED_VALUE"""),"credit")</f>
        <v>credit</v>
      </c>
      <c r="AH144" s="253">
        <f>IFERROR(__xludf.DUMMYFUNCTION("""COMPUTED_VALUE"""),19386.73)</f>
        <v>19386.73</v>
      </c>
      <c r="AI144" s="251" t="str">
        <f>IFERROR(__xludf.DUMMYFUNCTION("""COMPUTED_VALUE"""),"cash_isa")</f>
        <v>cash_isa</v>
      </c>
      <c r="AJ144" s="251" t="str">
        <f>IFERROR(__xludf.DUMMYFUNCTION("""COMPUTED_VALUE"""),"9bc00e6b-ce5f-48c5-ae3a-1baabe00f337")</f>
        <v>9bc00e6b-ce5f-48c5-ae3a-1baabe00f337</v>
      </c>
      <c r="AK144" s="251" t="str">
        <f>IFERROR(__xludf.DUMMYFUNCTION("""COMPUTED_VALUE"""),"60cc9b7c-6c80-4ab0-b03e-fa1b845e23c4")</f>
        <v>60cc9b7c-6c80-4ab0-b03e-fa1b845e23c4</v>
      </c>
      <c r="AL144" s="251"/>
      <c r="AM144" s="251"/>
      <c r="AN144" s="251"/>
      <c r="AO144" s="251"/>
      <c r="AP144" s="261"/>
      <c r="AR144" s="251" t="str">
        <f t="shared" si="1"/>
        <v>19386.73_credit</v>
      </c>
      <c r="AS144" s="251" t="str">
        <f t="shared" si="2"/>
        <v>DROP</v>
      </c>
      <c r="AT144" s="247"/>
    </row>
    <row r="145">
      <c r="A145" s="262" t="s">
        <v>165</v>
      </c>
      <c r="B145" s="262" t="s">
        <v>477</v>
      </c>
      <c r="C145" s="263">
        <v>46189.462696759256</v>
      </c>
      <c r="D145" s="262" t="s">
        <v>167</v>
      </c>
      <c r="E145" s="264">
        <v>64617.82</v>
      </c>
      <c r="F145" s="262" t="s">
        <v>169</v>
      </c>
      <c r="G145" s="262" t="s">
        <v>170</v>
      </c>
      <c r="H145" s="262" t="s">
        <v>478</v>
      </c>
      <c r="I145" s="265"/>
      <c r="J145" s="265"/>
      <c r="K145" s="266"/>
      <c r="L145" s="265"/>
      <c r="M145" s="267"/>
      <c r="O145" s="247"/>
      <c r="AC145" s="247"/>
      <c r="AD145" s="251" t="str">
        <f>IFERROR(__xludf.DUMMYFUNCTION("""COMPUTED_VALUE"""),"73df5aae-f42a-49a0-9d8f-616ca6dbebaa")</f>
        <v>73df5aae-f42a-49a0-9d8f-616ca6dbebaa</v>
      </c>
      <c r="AE145" s="251" t="str">
        <f>IFERROR(__xludf.DUMMYFUNCTION("""COMPUTED_VALUE"""),"019ed00d-2039-70ce-8315-56995b263d0d")</f>
        <v>019ed00d-2039-70ce-8315-56995b263d0d</v>
      </c>
      <c r="AF145" s="261">
        <f>IFERROR(__xludf.DUMMYFUNCTION("""COMPUTED_VALUE"""),46189.45118055555)</f>
        <v>46189.45118</v>
      </c>
      <c r="AG145" s="251" t="str">
        <f>IFERROR(__xludf.DUMMYFUNCTION("""COMPUTED_VALUE"""),"debit")</f>
        <v>debit</v>
      </c>
      <c r="AH145" s="253">
        <f>IFERROR(__xludf.DUMMYFUNCTION("""COMPUTED_VALUE"""),6374.77)</f>
        <v>6374.77</v>
      </c>
      <c r="AI145" s="251" t="str">
        <f>IFERROR(__xludf.DUMMYFUNCTION("""COMPUTED_VALUE"""),"cash_isa")</f>
        <v>cash_isa</v>
      </c>
      <c r="AJ145" s="251" t="str">
        <f>IFERROR(__xludf.DUMMYFUNCTION("""COMPUTED_VALUE"""),"9bc00e6b-ce5f-48c5-ae3a-1baabe00f337")</f>
        <v>9bc00e6b-ce5f-48c5-ae3a-1baabe00f337</v>
      </c>
      <c r="AK145" s="251" t="str">
        <f>IFERROR(__xludf.DUMMYFUNCTION("""COMPUTED_VALUE"""),"95595b40-d639-4aed-a8ab-b9945a463474")</f>
        <v>95595b40-d639-4aed-a8ab-b9945a463474</v>
      </c>
      <c r="AL145" s="251"/>
      <c r="AM145" s="251"/>
      <c r="AN145" s="251"/>
      <c r="AO145" s="251"/>
      <c r="AP145" s="261"/>
      <c r="AR145" s="251" t="str">
        <f t="shared" si="1"/>
        <v>6374.77_debit</v>
      </c>
      <c r="AS145" s="251" t="str">
        <f t="shared" si="2"/>
        <v>DROP</v>
      </c>
      <c r="AT145" s="247"/>
    </row>
    <row r="146">
      <c r="A146" s="255" t="s">
        <v>165</v>
      </c>
      <c r="B146" s="255" t="s">
        <v>479</v>
      </c>
      <c r="C146" s="256">
        <v>46189.46451388889</v>
      </c>
      <c r="D146" s="255" t="s">
        <v>167</v>
      </c>
      <c r="E146" s="257">
        <v>12062.88</v>
      </c>
      <c r="F146" s="255" t="s">
        <v>169</v>
      </c>
      <c r="G146" s="255" t="s">
        <v>170</v>
      </c>
      <c r="H146" s="255" t="s">
        <v>480</v>
      </c>
      <c r="I146" s="258"/>
      <c r="J146" s="258"/>
      <c r="K146" s="259"/>
      <c r="L146" s="258"/>
      <c r="M146" s="260"/>
      <c r="O146" s="247"/>
      <c r="AC146" s="247"/>
      <c r="AD146" s="251" t="str">
        <f>IFERROR(__xludf.DUMMYFUNCTION("""COMPUTED_VALUE"""),"73df5aae-f42a-49a0-9d8f-616ca6dbebaa")</f>
        <v>73df5aae-f42a-49a0-9d8f-616ca6dbebaa</v>
      </c>
      <c r="AE146" s="251" t="str">
        <f>IFERROR(__xludf.DUMMYFUNCTION("""COMPUTED_VALUE"""),"019ed00d-d7ab-74fd-9790-a30d9fad1565")</f>
        <v>019ed00d-d7ab-74fd-9790-a30d9fad1565</v>
      </c>
      <c r="AF146" s="261">
        <f>IFERROR(__xludf.DUMMYFUNCTION("""COMPUTED_VALUE"""),46189.45172453704)</f>
        <v>46189.45172</v>
      </c>
      <c r="AG146" s="251" t="str">
        <f>IFERROR(__xludf.DUMMYFUNCTION("""COMPUTED_VALUE"""),"credit")</f>
        <v>credit</v>
      </c>
      <c r="AH146" s="253">
        <f>IFERROR(__xludf.DUMMYFUNCTION("""COMPUTED_VALUE"""),5271.34)</f>
        <v>5271.34</v>
      </c>
      <c r="AI146" s="251" t="str">
        <f>IFERROR(__xludf.DUMMYFUNCTION("""COMPUTED_VALUE"""),"cash_isa")</f>
        <v>cash_isa</v>
      </c>
      <c r="AJ146" s="251" t="str">
        <f>IFERROR(__xludf.DUMMYFUNCTION("""COMPUTED_VALUE"""),"9bc00e6b-ce5f-48c5-ae3a-1baabe00f337")</f>
        <v>9bc00e6b-ce5f-48c5-ae3a-1baabe00f337</v>
      </c>
      <c r="AK146" s="251" t="str">
        <f>IFERROR(__xludf.DUMMYFUNCTION("""COMPUTED_VALUE"""),"a41baabc-b5f9-49f4-a294-cf48f37d7a8d")</f>
        <v>a41baabc-b5f9-49f4-a294-cf48f37d7a8d</v>
      </c>
      <c r="AL146" s="251"/>
      <c r="AM146" s="251"/>
      <c r="AN146" s="251"/>
      <c r="AO146" s="251"/>
      <c r="AP146" s="261"/>
      <c r="AR146" s="251" t="str">
        <f t="shared" si="1"/>
        <v>5271.34_credit</v>
      </c>
      <c r="AS146" s="251" t="str">
        <f t="shared" si="2"/>
        <v>DROP</v>
      </c>
      <c r="AT146" s="247"/>
    </row>
    <row r="147">
      <c r="A147" s="262" t="s">
        <v>165</v>
      </c>
      <c r="B147" s="262" t="s">
        <v>481</v>
      </c>
      <c r="C147" s="263">
        <v>46189.46533564815</v>
      </c>
      <c r="D147" s="262" t="s">
        <v>265</v>
      </c>
      <c r="E147" s="264">
        <v>64617.82</v>
      </c>
      <c r="F147" s="262" t="s">
        <v>169</v>
      </c>
      <c r="G147" s="262" t="s">
        <v>170</v>
      </c>
      <c r="H147" s="262" t="s">
        <v>478</v>
      </c>
      <c r="I147" s="265"/>
      <c r="J147" s="265"/>
      <c r="K147" s="266"/>
      <c r="L147" s="265"/>
      <c r="M147" s="267"/>
      <c r="O147" s="247"/>
      <c r="AC147" s="247"/>
      <c r="AD147" s="251" t="str">
        <f>IFERROR(__xludf.DUMMYFUNCTION("""COMPUTED_VALUE"""),"73df5aae-f42a-49a0-9d8f-616ca6dbebaa")</f>
        <v>73df5aae-f42a-49a0-9d8f-616ca6dbebaa</v>
      </c>
      <c r="AE147" s="251" t="str">
        <f>IFERROR(__xludf.DUMMYFUNCTION("""COMPUTED_VALUE"""),"019ed00f-77a4-7c00-be01-db7d4230f0bb")</f>
        <v>019ed00f-77a4-7c00-be01-db7d4230f0bb</v>
      </c>
      <c r="AF147" s="261">
        <f>IFERROR(__xludf.DUMMYFUNCTION("""COMPUTED_VALUE"""),46189.452951388885)</f>
        <v>46189.45295</v>
      </c>
      <c r="AG147" s="251" t="str">
        <f>IFERROR(__xludf.DUMMYFUNCTION("""COMPUTED_VALUE"""),"debit")</f>
        <v>debit</v>
      </c>
      <c r="AH147" s="253">
        <f>IFERROR(__xludf.DUMMYFUNCTION("""COMPUTED_VALUE"""),19386.73)</f>
        <v>19386.73</v>
      </c>
      <c r="AI147" s="251" t="str">
        <f>IFERROR(__xludf.DUMMYFUNCTION("""COMPUTED_VALUE"""),"cash_isa")</f>
        <v>cash_isa</v>
      </c>
      <c r="AJ147" s="251" t="str">
        <f>IFERROR(__xludf.DUMMYFUNCTION("""COMPUTED_VALUE"""),"9bc00e6b-ce5f-48c5-ae3a-1baabe00f337")</f>
        <v>9bc00e6b-ce5f-48c5-ae3a-1baabe00f337</v>
      </c>
      <c r="AK147" s="251" t="str">
        <f>IFERROR(__xludf.DUMMYFUNCTION("""COMPUTED_VALUE"""),"60cc9b7c-6c80-4ab0-b03e-fa1b845e23c4")</f>
        <v>60cc9b7c-6c80-4ab0-b03e-fa1b845e23c4</v>
      </c>
      <c r="AL147" s="251"/>
      <c r="AM147" s="251"/>
      <c r="AN147" s="251"/>
      <c r="AO147" s="251"/>
      <c r="AP147" s="261"/>
      <c r="AR147" s="251" t="str">
        <f t="shared" si="1"/>
        <v>19386.73_debit</v>
      </c>
      <c r="AS147" s="251" t="str">
        <f t="shared" si="2"/>
        <v>DROP</v>
      </c>
      <c r="AT147" s="247"/>
    </row>
    <row r="148">
      <c r="A148" s="255" t="s">
        <v>165</v>
      </c>
      <c r="B148" s="255" t="s">
        <v>482</v>
      </c>
      <c r="C148" s="256">
        <v>46189.46570601852</v>
      </c>
      <c r="D148" s="255" t="s">
        <v>167</v>
      </c>
      <c r="E148" s="257">
        <v>20922.8</v>
      </c>
      <c r="F148" s="255" t="s">
        <v>169</v>
      </c>
      <c r="G148" s="255" t="s">
        <v>170</v>
      </c>
      <c r="H148" s="255" t="s">
        <v>483</v>
      </c>
      <c r="I148" s="258"/>
      <c r="J148" s="258"/>
      <c r="K148" s="259"/>
      <c r="L148" s="258"/>
      <c r="M148" s="260"/>
      <c r="O148" s="247"/>
      <c r="AC148" s="247"/>
      <c r="AD148" s="251" t="str">
        <f>IFERROR(__xludf.DUMMYFUNCTION("""COMPUTED_VALUE"""),"73df5aae-f42a-49a0-9d8f-616ca6dbebaa")</f>
        <v>73df5aae-f42a-49a0-9d8f-616ca6dbebaa</v>
      </c>
      <c r="AE148" s="251" t="str">
        <f>IFERROR(__xludf.DUMMYFUNCTION("""COMPUTED_VALUE"""),"019ed010-6f12-7af0-97d0-8c1538f793c4")</f>
        <v>019ed010-6f12-7af0-97d0-8c1538f793c4</v>
      </c>
      <c r="AF148" s="261">
        <f>IFERROR(__xludf.DUMMYFUNCTION("""COMPUTED_VALUE"""),46189.453680555554)</f>
        <v>46189.45368</v>
      </c>
      <c r="AG148" s="251" t="str">
        <f>IFERROR(__xludf.DUMMYFUNCTION("""COMPUTED_VALUE"""),"debit")</f>
        <v>debit</v>
      </c>
      <c r="AH148" s="253">
        <f>IFERROR(__xludf.DUMMYFUNCTION("""COMPUTED_VALUE"""),5271.34)</f>
        <v>5271.34</v>
      </c>
      <c r="AI148" s="251" t="str">
        <f>IFERROR(__xludf.DUMMYFUNCTION("""COMPUTED_VALUE"""),"cash_isa")</f>
        <v>cash_isa</v>
      </c>
      <c r="AJ148" s="251" t="str">
        <f>IFERROR(__xludf.DUMMYFUNCTION("""COMPUTED_VALUE"""),"9bc00e6b-ce5f-48c5-ae3a-1baabe00f337")</f>
        <v>9bc00e6b-ce5f-48c5-ae3a-1baabe00f337</v>
      </c>
      <c r="AK148" s="251" t="str">
        <f>IFERROR(__xludf.DUMMYFUNCTION("""COMPUTED_VALUE"""),"a41baabc-b5f9-49f4-a294-cf48f37d7a8d")</f>
        <v>a41baabc-b5f9-49f4-a294-cf48f37d7a8d</v>
      </c>
      <c r="AL148" s="251"/>
      <c r="AM148" s="251"/>
      <c r="AN148" s="251"/>
      <c r="AO148" s="251"/>
      <c r="AP148" s="261"/>
      <c r="AR148" s="251" t="str">
        <f t="shared" si="1"/>
        <v>5271.34_debit</v>
      </c>
      <c r="AS148" s="251" t="str">
        <f t="shared" si="2"/>
        <v>DROP</v>
      </c>
      <c r="AT148" s="247"/>
    </row>
    <row r="149">
      <c r="A149" s="262" t="s">
        <v>165</v>
      </c>
      <c r="B149" s="262" t="s">
        <v>484</v>
      </c>
      <c r="C149" s="263">
        <v>46189.46611111111</v>
      </c>
      <c r="D149" s="262" t="s">
        <v>265</v>
      </c>
      <c r="E149" s="264">
        <v>12062.88</v>
      </c>
      <c r="F149" s="262" t="s">
        <v>169</v>
      </c>
      <c r="G149" s="262" t="s">
        <v>170</v>
      </c>
      <c r="H149" s="262" t="s">
        <v>480</v>
      </c>
      <c r="I149" s="265"/>
      <c r="J149" s="265"/>
      <c r="K149" s="266"/>
      <c r="L149" s="265"/>
      <c r="M149" s="267"/>
      <c r="O149" s="247"/>
      <c r="AC149" s="247"/>
      <c r="AD149" s="251" t="str">
        <f>IFERROR(__xludf.DUMMYFUNCTION("""COMPUTED_VALUE"""),"73df5aae-f42a-49a0-9d8f-616ca6dbebaa")</f>
        <v>73df5aae-f42a-49a0-9d8f-616ca6dbebaa</v>
      </c>
      <c r="AE149" s="251" t="str">
        <f>IFERROR(__xludf.DUMMYFUNCTION("""COMPUTED_VALUE"""),"019ed011-a7c2-72ac-a034-a55279b56485")</f>
        <v>019ed011-a7c2-72ac-a034-a55279b56485</v>
      </c>
      <c r="AF149" s="261">
        <f>IFERROR(__xludf.DUMMYFUNCTION("""COMPUTED_VALUE"""),46189.454618055555)</f>
        <v>46189.45462</v>
      </c>
      <c r="AG149" s="251" t="str">
        <f>IFERROR(__xludf.DUMMYFUNCTION("""COMPUTED_VALUE"""),"credit")</f>
        <v>credit</v>
      </c>
      <c r="AH149" s="253">
        <f>IFERROR(__xludf.DUMMYFUNCTION("""COMPUTED_VALUE"""),16778.7)</f>
        <v>16778.7</v>
      </c>
      <c r="AI149" s="251" t="str">
        <f>IFERROR(__xludf.DUMMYFUNCTION("""COMPUTED_VALUE"""),"cash_isa")</f>
        <v>cash_isa</v>
      </c>
      <c r="AJ149" s="251" t="str">
        <f>IFERROR(__xludf.DUMMYFUNCTION("""COMPUTED_VALUE"""),"9bc00e6b-ce5f-48c5-ae3a-1baabe00f337")</f>
        <v>9bc00e6b-ce5f-48c5-ae3a-1baabe00f337</v>
      </c>
      <c r="AK149" s="251" t="str">
        <f>IFERROR(__xludf.DUMMYFUNCTION("""COMPUTED_VALUE"""),"97c284de-ed64-4e97-b802-4719346b6c7c")</f>
        <v>97c284de-ed64-4e97-b802-4719346b6c7c</v>
      </c>
      <c r="AL149" s="251"/>
      <c r="AM149" s="251"/>
      <c r="AN149" s="251"/>
      <c r="AO149" s="251"/>
      <c r="AP149" s="261"/>
      <c r="AR149" s="251" t="str">
        <f t="shared" si="1"/>
        <v>16778.7_credit</v>
      </c>
      <c r="AS149" s="251" t="str">
        <f t="shared" si="2"/>
        <v>DROP</v>
      </c>
      <c r="AT149" s="247"/>
    </row>
    <row r="150">
      <c r="A150" s="255" t="s">
        <v>165</v>
      </c>
      <c r="B150" s="255" t="s">
        <v>485</v>
      </c>
      <c r="C150" s="256">
        <v>46189.46690972222</v>
      </c>
      <c r="D150" s="255" t="s">
        <v>167</v>
      </c>
      <c r="E150" s="257">
        <v>8059.3</v>
      </c>
      <c r="F150" s="255" t="s">
        <v>169</v>
      </c>
      <c r="G150" s="255" t="s">
        <v>170</v>
      </c>
      <c r="H150" s="255" t="s">
        <v>486</v>
      </c>
      <c r="I150" s="258"/>
      <c r="J150" s="258"/>
      <c r="K150" s="259"/>
      <c r="L150" s="258"/>
      <c r="M150" s="260"/>
      <c r="O150" s="247"/>
      <c r="AC150" s="247"/>
      <c r="AD150" s="251" t="str">
        <f>IFERROR(__xludf.DUMMYFUNCTION("""COMPUTED_VALUE"""),"73df5aae-f42a-49a0-9d8f-616ca6dbebaa")</f>
        <v>73df5aae-f42a-49a0-9d8f-616ca6dbebaa</v>
      </c>
      <c r="AE150" s="251" t="str">
        <f>IFERROR(__xludf.DUMMYFUNCTION("""COMPUTED_VALUE"""),"019ed014-4518-7b43-8af4-9b20f5d8242a")</f>
        <v>019ed014-4518-7b43-8af4-9b20f5d8242a</v>
      </c>
      <c r="AF150" s="261">
        <f>IFERROR(__xludf.DUMMYFUNCTION("""COMPUTED_VALUE"""),46189.45659722222)</f>
        <v>46189.4566</v>
      </c>
      <c r="AG150" s="251" t="str">
        <f>IFERROR(__xludf.DUMMYFUNCTION("""COMPUTED_VALUE"""),"debit")</f>
        <v>debit</v>
      </c>
      <c r="AH150" s="253">
        <f>IFERROR(__xludf.DUMMYFUNCTION("""COMPUTED_VALUE"""),16778.7)</f>
        <v>16778.7</v>
      </c>
      <c r="AI150" s="251" t="str">
        <f>IFERROR(__xludf.DUMMYFUNCTION("""COMPUTED_VALUE"""),"cash_isa")</f>
        <v>cash_isa</v>
      </c>
      <c r="AJ150" s="251" t="str">
        <f>IFERROR(__xludf.DUMMYFUNCTION("""COMPUTED_VALUE"""),"9bc00e6b-ce5f-48c5-ae3a-1baabe00f337")</f>
        <v>9bc00e6b-ce5f-48c5-ae3a-1baabe00f337</v>
      </c>
      <c r="AK150" s="251" t="str">
        <f>IFERROR(__xludf.DUMMYFUNCTION("""COMPUTED_VALUE"""),"97c284de-ed64-4e97-b802-4719346b6c7c")</f>
        <v>97c284de-ed64-4e97-b802-4719346b6c7c</v>
      </c>
      <c r="AL150" s="251"/>
      <c r="AM150" s="251"/>
      <c r="AN150" s="251"/>
      <c r="AO150" s="251"/>
      <c r="AP150" s="261"/>
      <c r="AR150" s="251" t="str">
        <f t="shared" si="1"/>
        <v>16778.7_debit</v>
      </c>
      <c r="AS150" s="251" t="str">
        <f t="shared" si="2"/>
        <v>DROP</v>
      </c>
      <c r="AT150" s="247"/>
    </row>
    <row r="151">
      <c r="A151" s="262" t="s">
        <v>165</v>
      </c>
      <c r="B151" s="262" t="s">
        <v>487</v>
      </c>
      <c r="C151" s="263">
        <v>46189.46758101852</v>
      </c>
      <c r="D151" s="262" t="s">
        <v>265</v>
      </c>
      <c r="E151" s="264">
        <v>20922.8</v>
      </c>
      <c r="F151" s="262" t="s">
        <v>169</v>
      </c>
      <c r="G151" s="262" t="s">
        <v>170</v>
      </c>
      <c r="H151" s="262" t="s">
        <v>483</v>
      </c>
      <c r="I151" s="265"/>
      <c r="J151" s="265"/>
      <c r="K151" s="266"/>
      <c r="L151" s="265"/>
      <c r="M151" s="267"/>
      <c r="O151" s="247"/>
      <c r="AC151" s="247"/>
      <c r="AD151" s="251" t="str">
        <f>IFERROR(__xludf.DUMMYFUNCTION("""COMPUTED_VALUE"""),"73df5aae-f42a-49a0-9d8f-616ca6dbebaa")</f>
        <v>73df5aae-f42a-49a0-9d8f-616ca6dbebaa</v>
      </c>
      <c r="AE151" s="251" t="str">
        <f>IFERROR(__xludf.DUMMYFUNCTION("""COMPUTED_VALUE"""),"019ed015-c5dc-794f-b403-b3a6b5e5bcb3")</f>
        <v>019ed015-c5dc-794f-b403-b3a6b5e5bcb3</v>
      </c>
      <c r="AF151" s="261">
        <f>IFERROR(__xludf.DUMMYFUNCTION("""COMPUTED_VALUE"""),46189.45773148148)</f>
        <v>46189.45773</v>
      </c>
      <c r="AG151" s="251" t="str">
        <f>IFERROR(__xludf.DUMMYFUNCTION("""COMPUTED_VALUE"""),"debit")</f>
        <v>debit</v>
      </c>
      <c r="AH151" s="253">
        <f>IFERROR(__xludf.DUMMYFUNCTION("""COMPUTED_VALUE"""),2000.0)</f>
        <v>2000</v>
      </c>
      <c r="AI151" s="251" t="str">
        <f>IFERROR(__xludf.DUMMYFUNCTION("""COMPUTED_VALUE"""),"cash_isa")</f>
        <v>cash_isa</v>
      </c>
      <c r="AJ151" s="251" t="str">
        <f>IFERROR(__xludf.DUMMYFUNCTION("""COMPUTED_VALUE"""),"9bc00e6b-ce5f-48c5-ae3a-1baabe00f337")</f>
        <v>9bc00e6b-ce5f-48c5-ae3a-1baabe00f337</v>
      </c>
      <c r="AK151" s="251" t="str">
        <f>IFERROR(__xludf.DUMMYFUNCTION("""COMPUTED_VALUE"""),"484d47c0-4ba1-45b5-8762-e933a96e2578")</f>
        <v>484d47c0-4ba1-45b5-8762-e933a96e2578</v>
      </c>
      <c r="AL151" s="251"/>
      <c r="AM151" s="251"/>
      <c r="AN151" s="251"/>
      <c r="AO151" s="251"/>
      <c r="AP151" s="261"/>
      <c r="AR151" s="251" t="str">
        <f t="shared" si="1"/>
        <v>2000_debit</v>
      </c>
      <c r="AS151" s="251" t="str">
        <f t="shared" si="2"/>
        <v>KEEP</v>
      </c>
      <c r="AT151" s="247"/>
    </row>
    <row r="152">
      <c r="A152" s="255" t="s">
        <v>165</v>
      </c>
      <c r="B152" s="255" t="s">
        <v>488</v>
      </c>
      <c r="C152" s="256">
        <v>46189.47047453704</v>
      </c>
      <c r="D152" s="255" t="s">
        <v>265</v>
      </c>
      <c r="E152" s="257">
        <v>8059.3</v>
      </c>
      <c r="F152" s="255" t="s">
        <v>169</v>
      </c>
      <c r="G152" s="255" t="s">
        <v>170</v>
      </c>
      <c r="H152" s="255" t="s">
        <v>486</v>
      </c>
      <c r="I152" s="258"/>
      <c r="J152" s="258"/>
      <c r="K152" s="259"/>
      <c r="L152" s="258"/>
      <c r="M152" s="260"/>
      <c r="O152" s="247"/>
      <c r="AC152" s="247"/>
      <c r="AD152" s="251" t="str">
        <f>IFERROR(__xludf.DUMMYFUNCTION("""COMPUTED_VALUE"""),"73df5aae-f42a-49a0-9d8f-616ca6dbebaa")</f>
        <v>73df5aae-f42a-49a0-9d8f-616ca6dbebaa</v>
      </c>
      <c r="AE152" s="251" t="str">
        <f>IFERROR(__xludf.DUMMYFUNCTION("""COMPUTED_VALUE"""),"019ed015-d33d-7f61-8bb3-deadbf0d9c07")</f>
        <v>019ed015-d33d-7f61-8bb3-deadbf0d9c07</v>
      </c>
      <c r="AF152" s="261">
        <f>IFERROR(__xludf.DUMMYFUNCTION("""COMPUTED_VALUE"""),46189.457777777774)</f>
        <v>46189.45778</v>
      </c>
      <c r="AG152" s="251" t="str">
        <f>IFERROR(__xludf.DUMMYFUNCTION("""COMPUTED_VALUE"""),"debit")</f>
        <v>debit</v>
      </c>
      <c r="AH152" s="253">
        <f>IFERROR(__xludf.DUMMYFUNCTION("""COMPUTED_VALUE"""),3100.0)</f>
        <v>3100</v>
      </c>
      <c r="AI152" s="251" t="str">
        <f>IFERROR(__xludf.DUMMYFUNCTION("""COMPUTED_VALUE"""),"cash_isa")</f>
        <v>cash_isa</v>
      </c>
      <c r="AJ152" s="251" t="str">
        <f>IFERROR(__xludf.DUMMYFUNCTION("""COMPUTED_VALUE"""),"9bc00e6b-ce5f-48c5-ae3a-1baabe00f337")</f>
        <v>9bc00e6b-ce5f-48c5-ae3a-1baabe00f337</v>
      </c>
      <c r="AK152" s="251" t="str">
        <f>IFERROR(__xludf.DUMMYFUNCTION("""COMPUTED_VALUE"""),"635da7fc-5835-4ab2-807a-a13c63aab420")</f>
        <v>635da7fc-5835-4ab2-807a-a13c63aab420</v>
      </c>
      <c r="AL152" s="251"/>
      <c r="AM152" s="251"/>
      <c r="AN152" s="251"/>
      <c r="AO152" s="251"/>
      <c r="AP152" s="261"/>
      <c r="AR152" s="251" t="str">
        <f t="shared" si="1"/>
        <v>3100_debit</v>
      </c>
      <c r="AS152" s="251" t="str">
        <f t="shared" si="2"/>
        <v>KEEP</v>
      </c>
      <c r="AT152" s="247"/>
    </row>
    <row r="153">
      <c r="A153" s="262" t="s">
        <v>165</v>
      </c>
      <c r="B153" s="262" t="s">
        <v>489</v>
      </c>
      <c r="C153" s="263">
        <v>46189.484814814816</v>
      </c>
      <c r="D153" s="262" t="s">
        <v>167</v>
      </c>
      <c r="E153" s="264">
        <v>5382.11</v>
      </c>
      <c r="F153" s="262" t="s">
        <v>169</v>
      </c>
      <c r="G153" s="262" t="s">
        <v>170</v>
      </c>
      <c r="H153" s="262" t="s">
        <v>490</v>
      </c>
      <c r="I153" s="265"/>
      <c r="J153" s="265"/>
      <c r="K153" s="266"/>
      <c r="L153" s="265"/>
      <c r="M153" s="267"/>
      <c r="O153" s="247"/>
      <c r="AC153" s="247"/>
      <c r="AD153" s="251" t="str">
        <f>IFERROR(__xludf.DUMMYFUNCTION("""COMPUTED_VALUE"""),"73df5aae-f42a-49a0-9d8f-616ca6dbebaa")</f>
        <v>73df5aae-f42a-49a0-9d8f-616ca6dbebaa</v>
      </c>
      <c r="AE153" s="251" t="str">
        <f>IFERROR(__xludf.DUMMYFUNCTION("""COMPUTED_VALUE"""),"019ed01c-5049-782f-8cc6-252351206537")</f>
        <v>019ed01c-5049-782f-8cc6-252351206537</v>
      </c>
      <c r="AF153" s="261">
        <f>IFERROR(__xludf.DUMMYFUNCTION("""COMPUTED_VALUE"""),46189.46269675926)</f>
        <v>46189.4627</v>
      </c>
      <c r="AG153" s="251" t="str">
        <f>IFERROR(__xludf.DUMMYFUNCTION("""COMPUTED_VALUE"""),"credit")</f>
        <v>credit</v>
      </c>
      <c r="AH153" s="253">
        <f>IFERROR(__xludf.DUMMYFUNCTION("""COMPUTED_VALUE"""),64617.82)</f>
        <v>64617.82</v>
      </c>
      <c r="AI153" s="251" t="str">
        <f>IFERROR(__xludf.DUMMYFUNCTION("""COMPUTED_VALUE"""),"cash_isa")</f>
        <v>cash_isa</v>
      </c>
      <c r="AJ153" s="251" t="str">
        <f>IFERROR(__xludf.DUMMYFUNCTION("""COMPUTED_VALUE"""),"9bc00e6b-ce5f-48c5-ae3a-1baabe00f337")</f>
        <v>9bc00e6b-ce5f-48c5-ae3a-1baabe00f337</v>
      </c>
      <c r="AK153" s="251" t="str">
        <f>IFERROR(__xludf.DUMMYFUNCTION("""COMPUTED_VALUE"""),"6a40f337-61d0-47ae-9ba0-b5393d2cfbb6")</f>
        <v>6a40f337-61d0-47ae-9ba0-b5393d2cfbb6</v>
      </c>
      <c r="AL153" s="251"/>
      <c r="AM153" s="251"/>
      <c r="AN153" s="251"/>
      <c r="AO153" s="251"/>
      <c r="AP153" s="261"/>
      <c r="AR153" s="251" t="str">
        <f t="shared" si="1"/>
        <v>64617.82_credit</v>
      </c>
      <c r="AS153" s="251" t="str">
        <f t="shared" si="2"/>
        <v>DROP</v>
      </c>
      <c r="AT153" s="247"/>
    </row>
    <row r="154">
      <c r="A154" s="255" t="s">
        <v>165</v>
      </c>
      <c r="B154" s="255" t="s">
        <v>491</v>
      </c>
      <c r="C154" s="256">
        <v>46189.48604166666</v>
      </c>
      <c r="D154" s="255" t="s">
        <v>167</v>
      </c>
      <c r="E154" s="257">
        <v>20050.32</v>
      </c>
      <c r="F154" s="255" t="s">
        <v>169</v>
      </c>
      <c r="G154" s="255" t="s">
        <v>170</v>
      </c>
      <c r="H154" s="255" t="s">
        <v>492</v>
      </c>
      <c r="I154" s="258"/>
      <c r="J154" s="258"/>
      <c r="K154" s="259"/>
      <c r="L154" s="258"/>
      <c r="M154" s="260"/>
      <c r="O154" s="247"/>
      <c r="AC154" s="247"/>
      <c r="AD154" s="251" t="str">
        <f>IFERROR(__xludf.DUMMYFUNCTION("""COMPUTED_VALUE"""),"73df5aae-f42a-49a0-9d8f-616ca6dbebaa")</f>
        <v>73df5aae-f42a-49a0-9d8f-616ca6dbebaa</v>
      </c>
      <c r="AE154" s="251" t="str">
        <f>IFERROR(__xludf.DUMMYFUNCTION("""COMPUTED_VALUE"""),"019ed01e-b535-7d43-8ed1-abc3ae17034f")</f>
        <v>019ed01e-b535-7d43-8ed1-abc3ae17034f</v>
      </c>
      <c r="AF154" s="261">
        <f>IFERROR(__xludf.DUMMYFUNCTION("""COMPUTED_VALUE"""),46189.46451388889)</f>
        <v>46189.46451</v>
      </c>
      <c r="AG154" s="251" t="str">
        <f>IFERROR(__xludf.DUMMYFUNCTION("""COMPUTED_VALUE"""),"credit")</f>
        <v>credit</v>
      </c>
      <c r="AH154" s="253">
        <f>IFERROR(__xludf.DUMMYFUNCTION("""COMPUTED_VALUE"""),12062.88)</f>
        <v>12062.88</v>
      </c>
      <c r="AI154" s="251" t="str">
        <f>IFERROR(__xludf.DUMMYFUNCTION("""COMPUTED_VALUE"""),"cash_isa")</f>
        <v>cash_isa</v>
      </c>
      <c r="AJ154" s="251" t="str">
        <f>IFERROR(__xludf.DUMMYFUNCTION("""COMPUTED_VALUE"""),"9bc00e6b-ce5f-48c5-ae3a-1baabe00f337")</f>
        <v>9bc00e6b-ce5f-48c5-ae3a-1baabe00f337</v>
      </c>
      <c r="AK154" s="251" t="str">
        <f>IFERROR(__xludf.DUMMYFUNCTION("""COMPUTED_VALUE"""),"3359f22a-2384-4262-a97a-574c1dcce80f")</f>
        <v>3359f22a-2384-4262-a97a-574c1dcce80f</v>
      </c>
      <c r="AL154" s="251"/>
      <c r="AM154" s="251"/>
      <c r="AN154" s="251"/>
      <c r="AO154" s="251"/>
      <c r="AP154" s="261"/>
      <c r="AR154" s="251" t="str">
        <f t="shared" si="1"/>
        <v>12062.88_credit</v>
      </c>
      <c r="AS154" s="251" t="str">
        <f t="shared" si="2"/>
        <v>DROP</v>
      </c>
      <c r="AT154" s="247"/>
    </row>
    <row r="155">
      <c r="A155" s="262" t="s">
        <v>165</v>
      </c>
      <c r="B155" s="262" t="s">
        <v>493</v>
      </c>
      <c r="C155" s="263">
        <v>46189.48625</v>
      </c>
      <c r="D155" s="262" t="s">
        <v>265</v>
      </c>
      <c r="E155" s="264">
        <v>5382.11</v>
      </c>
      <c r="F155" s="262" t="s">
        <v>169</v>
      </c>
      <c r="G155" s="262" t="s">
        <v>170</v>
      </c>
      <c r="H155" s="262" t="s">
        <v>490</v>
      </c>
      <c r="I155" s="265"/>
      <c r="J155" s="265"/>
      <c r="K155" s="266"/>
      <c r="L155" s="265"/>
      <c r="M155" s="267"/>
      <c r="O155" s="247"/>
      <c r="AC155" s="247"/>
      <c r="AD155" s="251" t="str">
        <f>IFERROR(__xludf.DUMMYFUNCTION("""COMPUTED_VALUE"""),"73df5aae-f42a-49a0-9d8f-616ca6dbebaa")</f>
        <v>73df5aae-f42a-49a0-9d8f-616ca6dbebaa</v>
      </c>
      <c r="AE155" s="251" t="str">
        <f>IFERROR(__xludf.DUMMYFUNCTION("""COMPUTED_VALUE"""),"019ed01f-cc1b-7ea9-bb81-74c81aa9634e")</f>
        <v>019ed01f-cc1b-7ea9-bb81-74c81aa9634e</v>
      </c>
      <c r="AF155" s="261">
        <f>IFERROR(__xludf.DUMMYFUNCTION("""COMPUTED_VALUE"""),46189.46533564814)</f>
        <v>46189.46534</v>
      </c>
      <c r="AG155" s="251" t="str">
        <f>IFERROR(__xludf.DUMMYFUNCTION("""COMPUTED_VALUE"""),"debit")</f>
        <v>debit</v>
      </c>
      <c r="AH155" s="253">
        <f>IFERROR(__xludf.DUMMYFUNCTION("""COMPUTED_VALUE"""),64617.82)</f>
        <v>64617.82</v>
      </c>
      <c r="AI155" s="251" t="str">
        <f>IFERROR(__xludf.DUMMYFUNCTION("""COMPUTED_VALUE"""),"cash_isa")</f>
        <v>cash_isa</v>
      </c>
      <c r="AJ155" s="251" t="str">
        <f>IFERROR(__xludf.DUMMYFUNCTION("""COMPUTED_VALUE"""),"9bc00e6b-ce5f-48c5-ae3a-1baabe00f337")</f>
        <v>9bc00e6b-ce5f-48c5-ae3a-1baabe00f337</v>
      </c>
      <c r="AK155" s="251" t="str">
        <f>IFERROR(__xludf.DUMMYFUNCTION("""COMPUTED_VALUE"""),"6a40f337-61d0-47ae-9ba0-b5393d2cfbb6")</f>
        <v>6a40f337-61d0-47ae-9ba0-b5393d2cfbb6</v>
      </c>
      <c r="AL155" s="251"/>
      <c r="AM155" s="251"/>
      <c r="AN155" s="251"/>
      <c r="AO155" s="251"/>
      <c r="AP155" s="261"/>
      <c r="AR155" s="251" t="str">
        <f t="shared" si="1"/>
        <v>64617.82_debit</v>
      </c>
      <c r="AS155" s="251" t="str">
        <f t="shared" si="2"/>
        <v>DROP</v>
      </c>
      <c r="AT155" s="247"/>
    </row>
    <row r="156">
      <c r="A156" s="255" t="s">
        <v>165</v>
      </c>
      <c r="B156" s="255" t="s">
        <v>494</v>
      </c>
      <c r="C156" s="256">
        <v>46189.487650462965</v>
      </c>
      <c r="D156" s="255" t="s">
        <v>167</v>
      </c>
      <c r="E156" s="257">
        <v>51170.4</v>
      </c>
      <c r="F156" s="255" t="s">
        <v>169</v>
      </c>
      <c r="G156" s="255" t="s">
        <v>170</v>
      </c>
      <c r="H156" s="255" t="s">
        <v>495</v>
      </c>
      <c r="I156" s="258"/>
      <c r="J156" s="258"/>
      <c r="K156" s="259"/>
      <c r="L156" s="258"/>
      <c r="M156" s="260"/>
      <c r="O156" s="247"/>
      <c r="AC156" s="247"/>
      <c r="AD156" s="251" t="str">
        <f>IFERROR(__xludf.DUMMYFUNCTION("""COMPUTED_VALUE"""),"73df5aae-f42a-49a0-9d8f-616ca6dbebaa")</f>
        <v>73df5aae-f42a-49a0-9d8f-616ca6dbebaa</v>
      </c>
      <c r="AE156" s="251" t="str">
        <f>IFERROR(__xludf.DUMMYFUNCTION("""COMPUTED_VALUE"""),"019ed020-4845-750d-bd87-cf1e755b00cb")</f>
        <v>019ed020-4845-750d-bd87-cf1e755b00cb</v>
      </c>
      <c r="AF156" s="261">
        <f>IFERROR(__xludf.DUMMYFUNCTION("""COMPUTED_VALUE"""),46189.46570601852)</f>
        <v>46189.46571</v>
      </c>
      <c r="AG156" s="251" t="str">
        <f>IFERROR(__xludf.DUMMYFUNCTION("""COMPUTED_VALUE"""),"credit")</f>
        <v>credit</v>
      </c>
      <c r="AH156" s="253">
        <f>IFERROR(__xludf.DUMMYFUNCTION("""COMPUTED_VALUE"""),20922.8)</f>
        <v>20922.8</v>
      </c>
      <c r="AI156" s="251" t="str">
        <f>IFERROR(__xludf.DUMMYFUNCTION("""COMPUTED_VALUE"""),"cash_isa")</f>
        <v>cash_isa</v>
      </c>
      <c r="AJ156" s="251" t="str">
        <f>IFERROR(__xludf.DUMMYFUNCTION("""COMPUTED_VALUE"""),"9bc00e6b-ce5f-48c5-ae3a-1baabe00f337")</f>
        <v>9bc00e6b-ce5f-48c5-ae3a-1baabe00f337</v>
      </c>
      <c r="AK156" s="251" t="str">
        <f>IFERROR(__xludf.DUMMYFUNCTION("""COMPUTED_VALUE"""),"dcf08b04-e80e-4124-abcb-cde8a85403f0")</f>
        <v>dcf08b04-e80e-4124-abcb-cde8a85403f0</v>
      </c>
      <c r="AL156" s="251"/>
      <c r="AM156" s="251"/>
      <c r="AN156" s="251"/>
      <c r="AO156" s="251"/>
      <c r="AP156" s="261"/>
      <c r="AR156" s="251" t="str">
        <f t="shared" si="1"/>
        <v>20922.8_credit</v>
      </c>
      <c r="AS156" s="251" t="str">
        <f t="shared" si="2"/>
        <v>DROP</v>
      </c>
      <c r="AT156" s="247"/>
    </row>
    <row r="157">
      <c r="A157" s="262" t="s">
        <v>165</v>
      </c>
      <c r="B157" s="262" t="s">
        <v>496</v>
      </c>
      <c r="C157" s="263">
        <v>46189.48829861111</v>
      </c>
      <c r="D157" s="262" t="s">
        <v>265</v>
      </c>
      <c r="E157" s="264">
        <v>20050.32</v>
      </c>
      <c r="F157" s="262" t="s">
        <v>169</v>
      </c>
      <c r="G157" s="262" t="s">
        <v>170</v>
      </c>
      <c r="H157" s="262" t="s">
        <v>492</v>
      </c>
      <c r="I157" s="265"/>
      <c r="J157" s="265"/>
      <c r="K157" s="266"/>
      <c r="L157" s="265"/>
      <c r="M157" s="267"/>
      <c r="O157" s="247"/>
      <c r="AC157" s="247"/>
      <c r="AD157" s="251" t="str">
        <f>IFERROR(__xludf.DUMMYFUNCTION("""COMPUTED_VALUE"""),"73df5aae-f42a-49a0-9d8f-616ca6dbebaa")</f>
        <v>73df5aae-f42a-49a0-9d8f-616ca6dbebaa</v>
      </c>
      <c r="AE157" s="251" t="str">
        <f>IFERROR(__xludf.DUMMYFUNCTION("""COMPUTED_VALUE"""),"019ed020-d0ba-7c69-9d3d-6ef8d237671e")</f>
        <v>019ed020-d0ba-7c69-9d3d-6ef8d237671e</v>
      </c>
      <c r="AF157" s="261">
        <f>IFERROR(__xludf.DUMMYFUNCTION("""COMPUTED_VALUE"""),46189.46611111111)</f>
        <v>46189.46611</v>
      </c>
      <c r="AG157" s="251" t="str">
        <f>IFERROR(__xludf.DUMMYFUNCTION("""COMPUTED_VALUE"""),"debit")</f>
        <v>debit</v>
      </c>
      <c r="AH157" s="253">
        <f>IFERROR(__xludf.DUMMYFUNCTION("""COMPUTED_VALUE"""),12062.88)</f>
        <v>12062.88</v>
      </c>
      <c r="AI157" s="251" t="str">
        <f>IFERROR(__xludf.DUMMYFUNCTION("""COMPUTED_VALUE"""),"cash_isa")</f>
        <v>cash_isa</v>
      </c>
      <c r="AJ157" s="251" t="str">
        <f>IFERROR(__xludf.DUMMYFUNCTION("""COMPUTED_VALUE"""),"9bc00e6b-ce5f-48c5-ae3a-1baabe00f337")</f>
        <v>9bc00e6b-ce5f-48c5-ae3a-1baabe00f337</v>
      </c>
      <c r="AK157" s="251" t="str">
        <f>IFERROR(__xludf.DUMMYFUNCTION("""COMPUTED_VALUE"""),"3359f22a-2384-4262-a97a-574c1dcce80f")</f>
        <v>3359f22a-2384-4262-a97a-574c1dcce80f</v>
      </c>
      <c r="AL157" s="251"/>
      <c r="AM157" s="251"/>
      <c r="AN157" s="251"/>
      <c r="AO157" s="251"/>
      <c r="AP157" s="261"/>
      <c r="AR157" s="251" t="str">
        <f t="shared" si="1"/>
        <v>12062.88_debit</v>
      </c>
      <c r="AS157" s="251" t="str">
        <f t="shared" si="2"/>
        <v>DROP</v>
      </c>
      <c r="AT157" s="247"/>
    </row>
    <row r="158">
      <c r="A158" s="255" t="s">
        <v>165</v>
      </c>
      <c r="B158" s="255" t="s">
        <v>497</v>
      </c>
      <c r="C158" s="256">
        <v>46189.488969907405</v>
      </c>
      <c r="D158" s="255" t="s">
        <v>265</v>
      </c>
      <c r="E158" s="257">
        <v>51170.4</v>
      </c>
      <c r="F158" s="255" t="s">
        <v>169</v>
      </c>
      <c r="G158" s="255" t="s">
        <v>170</v>
      </c>
      <c r="H158" s="255" t="s">
        <v>495</v>
      </c>
      <c r="I158" s="258"/>
      <c r="J158" s="258"/>
      <c r="K158" s="259"/>
      <c r="L158" s="258"/>
      <c r="M158" s="260"/>
      <c r="O158" s="247"/>
      <c r="AC158" s="247"/>
      <c r="AD158" s="251" t="str">
        <f>IFERROR(__xludf.DUMMYFUNCTION("""COMPUTED_VALUE"""),"73df5aae-f42a-49a0-9d8f-616ca6dbebaa")</f>
        <v>73df5aae-f42a-49a0-9d8f-616ca6dbebaa</v>
      </c>
      <c r="AE158" s="251" t="str">
        <f>IFERROR(__xludf.DUMMYFUNCTION("""COMPUTED_VALUE"""),"019ed021-df5d-7576-82fc-37939f734fbd")</f>
        <v>019ed021-df5d-7576-82fc-37939f734fbd</v>
      </c>
      <c r="AF158" s="261">
        <f>IFERROR(__xludf.DUMMYFUNCTION("""COMPUTED_VALUE"""),46189.46690972222)</f>
        <v>46189.46691</v>
      </c>
      <c r="AG158" s="251" t="str">
        <f>IFERROR(__xludf.DUMMYFUNCTION("""COMPUTED_VALUE"""),"credit")</f>
        <v>credit</v>
      </c>
      <c r="AH158" s="253">
        <f>IFERROR(__xludf.DUMMYFUNCTION("""COMPUTED_VALUE"""),8059.3)</f>
        <v>8059.3</v>
      </c>
      <c r="AI158" s="251" t="str">
        <f>IFERROR(__xludf.DUMMYFUNCTION("""COMPUTED_VALUE"""),"cash_isa")</f>
        <v>cash_isa</v>
      </c>
      <c r="AJ158" s="251" t="str">
        <f>IFERROR(__xludf.DUMMYFUNCTION("""COMPUTED_VALUE"""),"9bc00e6b-ce5f-48c5-ae3a-1baabe00f337")</f>
        <v>9bc00e6b-ce5f-48c5-ae3a-1baabe00f337</v>
      </c>
      <c r="AK158" s="251" t="str">
        <f>IFERROR(__xludf.DUMMYFUNCTION("""COMPUTED_VALUE"""),"c0ac7020-b1ef-4f60-8792-90463b44fbad")</f>
        <v>c0ac7020-b1ef-4f60-8792-90463b44fbad</v>
      </c>
      <c r="AL158" s="251"/>
      <c r="AM158" s="251"/>
      <c r="AN158" s="251"/>
      <c r="AO158" s="251"/>
      <c r="AP158" s="261"/>
      <c r="AR158" s="251" t="str">
        <f t="shared" si="1"/>
        <v>8059.3_credit</v>
      </c>
      <c r="AS158" s="251" t="str">
        <f t="shared" si="2"/>
        <v>DROP</v>
      </c>
      <c r="AT158" s="247"/>
    </row>
    <row r="159">
      <c r="A159" s="262" t="s">
        <v>165</v>
      </c>
      <c r="B159" s="262" t="s">
        <v>498</v>
      </c>
      <c r="C159" s="263">
        <v>46189.49010416667</v>
      </c>
      <c r="D159" s="262" t="s">
        <v>167</v>
      </c>
      <c r="E159" s="264">
        <v>21063.69</v>
      </c>
      <c r="F159" s="262" t="s">
        <v>169</v>
      </c>
      <c r="G159" s="262" t="s">
        <v>170</v>
      </c>
      <c r="H159" s="262" t="s">
        <v>499</v>
      </c>
      <c r="I159" s="265"/>
      <c r="J159" s="265"/>
      <c r="K159" s="266"/>
      <c r="L159" s="265"/>
      <c r="M159" s="267"/>
      <c r="O159" s="247"/>
      <c r="AC159" s="247"/>
      <c r="AD159" s="251" t="str">
        <f>IFERROR(__xludf.DUMMYFUNCTION("""COMPUTED_VALUE"""),"73df5aae-f42a-49a0-9d8f-616ca6dbebaa")</f>
        <v>73df5aae-f42a-49a0-9d8f-616ca6dbebaa</v>
      </c>
      <c r="AE159" s="251" t="str">
        <f>IFERROR(__xludf.DUMMYFUNCTION("""COMPUTED_VALUE"""),"019ed022-c1b5-7837-acca-2dd9129eaf20")</f>
        <v>019ed022-c1b5-7837-acca-2dd9129eaf20</v>
      </c>
      <c r="AF159" s="261">
        <f>IFERROR(__xludf.DUMMYFUNCTION("""COMPUTED_VALUE"""),46189.467581018514)</f>
        <v>46189.46758</v>
      </c>
      <c r="AG159" s="251" t="str">
        <f>IFERROR(__xludf.DUMMYFUNCTION("""COMPUTED_VALUE"""),"debit")</f>
        <v>debit</v>
      </c>
      <c r="AH159" s="253">
        <f>IFERROR(__xludf.DUMMYFUNCTION("""COMPUTED_VALUE"""),20922.8)</f>
        <v>20922.8</v>
      </c>
      <c r="AI159" s="251" t="str">
        <f>IFERROR(__xludf.DUMMYFUNCTION("""COMPUTED_VALUE"""),"cash_isa")</f>
        <v>cash_isa</v>
      </c>
      <c r="AJ159" s="251" t="str">
        <f>IFERROR(__xludf.DUMMYFUNCTION("""COMPUTED_VALUE"""),"9bc00e6b-ce5f-48c5-ae3a-1baabe00f337")</f>
        <v>9bc00e6b-ce5f-48c5-ae3a-1baabe00f337</v>
      </c>
      <c r="AK159" s="251" t="str">
        <f>IFERROR(__xludf.DUMMYFUNCTION("""COMPUTED_VALUE"""),"dcf08b04-e80e-4124-abcb-cde8a85403f0")</f>
        <v>dcf08b04-e80e-4124-abcb-cde8a85403f0</v>
      </c>
      <c r="AL159" s="251"/>
      <c r="AM159" s="251"/>
      <c r="AN159" s="251"/>
      <c r="AO159" s="251"/>
      <c r="AP159" s="261"/>
      <c r="AR159" s="251" t="str">
        <f t="shared" si="1"/>
        <v>20922.8_debit</v>
      </c>
      <c r="AS159" s="251" t="str">
        <f t="shared" si="2"/>
        <v>DROP</v>
      </c>
      <c r="AT159" s="247"/>
    </row>
    <row r="160">
      <c r="A160" s="255" t="s">
        <v>165</v>
      </c>
      <c r="B160" s="255" t="s">
        <v>500</v>
      </c>
      <c r="C160" s="256">
        <v>46189.49118055555</v>
      </c>
      <c r="D160" s="255" t="s">
        <v>265</v>
      </c>
      <c r="E160" s="257">
        <v>21063.69</v>
      </c>
      <c r="F160" s="255" t="s">
        <v>169</v>
      </c>
      <c r="G160" s="255" t="s">
        <v>170</v>
      </c>
      <c r="H160" s="255" t="s">
        <v>499</v>
      </c>
      <c r="I160" s="258"/>
      <c r="J160" s="258"/>
      <c r="K160" s="259"/>
      <c r="L160" s="258"/>
      <c r="M160" s="260"/>
      <c r="O160" s="247"/>
      <c r="AC160" s="247"/>
      <c r="AD160" s="251" t="str">
        <f>IFERROR(__xludf.DUMMYFUNCTION("""COMPUTED_VALUE"""),"73df5aae-f42a-49a0-9d8f-616ca6dbebaa")</f>
        <v>73df5aae-f42a-49a0-9d8f-616ca6dbebaa</v>
      </c>
      <c r="AE160" s="251" t="str">
        <f>IFERROR(__xludf.DUMMYFUNCTION("""COMPUTED_VALUE"""),"019ed026-912f-7834-bf65-b4287eb45e8b")</f>
        <v>019ed026-912f-7834-bf65-b4287eb45e8b</v>
      </c>
      <c r="AF160" s="261">
        <f>IFERROR(__xludf.DUMMYFUNCTION("""COMPUTED_VALUE"""),46189.47047453704)</f>
        <v>46189.47047</v>
      </c>
      <c r="AG160" s="251" t="str">
        <f>IFERROR(__xludf.DUMMYFUNCTION("""COMPUTED_VALUE"""),"debit")</f>
        <v>debit</v>
      </c>
      <c r="AH160" s="253">
        <f>IFERROR(__xludf.DUMMYFUNCTION("""COMPUTED_VALUE"""),8059.3)</f>
        <v>8059.3</v>
      </c>
      <c r="AI160" s="251" t="str">
        <f>IFERROR(__xludf.DUMMYFUNCTION("""COMPUTED_VALUE"""),"cash_isa")</f>
        <v>cash_isa</v>
      </c>
      <c r="AJ160" s="251" t="str">
        <f>IFERROR(__xludf.DUMMYFUNCTION("""COMPUTED_VALUE"""),"9bc00e6b-ce5f-48c5-ae3a-1baabe00f337")</f>
        <v>9bc00e6b-ce5f-48c5-ae3a-1baabe00f337</v>
      </c>
      <c r="AK160" s="251" t="str">
        <f>IFERROR(__xludf.DUMMYFUNCTION("""COMPUTED_VALUE"""),"c0ac7020-b1ef-4f60-8792-90463b44fbad")</f>
        <v>c0ac7020-b1ef-4f60-8792-90463b44fbad</v>
      </c>
      <c r="AL160" s="251"/>
      <c r="AM160" s="251"/>
      <c r="AN160" s="251"/>
      <c r="AO160" s="251"/>
      <c r="AP160" s="261"/>
      <c r="AR160" s="251" t="str">
        <f t="shared" si="1"/>
        <v>8059.3_debit</v>
      </c>
      <c r="AS160" s="251" t="str">
        <f t="shared" si="2"/>
        <v>DROP</v>
      </c>
      <c r="AT160" s="247"/>
    </row>
    <row r="161">
      <c r="A161" s="262" t="s">
        <v>165</v>
      </c>
      <c r="B161" s="262" t="s">
        <v>501</v>
      </c>
      <c r="C161" s="263">
        <v>46189.49135416667</v>
      </c>
      <c r="D161" s="262" t="s">
        <v>167</v>
      </c>
      <c r="E161" s="264">
        <v>22176.12</v>
      </c>
      <c r="F161" s="262" t="s">
        <v>169</v>
      </c>
      <c r="G161" s="262" t="s">
        <v>170</v>
      </c>
      <c r="H161" s="262" t="s">
        <v>502</v>
      </c>
      <c r="I161" s="265"/>
      <c r="J161" s="265"/>
      <c r="K161" s="266"/>
      <c r="L161" s="265"/>
      <c r="M161" s="267"/>
      <c r="O161" s="247"/>
      <c r="AC161" s="247"/>
      <c r="AD161" s="251" t="str">
        <f>IFERROR(__xludf.DUMMYFUNCTION("""COMPUTED_VALUE"""),"73df5aae-f42a-49a0-9d8f-616ca6dbebaa")</f>
        <v>73df5aae-f42a-49a0-9d8f-616ca6dbebaa</v>
      </c>
      <c r="AE161" s="251" t="str">
        <f>IFERROR(__xludf.DUMMYFUNCTION("""COMPUTED_VALUE"""),"019ed039-7a67-777d-8d74-70245766c2e3")</f>
        <v>019ed039-7a67-777d-8d74-70245766c2e3</v>
      </c>
      <c r="AF161" s="261">
        <f>IFERROR(__xludf.DUMMYFUNCTION("""COMPUTED_VALUE"""),46189.484814814816)</f>
        <v>46189.48481</v>
      </c>
      <c r="AG161" s="251" t="str">
        <f>IFERROR(__xludf.DUMMYFUNCTION("""COMPUTED_VALUE"""),"credit")</f>
        <v>credit</v>
      </c>
      <c r="AH161" s="253">
        <f>IFERROR(__xludf.DUMMYFUNCTION("""COMPUTED_VALUE"""),5382.11)</f>
        <v>5382.11</v>
      </c>
      <c r="AI161" s="251" t="str">
        <f>IFERROR(__xludf.DUMMYFUNCTION("""COMPUTED_VALUE"""),"cash_isa")</f>
        <v>cash_isa</v>
      </c>
      <c r="AJ161" s="251" t="str">
        <f>IFERROR(__xludf.DUMMYFUNCTION("""COMPUTED_VALUE"""),"9bc00e6b-ce5f-48c5-ae3a-1baabe00f337")</f>
        <v>9bc00e6b-ce5f-48c5-ae3a-1baabe00f337</v>
      </c>
      <c r="AK161" s="251" t="str">
        <f>IFERROR(__xludf.DUMMYFUNCTION("""COMPUTED_VALUE"""),"462284d8-d2b2-4fff-a407-5de3087260e0")</f>
        <v>462284d8-d2b2-4fff-a407-5de3087260e0</v>
      </c>
      <c r="AL161" s="251"/>
      <c r="AM161" s="251"/>
      <c r="AN161" s="251"/>
      <c r="AO161" s="251"/>
      <c r="AP161" s="261"/>
      <c r="AR161" s="251" t="str">
        <f t="shared" si="1"/>
        <v>5382.11_credit</v>
      </c>
      <c r="AS161" s="251" t="str">
        <f t="shared" si="2"/>
        <v>DROP</v>
      </c>
      <c r="AT161" s="247"/>
    </row>
    <row r="162">
      <c r="A162" s="255" t="s">
        <v>165</v>
      </c>
      <c r="B162" s="255" t="s">
        <v>503</v>
      </c>
      <c r="C162" s="256">
        <v>46189.49260416667</v>
      </c>
      <c r="D162" s="255" t="s">
        <v>167</v>
      </c>
      <c r="E162" s="257">
        <v>20386.08</v>
      </c>
      <c r="F162" s="255" t="s">
        <v>169</v>
      </c>
      <c r="G162" s="255" t="s">
        <v>170</v>
      </c>
      <c r="H162" s="255" t="s">
        <v>504</v>
      </c>
      <c r="I162" s="258"/>
      <c r="J162" s="258"/>
      <c r="K162" s="259"/>
      <c r="L162" s="258"/>
      <c r="M162" s="260"/>
      <c r="O162" s="247"/>
      <c r="AC162" s="247"/>
      <c r="AD162" s="251" t="str">
        <f>IFERROR(__xludf.DUMMYFUNCTION("""COMPUTED_VALUE"""),"73df5aae-f42a-49a0-9d8f-616ca6dbebaa")</f>
        <v>73df5aae-f42a-49a0-9d8f-616ca6dbebaa</v>
      </c>
      <c r="AE162" s="251" t="str">
        <f>IFERROR(__xludf.DUMMYFUNCTION("""COMPUTED_VALUE"""),"019ed03b-171f-709a-80a0-24eba2fcda41")</f>
        <v>019ed03b-171f-709a-80a0-24eba2fcda41</v>
      </c>
      <c r="AF162" s="261">
        <f>IFERROR(__xludf.DUMMYFUNCTION("""COMPUTED_VALUE"""),46189.48604166666)</f>
        <v>46189.48604</v>
      </c>
      <c r="AG162" s="251" t="str">
        <f>IFERROR(__xludf.DUMMYFUNCTION("""COMPUTED_VALUE"""),"credit")</f>
        <v>credit</v>
      </c>
      <c r="AH162" s="253">
        <f>IFERROR(__xludf.DUMMYFUNCTION("""COMPUTED_VALUE"""),20050.32)</f>
        <v>20050.32</v>
      </c>
      <c r="AI162" s="251" t="str">
        <f>IFERROR(__xludf.DUMMYFUNCTION("""COMPUTED_VALUE"""),"cash_isa")</f>
        <v>cash_isa</v>
      </c>
      <c r="AJ162" s="251" t="str">
        <f>IFERROR(__xludf.DUMMYFUNCTION("""COMPUTED_VALUE"""),"9bc00e6b-ce5f-48c5-ae3a-1baabe00f337")</f>
        <v>9bc00e6b-ce5f-48c5-ae3a-1baabe00f337</v>
      </c>
      <c r="AK162" s="251" t="str">
        <f>IFERROR(__xludf.DUMMYFUNCTION("""COMPUTED_VALUE"""),"b312db61-1ad3-41b0-8ccf-26d722af1eef")</f>
        <v>b312db61-1ad3-41b0-8ccf-26d722af1eef</v>
      </c>
      <c r="AL162" s="251"/>
      <c r="AM162" s="251"/>
      <c r="AN162" s="251"/>
      <c r="AO162" s="251"/>
      <c r="AP162" s="261"/>
      <c r="AR162" s="251" t="str">
        <f t="shared" si="1"/>
        <v>20050.32_credit</v>
      </c>
      <c r="AS162" s="251" t="str">
        <f t="shared" si="2"/>
        <v>DROP</v>
      </c>
      <c r="AT162" s="247"/>
    </row>
    <row r="163">
      <c r="A163" s="262" t="s">
        <v>165</v>
      </c>
      <c r="B163" s="262" t="s">
        <v>505</v>
      </c>
      <c r="C163" s="263">
        <v>46189.49334490741</v>
      </c>
      <c r="D163" s="262" t="s">
        <v>265</v>
      </c>
      <c r="E163" s="264">
        <v>22176.12</v>
      </c>
      <c r="F163" s="262" t="s">
        <v>169</v>
      </c>
      <c r="G163" s="262" t="s">
        <v>170</v>
      </c>
      <c r="H163" s="262" t="s">
        <v>502</v>
      </c>
      <c r="I163" s="265"/>
      <c r="J163" s="265"/>
      <c r="K163" s="266"/>
      <c r="L163" s="265"/>
      <c r="M163" s="267"/>
      <c r="O163" s="247"/>
      <c r="AC163" s="247"/>
      <c r="AD163" s="251" t="str">
        <f>IFERROR(__xludf.DUMMYFUNCTION("""COMPUTED_VALUE"""),"73df5aae-f42a-49a0-9d8f-616ca6dbebaa")</f>
        <v>73df5aae-f42a-49a0-9d8f-616ca6dbebaa</v>
      </c>
      <c r="AE163" s="251" t="str">
        <f>IFERROR(__xludf.DUMMYFUNCTION("""COMPUTED_VALUE"""),"019ed03b-5ed7-713b-a7c9-a8eeabce68be")</f>
        <v>019ed03b-5ed7-713b-a7c9-a8eeabce68be</v>
      </c>
      <c r="AF163" s="261">
        <f>IFERROR(__xludf.DUMMYFUNCTION("""COMPUTED_VALUE"""),46189.48625)</f>
        <v>46189.48625</v>
      </c>
      <c r="AG163" s="251" t="str">
        <f>IFERROR(__xludf.DUMMYFUNCTION("""COMPUTED_VALUE"""),"debit")</f>
        <v>debit</v>
      </c>
      <c r="AH163" s="253">
        <f>IFERROR(__xludf.DUMMYFUNCTION("""COMPUTED_VALUE"""),5382.11)</f>
        <v>5382.11</v>
      </c>
      <c r="AI163" s="251" t="str">
        <f>IFERROR(__xludf.DUMMYFUNCTION("""COMPUTED_VALUE"""),"cash_isa")</f>
        <v>cash_isa</v>
      </c>
      <c r="AJ163" s="251" t="str">
        <f>IFERROR(__xludf.DUMMYFUNCTION("""COMPUTED_VALUE"""),"9bc00e6b-ce5f-48c5-ae3a-1baabe00f337")</f>
        <v>9bc00e6b-ce5f-48c5-ae3a-1baabe00f337</v>
      </c>
      <c r="AK163" s="251" t="str">
        <f>IFERROR(__xludf.DUMMYFUNCTION("""COMPUTED_VALUE"""),"462284d8-d2b2-4fff-a407-5de3087260e0")</f>
        <v>462284d8-d2b2-4fff-a407-5de3087260e0</v>
      </c>
      <c r="AL163" s="251"/>
      <c r="AM163" s="251"/>
      <c r="AN163" s="251"/>
      <c r="AO163" s="251"/>
      <c r="AP163" s="261"/>
      <c r="AR163" s="251" t="str">
        <f t="shared" si="1"/>
        <v>5382.11_debit</v>
      </c>
      <c r="AS163" s="251" t="str">
        <f t="shared" si="2"/>
        <v>DROP</v>
      </c>
      <c r="AT163" s="247"/>
    </row>
    <row r="164">
      <c r="A164" s="255" t="s">
        <v>165</v>
      </c>
      <c r="B164" s="255" t="s">
        <v>506</v>
      </c>
      <c r="C164" s="256">
        <v>46189.494039351855</v>
      </c>
      <c r="D164" s="255" t="s">
        <v>265</v>
      </c>
      <c r="E164" s="257">
        <v>20386.08</v>
      </c>
      <c r="F164" s="255" t="s">
        <v>169</v>
      </c>
      <c r="G164" s="255" t="s">
        <v>170</v>
      </c>
      <c r="H164" s="255" t="s">
        <v>504</v>
      </c>
      <c r="I164" s="258"/>
      <c r="J164" s="258"/>
      <c r="K164" s="259"/>
      <c r="L164" s="258"/>
      <c r="M164" s="260"/>
      <c r="O164" s="247"/>
      <c r="AC164" s="247"/>
      <c r="AD164" s="251" t="str">
        <f>IFERROR(__xludf.DUMMYFUNCTION("""COMPUTED_VALUE"""),"73df5aae-f42a-49a0-9d8f-616ca6dbebaa")</f>
        <v>73df5aae-f42a-49a0-9d8f-616ca6dbebaa</v>
      </c>
      <c r="AE164" s="251" t="str">
        <f>IFERROR(__xludf.DUMMYFUNCTION("""COMPUTED_VALUE"""),"019ed03d-349b-79ca-b194-42b3704d2a13")</f>
        <v>019ed03d-349b-79ca-b194-42b3704d2a13</v>
      </c>
      <c r="AF164" s="261">
        <f>IFERROR(__xludf.DUMMYFUNCTION("""COMPUTED_VALUE"""),46189.487650462965)</f>
        <v>46189.48765</v>
      </c>
      <c r="AG164" s="251" t="str">
        <f>IFERROR(__xludf.DUMMYFUNCTION("""COMPUTED_VALUE"""),"credit")</f>
        <v>credit</v>
      </c>
      <c r="AH164" s="253">
        <f>IFERROR(__xludf.DUMMYFUNCTION("""COMPUTED_VALUE"""),51170.4)</f>
        <v>51170.4</v>
      </c>
      <c r="AI164" s="251" t="str">
        <f>IFERROR(__xludf.DUMMYFUNCTION("""COMPUTED_VALUE"""),"cash_isa")</f>
        <v>cash_isa</v>
      </c>
      <c r="AJ164" s="251" t="str">
        <f>IFERROR(__xludf.DUMMYFUNCTION("""COMPUTED_VALUE"""),"9bc00e6b-ce5f-48c5-ae3a-1baabe00f337")</f>
        <v>9bc00e6b-ce5f-48c5-ae3a-1baabe00f337</v>
      </c>
      <c r="AK164" s="251" t="str">
        <f>IFERROR(__xludf.DUMMYFUNCTION("""COMPUTED_VALUE"""),"8cf24a8d-4d22-45b0-88b1-6feed7cf07d5")</f>
        <v>8cf24a8d-4d22-45b0-88b1-6feed7cf07d5</v>
      </c>
      <c r="AL164" s="251"/>
      <c r="AM164" s="251"/>
      <c r="AN164" s="251"/>
      <c r="AO164" s="251"/>
      <c r="AP164" s="261"/>
      <c r="AR164" s="251" t="str">
        <f t="shared" si="1"/>
        <v>51170.4_credit</v>
      </c>
      <c r="AS164" s="251" t="str">
        <f t="shared" si="2"/>
        <v>DROP</v>
      </c>
      <c r="AT164" s="247"/>
    </row>
    <row r="165">
      <c r="A165" s="262" t="s">
        <v>165</v>
      </c>
      <c r="B165" s="262" t="s">
        <v>507</v>
      </c>
      <c r="C165" s="263">
        <v>46189.49438657407</v>
      </c>
      <c r="D165" s="262" t="s">
        <v>167</v>
      </c>
      <c r="E165" s="264">
        <v>21506.61</v>
      </c>
      <c r="F165" s="262" t="s">
        <v>169</v>
      </c>
      <c r="G165" s="262" t="s">
        <v>170</v>
      </c>
      <c r="H165" s="262" t="s">
        <v>508</v>
      </c>
      <c r="I165" s="265"/>
      <c r="J165" s="265"/>
      <c r="K165" s="266"/>
      <c r="L165" s="265"/>
      <c r="M165" s="267"/>
      <c r="O165" s="247"/>
      <c r="AC165" s="247"/>
      <c r="AD165" s="251" t="str">
        <f>IFERROR(__xludf.DUMMYFUNCTION("""COMPUTED_VALUE"""),"73df5aae-f42a-49a0-9d8f-616ca6dbebaa")</f>
        <v>73df5aae-f42a-49a0-9d8f-616ca6dbebaa</v>
      </c>
      <c r="AE165" s="251" t="str">
        <f>IFERROR(__xludf.DUMMYFUNCTION("""COMPUTED_VALUE"""),"019ed03e-1020-71df-899a-35e05b6ba16c")</f>
        <v>019ed03e-1020-71df-899a-35e05b6ba16c</v>
      </c>
      <c r="AF165" s="261">
        <f>IFERROR(__xludf.DUMMYFUNCTION("""COMPUTED_VALUE"""),46189.48829861111)</f>
        <v>46189.4883</v>
      </c>
      <c r="AG165" s="251" t="str">
        <f>IFERROR(__xludf.DUMMYFUNCTION("""COMPUTED_VALUE"""),"debit")</f>
        <v>debit</v>
      </c>
      <c r="AH165" s="253">
        <f>IFERROR(__xludf.DUMMYFUNCTION("""COMPUTED_VALUE"""),20050.32)</f>
        <v>20050.32</v>
      </c>
      <c r="AI165" s="251" t="str">
        <f>IFERROR(__xludf.DUMMYFUNCTION("""COMPUTED_VALUE"""),"cash_isa")</f>
        <v>cash_isa</v>
      </c>
      <c r="AJ165" s="251" t="str">
        <f>IFERROR(__xludf.DUMMYFUNCTION("""COMPUTED_VALUE"""),"9bc00e6b-ce5f-48c5-ae3a-1baabe00f337")</f>
        <v>9bc00e6b-ce5f-48c5-ae3a-1baabe00f337</v>
      </c>
      <c r="AK165" s="251" t="str">
        <f>IFERROR(__xludf.DUMMYFUNCTION("""COMPUTED_VALUE"""),"b312db61-1ad3-41b0-8ccf-26d722af1eef")</f>
        <v>b312db61-1ad3-41b0-8ccf-26d722af1eef</v>
      </c>
      <c r="AL165" s="251"/>
      <c r="AM165" s="251"/>
      <c r="AN165" s="251"/>
      <c r="AO165" s="251"/>
      <c r="AP165" s="261"/>
      <c r="AR165" s="251" t="str">
        <f t="shared" si="1"/>
        <v>20050.32_debit</v>
      </c>
      <c r="AS165" s="251" t="str">
        <f t="shared" si="2"/>
        <v>DROP</v>
      </c>
      <c r="AT165" s="247"/>
    </row>
    <row r="166">
      <c r="A166" s="255" t="s">
        <v>165</v>
      </c>
      <c r="B166" s="255" t="s">
        <v>509</v>
      </c>
      <c r="C166" s="256">
        <v>46189.496203703704</v>
      </c>
      <c r="D166" s="255" t="s">
        <v>265</v>
      </c>
      <c r="E166" s="257">
        <v>21506.61</v>
      </c>
      <c r="F166" s="255" t="s">
        <v>169</v>
      </c>
      <c r="G166" s="255" t="s">
        <v>170</v>
      </c>
      <c r="H166" s="255" t="s">
        <v>508</v>
      </c>
      <c r="I166" s="258"/>
      <c r="J166" s="258"/>
      <c r="K166" s="259"/>
      <c r="L166" s="258"/>
      <c r="M166" s="260"/>
      <c r="O166" s="247"/>
      <c r="AC166" s="247"/>
      <c r="AD166" s="251" t="str">
        <f>IFERROR(__xludf.DUMMYFUNCTION("""COMPUTED_VALUE"""),"73df5aae-f42a-49a0-9d8f-616ca6dbebaa")</f>
        <v>73df5aae-f42a-49a0-9d8f-616ca6dbebaa</v>
      </c>
      <c r="AE166" s="251" t="str">
        <f>IFERROR(__xludf.DUMMYFUNCTION("""COMPUTED_VALUE"""),"019ed03e-f2ab-7994-a3de-6ee37710b988")</f>
        <v>019ed03e-f2ab-7994-a3de-6ee37710b988</v>
      </c>
      <c r="AF166" s="261">
        <f>IFERROR(__xludf.DUMMYFUNCTION("""COMPUTED_VALUE"""),46189.48896990741)</f>
        <v>46189.48897</v>
      </c>
      <c r="AG166" s="251" t="str">
        <f>IFERROR(__xludf.DUMMYFUNCTION("""COMPUTED_VALUE"""),"debit")</f>
        <v>debit</v>
      </c>
      <c r="AH166" s="253">
        <f>IFERROR(__xludf.DUMMYFUNCTION("""COMPUTED_VALUE"""),51170.4)</f>
        <v>51170.4</v>
      </c>
      <c r="AI166" s="251" t="str">
        <f>IFERROR(__xludf.DUMMYFUNCTION("""COMPUTED_VALUE"""),"cash_isa")</f>
        <v>cash_isa</v>
      </c>
      <c r="AJ166" s="251" t="str">
        <f>IFERROR(__xludf.DUMMYFUNCTION("""COMPUTED_VALUE"""),"9bc00e6b-ce5f-48c5-ae3a-1baabe00f337")</f>
        <v>9bc00e6b-ce5f-48c5-ae3a-1baabe00f337</v>
      </c>
      <c r="AK166" s="251" t="str">
        <f>IFERROR(__xludf.DUMMYFUNCTION("""COMPUTED_VALUE"""),"8cf24a8d-4d22-45b0-88b1-6feed7cf07d5")</f>
        <v>8cf24a8d-4d22-45b0-88b1-6feed7cf07d5</v>
      </c>
      <c r="AL166" s="251"/>
      <c r="AM166" s="251"/>
      <c r="AN166" s="251"/>
      <c r="AO166" s="251"/>
      <c r="AP166" s="261"/>
      <c r="AR166" s="251" t="str">
        <f t="shared" si="1"/>
        <v>51170.4_debit</v>
      </c>
      <c r="AS166" s="251" t="str">
        <f t="shared" si="2"/>
        <v>DROP</v>
      </c>
      <c r="AT166" s="247"/>
    </row>
    <row r="167">
      <c r="A167" s="262" t="s">
        <v>165</v>
      </c>
      <c r="B167" s="262" t="s">
        <v>510</v>
      </c>
      <c r="C167" s="263">
        <v>46189.49628472222</v>
      </c>
      <c r="D167" s="262" t="s">
        <v>167</v>
      </c>
      <c r="E167" s="264">
        <v>19038.75</v>
      </c>
      <c r="F167" s="262" t="s">
        <v>169</v>
      </c>
      <c r="G167" s="262" t="s">
        <v>170</v>
      </c>
      <c r="H167" s="262" t="s">
        <v>511</v>
      </c>
      <c r="I167" s="265"/>
      <c r="J167" s="265"/>
      <c r="K167" s="266"/>
      <c r="L167" s="265"/>
      <c r="M167" s="267"/>
      <c r="O167" s="247"/>
      <c r="AC167" s="247"/>
      <c r="AD167" s="251" t="str">
        <f>IFERROR(__xludf.DUMMYFUNCTION("""COMPUTED_VALUE"""),"73df5aae-f42a-49a0-9d8f-616ca6dbebaa")</f>
        <v>73df5aae-f42a-49a0-9d8f-616ca6dbebaa</v>
      </c>
      <c r="AE167" s="251" t="str">
        <f>IFERROR(__xludf.DUMMYFUNCTION("""COMPUTED_VALUE"""),"019ed040-7126-78d4-96ef-f88ad1c97055")</f>
        <v>019ed040-7126-78d4-96ef-f88ad1c97055</v>
      </c>
      <c r="AF167" s="261">
        <f>IFERROR(__xludf.DUMMYFUNCTION("""COMPUTED_VALUE"""),46189.49010416667)</f>
        <v>46189.4901</v>
      </c>
      <c r="AG167" s="251" t="str">
        <f>IFERROR(__xludf.DUMMYFUNCTION("""COMPUTED_VALUE"""),"credit")</f>
        <v>credit</v>
      </c>
      <c r="AH167" s="253">
        <f>IFERROR(__xludf.DUMMYFUNCTION("""COMPUTED_VALUE"""),21063.69)</f>
        <v>21063.69</v>
      </c>
      <c r="AI167" s="251" t="str">
        <f>IFERROR(__xludf.DUMMYFUNCTION("""COMPUTED_VALUE"""),"cash_isa")</f>
        <v>cash_isa</v>
      </c>
      <c r="AJ167" s="251" t="str">
        <f>IFERROR(__xludf.DUMMYFUNCTION("""COMPUTED_VALUE"""),"9bc00e6b-ce5f-48c5-ae3a-1baabe00f337")</f>
        <v>9bc00e6b-ce5f-48c5-ae3a-1baabe00f337</v>
      </c>
      <c r="AK167" s="251" t="str">
        <f>IFERROR(__xludf.DUMMYFUNCTION("""COMPUTED_VALUE"""),"07c9463e-6a77-4a00-ac92-7621e56d3378")</f>
        <v>07c9463e-6a77-4a00-ac92-7621e56d3378</v>
      </c>
      <c r="AL167" s="251"/>
      <c r="AM167" s="251"/>
      <c r="AN167" s="251"/>
      <c r="AO167" s="251"/>
      <c r="AP167" s="261"/>
      <c r="AR167" s="251" t="str">
        <f t="shared" si="1"/>
        <v>21063.69_credit</v>
      </c>
      <c r="AS167" s="251" t="str">
        <f t="shared" si="2"/>
        <v>DROP</v>
      </c>
      <c r="AT167" s="247"/>
    </row>
    <row r="168">
      <c r="A168" s="255" t="s">
        <v>165</v>
      </c>
      <c r="B168" s="255" t="s">
        <v>512</v>
      </c>
      <c r="C168" s="256">
        <v>46189.497094907405</v>
      </c>
      <c r="D168" s="255" t="s">
        <v>167</v>
      </c>
      <c r="E168" s="257">
        <v>12453.34</v>
      </c>
      <c r="F168" s="255" t="s">
        <v>169</v>
      </c>
      <c r="G168" s="255" t="s">
        <v>170</v>
      </c>
      <c r="H168" s="255" t="s">
        <v>513</v>
      </c>
      <c r="I168" s="258"/>
      <c r="J168" s="258"/>
      <c r="K168" s="259"/>
      <c r="L168" s="258"/>
      <c r="M168" s="260"/>
      <c r="O168" s="247"/>
      <c r="AC168" s="247"/>
      <c r="AD168" s="251" t="str">
        <f>IFERROR(__xludf.DUMMYFUNCTION("""COMPUTED_VALUE"""),"73df5aae-f42a-49a0-9d8f-616ca6dbebaa")</f>
        <v>73df5aae-f42a-49a0-9d8f-616ca6dbebaa</v>
      </c>
      <c r="AE168" s="251" t="str">
        <f>IFERROR(__xludf.DUMMYFUNCTION("""COMPUTED_VALUE"""),"019ed041-db9e-780e-a8b3-7edf6d599c7a")</f>
        <v>019ed041-db9e-780e-a8b3-7edf6d599c7a</v>
      </c>
      <c r="AF168" s="261">
        <f>IFERROR(__xludf.DUMMYFUNCTION("""COMPUTED_VALUE"""),46189.49118055556)</f>
        <v>46189.49118</v>
      </c>
      <c r="AG168" s="251" t="str">
        <f>IFERROR(__xludf.DUMMYFUNCTION("""COMPUTED_VALUE"""),"debit")</f>
        <v>debit</v>
      </c>
      <c r="AH168" s="253">
        <f>IFERROR(__xludf.DUMMYFUNCTION("""COMPUTED_VALUE"""),21063.69)</f>
        <v>21063.69</v>
      </c>
      <c r="AI168" s="251" t="str">
        <f>IFERROR(__xludf.DUMMYFUNCTION("""COMPUTED_VALUE"""),"cash_isa")</f>
        <v>cash_isa</v>
      </c>
      <c r="AJ168" s="251" t="str">
        <f>IFERROR(__xludf.DUMMYFUNCTION("""COMPUTED_VALUE"""),"9bc00e6b-ce5f-48c5-ae3a-1baabe00f337")</f>
        <v>9bc00e6b-ce5f-48c5-ae3a-1baabe00f337</v>
      </c>
      <c r="AK168" s="251" t="str">
        <f>IFERROR(__xludf.DUMMYFUNCTION("""COMPUTED_VALUE"""),"07c9463e-6a77-4a00-ac92-7621e56d3378")</f>
        <v>07c9463e-6a77-4a00-ac92-7621e56d3378</v>
      </c>
      <c r="AL168" s="251"/>
      <c r="AM168" s="251"/>
      <c r="AN168" s="251"/>
      <c r="AO168" s="251"/>
      <c r="AP168" s="261"/>
      <c r="AR168" s="251" t="str">
        <f t="shared" si="1"/>
        <v>21063.69_debit</v>
      </c>
      <c r="AS168" s="251" t="str">
        <f t="shared" si="2"/>
        <v>DROP</v>
      </c>
      <c r="AT168" s="247"/>
    </row>
    <row r="169">
      <c r="A169" s="262" t="s">
        <v>165</v>
      </c>
      <c r="B169" s="262" t="s">
        <v>514</v>
      </c>
      <c r="C169" s="263">
        <v>46189.49859953704</v>
      </c>
      <c r="D169" s="262" t="s">
        <v>265</v>
      </c>
      <c r="E169" s="264">
        <v>19038.75</v>
      </c>
      <c r="F169" s="262" t="s">
        <v>169</v>
      </c>
      <c r="G169" s="262" t="s">
        <v>170</v>
      </c>
      <c r="H169" s="262" t="s">
        <v>511</v>
      </c>
      <c r="I169" s="265"/>
      <c r="J169" s="265"/>
      <c r="K169" s="266"/>
      <c r="L169" s="265"/>
      <c r="M169" s="267"/>
      <c r="O169" s="247"/>
      <c r="AC169" s="247"/>
      <c r="AD169" s="251" t="str">
        <f>IFERROR(__xludf.DUMMYFUNCTION("""COMPUTED_VALUE"""),"73df5aae-f42a-49a0-9d8f-616ca6dbebaa")</f>
        <v>73df5aae-f42a-49a0-9d8f-616ca6dbebaa</v>
      </c>
      <c r="AE169" s="251" t="str">
        <f>IFERROR(__xludf.DUMMYFUNCTION("""COMPUTED_VALUE"""),"019ed042-1709-7322-9ddf-ab59d1f096ab")</f>
        <v>019ed042-1709-7322-9ddf-ab59d1f096ab</v>
      </c>
      <c r="AF169" s="261">
        <f>IFERROR(__xludf.DUMMYFUNCTION("""COMPUTED_VALUE"""),46189.49135416667)</f>
        <v>46189.49135</v>
      </c>
      <c r="AG169" s="251" t="str">
        <f>IFERROR(__xludf.DUMMYFUNCTION("""COMPUTED_VALUE"""),"credit")</f>
        <v>credit</v>
      </c>
      <c r="AH169" s="253">
        <f>IFERROR(__xludf.DUMMYFUNCTION("""COMPUTED_VALUE"""),22176.12)</f>
        <v>22176.12</v>
      </c>
      <c r="AI169" s="251" t="str">
        <f>IFERROR(__xludf.DUMMYFUNCTION("""COMPUTED_VALUE"""),"cash_isa")</f>
        <v>cash_isa</v>
      </c>
      <c r="AJ169" s="251" t="str">
        <f>IFERROR(__xludf.DUMMYFUNCTION("""COMPUTED_VALUE"""),"9bc00e6b-ce5f-48c5-ae3a-1baabe00f337")</f>
        <v>9bc00e6b-ce5f-48c5-ae3a-1baabe00f337</v>
      </c>
      <c r="AK169" s="251" t="str">
        <f>IFERROR(__xludf.DUMMYFUNCTION("""COMPUTED_VALUE"""),"c161f8f2-0bdb-4ed8-b8d2-372337424c0e")</f>
        <v>c161f8f2-0bdb-4ed8-b8d2-372337424c0e</v>
      </c>
      <c r="AL169" s="251"/>
      <c r="AM169" s="251"/>
      <c r="AN169" s="251"/>
      <c r="AO169" s="251"/>
      <c r="AP169" s="261"/>
      <c r="AR169" s="251" t="str">
        <f t="shared" si="1"/>
        <v>22176.12_credit</v>
      </c>
      <c r="AS169" s="251" t="str">
        <f t="shared" si="2"/>
        <v>DROP</v>
      </c>
      <c r="AT169" s="247"/>
    </row>
    <row r="170">
      <c r="A170" s="255" t="s">
        <v>165</v>
      </c>
      <c r="B170" s="255" t="s">
        <v>515</v>
      </c>
      <c r="C170" s="256">
        <v>46189.498715277776</v>
      </c>
      <c r="D170" s="255" t="s">
        <v>167</v>
      </c>
      <c r="E170" s="257">
        <v>41602.94</v>
      </c>
      <c r="F170" s="255" t="s">
        <v>169</v>
      </c>
      <c r="G170" s="255" t="s">
        <v>170</v>
      </c>
      <c r="H170" s="255" t="s">
        <v>516</v>
      </c>
      <c r="I170" s="258"/>
      <c r="J170" s="258"/>
      <c r="K170" s="259"/>
      <c r="L170" s="258"/>
      <c r="M170" s="260"/>
      <c r="O170" s="247"/>
      <c r="AC170" s="247"/>
      <c r="AD170" s="251" t="str">
        <f>IFERROR(__xludf.DUMMYFUNCTION("""COMPUTED_VALUE"""),"73df5aae-f42a-49a0-9d8f-616ca6dbebaa")</f>
        <v>73df5aae-f42a-49a0-9d8f-616ca6dbebaa</v>
      </c>
      <c r="AE170" s="251" t="str">
        <f>IFERROR(__xludf.DUMMYFUNCTION("""COMPUTED_VALUE"""),"019ed043-be03-7049-ae7c-7cd2fd1b8267")</f>
        <v>019ed043-be03-7049-ae7c-7cd2fd1b8267</v>
      </c>
      <c r="AF170" s="261">
        <f>IFERROR(__xludf.DUMMYFUNCTION("""COMPUTED_VALUE"""),46189.49260416666)</f>
        <v>46189.4926</v>
      </c>
      <c r="AG170" s="251" t="str">
        <f>IFERROR(__xludf.DUMMYFUNCTION("""COMPUTED_VALUE"""),"credit")</f>
        <v>credit</v>
      </c>
      <c r="AH170" s="253">
        <f>IFERROR(__xludf.DUMMYFUNCTION("""COMPUTED_VALUE"""),20386.08)</f>
        <v>20386.08</v>
      </c>
      <c r="AI170" s="251" t="str">
        <f>IFERROR(__xludf.DUMMYFUNCTION("""COMPUTED_VALUE"""),"cash_isa")</f>
        <v>cash_isa</v>
      </c>
      <c r="AJ170" s="251" t="str">
        <f>IFERROR(__xludf.DUMMYFUNCTION("""COMPUTED_VALUE"""),"9bc00e6b-ce5f-48c5-ae3a-1baabe00f337")</f>
        <v>9bc00e6b-ce5f-48c5-ae3a-1baabe00f337</v>
      </c>
      <c r="AK170" s="251" t="str">
        <f>IFERROR(__xludf.DUMMYFUNCTION("""COMPUTED_VALUE"""),"a7b5ac2b-c73b-47d4-ba8a-0a8b5f222b9a")</f>
        <v>a7b5ac2b-c73b-47d4-ba8a-0a8b5f222b9a</v>
      </c>
      <c r="AL170" s="251"/>
      <c r="AM170" s="251"/>
      <c r="AN170" s="251"/>
      <c r="AO170" s="251"/>
      <c r="AP170" s="261"/>
      <c r="AR170" s="251" t="str">
        <f t="shared" si="1"/>
        <v>20386.08_credit</v>
      </c>
      <c r="AS170" s="251" t="str">
        <f t="shared" si="2"/>
        <v>DROP</v>
      </c>
      <c r="AT170" s="247"/>
    </row>
    <row r="171">
      <c r="A171" s="262" t="s">
        <v>165</v>
      </c>
      <c r="B171" s="262" t="s">
        <v>517</v>
      </c>
      <c r="C171" s="263">
        <v>46189.49875</v>
      </c>
      <c r="D171" s="262" t="s">
        <v>265</v>
      </c>
      <c r="E171" s="264">
        <v>12453.34</v>
      </c>
      <c r="F171" s="262" t="s">
        <v>169</v>
      </c>
      <c r="G171" s="262" t="s">
        <v>170</v>
      </c>
      <c r="H171" s="262" t="s">
        <v>513</v>
      </c>
      <c r="I171" s="265"/>
      <c r="J171" s="265"/>
      <c r="K171" s="266"/>
      <c r="L171" s="265"/>
      <c r="M171" s="267"/>
      <c r="O171" s="247"/>
      <c r="AC171" s="247"/>
      <c r="AD171" s="251" t="str">
        <f>IFERROR(__xludf.DUMMYFUNCTION("""COMPUTED_VALUE"""),"73df5aae-f42a-49a0-9d8f-616ca6dbebaa")</f>
        <v>73df5aae-f42a-49a0-9d8f-616ca6dbebaa</v>
      </c>
      <c r="AE171" s="251" t="str">
        <f>IFERROR(__xludf.DUMMYFUNCTION("""COMPUTED_VALUE"""),"019ed044-b7f5-74ae-9602-dea0dc29b845")</f>
        <v>019ed044-b7f5-74ae-9602-dea0dc29b845</v>
      </c>
      <c r="AF171" s="261">
        <f>IFERROR(__xludf.DUMMYFUNCTION("""COMPUTED_VALUE"""),46189.49334490741)</f>
        <v>46189.49334</v>
      </c>
      <c r="AG171" s="251" t="str">
        <f>IFERROR(__xludf.DUMMYFUNCTION("""COMPUTED_VALUE"""),"debit")</f>
        <v>debit</v>
      </c>
      <c r="AH171" s="253">
        <f>IFERROR(__xludf.DUMMYFUNCTION("""COMPUTED_VALUE"""),22176.12)</f>
        <v>22176.12</v>
      </c>
      <c r="AI171" s="251" t="str">
        <f>IFERROR(__xludf.DUMMYFUNCTION("""COMPUTED_VALUE"""),"cash_isa")</f>
        <v>cash_isa</v>
      </c>
      <c r="AJ171" s="251" t="str">
        <f>IFERROR(__xludf.DUMMYFUNCTION("""COMPUTED_VALUE"""),"9bc00e6b-ce5f-48c5-ae3a-1baabe00f337")</f>
        <v>9bc00e6b-ce5f-48c5-ae3a-1baabe00f337</v>
      </c>
      <c r="AK171" s="251" t="str">
        <f>IFERROR(__xludf.DUMMYFUNCTION("""COMPUTED_VALUE"""),"c161f8f2-0bdb-4ed8-b8d2-372337424c0e")</f>
        <v>c161f8f2-0bdb-4ed8-b8d2-372337424c0e</v>
      </c>
      <c r="AL171" s="251"/>
      <c r="AM171" s="251"/>
      <c r="AN171" s="251"/>
      <c r="AO171" s="251"/>
      <c r="AP171" s="261"/>
      <c r="AR171" s="251" t="str">
        <f t="shared" si="1"/>
        <v>22176.12_debit</v>
      </c>
      <c r="AS171" s="251" t="str">
        <f t="shared" si="2"/>
        <v>DROP</v>
      </c>
      <c r="AT171" s="247"/>
    </row>
    <row r="172">
      <c r="A172" s="255" t="s">
        <v>165</v>
      </c>
      <c r="B172" s="255" t="s">
        <v>518</v>
      </c>
      <c r="C172" s="256">
        <v>46189.5</v>
      </c>
      <c r="D172" s="255" t="s">
        <v>265</v>
      </c>
      <c r="E172" s="257">
        <v>41602.94</v>
      </c>
      <c r="F172" s="255" t="s">
        <v>169</v>
      </c>
      <c r="G172" s="255" t="s">
        <v>170</v>
      </c>
      <c r="H172" s="255" t="s">
        <v>516</v>
      </c>
      <c r="I172" s="258"/>
      <c r="J172" s="258"/>
      <c r="K172" s="259"/>
      <c r="L172" s="258"/>
      <c r="M172" s="260"/>
      <c r="O172" s="247"/>
      <c r="AC172" s="247"/>
      <c r="AD172" s="251" t="str">
        <f>IFERROR(__xludf.DUMMYFUNCTION("""COMPUTED_VALUE"""),"73df5aae-f42a-49a0-9d8f-616ca6dbebaa")</f>
        <v>73df5aae-f42a-49a0-9d8f-616ca6dbebaa</v>
      </c>
      <c r="AE172" s="251" t="str">
        <f>IFERROR(__xludf.DUMMYFUNCTION("""COMPUTED_VALUE"""),"019ed045-a3d3-788c-a34d-ad6cb6659ab7")</f>
        <v>019ed045-a3d3-788c-a34d-ad6cb6659ab7</v>
      </c>
      <c r="AF172" s="261">
        <f>IFERROR(__xludf.DUMMYFUNCTION("""COMPUTED_VALUE"""),46189.49403935185)</f>
        <v>46189.49404</v>
      </c>
      <c r="AG172" s="251" t="str">
        <f>IFERROR(__xludf.DUMMYFUNCTION("""COMPUTED_VALUE"""),"debit")</f>
        <v>debit</v>
      </c>
      <c r="AH172" s="253">
        <f>IFERROR(__xludf.DUMMYFUNCTION("""COMPUTED_VALUE"""),20386.08)</f>
        <v>20386.08</v>
      </c>
      <c r="AI172" s="251" t="str">
        <f>IFERROR(__xludf.DUMMYFUNCTION("""COMPUTED_VALUE"""),"cash_isa")</f>
        <v>cash_isa</v>
      </c>
      <c r="AJ172" s="251" t="str">
        <f>IFERROR(__xludf.DUMMYFUNCTION("""COMPUTED_VALUE"""),"9bc00e6b-ce5f-48c5-ae3a-1baabe00f337")</f>
        <v>9bc00e6b-ce5f-48c5-ae3a-1baabe00f337</v>
      </c>
      <c r="AK172" s="251" t="str">
        <f>IFERROR(__xludf.DUMMYFUNCTION("""COMPUTED_VALUE"""),"a7b5ac2b-c73b-47d4-ba8a-0a8b5f222b9a")</f>
        <v>a7b5ac2b-c73b-47d4-ba8a-0a8b5f222b9a</v>
      </c>
      <c r="AL172" s="251"/>
      <c r="AM172" s="251"/>
      <c r="AN172" s="251"/>
      <c r="AO172" s="251"/>
      <c r="AP172" s="261"/>
      <c r="AR172" s="251" t="str">
        <f t="shared" si="1"/>
        <v>20386.08_debit</v>
      </c>
      <c r="AS172" s="251" t="str">
        <f t="shared" si="2"/>
        <v>DROP</v>
      </c>
      <c r="AT172" s="247"/>
    </row>
    <row r="173">
      <c r="A173" s="262" t="s">
        <v>165</v>
      </c>
      <c r="B173" s="262" t="s">
        <v>519</v>
      </c>
      <c r="C173" s="263">
        <v>46189.500069444446</v>
      </c>
      <c r="D173" s="262" t="s">
        <v>167</v>
      </c>
      <c r="E173" s="264">
        <v>20387.76</v>
      </c>
      <c r="F173" s="262" t="s">
        <v>169</v>
      </c>
      <c r="G173" s="262" t="s">
        <v>170</v>
      </c>
      <c r="H173" s="262" t="s">
        <v>520</v>
      </c>
      <c r="I173" s="265"/>
      <c r="J173" s="265"/>
      <c r="K173" s="266"/>
      <c r="L173" s="265"/>
      <c r="M173" s="267"/>
      <c r="O173" s="247"/>
      <c r="AC173" s="247"/>
      <c r="AD173" s="251" t="str">
        <f>IFERROR(__xludf.DUMMYFUNCTION("""COMPUTED_VALUE"""),"73df5aae-f42a-49a0-9d8f-616ca6dbebaa")</f>
        <v>73df5aae-f42a-49a0-9d8f-616ca6dbebaa</v>
      </c>
      <c r="AE173" s="251" t="str">
        <f>IFERROR(__xludf.DUMMYFUNCTION("""COMPUTED_VALUE"""),"019ed046-18d9-7fb3-b908-b18d09cf1975")</f>
        <v>019ed046-18d9-7fb3-b908-b18d09cf1975</v>
      </c>
      <c r="AF173" s="261">
        <f>IFERROR(__xludf.DUMMYFUNCTION("""COMPUTED_VALUE"""),46189.49438657408)</f>
        <v>46189.49439</v>
      </c>
      <c r="AG173" s="251" t="str">
        <f>IFERROR(__xludf.DUMMYFUNCTION("""COMPUTED_VALUE"""),"credit")</f>
        <v>credit</v>
      </c>
      <c r="AH173" s="253">
        <f>IFERROR(__xludf.DUMMYFUNCTION("""COMPUTED_VALUE"""),21506.61)</f>
        <v>21506.61</v>
      </c>
      <c r="AI173" s="251" t="str">
        <f>IFERROR(__xludf.DUMMYFUNCTION("""COMPUTED_VALUE"""),"cash_isa")</f>
        <v>cash_isa</v>
      </c>
      <c r="AJ173" s="251" t="str">
        <f>IFERROR(__xludf.DUMMYFUNCTION("""COMPUTED_VALUE"""),"9bc00e6b-ce5f-48c5-ae3a-1baabe00f337")</f>
        <v>9bc00e6b-ce5f-48c5-ae3a-1baabe00f337</v>
      </c>
      <c r="AK173" s="251" t="str">
        <f>IFERROR(__xludf.DUMMYFUNCTION("""COMPUTED_VALUE"""),"c2062727-5ce9-4615-86a4-b8169e7d14b8")</f>
        <v>c2062727-5ce9-4615-86a4-b8169e7d14b8</v>
      </c>
      <c r="AL173" s="251"/>
      <c r="AM173" s="251"/>
      <c r="AN173" s="251"/>
      <c r="AO173" s="251"/>
      <c r="AP173" s="261"/>
      <c r="AR173" s="251" t="str">
        <f t="shared" si="1"/>
        <v>21506.61_credit</v>
      </c>
      <c r="AS173" s="251" t="str">
        <f t="shared" si="2"/>
        <v>DROP</v>
      </c>
      <c r="AT173" s="247"/>
    </row>
    <row r="174">
      <c r="A174" s="255" t="s">
        <v>165</v>
      </c>
      <c r="B174" s="255" t="s">
        <v>521</v>
      </c>
      <c r="C174" s="256">
        <v>46189.50056712963</v>
      </c>
      <c r="D174" s="255" t="s">
        <v>167</v>
      </c>
      <c r="E174" s="257">
        <v>20011.66</v>
      </c>
      <c r="F174" s="255" t="s">
        <v>169</v>
      </c>
      <c r="G174" s="255" t="s">
        <v>170</v>
      </c>
      <c r="H174" s="255" t="s">
        <v>522</v>
      </c>
      <c r="I174" s="258"/>
      <c r="J174" s="258"/>
      <c r="K174" s="259"/>
      <c r="L174" s="258"/>
      <c r="M174" s="260"/>
      <c r="O174" s="247"/>
      <c r="AC174" s="247"/>
      <c r="AD174" s="251" t="str">
        <f>IFERROR(__xludf.DUMMYFUNCTION("""COMPUTED_VALUE"""),"73df5aae-f42a-49a0-9d8f-616ca6dbebaa")</f>
        <v>73df5aae-f42a-49a0-9d8f-616ca6dbebaa</v>
      </c>
      <c r="AE174" s="251" t="str">
        <f>IFERROR(__xludf.DUMMYFUNCTION("""COMPUTED_VALUE"""),"019ed048-7ccc-7434-9810-ee34f98ae51d")</f>
        <v>019ed048-7ccc-7434-9810-ee34f98ae51d</v>
      </c>
      <c r="AF174" s="261">
        <f>IFERROR(__xludf.DUMMYFUNCTION("""COMPUTED_VALUE"""),46189.496203703704)</f>
        <v>46189.4962</v>
      </c>
      <c r="AG174" s="251" t="str">
        <f>IFERROR(__xludf.DUMMYFUNCTION("""COMPUTED_VALUE"""),"debit")</f>
        <v>debit</v>
      </c>
      <c r="AH174" s="253">
        <f>IFERROR(__xludf.DUMMYFUNCTION("""COMPUTED_VALUE"""),21506.61)</f>
        <v>21506.61</v>
      </c>
      <c r="AI174" s="251" t="str">
        <f>IFERROR(__xludf.DUMMYFUNCTION("""COMPUTED_VALUE"""),"cash_isa")</f>
        <v>cash_isa</v>
      </c>
      <c r="AJ174" s="251" t="str">
        <f>IFERROR(__xludf.DUMMYFUNCTION("""COMPUTED_VALUE"""),"9bc00e6b-ce5f-48c5-ae3a-1baabe00f337")</f>
        <v>9bc00e6b-ce5f-48c5-ae3a-1baabe00f337</v>
      </c>
      <c r="AK174" s="251" t="str">
        <f>IFERROR(__xludf.DUMMYFUNCTION("""COMPUTED_VALUE"""),"c2062727-5ce9-4615-86a4-b8169e7d14b8")</f>
        <v>c2062727-5ce9-4615-86a4-b8169e7d14b8</v>
      </c>
      <c r="AL174" s="251"/>
      <c r="AM174" s="251"/>
      <c r="AN174" s="251"/>
      <c r="AO174" s="251"/>
      <c r="AP174" s="261"/>
      <c r="AR174" s="251" t="str">
        <f t="shared" si="1"/>
        <v>21506.61_debit</v>
      </c>
      <c r="AS174" s="251" t="str">
        <f t="shared" si="2"/>
        <v>DROP</v>
      </c>
      <c r="AT174" s="247"/>
    </row>
    <row r="175">
      <c r="A175" s="262" t="s">
        <v>165</v>
      </c>
      <c r="B175" s="262" t="s">
        <v>523</v>
      </c>
      <c r="C175" s="263">
        <v>46189.50134259259</v>
      </c>
      <c r="D175" s="262" t="s">
        <v>265</v>
      </c>
      <c r="E175" s="264">
        <v>20387.76</v>
      </c>
      <c r="F175" s="262" t="s">
        <v>169</v>
      </c>
      <c r="G175" s="262" t="s">
        <v>170</v>
      </c>
      <c r="H175" s="262" t="s">
        <v>520</v>
      </c>
      <c r="I175" s="265"/>
      <c r="J175" s="265"/>
      <c r="K175" s="266"/>
      <c r="L175" s="265"/>
      <c r="M175" s="267"/>
      <c r="O175" s="247"/>
      <c r="AC175" s="247"/>
      <c r="AD175" s="251" t="str">
        <f>IFERROR(__xludf.DUMMYFUNCTION("""COMPUTED_VALUE"""),"73df5aae-f42a-49a0-9d8f-616ca6dbebaa")</f>
        <v>73df5aae-f42a-49a0-9d8f-616ca6dbebaa</v>
      </c>
      <c r="AE175" s="251" t="str">
        <f>IFERROR(__xludf.DUMMYFUNCTION("""COMPUTED_VALUE"""),"019ed048-96f2-7487-abb5-7d201be516ca")</f>
        <v>019ed048-96f2-7487-abb5-7d201be516ca</v>
      </c>
      <c r="AF175" s="261">
        <f>IFERROR(__xludf.DUMMYFUNCTION("""COMPUTED_VALUE"""),46189.49628472222)</f>
        <v>46189.49628</v>
      </c>
      <c r="AG175" s="251" t="str">
        <f>IFERROR(__xludf.DUMMYFUNCTION("""COMPUTED_VALUE"""),"credit")</f>
        <v>credit</v>
      </c>
      <c r="AH175" s="253">
        <f>IFERROR(__xludf.DUMMYFUNCTION("""COMPUTED_VALUE"""),19038.75)</f>
        <v>19038.75</v>
      </c>
      <c r="AI175" s="251" t="str">
        <f>IFERROR(__xludf.DUMMYFUNCTION("""COMPUTED_VALUE"""),"cash_isa")</f>
        <v>cash_isa</v>
      </c>
      <c r="AJ175" s="251" t="str">
        <f>IFERROR(__xludf.DUMMYFUNCTION("""COMPUTED_VALUE"""),"9bc00e6b-ce5f-48c5-ae3a-1baabe00f337")</f>
        <v>9bc00e6b-ce5f-48c5-ae3a-1baabe00f337</v>
      </c>
      <c r="AK175" s="251" t="str">
        <f>IFERROR(__xludf.DUMMYFUNCTION("""COMPUTED_VALUE"""),"70ebe030-691f-497e-92a5-1e266a1b28cb")</f>
        <v>70ebe030-691f-497e-92a5-1e266a1b28cb</v>
      </c>
      <c r="AL175" s="251"/>
      <c r="AM175" s="251"/>
      <c r="AN175" s="251"/>
      <c r="AO175" s="251"/>
      <c r="AP175" s="261"/>
      <c r="AR175" s="251" t="str">
        <f t="shared" si="1"/>
        <v>19038.75_credit</v>
      </c>
      <c r="AS175" s="251" t="str">
        <f t="shared" si="2"/>
        <v>DROP</v>
      </c>
      <c r="AT175" s="247"/>
    </row>
    <row r="176">
      <c r="A176" s="255" t="s">
        <v>165</v>
      </c>
      <c r="B176" s="255" t="s">
        <v>524</v>
      </c>
      <c r="C176" s="256">
        <v>46189.501851851855</v>
      </c>
      <c r="D176" s="255" t="s">
        <v>167</v>
      </c>
      <c r="E176" s="257">
        <v>15455.25</v>
      </c>
      <c r="F176" s="255" t="s">
        <v>169</v>
      </c>
      <c r="G176" s="255" t="s">
        <v>170</v>
      </c>
      <c r="H176" s="255" t="s">
        <v>525</v>
      </c>
      <c r="I176" s="258"/>
      <c r="J176" s="258"/>
      <c r="K176" s="259"/>
      <c r="L176" s="258"/>
      <c r="M176" s="260"/>
      <c r="O176" s="247"/>
      <c r="AC176" s="247"/>
      <c r="AD176" s="251" t="str">
        <f>IFERROR(__xludf.DUMMYFUNCTION("""COMPUTED_VALUE"""),"73df5aae-f42a-49a0-9d8f-616ca6dbebaa")</f>
        <v>73df5aae-f42a-49a0-9d8f-616ca6dbebaa</v>
      </c>
      <c r="AE176" s="251" t="str">
        <f>IFERROR(__xludf.DUMMYFUNCTION("""COMPUTED_VALUE"""),"019ed049-a92b-73b0-ba48-b4fd11c7da66")</f>
        <v>019ed049-a92b-73b0-ba48-b4fd11c7da66</v>
      </c>
      <c r="AF176" s="261">
        <f>IFERROR(__xludf.DUMMYFUNCTION("""COMPUTED_VALUE"""),46189.497094907405)</f>
        <v>46189.49709</v>
      </c>
      <c r="AG176" s="251" t="str">
        <f>IFERROR(__xludf.DUMMYFUNCTION("""COMPUTED_VALUE"""),"credit")</f>
        <v>credit</v>
      </c>
      <c r="AH176" s="253">
        <f>IFERROR(__xludf.DUMMYFUNCTION("""COMPUTED_VALUE"""),12453.34)</f>
        <v>12453.34</v>
      </c>
      <c r="AI176" s="251" t="str">
        <f>IFERROR(__xludf.DUMMYFUNCTION("""COMPUTED_VALUE"""),"cash_isa")</f>
        <v>cash_isa</v>
      </c>
      <c r="AJ176" s="251" t="str">
        <f>IFERROR(__xludf.DUMMYFUNCTION("""COMPUTED_VALUE"""),"9bc00e6b-ce5f-48c5-ae3a-1baabe00f337")</f>
        <v>9bc00e6b-ce5f-48c5-ae3a-1baabe00f337</v>
      </c>
      <c r="AK176" s="251" t="str">
        <f>IFERROR(__xludf.DUMMYFUNCTION("""COMPUTED_VALUE"""),"e97c109f-4b44-4e4f-af31-71980205dc48")</f>
        <v>e97c109f-4b44-4e4f-af31-71980205dc48</v>
      </c>
      <c r="AL176" s="251"/>
      <c r="AM176" s="251"/>
      <c r="AN176" s="251"/>
      <c r="AO176" s="251"/>
      <c r="AP176" s="261"/>
      <c r="AR176" s="251" t="str">
        <f t="shared" si="1"/>
        <v>12453.34_credit</v>
      </c>
      <c r="AS176" s="251" t="str">
        <f t="shared" si="2"/>
        <v>DROP</v>
      </c>
      <c r="AT176" s="247"/>
    </row>
    <row r="177">
      <c r="A177" s="262" t="s">
        <v>165</v>
      </c>
      <c r="B177" s="262" t="s">
        <v>526</v>
      </c>
      <c r="C177" s="263">
        <v>46189.502118055556</v>
      </c>
      <c r="D177" s="262" t="s">
        <v>265</v>
      </c>
      <c r="E177" s="264">
        <v>20011.66</v>
      </c>
      <c r="F177" s="262" t="s">
        <v>169</v>
      </c>
      <c r="G177" s="262" t="s">
        <v>170</v>
      </c>
      <c r="H177" s="262" t="s">
        <v>522</v>
      </c>
      <c r="I177" s="265"/>
      <c r="J177" s="265"/>
      <c r="K177" s="266"/>
      <c r="L177" s="265"/>
      <c r="M177" s="267"/>
      <c r="O177" s="247"/>
      <c r="AC177" s="247"/>
      <c r="AD177" s="251" t="str">
        <f>IFERROR(__xludf.DUMMYFUNCTION("""COMPUTED_VALUE"""),"73df5aae-f42a-49a0-9d8f-616ca6dbebaa")</f>
        <v>73df5aae-f42a-49a0-9d8f-616ca6dbebaa</v>
      </c>
      <c r="AE177" s="251" t="str">
        <f>IFERROR(__xludf.DUMMYFUNCTION("""COMPUTED_VALUE"""),"019ed04b-a409-76a6-9e7a-9f1cb6f8d983")</f>
        <v>019ed04b-a409-76a6-9e7a-9f1cb6f8d983</v>
      </c>
      <c r="AF177" s="261">
        <f>IFERROR(__xludf.DUMMYFUNCTION("""COMPUTED_VALUE"""),46189.49859953704)</f>
        <v>46189.4986</v>
      </c>
      <c r="AG177" s="251" t="str">
        <f>IFERROR(__xludf.DUMMYFUNCTION("""COMPUTED_VALUE"""),"debit")</f>
        <v>debit</v>
      </c>
      <c r="AH177" s="253">
        <f>IFERROR(__xludf.DUMMYFUNCTION("""COMPUTED_VALUE"""),19038.75)</f>
        <v>19038.75</v>
      </c>
      <c r="AI177" s="251" t="str">
        <f>IFERROR(__xludf.DUMMYFUNCTION("""COMPUTED_VALUE"""),"cash_isa")</f>
        <v>cash_isa</v>
      </c>
      <c r="AJ177" s="251" t="str">
        <f>IFERROR(__xludf.DUMMYFUNCTION("""COMPUTED_VALUE"""),"9bc00e6b-ce5f-48c5-ae3a-1baabe00f337")</f>
        <v>9bc00e6b-ce5f-48c5-ae3a-1baabe00f337</v>
      </c>
      <c r="AK177" s="251" t="str">
        <f>IFERROR(__xludf.DUMMYFUNCTION("""COMPUTED_VALUE"""),"70ebe030-691f-497e-92a5-1e266a1b28cb")</f>
        <v>70ebe030-691f-497e-92a5-1e266a1b28cb</v>
      </c>
      <c r="AL177" s="251"/>
      <c r="AM177" s="251"/>
      <c r="AN177" s="251"/>
      <c r="AO177" s="251"/>
      <c r="AP177" s="261"/>
      <c r="AR177" s="251" t="str">
        <f t="shared" si="1"/>
        <v>19038.75_debit</v>
      </c>
      <c r="AS177" s="251" t="str">
        <f t="shared" si="2"/>
        <v>DROP</v>
      </c>
      <c r="AT177" s="247"/>
    </row>
    <row r="178">
      <c r="A178" s="255" t="s">
        <v>165</v>
      </c>
      <c r="B178" s="255" t="s">
        <v>527</v>
      </c>
      <c r="C178" s="256">
        <v>46189.5027662037</v>
      </c>
      <c r="D178" s="255" t="s">
        <v>167</v>
      </c>
      <c r="E178" s="257">
        <v>18641.1</v>
      </c>
      <c r="F178" s="255" t="s">
        <v>169</v>
      </c>
      <c r="G178" s="255" t="s">
        <v>170</v>
      </c>
      <c r="H178" s="255" t="s">
        <v>528</v>
      </c>
      <c r="I178" s="258"/>
      <c r="J178" s="258"/>
      <c r="K178" s="259"/>
      <c r="L178" s="258"/>
      <c r="M178" s="260"/>
      <c r="O178" s="247"/>
      <c r="AC178" s="247"/>
      <c r="AD178" s="251" t="str">
        <f>IFERROR(__xludf.DUMMYFUNCTION("""COMPUTED_VALUE"""),"73df5aae-f42a-49a0-9d8f-616ca6dbebaa")</f>
        <v>73df5aae-f42a-49a0-9d8f-616ca6dbebaa</v>
      </c>
      <c r="AE178" s="251" t="str">
        <f>IFERROR(__xludf.DUMMYFUNCTION("""COMPUTED_VALUE"""),"019ed04b-cc8f-7ec1-8c62-ead9d4419bc2")</f>
        <v>019ed04b-cc8f-7ec1-8c62-ead9d4419bc2</v>
      </c>
      <c r="AF178" s="261">
        <f>IFERROR(__xludf.DUMMYFUNCTION("""COMPUTED_VALUE"""),46189.498715277776)</f>
        <v>46189.49872</v>
      </c>
      <c r="AG178" s="251" t="str">
        <f>IFERROR(__xludf.DUMMYFUNCTION("""COMPUTED_VALUE"""),"credit")</f>
        <v>credit</v>
      </c>
      <c r="AH178" s="253">
        <f>IFERROR(__xludf.DUMMYFUNCTION("""COMPUTED_VALUE"""),41602.94)</f>
        <v>41602.94</v>
      </c>
      <c r="AI178" s="251" t="str">
        <f>IFERROR(__xludf.DUMMYFUNCTION("""COMPUTED_VALUE"""),"cash_isa")</f>
        <v>cash_isa</v>
      </c>
      <c r="AJ178" s="251" t="str">
        <f>IFERROR(__xludf.DUMMYFUNCTION("""COMPUTED_VALUE"""),"9bc00e6b-ce5f-48c5-ae3a-1baabe00f337")</f>
        <v>9bc00e6b-ce5f-48c5-ae3a-1baabe00f337</v>
      </c>
      <c r="AK178" s="251" t="str">
        <f>IFERROR(__xludf.DUMMYFUNCTION("""COMPUTED_VALUE"""),"a77681e7-af79-4f52-a4d8-4e79b090a163")</f>
        <v>a77681e7-af79-4f52-a4d8-4e79b090a163</v>
      </c>
      <c r="AL178" s="251"/>
      <c r="AM178" s="251"/>
      <c r="AN178" s="251"/>
      <c r="AO178" s="251"/>
      <c r="AP178" s="261"/>
      <c r="AR178" s="251" t="str">
        <f t="shared" si="1"/>
        <v>41602.94_credit</v>
      </c>
      <c r="AS178" s="251" t="str">
        <f t="shared" si="2"/>
        <v>DROP</v>
      </c>
      <c r="AT178" s="247"/>
    </row>
    <row r="179">
      <c r="A179" s="262" t="s">
        <v>165</v>
      </c>
      <c r="B179" s="262" t="s">
        <v>529</v>
      </c>
      <c r="C179" s="263">
        <v>46189.50325231482</v>
      </c>
      <c r="D179" s="262" t="s">
        <v>167</v>
      </c>
      <c r="E179" s="264">
        <v>14538.71</v>
      </c>
      <c r="F179" s="262" t="s">
        <v>169</v>
      </c>
      <c r="G179" s="262" t="s">
        <v>170</v>
      </c>
      <c r="H179" s="262" t="s">
        <v>530</v>
      </c>
      <c r="I179" s="265"/>
      <c r="J179" s="265"/>
      <c r="K179" s="266"/>
      <c r="L179" s="265"/>
      <c r="M179" s="267"/>
      <c r="O179" s="247"/>
      <c r="AC179" s="247"/>
      <c r="AD179" s="251" t="str">
        <f>IFERROR(__xludf.DUMMYFUNCTION("""COMPUTED_VALUE"""),"73df5aae-f42a-49a0-9d8f-616ca6dbebaa")</f>
        <v>73df5aae-f42a-49a0-9d8f-616ca6dbebaa</v>
      </c>
      <c r="AE179" s="251" t="str">
        <f>IFERROR(__xludf.DUMMYFUNCTION("""COMPUTED_VALUE"""),"019ed04b-d704-706c-9c88-565053d4cdf6")</f>
        <v>019ed04b-d704-706c-9c88-565053d4cdf6</v>
      </c>
      <c r="AF179" s="261">
        <f>IFERROR(__xludf.DUMMYFUNCTION("""COMPUTED_VALUE"""),46189.49875)</f>
        <v>46189.49875</v>
      </c>
      <c r="AG179" s="251" t="str">
        <f>IFERROR(__xludf.DUMMYFUNCTION("""COMPUTED_VALUE"""),"debit")</f>
        <v>debit</v>
      </c>
      <c r="AH179" s="253">
        <f>IFERROR(__xludf.DUMMYFUNCTION("""COMPUTED_VALUE"""),12453.34)</f>
        <v>12453.34</v>
      </c>
      <c r="AI179" s="251" t="str">
        <f>IFERROR(__xludf.DUMMYFUNCTION("""COMPUTED_VALUE"""),"cash_isa")</f>
        <v>cash_isa</v>
      </c>
      <c r="AJ179" s="251" t="str">
        <f>IFERROR(__xludf.DUMMYFUNCTION("""COMPUTED_VALUE"""),"9bc00e6b-ce5f-48c5-ae3a-1baabe00f337")</f>
        <v>9bc00e6b-ce5f-48c5-ae3a-1baabe00f337</v>
      </c>
      <c r="AK179" s="251" t="str">
        <f>IFERROR(__xludf.DUMMYFUNCTION("""COMPUTED_VALUE"""),"e97c109f-4b44-4e4f-af31-71980205dc48")</f>
        <v>e97c109f-4b44-4e4f-af31-71980205dc48</v>
      </c>
      <c r="AL179" s="251"/>
      <c r="AM179" s="251"/>
      <c r="AN179" s="251"/>
      <c r="AO179" s="251"/>
      <c r="AP179" s="261"/>
      <c r="AR179" s="251" t="str">
        <f t="shared" si="1"/>
        <v>12453.34_debit</v>
      </c>
      <c r="AS179" s="251" t="str">
        <f t="shared" si="2"/>
        <v>DROP</v>
      </c>
      <c r="AT179" s="247"/>
    </row>
    <row r="180">
      <c r="A180" s="255" t="s">
        <v>165</v>
      </c>
      <c r="B180" s="255" t="s">
        <v>531</v>
      </c>
      <c r="C180" s="256">
        <v>46189.50424768519</v>
      </c>
      <c r="D180" s="255" t="s">
        <v>265</v>
      </c>
      <c r="E180" s="257">
        <v>15455.25</v>
      </c>
      <c r="F180" s="255" t="s">
        <v>169</v>
      </c>
      <c r="G180" s="255" t="s">
        <v>170</v>
      </c>
      <c r="H180" s="255" t="s">
        <v>525</v>
      </c>
      <c r="I180" s="258"/>
      <c r="J180" s="258"/>
      <c r="K180" s="259"/>
      <c r="L180" s="258"/>
      <c r="M180" s="260"/>
      <c r="O180" s="247"/>
      <c r="AC180" s="247"/>
      <c r="AD180" s="251" t="str">
        <f>IFERROR(__xludf.DUMMYFUNCTION("""COMPUTED_VALUE"""),"73df5aae-f42a-49a0-9d8f-616ca6dbebaa")</f>
        <v>73df5aae-f42a-49a0-9d8f-616ca6dbebaa</v>
      </c>
      <c r="AE180" s="251" t="str">
        <f>IFERROR(__xludf.DUMMYFUNCTION("""COMPUTED_VALUE"""),"019ed04d-7da9-7694-9516-fec013ea4ec6")</f>
        <v>019ed04d-7da9-7694-9516-fec013ea4ec6</v>
      </c>
      <c r="AF180" s="261">
        <f>IFERROR(__xludf.DUMMYFUNCTION("""COMPUTED_VALUE"""),46189.5)</f>
        <v>46189.5</v>
      </c>
      <c r="AG180" s="251" t="str">
        <f>IFERROR(__xludf.DUMMYFUNCTION("""COMPUTED_VALUE"""),"debit")</f>
        <v>debit</v>
      </c>
      <c r="AH180" s="253">
        <f>IFERROR(__xludf.DUMMYFUNCTION("""COMPUTED_VALUE"""),41602.94)</f>
        <v>41602.94</v>
      </c>
      <c r="AI180" s="251" t="str">
        <f>IFERROR(__xludf.DUMMYFUNCTION("""COMPUTED_VALUE"""),"cash_isa")</f>
        <v>cash_isa</v>
      </c>
      <c r="AJ180" s="251" t="str">
        <f>IFERROR(__xludf.DUMMYFUNCTION("""COMPUTED_VALUE"""),"9bc00e6b-ce5f-48c5-ae3a-1baabe00f337")</f>
        <v>9bc00e6b-ce5f-48c5-ae3a-1baabe00f337</v>
      </c>
      <c r="AK180" s="251" t="str">
        <f>IFERROR(__xludf.DUMMYFUNCTION("""COMPUTED_VALUE"""),"a77681e7-af79-4f52-a4d8-4e79b090a163")</f>
        <v>a77681e7-af79-4f52-a4d8-4e79b090a163</v>
      </c>
      <c r="AL180" s="251"/>
      <c r="AM180" s="251"/>
      <c r="AN180" s="251"/>
      <c r="AO180" s="251"/>
      <c r="AP180" s="261"/>
      <c r="AR180" s="251" t="str">
        <f t="shared" si="1"/>
        <v>41602.94_debit</v>
      </c>
      <c r="AS180" s="251" t="str">
        <f t="shared" si="2"/>
        <v>DROP</v>
      </c>
      <c r="AT180" s="247"/>
    </row>
    <row r="181">
      <c r="A181" s="262" t="s">
        <v>165</v>
      </c>
      <c r="B181" s="262" t="s">
        <v>532</v>
      </c>
      <c r="C181" s="263">
        <v>46189.50429398148</v>
      </c>
      <c r="D181" s="262" t="s">
        <v>167</v>
      </c>
      <c r="E181" s="264">
        <v>9000.0</v>
      </c>
      <c r="F181" s="262" t="s">
        <v>169</v>
      </c>
      <c r="G181" s="262" t="s">
        <v>170</v>
      </c>
      <c r="H181" s="262" t="s">
        <v>533</v>
      </c>
      <c r="I181" s="265"/>
      <c r="J181" s="265"/>
      <c r="K181" s="266"/>
      <c r="L181" s="265"/>
      <c r="M181" s="267"/>
      <c r="O181" s="247"/>
      <c r="AC181" s="247"/>
      <c r="AD181" s="251" t="str">
        <f>IFERROR(__xludf.DUMMYFUNCTION("""COMPUTED_VALUE"""),"73df5aae-f42a-49a0-9d8f-616ca6dbebaa")</f>
        <v>73df5aae-f42a-49a0-9d8f-616ca6dbebaa</v>
      </c>
      <c r="AE181" s="251" t="str">
        <f>IFERROR(__xludf.DUMMYFUNCTION("""COMPUTED_VALUE"""),"019ed04d-96fb-7bd9-8b44-63d8d25da57f")</f>
        <v>019ed04d-96fb-7bd9-8b44-63d8d25da57f</v>
      </c>
      <c r="AF181" s="261">
        <f>IFERROR(__xludf.DUMMYFUNCTION("""COMPUTED_VALUE"""),46189.500069444446)</f>
        <v>46189.50007</v>
      </c>
      <c r="AG181" s="251" t="str">
        <f>IFERROR(__xludf.DUMMYFUNCTION("""COMPUTED_VALUE"""),"credit")</f>
        <v>credit</v>
      </c>
      <c r="AH181" s="253">
        <f>IFERROR(__xludf.DUMMYFUNCTION("""COMPUTED_VALUE"""),20387.76)</f>
        <v>20387.76</v>
      </c>
      <c r="AI181" s="251" t="str">
        <f>IFERROR(__xludf.DUMMYFUNCTION("""COMPUTED_VALUE"""),"cash_isa")</f>
        <v>cash_isa</v>
      </c>
      <c r="AJ181" s="251" t="str">
        <f>IFERROR(__xludf.DUMMYFUNCTION("""COMPUTED_VALUE"""),"9bc00e6b-ce5f-48c5-ae3a-1baabe00f337")</f>
        <v>9bc00e6b-ce5f-48c5-ae3a-1baabe00f337</v>
      </c>
      <c r="AK181" s="251" t="str">
        <f>IFERROR(__xludf.DUMMYFUNCTION("""COMPUTED_VALUE"""),"a056b682-97a9-4250-a4ff-e48285ec5fe4")</f>
        <v>a056b682-97a9-4250-a4ff-e48285ec5fe4</v>
      </c>
      <c r="AL181" s="251"/>
      <c r="AM181" s="251"/>
      <c r="AN181" s="251"/>
      <c r="AO181" s="251"/>
      <c r="AP181" s="261"/>
      <c r="AR181" s="251" t="str">
        <f t="shared" si="1"/>
        <v>20387.76_credit</v>
      </c>
      <c r="AS181" s="251" t="str">
        <f t="shared" si="2"/>
        <v>DROP</v>
      </c>
      <c r="AT181" s="247"/>
    </row>
    <row r="182">
      <c r="A182" s="255" t="s">
        <v>165</v>
      </c>
      <c r="B182" s="255" t="s">
        <v>534</v>
      </c>
      <c r="C182" s="256">
        <v>46189.504375</v>
      </c>
      <c r="D182" s="255" t="s">
        <v>265</v>
      </c>
      <c r="E182" s="257">
        <v>14538.71</v>
      </c>
      <c r="F182" s="255" t="s">
        <v>169</v>
      </c>
      <c r="G182" s="255" t="s">
        <v>170</v>
      </c>
      <c r="H182" s="255" t="s">
        <v>530</v>
      </c>
      <c r="I182" s="258"/>
      <c r="J182" s="258"/>
      <c r="K182" s="259"/>
      <c r="L182" s="258"/>
      <c r="M182" s="260"/>
      <c r="O182" s="247"/>
      <c r="AC182" s="247"/>
      <c r="AD182" s="251" t="str">
        <f>IFERROR(__xludf.DUMMYFUNCTION("""COMPUTED_VALUE"""),"73df5aae-f42a-49a0-9d8f-616ca6dbebaa")</f>
        <v>73df5aae-f42a-49a0-9d8f-616ca6dbebaa</v>
      </c>
      <c r="AE182" s="251" t="str">
        <f>IFERROR(__xludf.DUMMYFUNCTION("""COMPUTED_VALUE"""),"019ed04e-3d28-7b14-a978-3b0fdb3cbe6c")</f>
        <v>019ed04e-3d28-7b14-a978-3b0fdb3cbe6c</v>
      </c>
      <c r="AF182" s="261">
        <f>IFERROR(__xludf.DUMMYFUNCTION("""COMPUTED_VALUE"""),46189.50056712963)</f>
        <v>46189.50057</v>
      </c>
      <c r="AG182" s="251" t="str">
        <f>IFERROR(__xludf.DUMMYFUNCTION("""COMPUTED_VALUE"""),"credit")</f>
        <v>credit</v>
      </c>
      <c r="AH182" s="253">
        <f>IFERROR(__xludf.DUMMYFUNCTION("""COMPUTED_VALUE"""),20011.66)</f>
        <v>20011.66</v>
      </c>
      <c r="AI182" s="251" t="str">
        <f>IFERROR(__xludf.DUMMYFUNCTION("""COMPUTED_VALUE"""),"cash_isa")</f>
        <v>cash_isa</v>
      </c>
      <c r="AJ182" s="251" t="str">
        <f>IFERROR(__xludf.DUMMYFUNCTION("""COMPUTED_VALUE"""),"9bc00e6b-ce5f-48c5-ae3a-1baabe00f337")</f>
        <v>9bc00e6b-ce5f-48c5-ae3a-1baabe00f337</v>
      </c>
      <c r="AK182" s="251" t="str">
        <f>IFERROR(__xludf.DUMMYFUNCTION("""COMPUTED_VALUE"""),"8cd62a46-18ca-4865-be65-0bcaaa6de493")</f>
        <v>8cd62a46-18ca-4865-be65-0bcaaa6de493</v>
      </c>
      <c r="AL182" s="251"/>
      <c r="AM182" s="251"/>
      <c r="AN182" s="251"/>
      <c r="AO182" s="251"/>
      <c r="AP182" s="261"/>
      <c r="AR182" s="251" t="str">
        <f t="shared" si="1"/>
        <v>20011.66_credit</v>
      </c>
      <c r="AS182" s="251" t="str">
        <f t="shared" si="2"/>
        <v>DROP</v>
      </c>
      <c r="AT182" s="247"/>
    </row>
    <row r="183">
      <c r="A183" s="262" t="s">
        <v>165</v>
      </c>
      <c r="B183" s="262" t="s">
        <v>535</v>
      </c>
      <c r="C183" s="263">
        <v>46189.504375</v>
      </c>
      <c r="D183" s="262" t="s">
        <v>265</v>
      </c>
      <c r="E183" s="264">
        <v>18641.1</v>
      </c>
      <c r="F183" s="262" t="s">
        <v>169</v>
      </c>
      <c r="G183" s="262" t="s">
        <v>170</v>
      </c>
      <c r="H183" s="262" t="s">
        <v>528</v>
      </c>
      <c r="I183" s="265"/>
      <c r="J183" s="265"/>
      <c r="K183" s="266"/>
      <c r="L183" s="265"/>
      <c r="M183" s="267"/>
      <c r="O183" s="247"/>
      <c r="AC183" s="247"/>
      <c r="AD183" s="251" t="str">
        <f>IFERROR(__xludf.DUMMYFUNCTION("""COMPUTED_VALUE"""),"73df5aae-f42a-49a0-9d8f-616ca6dbebaa")</f>
        <v>73df5aae-f42a-49a0-9d8f-616ca6dbebaa</v>
      </c>
      <c r="AE183" s="251" t="str">
        <f>IFERROR(__xludf.DUMMYFUNCTION("""COMPUTED_VALUE"""),"019ed04f-41ac-71e3-944f-ab2432b366b3")</f>
        <v>019ed04f-41ac-71e3-944f-ab2432b366b3</v>
      </c>
      <c r="AF183" s="261">
        <f>IFERROR(__xludf.DUMMYFUNCTION("""COMPUTED_VALUE"""),46189.50134259259)</f>
        <v>46189.50134</v>
      </c>
      <c r="AG183" s="251" t="str">
        <f>IFERROR(__xludf.DUMMYFUNCTION("""COMPUTED_VALUE"""),"debit")</f>
        <v>debit</v>
      </c>
      <c r="AH183" s="253">
        <f>IFERROR(__xludf.DUMMYFUNCTION("""COMPUTED_VALUE"""),20387.76)</f>
        <v>20387.76</v>
      </c>
      <c r="AI183" s="251" t="str">
        <f>IFERROR(__xludf.DUMMYFUNCTION("""COMPUTED_VALUE"""),"cash_isa")</f>
        <v>cash_isa</v>
      </c>
      <c r="AJ183" s="251" t="str">
        <f>IFERROR(__xludf.DUMMYFUNCTION("""COMPUTED_VALUE"""),"9bc00e6b-ce5f-48c5-ae3a-1baabe00f337")</f>
        <v>9bc00e6b-ce5f-48c5-ae3a-1baabe00f337</v>
      </c>
      <c r="AK183" s="251" t="str">
        <f>IFERROR(__xludf.DUMMYFUNCTION("""COMPUTED_VALUE"""),"a056b682-97a9-4250-a4ff-e48285ec5fe4")</f>
        <v>a056b682-97a9-4250-a4ff-e48285ec5fe4</v>
      </c>
      <c r="AL183" s="251"/>
      <c r="AM183" s="251"/>
      <c r="AN183" s="251"/>
      <c r="AO183" s="251"/>
      <c r="AP183" s="261"/>
      <c r="AR183" s="251" t="str">
        <f t="shared" si="1"/>
        <v>20387.76_debit</v>
      </c>
      <c r="AS183" s="251" t="str">
        <f t="shared" si="2"/>
        <v>DROP</v>
      </c>
      <c r="AT183" s="247"/>
    </row>
    <row r="184">
      <c r="A184" s="255" t="s">
        <v>165</v>
      </c>
      <c r="B184" s="255" t="s">
        <v>536</v>
      </c>
      <c r="C184" s="256">
        <v>46189.504791666666</v>
      </c>
      <c r="D184" s="255" t="s">
        <v>167</v>
      </c>
      <c r="E184" s="257">
        <v>20894.27</v>
      </c>
      <c r="F184" s="255" t="s">
        <v>169</v>
      </c>
      <c r="G184" s="255" t="s">
        <v>170</v>
      </c>
      <c r="H184" s="255" t="s">
        <v>537</v>
      </c>
      <c r="I184" s="258"/>
      <c r="J184" s="258"/>
      <c r="K184" s="259"/>
      <c r="L184" s="258"/>
      <c r="M184" s="260"/>
      <c r="O184" s="247"/>
      <c r="AC184" s="247"/>
      <c r="AD184" s="251" t="str">
        <f>IFERROR(__xludf.DUMMYFUNCTION("""COMPUTED_VALUE"""),"73df5aae-f42a-49a0-9d8f-616ca6dbebaa")</f>
        <v>73df5aae-f42a-49a0-9d8f-616ca6dbebaa</v>
      </c>
      <c r="AE184" s="251" t="str">
        <f>IFERROR(__xludf.DUMMYFUNCTION("""COMPUTED_VALUE"""),"019ed04f-efe4-7584-a8d4-4142bffe18aa")</f>
        <v>019ed04f-efe4-7584-a8d4-4142bffe18aa</v>
      </c>
      <c r="AF184" s="261">
        <f>IFERROR(__xludf.DUMMYFUNCTION("""COMPUTED_VALUE"""),46189.50185185185)</f>
        <v>46189.50185</v>
      </c>
      <c r="AG184" s="251" t="str">
        <f>IFERROR(__xludf.DUMMYFUNCTION("""COMPUTED_VALUE"""),"credit")</f>
        <v>credit</v>
      </c>
      <c r="AH184" s="253">
        <f>IFERROR(__xludf.DUMMYFUNCTION("""COMPUTED_VALUE"""),15455.25)</f>
        <v>15455.25</v>
      </c>
      <c r="AI184" s="251" t="str">
        <f>IFERROR(__xludf.DUMMYFUNCTION("""COMPUTED_VALUE"""),"cash_isa")</f>
        <v>cash_isa</v>
      </c>
      <c r="AJ184" s="251" t="str">
        <f>IFERROR(__xludf.DUMMYFUNCTION("""COMPUTED_VALUE"""),"9bc00e6b-ce5f-48c5-ae3a-1baabe00f337")</f>
        <v>9bc00e6b-ce5f-48c5-ae3a-1baabe00f337</v>
      </c>
      <c r="AK184" s="251" t="str">
        <f>IFERROR(__xludf.DUMMYFUNCTION("""COMPUTED_VALUE"""),"592c3a0a-a0d0-442b-828f-86495a945059")</f>
        <v>592c3a0a-a0d0-442b-828f-86495a945059</v>
      </c>
      <c r="AL184" s="251"/>
      <c r="AM184" s="251"/>
      <c r="AN184" s="251"/>
      <c r="AO184" s="251"/>
      <c r="AP184" s="261"/>
      <c r="AR184" s="251" t="str">
        <f t="shared" si="1"/>
        <v>15455.25_credit</v>
      </c>
      <c r="AS184" s="251" t="str">
        <f t="shared" si="2"/>
        <v>DROP</v>
      </c>
      <c r="AT184" s="247"/>
    </row>
    <row r="185">
      <c r="A185" s="262" t="s">
        <v>165</v>
      </c>
      <c r="B185" s="262" t="s">
        <v>538</v>
      </c>
      <c r="C185" s="263">
        <v>46189.50497685185</v>
      </c>
      <c r="D185" s="262" t="s">
        <v>265</v>
      </c>
      <c r="E185" s="264">
        <v>9000.0</v>
      </c>
      <c r="F185" s="262" t="s">
        <v>169</v>
      </c>
      <c r="G185" s="262" t="s">
        <v>170</v>
      </c>
      <c r="H185" s="262" t="s">
        <v>533</v>
      </c>
      <c r="I185" s="265"/>
      <c r="J185" s="265"/>
      <c r="K185" s="266"/>
      <c r="L185" s="265"/>
      <c r="M185" s="267"/>
      <c r="O185" s="247"/>
      <c r="AC185" s="247"/>
      <c r="AD185" s="251" t="str">
        <f>IFERROR(__xludf.DUMMYFUNCTION("""COMPUTED_VALUE"""),"73df5aae-f42a-49a0-9d8f-616ca6dbebaa")</f>
        <v>73df5aae-f42a-49a0-9d8f-616ca6dbebaa</v>
      </c>
      <c r="AE185" s="251" t="str">
        <f>IFERROR(__xludf.DUMMYFUNCTION("""COMPUTED_VALUE"""),"019ed050-482a-7b8a-8ada-89cade9a2a47")</f>
        <v>019ed050-482a-7b8a-8ada-89cade9a2a47</v>
      </c>
      <c r="AF185" s="261">
        <f>IFERROR(__xludf.DUMMYFUNCTION("""COMPUTED_VALUE"""),46189.502118055556)</f>
        <v>46189.50212</v>
      </c>
      <c r="AG185" s="251" t="str">
        <f>IFERROR(__xludf.DUMMYFUNCTION("""COMPUTED_VALUE"""),"debit")</f>
        <v>debit</v>
      </c>
      <c r="AH185" s="253">
        <f>IFERROR(__xludf.DUMMYFUNCTION("""COMPUTED_VALUE"""),20011.66)</f>
        <v>20011.66</v>
      </c>
      <c r="AI185" s="251" t="str">
        <f>IFERROR(__xludf.DUMMYFUNCTION("""COMPUTED_VALUE"""),"cash_isa")</f>
        <v>cash_isa</v>
      </c>
      <c r="AJ185" s="251" t="str">
        <f>IFERROR(__xludf.DUMMYFUNCTION("""COMPUTED_VALUE"""),"9bc00e6b-ce5f-48c5-ae3a-1baabe00f337")</f>
        <v>9bc00e6b-ce5f-48c5-ae3a-1baabe00f337</v>
      </c>
      <c r="AK185" s="251" t="str">
        <f>IFERROR(__xludf.DUMMYFUNCTION("""COMPUTED_VALUE"""),"8cd62a46-18ca-4865-be65-0bcaaa6de493")</f>
        <v>8cd62a46-18ca-4865-be65-0bcaaa6de493</v>
      </c>
      <c r="AL185" s="251"/>
      <c r="AM185" s="251"/>
      <c r="AN185" s="251"/>
      <c r="AO185" s="251"/>
      <c r="AP185" s="261"/>
      <c r="AR185" s="251" t="str">
        <f t="shared" si="1"/>
        <v>20011.66_debit</v>
      </c>
      <c r="AS185" s="251" t="str">
        <f t="shared" si="2"/>
        <v>DROP</v>
      </c>
      <c r="AT185" s="247"/>
    </row>
    <row r="186">
      <c r="A186" s="255" t="s">
        <v>165</v>
      </c>
      <c r="B186" s="255" t="s">
        <v>539</v>
      </c>
      <c r="C186" s="256">
        <v>46189.50571759259</v>
      </c>
      <c r="D186" s="255" t="s">
        <v>265</v>
      </c>
      <c r="E186" s="257">
        <v>20894.27</v>
      </c>
      <c r="F186" s="255" t="s">
        <v>169</v>
      </c>
      <c r="G186" s="255" t="s">
        <v>170</v>
      </c>
      <c r="H186" s="255" t="s">
        <v>537</v>
      </c>
      <c r="I186" s="258"/>
      <c r="J186" s="258"/>
      <c r="K186" s="259"/>
      <c r="L186" s="258"/>
      <c r="M186" s="260"/>
      <c r="O186" s="247"/>
      <c r="AC186" s="247"/>
      <c r="AD186" s="251" t="str">
        <f>IFERROR(__xludf.DUMMYFUNCTION("""COMPUTED_VALUE"""),"73df5aae-f42a-49a0-9d8f-616ca6dbebaa")</f>
        <v>73df5aae-f42a-49a0-9d8f-616ca6dbebaa</v>
      </c>
      <c r="AE186" s="251" t="str">
        <f>IFERROR(__xludf.DUMMYFUNCTION("""COMPUTED_VALUE"""),"019ed051-2473-78aa-94b9-3081e5dfbed5")</f>
        <v>019ed051-2473-78aa-94b9-3081e5dfbed5</v>
      </c>
      <c r="AF186" s="261">
        <f>IFERROR(__xludf.DUMMYFUNCTION("""COMPUTED_VALUE"""),46189.5027662037)</f>
        <v>46189.50277</v>
      </c>
      <c r="AG186" s="251" t="str">
        <f>IFERROR(__xludf.DUMMYFUNCTION("""COMPUTED_VALUE"""),"credit")</f>
        <v>credit</v>
      </c>
      <c r="AH186" s="253">
        <f>IFERROR(__xludf.DUMMYFUNCTION("""COMPUTED_VALUE"""),18641.1)</f>
        <v>18641.1</v>
      </c>
      <c r="AI186" s="251" t="str">
        <f>IFERROR(__xludf.DUMMYFUNCTION("""COMPUTED_VALUE"""),"cash_isa")</f>
        <v>cash_isa</v>
      </c>
      <c r="AJ186" s="251" t="str">
        <f>IFERROR(__xludf.DUMMYFUNCTION("""COMPUTED_VALUE"""),"9bc00e6b-ce5f-48c5-ae3a-1baabe00f337")</f>
        <v>9bc00e6b-ce5f-48c5-ae3a-1baabe00f337</v>
      </c>
      <c r="AK186" s="251" t="str">
        <f>IFERROR(__xludf.DUMMYFUNCTION("""COMPUTED_VALUE"""),"4a8df8b1-7088-4100-901d-329fddacbcc6")</f>
        <v>4a8df8b1-7088-4100-901d-329fddacbcc6</v>
      </c>
      <c r="AL186" s="251"/>
      <c r="AM186" s="251"/>
      <c r="AN186" s="251"/>
      <c r="AO186" s="251"/>
      <c r="AP186" s="261"/>
      <c r="AR186" s="251" t="str">
        <f t="shared" si="1"/>
        <v>18641.1_credit</v>
      </c>
      <c r="AS186" s="251" t="str">
        <f t="shared" si="2"/>
        <v>DROP</v>
      </c>
      <c r="AT186" s="247"/>
    </row>
    <row r="187">
      <c r="A187" s="262" t="s">
        <v>165</v>
      </c>
      <c r="B187" s="262" t="s">
        <v>540</v>
      </c>
      <c r="C187" s="263">
        <v>46189.50734953704</v>
      </c>
      <c r="D187" s="262" t="s">
        <v>167</v>
      </c>
      <c r="E187" s="264">
        <v>20458.1</v>
      </c>
      <c r="F187" s="262" t="s">
        <v>169</v>
      </c>
      <c r="G187" s="262" t="s">
        <v>170</v>
      </c>
      <c r="H187" s="262" t="s">
        <v>541</v>
      </c>
      <c r="I187" s="265"/>
      <c r="J187" s="265"/>
      <c r="K187" s="266"/>
      <c r="L187" s="265"/>
      <c r="M187" s="267"/>
      <c r="O187" s="247"/>
      <c r="AC187" s="247"/>
      <c r="AD187" s="251" t="str">
        <f>IFERROR(__xludf.DUMMYFUNCTION("""COMPUTED_VALUE"""),"73df5aae-f42a-49a0-9d8f-616ca6dbebaa")</f>
        <v>73df5aae-f42a-49a0-9d8f-616ca6dbebaa</v>
      </c>
      <c r="AE187" s="251" t="str">
        <f>IFERROR(__xludf.DUMMYFUNCTION("""COMPUTED_VALUE"""),"019ed051-c980-7330-9849-ffa7af0f9bb3")</f>
        <v>019ed051-c980-7330-9849-ffa7af0f9bb3</v>
      </c>
      <c r="AF187" s="261">
        <f>IFERROR(__xludf.DUMMYFUNCTION("""COMPUTED_VALUE"""),46189.50325231481)</f>
        <v>46189.50325</v>
      </c>
      <c r="AG187" s="251" t="str">
        <f>IFERROR(__xludf.DUMMYFUNCTION("""COMPUTED_VALUE"""),"credit")</f>
        <v>credit</v>
      </c>
      <c r="AH187" s="253">
        <f>IFERROR(__xludf.DUMMYFUNCTION("""COMPUTED_VALUE"""),14538.71)</f>
        <v>14538.71</v>
      </c>
      <c r="AI187" s="251" t="str">
        <f>IFERROR(__xludf.DUMMYFUNCTION("""COMPUTED_VALUE"""),"cash_isa")</f>
        <v>cash_isa</v>
      </c>
      <c r="AJ187" s="251" t="str">
        <f>IFERROR(__xludf.DUMMYFUNCTION("""COMPUTED_VALUE"""),"9bc00e6b-ce5f-48c5-ae3a-1baabe00f337")</f>
        <v>9bc00e6b-ce5f-48c5-ae3a-1baabe00f337</v>
      </c>
      <c r="AK187" s="251" t="str">
        <f>IFERROR(__xludf.DUMMYFUNCTION("""COMPUTED_VALUE"""),"5993c105-978b-49f1-8fd1-6054862dfc89")</f>
        <v>5993c105-978b-49f1-8fd1-6054862dfc89</v>
      </c>
      <c r="AL187" s="251"/>
      <c r="AM187" s="251"/>
      <c r="AN187" s="251"/>
      <c r="AO187" s="251"/>
      <c r="AP187" s="261"/>
      <c r="AR187" s="251" t="str">
        <f t="shared" si="1"/>
        <v>14538.71_credit</v>
      </c>
      <c r="AS187" s="251" t="str">
        <f t="shared" si="2"/>
        <v>DROP</v>
      </c>
      <c r="AT187" s="247"/>
    </row>
    <row r="188">
      <c r="A188" s="255" t="s">
        <v>165</v>
      </c>
      <c r="B188" s="255" t="s">
        <v>542</v>
      </c>
      <c r="C188" s="256">
        <v>46189.50938657407</v>
      </c>
      <c r="D188" s="255" t="s">
        <v>265</v>
      </c>
      <c r="E188" s="257">
        <v>20458.1</v>
      </c>
      <c r="F188" s="255" t="s">
        <v>169</v>
      </c>
      <c r="G188" s="255" t="s">
        <v>170</v>
      </c>
      <c r="H188" s="255" t="s">
        <v>541</v>
      </c>
      <c r="I188" s="258"/>
      <c r="J188" s="258"/>
      <c r="K188" s="259"/>
      <c r="L188" s="258"/>
      <c r="M188" s="260"/>
      <c r="O188" s="247"/>
      <c r="AC188" s="247"/>
      <c r="AD188" s="251" t="str">
        <f>IFERROR(__xludf.DUMMYFUNCTION("""COMPUTED_VALUE"""),"73df5aae-f42a-49a0-9d8f-616ca6dbebaa")</f>
        <v>73df5aae-f42a-49a0-9d8f-616ca6dbebaa</v>
      </c>
      <c r="AE188" s="251" t="str">
        <f>IFERROR(__xludf.DUMMYFUNCTION("""COMPUTED_VALUE"""),"019ed053-1729-7018-8a5a-62239b185f9f")</f>
        <v>019ed053-1729-7018-8a5a-62239b185f9f</v>
      </c>
      <c r="AF188" s="261">
        <f>IFERROR(__xludf.DUMMYFUNCTION("""COMPUTED_VALUE"""),46189.50424768518)</f>
        <v>46189.50425</v>
      </c>
      <c r="AG188" s="251" t="str">
        <f>IFERROR(__xludf.DUMMYFUNCTION("""COMPUTED_VALUE"""),"debit")</f>
        <v>debit</v>
      </c>
      <c r="AH188" s="253">
        <f>IFERROR(__xludf.DUMMYFUNCTION("""COMPUTED_VALUE"""),15455.25)</f>
        <v>15455.25</v>
      </c>
      <c r="AI188" s="251" t="str">
        <f>IFERROR(__xludf.DUMMYFUNCTION("""COMPUTED_VALUE"""),"cash_isa")</f>
        <v>cash_isa</v>
      </c>
      <c r="AJ188" s="251" t="str">
        <f>IFERROR(__xludf.DUMMYFUNCTION("""COMPUTED_VALUE"""),"9bc00e6b-ce5f-48c5-ae3a-1baabe00f337")</f>
        <v>9bc00e6b-ce5f-48c5-ae3a-1baabe00f337</v>
      </c>
      <c r="AK188" s="251" t="str">
        <f>IFERROR(__xludf.DUMMYFUNCTION("""COMPUTED_VALUE"""),"592c3a0a-a0d0-442b-828f-86495a945059")</f>
        <v>592c3a0a-a0d0-442b-828f-86495a945059</v>
      </c>
      <c r="AL188" s="251"/>
      <c r="AM188" s="251"/>
      <c r="AN188" s="251"/>
      <c r="AO188" s="251"/>
      <c r="AP188" s="261"/>
      <c r="AR188" s="251" t="str">
        <f t="shared" si="1"/>
        <v>15455.25_debit</v>
      </c>
      <c r="AS188" s="251" t="str">
        <f t="shared" si="2"/>
        <v>DROP</v>
      </c>
      <c r="AT188" s="247"/>
    </row>
    <row r="189">
      <c r="A189" s="262" t="s">
        <v>165</v>
      </c>
      <c r="B189" s="262" t="s">
        <v>543</v>
      </c>
      <c r="C189" s="263">
        <v>46189.51059027778</v>
      </c>
      <c r="D189" s="262" t="s">
        <v>167</v>
      </c>
      <c r="E189" s="264">
        <v>15000.0</v>
      </c>
      <c r="F189" s="262" t="s">
        <v>169</v>
      </c>
      <c r="G189" s="262" t="s">
        <v>170</v>
      </c>
      <c r="H189" s="262" t="s">
        <v>544</v>
      </c>
      <c r="I189" s="265"/>
      <c r="J189" s="265"/>
      <c r="K189" s="266"/>
      <c r="L189" s="265"/>
      <c r="M189" s="267"/>
      <c r="O189" s="247"/>
      <c r="AC189" s="247"/>
      <c r="AD189" s="251" t="str">
        <f>IFERROR(__xludf.DUMMYFUNCTION("""COMPUTED_VALUE"""),"73df5aae-f42a-49a0-9d8f-616ca6dbebaa")</f>
        <v>73df5aae-f42a-49a0-9d8f-616ca6dbebaa</v>
      </c>
      <c r="AE189" s="251" t="str">
        <f>IFERROR(__xludf.DUMMYFUNCTION("""COMPUTED_VALUE"""),"019ed053-2673-7b36-bb8b-14c6fcd92f45")</f>
        <v>019ed053-2673-7b36-bb8b-14c6fcd92f45</v>
      </c>
      <c r="AF189" s="261">
        <f>IFERROR(__xludf.DUMMYFUNCTION("""COMPUTED_VALUE"""),46189.50429398148)</f>
        <v>46189.50429</v>
      </c>
      <c r="AG189" s="251" t="str">
        <f>IFERROR(__xludf.DUMMYFUNCTION("""COMPUTED_VALUE"""),"credit")</f>
        <v>credit</v>
      </c>
      <c r="AH189" s="253">
        <f>IFERROR(__xludf.DUMMYFUNCTION("""COMPUTED_VALUE"""),9000.0)</f>
        <v>9000</v>
      </c>
      <c r="AI189" s="251" t="str">
        <f>IFERROR(__xludf.DUMMYFUNCTION("""COMPUTED_VALUE"""),"cash_isa")</f>
        <v>cash_isa</v>
      </c>
      <c r="AJ189" s="251" t="str">
        <f>IFERROR(__xludf.DUMMYFUNCTION("""COMPUTED_VALUE"""),"9bc00e6b-ce5f-48c5-ae3a-1baabe00f337")</f>
        <v>9bc00e6b-ce5f-48c5-ae3a-1baabe00f337</v>
      </c>
      <c r="AK189" s="251" t="str">
        <f>IFERROR(__xludf.DUMMYFUNCTION("""COMPUTED_VALUE"""),"cc61bae4-1231-4c4d-a31d-d62c86d64402")</f>
        <v>cc61bae4-1231-4c4d-a31d-d62c86d64402</v>
      </c>
      <c r="AL189" s="251"/>
      <c r="AM189" s="251"/>
      <c r="AN189" s="251"/>
      <c r="AO189" s="251"/>
      <c r="AP189" s="261"/>
      <c r="AR189" s="251" t="str">
        <f t="shared" si="1"/>
        <v>9000_credit</v>
      </c>
      <c r="AS189" s="251" t="str">
        <f t="shared" si="2"/>
        <v>DROP</v>
      </c>
      <c r="AT189" s="247"/>
    </row>
    <row r="190">
      <c r="A190" s="255" t="s">
        <v>165</v>
      </c>
      <c r="B190" s="255" t="s">
        <v>545</v>
      </c>
      <c r="C190" s="256">
        <v>46189.511516203704</v>
      </c>
      <c r="D190" s="255" t="s">
        <v>265</v>
      </c>
      <c r="E190" s="257">
        <v>15000.0</v>
      </c>
      <c r="F190" s="255" t="s">
        <v>169</v>
      </c>
      <c r="G190" s="255" t="s">
        <v>170</v>
      </c>
      <c r="H190" s="255" t="s">
        <v>544</v>
      </c>
      <c r="I190" s="258"/>
      <c r="J190" s="258"/>
      <c r="K190" s="259"/>
      <c r="L190" s="258"/>
      <c r="M190" s="260"/>
      <c r="O190" s="247"/>
      <c r="AC190" s="247"/>
      <c r="AD190" s="251" t="str">
        <f>IFERROR(__xludf.DUMMYFUNCTION("""COMPUTED_VALUE"""),"73df5aae-f42a-49a0-9d8f-616ca6dbebaa")</f>
        <v>73df5aae-f42a-49a0-9d8f-616ca6dbebaa</v>
      </c>
      <c r="AE190" s="251" t="str">
        <f>IFERROR(__xludf.DUMMYFUNCTION("""COMPUTED_VALUE"""),"019ed053-40ca-721f-a782-b6b455ad51a1")</f>
        <v>019ed053-40ca-721f-a782-b6b455ad51a1</v>
      </c>
      <c r="AF190" s="261">
        <f>IFERROR(__xludf.DUMMYFUNCTION("""COMPUTED_VALUE"""),46189.504375000004)</f>
        <v>46189.50438</v>
      </c>
      <c r="AG190" s="251" t="str">
        <f>IFERROR(__xludf.DUMMYFUNCTION("""COMPUTED_VALUE"""),"debit")</f>
        <v>debit</v>
      </c>
      <c r="AH190" s="253">
        <f>IFERROR(__xludf.DUMMYFUNCTION("""COMPUTED_VALUE"""),14538.71)</f>
        <v>14538.71</v>
      </c>
      <c r="AI190" s="251" t="str">
        <f>IFERROR(__xludf.DUMMYFUNCTION("""COMPUTED_VALUE"""),"cash_isa")</f>
        <v>cash_isa</v>
      </c>
      <c r="AJ190" s="251" t="str">
        <f>IFERROR(__xludf.DUMMYFUNCTION("""COMPUTED_VALUE"""),"9bc00e6b-ce5f-48c5-ae3a-1baabe00f337")</f>
        <v>9bc00e6b-ce5f-48c5-ae3a-1baabe00f337</v>
      </c>
      <c r="AK190" s="251" t="str">
        <f>IFERROR(__xludf.DUMMYFUNCTION("""COMPUTED_VALUE"""),"5993c105-978b-49f1-8fd1-6054862dfc89")</f>
        <v>5993c105-978b-49f1-8fd1-6054862dfc89</v>
      </c>
      <c r="AL190" s="251"/>
      <c r="AM190" s="251"/>
      <c r="AN190" s="251"/>
      <c r="AO190" s="251"/>
      <c r="AP190" s="261"/>
      <c r="AR190" s="251" t="str">
        <f t="shared" si="1"/>
        <v>14538.71_debit</v>
      </c>
      <c r="AS190" s="251" t="str">
        <f t="shared" si="2"/>
        <v>DROP</v>
      </c>
      <c r="AT190" s="247"/>
    </row>
    <row r="191">
      <c r="A191" s="262" t="s">
        <v>165</v>
      </c>
      <c r="B191" s="262" t="s">
        <v>546</v>
      </c>
      <c r="C191" s="263">
        <v>46189.51267361111</v>
      </c>
      <c r="D191" s="262" t="s">
        <v>167</v>
      </c>
      <c r="E191" s="264">
        <v>20675.57</v>
      </c>
      <c r="F191" s="262" t="s">
        <v>169</v>
      </c>
      <c r="G191" s="262" t="s">
        <v>170</v>
      </c>
      <c r="H191" s="262" t="s">
        <v>547</v>
      </c>
      <c r="I191" s="265"/>
      <c r="J191" s="265"/>
      <c r="K191" s="266"/>
      <c r="L191" s="265"/>
      <c r="M191" s="267"/>
      <c r="O191" s="247"/>
      <c r="AC191" s="247"/>
      <c r="AD191" s="251" t="str">
        <f>IFERROR(__xludf.DUMMYFUNCTION("""COMPUTED_VALUE"""),"73df5aae-f42a-49a0-9d8f-616ca6dbebaa")</f>
        <v>73df5aae-f42a-49a0-9d8f-616ca6dbebaa</v>
      </c>
      <c r="AE191" s="251" t="str">
        <f>IFERROR(__xludf.DUMMYFUNCTION("""COMPUTED_VALUE"""),"019ed053-4122-78b7-b7dd-69103db10fec")</f>
        <v>019ed053-4122-78b7-b7dd-69103db10fec</v>
      </c>
      <c r="AF191" s="261">
        <f>IFERROR(__xludf.DUMMYFUNCTION("""COMPUTED_VALUE"""),46189.504375000004)</f>
        <v>46189.50438</v>
      </c>
      <c r="AG191" s="251" t="str">
        <f>IFERROR(__xludf.DUMMYFUNCTION("""COMPUTED_VALUE"""),"debit")</f>
        <v>debit</v>
      </c>
      <c r="AH191" s="253">
        <f>IFERROR(__xludf.DUMMYFUNCTION("""COMPUTED_VALUE"""),18641.1)</f>
        <v>18641.1</v>
      </c>
      <c r="AI191" s="251" t="str">
        <f>IFERROR(__xludf.DUMMYFUNCTION("""COMPUTED_VALUE"""),"cash_isa")</f>
        <v>cash_isa</v>
      </c>
      <c r="AJ191" s="251" t="str">
        <f>IFERROR(__xludf.DUMMYFUNCTION("""COMPUTED_VALUE"""),"9bc00e6b-ce5f-48c5-ae3a-1baabe00f337")</f>
        <v>9bc00e6b-ce5f-48c5-ae3a-1baabe00f337</v>
      </c>
      <c r="AK191" s="251" t="str">
        <f>IFERROR(__xludf.DUMMYFUNCTION("""COMPUTED_VALUE"""),"4a8df8b1-7088-4100-901d-329fddacbcc6")</f>
        <v>4a8df8b1-7088-4100-901d-329fddacbcc6</v>
      </c>
      <c r="AL191" s="251"/>
      <c r="AM191" s="251"/>
      <c r="AN191" s="251"/>
      <c r="AO191" s="251"/>
      <c r="AP191" s="261"/>
      <c r="AR191" s="251" t="str">
        <f t="shared" si="1"/>
        <v>18641.1_debit</v>
      </c>
      <c r="AS191" s="251" t="str">
        <f t="shared" si="2"/>
        <v>DROP</v>
      </c>
      <c r="AT191" s="247"/>
    </row>
    <row r="192">
      <c r="A192" s="255" t="s">
        <v>165</v>
      </c>
      <c r="B192" s="255" t="s">
        <v>548</v>
      </c>
      <c r="C192" s="256">
        <v>46189.514398148145</v>
      </c>
      <c r="D192" s="255" t="s">
        <v>265</v>
      </c>
      <c r="E192" s="257">
        <v>20675.57</v>
      </c>
      <c r="F192" s="255" t="s">
        <v>169</v>
      </c>
      <c r="G192" s="255" t="s">
        <v>170</v>
      </c>
      <c r="H192" s="255" t="s">
        <v>547</v>
      </c>
      <c r="I192" s="258"/>
      <c r="J192" s="258"/>
      <c r="K192" s="259"/>
      <c r="L192" s="258"/>
      <c r="M192" s="260"/>
      <c r="O192" s="247"/>
      <c r="AC192" s="247"/>
      <c r="AD192" s="251" t="str">
        <f>IFERROR(__xludf.DUMMYFUNCTION("""COMPUTED_VALUE"""),"73df5aae-f42a-49a0-9d8f-616ca6dbebaa")</f>
        <v>73df5aae-f42a-49a0-9d8f-616ca6dbebaa</v>
      </c>
      <c r="AE192" s="251" t="str">
        <f>IFERROR(__xludf.DUMMYFUNCTION("""COMPUTED_VALUE"""),"019ed053-cdb0-7bab-9908-ff28fbe9ba23")</f>
        <v>019ed053-cdb0-7bab-9908-ff28fbe9ba23</v>
      </c>
      <c r="AF192" s="261">
        <f>IFERROR(__xludf.DUMMYFUNCTION("""COMPUTED_VALUE"""),46189.504791666666)</f>
        <v>46189.50479</v>
      </c>
      <c r="AG192" s="251" t="str">
        <f>IFERROR(__xludf.DUMMYFUNCTION("""COMPUTED_VALUE"""),"credit")</f>
        <v>credit</v>
      </c>
      <c r="AH192" s="253">
        <f>IFERROR(__xludf.DUMMYFUNCTION("""COMPUTED_VALUE"""),20894.27)</f>
        <v>20894.27</v>
      </c>
      <c r="AI192" s="251" t="str">
        <f>IFERROR(__xludf.DUMMYFUNCTION("""COMPUTED_VALUE"""),"cash_isa")</f>
        <v>cash_isa</v>
      </c>
      <c r="AJ192" s="251" t="str">
        <f>IFERROR(__xludf.DUMMYFUNCTION("""COMPUTED_VALUE"""),"9bc00e6b-ce5f-48c5-ae3a-1baabe00f337")</f>
        <v>9bc00e6b-ce5f-48c5-ae3a-1baabe00f337</v>
      </c>
      <c r="AK192" s="251" t="str">
        <f>IFERROR(__xludf.DUMMYFUNCTION("""COMPUTED_VALUE"""),"c70fc41d-318a-4d3c-8c92-0af99d8f3ad9")</f>
        <v>c70fc41d-318a-4d3c-8c92-0af99d8f3ad9</v>
      </c>
      <c r="AL192" s="251"/>
      <c r="AM192" s="251"/>
      <c r="AN192" s="251"/>
      <c r="AO192" s="251"/>
      <c r="AP192" s="261"/>
      <c r="AR192" s="251" t="str">
        <f t="shared" si="1"/>
        <v>20894.27_credit</v>
      </c>
      <c r="AS192" s="251" t="str">
        <f t="shared" si="2"/>
        <v>DROP</v>
      </c>
      <c r="AT192" s="247"/>
    </row>
    <row r="193">
      <c r="A193" s="262" t="s">
        <v>165</v>
      </c>
      <c r="B193" s="262" t="s">
        <v>549</v>
      </c>
      <c r="C193" s="263">
        <v>46189.51449074074</v>
      </c>
      <c r="D193" s="262" t="s">
        <v>167</v>
      </c>
      <c r="E193" s="264">
        <v>27775.29</v>
      </c>
      <c r="F193" s="262" t="s">
        <v>169</v>
      </c>
      <c r="G193" s="262" t="s">
        <v>170</v>
      </c>
      <c r="H193" s="262" t="s">
        <v>550</v>
      </c>
      <c r="I193" s="265"/>
      <c r="J193" s="265"/>
      <c r="K193" s="266"/>
      <c r="L193" s="265"/>
      <c r="M193" s="267"/>
      <c r="O193" s="247"/>
      <c r="AC193" s="247"/>
      <c r="AD193" s="251" t="str">
        <f>IFERROR(__xludf.DUMMYFUNCTION("""COMPUTED_VALUE"""),"73df5aae-f42a-49a0-9d8f-616ca6dbebaa")</f>
        <v>73df5aae-f42a-49a0-9d8f-616ca6dbebaa</v>
      </c>
      <c r="AE193" s="251" t="str">
        <f>IFERROR(__xludf.DUMMYFUNCTION("""COMPUTED_VALUE"""),"019ed054-0ec8-774d-be20-8fb265fa361b")</f>
        <v>019ed054-0ec8-774d-be20-8fb265fa361b</v>
      </c>
      <c r="AF193" s="261">
        <f>IFERROR(__xludf.DUMMYFUNCTION("""COMPUTED_VALUE"""),46189.50497685185)</f>
        <v>46189.50498</v>
      </c>
      <c r="AG193" s="251" t="str">
        <f>IFERROR(__xludf.DUMMYFUNCTION("""COMPUTED_VALUE"""),"debit")</f>
        <v>debit</v>
      </c>
      <c r="AH193" s="253">
        <f>IFERROR(__xludf.DUMMYFUNCTION("""COMPUTED_VALUE"""),9000.0)</f>
        <v>9000</v>
      </c>
      <c r="AI193" s="251" t="str">
        <f>IFERROR(__xludf.DUMMYFUNCTION("""COMPUTED_VALUE"""),"cash_isa")</f>
        <v>cash_isa</v>
      </c>
      <c r="AJ193" s="251" t="str">
        <f>IFERROR(__xludf.DUMMYFUNCTION("""COMPUTED_VALUE"""),"9bc00e6b-ce5f-48c5-ae3a-1baabe00f337")</f>
        <v>9bc00e6b-ce5f-48c5-ae3a-1baabe00f337</v>
      </c>
      <c r="AK193" s="251" t="str">
        <f>IFERROR(__xludf.DUMMYFUNCTION("""COMPUTED_VALUE"""),"cc61bae4-1231-4c4d-a31d-d62c86d64402")</f>
        <v>cc61bae4-1231-4c4d-a31d-d62c86d64402</v>
      </c>
      <c r="AL193" s="251"/>
      <c r="AM193" s="251"/>
      <c r="AN193" s="251"/>
      <c r="AO193" s="251"/>
      <c r="AP193" s="261"/>
      <c r="AR193" s="251" t="str">
        <f t="shared" si="1"/>
        <v>9000_debit</v>
      </c>
      <c r="AS193" s="251" t="str">
        <f t="shared" si="2"/>
        <v>DROP</v>
      </c>
      <c r="AT193" s="247"/>
    </row>
    <row r="194">
      <c r="A194" s="255" t="s">
        <v>165</v>
      </c>
      <c r="B194" s="255" t="s">
        <v>551</v>
      </c>
      <c r="C194" s="256">
        <v>46189.51459490741</v>
      </c>
      <c r="D194" s="255" t="s">
        <v>167</v>
      </c>
      <c r="E194" s="257">
        <v>20470.13</v>
      </c>
      <c r="F194" s="255" t="s">
        <v>169</v>
      </c>
      <c r="G194" s="255" t="s">
        <v>170</v>
      </c>
      <c r="H194" s="255" t="s">
        <v>552</v>
      </c>
      <c r="I194" s="258"/>
      <c r="J194" s="258"/>
      <c r="K194" s="259"/>
      <c r="L194" s="258"/>
      <c r="M194" s="260"/>
      <c r="O194" s="247"/>
      <c r="AC194" s="247"/>
      <c r="AD194" s="251" t="str">
        <f>IFERROR(__xludf.DUMMYFUNCTION("""COMPUTED_VALUE"""),"73df5aae-f42a-49a0-9d8f-616ca6dbebaa")</f>
        <v>73df5aae-f42a-49a0-9d8f-616ca6dbebaa</v>
      </c>
      <c r="AE194" s="251" t="str">
        <f>IFERROR(__xludf.DUMMYFUNCTION("""COMPUTED_VALUE"""),"019ed055-081f-74ac-a070-d58e214f6fd8")</f>
        <v>019ed055-081f-74ac-a070-d58e214f6fd8</v>
      </c>
      <c r="AF194" s="261">
        <f>IFERROR(__xludf.DUMMYFUNCTION("""COMPUTED_VALUE"""),46189.50571759259)</f>
        <v>46189.50572</v>
      </c>
      <c r="AG194" s="251" t="str">
        <f>IFERROR(__xludf.DUMMYFUNCTION("""COMPUTED_VALUE"""),"debit")</f>
        <v>debit</v>
      </c>
      <c r="AH194" s="253">
        <f>IFERROR(__xludf.DUMMYFUNCTION("""COMPUTED_VALUE"""),20894.27)</f>
        <v>20894.27</v>
      </c>
      <c r="AI194" s="251" t="str">
        <f>IFERROR(__xludf.DUMMYFUNCTION("""COMPUTED_VALUE"""),"cash_isa")</f>
        <v>cash_isa</v>
      </c>
      <c r="AJ194" s="251" t="str">
        <f>IFERROR(__xludf.DUMMYFUNCTION("""COMPUTED_VALUE"""),"9bc00e6b-ce5f-48c5-ae3a-1baabe00f337")</f>
        <v>9bc00e6b-ce5f-48c5-ae3a-1baabe00f337</v>
      </c>
      <c r="AK194" s="251" t="str">
        <f>IFERROR(__xludf.DUMMYFUNCTION("""COMPUTED_VALUE"""),"c70fc41d-318a-4d3c-8c92-0af99d8f3ad9")</f>
        <v>c70fc41d-318a-4d3c-8c92-0af99d8f3ad9</v>
      </c>
      <c r="AL194" s="251"/>
      <c r="AM194" s="251"/>
      <c r="AN194" s="251"/>
      <c r="AO194" s="251"/>
      <c r="AP194" s="261"/>
      <c r="AR194" s="251" t="str">
        <f t="shared" si="1"/>
        <v>20894.27_debit</v>
      </c>
      <c r="AS194" s="251" t="str">
        <f t="shared" si="2"/>
        <v>DROP</v>
      </c>
      <c r="AT194" s="247"/>
    </row>
    <row r="195">
      <c r="A195" s="262" t="s">
        <v>165</v>
      </c>
      <c r="B195" s="262" t="s">
        <v>553</v>
      </c>
      <c r="C195" s="263">
        <v>46189.51587962963</v>
      </c>
      <c r="D195" s="262" t="s">
        <v>265</v>
      </c>
      <c r="E195" s="264">
        <v>20470.13</v>
      </c>
      <c r="F195" s="262" t="s">
        <v>169</v>
      </c>
      <c r="G195" s="262" t="s">
        <v>170</v>
      </c>
      <c r="H195" s="262" t="s">
        <v>552</v>
      </c>
      <c r="I195" s="265"/>
      <c r="J195" s="265"/>
      <c r="K195" s="266"/>
      <c r="L195" s="265"/>
      <c r="M195" s="267"/>
      <c r="O195" s="247"/>
      <c r="AC195" s="247"/>
      <c r="AD195" s="251" t="str">
        <f>IFERROR(__xludf.DUMMYFUNCTION("""COMPUTED_VALUE"""),"73df5aae-f42a-49a0-9d8f-616ca6dbebaa")</f>
        <v>73df5aae-f42a-49a0-9d8f-616ca6dbebaa</v>
      </c>
      <c r="AE195" s="251" t="str">
        <f>IFERROR(__xludf.DUMMYFUNCTION("""COMPUTED_VALUE"""),"019ed057-2ddc-79a0-bfc7-e972c15eff6e")</f>
        <v>019ed057-2ddc-79a0-bfc7-e972c15eff6e</v>
      </c>
      <c r="AF195" s="261">
        <f>IFERROR(__xludf.DUMMYFUNCTION("""COMPUTED_VALUE"""),46189.50734953704)</f>
        <v>46189.50735</v>
      </c>
      <c r="AG195" s="251" t="str">
        <f>IFERROR(__xludf.DUMMYFUNCTION("""COMPUTED_VALUE"""),"credit")</f>
        <v>credit</v>
      </c>
      <c r="AH195" s="253">
        <f>IFERROR(__xludf.DUMMYFUNCTION("""COMPUTED_VALUE"""),20458.1)</f>
        <v>20458.1</v>
      </c>
      <c r="AI195" s="251" t="str">
        <f>IFERROR(__xludf.DUMMYFUNCTION("""COMPUTED_VALUE"""),"cash_isa")</f>
        <v>cash_isa</v>
      </c>
      <c r="AJ195" s="251" t="str">
        <f>IFERROR(__xludf.DUMMYFUNCTION("""COMPUTED_VALUE"""),"9bc00e6b-ce5f-48c5-ae3a-1baabe00f337")</f>
        <v>9bc00e6b-ce5f-48c5-ae3a-1baabe00f337</v>
      </c>
      <c r="AK195" s="251" t="str">
        <f>IFERROR(__xludf.DUMMYFUNCTION("""COMPUTED_VALUE"""),"ef237cc7-2338-48ae-8667-1176aa4d18a9")</f>
        <v>ef237cc7-2338-48ae-8667-1176aa4d18a9</v>
      </c>
      <c r="AL195" s="251"/>
      <c r="AM195" s="251"/>
      <c r="AN195" s="251"/>
      <c r="AO195" s="251"/>
      <c r="AP195" s="261"/>
      <c r="AR195" s="251" t="str">
        <f t="shared" si="1"/>
        <v>20458.1_credit</v>
      </c>
      <c r="AS195" s="251" t="str">
        <f t="shared" si="2"/>
        <v>DROP</v>
      </c>
      <c r="AT195" s="247"/>
    </row>
    <row r="196">
      <c r="A196" s="255" t="s">
        <v>165</v>
      </c>
      <c r="B196" s="255" t="s">
        <v>554</v>
      </c>
      <c r="C196" s="256">
        <v>46189.51587962963</v>
      </c>
      <c r="D196" s="255" t="s">
        <v>265</v>
      </c>
      <c r="E196" s="257">
        <v>27775.29</v>
      </c>
      <c r="F196" s="255" t="s">
        <v>169</v>
      </c>
      <c r="G196" s="255" t="s">
        <v>170</v>
      </c>
      <c r="H196" s="255" t="s">
        <v>550</v>
      </c>
      <c r="I196" s="258"/>
      <c r="J196" s="258"/>
      <c r="K196" s="259"/>
      <c r="L196" s="258"/>
      <c r="M196" s="260"/>
      <c r="O196" s="247"/>
      <c r="AC196" s="247"/>
      <c r="AD196" s="251" t="str">
        <f>IFERROR(__xludf.DUMMYFUNCTION("""COMPUTED_VALUE"""),"73df5aae-f42a-49a0-9d8f-616ca6dbebaa")</f>
        <v>73df5aae-f42a-49a0-9d8f-616ca6dbebaa</v>
      </c>
      <c r="AE196" s="251" t="str">
        <f>IFERROR(__xludf.DUMMYFUNCTION("""COMPUTED_VALUE"""),"019ed059-dd53-7f13-9343-d6c1865a6df7")</f>
        <v>019ed059-dd53-7f13-9343-d6c1865a6df7</v>
      </c>
      <c r="AF196" s="261">
        <f>IFERROR(__xludf.DUMMYFUNCTION("""COMPUTED_VALUE"""),46189.50938657408)</f>
        <v>46189.50939</v>
      </c>
      <c r="AG196" s="251" t="str">
        <f>IFERROR(__xludf.DUMMYFUNCTION("""COMPUTED_VALUE"""),"debit")</f>
        <v>debit</v>
      </c>
      <c r="AH196" s="253">
        <f>IFERROR(__xludf.DUMMYFUNCTION("""COMPUTED_VALUE"""),20458.1)</f>
        <v>20458.1</v>
      </c>
      <c r="AI196" s="251" t="str">
        <f>IFERROR(__xludf.DUMMYFUNCTION("""COMPUTED_VALUE"""),"cash_isa")</f>
        <v>cash_isa</v>
      </c>
      <c r="AJ196" s="251" t="str">
        <f>IFERROR(__xludf.DUMMYFUNCTION("""COMPUTED_VALUE"""),"9bc00e6b-ce5f-48c5-ae3a-1baabe00f337")</f>
        <v>9bc00e6b-ce5f-48c5-ae3a-1baabe00f337</v>
      </c>
      <c r="AK196" s="251" t="str">
        <f>IFERROR(__xludf.DUMMYFUNCTION("""COMPUTED_VALUE"""),"ef237cc7-2338-48ae-8667-1176aa4d18a9")</f>
        <v>ef237cc7-2338-48ae-8667-1176aa4d18a9</v>
      </c>
      <c r="AL196" s="251"/>
      <c r="AM196" s="251"/>
      <c r="AN196" s="251"/>
      <c r="AO196" s="251"/>
      <c r="AP196" s="261"/>
      <c r="AR196" s="251" t="str">
        <f t="shared" si="1"/>
        <v>20458.1_debit</v>
      </c>
      <c r="AS196" s="251" t="str">
        <f t="shared" si="2"/>
        <v>DROP</v>
      </c>
      <c r="AT196" s="247"/>
    </row>
    <row r="197">
      <c r="A197" s="262" t="s">
        <v>165</v>
      </c>
      <c r="B197" s="262" t="s">
        <v>555</v>
      </c>
      <c r="C197" s="263">
        <v>46189.51684027778</v>
      </c>
      <c r="D197" s="262" t="s">
        <v>167</v>
      </c>
      <c r="E197" s="264">
        <v>21220.8</v>
      </c>
      <c r="F197" s="262" t="s">
        <v>169</v>
      </c>
      <c r="G197" s="262" t="s">
        <v>170</v>
      </c>
      <c r="H197" s="262" t="s">
        <v>556</v>
      </c>
      <c r="I197" s="265"/>
      <c r="J197" s="265"/>
      <c r="K197" s="266"/>
      <c r="L197" s="265"/>
      <c r="M197" s="267"/>
      <c r="O197" s="247"/>
      <c r="AC197" s="247"/>
      <c r="AD197" s="251" t="str">
        <f>IFERROR(__xludf.DUMMYFUNCTION("""COMPUTED_VALUE"""),"73df5aae-f42a-49a0-9d8f-616ca6dbebaa")</f>
        <v>73df5aae-f42a-49a0-9d8f-616ca6dbebaa</v>
      </c>
      <c r="AE197" s="251" t="str">
        <f>IFERROR(__xludf.DUMMYFUNCTION("""COMPUTED_VALUE"""),"019ed05b-7448-73d6-b950-0117699ecd41")</f>
        <v>019ed05b-7448-73d6-b950-0117699ecd41</v>
      </c>
      <c r="AF197" s="261">
        <f>IFERROR(__xludf.DUMMYFUNCTION("""COMPUTED_VALUE"""),46189.51059027778)</f>
        <v>46189.51059</v>
      </c>
      <c r="AG197" s="251" t="str">
        <f>IFERROR(__xludf.DUMMYFUNCTION("""COMPUTED_VALUE"""),"credit")</f>
        <v>credit</v>
      </c>
      <c r="AH197" s="253">
        <f>IFERROR(__xludf.DUMMYFUNCTION("""COMPUTED_VALUE"""),15000.0)</f>
        <v>15000</v>
      </c>
      <c r="AI197" s="251" t="str">
        <f>IFERROR(__xludf.DUMMYFUNCTION("""COMPUTED_VALUE"""),"cash_isa")</f>
        <v>cash_isa</v>
      </c>
      <c r="AJ197" s="251" t="str">
        <f>IFERROR(__xludf.DUMMYFUNCTION("""COMPUTED_VALUE"""),"9bc00e6b-ce5f-48c5-ae3a-1baabe00f337")</f>
        <v>9bc00e6b-ce5f-48c5-ae3a-1baabe00f337</v>
      </c>
      <c r="AK197" s="251" t="str">
        <f>IFERROR(__xludf.DUMMYFUNCTION("""COMPUTED_VALUE"""),"84d0a80b-c5f6-4ace-947b-109a4d13b52e")</f>
        <v>84d0a80b-c5f6-4ace-947b-109a4d13b52e</v>
      </c>
      <c r="AL197" s="251"/>
      <c r="AM197" s="251"/>
      <c r="AN197" s="251"/>
      <c r="AO197" s="251"/>
      <c r="AP197" s="261"/>
      <c r="AR197" s="251" t="str">
        <f t="shared" si="1"/>
        <v>15000_credit</v>
      </c>
      <c r="AS197" s="251" t="str">
        <f t="shared" si="2"/>
        <v>DROP</v>
      </c>
      <c r="AT197" s="247"/>
    </row>
    <row r="198">
      <c r="A198" s="255" t="s">
        <v>165</v>
      </c>
      <c r="B198" s="255" t="s">
        <v>557</v>
      </c>
      <c r="C198" s="256">
        <v>46189.51924768519</v>
      </c>
      <c r="D198" s="255" t="s">
        <v>167</v>
      </c>
      <c r="E198" s="257">
        <v>10409.52</v>
      </c>
      <c r="F198" s="255" t="s">
        <v>169</v>
      </c>
      <c r="G198" s="255" t="s">
        <v>170</v>
      </c>
      <c r="H198" s="255" t="s">
        <v>558</v>
      </c>
      <c r="I198" s="258"/>
      <c r="J198" s="258"/>
      <c r="K198" s="259"/>
      <c r="L198" s="258"/>
      <c r="M198" s="260"/>
      <c r="O198" s="247"/>
      <c r="AC198" s="247"/>
      <c r="AD198" s="251" t="str">
        <f>IFERROR(__xludf.DUMMYFUNCTION("""COMPUTED_VALUE"""),"73df5aae-f42a-49a0-9d8f-616ca6dbebaa")</f>
        <v>73df5aae-f42a-49a0-9d8f-616ca6dbebaa</v>
      </c>
      <c r="AE198" s="251" t="str">
        <f>IFERROR(__xludf.DUMMYFUNCTION("""COMPUTED_VALUE"""),"019ed05c-ae2c-70ab-b778-6ca7e3b21b53")</f>
        <v>019ed05c-ae2c-70ab-b778-6ca7e3b21b53</v>
      </c>
      <c r="AF198" s="261">
        <f>IFERROR(__xludf.DUMMYFUNCTION("""COMPUTED_VALUE"""),46189.511516203704)</f>
        <v>46189.51152</v>
      </c>
      <c r="AG198" s="251" t="str">
        <f>IFERROR(__xludf.DUMMYFUNCTION("""COMPUTED_VALUE"""),"debit")</f>
        <v>debit</v>
      </c>
      <c r="AH198" s="253">
        <f>IFERROR(__xludf.DUMMYFUNCTION("""COMPUTED_VALUE"""),15000.0)</f>
        <v>15000</v>
      </c>
      <c r="AI198" s="251" t="str">
        <f>IFERROR(__xludf.DUMMYFUNCTION("""COMPUTED_VALUE"""),"cash_isa")</f>
        <v>cash_isa</v>
      </c>
      <c r="AJ198" s="251" t="str">
        <f>IFERROR(__xludf.DUMMYFUNCTION("""COMPUTED_VALUE"""),"9bc00e6b-ce5f-48c5-ae3a-1baabe00f337")</f>
        <v>9bc00e6b-ce5f-48c5-ae3a-1baabe00f337</v>
      </c>
      <c r="AK198" s="251" t="str">
        <f>IFERROR(__xludf.DUMMYFUNCTION("""COMPUTED_VALUE"""),"84d0a80b-c5f6-4ace-947b-109a4d13b52e")</f>
        <v>84d0a80b-c5f6-4ace-947b-109a4d13b52e</v>
      </c>
      <c r="AL198" s="251"/>
      <c r="AM198" s="251"/>
      <c r="AN198" s="251"/>
      <c r="AO198" s="251"/>
      <c r="AP198" s="261"/>
      <c r="AR198" s="251" t="str">
        <f t="shared" si="1"/>
        <v>15000_debit</v>
      </c>
      <c r="AS198" s="251" t="str">
        <f t="shared" si="2"/>
        <v>DROP</v>
      </c>
      <c r="AT198" s="247"/>
    </row>
    <row r="199">
      <c r="A199" s="262" t="s">
        <v>165</v>
      </c>
      <c r="B199" s="262" t="s">
        <v>559</v>
      </c>
      <c r="C199" s="263">
        <v>46189.51939814815</v>
      </c>
      <c r="D199" s="262" t="s">
        <v>265</v>
      </c>
      <c r="E199" s="264">
        <v>21220.8</v>
      </c>
      <c r="F199" s="262" t="s">
        <v>169</v>
      </c>
      <c r="G199" s="262" t="s">
        <v>170</v>
      </c>
      <c r="H199" s="262" t="s">
        <v>556</v>
      </c>
      <c r="I199" s="265"/>
      <c r="J199" s="265"/>
      <c r="K199" s="266"/>
      <c r="L199" s="265"/>
      <c r="M199" s="267"/>
      <c r="O199" s="247"/>
      <c r="AC199" s="247"/>
      <c r="AD199" s="251" t="str">
        <f>IFERROR(__xludf.DUMMYFUNCTION("""COMPUTED_VALUE"""),"73df5aae-f42a-49a0-9d8f-616ca6dbebaa")</f>
        <v>73df5aae-f42a-49a0-9d8f-616ca6dbebaa</v>
      </c>
      <c r="AE199" s="251" t="str">
        <f>IFERROR(__xludf.DUMMYFUNCTION("""COMPUTED_VALUE"""),"019ed05e-3202-7425-9b8a-612fff993c53")</f>
        <v>019ed05e-3202-7425-9b8a-612fff993c53</v>
      </c>
      <c r="AF199" s="261">
        <f>IFERROR(__xludf.DUMMYFUNCTION("""COMPUTED_VALUE"""),46189.51267361111)</f>
        <v>46189.51267</v>
      </c>
      <c r="AG199" s="251" t="str">
        <f>IFERROR(__xludf.DUMMYFUNCTION("""COMPUTED_VALUE"""),"credit")</f>
        <v>credit</v>
      </c>
      <c r="AH199" s="253">
        <f>IFERROR(__xludf.DUMMYFUNCTION("""COMPUTED_VALUE"""),20675.57)</f>
        <v>20675.57</v>
      </c>
      <c r="AI199" s="251" t="str">
        <f>IFERROR(__xludf.DUMMYFUNCTION("""COMPUTED_VALUE"""),"cash_isa")</f>
        <v>cash_isa</v>
      </c>
      <c r="AJ199" s="251" t="str">
        <f>IFERROR(__xludf.DUMMYFUNCTION("""COMPUTED_VALUE"""),"9bc00e6b-ce5f-48c5-ae3a-1baabe00f337")</f>
        <v>9bc00e6b-ce5f-48c5-ae3a-1baabe00f337</v>
      </c>
      <c r="AK199" s="251" t="str">
        <f>IFERROR(__xludf.DUMMYFUNCTION("""COMPUTED_VALUE"""),"04da9d4b-863e-4ac3-a5db-46626f02501d")</f>
        <v>04da9d4b-863e-4ac3-a5db-46626f02501d</v>
      </c>
      <c r="AL199" s="251"/>
      <c r="AM199" s="251"/>
      <c r="AN199" s="251"/>
      <c r="AO199" s="251"/>
      <c r="AP199" s="261"/>
      <c r="AR199" s="251" t="str">
        <f t="shared" si="1"/>
        <v>20675.57_credit</v>
      </c>
      <c r="AS199" s="251" t="str">
        <f t="shared" si="2"/>
        <v>DROP</v>
      </c>
      <c r="AT199" s="247"/>
    </row>
    <row r="200">
      <c r="A200" s="255" t="s">
        <v>165</v>
      </c>
      <c r="B200" s="255" t="s">
        <v>560</v>
      </c>
      <c r="C200" s="256">
        <v>46189.520520833335</v>
      </c>
      <c r="D200" s="255" t="s">
        <v>167</v>
      </c>
      <c r="E200" s="257">
        <v>7617.15</v>
      </c>
      <c r="F200" s="255" t="s">
        <v>169</v>
      </c>
      <c r="G200" s="255" t="s">
        <v>170</v>
      </c>
      <c r="H200" s="255" t="s">
        <v>561</v>
      </c>
      <c r="I200" s="258"/>
      <c r="J200" s="258"/>
      <c r="K200" s="259"/>
      <c r="L200" s="258"/>
      <c r="M200" s="260"/>
      <c r="O200" s="247"/>
      <c r="AC200" s="247"/>
      <c r="AD200" s="251" t="str">
        <f>IFERROR(__xludf.DUMMYFUNCTION("""COMPUTED_VALUE"""),"73df5aae-f42a-49a0-9d8f-616ca6dbebaa")</f>
        <v>73df5aae-f42a-49a0-9d8f-616ca6dbebaa</v>
      </c>
      <c r="AE200" s="251" t="str">
        <f>IFERROR(__xludf.DUMMYFUNCTION("""COMPUTED_VALUE"""),"019ed060-7af9-71ed-8c5c-5fe8644eeb60")</f>
        <v>019ed060-7af9-71ed-8c5c-5fe8644eeb60</v>
      </c>
      <c r="AF200" s="261">
        <f>IFERROR(__xludf.DUMMYFUNCTION("""COMPUTED_VALUE"""),46189.51439814815)</f>
        <v>46189.5144</v>
      </c>
      <c r="AG200" s="251" t="str">
        <f>IFERROR(__xludf.DUMMYFUNCTION("""COMPUTED_VALUE"""),"debit")</f>
        <v>debit</v>
      </c>
      <c r="AH200" s="253">
        <f>IFERROR(__xludf.DUMMYFUNCTION("""COMPUTED_VALUE"""),20675.57)</f>
        <v>20675.57</v>
      </c>
      <c r="AI200" s="251" t="str">
        <f>IFERROR(__xludf.DUMMYFUNCTION("""COMPUTED_VALUE"""),"cash_isa")</f>
        <v>cash_isa</v>
      </c>
      <c r="AJ200" s="251" t="str">
        <f>IFERROR(__xludf.DUMMYFUNCTION("""COMPUTED_VALUE"""),"9bc00e6b-ce5f-48c5-ae3a-1baabe00f337")</f>
        <v>9bc00e6b-ce5f-48c5-ae3a-1baabe00f337</v>
      </c>
      <c r="AK200" s="251" t="str">
        <f>IFERROR(__xludf.DUMMYFUNCTION("""COMPUTED_VALUE"""),"04da9d4b-863e-4ac3-a5db-46626f02501d")</f>
        <v>04da9d4b-863e-4ac3-a5db-46626f02501d</v>
      </c>
      <c r="AL200" s="251"/>
      <c r="AM200" s="251"/>
      <c r="AN200" s="251"/>
      <c r="AO200" s="251"/>
      <c r="AP200" s="261"/>
      <c r="AR200" s="251" t="str">
        <f t="shared" si="1"/>
        <v>20675.57_debit</v>
      </c>
      <c r="AS200" s="251" t="str">
        <f t="shared" si="2"/>
        <v>DROP</v>
      </c>
      <c r="AT200" s="247"/>
    </row>
    <row r="201">
      <c r="A201" s="262" t="s">
        <v>165</v>
      </c>
      <c r="B201" s="262" t="s">
        <v>562</v>
      </c>
      <c r="C201" s="263">
        <v>46189.520590277774</v>
      </c>
      <c r="D201" s="262" t="s">
        <v>265</v>
      </c>
      <c r="E201" s="264">
        <v>10409.52</v>
      </c>
      <c r="F201" s="262" t="s">
        <v>169</v>
      </c>
      <c r="G201" s="262" t="s">
        <v>170</v>
      </c>
      <c r="H201" s="262" t="s">
        <v>558</v>
      </c>
      <c r="I201" s="265"/>
      <c r="J201" s="265"/>
      <c r="K201" s="266"/>
      <c r="L201" s="265"/>
      <c r="M201" s="267"/>
      <c r="O201" s="247"/>
      <c r="AC201" s="247"/>
      <c r="AD201" s="251" t="str">
        <f>IFERROR(__xludf.DUMMYFUNCTION("""COMPUTED_VALUE"""),"73df5aae-f42a-49a0-9d8f-616ca6dbebaa")</f>
        <v>73df5aae-f42a-49a0-9d8f-616ca6dbebaa</v>
      </c>
      <c r="AE201" s="251" t="str">
        <f>IFERROR(__xludf.DUMMYFUNCTION("""COMPUTED_VALUE"""),"019ed060-96d1-71d2-b647-c81890daea60")</f>
        <v>019ed060-96d1-71d2-b647-c81890daea60</v>
      </c>
      <c r="AF201" s="261">
        <f>IFERROR(__xludf.DUMMYFUNCTION("""COMPUTED_VALUE"""),46189.51449074074)</f>
        <v>46189.51449</v>
      </c>
      <c r="AG201" s="251" t="str">
        <f>IFERROR(__xludf.DUMMYFUNCTION("""COMPUTED_VALUE"""),"credit")</f>
        <v>credit</v>
      </c>
      <c r="AH201" s="253">
        <f>IFERROR(__xludf.DUMMYFUNCTION("""COMPUTED_VALUE"""),27775.29)</f>
        <v>27775.29</v>
      </c>
      <c r="AI201" s="251" t="str">
        <f>IFERROR(__xludf.DUMMYFUNCTION("""COMPUTED_VALUE"""),"cash_isa")</f>
        <v>cash_isa</v>
      </c>
      <c r="AJ201" s="251" t="str">
        <f>IFERROR(__xludf.DUMMYFUNCTION("""COMPUTED_VALUE"""),"9bc00e6b-ce5f-48c5-ae3a-1baabe00f337")</f>
        <v>9bc00e6b-ce5f-48c5-ae3a-1baabe00f337</v>
      </c>
      <c r="AK201" s="251" t="str">
        <f>IFERROR(__xludf.DUMMYFUNCTION("""COMPUTED_VALUE"""),"310c34f6-7b95-4fcb-ab10-4a54e0ce23cc")</f>
        <v>310c34f6-7b95-4fcb-ab10-4a54e0ce23cc</v>
      </c>
      <c r="AL201" s="251"/>
      <c r="AM201" s="251"/>
      <c r="AN201" s="251"/>
      <c r="AO201" s="251"/>
      <c r="AP201" s="261"/>
      <c r="AR201" s="251" t="str">
        <f t="shared" si="1"/>
        <v>27775.29_credit</v>
      </c>
      <c r="AS201" s="251" t="str">
        <f t="shared" si="2"/>
        <v>DROP</v>
      </c>
      <c r="AT201" s="247"/>
    </row>
    <row r="202">
      <c r="A202" s="255" t="s">
        <v>165</v>
      </c>
      <c r="B202" s="255" t="s">
        <v>563</v>
      </c>
      <c r="C202" s="256">
        <v>46189.5215625</v>
      </c>
      <c r="D202" s="255" t="s">
        <v>167</v>
      </c>
      <c r="E202" s="257">
        <v>9294.18</v>
      </c>
      <c r="F202" s="255" t="s">
        <v>169</v>
      </c>
      <c r="G202" s="255" t="s">
        <v>170</v>
      </c>
      <c r="H202" s="255" t="s">
        <v>564</v>
      </c>
      <c r="I202" s="258"/>
      <c r="J202" s="258"/>
      <c r="K202" s="259"/>
      <c r="L202" s="258"/>
      <c r="M202" s="260"/>
      <c r="O202" s="247"/>
      <c r="AC202" s="247"/>
      <c r="AD202" s="251" t="str">
        <f>IFERROR(__xludf.DUMMYFUNCTION("""COMPUTED_VALUE"""),"73df5aae-f42a-49a0-9d8f-616ca6dbebaa")</f>
        <v>73df5aae-f42a-49a0-9d8f-616ca6dbebaa</v>
      </c>
      <c r="AE202" s="251" t="str">
        <f>IFERROR(__xludf.DUMMYFUNCTION("""COMPUTED_VALUE"""),"019ed060-babe-79cf-9e35-480a74ea0be1")</f>
        <v>019ed060-babe-79cf-9e35-480a74ea0be1</v>
      </c>
      <c r="AF202" s="261">
        <f>IFERROR(__xludf.DUMMYFUNCTION("""COMPUTED_VALUE"""),46189.51459490741)</f>
        <v>46189.51459</v>
      </c>
      <c r="AG202" s="251" t="str">
        <f>IFERROR(__xludf.DUMMYFUNCTION("""COMPUTED_VALUE"""),"credit")</f>
        <v>credit</v>
      </c>
      <c r="AH202" s="253">
        <f>IFERROR(__xludf.DUMMYFUNCTION("""COMPUTED_VALUE"""),20470.13)</f>
        <v>20470.13</v>
      </c>
      <c r="AI202" s="251" t="str">
        <f>IFERROR(__xludf.DUMMYFUNCTION("""COMPUTED_VALUE"""),"cash_isa")</f>
        <v>cash_isa</v>
      </c>
      <c r="AJ202" s="251" t="str">
        <f>IFERROR(__xludf.DUMMYFUNCTION("""COMPUTED_VALUE"""),"9bc00e6b-ce5f-48c5-ae3a-1baabe00f337")</f>
        <v>9bc00e6b-ce5f-48c5-ae3a-1baabe00f337</v>
      </c>
      <c r="AK202" s="251" t="str">
        <f>IFERROR(__xludf.DUMMYFUNCTION("""COMPUTED_VALUE"""),"557abc9d-987a-4bf8-a4f1-e2f11f3be0f8")</f>
        <v>557abc9d-987a-4bf8-a4f1-e2f11f3be0f8</v>
      </c>
      <c r="AL202" s="251"/>
      <c r="AM202" s="251"/>
      <c r="AN202" s="251"/>
      <c r="AO202" s="251"/>
      <c r="AP202" s="261"/>
      <c r="AR202" s="251" t="str">
        <f t="shared" si="1"/>
        <v>20470.13_credit</v>
      </c>
      <c r="AS202" s="251" t="str">
        <f t="shared" si="2"/>
        <v>DROP</v>
      </c>
      <c r="AT202" s="247"/>
    </row>
    <row r="203">
      <c r="A203" s="262" t="s">
        <v>165</v>
      </c>
      <c r="B203" s="262" t="s">
        <v>565</v>
      </c>
      <c r="C203" s="263">
        <v>46189.52212962963</v>
      </c>
      <c r="D203" s="262" t="s">
        <v>167</v>
      </c>
      <c r="E203" s="264">
        <v>21661.8</v>
      </c>
      <c r="F203" s="262" t="s">
        <v>169</v>
      </c>
      <c r="G203" s="262" t="s">
        <v>170</v>
      </c>
      <c r="H203" s="262" t="s">
        <v>566</v>
      </c>
      <c r="I203" s="265"/>
      <c r="J203" s="265"/>
      <c r="K203" s="266"/>
      <c r="L203" s="265"/>
      <c r="M203" s="267"/>
      <c r="O203" s="247"/>
      <c r="AC203" s="247"/>
      <c r="AD203" s="251" t="str">
        <f>IFERROR(__xludf.DUMMYFUNCTION("""COMPUTED_VALUE"""),"73df5aae-f42a-49a0-9d8f-616ca6dbebaa")</f>
        <v>73df5aae-f42a-49a0-9d8f-616ca6dbebaa</v>
      </c>
      <c r="AE203" s="251" t="str">
        <f>IFERROR(__xludf.DUMMYFUNCTION("""COMPUTED_VALUE"""),"019ed062-6c21-73ed-bcea-a1b839e95815")</f>
        <v>019ed062-6c21-73ed-bcea-a1b839e95815</v>
      </c>
      <c r="AF203" s="261">
        <f>IFERROR(__xludf.DUMMYFUNCTION("""COMPUTED_VALUE"""),46189.51587962963)</f>
        <v>46189.51588</v>
      </c>
      <c r="AG203" s="251" t="str">
        <f>IFERROR(__xludf.DUMMYFUNCTION("""COMPUTED_VALUE"""),"debit")</f>
        <v>debit</v>
      </c>
      <c r="AH203" s="253">
        <f>IFERROR(__xludf.DUMMYFUNCTION("""COMPUTED_VALUE"""),20470.13)</f>
        <v>20470.13</v>
      </c>
      <c r="AI203" s="251" t="str">
        <f>IFERROR(__xludf.DUMMYFUNCTION("""COMPUTED_VALUE"""),"cash_isa")</f>
        <v>cash_isa</v>
      </c>
      <c r="AJ203" s="251" t="str">
        <f>IFERROR(__xludf.DUMMYFUNCTION("""COMPUTED_VALUE"""),"9bc00e6b-ce5f-48c5-ae3a-1baabe00f337")</f>
        <v>9bc00e6b-ce5f-48c5-ae3a-1baabe00f337</v>
      </c>
      <c r="AK203" s="251" t="str">
        <f>IFERROR(__xludf.DUMMYFUNCTION("""COMPUTED_VALUE"""),"557abc9d-987a-4bf8-a4f1-e2f11f3be0f8")</f>
        <v>557abc9d-987a-4bf8-a4f1-e2f11f3be0f8</v>
      </c>
      <c r="AL203" s="251"/>
      <c r="AM203" s="251"/>
      <c r="AN203" s="251"/>
      <c r="AO203" s="251"/>
      <c r="AP203" s="261"/>
      <c r="AR203" s="251" t="str">
        <f t="shared" si="1"/>
        <v>20470.13_debit</v>
      </c>
      <c r="AS203" s="251" t="str">
        <f t="shared" si="2"/>
        <v>DROP</v>
      </c>
      <c r="AT203" s="247"/>
    </row>
    <row r="204">
      <c r="A204" s="255" t="s">
        <v>165</v>
      </c>
      <c r="B204" s="255" t="s">
        <v>567</v>
      </c>
      <c r="C204" s="256">
        <v>46189.522511574076</v>
      </c>
      <c r="D204" s="255" t="s">
        <v>265</v>
      </c>
      <c r="E204" s="257">
        <v>7617.15</v>
      </c>
      <c r="F204" s="255" t="s">
        <v>169</v>
      </c>
      <c r="G204" s="255" t="s">
        <v>170</v>
      </c>
      <c r="H204" s="255" t="s">
        <v>561</v>
      </c>
      <c r="I204" s="258"/>
      <c r="J204" s="258"/>
      <c r="K204" s="259"/>
      <c r="L204" s="258"/>
      <c r="M204" s="260"/>
      <c r="O204" s="247"/>
      <c r="AC204" s="247"/>
      <c r="AD204" s="251" t="str">
        <f>IFERROR(__xludf.DUMMYFUNCTION("""COMPUTED_VALUE"""),"73df5aae-f42a-49a0-9d8f-616ca6dbebaa")</f>
        <v>73df5aae-f42a-49a0-9d8f-616ca6dbebaa</v>
      </c>
      <c r="AE204" s="251" t="str">
        <f>IFERROR(__xludf.DUMMYFUNCTION("""COMPUTED_VALUE"""),"019ed062-6c8c-7d74-af71-547a11e72bc3")</f>
        <v>019ed062-6c8c-7d74-af71-547a11e72bc3</v>
      </c>
      <c r="AF204" s="261">
        <f>IFERROR(__xludf.DUMMYFUNCTION("""COMPUTED_VALUE"""),46189.51587962963)</f>
        <v>46189.51588</v>
      </c>
      <c r="AG204" s="251" t="str">
        <f>IFERROR(__xludf.DUMMYFUNCTION("""COMPUTED_VALUE"""),"debit")</f>
        <v>debit</v>
      </c>
      <c r="AH204" s="253">
        <f>IFERROR(__xludf.DUMMYFUNCTION("""COMPUTED_VALUE"""),27775.29)</f>
        <v>27775.29</v>
      </c>
      <c r="AI204" s="251" t="str">
        <f>IFERROR(__xludf.DUMMYFUNCTION("""COMPUTED_VALUE"""),"cash_isa")</f>
        <v>cash_isa</v>
      </c>
      <c r="AJ204" s="251" t="str">
        <f>IFERROR(__xludf.DUMMYFUNCTION("""COMPUTED_VALUE"""),"9bc00e6b-ce5f-48c5-ae3a-1baabe00f337")</f>
        <v>9bc00e6b-ce5f-48c5-ae3a-1baabe00f337</v>
      </c>
      <c r="AK204" s="251" t="str">
        <f>IFERROR(__xludf.DUMMYFUNCTION("""COMPUTED_VALUE"""),"310c34f6-7b95-4fcb-ab10-4a54e0ce23cc")</f>
        <v>310c34f6-7b95-4fcb-ab10-4a54e0ce23cc</v>
      </c>
      <c r="AL204" s="251"/>
      <c r="AM204" s="251"/>
      <c r="AN204" s="251"/>
      <c r="AO204" s="251"/>
      <c r="AP204" s="261"/>
      <c r="AR204" s="251" t="str">
        <f t="shared" si="1"/>
        <v>27775.29_debit</v>
      </c>
      <c r="AS204" s="251" t="str">
        <f t="shared" si="2"/>
        <v>DROP</v>
      </c>
      <c r="AT204" s="247"/>
    </row>
    <row r="205">
      <c r="A205" s="262" t="s">
        <v>165</v>
      </c>
      <c r="B205" s="262" t="s">
        <v>568</v>
      </c>
      <c r="C205" s="263">
        <v>46189.52394675926</v>
      </c>
      <c r="D205" s="262" t="s">
        <v>167</v>
      </c>
      <c r="E205" s="264">
        <v>20926.03</v>
      </c>
      <c r="F205" s="262" t="s">
        <v>169</v>
      </c>
      <c r="G205" s="262" t="s">
        <v>170</v>
      </c>
      <c r="H205" s="262" t="s">
        <v>569</v>
      </c>
      <c r="I205" s="265"/>
      <c r="J205" s="265"/>
      <c r="K205" s="266"/>
      <c r="L205" s="265"/>
      <c r="M205" s="267"/>
      <c r="O205" s="247"/>
      <c r="AC205" s="247"/>
      <c r="AD205" s="251" t="str">
        <f>IFERROR(__xludf.DUMMYFUNCTION("""COMPUTED_VALUE"""),"73df5aae-f42a-49a0-9d8f-616ca6dbebaa")</f>
        <v>73df5aae-f42a-49a0-9d8f-616ca6dbebaa</v>
      </c>
      <c r="AE205" s="251" t="str">
        <f>IFERROR(__xludf.DUMMYFUNCTION("""COMPUTED_VALUE"""),"019ed063-b289-79f6-bf46-1855f16ed9ab")</f>
        <v>019ed063-b289-79f6-bf46-1855f16ed9ab</v>
      </c>
      <c r="AF205" s="261">
        <f>IFERROR(__xludf.DUMMYFUNCTION("""COMPUTED_VALUE"""),46189.51684027778)</f>
        <v>46189.51684</v>
      </c>
      <c r="AG205" s="251" t="str">
        <f>IFERROR(__xludf.DUMMYFUNCTION("""COMPUTED_VALUE"""),"credit")</f>
        <v>credit</v>
      </c>
      <c r="AH205" s="253">
        <f>IFERROR(__xludf.DUMMYFUNCTION("""COMPUTED_VALUE"""),21220.8)</f>
        <v>21220.8</v>
      </c>
      <c r="AI205" s="251" t="str">
        <f>IFERROR(__xludf.DUMMYFUNCTION("""COMPUTED_VALUE"""),"cash_isa")</f>
        <v>cash_isa</v>
      </c>
      <c r="AJ205" s="251" t="str">
        <f>IFERROR(__xludf.DUMMYFUNCTION("""COMPUTED_VALUE"""),"9bc00e6b-ce5f-48c5-ae3a-1baabe00f337")</f>
        <v>9bc00e6b-ce5f-48c5-ae3a-1baabe00f337</v>
      </c>
      <c r="AK205" s="251" t="str">
        <f>IFERROR(__xludf.DUMMYFUNCTION("""COMPUTED_VALUE"""),"d68b88c3-2d21-4ee5-b77f-fa22c59b41bb")</f>
        <v>d68b88c3-2d21-4ee5-b77f-fa22c59b41bb</v>
      </c>
      <c r="AL205" s="251"/>
      <c r="AM205" s="251"/>
      <c r="AN205" s="251"/>
      <c r="AO205" s="251"/>
      <c r="AP205" s="261"/>
      <c r="AR205" s="251" t="str">
        <f t="shared" si="1"/>
        <v>21220.8_credit</v>
      </c>
      <c r="AS205" s="251" t="str">
        <f t="shared" si="2"/>
        <v>DROP</v>
      </c>
      <c r="AT205" s="247"/>
    </row>
    <row r="206">
      <c r="A206" s="255" t="s">
        <v>165</v>
      </c>
      <c r="B206" s="255" t="s">
        <v>570</v>
      </c>
      <c r="C206" s="256">
        <v>46189.52412037037</v>
      </c>
      <c r="D206" s="255" t="s">
        <v>167</v>
      </c>
      <c r="E206" s="257">
        <v>21073.03</v>
      </c>
      <c r="F206" s="255" t="s">
        <v>169</v>
      </c>
      <c r="G206" s="255" t="s">
        <v>170</v>
      </c>
      <c r="H206" s="255" t="s">
        <v>571</v>
      </c>
      <c r="I206" s="258"/>
      <c r="J206" s="258"/>
      <c r="K206" s="259"/>
      <c r="L206" s="258"/>
      <c r="M206" s="260"/>
      <c r="O206" s="247"/>
      <c r="AC206" s="247"/>
      <c r="AD206" s="251" t="str">
        <f>IFERROR(__xludf.DUMMYFUNCTION("""COMPUTED_VALUE"""),"73df5aae-f42a-49a0-9d8f-616ca6dbebaa")</f>
        <v>73df5aae-f42a-49a0-9d8f-616ca6dbebaa</v>
      </c>
      <c r="AE206" s="251" t="str">
        <f>IFERROR(__xludf.DUMMYFUNCTION("""COMPUTED_VALUE"""),"019ed066-de0d-72fb-b2dc-5f3189ca7ae2")</f>
        <v>019ed066-de0d-72fb-b2dc-5f3189ca7ae2</v>
      </c>
      <c r="AF206" s="261">
        <f>IFERROR(__xludf.DUMMYFUNCTION("""COMPUTED_VALUE"""),46189.51924768518)</f>
        <v>46189.51925</v>
      </c>
      <c r="AG206" s="251" t="str">
        <f>IFERROR(__xludf.DUMMYFUNCTION("""COMPUTED_VALUE"""),"credit")</f>
        <v>credit</v>
      </c>
      <c r="AH206" s="253">
        <f>IFERROR(__xludf.DUMMYFUNCTION("""COMPUTED_VALUE"""),10409.52)</f>
        <v>10409.52</v>
      </c>
      <c r="AI206" s="251" t="str">
        <f>IFERROR(__xludf.DUMMYFUNCTION("""COMPUTED_VALUE"""),"cash_isa")</f>
        <v>cash_isa</v>
      </c>
      <c r="AJ206" s="251" t="str">
        <f>IFERROR(__xludf.DUMMYFUNCTION("""COMPUTED_VALUE"""),"9bc00e6b-ce5f-48c5-ae3a-1baabe00f337")</f>
        <v>9bc00e6b-ce5f-48c5-ae3a-1baabe00f337</v>
      </c>
      <c r="AK206" s="251" t="str">
        <f>IFERROR(__xludf.DUMMYFUNCTION("""COMPUTED_VALUE"""),"3c79f161-5919-4a8e-bde3-d468f109617e")</f>
        <v>3c79f161-5919-4a8e-bde3-d468f109617e</v>
      </c>
      <c r="AL206" s="251"/>
      <c r="AM206" s="251"/>
      <c r="AN206" s="251"/>
      <c r="AO206" s="251"/>
      <c r="AP206" s="261"/>
      <c r="AR206" s="251" t="str">
        <f t="shared" si="1"/>
        <v>10409.52_credit</v>
      </c>
      <c r="AS206" s="251" t="str">
        <f t="shared" si="2"/>
        <v>DROP</v>
      </c>
      <c r="AT206" s="247"/>
    </row>
    <row r="207">
      <c r="A207" s="262" t="s">
        <v>165</v>
      </c>
      <c r="B207" s="262" t="s">
        <v>572</v>
      </c>
      <c r="C207" s="263">
        <v>46189.52452546296</v>
      </c>
      <c r="D207" s="262" t="s">
        <v>265</v>
      </c>
      <c r="E207" s="264">
        <v>9294.18</v>
      </c>
      <c r="F207" s="262" t="s">
        <v>169</v>
      </c>
      <c r="G207" s="262" t="s">
        <v>170</v>
      </c>
      <c r="H207" s="262" t="s">
        <v>564</v>
      </c>
      <c r="I207" s="265"/>
      <c r="J207" s="265"/>
      <c r="K207" s="266"/>
      <c r="L207" s="265"/>
      <c r="M207" s="267"/>
      <c r="O207" s="247"/>
      <c r="AC207" s="247"/>
      <c r="AD207" s="251" t="str">
        <f>IFERROR(__xludf.DUMMYFUNCTION("""COMPUTED_VALUE"""),"73df5aae-f42a-49a0-9d8f-616ca6dbebaa")</f>
        <v>73df5aae-f42a-49a0-9d8f-616ca6dbebaa</v>
      </c>
      <c r="AE207" s="251" t="str">
        <f>IFERROR(__xludf.DUMMYFUNCTION("""COMPUTED_VALUE"""),"019ed067-101e-7a3c-a3cb-906bd403260e")</f>
        <v>019ed067-101e-7a3c-a3cb-906bd403260e</v>
      </c>
      <c r="AF207" s="261">
        <f>IFERROR(__xludf.DUMMYFUNCTION("""COMPUTED_VALUE"""),46189.51939814815)</f>
        <v>46189.5194</v>
      </c>
      <c r="AG207" s="251" t="str">
        <f>IFERROR(__xludf.DUMMYFUNCTION("""COMPUTED_VALUE"""),"debit")</f>
        <v>debit</v>
      </c>
      <c r="AH207" s="253">
        <f>IFERROR(__xludf.DUMMYFUNCTION("""COMPUTED_VALUE"""),21220.8)</f>
        <v>21220.8</v>
      </c>
      <c r="AI207" s="251" t="str">
        <f>IFERROR(__xludf.DUMMYFUNCTION("""COMPUTED_VALUE"""),"cash_isa")</f>
        <v>cash_isa</v>
      </c>
      <c r="AJ207" s="251" t="str">
        <f>IFERROR(__xludf.DUMMYFUNCTION("""COMPUTED_VALUE"""),"9bc00e6b-ce5f-48c5-ae3a-1baabe00f337")</f>
        <v>9bc00e6b-ce5f-48c5-ae3a-1baabe00f337</v>
      </c>
      <c r="AK207" s="251" t="str">
        <f>IFERROR(__xludf.DUMMYFUNCTION("""COMPUTED_VALUE"""),"d68b88c3-2d21-4ee5-b77f-fa22c59b41bb")</f>
        <v>d68b88c3-2d21-4ee5-b77f-fa22c59b41bb</v>
      </c>
      <c r="AL207" s="251"/>
      <c r="AM207" s="251"/>
      <c r="AN207" s="251"/>
      <c r="AO207" s="251"/>
      <c r="AP207" s="261"/>
      <c r="AR207" s="251" t="str">
        <f t="shared" si="1"/>
        <v>21220.8_debit</v>
      </c>
      <c r="AS207" s="251" t="str">
        <f t="shared" si="2"/>
        <v>DROP</v>
      </c>
      <c r="AT207" s="247"/>
    </row>
    <row r="208">
      <c r="A208" s="255" t="s">
        <v>165</v>
      </c>
      <c r="B208" s="255" t="s">
        <v>573</v>
      </c>
      <c r="C208" s="256">
        <v>46189.52469907407</v>
      </c>
      <c r="D208" s="255" t="s">
        <v>265</v>
      </c>
      <c r="E208" s="257">
        <v>21661.8</v>
      </c>
      <c r="F208" s="255" t="s">
        <v>169</v>
      </c>
      <c r="G208" s="255" t="s">
        <v>170</v>
      </c>
      <c r="H208" s="255" t="s">
        <v>566</v>
      </c>
      <c r="I208" s="258"/>
      <c r="J208" s="258"/>
      <c r="K208" s="259"/>
      <c r="L208" s="258"/>
      <c r="M208" s="260"/>
      <c r="O208" s="247"/>
      <c r="AC208" s="247"/>
      <c r="AD208" s="251" t="str">
        <f>IFERROR(__xludf.DUMMYFUNCTION("""COMPUTED_VALUE"""),"73df5aae-f42a-49a0-9d8f-616ca6dbebaa")</f>
        <v>73df5aae-f42a-49a0-9d8f-616ca6dbebaa</v>
      </c>
      <c r="AE208" s="251" t="str">
        <f>IFERROR(__xludf.DUMMYFUNCTION("""COMPUTED_VALUE"""),"019ed068-8a68-7efc-89ef-48960621118e")</f>
        <v>019ed068-8a68-7efc-89ef-48960621118e</v>
      </c>
      <c r="AF208" s="261">
        <f>IFERROR(__xludf.DUMMYFUNCTION("""COMPUTED_VALUE"""),46189.520520833335)</f>
        <v>46189.52052</v>
      </c>
      <c r="AG208" s="251" t="str">
        <f>IFERROR(__xludf.DUMMYFUNCTION("""COMPUTED_VALUE"""),"credit")</f>
        <v>credit</v>
      </c>
      <c r="AH208" s="253">
        <f>IFERROR(__xludf.DUMMYFUNCTION("""COMPUTED_VALUE"""),7617.15)</f>
        <v>7617.15</v>
      </c>
      <c r="AI208" s="251" t="str">
        <f>IFERROR(__xludf.DUMMYFUNCTION("""COMPUTED_VALUE"""),"cash_isa")</f>
        <v>cash_isa</v>
      </c>
      <c r="AJ208" s="251" t="str">
        <f>IFERROR(__xludf.DUMMYFUNCTION("""COMPUTED_VALUE"""),"9bc00e6b-ce5f-48c5-ae3a-1baabe00f337")</f>
        <v>9bc00e6b-ce5f-48c5-ae3a-1baabe00f337</v>
      </c>
      <c r="AK208" s="251" t="str">
        <f>IFERROR(__xludf.DUMMYFUNCTION("""COMPUTED_VALUE"""),"718d6e41-62b1-4b6d-9b7a-c6313afe596c")</f>
        <v>718d6e41-62b1-4b6d-9b7a-c6313afe596c</v>
      </c>
      <c r="AL208" s="251"/>
      <c r="AM208" s="251"/>
      <c r="AN208" s="251"/>
      <c r="AO208" s="251"/>
      <c r="AP208" s="261"/>
      <c r="AR208" s="251" t="str">
        <f t="shared" si="1"/>
        <v>7617.15_credit</v>
      </c>
      <c r="AS208" s="251" t="str">
        <f t="shared" si="2"/>
        <v>DROP</v>
      </c>
      <c r="AT208" s="247"/>
    </row>
    <row r="209">
      <c r="A209" s="262" t="s">
        <v>165</v>
      </c>
      <c r="B209" s="262" t="s">
        <v>574</v>
      </c>
      <c r="C209" s="263">
        <v>46189.52543981482</v>
      </c>
      <c r="D209" s="262" t="s">
        <v>265</v>
      </c>
      <c r="E209" s="264">
        <v>21073.03</v>
      </c>
      <c r="F209" s="262" t="s">
        <v>169</v>
      </c>
      <c r="G209" s="262" t="s">
        <v>170</v>
      </c>
      <c r="H209" s="262" t="s">
        <v>571</v>
      </c>
      <c r="I209" s="265"/>
      <c r="J209" s="265"/>
      <c r="K209" s="266"/>
      <c r="L209" s="265"/>
      <c r="M209" s="267"/>
      <c r="O209" s="247"/>
      <c r="AC209" s="247"/>
      <c r="AD209" s="251" t="str">
        <f>IFERROR(__xludf.DUMMYFUNCTION("""COMPUTED_VALUE"""),"73df5aae-f42a-49a0-9d8f-616ca6dbebaa")</f>
        <v>73df5aae-f42a-49a0-9d8f-616ca6dbebaa</v>
      </c>
      <c r="AE209" s="251" t="str">
        <f>IFERROR(__xludf.DUMMYFUNCTION("""COMPUTED_VALUE"""),"019ed068-a14c-7adc-8891-87fa8f9cc2ce")</f>
        <v>019ed068-a14c-7adc-8891-87fa8f9cc2ce</v>
      </c>
      <c r="AF209" s="261">
        <f>IFERROR(__xludf.DUMMYFUNCTION("""COMPUTED_VALUE"""),46189.52059027778)</f>
        <v>46189.52059</v>
      </c>
      <c r="AG209" s="251" t="str">
        <f>IFERROR(__xludf.DUMMYFUNCTION("""COMPUTED_VALUE"""),"debit")</f>
        <v>debit</v>
      </c>
      <c r="AH209" s="253">
        <f>IFERROR(__xludf.DUMMYFUNCTION("""COMPUTED_VALUE"""),10409.52)</f>
        <v>10409.52</v>
      </c>
      <c r="AI209" s="251" t="str">
        <f>IFERROR(__xludf.DUMMYFUNCTION("""COMPUTED_VALUE"""),"cash_isa")</f>
        <v>cash_isa</v>
      </c>
      <c r="AJ209" s="251" t="str">
        <f>IFERROR(__xludf.DUMMYFUNCTION("""COMPUTED_VALUE"""),"9bc00e6b-ce5f-48c5-ae3a-1baabe00f337")</f>
        <v>9bc00e6b-ce5f-48c5-ae3a-1baabe00f337</v>
      </c>
      <c r="AK209" s="251" t="str">
        <f>IFERROR(__xludf.DUMMYFUNCTION("""COMPUTED_VALUE"""),"3c79f161-5919-4a8e-bde3-d468f109617e")</f>
        <v>3c79f161-5919-4a8e-bde3-d468f109617e</v>
      </c>
      <c r="AL209" s="251"/>
      <c r="AM209" s="251"/>
      <c r="AN209" s="251"/>
      <c r="AO209" s="251"/>
      <c r="AP209" s="261"/>
      <c r="AR209" s="251" t="str">
        <f t="shared" si="1"/>
        <v>10409.52_debit</v>
      </c>
      <c r="AS209" s="251" t="str">
        <f t="shared" si="2"/>
        <v>DROP</v>
      </c>
      <c r="AT209" s="247"/>
    </row>
    <row r="210">
      <c r="A210" s="255" t="s">
        <v>165</v>
      </c>
      <c r="B210" s="255" t="s">
        <v>575</v>
      </c>
      <c r="C210" s="256">
        <v>46189.52545138889</v>
      </c>
      <c r="D210" s="255" t="s">
        <v>265</v>
      </c>
      <c r="E210" s="257">
        <v>20926.03</v>
      </c>
      <c r="F210" s="255" t="s">
        <v>169</v>
      </c>
      <c r="G210" s="255" t="s">
        <v>170</v>
      </c>
      <c r="H210" s="255" t="s">
        <v>569</v>
      </c>
      <c r="I210" s="258"/>
      <c r="J210" s="258"/>
      <c r="K210" s="259"/>
      <c r="L210" s="258"/>
      <c r="M210" s="260"/>
      <c r="O210" s="247"/>
      <c r="AC210" s="247"/>
      <c r="AD210" s="251" t="str">
        <f>IFERROR(__xludf.DUMMYFUNCTION("""COMPUTED_VALUE"""),"73df5aae-f42a-49a0-9d8f-616ca6dbebaa")</f>
        <v>73df5aae-f42a-49a0-9d8f-616ca6dbebaa</v>
      </c>
      <c r="AE210" s="251" t="str">
        <f>IFERROR(__xludf.DUMMYFUNCTION("""COMPUTED_VALUE"""),"019ed069-ed08-7d72-af2c-724a017fa3c5")</f>
        <v>019ed069-ed08-7d72-af2c-724a017fa3c5</v>
      </c>
      <c r="AF210" s="261">
        <f>IFERROR(__xludf.DUMMYFUNCTION("""COMPUTED_VALUE"""),46189.5215625)</f>
        <v>46189.52156</v>
      </c>
      <c r="AG210" s="251" t="str">
        <f>IFERROR(__xludf.DUMMYFUNCTION("""COMPUTED_VALUE"""),"credit")</f>
        <v>credit</v>
      </c>
      <c r="AH210" s="253">
        <f>IFERROR(__xludf.DUMMYFUNCTION("""COMPUTED_VALUE"""),9294.18)</f>
        <v>9294.18</v>
      </c>
      <c r="AI210" s="251" t="str">
        <f>IFERROR(__xludf.DUMMYFUNCTION("""COMPUTED_VALUE"""),"cash_isa")</f>
        <v>cash_isa</v>
      </c>
      <c r="AJ210" s="251" t="str">
        <f>IFERROR(__xludf.DUMMYFUNCTION("""COMPUTED_VALUE"""),"9bc00e6b-ce5f-48c5-ae3a-1baabe00f337")</f>
        <v>9bc00e6b-ce5f-48c5-ae3a-1baabe00f337</v>
      </c>
      <c r="AK210" s="251" t="str">
        <f>IFERROR(__xludf.DUMMYFUNCTION("""COMPUTED_VALUE"""),"bb4de603-ff37-4395-91ee-fd1d752fd311")</f>
        <v>bb4de603-ff37-4395-91ee-fd1d752fd311</v>
      </c>
      <c r="AL210" s="251"/>
      <c r="AM210" s="251"/>
      <c r="AN210" s="251"/>
      <c r="AO210" s="251"/>
      <c r="AP210" s="261"/>
      <c r="AR210" s="251" t="str">
        <f t="shared" si="1"/>
        <v>9294.18_credit</v>
      </c>
      <c r="AS210" s="251" t="str">
        <f t="shared" si="2"/>
        <v>DROP</v>
      </c>
      <c r="AT210" s="247"/>
    </row>
    <row r="211">
      <c r="A211" s="262" t="s">
        <v>165</v>
      </c>
      <c r="B211" s="262" t="s">
        <v>576</v>
      </c>
      <c r="C211" s="263">
        <v>46189.525729166664</v>
      </c>
      <c r="D211" s="262" t="s">
        <v>167</v>
      </c>
      <c r="E211" s="264">
        <v>20880.59</v>
      </c>
      <c r="F211" s="262" t="s">
        <v>169</v>
      </c>
      <c r="G211" s="262" t="s">
        <v>170</v>
      </c>
      <c r="H211" s="262" t="s">
        <v>577</v>
      </c>
      <c r="I211" s="265"/>
      <c r="J211" s="265"/>
      <c r="K211" s="266"/>
      <c r="L211" s="265"/>
      <c r="M211" s="267"/>
      <c r="O211" s="247"/>
      <c r="AC211" s="247"/>
      <c r="AD211" s="251" t="str">
        <f>IFERROR(__xludf.DUMMYFUNCTION("""COMPUTED_VALUE"""),"73df5aae-f42a-49a0-9d8f-616ca6dbebaa")</f>
        <v>73df5aae-f42a-49a0-9d8f-616ca6dbebaa</v>
      </c>
      <c r="AE211" s="251" t="str">
        <f>IFERROR(__xludf.DUMMYFUNCTION("""COMPUTED_VALUE"""),"019ed06a-abcd-7c57-9ae9-2486dbf8fd91")</f>
        <v>019ed06a-abcd-7c57-9ae9-2486dbf8fd91</v>
      </c>
      <c r="AF211" s="261">
        <f>IFERROR(__xludf.DUMMYFUNCTION("""COMPUTED_VALUE"""),46189.52212962963)</f>
        <v>46189.52213</v>
      </c>
      <c r="AG211" s="251" t="str">
        <f>IFERROR(__xludf.DUMMYFUNCTION("""COMPUTED_VALUE"""),"credit")</f>
        <v>credit</v>
      </c>
      <c r="AH211" s="253">
        <f>IFERROR(__xludf.DUMMYFUNCTION("""COMPUTED_VALUE"""),21661.8)</f>
        <v>21661.8</v>
      </c>
      <c r="AI211" s="251" t="str">
        <f>IFERROR(__xludf.DUMMYFUNCTION("""COMPUTED_VALUE"""),"cash_isa")</f>
        <v>cash_isa</v>
      </c>
      <c r="AJ211" s="251" t="str">
        <f>IFERROR(__xludf.DUMMYFUNCTION("""COMPUTED_VALUE"""),"9bc00e6b-ce5f-48c5-ae3a-1baabe00f337")</f>
        <v>9bc00e6b-ce5f-48c5-ae3a-1baabe00f337</v>
      </c>
      <c r="AK211" s="251" t="str">
        <f>IFERROR(__xludf.DUMMYFUNCTION("""COMPUTED_VALUE"""),"4174678f-bb13-4f47-9580-353559dfc646")</f>
        <v>4174678f-bb13-4f47-9580-353559dfc646</v>
      </c>
      <c r="AL211" s="251"/>
      <c r="AM211" s="251"/>
      <c r="AN211" s="251"/>
      <c r="AO211" s="251"/>
      <c r="AP211" s="261"/>
      <c r="AR211" s="251" t="str">
        <f t="shared" si="1"/>
        <v>21661.8_credit</v>
      </c>
      <c r="AS211" s="251" t="str">
        <f t="shared" si="2"/>
        <v>DROP</v>
      </c>
      <c r="AT211" s="247"/>
    </row>
    <row r="212">
      <c r="A212" s="255" t="s">
        <v>165</v>
      </c>
      <c r="B212" s="255" t="s">
        <v>578</v>
      </c>
      <c r="C212" s="256">
        <v>46189.525972222225</v>
      </c>
      <c r="D212" s="255" t="s">
        <v>167</v>
      </c>
      <c r="E212" s="257">
        <v>86742.48</v>
      </c>
      <c r="F212" s="255" t="s">
        <v>169</v>
      </c>
      <c r="G212" s="255" t="s">
        <v>170</v>
      </c>
      <c r="H212" s="255" t="s">
        <v>579</v>
      </c>
      <c r="I212" s="258"/>
      <c r="J212" s="258"/>
      <c r="K212" s="259"/>
      <c r="L212" s="258"/>
      <c r="M212" s="260"/>
      <c r="O212" s="247"/>
      <c r="AC212" s="247"/>
      <c r="AD212" s="251" t="str">
        <f>IFERROR(__xludf.DUMMYFUNCTION("""COMPUTED_VALUE"""),"73df5aae-f42a-49a0-9d8f-616ca6dbebaa")</f>
        <v>73df5aae-f42a-49a0-9d8f-616ca6dbebaa</v>
      </c>
      <c r="AE212" s="251" t="str">
        <f>IFERROR(__xludf.DUMMYFUNCTION("""COMPUTED_VALUE"""),"019ed06b-2c53-7752-bb3d-6510ed443110")</f>
        <v>019ed06b-2c53-7752-bb3d-6510ed443110</v>
      </c>
      <c r="AF212" s="261">
        <f>IFERROR(__xludf.DUMMYFUNCTION("""COMPUTED_VALUE"""),46189.522511574076)</f>
        <v>46189.52251</v>
      </c>
      <c r="AG212" s="251" t="str">
        <f>IFERROR(__xludf.DUMMYFUNCTION("""COMPUTED_VALUE"""),"debit")</f>
        <v>debit</v>
      </c>
      <c r="AH212" s="253">
        <f>IFERROR(__xludf.DUMMYFUNCTION("""COMPUTED_VALUE"""),7617.15)</f>
        <v>7617.15</v>
      </c>
      <c r="AI212" s="251" t="str">
        <f>IFERROR(__xludf.DUMMYFUNCTION("""COMPUTED_VALUE"""),"cash_isa")</f>
        <v>cash_isa</v>
      </c>
      <c r="AJ212" s="251" t="str">
        <f>IFERROR(__xludf.DUMMYFUNCTION("""COMPUTED_VALUE"""),"9bc00e6b-ce5f-48c5-ae3a-1baabe00f337")</f>
        <v>9bc00e6b-ce5f-48c5-ae3a-1baabe00f337</v>
      </c>
      <c r="AK212" s="251" t="str">
        <f>IFERROR(__xludf.DUMMYFUNCTION("""COMPUTED_VALUE"""),"718d6e41-62b1-4b6d-9b7a-c6313afe596c")</f>
        <v>718d6e41-62b1-4b6d-9b7a-c6313afe596c</v>
      </c>
      <c r="AL212" s="251"/>
      <c r="AM212" s="251"/>
      <c r="AN212" s="251"/>
      <c r="AO212" s="251"/>
      <c r="AP212" s="261"/>
      <c r="AR212" s="251" t="str">
        <f t="shared" si="1"/>
        <v>7617.15_debit</v>
      </c>
      <c r="AS212" s="251" t="str">
        <f t="shared" si="2"/>
        <v>DROP</v>
      </c>
      <c r="AT212" s="247"/>
    </row>
    <row r="213">
      <c r="A213" s="262" t="s">
        <v>165</v>
      </c>
      <c r="B213" s="262" t="s">
        <v>580</v>
      </c>
      <c r="C213" s="263">
        <v>46189.52614583333</v>
      </c>
      <c r="D213" s="262" t="s">
        <v>167</v>
      </c>
      <c r="E213" s="264">
        <v>39538.77</v>
      </c>
      <c r="F213" s="262" t="s">
        <v>169</v>
      </c>
      <c r="G213" s="262" t="s">
        <v>170</v>
      </c>
      <c r="H213" s="262" t="s">
        <v>581</v>
      </c>
      <c r="I213" s="265"/>
      <c r="J213" s="265"/>
      <c r="K213" s="266"/>
      <c r="L213" s="265"/>
      <c r="M213" s="267"/>
      <c r="O213" s="247"/>
      <c r="AC213" s="247"/>
      <c r="AD213" s="251" t="str">
        <f>IFERROR(__xludf.DUMMYFUNCTION("""COMPUTED_VALUE"""),"73df5aae-f42a-49a0-9d8f-616ca6dbebaa")</f>
        <v>73df5aae-f42a-49a0-9d8f-616ca6dbebaa</v>
      </c>
      <c r="AE213" s="251" t="str">
        <f>IFERROR(__xludf.DUMMYFUNCTION("""COMPUTED_VALUE"""),"019ed06d-1134-7841-a0b0-578281bf044d")</f>
        <v>019ed06d-1134-7841-a0b0-578281bf044d</v>
      </c>
      <c r="AF213" s="261">
        <f>IFERROR(__xludf.DUMMYFUNCTION("""COMPUTED_VALUE"""),46189.52394675926)</f>
        <v>46189.52395</v>
      </c>
      <c r="AG213" s="251" t="str">
        <f>IFERROR(__xludf.DUMMYFUNCTION("""COMPUTED_VALUE"""),"credit")</f>
        <v>credit</v>
      </c>
      <c r="AH213" s="253">
        <f>IFERROR(__xludf.DUMMYFUNCTION("""COMPUTED_VALUE"""),20926.03)</f>
        <v>20926.03</v>
      </c>
      <c r="AI213" s="251" t="str">
        <f>IFERROR(__xludf.DUMMYFUNCTION("""COMPUTED_VALUE"""),"cash_isa")</f>
        <v>cash_isa</v>
      </c>
      <c r="AJ213" s="251" t="str">
        <f>IFERROR(__xludf.DUMMYFUNCTION("""COMPUTED_VALUE"""),"9bc00e6b-ce5f-48c5-ae3a-1baabe00f337")</f>
        <v>9bc00e6b-ce5f-48c5-ae3a-1baabe00f337</v>
      </c>
      <c r="AK213" s="251" t="str">
        <f>IFERROR(__xludf.DUMMYFUNCTION("""COMPUTED_VALUE"""),"a53479dd-42b4-450f-be4c-ae4843abdde8")</f>
        <v>a53479dd-42b4-450f-be4c-ae4843abdde8</v>
      </c>
      <c r="AL213" s="251"/>
      <c r="AM213" s="251"/>
      <c r="AN213" s="251"/>
      <c r="AO213" s="251"/>
      <c r="AP213" s="261"/>
      <c r="AR213" s="251" t="str">
        <f t="shared" si="1"/>
        <v>20926.03_credit</v>
      </c>
      <c r="AS213" s="251" t="str">
        <f t="shared" si="2"/>
        <v>DROP</v>
      </c>
      <c r="AT213" s="247"/>
    </row>
    <row r="214">
      <c r="A214" s="255" t="s">
        <v>165</v>
      </c>
      <c r="B214" s="255" t="s">
        <v>582</v>
      </c>
      <c r="C214" s="256">
        <v>46189.526724537034</v>
      </c>
      <c r="D214" s="255" t="s">
        <v>167</v>
      </c>
      <c r="E214" s="257">
        <v>15705.86</v>
      </c>
      <c r="F214" s="255" t="s">
        <v>169</v>
      </c>
      <c r="G214" s="255" t="s">
        <v>170</v>
      </c>
      <c r="H214" s="255" t="s">
        <v>583</v>
      </c>
      <c r="I214" s="258"/>
      <c r="J214" s="258"/>
      <c r="K214" s="259"/>
      <c r="L214" s="258"/>
      <c r="M214" s="260"/>
      <c r="O214" s="247"/>
      <c r="AC214" s="247"/>
      <c r="AD214" s="251" t="str">
        <f>IFERROR(__xludf.DUMMYFUNCTION("""COMPUTED_VALUE"""),"73df5aae-f42a-49a0-9d8f-616ca6dbebaa")</f>
        <v>73df5aae-f42a-49a0-9d8f-616ca6dbebaa</v>
      </c>
      <c r="AE214" s="251" t="str">
        <f>IFERROR(__xludf.DUMMYFUNCTION("""COMPUTED_VALUE"""),"019ed06d-4ba6-792c-a100-2e4d64ad671a")</f>
        <v>019ed06d-4ba6-792c-a100-2e4d64ad671a</v>
      </c>
      <c r="AF214" s="261">
        <f>IFERROR(__xludf.DUMMYFUNCTION("""COMPUTED_VALUE"""),46189.52412037037)</f>
        <v>46189.52412</v>
      </c>
      <c r="AG214" s="251" t="str">
        <f>IFERROR(__xludf.DUMMYFUNCTION("""COMPUTED_VALUE"""),"credit")</f>
        <v>credit</v>
      </c>
      <c r="AH214" s="253">
        <f>IFERROR(__xludf.DUMMYFUNCTION("""COMPUTED_VALUE"""),21073.03)</f>
        <v>21073.03</v>
      </c>
      <c r="AI214" s="251" t="str">
        <f>IFERROR(__xludf.DUMMYFUNCTION("""COMPUTED_VALUE"""),"cash_isa")</f>
        <v>cash_isa</v>
      </c>
      <c r="AJ214" s="251" t="str">
        <f>IFERROR(__xludf.DUMMYFUNCTION("""COMPUTED_VALUE"""),"9bc00e6b-ce5f-48c5-ae3a-1baabe00f337")</f>
        <v>9bc00e6b-ce5f-48c5-ae3a-1baabe00f337</v>
      </c>
      <c r="AK214" s="251" t="str">
        <f>IFERROR(__xludf.DUMMYFUNCTION("""COMPUTED_VALUE"""),"caef60ab-4641-479e-b3f7-c32ee3d07c9d")</f>
        <v>caef60ab-4641-479e-b3f7-c32ee3d07c9d</v>
      </c>
      <c r="AL214" s="251"/>
      <c r="AM214" s="251"/>
      <c r="AN214" s="251"/>
      <c r="AO214" s="251"/>
      <c r="AP214" s="261"/>
      <c r="AR214" s="251" t="str">
        <f t="shared" si="1"/>
        <v>21073.03_credit</v>
      </c>
      <c r="AS214" s="251" t="str">
        <f t="shared" si="2"/>
        <v>DROP</v>
      </c>
      <c r="AT214" s="247"/>
    </row>
    <row r="215">
      <c r="A215" s="262" t="s">
        <v>165</v>
      </c>
      <c r="B215" s="262" t="s">
        <v>584</v>
      </c>
      <c r="C215" s="263">
        <v>46189.52721064815</v>
      </c>
      <c r="D215" s="262" t="s">
        <v>265</v>
      </c>
      <c r="E215" s="264">
        <v>20880.59</v>
      </c>
      <c r="F215" s="262" t="s">
        <v>169</v>
      </c>
      <c r="G215" s="262" t="s">
        <v>170</v>
      </c>
      <c r="H215" s="262" t="s">
        <v>577</v>
      </c>
      <c r="I215" s="265"/>
      <c r="J215" s="265"/>
      <c r="K215" s="266"/>
      <c r="L215" s="265"/>
      <c r="M215" s="267"/>
      <c r="O215" s="247"/>
      <c r="AC215" s="247"/>
      <c r="AD215" s="251" t="str">
        <f>IFERROR(__xludf.DUMMYFUNCTION("""COMPUTED_VALUE"""),"73df5aae-f42a-49a0-9d8f-616ca6dbebaa")</f>
        <v>73df5aae-f42a-49a0-9d8f-616ca6dbebaa</v>
      </c>
      <c r="AE215" s="251" t="str">
        <f>IFERROR(__xludf.DUMMYFUNCTION("""COMPUTED_VALUE"""),"019ed06d-d1a3-7d67-8602-3cea3751629e")</f>
        <v>019ed06d-d1a3-7d67-8602-3cea3751629e</v>
      </c>
      <c r="AF215" s="261">
        <f>IFERROR(__xludf.DUMMYFUNCTION("""COMPUTED_VALUE"""),46189.52452546296)</f>
        <v>46189.52453</v>
      </c>
      <c r="AG215" s="251" t="str">
        <f>IFERROR(__xludf.DUMMYFUNCTION("""COMPUTED_VALUE"""),"debit")</f>
        <v>debit</v>
      </c>
      <c r="AH215" s="253">
        <f>IFERROR(__xludf.DUMMYFUNCTION("""COMPUTED_VALUE"""),9294.18)</f>
        <v>9294.18</v>
      </c>
      <c r="AI215" s="251" t="str">
        <f>IFERROR(__xludf.DUMMYFUNCTION("""COMPUTED_VALUE"""),"cash_isa")</f>
        <v>cash_isa</v>
      </c>
      <c r="AJ215" s="251" t="str">
        <f>IFERROR(__xludf.DUMMYFUNCTION("""COMPUTED_VALUE"""),"9bc00e6b-ce5f-48c5-ae3a-1baabe00f337")</f>
        <v>9bc00e6b-ce5f-48c5-ae3a-1baabe00f337</v>
      </c>
      <c r="AK215" s="251" t="str">
        <f>IFERROR(__xludf.DUMMYFUNCTION("""COMPUTED_VALUE"""),"bb4de603-ff37-4395-91ee-fd1d752fd311")</f>
        <v>bb4de603-ff37-4395-91ee-fd1d752fd311</v>
      </c>
      <c r="AL215" s="251"/>
      <c r="AM215" s="251"/>
      <c r="AN215" s="251"/>
      <c r="AO215" s="251"/>
      <c r="AP215" s="261"/>
      <c r="AR215" s="251" t="str">
        <f t="shared" si="1"/>
        <v>9294.18_debit</v>
      </c>
      <c r="AS215" s="251" t="str">
        <f t="shared" si="2"/>
        <v>DROP</v>
      </c>
      <c r="AT215" s="247"/>
    </row>
    <row r="216">
      <c r="A216" s="255" t="s">
        <v>165</v>
      </c>
      <c r="B216" s="255" t="s">
        <v>585</v>
      </c>
      <c r="C216" s="256">
        <v>46189.52793981481</v>
      </c>
      <c r="D216" s="255" t="s">
        <v>265</v>
      </c>
      <c r="E216" s="257">
        <v>15705.86</v>
      </c>
      <c r="F216" s="255" t="s">
        <v>169</v>
      </c>
      <c r="G216" s="255" t="s">
        <v>170</v>
      </c>
      <c r="H216" s="255" t="s">
        <v>583</v>
      </c>
      <c r="I216" s="258"/>
      <c r="J216" s="258"/>
      <c r="K216" s="259"/>
      <c r="L216" s="258"/>
      <c r="M216" s="260"/>
      <c r="O216" s="247"/>
      <c r="AC216" s="247"/>
      <c r="AD216" s="251" t="str">
        <f>IFERROR(__xludf.DUMMYFUNCTION("""COMPUTED_VALUE"""),"73df5aae-f42a-49a0-9d8f-616ca6dbebaa")</f>
        <v>73df5aae-f42a-49a0-9d8f-616ca6dbebaa</v>
      </c>
      <c r="AE216" s="251" t="str">
        <f>IFERROR(__xludf.DUMMYFUNCTION("""COMPUTED_VALUE"""),"019ed06e-0c34-7941-8f06-9054f97022bc")</f>
        <v>019ed06e-0c34-7941-8f06-9054f97022bc</v>
      </c>
      <c r="AF216" s="261">
        <f>IFERROR(__xludf.DUMMYFUNCTION("""COMPUTED_VALUE"""),46189.52469907407)</f>
        <v>46189.5247</v>
      </c>
      <c r="AG216" s="251" t="str">
        <f>IFERROR(__xludf.DUMMYFUNCTION("""COMPUTED_VALUE"""),"debit")</f>
        <v>debit</v>
      </c>
      <c r="AH216" s="253">
        <f>IFERROR(__xludf.DUMMYFUNCTION("""COMPUTED_VALUE"""),21661.8)</f>
        <v>21661.8</v>
      </c>
      <c r="AI216" s="251" t="str">
        <f>IFERROR(__xludf.DUMMYFUNCTION("""COMPUTED_VALUE"""),"cash_isa")</f>
        <v>cash_isa</v>
      </c>
      <c r="AJ216" s="251" t="str">
        <f>IFERROR(__xludf.DUMMYFUNCTION("""COMPUTED_VALUE"""),"9bc00e6b-ce5f-48c5-ae3a-1baabe00f337")</f>
        <v>9bc00e6b-ce5f-48c5-ae3a-1baabe00f337</v>
      </c>
      <c r="AK216" s="251" t="str">
        <f>IFERROR(__xludf.DUMMYFUNCTION("""COMPUTED_VALUE"""),"4174678f-bb13-4f47-9580-353559dfc646")</f>
        <v>4174678f-bb13-4f47-9580-353559dfc646</v>
      </c>
      <c r="AL216" s="251"/>
      <c r="AM216" s="251"/>
      <c r="AN216" s="251"/>
      <c r="AO216" s="251"/>
      <c r="AP216" s="261"/>
      <c r="AR216" s="251" t="str">
        <f t="shared" si="1"/>
        <v>21661.8_debit</v>
      </c>
      <c r="AS216" s="251" t="str">
        <f t="shared" si="2"/>
        <v>DROP</v>
      </c>
      <c r="AT216" s="247"/>
    </row>
    <row r="217">
      <c r="A217" s="262" t="s">
        <v>165</v>
      </c>
      <c r="B217" s="262" t="s">
        <v>586</v>
      </c>
      <c r="C217" s="263">
        <v>46189.52795138889</v>
      </c>
      <c r="D217" s="262" t="s">
        <v>265</v>
      </c>
      <c r="E217" s="264">
        <v>86742.48</v>
      </c>
      <c r="F217" s="262" t="s">
        <v>169</v>
      </c>
      <c r="G217" s="262" t="s">
        <v>170</v>
      </c>
      <c r="H217" s="262" t="s">
        <v>579</v>
      </c>
      <c r="I217" s="265"/>
      <c r="J217" s="265"/>
      <c r="K217" s="266"/>
      <c r="L217" s="265"/>
      <c r="M217" s="267"/>
      <c r="O217" s="247"/>
      <c r="AC217" s="247"/>
      <c r="AD217" s="251" t="str">
        <f>IFERROR(__xludf.DUMMYFUNCTION("""COMPUTED_VALUE"""),"73df5aae-f42a-49a0-9d8f-616ca6dbebaa")</f>
        <v>73df5aae-f42a-49a0-9d8f-616ca6dbebaa</v>
      </c>
      <c r="AE217" s="251" t="str">
        <f>IFERROR(__xludf.DUMMYFUNCTION("""COMPUTED_VALUE"""),"019ed06f-09cb-704a-af80-60efa8d01a45")</f>
        <v>019ed06f-09cb-704a-af80-60efa8d01a45</v>
      </c>
      <c r="AF217" s="261">
        <f>IFERROR(__xludf.DUMMYFUNCTION("""COMPUTED_VALUE"""),46189.52543981481)</f>
        <v>46189.52544</v>
      </c>
      <c r="AG217" s="251" t="str">
        <f>IFERROR(__xludf.DUMMYFUNCTION("""COMPUTED_VALUE"""),"debit")</f>
        <v>debit</v>
      </c>
      <c r="AH217" s="253">
        <f>IFERROR(__xludf.DUMMYFUNCTION("""COMPUTED_VALUE"""),21073.03)</f>
        <v>21073.03</v>
      </c>
      <c r="AI217" s="251" t="str">
        <f>IFERROR(__xludf.DUMMYFUNCTION("""COMPUTED_VALUE"""),"cash_isa")</f>
        <v>cash_isa</v>
      </c>
      <c r="AJ217" s="251" t="str">
        <f>IFERROR(__xludf.DUMMYFUNCTION("""COMPUTED_VALUE"""),"9bc00e6b-ce5f-48c5-ae3a-1baabe00f337")</f>
        <v>9bc00e6b-ce5f-48c5-ae3a-1baabe00f337</v>
      </c>
      <c r="AK217" s="251" t="str">
        <f>IFERROR(__xludf.DUMMYFUNCTION("""COMPUTED_VALUE"""),"caef60ab-4641-479e-b3f7-c32ee3d07c9d")</f>
        <v>caef60ab-4641-479e-b3f7-c32ee3d07c9d</v>
      </c>
      <c r="AL217" s="251"/>
      <c r="AM217" s="251"/>
      <c r="AN217" s="251"/>
      <c r="AO217" s="251"/>
      <c r="AP217" s="261"/>
      <c r="AR217" s="251" t="str">
        <f t="shared" si="1"/>
        <v>21073.03_debit</v>
      </c>
      <c r="AS217" s="251" t="str">
        <f t="shared" si="2"/>
        <v>DROP</v>
      </c>
      <c r="AT217" s="247"/>
    </row>
    <row r="218">
      <c r="A218" s="255" t="s">
        <v>165</v>
      </c>
      <c r="B218" s="255" t="s">
        <v>587</v>
      </c>
      <c r="C218" s="256">
        <v>46189.52795138889</v>
      </c>
      <c r="D218" s="255" t="s">
        <v>167</v>
      </c>
      <c r="E218" s="257">
        <v>41749.61</v>
      </c>
      <c r="F218" s="255" t="s">
        <v>169</v>
      </c>
      <c r="G218" s="255" t="s">
        <v>170</v>
      </c>
      <c r="H218" s="255" t="s">
        <v>588</v>
      </c>
      <c r="I218" s="258"/>
      <c r="J218" s="258"/>
      <c r="K218" s="259"/>
      <c r="L218" s="258"/>
      <c r="M218" s="260"/>
      <c r="O218" s="247"/>
      <c r="AC218" s="247"/>
      <c r="AD218" s="251" t="str">
        <f>IFERROR(__xludf.DUMMYFUNCTION("""COMPUTED_VALUE"""),"73df5aae-f42a-49a0-9d8f-616ca6dbebaa")</f>
        <v>73df5aae-f42a-49a0-9d8f-616ca6dbebaa</v>
      </c>
      <c r="AE218" s="251" t="str">
        <f>IFERROR(__xludf.DUMMYFUNCTION("""COMPUTED_VALUE"""),"019ed06f-0c61-7d9a-b6ec-e45f99723240")</f>
        <v>019ed06f-0c61-7d9a-b6ec-e45f99723240</v>
      </c>
      <c r="AF218" s="261">
        <f>IFERROR(__xludf.DUMMYFUNCTION("""COMPUTED_VALUE"""),46189.525451388894)</f>
        <v>46189.52545</v>
      </c>
      <c r="AG218" s="251" t="str">
        <f>IFERROR(__xludf.DUMMYFUNCTION("""COMPUTED_VALUE"""),"debit")</f>
        <v>debit</v>
      </c>
      <c r="AH218" s="253">
        <f>IFERROR(__xludf.DUMMYFUNCTION("""COMPUTED_VALUE"""),20926.03)</f>
        <v>20926.03</v>
      </c>
      <c r="AI218" s="251" t="str">
        <f>IFERROR(__xludf.DUMMYFUNCTION("""COMPUTED_VALUE"""),"cash_isa")</f>
        <v>cash_isa</v>
      </c>
      <c r="AJ218" s="251" t="str">
        <f>IFERROR(__xludf.DUMMYFUNCTION("""COMPUTED_VALUE"""),"9bc00e6b-ce5f-48c5-ae3a-1baabe00f337")</f>
        <v>9bc00e6b-ce5f-48c5-ae3a-1baabe00f337</v>
      </c>
      <c r="AK218" s="251" t="str">
        <f>IFERROR(__xludf.DUMMYFUNCTION("""COMPUTED_VALUE"""),"a53479dd-42b4-450f-be4c-ae4843abdde8")</f>
        <v>a53479dd-42b4-450f-be4c-ae4843abdde8</v>
      </c>
      <c r="AL218" s="251"/>
      <c r="AM218" s="251"/>
      <c r="AN218" s="251"/>
      <c r="AO218" s="251"/>
      <c r="AP218" s="261"/>
      <c r="AR218" s="251" t="str">
        <f t="shared" si="1"/>
        <v>20926.03_debit</v>
      </c>
      <c r="AS218" s="251" t="str">
        <f t="shared" si="2"/>
        <v>DROP</v>
      </c>
      <c r="AT218" s="247"/>
    </row>
    <row r="219">
      <c r="A219" s="255" t="s">
        <v>165</v>
      </c>
      <c r="B219" s="255" t="s">
        <v>589</v>
      </c>
      <c r="C219" s="256">
        <v>46189.52804398148</v>
      </c>
      <c r="D219" s="255" t="s">
        <v>167</v>
      </c>
      <c r="E219" s="257">
        <v>29971.49</v>
      </c>
      <c r="F219" s="255" t="s">
        <v>169</v>
      </c>
      <c r="G219" s="255" t="s">
        <v>170</v>
      </c>
      <c r="H219" s="255" t="s">
        <v>590</v>
      </c>
      <c r="I219" s="258"/>
      <c r="J219" s="258"/>
      <c r="K219" s="268"/>
      <c r="L219" s="258"/>
      <c r="M219" s="269"/>
      <c r="O219" s="247"/>
      <c r="AC219" s="247"/>
      <c r="AD219" s="251" t="str">
        <f>IFERROR(__xludf.DUMMYFUNCTION("""COMPUTED_VALUE"""),"73df5aae-f42a-49a0-9d8f-616ca6dbebaa")</f>
        <v>73df5aae-f42a-49a0-9d8f-616ca6dbebaa</v>
      </c>
      <c r="AE219" s="251" t="str">
        <f>IFERROR(__xludf.DUMMYFUNCTION("""COMPUTED_VALUE"""),"019ed06f-68c5-7778-912e-c22bc0c9789b")</f>
        <v>019ed06f-68c5-7778-912e-c22bc0c9789b</v>
      </c>
      <c r="AF219" s="261">
        <f>IFERROR(__xludf.DUMMYFUNCTION("""COMPUTED_VALUE"""),46189.525729166664)</f>
        <v>46189.52573</v>
      </c>
      <c r="AG219" s="251" t="str">
        <f>IFERROR(__xludf.DUMMYFUNCTION("""COMPUTED_VALUE"""),"credit")</f>
        <v>credit</v>
      </c>
      <c r="AH219" s="253">
        <f>IFERROR(__xludf.DUMMYFUNCTION("""COMPUTED_VALUE"""),20880.59)</f>
        <v>20880.59</v>
      </c>
      <c r="AI219" s="251" t="str">
        <f>IFERROR(__xludf.DUMMYFUNCTION("""COMPUTED_VALUE"""),"cash_isa")</f>
        <v>cash_isa</v>
      </c>
      <c r="AJ219" s="251" t="str">
        <f>IFERROR(__xludf.DUMMYFUNCTION("""COMPUTED_VALUE"""),"9bc00e6b-ce5f-48c5-ae3a-1baabe00f337")</f>
        <v>9bc00e6b-ce5f-48c5-ae3a-1baabe00f337</v>
      </c>
      <c r="AK219" s="251" t="str">
        <f>IFERROR(__xludf.DUMMYFUNCTION("""COMPUTED_VALUE"""),"e25ecffc-927c-4447-8964-58ec5a36200d")</f>
        <v>e25ecffc-927c-4447-8964-58ec5a36200d</v>
      </c>
      <c r="AL219" s="251"/>
      <c r="AM219" s="251"/>
      <c r="AN219" s="251"/>
      <c r="AO219" s="251"/>
      <c r="AP219" s="261"/>
      <c r="AR219" s="251" t="str">
        <f t="shared" si="1"/>
        <v>20880.59_credit</v>
      </c>
      <c r="AS219" s="251" t="str">
        <f t="shared" si="2"/>
        <v>DROP</v>
      </c>
      <c r="AT219" s="247"/>
    </row>
    <row r="220">
      <c r="A220" s="262" t="s">
        <v>165</v>
      </c>
      <c r="B220" s="262" t="s">
        <v>591</v>
      </c>
      <c r="C220" s="263">
        <v>46189.529131944444</v>
      </c>
      <c r="D220" s="262" t="s">
        <v>167</v>
      </c>
      <c r="E220" s="264">
        <v>20000.0</v>
      </c>
      <c r="F220" s="262" t="s">
        <v>169</v>
      </c>
      <c r="G220" s="262" t="s">
        <v>170</v>
      </c>
      <c r="H220" s="262" t="s">
        <v>592</v>
      </c>
      <c r="I220" s="265"/>
      <c r="J220" s="265"/>
      <c r="K220" s="270"/>
      <c r="L220" s="265"/>
      <c r="M220" s="271"/>
      <c r="O220" s="247"/>
      <c r="AC220" s="247"/>
      <c r="AD220" s="251" t="str">
        <f>IFERROR(__xludf.DUMMYFUNCTION("""COMPUTED_VALUE"""),"73df5aae-f42a-49a0-9d8f-616ca6dbebaa")</f>
        <v>73df5aae-f42a-49a0-9d8f-616ca6dbebaa</v>
      </c>
      <c r="AE220" s="251" t="str">
        <f>IFERROR(__xludf.DUMMYFUNCTION("""COMPUTED_VALUE"""),"019ed06f-bd2f-77eb-b337-1b75b192a10e")</f>
        <v>019ed06f-bd2f-77eb-b337-1b75b192a10e</v>
      </c>
      <c r="AF220" s="261">
        <f>IFERROR(__xludf.DUMMYFUNCTION("""COMPUTED_VALUE"""),46189.525972222225)</f>
        <v>46189.52597</v>
      </c>
      <c r="AG220" s="251" t="str">
        <f>IFERROR(__xludf.DUMMYFUNCTION("""COMPUTED_VALUE"""),"credit")</f>
        <v>credit</v>
      </c>
      <c r="AH220" s="253">
        <f>IFERROR(__xludf.DUMMYFUNCTION("""COMPUTED_VALUE"""),86742.48)</f>
        <v>86742.48</v>
      </c>
      <c r="AI220" s="251" t="str">
        <f>IFERROR(__xludf.DUMMYFUNCTION("""COMPUTED_VALUE"""),"cash_isa")</f>
        <v>cash_isa</v>
      </c>
      <c r="AJ220" s="251" t="str">
        <f>IFERROR(__xludf.DUMMYFUNCTION("""COMPUTED_VALUE"""),"9bc00e6b-ce5f-48c5-ae3a-1baabe00f337")</f>
        <v>9bc00e6b-ce5f-48c5-ae3a-1baabe00f337</v>
      </c>
      <c r="AK220" s="251" t="str">
        <f>IFERROR(__xludf.DUMMYFUNCTION("""COMPUTED_VALUE"""),"df09bf35-5a73-4694-9ad1-5790d208239c")</f>
        <v>df09bf35-5a73-4694-9ad1-5790d208239c</v>
      </c>
      <c r="AL220" s="251"/>
      <c r="AM220" s="251"/>
      <c r="AN220" s="251"/>
      <c r="AO220" s="251"/>
      <c r="AP220" s="261"/>
      <c r="AR220" s="251" t="str">
        <f t="shared" si="1"/>
        <v>86742.48_credit</v>
      </c>
      <c r="AS220" s="251" t="str">
        <f t="shared" si="2"/>
        <v>DROP</v>
      </c>
      <c r="AT220" s="247"/>
    </row>
    <row r="221">
      <c r="A221" s="255" t="s">
        <v>165</v>
      </c>
      <c r="B221" s="255" t="s">
        <v>593</v>
      </c>
      <c r="C221" s="256">
        <v>46189.52990740741</v>
      </c>
      <c r="D221" s="255" t="s">
        <v>265</v>
      </c>
      <c r="E221" s="257">
        <v>41749.61</v>
      </c>
      <c r="F221" s="255" t="s">
        <v>169</v>
      </c>
      <c r="G221" s="255" t="s">
        <v>170</v>
      </c>
      <c r="H221" s="255" t="s">
        <v>588</v>
      </c>
      <c r="I221" s="258"/>
      <c r="J221" s="258"/>
      <c r="K221" s="268"/>
      <c r="L221" s="258"/>
      <c r="M221" s="269"/>
      <c r="O221" s="247"/>
      <c r="AC221" s="247"/>
      <c r="AD221" s="251" t="str">
        <f>IFERROR(__xludf.DUMMYFUNCTION("""COMPUTED_VALUE"""),"73df5aae-f42a-49a0-9d8f-616ca6dbebaa")</f>
        <v>73df5aae-f42a-49a0-9d8f-616ca6dbebaa</v>
      </c>
      <c r="AE221" s="251" t="str">
        <f>IFERROR(__xludf.DUMMYFUNCTION("""COMPUTED_VALUE"""),"019ed06f-f6e7-743e-878f-792fa1c52c04")</f>
        <v>019ed06f-f6e7-743e-878f-792fa1c52c04</v>
      </c>
      <c r="AF221" s="261">
        <f>IFERROR(__xludf.DUMMYFUNCTION("""COMPUTED_VALUE"""),46189.52614583333)</f>
        <v>46189.52615</v>
      </c>
      <c r="AG221" s="251" t="str">
        <f>IFERROR(__xludf.DUMMYFUNCTION("""COMPUTED_VALUE"""),"credit")</f>
        <v>credit</v>
      </c>
      <c r="AH221" s="253">
        <f>IFERROR(__xludf.DUMMYFUNCTION("""COMPUTED_VALUE"""),39538.77)</f>
        <v>39538.77</v>
      </c>
      <c r="AI221" s="251" t="str">
        <f>IFERROR(__xludf.DUMMYFUNCTION("""COMPUTED_VALUE"""),"cash_isa")</f>
        <v>cash_isa</v>
      </c>
      <c r="AJ221" s="251" t="str">
        <f>IFERROR(__xludf.DUMMYFUNCTION("""COMPUTED_VALUE"""),"9bc00e6b-ce5f-48c5-ae3a-1baabe00f337")</f>
        <v>9bc00e6b-ce5f-48c5-ae3a-1baabe00f337</v>
      </c>
      <c r="AK221" s="251" t="str">
        <f>IFERROR(__xludf.DUMMYFUNCTION("""COMPUTED_VALUE"""),"5712cb3f-dbea-43a1-96dd-7baaba0ff466")</f>
        <v>5712cb3f-dbea-43a1-96dd-7baaba0ff466</v>
      </c>
      <c r="AL221" s="251"/>
      <c r="AM221" s="251"/>
      <c r="AN221" s="251"/>
      <c r="AO221" s="251"/>
      <c r="AP221" s="261"/>
      <c r="AR221" s="251" t="str">
        <f t="shared" si="1"/>
        <v>39538.77_credit</v>
      </c>
      <c r="AS221" s="251" t="str">
        <f t="shared" si="2"/>
        <v>DROP</v>
      </c>
      <c r="AT221" s="247"/>
    </row>
    <row r="222">
      <c r="A222" s="262" t="s">
        <v>165</v>
      </c>
      <c r="B222" s="262" t="s">
        <v>594</v>
      </c>
      <c r="C222" s="263">
        <v>46189.53</v>
      </c>
      <c r="D222" s="262" t="s">
        <v>265</v>
      </c>
      <c r="E222" s="264">
        <v>29971.49</v>
      </c>
      <c r="F222" s="262" t="s">
        <v>169</v>
      </c>
      <c r="G222" s="262" t="s">
        <v>170</v>
      </c>
      <c r="H222" s="262" t="s">
        <v>590</v>
      </c>
      <c r="I222" s="265"/>
      <c r="J222" s="265"/>
      <c r="K222" s="270"/>
      <c r="L222" s="265"/>
      <c r="M222" s="271"/>
      <c r="O222" s="247"/>
      <c r="AC222" s="247"/>
      <c r="AD222" s="251" t="str">
        <f>IFERROR(__xludf.DUMMYFUNCTION("""COMPUTED_VALUE"""),"73df5aae-f42a-49a0-9d8f-616ca6dbebaa")</f>
        <v>73df5aae-f42a-49a0-9d8f-616ca6dbebaa</v>
      </c>
      <c r="AE222" s="251" t="str">
        <f>IFERROR(__xludf.DUMMYFUNCTION("""COMPUTED_VALUE"""),"019ed070-b80a-7a9f-89dd-057a4be7267a")</f>
        <v>019ed070-b80a-7a9f-89dd-057a4be7267a</v>
      </c>
      <c r="AF222" s="261">
        <f>IFERROR(__xludf.DUMMYFUNCTION("""COMPUTED_VALUE"""),46189.526724537034)</f>
        <v>46189.52672</v>
      </c>
      <c r="AG222" s="251" t="str">
        <f>IFERROR(__xludf.DUMMYFUNCTION("""COMPUTED_VALUE"""),"credit")</f>
        <v>credit</v>
      </c>
      <c r="AH222" s="253">
        <f>IFERROR(__xludf.DUMMYFUNCTION("""COMPUTED_VALUE"""),15705.86)</f>
        <v>15705.86</v>
      </c>
      <c r="AI222" s="251" t="str">
        <f>IFERROR(__xludf.DUMMYFUNCTION("""COMPUTED_VALUE"""),"cash_isa")</f>
        <v>cash_isa</v>
      </c>
      <c r="AJ222" s="251" t="str">
        <f>IFERROR(__xludf.DUMMYFUNCTION("""COMPUTED_VALUE"""),"9bc00e6b-ce5f-48c5-ae3a-1baabe00f337")</f>
        <v>9bc00e6b-ce5f-48c5-ae3a-1baabe00f337</v>
      </c>
      <c r="AK222" s="251" t="str">
        <f>IFERROR(__xludf.DUMMYFUNCTION("""COMPUTED_VALUE"""),"90232a8f-729f-4c04-ae09-48b292dd4e6e")</f>
        <v>90232a8f-729f-4c04-ae09-48b292dd4e6e</v>
      </c>
      <c r="AL222" s="251"/>
      <c r="AM222" s="251"/>
      <c r="AN222" s="251"/>
      <c r="AO222" s="251"/>
      <c r="AP222" s="261"/>
      <c r="AR222" s="251" t="str">
        <f t="shared" si="1"/>
        <v>15705.86_credit</v>
      </c>
      <c r="AS222" s="251" t="str">
        <f t="shared" si="2"/>
        <v>DROP</v>
      </c>
      <c r="AT222" s="247"/>
    </row>
    <row r="223">
      <c r="A223" s="255" t="s">
        <v>165</v>
      </c>
      <c r="B223" s="255" t="s">
        <v>595</v>
      </c>
      <c r="C223" s="256">
        <v>46189.5300462963</v>
      </c>
      <c r="D223" s="255" t="s">
        <v>167</v>
      </c>
      <c r="E223" s="257">
        <v>18908.92</v>
      </c>
      <c r="F223" s="255" t="s">
        <v>169</v>
      </c>
      <c r="G223" s="255" t="s">
        <v>170</v>
      </c>
      <c r="H223" s="255" t="s">
        <v>596</v>
      </c>
      <c r="I223" s="258"/>
      <c r="J223" s="258"/>
      <c r="K223" s="268"/>
      <c r="L223" s="258"/>
      <c r="M223" s="269"/>
      <c r="O223" s="247"/>
      <c r="AC223" s="247"/>
      <c r="AD223" s="251" t="str">
        <f>IFERROR(__xludf.DUMMYFUNCTION("""COMPUTED_VALUE"""),"73df5aae-f42a-49a0-9d8f-616ca6dbebaa")</f>
        <v>73df5aae-f42a-49a0-9d8f-616ca6dbebaa</v>
      </c>
      <c r="AE223" s="251" t="str">
        <f>IFERROR(__xludf.DUMMYFUNCTION("""COMPUTED_VALUE"""),"019ed071-5beb-790c-9adf-2008af17cae0")</f>
        <v>019ed071-5beb-790c-9adf-2008af17cae0</v>
      </c>
      <c r="AF223" s="261">
        <f>IFERROR(__xludf.DUMMYFUNCTION("""COMPUTED_VALUE"""),46189.52721064815)</f>
        <v>46189.52721</v>
      </c>
      <c r="AG223" s="251" t="str">
        <f>IFERROR(__xludf.DUMMYFUNCTION("""COMPUTED_VALUE"""),"debit")</f>
        <v>debit</v>
      </c>
      <c r="AH223" s="253">
        <f>IFERROR(__xludf.DUMMYFUNCTION("""COMPUTED_VALUE"""),20880.59)</f>
        <v>20880.59</v>
      </c>
      <c r="AI223" s="251" t="str">
        <f>IFERROR(__xludf.DUMMYFUNCTION("""COMPUTED_VALUE"""),"cash_isa")</f>
        <v>cash_isa</v>
      </c>
      <c r="AJ223" s="251" t="str">
        <f>IFERROR(__xludf.DUMMYFUNCTION("""COMPUTED_VALUE"""),"9bc00e6b-ce5f-48c5-ae3a-1baabe00f337")</f>
        <v>9bc00e6b-ce5f-48c5-ae3a-1baabe00f337</v>
      </c>
      <c r="AK223" s="251" t="str">
        <f>IFERROR(__xludf.DUMMYFUNCTION("""COMPUTED_VALUE"""),"e25ecffc-927c-4447-8964-58ec5a36200d")</f>
        <v>e25ecffc-927c-4447-8964-58ec5a36200d</v>
      </c>
      <c r="AL223" s="251"/>
      <c r="AM223" s="251"/>
      <c r="AN223" s="251"/>
      <c r="AO223" s="251"/>
      <c r="AP223" s="261"/>
      <c r="AR223" s="251" t="str">
        <f t="shared" si="1"/>
        <v>20880.59_debit</v>
      </c>
      <c r="AS223" s="251" t="str">
        <f t="shared" si="2"/>
        <v>DROP</v>
      </c>
      <c r="AT223" s="247"/>
    </row>
    <row r="224">
      <c r="A224" s="255" t="s">
        <v>165</v>
      </c>
      <c r="B224" s="255" t="s">
        <v>597</v>
      </c>
      <c r="C224" s="256">
        <v>46189.53046296296</v>
      </c>
      <c r="D224" s="255" t="s">
        <v>265</v>
      </c>
      <c r="E224" s="257">
        <v>20000.0</v>
      </c>
      <c r="F224" s="255" t="s">
        <v>169</v>
      </c>
      <c r="G224" s="255" t="s">
        <v>170</v>
      </c>
      <c r="H224" s="255" t="s">
        <v>592</v>
      </c>
      <c r="I224" s="258"/>
      <c r="J224" s="258"/>
      <c r="K224" s="268"/>
      <c r="L224" s="258"/>
      <c r="M224" s="269"/>
      <c r="O224" s="247"/>
      <c r="AC224" s="247"/>
      <c r="AD224" s="251" t="str">
        <f>IFERROR(__xludf.DUMMYFUNCTION("""COMPUTED_VALUE"""),"73df5aae-f42a-49a0-9d8f-616ca6dbebaa")</f>
        <v>73df5aae-f42a-49a0-9d8f-616ca6dbebaa</v>
      </c>
      <c r="AE224" s="251" t="str">
        <f>IFERROR(__xludf.DUMMYFUNCTION("""COMPUTED_VALUE"""),"019ed072-53eb-79cf-bfc4-17b71e2be62f")</f>
        <v>019ed072-53eb-79cf-bfc4-17b71e2be62f</v>
      </c>
      <c r="AF224" s="261">
        <f>IFERROR(__xludf.DUMMYFUNCTION("""COMPUTED_VALUE"""),46189.52793981481)</f>
        <v>46189.52794</v>
      </c>
      <c r="AG224" s="251" t="str">
        <f>IFERROR(__xludf.DUMMYFUNCTION("""COMPUTED_VALUE"""),"debit")</f>
        <v>debit</v>
      </c>
      <c r="AH224" s="253">
        <f>IFERROR(__xludf.DUMMYFUNCTION("""COMPUTED_VALUE"""),15705.86)</f>
        <v>15705.86</v>
      </c>
      <c r="AI224" s="251" t="str">
        <f>IFERROR(__xludf.DUMMYFUNCTION("""COMPUTED_VALUE"""),"cash_isa")</f>
        <v>cash_isa</v>
      </c>
      <c r="AJ224" s="251" t="str">
        <f>IFERROR(__xludf.DUMMYFUNCTION("""COMPUTED_VALUE"""),"9bc00e6b-ce5f-48c5-ae3a-1baabe00f337")</f>
        <v>9bc00e6b-ce5f-48c5-ae3a-1baabe00f337</v>
      </c>
      <c r="AK224" s="251" t="str">
        <f>IFERROR(__xludf.DUMMYFUNCTION("""COMPUTED_VALUE"""),"90232a8f-729f-4c04-ae09-48b292dd4e6e")</f>
        <v>90232a8f-729f-4c04-ae09-48b292dd4e6e</v>
      </c>
      <c r="AL224" s="251"/>
      <c r="AM224" s="251"/>
      <c r="AN224" s="251"/>
      <c r="AO224" s="251"/>
      <c r="AP224" s="261"/>
      <c r="AR224" s="251" t="str">
        <f t="shared" si="1"/>
        <v>15705.86_debit</v>
      </c>
      <c r="AS224" s="251" t="str">
        <f t="shared" si="2"/>
        <v>DROP</v>
      </c>
      <c r="AT224" s="247"/>
    </row>
    <row r="225">
      <c r="A225" s="262" t="s">
        <v>165</v>
      </c>
      <c r="B225" s="262" t="s">
        <v>598</v>
      </c>
      <c r="C225" s="263">
        <v>46189.53115740741</v>
      </c>
      <c r="D225" s="262" t="s">
        <v>167</v>
      </c>
      <c r="E225" s="264">
        <v>20364.43</v>
      </c>
      <c r="F225" s="262" t="s">
        <v>169</v>
      </c>
      <c r="G225" s="262" t="s">
        <v>170</v>
      </c>
      <c r="H225" s="262" t="s">
        <v>599</v>
      </c>
      <c r="I225" s="265"/>
      <c r="J225" s="265"/>
      <c r="K225" s="270"/>
      <c r="L225" s="265"/>
      <c r="M225" s="271"/>
      <c r="O225" s="247"/>
      <c r="AC225" s="247"/>
      <c r="AD225" s="251" t="str">
        <f>IFERROR(__xludf.DUMMYFUNCTION("""COMPUTED_VALUE"""),"73df5aae-f42a-49a0-9d8f-616ca6dbebaa")</f>
        <v>73df5aae-f42a-49a0-9d8f-616ca6dbebaa</v>
      </c>
      <c r="AE225" s="251" t="str">
        <f>IFERROR(__xludf.DUMMYFUNCTION("""COMPUTED_VALUE"""),"019ed072-56a9-7695-a8fb-4276dd06200d")</f>
        <v>019ed072-56a9-7695-a8fb-4276dd06200d</v>
      </c>
      <c r="AF225" s="261">
        <f>IFERROR(__xludf.DUMMYFUNCTION("""COMPUTED_VALUE"""),46189.52795138889)</f>
        <v>46189.52795</v>
      </c>
      <c r="AG225" s="251" t="str">
        <f>IFERROR(__xludf.DUMMYFUNCTION("""COMPUTED_VALUE"""),"debit")</f>
        <v>debit</v>
      </c>
      <c r="AH225" s="253">
        <f>IFERROR(__xludf.DUMMYFUNCTION("""COMPUTED_VALUE"""),86742.48)</f>
        <v>86742.48</v>
      </c>
      <c r="AI225" s="251" t="str">
        <f>IFERROR(__xludf.DUMMYFUNCTION("""COMPUTED_VALUE"""),"cash_isa")</f>
        <v>cash_isa</v>
      </c>
      <c r="AJ225" s="251" t="str">
        <f>IFERROR(__xludf.DUMMYFUNCTION("""COMPUTED_VALUE"""),"9bc00e6b-ce5f-48c5-ae3a-1baabe00f337")</f>
        <v>9bc00e6b-ce5f-48c5-ae3a-1baabe00f337</v>
      </c>
      <c r="AK225" s="251" t="str">
        <f>IFERROR(__xludf.DUMMYFUNCTION("""COMPUTED_VALUE"""),"df09bf35-5a73-4694-9ad1-5790d208239c")</f>
        <v>df09bf35-5a73-4694-9ad1-5790d208239c</v>
      </c>
      <c r="AL225" s="251"/>
      <c r="AM225" s="251"/>
      <c r="AN225" s="251"/>
      <c r="AO225" s="251"/>
      <c r="AP225" s="261"/>
      <c r="AR225" s="251" t="str">
        <f t="shared" si="1"/>
        <v>86742.48_debit</v>
      </c>
      <c r="AS225" s="251" t="str">
        <f t="shared" si="2"/>
        <v>DROP</v>
      </c>
      <c r="AT225" s="247"/>
    </row>
    <row r="226">
      <c r="A226" s="262" t="s">
        <v>165</v>
      </c>
      <c r="B226" s="262" t="s">
        <v>600</v>
      </c>
      <c r="C226" s="263">
        <v>46189.53119212963</v>
      </c>
      <c r="D226" s="262" t="s">
        <v>265</v>
      </c>
      <c r="E226" s="264">
        <v>18908.92</v>
      </c>
      <c r="F226" s="262" t="s">
        <v>169</v>
      </c>
      <c r="G226" s="262" t="s">
        <v>170</v>
      </c>
      <c r="H226" s="262" t="s">
        <v>596</v>
      </c>
      <c r="I226" s="265"/>
      <c r="J226" s="265"/>
      <c r="K226" s="270"/>
      <c r="L226" s="265"/>
      <c r="M226" s="271"/>
      <c r="O226" s="247"/>
      <c r="AC226" s="247"/>
      <c r="AD226" s="251" t="str">
        <f>IFERROR(__xludf.DUMMYFUNCTION("""COMPUTED_VALUE"""),"73df5aae-f42a-49a0-9d8f-616ca6dbebaa")</f>
        <v>73df5aae-f42a-49a0-9d8f-616ca6dbebaa</v>
      </c>
      <c r="AE226" s="251" t="str">
        <f>IFERROR(__xludf.DUMMYFUNCTION("""COMPUTED_VALUE"""),"019ed072-5798-7968-b644-a22dbcd35d59")</f>
        <v>019ed072-5798-7968-b644-a22dbcd35d59</v>
      </c>
      <c r="AF226" s="261">
        <f>IFERROR(__xludf.DUMMYFUNCTION("""COMPUTED_VALUE"""),46189.52795138889)</f>
        <v>46189.52795</v>
      </c>
      <c r="AG226" s="251" t="str">
        <f>IFERROR(__xludf.DUMMYFUNCTION("""COMPUTED_VALUE"""),"credit")</f>
        <v>credit</v>
      </c>
      <c r="AH226" s="253">
        <f>IFERROR(__xludf.DUMMYFUNCTION("""COMPUTED_VALUE"""),41749.61)</f>
        <v>41749.61</v>
      </c>
      <c r="AI226" s="251" t="str">
        <f>IFERROR(__xludf.DUMMYFUNCTION("""COMPUTED_VALUE"""),"cash_isa")</f>
        <v>cash_isa</v>
      </c>
      <c r="AJ226" s="251" t="str">
        <f>IFERROR(__xludf.DUMMYFUNCTION("""COMPUTED_VALUE"""),"9bc00e6b-ce5f-48c5-ae3a-1baabe00f337")</f>
        <v>9bc00e6b-ce5f-48c5-ae3a-1baabe00f337</v>
      </c>
      <c r="AK226" s="251" t="str">
        <f>IFERROR(__xludf.DUMMYFUNCTION("""COMPUTED_VALUE"""),"fef64c80-0ea4-4c44-814d-028d3ee386e3")</f>
        <v>fef64c80-0ea4-4c44-814d-028d3ee386e3</v>
      </c>
      <c r="AL226" s="251"/>
      <c r="AM226" s="251"/>
      <c r="AN226" s="251"/>
      <c r="AO226" s="251"/>
      <c r="AP226" s="261"/>
      <c r="AR226" s="251" t="str">
        <f t="shared" si="1"/>
        <v>41749.61_credit</v>
      </c>
      <c r="AS226" s="251" t="str">
        <f t="shared" si="2"/>
        <v>DROP</v>
      </c>
      <c r="AT226" s="247"/>
    </row>
    <row r="227">
      <c r="A227" s="255" t="s">
        <v>165</v>
      </c>
      <c r="B227" s="255" t="s">
        <v>601</v>
      </c>
      <c r="C227" s="256">
        <v>46189.5318287037</v>
      </c>
      <c r="D227" s="255" t="s">
        <v>167</v>
      </c>
      <c r="E227" s="257">
        <v>10385.68</v>
      </c>
      <c r="F227" s="255" t="s">
        <v>169</v>
      </c>
      <c r="G227" s="255" t="s">
        <v>170</v>
      </c>
      <c r="H227" s="255" t="s">
        <v>602</v>
      </c>
      <c r="I227" s="258"/>
      <c r="J227" s="258"/>
      <c r="K227" s="268"/>
      <c r="L227" s="258"/>
      <c r="M227" s="269"/>
      <c r="O227" s="247"/>
      <c r="AC227" s="247"/>
      <c r="AD227" s="251" t="str">
        <f>IFERROR(__xludf.DUMMYFUNCTION("""COMPUTED_VALUE"""),"73df5aae-f42a-49a0-9d8f-616ca6dbebaa")</f>
        <v>73df5aae-f42a-49a0-9d8f-616ca6dbebaa</v>
      </c>
      <c r="AE227" s="251" t="str">
        <f>IFERROR(__xludf.DUMMYFUNCTION("""COMPUTED_VALUE"""),"019ed072-772f-74e1-8974-d449a712857f")</f>
        <v>019ed072-772f-74e1-8974-d449a712857f</v>
      </c>
      <c r="AF227" s="261">
        <f>IFERROR(__xludf.DUMMYFUNCTION("""COMPUTED_VALUE"""),46189.52804398148)</f>
        <v>46189.52804</v>
      </c>
      <c r="AG227" s="251" t="str">
        <f>IFERROR(__xludf.DUMMYFUNCTION("""COMPUTED_VALUE"""),"credit")</f>
        <v>credit</v>
      </c>
      <c r="AH227" s="253">
        <f>IFERROR(__xludf.DUMMYFUNCTION("""COMPUTED_VALUE"""),29971.49)</f>
        <v>29971.49</v>
      </c>
      <c r="AI227" s="251" t="str">
        <f>IFERROR(__xludf.DUMMYFUNCTION("""COMPUTED_VALUE"""),"cash_isa")</f>
        <v>cash_isa</v>
      </c>
      <c r="AJ227" s="251" t="str">
        <f>IFERROR(__xludf.DUMMYFUNCTION("""COMPUTED_VALUE"""),"9bc00e6b-ce5f-48c5-ae3a-1baabe00f337")</f>
        <v>9bc00e6b-ce5f-48c5-ae3a-1baabe00f337</v>
      </c>
      <c r="AK227" s="251" t="str">
        <f>IFERROR(__xludf.DUMMYFUNCTION("""COMPUTED_VALUE"""),"1fc37854-e7db-4acc-bc99-4a175f9c1f08")</f>
        <v>1fc37854-e7db-4acc-bc99-4a175f9c1f08</v>
      </c>
      <c r="AL227" s="251"/>
      <c r="AM227" s="251"/>
      <c r="AN227" s="251"/>
      <c r="AO227" s="251"/>
      <c r="AP227" s="261"/>
      <c r="AR227" s="251" t="str">
        <f t="shared" si="1"/>
        <v>29971.49_credit</v>
      </c>
      <c r="AS227" s="251" t="str">
        <f t="shared" si="2"/>
        <v>DROP</v>
      </c>
      <c r="AT227" s="247"/>
    </row>
    <row r="228">
      <c r="A228" s="262" t="s">
        <v>165</v>
      </c>
      <c r="B228" s="262" t="s">
        <v>603</v>
      </c>
      <c r="C228" s="263">
        <v>46189.53226851852</v>
      </c>
      <c r="D228" s="262" t="s">
        <v>265</v>
      </c>
      <c r="E228" s="264">
        <v>20364.43</v>
      </c>
      <c r="F228" s="262" t="s">
        <v>169</v>
      </c>
      <c r="G228" s="262" t="s">
        <v>170</v>
      </c>
      <c r="H228" s="262" t="s">
        <v>599</v>
      </c>
      <c r="I228" s="265"/>
      <c r="J228" s="265"/>
      <c r="K228" s="270"/>
      <c r="L228" s="265"/>
      <c r="M228" s="271"/>
      <c r="O228" s="247"/>
      <c r="AC228" s="247"/>
      <c r="AD228" s="251" t="str">
        <f>IFERROR(__xludf.DUMMYFUNCTION("""COMPUTED_VALUE"""),"73df5aae-f42a-49a0-9d8f-616ca6dbebaa")</f>
        <v>73df5aae-f42a-49a0-9d8f-616ca6dbebaa</v>
      </c>
      <c r="AE228" s="251" t="str">
        <f>IFERROR(__xludf.DUMMYFUNCTION("""COMPUTED_VALUE"""),"019ed073-e5c2-7bfc-a00e-49d315d85512")</f>
        <v>019ed073-e5c2-7bfc-a00e-49d315d85512</v>
      </c>
      <c r="AF228" s="261">
        <f>IFERROR(__xludf.DUMMYFUNCTION("""COMPUTED_VALUE"""),46189.529131944444)</f>
        <v>46189.52913</v>
      </c>
      <c r="AG228" s="251" t="str">
        <f>IFERROR(__xludf.DUMMYFUNCTION("""COMPUTED_VALUE"""),"credit")</f>
        <v>credit</v>
      </c>
      <c r="AH228" s="253">
        <f>IFERROR(__xludf.DUMMYFUNCTION("""COMPUTED_VALUE"""),20000.0)</f>
        <v>20000</v>
      </c>
      <c r="AI228" s="251" t="str">
        <f>IFERROR(__xludf.DUMMYFUNCTION("""COMPUTED_VALUE"""),"cash_isa")</f>
        <v>cash_isa</v>
      </c>
      <c r="AJ228" s="251" t="str">
        <f>IFERROR(__xludf.DUMMYFUNCTION("""COMPUTED_VALUE"""),"9bc00e6b-ce5f-48c5-ae3a-1baabe00f337")</f>
        <v>9bc00e6b-ce5f-48c5-ae3a-1baabe00f337</v>
      </c>
      <c r="AK228" s="251" t="str">
        <f>IFERROR(__xludf.DUMMYFUNCTION("""COMPUTED_VALUE"""),"0f34ca27-d8d0-4733-85d4-99ff8e9f070a")</f>
        <v>0f34ca27-d8d0-4733-85d4-99ff8e9f070a</v>
      </c>
      <c r="AL228" s="251"/>
      <c r="AM228" s="251"/>
      <c r="AN228" s="251"/>
      <c r="AO228" s="251"/>
      <c r="AP228" s="261"/>
      <c r="AR228" s="251" t="str">
        <f t="shared" si="1"/>
        <v>20000_credit</v>
      </c>
      <c r="AS228" s="251" t="str">
        <f t="shared" si="2"/>
        <v>DROP</v>
      </c>
      <c r="AT228" s="247"/>
    </row>
    <row r="229">
      <c r="A229" s="255" t="s">
        <v>165</v>
      </c>
      <c r="B229" s="255" t="s">
        <v>604</v>
      </c>
      <c r="C229" s="256">
        <v>46189.53331018519</v>
      </c>
      <c r="D229" s="255" t="s">
        <v>265</v>
      </c>
      <c r="E229" s="257">
        <v>10385.68</v>
      </c>
      <c r="F229" s="255" t="s">
        <v>169</v>
      </c>
      <c r="G229" s="255" t="s">
        <v>170</v>
      </c>
      <c r="H229" s="255" t="s">
        <v>602</v>
      </c>
      <c r="I229" s="258"/>
      <c r="J229" s="258"/>
      <c r="K229" s="268"/>
      <c r="L229" s="258"/>
      <c r="M229" s="269"/>
      <c r="O229" s="247"/>
      <c r="AC229" s="247"/>
      <c r="AD229" s="251" t="str">
        <f>IFERROR(__xludf.DUMMYFUNCTION("""COMPUTED_VALUE"""),"73df5aae-f42a-49a0-9d8f-616ca6dbebaa")</f>
        <v>73df5aae-f42a-49a0-9d8f-616ca6dbebaa</v>
      </c>
      <c r="AE229" s="251" t="str">
        <f>IFERROR(__xludf.DUMMYFUNCTION("""COMPUTED_VALUE"""),"019ed074-ec2b-7b5b-9138-1ccd23a6cd3c")</f>
        <v>019ed074-ec2b-7b5b-9138-1ccd23a6cd3c</v>
      </c>
      <c r="AF229" s="261">
        <f>IFERROR(__xludf.DUMMYFUNCTION("""COMPUTED_VALUE"""),46189.52990740741)</f>
        <v>46189.52991</v>
      </c>
      <c r="AG229" s="251" t="str">
        <f>IFERROR(__xludf.DUMMYFUNCTION("""COMPUTED_VALUE"""),"debit")</f>
        <v>debit</v>
      </c>
      <c r="AH229" s="253">
        <f>IFERROR(__xludf.DUMMYFUNCTION("""COMPUTED_VALUE"""),41749.61)</f>
        <v>41749.61</v>
      </c>
      <c r="AI229" s="251" t="str">
        <f>IFERROR(__xludf.DUMMYFUNCTION("""COMPUTED_VALUE"""),"cash_isa")</f>
        <v>cash_isa</v>
      </c>
      <c r="AJ229" s="251" t="str">
        <f>IFERROR(__xludf.DUMMYFUNCTION("""COMPUTED_VALUE"""),"9bc00e6b-ce5f-48c5-ae3a-1baabe00f337")</f>
        <v>9bc00e6b-ce5f-48c5-ae3a-1baabe00f337</v>
      </c>
      <c r="AK229" s="251" t="str">
        <f>IFERROR(__xludf.DUMMYFUNCTION("""COMPUTED_VALUE"""),"fef64c80-0ea4-4c44-814d-028d3ee386e3")</f>
        <v>fef64c80-0ea4-4c44-814d-028d3ee386e3</v>
      </c>
      <c r="AL229" s="251"/>
      <c r="AM229" s="251"/>
      <c r="AN229" s="251"/>
      <c r="AO229" s="251"/>
      <c r="AP229" s="261"/>
      <c r="AR229" s="251" t="str">
        <f t="shared" si="1"/>
        <v>41749.61_debit</v>
      </c>
      <c r="AS229" s="251" t="str">
        <f t="shared" si="2"/>
        <v>DROP</v>
      </c>
      <c r="AT229" s="247"/>
    </row>
    <row r="230">
      <c r="A230" s="262" t="s">
        <v>165</v>
      </c>
      <c r="B230" s="262" t="s">
        <v>605</v>
      </c>
      <c r="C230" s="263">
        <v>46189.53377314815</v>
      </c>
      <c r="D230" s="262" t="s">
        <v>167</v>
      </c>
      <c r="E230" s="264">
        <v>12132.17</v>
      </c>
      <c r="F230" s="262" t="s">
        <v>169</v>
      </c>
      <c r="G230" s="262" t="s">
        <v>170</v>
      </c>
      <c r="H230" s="262" t="s">
        <v>606</v>
      </c>
      <c r="I230" s="265"/>
      <c r="J230" s="265"/>
      <c r="K230" s="270"/>
      <c r="L230" s="265"/>
      <c r="M230" s="271"/>
      <c r="O230" s="247"/>
      <c r="AC230" s="247"/>
      <c r="AD230" s="251" t="str">
        <f>IFERROR(__xludf.DUMMYFUNCTION("""COMPUTED_VALUE"""),"73df5aae-f42a-49a0-9d8f-616ca6dbebaa")</f>
        <v>73df5aae-f42a-49a0-9d8f-616ca6dbebaa</v>
      </c>
      <c r="AE230" s="251" t="str">
        <f>IFERROR(__xludf.DUMMYFUNCTION("""COMPUTED_VALUE"""),"019ed075-0cb4-7056-9ad4-2662185f848c")</f>
        <v>019ed075-0cb4-7056-9ad4-2662185f848c</v>
      </c>
      <c r="AF230" s="252">
        <f>IFERROR(__xludf.DUMMYFUNCTION("""COMPUTED_VALUE"""),46189.53)</f>
        <v>46189.53</v>
      </c>
      <c r="AG230" s="251" t="str">
        <f>IFERROR(__xludf.DUMMYFUNCTION("""COMPUTED_VALUE"""),"debit")</f>
        <v>debit</v>
      </c>
      <c r="AH230" s="253">
        <f>IFERROR(__xludf.DUMMYFUNCTION("""COMPUTED_VALUE"""),29971.49)</f>
        <v>29971.49</v>
      </c>
      <c r="AI230" s="251" t="str">
        <f>IFERROR(__xludf.DUMMYFUNCTION("""COMPUTED_VALUE"""),"cash_isa")</f>
        <v>cash_isa</v>
      </c>
      <c r="AJ230" s="251" t="str">
        <f>IFERROR(__xludf.DUMMYFUNCTION("""COMPUTED_VALUE"""),"9bc00e6b-ce5f-48c5-ae3a-1baabe00f337")</f>
        <v>9bc00e6b-ce5f-48c5-ae3a-1baabe00f337</v>
      </c>
      <c r="AK230" s="251" t="str">
        <f>IFERROR(__xludf.DUMMYFUNCTION("""COMPUTED_VALUE"""),"1fc37854-e7db-4acc-bc99-4a175f9c1f08")</f>
        <v>1fc37854-e7db-4acc-bc99-4a175f9c1f08</v>
      </c>
      <c r="AL230" s="251"/>
      <c r="AM230" s="254"/>
      <c r="AN230" s="211"/>
      <c r="AO230" s="251"/>
      <c r="AP230" s="261"/>
      <c r="AR230" s="251" t="str">
        <f t="shared" si="1"/>
        <v>29971.49_debit</v>
      </c>
      <c r="AS230" s="251" t="str">
        <f t="shared" si="2"/>
        <v>DROP</v>
      </c>
      <c r="AT230" s="247"/>
    </row>
    <row r="231">
      <c r="A231" s="255" t="s">
        <v>165</v>
      </c>
      <c r="B231" s="255" t="s">
        <v>607</v>
      </c>
      <c r="C231" s="256">
        <v>46189.534907407404</v>
      </c>
      <c r="D231" s="255" t="s">
        <v>167</v>
      </c>
      <c r="E231" s="257">
        <v>52063.78</v>
      </c>
      <c r="F231" s="255" t="s">
        <v>169</v>
      </c>
      <c r="G231" s="255" t="s">
        <v>170</v>
      </c>
      <c r="H231" s="255" t="s">
        <v>608</v>
      </c>
      <c r="I231" s="258"/>
      <c r="J231" s="258"/>
      <c r="K231" s="268"/>
      <c r="L231" s="258"/>
      <c r="M231" s="269"/>
      <c r="O231" s="247"/>
      <c r="AC231" s="247"/>
      <c r="AD231" s="251" t="str">
        <f>IFERROR(__xludf.DUMMYFUNCTION("""COMPUTED_VALUE"""),"73df5aae-f42a-49a0-9d8f-616ca6dbebaa")</f>
        <v>73df5aae-f42a-49a0-9d8f-616ca6dbebaa</v>
      </c>
      <c r="AE231" s="251" t="str">
        <f>IFERROR(__xludf.DUMMYFUNCTION("""COMPUTED_VALUE"""),"019ed075-193b-73d9-8a3d-db22fd0d0096")</f>
        <v>019ed075-193b-73d9-8a3d-db22fd0d0096</v>
      </c>
      <c r="AF231" s="252">
        <f>IFERROR(__xludf.DUMMYFUNCTION("""COMPUTED_VALUE"""),46189.53004629629)</f>
        <v>46189.53005</v>
      </c>
      <c r="AG231" s="251" t="str">
        <f>IFERROR(__xludf.DUMMYFUNCTION("""COMPUTED_VALUE"""),"credit")</f>
        <v>credit</v>
      </c>
      <c r="AH231" s="253">
        <f>IFERROR(__xludf.DUMMYFUNCTION("""COMPUTED_VALUE"""),18908.92)</f>
        <v>18908.92</v>
      </c>
      <c r="AI231" s="251" t="str">
        <f>IFERROR(__xludf.DUMMYFUNCTION("""COMPUTED_VALUE"""),"cash_isa")</f>
        <v>cash_isa</v>
      </c>
      <c r="AJ231" s="251" t="str">
        <f>IFERROR(__xludf.DUMMYFUNCTION("""COMPUTED_VALUE"""),"9bc00e6b-ce5f-48c5-ae3a-1baabe00f337")</f>
        <v>9bc00e6b-ce5f-48c5-ae3a-1baabe00f337</v>
      </c>
      <c r="AK231" s="251" t="str">
        <f>IFERROR(__xludf.DUMMYFUNCTION("""COMPUTED_VALUE"""),"c916217e-1b28-42a6-bc37-9cf00856689f")</f>
        <v>c916217e-1b28-42a6-bc37-9cf00856689f</v>
      </c>
      <c r="AL231" s="251"/>
      <c r="AM231" s="254"/>
      <c r="AN231" s="211"/>
      <c r="AO231" s="251"/>
      <c r="AP231" s="261"/>
      <c r="AR231" s="251" t="str">
        <f t="shared" si="1"/>
        <v>18908.92_credit</v>
      </c>
      <c r="AS231" s="251" t="str">
        <f t="shared" si="2"/>
        <v>DROP</v>
      </c>
      <c r="AT231" s="247"/>
    </row>
    <row r="232">
      <c r="A232" s="255" t="s">
        <v>165</v>
      </c>
      <c r="B232" s="255" t="s">
        <v>609</v>
      </c>
      <c r="C232" s="256">
        <v>46189.535474537035</v>
      </c>
      <c r="D232" s="255" t="s">
        <v>265</v>
      </c>
      <c r="E232" s="257">
        <v>12132.17</v>
      </c>
      <c r="F232" s="255" t="s">
        <v>169</v>
      </c>
      <c r="G232" s="255" t="s">
        <v>170</v>
      </c>
      <c r="H232" s="255" t="s">
        <v>606</v>
      </c>
      <c r="I232" s="258"/>
      <c r="J232" s="258"/>
      <c r="K232" s="268"/>
      <c r="L232" s="258"/>
      <c r="M232" s="269"/>
      <c r="O232" s="247"/>
      <c r="AC232" s="247"/>
      <c r="AD232" s="251" t="str">
        <f>IFERROR(__xludf.DUMMYFUNCTION("""COMPUTED_VALUE"""),"73df5aae-f42a-49a0-9d8f-616ca6dbebaa")</f>
        <v>73df5aae-f42a-49a0-9d8f-616ca6dbebaa</v>
      </c>
      <c r="AE232" s="251" t="str">
        <f>IFERROR(__xludf.DUMMYFUNCTION("""COMPUTED_VALUE"""),"019ed075-a557-7c94-b2fc-b04cb5205740")</f>
        <v>019ed075-a557-7c94-b2fc-b04cb5205740</v>
      </c>
      <c r="AF232" s="252">
        <f>IFERROR(__xludf.DUMMYFUNCTION("""COMPUTED_VALUE"""),46189.53046296297)</f>
        <v>46189.53046</v>
      </c>
      <c r="AG232" s="251" t="str">
        <f>IFERROR(__xludf.DUMMYFUNCTION("""COMPUTED_VALUE"""),"debit")</f>
        <v>debit</v>
      </c>
      <c r="AH232" s="253">
        <f>IFERROR(__xludf.DUMMYFUNCTION("""COMPUTED_VALUE"""),20000.0)</f>
        <v>20000</v>
      </c>
      <c r="AI232" s="251" t="str">
        <f>IFERROR(__xludf.DUMMYFUNCTION("""COMPUTED_VALUE"""),"cash_isa")</f>
        <v>cash_isa</v>
      </c>
      <c r="AJ232" s="251" t="str">
        <f>IFERROR(__xludf.DUMMYFUNCTION("""COMPUTED_VALUE"""),"9bc00e6b-ce5f-48c5-ae3a-1baabe00f337")</f>
        <v>9bc00e6b-ce5f-48c5-ae3a-1baabe00f337</v>
      </c>
      <c r="AK232" s="251" t="str">
        <f>IFERROR(__xludf.DUMMYFUNCTION("""COMPUTED_VALUE"""),"0f34ca27-d8d0-4733-85d4-99ff8e9f070a")</f>
        <v>0f34ca27-d8d0-4733-85d4-99ff8e9f070a</v>
      </c>
      <c r="AL232" s="251"/>
      <c r="AM232" s="254"/>
      <c r="AN232" s="211"/>
      <c r="AO232" s="251"/>
      <c r="AP232" s="261"/>
      <c r="AR232" s="251" t="str">
        <f t="shared" si="1"/>
        <v>20000_debit</v>
      </c>
      <c r="AS232" s="251" t="str">
        <f t="shared" si="2"/>
        <v>DROP</v>
      </c>
      <c r="AT232" s="247"/>
    </row>
    <row r="233">
      <c r="A233" s="262" t="s">
        <v>165</v>
      </c>
      <c r="B233" s="262" t="s">
        <v>610</v>
      </c>
      <c r="C233" s="263">
        <v>46189.53616898148</v>
      </c>
      <c r="D233" s="262" t="s">
        <v>265</v>
      </c>
      <c r="E233" s="264">
        <v>52063.78</v>
      </c>
      <c r="F233" s="262" t="s">
        <v>169</v>
      </c>
      <c r="G233" s="262" t="s">
        <v>170</v>
      </c>
      <c r="H233" s="262" t="s">
        <v>608</v>
      </c>
      <c r="I233" s="265"/>
      <c r="J233" s="265"/>
      <c r="K233" s="270"/>
      <c r="L233" s="265"/>
      <c r="M233" s="271"/>
      <c r="O233" s="247"/>
      <c r="AC233" s="247"/>
      <c r="AD233" s="251" t="str">
        <f>IFERROR(__xludf.DUMMYFUNCTION("""COMPUTED_VALUE"""),"73df5aae-f42a-49a0-9d8f-616ca6dbebaa")</f>
        <v>73df5aae-f42a-49a0-9d8f-616ca6dbebaa</v>
      </c>
      <c r="AE233" s="251" t="str">
        <f>IFERROR(__xludf.DUMMYFUNCTION("""COMPUTED_VALUE"""),"019ed076-92b7-7aa0-b829-0155c9af6fc2")</f>
        <v>019ed076-92b7-7aa0-b829-0155c9af6fc2</v>
      </c>
      <c r="AF233" s="252">
        <f>IFERROR(__xludf.DUMMYFUNCTION("""COMPUTED_VALUE"""),46189.53115740741)</f>
        <v>46189.53116</v>
      </c>
      <c r="AG233" s="251" t="str">
        <f>IFERROR(__xludf.DUMMYFUNCTION("""COMPUTED_VALUE"""),"credit")</f>
        <v>credit</v>
      </c>
      <c r="AH233" s="253">
        <f>IFERROR(__xludf.DUMMYFUNCTION("""COMPUTED_VALUE"""),20364.43)</f>
        <v>20364.43</v>
      </c>
      <c r="AI233" s="251" t="str">
        <f>IFERROR(__xludf.DUMMYFUNCTION("""COMPUTED_VALUE"""),"cash_isa")</f>
        <v>cash_isa</v>
      </c>
      <c r="AJ233" s="251" t="str">
        <f>IFERROR(__xludf.DUMMYFUNCTION("""COMPUTED_VALUE"""),"9bc00e6b-ce5f-48c5-ae3a-1baabe00f337")</f>
        <v>9bc00e6b-ce5f-48c5-ae3a-1baabe00f337</v>
      </c>
      <c r="AK233" s="251" t="str">
        <f>IFERROR(__xludf.DUMMYFUNCTION("""COMPUTED_VALUE"""),"bd0efc3d-6879-422e-a24f-07895f8fd51a")</f>
        <v>bd0efc3d-6879-422e-a24f-07895f8fd51a</v>
      </c>
      <c r="AL233" s="251"/>
      <c r="AM233" s="254"/>
      <c r="AN233" s="211"/>
      <c r="AO233" s="251"/>
      <c r="AP233" s="261"/>
      <c r="AR233" s="251" t="str">
        <f t="shared" si="1"/>
        <v>20364.43_credit</v>
      </c>
      <c r="AS233" s="251" t="str">
        <f t="shared" si="2"/>
        <v>DROP</v>
      </c>
      <c r="AT233" s="247"/>
    </row>
    <row r="234">
      <c r="A234" s="262" t="s">
        <v>165</v>
      </c>
      <c r="B234" s="262" t="s">
        <v>611</v>
      </c>
      <c r="C234" s="263">
        <v>46189.53701388889</v>
      </c>
      <c r="D234" s="262" t="s">
        <v>167</v>
      </c>
      <c r="E234" s="264">
        <v>24172.49</v>
      </c>
      <c r="F234" s="262" t="s">
        <v>169</v>
      </c>
      <c r="G234" s="262" t="s">
        <v>170</v>
      </c>
      <c r="H234" s="262" t="s">
        <v>612</v>
      </c>
      <c r="I234" s="265"/>
      <c r="J234" s="265"/>
      <c r="K234" s="266"/>
      <c r="L234" s="265"/>
      <c r="M234" s="267"/>
      <c r="O234" s="247"/>
      <c r="AC234" s="247"/>
      <c r="AD234" s="251" t="str">
        <f>IFERROR(__xludf.DUMMYFUNCTION("""COMPUTED_VALUE"""),"73df5aae-f42a-49a0-9d8f-616ca6dbebaa")</f>
        <v>73df5aae-f42a-49a0-9d8f-616ca6dbebaa</v>
      </c>
      <c r="AE234" s="251" t="str">
        <f>IFERROR(__xludf.DUMMYFUNCTION("""COMPUTED_VALUE"""),"019ed076-9c21-7bac-9c14-94e96ce5a25f")</f>
        <v>019ed076-9c21-7bac-9c14-94e96ce5a25f</v>
      </c>
      <c r="AF234" s="252">
        <f>IFERROR(__xludf.DUMMYFUNCTION("""COMPUTED_VALUE"""),46189.53119212963)</f>
        <v>46189.53119</v>
      </c>
      <c r="AG234" s="251" t="str">
        <f>IFERROR(__xludf.DUMMYFUNCTION("""COMPUTED_VALUE"""),"debit")</f>
        <v>debit</v>
      </c>
      <c r="AH234" s="253">
        <f>IFERROR(__xludf.DUMMYFUNCTION("""COMPUTED_VALUE"""),18908.92)</f>
        <v>18908.92</v>
      </c>
      <c r="AI234" s="251" t="str">
        <f>IFERROR(__xludf.DUMMYFUNCTION("""COMPUTED_VALUE"""),"cash_isa")</f>
        <v>cash_isa</v>
      </c>
      <c r="AJ234" s="251" t="str">
        <f>IFERROR(__xludf.DUMMYFUNCTION("""COMPUTED_VALUE"""),"9bc00e6b-ce5f-48c5-ae3a-1baabe00f337")</f>
        <v>9bc00e6b-ce5f-48c5-ae3a-1baabe00f337</v>
      </c>
      <c r="AK234" s="251" t="str">
        <f>IFERROR(__xludf.DUMMYFUNCTION("""COMPUTED_VALUE"""),"c916217e-1b28-42a6-bc37-9cf00856689f")</f>
        <v>c916217e-1b28-42a6-bc37-9cf00856689f</v>
      </c>
      <c r="AL234" s="251"/>
      <c r="AM234" s="254"/>
      <c r="AN234" s="211"/>
      <c r="AO234" s="251"/>
      <c r="AP234" s="261"/>
      <c r="AR234" s="251" t="str">
        <f t="shared" si="1"/>
        <v>18908.92_debit</v>
      </c>
      <c r="AS234" s="251" t="str">
        <f t="shared" si="2"/>
        <v>DROP</v>
      </c>
      <c r="AT234" s="247"/>
    </row>
    <row r="235">
      <c r="A235" s="255" t="s">
        <v>165</v>
      </c>
      <c r="B235" s="255" t="s">
        <v>613</v>
      </c>
      <c r="C235" s="256">
        <v>46189.53775462963</v>
      </c>
      <c r="D235" s="255" t="s">
        <v>167</v>
      </c>
      <c r="E235" s="257">
        <v>1020.67</v>
      </c>
      <c r="F235" s="255" t="s">
        <v>169</v>
      </c>
      <c r="G235" s="255" t="s">
        <v>170</v>
      </c>
      <c r="H235" s="255" t="s">
        <v>614</v>
      </c>
      <c r="I235" s="255"/>
      <c r="J235" s="255"/>
      <c r="K235" s="272"/>
      <c r="L235" s="255"/>
      <c r="M235" s="273"/>
      <c r="O235" s="247"/>
      <c r="AC235" s="247"/>
      <c r="AD235" s="251" t="str">
        <f>IFERROR(__xludf.DUMMYFUNCTION("""COMPUTED_VALUE"""),"73df5aae-f42a-49a0-9d8f-616ca6dbebaa")</f>
        <v>73df5aae-f42a-49a0-9d8f-616ca6dbebaa</v>
      </c>
      <c r="AE235" s="251" t="str">
        <f>IFERROR(__xludf.DUMMYFUNCTION("""COMPUTED_VALUE"""),"019ed077-74c2-788e-96ab-e1cf9029f8eb")</f>
        <v>019ed077-74c2-788e-96ab-e1cf9029f8eb</v>
      </c>
      <c r="AF235" s="252">
        <f>IFERROR(__xludf.DUMMYFUNCTION("""COMPUTED_VALUE"""),46189.53182870371)</f>
        <v>46189.53183</v>
      </c>
      <c r="AG235" s="251" t="str">
        <f>IFERROR(__xludf.DUMMYFUNCTION("""COMPUTED_VALUE"""),"credit")</f>
        <v>credit</v>
      </c>
      <c r="AH235" s="253">
        <f>IFERROR(__xludf.DUMMYFUNCTION("""COMPUTED_VALUE"""),10385.68)</f>
        <v>10385.68</v>
      </c>
      <c r="AI235" s="251" t="str">
        <f>IFERROR(__xludf.DUMMYFUNCTION("""COMPUTED_VALUE"""),"cash_isa")</f>
        <v>cash_isa</v>
      </c>
      <c r="AJ235" s="251" t="str">
        <f>IFERROR(__xludf.DUMMYFUNCTION("""COMPUTED_VALUE"""),"9bc00e6b-ce5f-48c5-ae3a-1baabe00f337")</f>
        <v>9bc00e6b-ce5f-48c5-ae3a-1baabe00f337</v>
      </c>
      <c r="AK235" s="251" t="str">
        <f>IFERROR(__xludf.DUMMYFUNCTION("""COMPUTED_VALUE"""),"292859f5-5a84-453d-a06d-407ddcaae2fd")</f>
        <v>292859f5-5a84-453d-a06d-407ddcaae2fd</v>
      </c>
      <c r="AL235" s="251"/>
      <c r="AM235" s="254"/>
      <c r="AN235" s="211"/>
      <c r="AO235" s="251"/>
      <c r="AP235" s="261"/>
      <c r="AR235" s="251" t="str">
        <f t="shared" si="1"/>
        <v>10385.68_credit</v>
      </c>
      <c r="AS235" s="251" t="str">
        <f t="shared" si="2"/>
        <v>DROP</v>
      </c>
      <c r="AT235" s="247"/>
    </row>
    <row r="236">
      <c r="A236" s="262" t="s">
        <v>165</v>
      </c>
      <c r="B236" s="262" t="s">
        <v>615</v>
      </c>
      <c r="C236" s="263">
        <v>46189.53833333333</v>
      </c>
      <c r="D236" s="262" t="s">
        <v>265</v>
      </c>
      <c r="E236" s="264">
        <v>24172.49</v>
      </c>
      <c r="F236" s="262" t="s">
        <v>169</v>
      </c>
      <c r="G236" s="262" t="s">
        <v>170</v>
      </c>
      <c r="H236" s="262" t="s">
        <v>612</v>
      </c>
      <c r="I236" s="262"/>
      <c r="J236" s="262"/>
      <c r="K236" s="274"/>
      <c r="L236" s="262"/>
      <c r="M236" s="275"/>
      <c r="O236" s="247"/>
      <c r="AC236" s="247"/>
      <c r="AD236" s="251" t="str">
        <f>IFERROR(__xludf.DUMMYFUNCTION("""COMPUTED_VALUE"""),"73df5aae-f42a-49a0-9d8f-616ca6dbebaa")</f>
        <v>73df5aae-f42a-49a0-9d8f-616ca6dbebaa</v>
      </c>
      <c r="AE236" s="251" t="str">
        <f>IFERROR(__xludf.DUMMYFUNCTION("""COMPUTED_VALUE"""),"019ed078-0856-7dcf-8912-89af69941005")</f>
        <v>019ed078-0856-7dcf-8912-89af69941005</v>
      </c>
      <c r="AF236" s="252">
        <f>IFERROR(__xludf.DUMMYFUNCTION("""COMPUTED_VALUE"""),46189.532268518524)</f>
        <v>46189.53227</v>
      </c>
      <c r="AG236" s="251" t="str">
        <f>IFERROR(__xludf.DUMMYFUNCTION("""COMPUTED_VALUE"""),"debit")</f>
        <v>debit</v>
      </c>
      <c r="AH236" s="253">
        <f>IFERROR(__xludf.DUMMYFUNCTION("""COMPUTED_VALUE"""),20364.43)</f>
        <v>20364.43</v>
      </c>
      <c r="AI236" s="251" t="str">
        <f>IFERROR(__xludf.DUMMYFUNCTION("""COMPUTED_VALUE"""),"cash_isa")</f>
        <v>cash_isa</v>
      </c>
      <c r="AJ236" s="251" t="str">
        <f>IFERROR(__xludf.DUMMYFUNCTION("""COMPUTED_VALUE"""),"9bc00e6b-ce5f-48c5-ae3a-1baabe00f337")</f>
        <v>9bc00e6b-ce5f-48c5-ae3a-1baabe00f337</v>
      </c>
      <c r="AK236" s="251" t="str">
        <f>IFERROR(__xludf.DUMMYFUNCTION("""COMPUTED_VALUE"""),"bd0efc3d-6879-422e-a24f-07895f8fd51a")</f>
        <v>bd0efc3d-6879-422e-a24f-07895f8fd51a</v>
      </c>
      <c r="AL236" s="251"/>
      <c r="AM236" s="254"/>
      <c r="AN236" s="211"/>
      <c r="AO236" s="251"/>
      <c r="AP236" s="261"/>
      <c r="AR236" s="251" t="str">
        <f t="shared" si="1"/>
        <v>20364.43_debit</v>
      </c>
      <c r="AS236" s="251" t="str">
        <f t="shared" si="2"/>
        <v>DROP</v>
      </c>
      <c r="AT236" s="247"/>
    </row>
    <row r="237">
      <c r="A237" s="255" t="s">
        <v>165</v>
      </c>
      <c r="B237" s="255" t="s">
        <v>616</v>
      </c>
      <c r="C237" s="256">
        <v>46189.53895833333</v>
      </c>
      <c r="D237" s="255" t="s">
        <v>265</v>
      </c>
      <c r="E237" s="257">
        <v>39538.77</v>
      </c>
      <c r="F237" s="255" t="s">
        <v>169</v>
      </c>
      <c r="G237" s="255" t="s">
        <v>170</v>
      </c>
      <c r="H237" s="255" t="s">
        <v>617</v>
      </c>
      <c r="I237" s="255"/>
      <c r="J237" s="255"/>
      <c r="K237" s="272"/>
      <c r="L237" s="255"/>
      <c r="M237" s="273"/>
      <c r="O237" s="247"/>
      <c r="AC237" s="247"/>
      <c r="AD237" s="251" t="str">
        <f>IFERROR(__xludf.DUMMYFUNCTION("""COMPUTED_VALUE"""),"73df5aae-f42a-49a0-9d8f-616ca6dbebaa")</f>
        <v>73df5aae-f42a-49a0-9d8f-616ca6dbebaa</v>
      </c>
      <c r="AE237" s="251" t="str">
        <f>IFERROR(__xludf.DUMMYFUNCTION("""COMPUTED_VALUE"""),"019ed079-67d2-77d2-a69b-39b4b4105f4f")</f>
        <v>019ed079-67d2-77d2-a69b-39b4b4105f4f</v>
      </c>
      <c r="AF237" s="252">
        <f>IFERROR(__xludf.DUMMYFUNCTION("""COMPUTED_VALUE"""),46189.53331018519)</f>
        <v>46189.53331</v>
      </c>
      <c r="AG237" s="251" t="str">
        <f>IFERROR(__xludf.DUMMYFUNCTION("""COMPUTED_VALUE"""),"debit")</f>
        <v>debit</v>
      </c>
      <c r="AH237" s="253">
        <f>IFERROR(__xludf.DUMMYFUNCTION("""COMPUTED_VALUE"""),10385.68)</f>
        <v>10385.68</v>
      </c>
      <c r="AI237" s="251" t="str">
        <f>IFERROR(__xludf.DUMMYFUNCTION("""COMPUTED_VALUE"""),"cash_isa")</f>
        <v>cash_isa</v>
      </c>
      <c r="AJ237" s="251" t="str">
        <f>IFERROR(__xludf.DUMMYFUNCTION("""COMPUTED_VALUE"""),"9bc00e6b-ce5f-48c5-ae3a-1baabe00f337")</f>
        <v>9bc00e6b-ce5f-48c5-ae3a-1baabe00f337</v>
      </c>
      <c r="AK237" s="251" t="str">
        <f>IFERROR(__xludf.DUMMYFUNCTION("""COMPUTED_VALUE"""),"292859f5-5a84-453d-a06d-407ddcaae2fd")</f>
        <v>292859f5-5a84-453d-a06d-407ddcaae2fd</v>
      </c>
      <c r="AL237" s="251"/>
      <c r="AM237" s="254"/>
      <c r="AN237" s="211"/>
      <c r="AO237" s="251"/>
      <c r="AP237" s="261"/>
      <c r="AR237" s="251" t="str">
        <f t="shared" si="1"/>
        <v>10385.68_debit</v>
      </c>
      <c r="AS237" s="251" t="str">
        <f t="shared" si="2"/>
        <v>DROP</v>
      </c>
      <c r="AT237" s="247"/>
    </row>
    <row r="238">
      <c r="A238" s="262" t="s">
        <v>165</v>
      </c>
      <c r="B238" s="262" t="s">
        <v>618</v>
      </c>
      <c r="C238" s="263">
        <v>46189.539351851854</v>
      </c>
      <c r="D238" s="262" t="s">
        <v>167</v>
      </c>
      <c r="E238" s="264">
        <v>20080.85</v>
      </c>
      <c r="F238" s="262" t="s">
        <v>169</v>
      </c>
      <c r="G238" s="262" t="s">
        <v>170</v>
      </c>
      <c r="H238" s="262" t="s">
        <v>619</v>
      </c>
      <c r="I238" s="262"/>
      <c r="J238" s="262"/>
      <c r="K238" s="274"/>
      <c r="L238" s="262"/>
      <c r="M238" s="275"/>
      <c r="O238" s="247"/>
      <c r="AC238" s="247"/>
      <c r="AD238" s="251" t="str">
        <f>IFERROR(__xludf.DUMMYFUNCTION("""COMPUTED_VALUE"""),"73df5aae-f42a-49a0-9d8f-616ca6dbebaa")</f>
        <v>73df5aae-f42a-49a0-9d8f-616ca6dbebaa</v>
      </c>
      <c r="AE238" s="251" t="str">
        <f>IFERROR(__xludf.DUMMYFUNCTION("""COMPUTED_VALUE"""),"019ed07a-0457-7bc1-ac06-70b490c1284f")</f>
        <v>019ed07a-0457-7bc1-ac06-70b490c1284f</v>
      </c>
      <c r="AF238" s="252">
        <f>IFERROR(__xludf.DUMMYFUNCTION("""COMPUTED_VALUE"""),46189.53377314815)</f>
        <v>46189.53377</v>
      </c>
      <c r="AG238" s="251" t="str">
        <f>IFERROR(__xludf.DUMMYFUNCTION("""COMPUTED_VALUE"""),"credit")</f>
        <v>credit</v>
      </c>
      <c r="AH238" s="253">
        <f>IFERROR(__xludf.DUMMYFUNCTION("""COMPUTED_VALUE"""),12132.17)</f>
        <v>12132.17</v>
      </c>
      <c r="AI238" s="251" t="str">
        <f>IFERROR(__xludf.DUMMYFUNCTION("""COMPUTED_VALUE"""),"cash_isa")</f>
        <v>cash_isa</v>
      </c>
      <c r="AJ238" s="251" t="str">
        <f>IFERROR(__xludf.DUMMYFUNCTION("""COMPUTED_VALUE"""),"9bc00e6b-ce5f-48c5-ae3a-1baabe00f337")</f>
        <v>9bc00e6b-ce5f-48c5-ae3a-1baabe00f337</v>
      </c>
      <c r="AK238" s="251" t="str">
        <f>IFERROR(__xludf.DUMMYFUNCTION("""COMPUTED_VALUE"""),"0b3d7800-d5ec-48f7-b3a2-336ba616d2e9")</f>
        <v>0b3d7800-d5ec-48f7-b3a2-336ba616d2e9</v>
      </c>
      <c r="AL238" s="251"/>
      <c r="AM238" s="254"/>
      <c r="AN238" s="211"/>
      <c r="AO238" s="251"/>
      <c r="AP238" s="261"/>
      <c r="AR238" s="251" t="str">
        <f t="shared" si="1"/>
        <v>12132.17_credit</v>
      </c>
      <c r="AS238" s="251" t="str">
        <f t="shared" si="2"/>
        <v>DROP</v>
      </c>
      <c r="AT238" s="247"/>
    </row>
    <row r="239">
      <c r="A239" s="255" t="s">
        <v>165</v>
      </c>
      <c r="B239" s="255" t="s">
        <v>620</v>
      </c>
      <c r="C239" s="256">
        <v>46189.5399537037</v>
      </c>
      <c r="D239" s="255" t="s">
        <v>265</v>
      </c>
      <c r="E239" s="257">
        <v>1020.67</v>
      </c>
      <c r="F239" s="255" t="s">
        <v>169</v>
      </c>
      <c r="G239" s="255" t="s">
        <v>170</v>
      </c>
      <c r="H239" s="255" t="s">
        <v>614</v>
      </c>
      <c r="I239" s="255"/>
      <c r="J239" s="255"/>
      <c r="K239" s="272"/>
      <c r="L239" s="255"/>
      <c r="M239" s="273"/>
      <c r="O239" s="247"/>
      <c r="AC239" s="247"/>
      <c r="AD239" s="251" t="str">
        <f>IFERROR(__xludf.DUMMYFUNCTION("""COMPUTED_VALUE"""),"73df5aae-f42a-49a0-9d8f-616ca6dbebaa")</f>
        <v>73df5aae-f42a-49a0-9d8f-616ca6dbebaa</v>
      </c>
      <c r="AE239" s="251" t="str">
        <f>IFERROR(__xludf.DUMMYFUNCTION("""COMPUTED_VALUE"""),"019ed07b-82f3-77eb-afec-6fda8363c93f")</f>
        <v>019ed07b-82f3-77eb-afec-6fda8363c93f</v>
      </c>
      <c r="AF239" s="252">
        <f>IFERROR(__xludf.DUMMYFUNCTION("""COMPUTED_VALUE"""),46189.534907407404)</f>
        <v>46189.53491</v>
      </c>
      <c r="AG239" s="251" t="str">
        <f>IFERROR(__xludf.DUMMYFUNCTION("""COMPUTED_VALUE"""),"credit")</f>
        <v>credit</v>
      </c>
      <c r="AH239" s="253">
        <f>IFERROR(__xludf.DUMMYFUNCTION("""COMPUTED_VALUE"""),52063.78)</f>
        <v>52063.78</v>
      </c>
      <c r="AI239" s="251" t="str">
        <f>IFERROR(__xludf.DUMMYFUNCTION("""COMPUTED_VALUE"""),"cash_isa")</f>
        <v>cash_isa</v>
      </c>
      <c r="AJ239" s="251" t="str">
        <f>IFERROR(__xludf.DUMMYFUNCTION("""COMPUTED_VALUE"""),"9bc00e6b-ce5f-48c5-ae3a-1baabe00f337")</f>
        <v>9bc00e6b-ce5f-48c5-ae3a-1baabe00f337</v>
      </c>
      <c r="AK239" s="251" t="str">
        <f>IFERROR(__xludf.DUMMYFUNCTION("""COMPUTED_VALUE"""),"8f2c7155-004e-4eed-b683-2d3088325f7d")</f>
        <v>8f2c7155-004e-4eed-b683-2d3088325f7d</v>
      </c>
      <c r="AL239" s="251"/>
      <c r="AM239" s="254"/>
      <c r="AN239" s="211"/>
      <c r="AO239" s="251"/>
      <c r="AP239" s="261"/>
      <c r="AR239" s="251" t="str">
        <f t="shared" si="1"/>
        <v>52063.78_credit</v>
      </c>
      <c r="AS239" s="251" t="str">
        <f t="shared" si="2"/>
        <v>DROP</v>
      </c>
      <c r="AT239" s="247"/>
    </row>
    <row r="240">
      <c r="A240" s="262" t="s">
        <v>165</v>
      </c>
      <c r="B240" s="262" t="s">
        <v>621</v>
      </c>
      <c r="C240" s="263">
        <v>46189.540034722224</v>
      </c>
      <c r="D240" s="262" t="s">
        <v>167</v>
      </c>
      <c r="E240" s="264">
        <v>21071.61</v>
      </c>
      <c r="F240" s="262" t="s">
        <v>169</v>
      </c>
      <c r="G240" s="262" t="s">
        <v>170</v>
      </c>
      <c r="H240" s="262" t="s">
        <v>622</v>
      </c>
      <c r="I240" s="262"/>
      <c r="J240" s="262"/>
      <c r="K240" s="274"/>
      <c r="L240" s="262"/>
      <c r="M240" s="275"/>
      <c r="O240" s="247"/>
      <c r="AC240" s="247"/>
      <c r="AD240" s="251" t="str">
        <f>IFERROR(__xludf.DUMMYFUNCTION("""COMPUTED_VALUE"""),"73df5aae-f42a-49a0-9d8f-616ca6dbebaa")</f>
        <v>73df5aae-f42a-49a0-9d8f-616ca6dbebaa</v>
      </c>
      <c r="AE240" s="251" t="str">
        <f>IFERROR(__xludf.DUMMYFUNCTION("""COMPUTED_VALUE"""),"019ed07c-43dc-71c1-a952-62f2d3f91101")</f>
        <v>019ed07c-43dc-71c1-a952-62f2d3f91101</v>
      </c>
      <c r="AF240" s="252">
        <f>IFERROR(__xludf.DUMMYFUNCTION("""COMPUTED_VALUE"""),46189.53547453704)</f>
        <v>46189.53547</v>
      </c>
      <c r="AG240" s="251" t="str">
        <f>IFERROR(__xludf.DUMMYFUNCTION("""COMPUTED_VALUE"""),"debit")</f>
        <v>debit</v>
      </c>
      <c r="AH240" s="253">
        <f>IFERROR(__xludf.DUMMYFUNCTION("""COMPUTED_VALUE"""),12132.17)</f>
        <v>12132.17</v>
      </c>
      <c r="AI240" s="251" t="str">
        <f>IFERROR(__xludf.DUMMYFUNCTION("""COMPUTED_VALUE"""),"cash_isa")</f>
        <v>cash_isa</v>
      </c>
      <c r="AJ240" s="251" t="str">
        <f>IFERROR(__xludf.DUMMYFUNCTION("""COMPUTED_VALUE"""),"9bc00e6b-ce5f-48c5-ae3a-1baabe00f337")</f>
        <v>9bc00e6b-ce5f-48c5-ae3a-1baabe00f337</v>
      </c>
      <c r="AK240" s="251" t="str">
        <f>IFERROR(__xludf.DUMMYFUNCTION("""COMPUTED_VALUE"""),"0b3d7800-d5ec-48f7-b3a2-336ba616d2e9")</f>
        <v>0b3d7800-d5ec-48f7-b3a2-336ba616d2e9</v>
      </c>
      <c r="AL240" s="251"/>
      <c r="AM240" s="254"/>
      <c r="AN240" s="211"/>
      <c r="AO240" s="251"/>
      <c r="AP240" s="261"/>
      <c r="AR240" s="251" t="str">
        <f t="shared" si="1"/>
        <v>12132.17_debit</v>
      </c>
      <c r="AS240" s="251" t="str">
        <f t="shared" si="2"/>
        <v>DROP</v>
      </c>
      <c r="AT240" s="247"/>
    </row>
    <row r="241">
      <c r="A241" s="255" t="s">
        <v>165</v>
      </c>
      <c r="B241" s="255" t="s">
        <v>623</v>
      </c>
      <c r="C241" s="256">
        <v>46189.54122685185</v>
      </c>
      <c r="D241" s="255" t="s">
        <v>265</v>
      </c>
      <c r="E241" s="257">
        <v>20080.85</v>
      </c>
      <c r="F241" s="255" t="s">
        <v>169</v>
      </c>
      <c r="G241" s="255" t="s">
        <v>170</v>
      </c>
      <c r="H241" s="255" t="s">
        <v>619</v>
      </c>
      <c r="I241" s="255"/>
      <c r="J241" s="255"/>
      <c r="K241" s="272"/>
      <c r="L241" s="255"/>
      <c r="M241" s="273"/>
      <c r="O241" s="247"/>
      <c r="AC241" s="247"/>
      <c r="AD241" s="251" t="str">
        <f>IFERROR(__xludf.DUMMYFUNCTION("""COMPUTED_VALUE"""),"73df5aae-f42a-49a0-9d8f-616ca6dbebaa")</f>
        <v>73df5aae-f42a-49a0-9d8f-616ca6dbebaa</v>
      </c>
      <c r="AE241" s="251" t="str">
        <f>IFERROR(__xludf.DUMMYFUNCTION("""COMPUTED_VALUE"""),"019ed07d-2b51-7bb8-910b-70a1e0783857")</f>
        <v>019ed07d-2b51-7bb8-910b-70a1e0783857</v>
      </c>
      <c r="AF241" s="252">
        <f>IFERROR(__xludf.DUMMYFUNCTION("""COMPUTED_VALUE"""),46189.53616898148)</f>
        <v>46189.53617</v>
      </c>
      <c r="AG241" s="251" t="str">
        <f>IFERROR(__xludf.DUMMYFUNCTION("""COMPUTED_VALUE"""),"debit")</f>
        <v>debit</v>
      </c>
      <c r="AH241" s="253">
        <f>IFERROR(__xludf.DUMMYFUNCTION("""COMPUTED_VALUE"""),52063.78)</f>
        <v>52063.78</v>
      </c>
      <c r="AI241" s="251" t="str">
        <f>IFERROR(__xludf.DUMMYFUNCTION("""COMPUTED_VALUE"""),"cash_isa")</f>
        <v>cash_isa</v>
      </c>
      <c r="AJ241" s="251" t="str">
        <f>IFERROR(__xludf.DUMMYFUNCTION("""COMPUTED_VALUE"""),"9bc00e6b-ce5f-48c5-ae3a-1baabe00f337")</f>
        <v>9bc00e6b-ce5f-48c5-ae3a-1baabe00f337</v>
      </c>
      <c r="AK241" s="251" t="str">
        <f>IFERROR(__xludf.DUMMYFUNCTION("""COMPUTED_VALUE"""),"8f2c7155-004e-4eed-b683-2d3088325f7d")</f>
        <v>8f2c7155-004e-4eed-b683-2d3088325f7d</v>
      </c>
      <c r="AL241" s="251"/>
      <c r="AM241" s="254"/>
      <c r="AN241" s="211"/>
      <c r="AO241" s="251"/>
      <c r="AP241" s="261"/>
      <c r="AR241" s="251" t="str">
        <f t="shared" si="1"/>
        <v>52063.78_debit</v>
      </c>
      <c r="AS241" s="251" t="str">
        <f t="shared" si="2"/>
        <v>DROP</v>
      </c>
      <c r="AT241" s="247"/>
    </row>
    <row r="242">
      <c r="A242" s="262" t="s">
        <v>165</v>
      </c>
      <c r="B242" s="262" t="s">
        <v>624</v>
      </c>
      <c r="C242" s="263">
        <v>46189.541666666664</v>
      </c>
      <c r="D242" s="262" t="s">
        <v>167</v>
      </c>
      <c r="E242" s="264">
        <v>43502.23</v>
      </c>
      <c r="F242" s="262" t="s">
        <v>169</v>
      </c>
      <c r="G242" s="262" t="s">
        <v>170</v>
      </c>
      <c r="H242" s="262" t="s">
        <v>625</v>
      </c>
      <c r="I242" s="262"/>
      <c r="J242" s="262"/>
      <c r="K242" s="274"/>
      <c r="L242" s="262"/>
      <c r="M242" s="275"/>
      <c r="O242" s="247"/>
      <c r="AC242" s="247"/>
      <c r="AD242" s="251" t="str">
        <f>IFERROR(__xludf.DUMMYFUNCTION("""COMPUTED_VALUE"""),"73df5aae-f42a-49a0-9d8f-616ca6dbebaa")</f>
        <v>73df5aae-f42a-49a0-9d8f-616ca6dbebaa</v>
      </c>
      <c r="AE242" s="251" t="str">
        <f>IFERROR(__xludf.DUMMYFUNCTION("""COMPUTED_VALUE"""),"019ed07e-49d3-7adb-935e-95ec49bb1999")</f>
        <v>019ed07e-49d3-7adb-935e-95ec49bb1999</v>
      </c>
      <c r="AF242" s="252">
        <f>IFERROR(__xludf.DUMMYFUNCTION("""COMPUTED_VALUE"""),46189.53701388889)</f>
        <v>46189.53701</v>
      </c>
      <c r="AG242" s="251" t="str">
        <f>IFERROR(__xludf.DUMMYFUNCTION("""COMPUTED_VALUE"""),"credit")</f>
        <v>credit</v>
      </c>
      <c r="AH242" s="253">
        <f>IFERROR(__xludf.DUMMYFUNCTION("""COMPUTED_VALUE"""),24172.49)</f>
        <v>24172.49</v>
      </c>
      <c r="AI242" s="251" t="str">
        <f>IFERROR(__xludf.DUMMYFUNCTION("""COMPUTED_VALUE"""),"cash_isa")</f>
        <v>cash_isa</v>
      </c>
      <c r="AJ242" s="251" t="str">
        <f>IFERROR(__xludf.DUMMYFUNCTION("""COMPUTED_VALUE"""),"9bc00e6b-ce5f-48c5-ae3a-1baabe00f337")</f>
        <v>9bc00e6b-ce5f-48c5-ae3a-1baabe00f337</v>
      </c>
      <c r="AK242" s="251" t="str">
        <f>IFERROR(__xludf.DUMMYFUNCTION("""COMPUTED_VALUE"""),"b052dce0-d8a4-40fe-a566-3ed9c5e97ee9")</f>
        <v>b052dce0-d8a4-40fe-a566-3ed9c5e97ee9</v>
      </c>
      <c r="AL242" s="251"/>
      <c r="AM242" s="254"/>
      <c r="AN242" s="211"/>
      <c r="AO242" s="251"/>
      <c r="AP242" s="261"/>
      <c r="AR242" s="251" t="str">
        <f t="shared" si="1"/>
        <v>24172.49_credit</v>
      </c>
      <c r="AS242" s="251" t="str">
        <f t="shared" si="2"/>
        <v>DROP</v>
      </c>
      <c r="AT242" s="247"/>
    </row>
    <row r="243">
      <c r="A243" s="255" t="s">
        <v>165</v>
      </c>
      <c r="B243" s="255" t="s">
        <v>626</v>
      </c>
      <c r="C243" s="256">
        <v>46189.54194444444</v>
      </c>
      <c r="D243" s="255" t="s">
        <v>265</v>
      </c>
      <c r="E243" s="257">
        <v>21071.61</v>
      </c>
      <c r="F243" s="255" t="s">
        <v>169</v>
      </c>
      <c r="G243" s="255" t="s">
        <v>170</v>
      </c>
      <c r="H243" s="255" t="s">
        <v>622</v>
      </c>
      <c r="I243" s="255"/>
      <c r="J243" s="255"/>
      <c r="K243" s="272"/>
      <c r="L243" s="255"/>
      <c r="M243" s="273"/>
      <c r="O243" s="247"/>
      <c r="AC243" s="247"/>
      <c r="AD243" s="251" t="str">
        <f>IFERROR(__xludf.DUMMYFUNCTION("""COMPUTED_VALUE"""),"73df5aae-f42a-49a0-9d8f-616ca6dbebaa")</f>
        <v>73df5aae-f42a-49a0-9d8f-616ca6dbebaa</v>
      </c>
      <c r="AE243" s="251" t="str">
        <f>IFERROR(__xludf.DUMMYFUNCTION("""COMPUTED_VALUE"""),"019ed07f-45d4-7070-9f63-e400a338939f")</f>
        <v>019ed07f-45d4-7070-9f63-e400a338939f</v>
      </c>
      <c r="AF243" s="252">
        <f>IFERROR(__xludf.DUMMYFUNCTION("""COMPUTED_VALUE"""),46189.53775462963)</f>
        <v>46189.53775</v>
      </c>
      <c r="AG243" s="251" t="str">
        <f>IFERROR(__xludf.DUMMYFUNCTION("""COMPUTED_VALUE"""),"credit")</f>
        <v>credit</v>
      </c>
      <c r="AH243" s="253">
        <f>IFERROR(__xludf.DUMMYFUNCTION("""COMPUTED_VALUE"""),1020.67)</f>
        <v>1020.67</v>
      </c>
      <c r="AI243" s="251" t="str">
        <f>IFERROR(__xludf.DUMMYFUNCTION("""COMPUTED_VALUE"""),"cash_isa")</f>
        <v>cash_isa</v>
      </c>
      <c r="AJ243" s="251" t="str">
        <f>IFERROR(__xludf.DUMMYFUNCTION("""COMPUTED_VALUE"""),"9bc00e6b-ce5f-48c5-ae3a-1baabe00f337")</f>
        <v>9bc00e6b-ce5f-48c5-ae3a-1baabe00f337</v>
      </c>
      <c r="AK243" s="251" t="str">
        <f>IFERROR(__xludf.DUMMYFUNCTION("""COMPUTED_VALUE"""),"ce8013d9-6610-43dc-94ea-4bafd068467b")</f>
        <v>ce8013d9-6610-43dc-94ea-4bafd068467b</v>
      </c>
      <c r="AL243" s="251"/>
      <c r="AM243" s="254"/>
      <c r="AN243" s="211"/>
      <c r="AO243" s="251"/>
      <c r="AP243" s="261"/>
      <c r="AR243" s="251" t="str">
        <f t="shared" si="1"/>
        <v>1020.67_credit</v>
      </c>
      <c r="AS243" s="251" t="str">
        <f t="shared" si="2"/>
        <v>DROP</v>
      </c>
      <c r="AT243" s="247"/>
    </row>
    <row r="244">
      <c r="A244" s="262" t="s">
        <v>165</v>
      </c>
      <c r="B244" s="262" t="s">
        <v>627</v>
      </c>
      <c r="C244" s="263">
        <v>46189.54226851852</v>
      </c>
      <c r="D244" s="262" t="s">
        <v>167</v>
      </c>
      <c r="E244" s="264">
        <v>20000.0</v>
      </c>
      <c r="F244" s="262" t="s">
        <v>169</v>
      </c>
      <c r="G244" s="262" t="s">
        <v>170</v>
      </c>
      <c r="H244" s="262" t="s">
        <v>628</v>
      </c>
      <c r="I244" s="262"/>
      <c r="J244" s="262"/>
      <c r="K244" s="274"/>
      <c r="L244" s="262"/>
      <c r="M244" s="275"/>
      <c r="O244" s="247"/>
      <c r="AC244" s="247"/>
      <c r="AD244" s="251" t="str">
        <f>IFERROR(__xludf.DUMMYFUNCTION("""COMPUTED_VALUE"""),"73df5aae-f42a-49a0-9d8f-616ca6dbebaa")</f>
        <v>73df5aae-f42a-49a0-9d8f-616ca6dbebaa</v>
      </c>
      <c r="AE244" s="251" t="str">
        <f>IFERROR(__xludf.DUMMYFUNCTION("""COMPUTED_VALUE"""),"019ed080-0823-7825-be67-5a4f0c956f7f")</f>
        <v>019ed080-0823-7825-be67-5a4f0c956f7f</v>
      </c>
      <c r="AF244" s="252">
        <f>IFERROR(__xludf.DUMMYFUNCTION("""COMPUTED_VALUE"""),46189.53833333333)</f>
        <v>46189.53833</v>
      </c>
      <c r="AG244" s="251" t="str">
        <f>IFERROR(__xludf.DUMMYFUNCTION("""COMPUTED_VALUE"""),"debit")</f>
        <v>debit</v>
      </c>
      <c r="AH244" s="253">
        <f>IFERROR(__xludf.DUMMYFUNCTION("""COMPUTED_VALUE"""),24172.49)</f>
        <v>24172.49</v>
      </c>
      <c r="AI244" s="251" t="str">
        <f>IFERROR(__xludf.DUMMYFUNCTION("""COMPUTED_VALUE"""),"cash_isa")</f>
        <v>cash_isa</v>
      </c>
      <c r="AJ244" s="251" t="str">
        <f>IFERROR(__xludf.DUMMYFUNCTION("""COMPUTED_VALUE"""),"9bc00e6b-ce5f-48c5-ae3a-1baabe00f337")</f>
        <v>9bc00e6b-ce5f-48c5-ae3a-1baabe00f337</v>
      </c>
      <c r="AK244" s="251" t="str">
        <f>IFERROR(__xludf.DUMMYFUNCTION("""COMPUTED_VALUE"""),"b052dce0-d8a4-40fe-a566-3ed9c5e97ee9")</f>
        <v>b052dce0-d8a4-40fe-a566-3ed9c5e97ee9</v>
      </c>
      <c r="AL244" s="251"/>
      <c r="AM244" s="254"/>
      <c r="AN244" s="211"/>
      <c r="AO244" s="251"/>
      <c r="AP244" s="261"/>
      <c r="AR244" s="251" t="str">
        <f t="shared" si="1"/>
        <v>24172.49_debit</v>
      </c>
      <c r="AS244" s="251" t="str">
        <f t="shared" si="2"/>
        <v>DROP</v>
      </c>
      <c r="AT244" s="247"/>
    </row>
    <row r="245">
      <c r="A245" s="255" t="s">
        <v>165</v>
      </c>
      <c r="B245" s="255" t="s">
        <v>629</v>
      </c>
      <c r="C245" s="256">
        <v>46189.54346064815</v>
      </c>
      <c r="D245" s="255" t="s">
        <v>265</v>
      </c>
      <c r="E245" s="257">
        <v>43502.23</v>
      </c>
      <c r="F245" s="255" t="s">
        <v>169</v>
      </c>
      <c r="G245" s="255" t="s">
        <v>170</v>
      </c>
      <c r="H245" s="255" t="s">
        <v>625</v>
      </c>
      <c r="I245" s="255"/>
      <c r="J245" s="255"/>
      <c r="K245" s="272"/>
      <c r="L245" s="255"/>
      <c r="M245" s="273"/>
      <c r="O245" s="247"/>
      <c r="AC245" s="247"/>
      <c r="AD245" s="251" t="str">
        <f>IFERROR(__xludf.DUMMYFUNCTION("""COMPUTED_VALUE"""),"73df5aae-f42a-49a0-9d8f-616ca6dbebaa")</f>
        <v>73df5aae-f42a-49a0-9d8f-616ca6dbebaa</v>
      </c>
      <c r="AE245" s="251" t="str">
        <f>IFERROR(__xludf.DUMMYFUNCTION("""COMPUTED_VALUE"""),"019ed080-dbc4-7bbc-9750-f7d9c47e8044")</f>
        <v>019ed080-dbc4-7bbc-9750-f7d9c47e8044</v>
      </c>
      <c r="AF245" s="252">
        <f>IFERROR(__xludf.DUMMYFUNCTION("""COMPUTED_VALUE"""),46189.53895833333)</f>
        <v>46189.53896</v>
      </c>
      <c r="AG245" s="251" t="str">
        <f>IFERROR(__xludf.DUMMYFUNCTION("""COMPUTED_VALUE"""),"debit")</f>
        <v>debit</v>
      </c>
      <c r="AH245" s="253">
        <f>IFERROR(__xludf.DUMMYFUNCTION("""COMPUTED_VALUE"""),39538.77)</f>
        <v>39538.77</v>
      </c>
      <c r="AI245" s="251" t="str">
        <f>IFERROR(__xludf.DUMMYFUNCTION("""COMPUTED_VALUE"""),"cash_isa")</f>
        <v>cash_isa</v>
      </c>
      <c r="AJ245" s="251" t="str">
        <f>IFERROR(__xludf.DUMMYFUNCTION("""COMPUTED_VALUE"""),"9bc00e6b-ce5f-48c5-ae3a-1baabe00f337")</f>
        <v>9bc00e6b-ce5f-48c5-ae3a-1baabe00f337</v>
      </c>
      <c r="AK245" s="251" t="str">
        <f>IFERROR(__xludf.DUMMYFUNCTION("""COMPUTED_VALUE"""),"3b6b5876-0c68-4637-b215-341a42eb6f66")</f>
        <v>3b6b5876-0c68-4637-b215-341a42eb6f66</v>
      </c>
      <c r="AL245" s="251"/>
      <c r="AM245" s="254"/>
      <c r="AN245" s="211"/>
      <c r="AO245" s="251"/>
      <c r="AP245" s="261"/>
      <c r="AR245" s="251" t="str">
        <f t="shared" si="1"/>
        <v>39538.77_debit</v>
      </c>
      <c r="AS245" s="251" t="str">
        <f t="shared" si="2"/>
        <v>DROP</v>
      </c>
      <c r="AT245" s="247"/>
    </row>
    <row r="246">
      <c r="A246" s="262" t="s">
        <v>165</v>
      </c>
      <c r="B246" s="262" t="s">
        <v>630</v>
      </c>
      <c r="C246" s="263">
        <v>46189.54497685185</v>
      </c>
      <c r="D246" s="262" t="s">
        <v>265</v>
      </c>
      <c r="E246" s="264">
        <v>20000.0</v>
      </c>
      <c r="F246" s="262" t="s">
        <v>169</v>
      </c>
      <c r="G246" s="262" t="s">
        <v>170</v>
      </c>
      <c r="H246" s="262" t="s">
        <v>628</v>
      </c>
      <c r="I246" s="262"/>
      <c r="J246" s="262"/>
      <c r="K246" s="274"/>
      <c r="L246" s="262"/>
      <c r="M246" s="275"/>
      <c r="O246" s="247"/>
      <c r="AC246" s="247"/>
      <c r="AD246" s="251" t="str">
        <f>IFERROR(__xludf.DUMMYFUNCTION("""COMPUTED_VALUE"""),"73df5aae-f42a-49a0-9d8f-616ca6dbebaa")</f>
        <v>73df5aae-f42a-49a0-9d8f-616ca6dbebaa</v>
      </c>
      <c r="AE246" s="251" t="str">
        <f>IFERROR(__xludf.DUMMYFUNCTION("""COMPUTED_VALUE"""),"019ed081-5f45-736a-b6ea-1000d1952dd0")</f>
        <v>019ed081-5f45-736a-b6ea-1000d1952dd0</v>
      </c>
      <c r="AF246" s="252">
        <f>IFERROR(__xludf.DUMMYFUNCTION("""COMPUTED_VALUE"""),46189.539351851854)</f>
        <v>46189.53935</v>
      </c>
      <c r="AG246" s="251" t="str">
        <f>IFERROR(__xludf.DUMMYFUNCTION("""COMPUTED_VALUE"""),"credit")</f>
        <v>credit</v>
      </c>
      <c r="AH246" s="253">
        <f>IFERROR(__xludf.DUMMYFUNCTION("""COMPUTED_VALUE"""),20080.85)</f>
        <v>20080.85</v>
      </c>
      <c r="AI246" s="251" t="str">
        <f>IFERROR(__xludf.DUMMYFUNCTION("""COMPUTED_VALUE"""),"cash_isa")</f>
        <v>cash_isa</v>
      </c>
      <c r="AJ246" s="251" t="str">
        <f>IFERROR(__xludf.DUMMYFUNCTION("""COMPUTED_VALUE"""),"9bc00e6b-ce5f-48c5-ae3a-1baabe00f337")</f>
        <v>9bc00e6b-ce5f-48c5-ae3a-1baabe00f337</v>
      </c>
      <c r="AK246" s="251" t="str">
        <f>IFERROR(__xludf.DUMMYFUNCTION("""COMPUTED_VALUE"""),"b384fd6e-4480-4212-b502-30648a71da97")</f>
        <v>b384fd6e-4480-4212-b502-30648a71da97</v>
      </c>
      <c r="AL246" s="251"/>
      <c r="AM246" s="254"/>
      <c r="AN246" s="211"/>
      <c r="AO246" s="251"/>
      <c r="AP246" s="261"/>
      <c r="AR246" s="251" t="str">
        <f t="shared" si="1"/>
        <v>20080.85_credit</v>
      </c>
      <c r="AS246" s="251" t="str">
        <f t="shared" si="2"/>
        <v>DROP</v>
      </c>
      <c r="AT246" s="247"/>
    </row>
    <row r="247">
      <c r="A247" s="255" t="s">
        <v>165</v>
      </c>
      <c r="B247" s="255" t="s">
        <v>631</v>
      </c>
      <c r="C247" s="256">
        <v>46189.54505787037</v>
      </c>
      <c r="D247" s="255" t="s">
        <v>167</v>
      </c>
      <c r="E247" s="257">
        <v>42393.43</v>
      </c>
      <c r="F247" s="255" t="s">
        <v>169</v>
      </c>
      <c r="G247" s="255" t="s">
        <v>170</v>
      </c>
      <c r="H247" s="255" t="s">
        <v>632</v>
      </c>
      <c r="I247" s="255"/>
      <c r="J247" s="255"/>
      <c r="K247" s="272"/>
      <c r="L247" s="255"/>
      <c r="M247" s="273"/>
      <c r="O247" s="247"/>
      <c r="AC247" s="247"/>
      <c r="AD247" s="251" t="str">
        <f>IFERROR(__xludf.DUMMYFUNCTION("""COMPUTED_VALUE"""),"73df5aae-f42a-49a0-9d8f-616ca6dbebaa")</f>
        <v>73df5aae-f42a-49a0-9d8f-616ca6dbebaa</v>
      </c>
      <c r="AE247" s="251" t="str">
        <f>IFERROR(__xludf.DUMMYFUNCTION("""COMPUTED_VALUE"""),"019ed082-29b1-725a-95d2-18af36a42c8b")</f>
        <v>019ed082-29b1-725a-95d2-18af36a42c8b</v>
      </c>
      <c r="AF247" s="252">
        <f>IFERROR(__xludf.DUMMYFUNCTION("""COMPUTED_VALUE"""),46189.5399537037)</f>
        <v>46189.53995</v>
      </c>
      <c r="AG247" s="251" t="str">
        <f>IFERROR(__xludf.DUMMYFUNCTION("""COMPUTED_VALUE"""),"debit")</f>
        <v>debit</v>
      </c>
      <c r="AH247" s="253">
        <f>IFERROR(__xludf.DUMMYFUNCTION("""COMPUTED_VALUE"""),1020.67)</f>
        <v>1020.67</v>
      </c>
      <c r="AI247" s="251" t="str">
        <f>IFERROR(__xludf.DUMMYFUNCTION("""COMPUTED_VALUE"""),"cash_isa")</f>
        <v>cash_isa</v>
      </c>
      <c r="AJ247" s="251" t="str">
        <f>IFERROR(__xludf.DUMMYFUNCTION("""COMPUTED_VALUE"""),"9bc00e6b-ce5f-48c5-ae3a-1baabe00f337")</f>
        <v>9bc00e6b-ce5f-48c5-ae3a-1baabe00f337</v>
      </c>
      <c r="AK247" s="251" t="str">
        <f>IFERROR(__xludf.DUMMYFUNCTION("""COMPUTED_VALUE"""),"ce8013d9-6610-43dc-94ea-4bafd068467b")</f>
        <v>ce8013d9-6610-43dc-94ea-4bafd068467b</v>
      </c>
      <c r="AL247" s="251"/>
      <c r="AM247" s="254"/>
      <c r="AN247" s="211"/>
      <c r="AO247" s="251"/>
      <c r="AP247" s="261"/>
      <c r="AR247" s="251" t="str">
        <f t="shared" si="1"/>
        <v>1020.67_debit</v>
      </c>
      <c r="AS247" s="251" t="str">
        <f t="shared" si="2"/>
        <v>DROP</v>
      </c>
      <c r="AT247" s="247"/>
    </row>
    <row r="248">
      <c r="A248" s="262" t="s">
        <v>165</v>
      </c>
      <c r="B248" s="262" t="s">
        <v>633</v>
      </c>
      <c r="C248" s="263">
        <v>46189.54744212963</v>
      </c>
      <c r="D248" s="262" t="s">
        <v>265</v>
      </c>
      <c r="E248" s="264">
        <v>42393.43</v>
      </c>
      <c r="F248" s="262" t="s">
        <v>169</v>
      </c>
      <c r="G248" s="262" t="s">
        <v>170</v>
      </c>
      <c r="H248" s="262" t="s">
        <v>632</v>
      </c>
      <c r="I248" s="262"/>
      <c r="J248" s="262"/>
      <c r="K248" s="274"/>
      <c r="L248" s="262"/>
      <c r="M248" s="275"/>
      <c r="O248" s="247"/>
      <c r="AC248" s="247"/>
      <c r="AD248" s="251" t="str">
        <f>IFERROR(__xludf.DUMMYFUNCTION("""COMPUTED_VALUE"""),"73df5aae-f42a-49a0-9d8f-616ca6dbebaa")</f>
        <v>73df5aae-f42a-49a0-9d8f-616ca6dbebaa</v>
      </c>
      <c r="AE248" s="251" t="str">
        <f>IFERROR(__xludf.DUMMYFUNCTION("""COMPUTED_VALUE"""),"019ed082-4654-7ed4-bf10-552f71928dfb")</f>
        <v>019ed082-4654-7ed4-bf10-552f71928dfb</v>
      </c>
      <c r="AF248" s="252">
        <f>IFERROR(__xludf.DUMMYFUNCTION("""COMPUTED_VALUE"""),46189.540034722224)</f>
        <v>46189.54003</v>
      </c>
      <c r="AG248" s="251" t="str">
        <f>IFERROR(__xludf.DUMMYFUNCTION("""COMPUTED_VALUE"""),"credit")</f>
        <v>credit</v>
      </c>
      <c r="AH248" s="253">
        <f>IFERROR(__xludf.DUMMYFUNCTION("""COMPUTED_VALUE"""),21071.61)</f>
        <v>21071.61</v>
      </c>
      <c r="AI248" s="251" t="str">
        <f>IFERROR(__xludf.DUMMYFUNCTION("""COMPUTED_VALUE"""),"cash_isa")</f>
        <v>cash_isa</v>
      </c>
      <c r="AJ248" s="251" t="str">
        <f>IFERROR(__xludf.DUMMYFUNCTION("""COMPUTED_VALUE"""),"9bc00e6b-ce5f-48c5-ae3a-1baabe00f337")</f>
        <v>9bc00e6b-ce5f-48c5-ae3a-1baabe00f337</v>
      </c>
      <c r="AK248" s="251" t="str">
        <f>IFERROR(__xludf.DUMMYFUNCTION("""COMPUTED_VALUE"""),"21191714-7956-47af-ad47-8965fa30aa65")</f>
        <v>21191714-7956-47af-ad47-8965fa30aa65</v>
      </c>
      <c r="AL248" s="251"/>
      <c r="AM248" s="254"/>
      <c r="AN248" s="211"/>
      <c r="AO248" s="251"/>
      <c r="AP248" s="261"/>
      <c r="AR248" s="251" t="str">
        <f t="shared" si="1"/>
        <v>21071.61_credit</v>
      </c>
      <c r="AS248" s="251" t="str">
        <f t="shared" si="2"/>
        <v>DROP</v>
      </c>
      <c r="AT248" s="247"/>
    </row>
    <row r="249">
      <c r="A249" s="255" t="s">
        <v>165</v>
      </c>
      <c r="B249" s="255" t="s">
        <v>634</v>
      </c>
      <c r="C249" s="256">
        <v>46189.54796296296</v>
      </c>
      <c r="D249" s="255" t="s">
        <v>167</v>
      </c>
      <c r="E249" s="257">
        <v>3017.41</v>
      </c>
      <c r="F249" s="255" t="s">
        <v>169</v>
      </c>
      <c r="G249" s="255" t="s">
        <v>170</v>
      </c>
      <c r="H249" s="255" t="s">
        <v>635</v>
      </c>
      <c r="I249" s="255"/>
      <c r="J249" s="255"/>
      <c r="K249" s="272"/>
      <c r="L249" s="255"/>
      <c r="M249" s="273"/>
      <c r="O249" s="247"/>
      <c r="AC249" s="247"/>
      <c r="AD249" s="251" t="str">
        <f>IFERROR(__xludf.DUMMYFUNCTION("""COMPUTED_VALUE"""),"73df5aae-f42a-49a0-9d8f-616ca6dbebaa")</f>
        <v>73df5aae-f42a-49a0-9d8f-616ca6dbebaa</v>
      </c>
      <c r="AE249" s="251" t="str">
        <f>IFERROR(__xludf.DUMMYFUNCTION("""COMPUTED_VALUE"""),"019ed083-d77e-77d6-b493-e0db9b11ce75")</f>
        <v>019ed083-d77e-77d6-b493-e0db9b11ce75</v>
      </c>
      <c r="AF249" s="252">
        <f>IFERROR(__xludf.DUMMYFUNCTION("""COMPUTED_VALUE"""),46189.541226851856)</f>
        <v>46189.54123</v>
      </c>
      <c r="AG249" s="251" t="str">
        <f>IFERROR(__xludf.DUMMYFUNCTION("""COMPUTED_VALUE"""),"debit")</f>
        <v>debit</v>
      </c>
      <c r="AH249" s="253">
        <f>IFERROR(__xludf.DUMMYFUNCTION("""COMPUTED_VALUE"""),20080.85)</f>
        <v>20080.85</v>
      </c>
      <c r="AI249" s="251" t="str">
        <f>IFERROR(__xludf.DUMMYFUNCTION("""COMPUTED_VALUE"""),"cash_isa")</f>
        <v>cash_isa</v>
      </c>
      <c r="AJ249" s="251" t="str">
        <f>IFERROR(__xludf.DUMMYFUNCTION("""COMPUTED_VALUE"""),"9bc00e6b-ce5f-48c5-ae3a-1baabe00f337")</f>
        <v>9bc00e6b-ce5f-48c5-ae3a-1baabe00f337</v>
      </c>
      <c r="AK249" s="251" t="str">
        <f>IFERROR(__xludf.DUMMYFUNCTION("""COMPUTED_VALUE"""),"b384fd6e-4480-4212-b502-30648a71da97")</f>
        <v>b384fd6e-4480-4212-b502-30648a71da97</v>
      </c>
      <c r="AL249" s="251"/>
      <c r="AM249" s="254"/>
      <c r="AN249" s="211"/>
      <c r="AO249" s="251"/>
      <c r="AP249" s="261"/>
      <c r="AR249" s="251" t="str">
        <f t="shared" si="1"/>
        <v>20080.85_debit</v>
      </c>
      <c r="AS249" s="251" t="str">
        <f t="shared" si="2"/>
        <v>DROP</v>
      </c>
      <c r="AT249" s="247"/>
    </row>
    <row r="250">
      <c r="A250" s="262" t="s">
        <v>165</v>
      </c>
      <c r="B250" s="262" t="s">
        <v>636</v>
      </c>
      <c r="C250" s="263">
        <v>46189.54927083333</v>
      </c>
      <c r="D250" s="262" t="s">
        <v>265</v>
      </c>
      <c r="E250" s="264">
        <v>3017.41</v>
      </c>
      <c r="F250" s="262" t="s">
        <v>169</v>
      </c>
      <c r="G250" s="262" t="s">
        <v>170</v>
      </c>
      <c r="H250" s="262" t="s">
        <v>635</v>
      </c>
      <c r="I250" s="262"/>
      <c r="J250" s="262"/>
      <c r="K250" s="274"/>
      <c r="L250" s="262"/>
      <c r="M250" s="275"/>
      <c r="O250" s="247"/>
      <c r="AC250" s="247"/>
      <c r="AD250" s="251" t="str">
        <f>IFERROR(__xludf.DUMMYFUNCTION("""COMPUTED_VALUE"""),"73df5aae-f42a-49a0-9d8f-616ca6dbebaa")</f>
        <v>73df5aae-f42a-49a0-9d8f-616ca6dbebaa</v>
      </c>
      <c r="AE250" s="251" t="str">
        <f>IFERROR(__xludf.DUMMYFUNCTION("""COMPUTED_VALUE"""),"019ed084-6d31-7a65-9f3f-d032d571d0e7")</f>
        <v>019ed084-6d31-7a65-9f3f-d032d571d0e7</v>
      </c>
      <c r="AF250" s="252">
        <f>IFERROR(__xludf.DUMMYFUNCTION("""COMPUTED_VALUE"""),46189.54166666667)</f>
        <v>46189.54167</v>
      </c>
      <c r="AG250" s="251" t="str">
        <f>IFERROR(__xludf.DUMMYFUNCTION("""COMPUTED_VALUE"""),"credit")</f>
        <v>credit</v>
      </c>
      <c r="AH250" s="253">
        <f>IFERROR(__xludf.DUMMYFUNCTION("""COMPUTED_VALUE"""),43502.23)</f>
        <v>43502.23</v>
      </c>
      <c r="AI250" s="251" t="str">
        <f>IFERROR(__xludf.DUMMYFUNCTION("""COMPUTED_VALUE"""),"cash_isa")</f>
        <v>cash_isa</v>
      </c>
      <c r="AJ250" s="251" t="str">
        <f>IFERROR(__xludf.DUMMYFUNCTION("""COMPUTED_VALUE"""),"9bc00e6b-ce5f-48c5-ae3a-1baabe00f337")</f>
        <v>9bc00e6b-ce5f-48c5-ae3a-1baabe00f337</v>
      </c>
      <c r="AK250" s="251" t="str">
        <f>IFERROR(__xludf.DUMMYFUNCTION("""COMPUTED_VALUE"""),"143c89e7-2b93-4774-8b4c-7431fb252ef0")</f>
        <v>143c89e7-2b93-4774-8b4c-7431fb252ef0</v>
      </c>
      <c r="AL250" s="251"/>
      <c r="AM250" s="254"/>
      <c r="AN250" s="211"/>
      <c r="AO250" s="251"/>
      <c r="AP250" s="261"/>
      <c r="AR250" s="251" t="str">
        <f t="shared" si="1"/>
        <v>43502.23_credit</v>
      </c>
      <c r="AS250" s="251" t="str">
        <f t="shared" si="2"/>
        <v>DROP</v>
      </c>
      <c r="AT250" s="247"/>
    </row>
    <row r="251">
      <c r="A251" s="255" t="s">
        <v>165</v>
      </c>
      <c r="B251" s="255" t="s">
        <v>637</v>
      </c>
      <c r="C251" s="256">
        <v>46189.553032407406</v>
      </c>
      <c r="D251" s="255" t="s">
        <v>167</v>
      </c>
      <c r="E251" s="257">
        <v>15000.0</v>
      </c>
      <c r="F251" s="255" t="s">
        <v>169</v>
      </c>
      <c r="G251" s="255" t="s">
        <v>170</v>
      </c>
      <c r="H251" s="255" t="s">
        <v>638</v>
      </c>
      <c r="I251" s="258"/>
      <c r="J251" s="258"/>
      <c r="K251" s="259"/>
      <c r="L251" s="258"/>
      <c r="M251" s="260"/>
      <c r="O251" s="247"/>
      <c r="AC251" s="247"/>
      <c r="AD251" s="251" t="str">
        <f>IFERROR(__xludf.DUMMYFUNCTION("""COMPUTED_VALUE"""),"73df5aae-f42a-49a0-9d8f-616ca6dbebaa")</f>
        <v>73df5aae-f42a-49a0-9d8f-616ca6dbebaa</v>
      </c>
      <c r="AE251" s="251" t="str">
        <f>IFERROR(__xludf.DUMMYFUNCTION("""COMPUTED_VALUE"""),"019ed084-c903-7bb9-af70-6f68f44209d3")</f>
        <v>019ed084-c903-7bb9-af70-6f68f44209d3</v>
      </c>
      <c r="AF251" s="252">
        <f>IFERROR(__xludf.DUMMYFUNCTION("""COMPUTED_VALUE"""),46189.54194444444)</f>
        <v>46189.54194</v>
      </c>
      <c r="AG251" s="251" t="str">
        <f>IFERROR(__xludf.DUMMYFUNCTION("""COMPUTED_VALUE"""),"debit")</f>
        <v>debit</v>
      </c>
      <c r="AH251" s="253">
        <f>IFERROR(__xludf.DUMMYFUNCTION("""COMPUTED_VALUE"""),21071.61)</f>
        <v>21071.61</v>
      </c>
      <c r="AI251" s="251" t="str">
        <f>IFERROR(__xludf.DUMMYFUNCTION("""COMPUTED_VALUE"""),"cash_isa")</f>
        <v>cash_isa</v>
      </c>
      <c r="AJ251" s="251" t="str">
        <f>IFERROR(__xludf.DUMMYFUNCTION("""COMPUTED_VALUE"""),"9bc00e6b-ce5f-48c5-ae3a-1baabe00f337")</f>
        <v>9bc00e6b-ce5f-48c5-ae3a-1baabe00f337</v>
      </c>
      <c r="AK251" s="251" t="str">
        <f>IFERROR(__xludf.DUMMYFUNCTION("""COMPUTED_VALUE"""),"21191714-7956-47af-ad47-8965fa30aa65")</f>
        <v>21191714-7956-47af-ad47-8965fa30aa65</v>
      </c>
      <c r="AL251" s="251"/>
      <c r="AM251" s="254"/>
      <c r="AN251" s="211"/>
      <c r="AO251" s="251"/>
      <c r="AP251" s="261"/>
      <c r="AR251" s="251" t="str">
        <f t="shared" si="1"/>
        <v>21071.61_debit</v>
      </c>
      <c r="AS251" s="251" t="str">
        <f t="shared" si="2"/>
        <v>DROP</v>
      </c>
      <c r="AT251" s="247"/>
    </row>
    <row r="252">
      <c r="A252" s="262" t="s">
        <v>165</v>
      </c>
      <c r="B252" s="262" t="s">
        <v>639</v>
      </c>
      <c r="C252" s="263">
        <v>46189.55400462963</v>
      </c>
      <c r="D252" s="262" t="s">
        <v>265</v>
      </c>
      <c r="E252" s="264">
        <v>15000.0</v>
      </c>
      <c r="F252" s="262" t="s">
        <v>169</v>
      </c>
      <c r="G252" s="262" t="s">
        <v>170</v>
      </c>
      <c r="H252" s="262" t="s">
        <v>638</v>
      </c>
      <c r="I252" s="265"/>
      <c r="J252" s="265"/>
      <c r="K252" s="266"/>
      <c r="L252" s="265"/>
      <c r="M252" s="267"/>
      <c r="O252" s="247"/>
      <c r="AC252" s="247"/>
      <c r="AD252" s="251" t="str">
        <f>IFERROR(__xludf.DUMMYFUNCTION("""COMPUTED_VALUE"""),"73df5aae-f42a-49a0-9d8f-616ca6dbebaa")</f>
        <v>73df5aae-f42a-49a0-9d8f-616ca6dbebaa</v>
      </c>
      <c r="AE252" s="251" t="str">
        <f>IFERROR(__xludf.DUMMYFUNCTION("""COMPUTED_VALUE"""),"019ed085-3905-7b99-8c69-ef7bc03601f9")</f>
        <v>019ed085-3905-7b99-8c69-ef7bc03601f9</v>
      </c>
      <c r="AF252" s="252">
        <f>IFERROR(__xludf.DUMMYFUNCTION("""COMPUTED_VALUE"""),46189.54226851852)</f>
        <v>46189.54227</v>
      </c>
      <c r="AG252" s="251" t="str">
        <f>IFERROR(__xludf.DUMMYFUNCTION("""COMPUTED_VALUE"""),"credit")</f>
        <v>credit</v>
      </c>
      <c r="AH252" s="253">
        <f>IFERROR(__xludf.DUMMYFUNCTION("""COMPUTED_VALUE"""),20000.0)</f>
        <v>20000</v>
      </c>
      <c r="AI252" s="251" t="str">
        <f>IFERROR(__xludf.DUMMYFUNCTION("""COMPUTED_VALUE"""),"cash_isa")</f>
        <v>cash_isa</v>
      </c>
      <c r="AJ252" s="251" t="str">
        <f>IFERROR(__xludf.DUMMYFUNCTION("""COMPUTED_VALUE"""),"9bc00e6b-ce5f-48c5-ae3a-1baabe00f337")</f>
        <v>9bc00e6b-ce5f-48c5-ae3a-1baabe00f337</v>
      </c>
      <c r="AK252" s="251" t="str">
        <f>IFERROR(__xludf.DUMMYFUNCTION("""COMPUTED_VALUE"""),"db00904e-357a-49a5-80a7-a1705832d3af")</f>
        <v>db00904e-357a-49a5-80a7-a1705832d3af</v>
      </c>
      <c r="AL252" s="251"/>
      <c r="AM252" s="254"/>
      <c r="AN252" s="211"/>
      <c r="AO252" s="251"/>
      <c r="AP252" s="261"/>
      <c r="AR252" s="251" t="str">
        <f t="shared" si="1"/>
        <v>20000_credit</v>
      </c>
      <c r="AS252" s="251" t="str">
        <f t="shared" si="2"/>
        <v>DROP</v>
      </c>
      <c r="AT252" s="247"/>
    </row>
    <row r="253">
      <c r="A253" s="255" t="s">
        <v>165</v>
      </c>
      <c r="B253" s="255" t="s">
        <v>640</v>
      </c>
      <c r="C253" s="256">
        <v>46189.55572916667</v>
      </c>
      <c r="D253" s="255" t="s">
        <v>167</v>
      </c>
      <c r="E253" s="257">
        <v>20043.21</v>
      </c>
      <c r="F253" s="255" t="s">
        <v>169</v>
      </c>
      <c r="G253" s="255" t="s">
        <v>170</v>
      </c>
      <c r="H253" s="255" t="s">
        <v>641</v>
      </c>
      <c r="I253" s="258"/>
      <c r="J253" s="258"/>
      <c r="K253" s="259"/>
      <c r="L253" s="258"/>
      <c r="M253" s="260"/>
      <c r="O253" s="247"/>
      <c r="AC253" s="247"/>
      <c r="AD253" s="251" t="str">
        <f>IFERROR(__xludf.DUMMYFUNCTION("""COMPUTED_VALUE"""),"73df5aae-f42a-49a0-9d8f-616ca6dbebaa")</f>
        <v>73df5aae-f42a-49a0-9d8f-616ca6dbebaa</v>
      </c>
      <c r="AE253" s="251" t="str">
        <f>IFERROR(__xludf.DUMMYFUNCTION("""COMPUTED_VALUE"""),"019ed086-cb4e-720d-b8b7-b5e9e47d5c90")</f>
        <v>019ed086-cb4e-720d-b8b7-b5e9e47d5c90</v>
      </c>
      <c r="AF253" s="252">
        <f>IFERROR(__xludf.DUMMYFUNCTION("""COMPUTED_VALUE"""),46189.54346064814)</f>
        <v>46189.54346</v>
      </c>
      <c r="AG253" s="251" t="str">
        <f>IFERROR(__xludf.DUMMYFUNCTION("""COMPUTED_VALUE"""),"debit")</f>
        <v>debit</v>
      </c>
      <c r="AH253" s="253">
        <f>IFERROR(__xludf.DUMMYFUNCTION("""COMPUTED_VALUE"""),43502.23)</f>
        <v>43502.23</v>
      </c>
      <c r="AI253" s="251" t="str">
        <f>IFERROR(__xludf.DUMMYFUNCTION("""COMPUTED_VALUE"""),"cash_isa")</f>
        <v>cash_isa</v>
      </c>
      <c r="AJ253" s="251" t="str">
        <f>IFERROR(__xludf.DUMMYFUNCTION("""COMPUTED_VALUE"""),"9bc00e6b-ce5f-48c5-ae3a-1baabe00f337")</f>
        <v>9bc00e6b-ce5f-48c5-ae3a-1baabe00f337</v>
      </c>
      <c r="AK253" s="251" t="str">
        <f>IFERROR(__xludf.DUMMYFUNCTION("""COMPUTED_VALUE"""),"143c89e7-2b93-4774-8b4c-7431fb252ef0")</f>
        <v>143c89e7-2b93-4774-8b4c-7431fb252ef0</v>
      </c>
      <c r="AL253" s="251"/>
      <c r="AM253" s="254"/>
      <c r="AN253" s="211"/>
      <c r="AO253" s="251"/>
      <c r="AP253" s="261"/>
      <c r="AR253" s="251" t="str">
        <f t="shared" si="1"/>
        <v>43502.23_debit</v>
      </c>
      <c r="AS253" s="251" t="str">
        <f t="shared" si="2"/>
        <v>DROP</v>
      </c>
      <c r="AT253" s="247"/>
    </row>
    <row r="254">
      <c r="A254" s="262" t="s">
        <v>165</v>
      </c>
      <c r="B254" s="262" t="s">
        <v>642</v>
      </c>
      <c r="C254" s="263">
        <v>46189.557534722226</v>
      </c>
      <c r="D254" s="262" t="s">
        <v>167</v>
      </c>
      <c r="E254" s="264">
        <v>5775.33</v>
      </c>
      <c r="F254" s="262" t="s">
        <v>169</v>
      </c>
      <c r="G254" s="262" t="s">
        <v>170</v>
      </c>
      <c r="H254" s="262" t="s">
        <v>643</v>
      </c>
      <c r="I254" s="265"/>
      <c r="J254" s="265"/>
      <c r="K254" s="266"/>
      <c r="L254" s="265"/>
      <c r="M254" s="267"/>
      <c r="O254" s="247"/>
      <c r="AC254" s="247"/>
      <c r="AD254" s="251" t="str">
        <f>IFERROR(__xludf.DUMMYFUNCTION("""COMPUTED_VALUE"""),"73df5aae-f42a-49a0-9d8f-616ca6dbebaa")</f>
        <v>73df5aae-f42a-49a0-9d8f-616ca6dbebaa</v>
      </c>
      <c r="AE254" s="251" t="str">
        <f>IFERROR(__xludf.DUMMYFUNCTION("""COMPUTED_VALUE"""),"019ed088-c9d1-7743-8989-3e81a22e3ec0")</f>
        <v>019ed088-c9d1-7743-8989-3e81a22e3ec0</v>
      </c>
      <c r="AF254" s="252">
        <f>IFERROR(__xludf.DUMMYFUNCTION("""COMPUTED_VALUE"""),46189.54497685185)</f>
        <v>46189.54498</v>
      </c>
      <c r="AG254" s="251" t="str">
        <f>IFERROR(__xludf.DUMMYFUNCTION("""COMPUTED_VALUE"""),"debit")</f>
        <v>debit</v>
      </c>
      <c r="AH254" s="253">
        <f>IFERROR(__xludf.DUMMYFUNCTION("""COMPUTED_VALUE"""),20000.0)</f>
        <v>20000</v>
      </c>
      <c r="AI254" s="251" t="str">
        <f>IFERROR(__xludf.DUMMYFUNCTION("""COMPUTED_VALUE"""),"cash_isa")</f>
        <v>cash_isa</v>
      </c>
      <c r="AJ254" s="251" t="str">
        <f>IFERROR(__xludf.DUMMYFUNCTION("""COMPUTED_VALUE"""),"9bc00e6b-ce5f-48c5-ae3a-1baabe00f337")</f>
        <v>9bc00e6b-ce5f-48c5-ae3a-1baabe00f337</v>
      </c>
      <c r="AK254" s="251" t="str">
        <f>IFERROR(__xludf.DUMMYFUNCTION("""COMPUTED_VALUE"""),"db00904e-357a-49a5-80a7-a1705832d3af")</f>
        <v>db00904e-357a-49a5-80a7-a1705832d3af</v>
      </c>
      <c r="AL254" s="251"/>
      <c r="AM254" s="254"/>
      <c r="AN254" s="211"/>
      <c r="AO254" s="251"/>
      <c r="AP254" s="261"/>
      <c r="AR254" s="251" t="str">
        <f t="shared" si="1"/>
        <v>20000_debit</v>
      </c>
      <c r="AS254" s="251" t="str">
        <f t="shared" si="2"/>
        <v>DROP</v>
      </c>
      <c r="AT254" s="247"/>
    </row>
    <row r="255">
      <c r="A255" s="255" t="s">
        <v>165</v>
      </c>
      <c r="B255" s="255" t="s">
        <v>644</v>
      </c>
      <c r="C255" s="256">
        <v>46189.55762731482</v>
      </c>
      <c r="D255" s="255" t="s">
        <v>265</v>
      </c>
      <c r="E255" s="257">
        <v>20043.21</v>
      </c>
      <c r="F255" s="255" t="s">
        <v>169</v>
      </c>
      <c r="G255" s="255" t="s">
        <v>170</v>
      </c>
      <c r="H255" s="255" t="s">
        <v>641</v>
      </c>
      <c r="I255" s="258"/>
      <c r="J255" s="258"/>
      <c r="K255" s="259"/>
      <c r="L255" s="258"/>
      <c r="M255" s="260"/>
      <c r="O255" s="247"/>
      <c r="AC255" s="247"/>
      <c r="AD255" s="251" t="str">
        <f>IFERROR(__xludf.DUMMYFUNCTION("""COMPUTED_VALUE"""),"73df5aae-f42a-49a0-9d8f-616ca6dbebaa")</f>
        <v>73df5aae-f42a-49a0-9d8f-616ca6dbebaa</v>
      </c>
      <c r="AE255" s="251" t="str">
        <f>IFERROR(__xludf.DUMMYFUNCTION("""COMPUTED_VALUE"""),"019ed088-e3ac-71f8-bb8f-cacdd27ed96c")</f>
        <v>019ed088-e3ac-71f8-bb8f-cacdd27ed96c</v>
      </c>
      <c r="AF255" s="252">
        <f>IFERROR(__xludf.DUMMYFUNCTION("""COMPUTED_VALUE"""),46189.545057870375)</f>
        <v>46189.54506</v>
      </c>
      <c r="AG255" s="251" t="str">
        <f>IFERROR(__xludf.DUMMYFUNCTION("""COMPUTED_VALUE"""),"credit")</f>
        <v>credit</v>
      </c>
      <c r="AH255" s="253">
        <f>IFERROR(__xludf.DUMMYFUNCTION("""COMPUTED_VALUE"""),42393.43)</f>
        <v>42393.43</v>
      </c>
      <c r="AI255" s="251" t="str">
        <f>IFERROR(__xludf.DUMMYFUNCTION("""COMPUTED_VALUE"""),"cash_isa")</f>
        <v>cash_isa</v>
      </c>
      <c r="AJ255" s="251" t="str">
        <f>IFERROR(__xludf.DUMMYFUNCTION("""COMPUTED_VALUE"""),"9bc00e6b-ce5f-48c5-ae3a-1baabe00f337")</f>
        <v>9bc00e6b-ce5f-48c5-ae3a-1baabe00f337</v>
      </c>
      <c r="AK255" s="251" t="str">
        <f>IFERROR(__xludf.DUMMYFUNCTION("""COMPUTED_VALUE"""),"b87b6c6d-8a77-48a7-b063-d70d500c7168")</f>
        <v>b87b6c6d-8a77-48a7-b063-d70d500c7168</v>
      </c>
      <c r="AL255" s="251"/>
      <c r="AM255" s="254"/>
      <c r="AN255" s="211"/>
      <c r="AO255" s="251"/>
      <c r="AP255" s="261"/>
      <c r="AR255" s="251" t="str">
        <f t="shared" si="1"/>
        <v>42393.43_credit</v>
      </c>
      <c r="AS255" s="251" t="str">
        <f t="shared" si="2"/>
        <v>DROP</v>
      </c>
      <c r="AT255" s="247"/>
    </row>
    <row r="256">
      <c r="A256" s="262" t="s">
        <v>165</v>
      </c>
      <c r="B256" s="262" t="s">
        <v>645</v>
      </c>
      <c r="C256" s="263">
        <v>46189.55887731481</v>
      </c>
      <c r="D256" s="262" t="s">
        <v>167</v>
      </c>
      <c r="E256" s="264">
        <v>5786.9</v>
      </c>
      <c r="F256" s="262" t="s">
        <v>169</v>
      </c>
      <c r="G256" s="262" t="s">
        <v>170</v>
      </c>
      <c r="H256" s="262" t="s">
        <v>646</v>
      </c>
      <c r="I256" s="265"/>
      <c r="J256" s="265"/>
      <c r="K256" s="266"/>
      <c r="L256" s="265"/>
      <c r="M256" s="267"/>
      <c r="O256" s="247"/>
      <c r="AC256" s="247"/>
      <c r="AD256" s="251" t="str">
        <f>IFERROR(__xludf.DUMMYFUNCTION("""COMPUTED_VALUE"""),"73df5aae-f42a-49a0-9d8f-616ca6dbebaa")</f>
        <v>73df5aae-f42a-49a0-9d8f-616ca6dbebaa</v>
      </c>
      <c r="AE256" s="251" t="str">
        <f>IFERROR(__xludf.DUMMYFUNCTION("""COMPUTED_VALUE"""),"019ed08c-0a33-771a-987b-36e43d54c47a")</f>
        <v>019ed08c-0a33-771a-987b-36e43d54c47a</v>
      </c>
      <c r="AF256" s="252">
        <f>IFERROR(__xludf.DUMMYFUNCTION("""COMPUTED_VALUE"""),46189.54744212963)</f>
        <v>46189.54744</v>
      </c>
      <c r="AG256" s="251" t="str">
        <f>IFERROR(__xludf.DUMMYFUNCTION("""COMPUTED_VALUE"""),"debit")</f>
        <v>debit</v>
      </c>
      <c r="AH256" s="253">
        <f>IFERROR(__xludf.DUMMYFUNCTION("""COMPUTED_VALUE"""),42393.43)</f>
        <v>42393.43</v>
      </c>
      <c r="AI256" s="251" t="str">
        <f>IFERROR(__xludf.DUMMYFUNCTION("""COMPUTED_VALUE"""),"cash_isa")</f>
        <v>cash_isa</v>
      </c>
      <c r="AJ256" s="251" t="str">
        <f>IFERROR(__xludf.DUMMYFUNCTION("""COMPUTED_VALUE"""),"9bc00e6b-ce5f-48c5-ae3a-1baabe00f337")</f>
        <v>9bc00e6b-ce5f-48c5-ae3a-1baabe00f337</v>
      </c>
      <c r="AK256" s="251" t="str">
        <f>IFERROR(__xludf.DUMMYFUNCTION("""COMPUTED_VALUE"""),"b87b6c6d-8a77-48a7-b063-d70d500c7168")</f>
        <v>b87b6c6d-8a77-48a7-b063-d70d500c7168</v>
      </c>
      <c r="AL256" s="251"/>
      <c r="AM256" s="254"/>
      <c r="AN256" s="211"/>
      <c r="AO256" s="251"/>
      <c r="AP256" s="261"/>
      <c r="AR256" s="251" t="str">
        <f t="shared" si="1"/>
        <v>42393.43_debit</v>
      </c>
      <c r="AS256" s="251" t="str">
        <f t="shared" si="2"/>
        <v>DROP</v>
      </c>
      <c r="AT256" s="247"/>
    </row>
    <row r="257">
      <c r="A257" s="255" t="s">
        <v>165</v>
      </c>
      <c r="B257" s="255" t="s">
        <v>647</v>
      </c>
      <c r="C257" s="256">
        <v>46189.558900462966</v>
      </c>
      <c r="D257" s="255" t="s">
        <v>167</v>
      </c>
      <c r="E257" s="257">
        <v>11542.91</v>
      </c>
      <c r="F257" s="255" t="s">
        <v>169</v>
      </c>
      <c r="G257" s="255" t="s">
        <v>170</v>
      </c>
      <c r="H257" s="255" t="s">
        <v>648</v>
      </c>
      <c r="I257" s="258"/>
      <c r="J257" s="258"/>
      <c r="K257" s="259"/>
      <c r="L257" s="258"/>
      <c r="M257" s="260"/>
      <c r="O257" s="247"/>
      <c r="AC257" s="247"/>
      <c r="AD257" s="251" t="str">
        <f>IFERROR(__xludf.DUMMYFUNCTION("""COMPUTED_VALUE"""),"73df5aae-f42a-49a0-9d8f-616ca6dbebaa")</f>
        <v>73df5aae-f42a-49a0-9d8f-616ca6dbebaa</v>
      </c>
      <c r="AE257" s="251" t="str">
        <f>IFERROR(__xludf.DUMMYFUNCTION("""COMPUTED_VALUE"""),"019ed08c-b911-7283-b9a6-6ef6960acdec")</f>
        <v>019ed08c-b911-7283-b9a6-6ef6960acdec</v>
      </c>
      <c r="AF257" s="261">
        <f>IFERROR(__xludf.DUMMYFUNCTION("""COMPUTED_VALUE"""),46189.54796296296)</f>
        <v>46189.54796</v>
      </c>
      <c r="AG257" s="251" t="str">
        <f>IFERROR(__xludf.DUMMYFUNCTION("""COMPUTED_VALUE"""),"credit")</f>
        <v>credit</v>
      </c>
      <c r="AH257" s="253">
        <f>IFERROR(__xludf.DUMMYFUNCTION("""COMPUTED_VALUE"""),3017.41)</f>
        <v>3017.41</v>
      </c>
      <c r="AI257" s="251" t="str">
        <f>IFERROR(__xludf.DUMMYFUNCTION("""COMPUTED_VALUE"""),"cash_isa")</f>
        <v>cash_isa</v>
      </c>
      <c r="AJ257" s="251" t="str">
        <f>IFERROR(__xludf.DUMMYFUNCTION("""COMPUTED_VALUE"""),"9bc00e6b-ce5f-48c5-ae3a-1baabe00f337")</f>
        <v>9bc00e6b-ce5f-48c5-ae3a-1baabe00f337</v>
      </c>
      <c r="AK257" s="251" t="str">
        <f>IFERROR(__xludf.DUMMYFUNCTION("""COMPUTED_VALUE"""),"8d4dbb38-4cf9-4622-b95b-63a581b74153")</f>
        <v>8d4dbb38-4cf9-4622-b95b-63a581b74153</v>
      </c>
      <c r="AL257" s="251"/>
      <c r="AM257" s="254"/>
      <c r="AN257" s="211"/>
      <c r="AO257" s="251"/>
      <c r="AP257" s="261"/>
      <c r="AR257" s="251" t="str">
        <f t="shared" si="1"/>
        <v>3017.41_credit</v>
      </c>
      <c r="AS257" s="251" t="str">
        <f t="shared" si="2"/>
        <v>DROP</v>
      </c>
      <c r="AT257" s="247"/>
    </row>
    <row r="258">
      <c r="A258" s="262" t="s">
        <v>165</v>
      </c>
      <c r="B258" s="262" t="s">
        <v>649</v>
      </c>
      <c r="C258" s="263">
        <v>46189.55908564815</v>
      </c>
      <c r="D258" s="262" t="s">
        <v>265</v>
      </c>
      <c r="E258" s="264">
        <v>5775.33</v>
      </c>
      <c r="F258" s="262" t="s">
        <v>169</v>
      </c>
      <c r="G258" s="262" t="s">
        <v>170</v>
      </c>
      <c r="H258" s="262" t="s">
        <v>643</v>
      </c>
      <c r="I258" s="265"/>
      <c r="J258" s="265"/>
      <c r="K258" s="266"/>
      <c r="L258" s="265"/>
      <c r="M258" s="267"/>
      <c r="O258" s="247"/>
      <c r="AC258" s="247"/>
      <c r="AD258" s="251" t="str">
        <f>IFERROR(__xludf.DUMMYFUNCTION("""COMPUTED_VALUE"""),"73df5aae-f42a-49a0-9d8f-616ca6dbebaa")</f>
        <v>73df5aae-f42a-49a0-9d8f-616ca6dbebaa</v>
      </c>
      <c r="AE258" s="251" t="str">
        <f>IFERROR(__xludf.DUMMYFUNCTION("""COMPUTED_VALUE"""),"019ed08e-726d-72b7-bf6f-550625414218")</f>
        <v>019ed08e-726d-72b7-bf6f-550625414218</v>
      </c>
      <c r="AF258" s="276">
        <f>IFERROR(__xludf.DUMMYFUNCTION("""COMPUTED_VALUE"""),46189.54927083333)</f>
        <v>46189.54927</v>
      </c>
      <c r="AG258" s="251" t="str">
        <f>IFERROR(__xludf.DUMMYFUNCTION("""COMPUTED_VALUE"""),"debit")</f>
        <v>debit</v>
      </c>
      <c r="AH258" s="253">
        <f>IFERROR(__xludf.DUMMYFUNCTION("""COMPUTED_VALUE"""),3017.41)</f>
        <v>3017.41</v>
      </c>
      <c r="AI258" s="251" t="str">
        <f>IFERROR(__xludf.DUMMYFUNCTION("""COMPUTED_VALUE"""),"cash_isa")</f>
        <v>cash_isa</v>
      </c>
      <c r="AJ258" s="251" t="str">
        <f>IFERROR(__xludf.DUMMYFUNCTION("""COMPUTED_VALUE"""),"9bc00e6b-ce5f-48c5-ae3a-1baabe00f337")</f>
        <v>9bc00e6b-ce5f-48c5-ae3a-1baabe00f337</v>
      </c>
      <c r="AK258" s="251" t="str">
        <f>IFERROR(__xludf.DUMMYFUNCTION("""COMPUTED_VALUE"""),"8d4dbb38-4cf9-4622-b95b-63a581b74153")</f>
        <v>8d4dbb38-4cf9-4622-b95b-63a581b74153</v>
      </c>
      <c r="AL258" s="251"/>
      <c r="AM258" s="254"/>
      <c r="AN258" s="211"/>
      <c r="AO258" s="251"/>
      <c r="AP258" s="261"/>
      <c r="AR258" s="251" t="str">
        <f t="shared" si="1"/>
        <v>3017.41_debit</v>
      </c>
      <c r="AS258" s="251" t="str">
        <f t="shared" si="2"/>
        <v>DROP</v>
      </c>
      <c r="AT258" s="247"/>
    </row>
    <row r="259">
      <c r="A259" s="255" t="s">
        <v>165</v>
      </c>
      <c r="B259" s="255" t="s">
        <v>650</v>
      </c>
      <c r="C259" s="256">
        <v>46189.56023148148</v>
      </c>
      <c r="D259" s="255" t="s">
        <v>167</v>
      </c>
      <c r="E259" s="257">
        <v>14889.48</v>
      </c>
      <c r="F259" s="255" t="s">
        <v>169</v>
      </c>
      <c r="G259" s="255" t="s">
        <v>170</v>
      </c>
      <c r="H259" s="255" t="s">
        <v>651</v>
      </c>
      <c r="I259" s="258"/>
      <c r="J259" s="258"/>
      <c r="K259" s="259"/>
      <c r="L259" s="258"/>
      <c r="M259" s="260"/>
      <c r="O259" s="247"/>
      <c r="AC259" s="247"/>
      <c r="AD259" s="251" t="str">
        <f>IFERROR(__xludf.DUMMYFUNCTION("""COMPUTED_VALUE"""),"73df5aae-f42a-49a0-9d8f-616ca6dbebaa")</f>
        <v>73df5aae-f42a-49a0-9d8f-616ca6dbebaa</v>
      </c>
      <c r="AE259" s="251" t="str">
        <f>IFERROR(__xludf.DUMMYFUNCTION("""COMPUTED_VALUE"""),"019ed093-6721-719c-a848-336e7fbe39f4")</f>
        <v>019ed093-6721-719c-a848-336e7fbe39f4</v>
      </c>
      <c r="AF259" s="252">
        <f>IFERROR(__xludf.DUMMYFUNCTION("""COMPUTED_VALUE"""),46189.553032407406)</f>
        <v>46189.55303</v>
      </c>
      <c r="AG259" s="251" t="str">
        <f>IFERROR(__xludf.DUMMYFUNCTION("""COMPUTED_VALUE"""),"credit")</f>
        <v>credit</v>
      </c>
      <c r="AH259" s="253">
        <f>IFERROR(__xludf.DUMMYFUNCTION("""COMPUTED_VALUE"""),15000.0)</f>
        <v>15000</v>
      </c>
      <c r="AI259" s="251" t="str">
        <f>IFERROR(__xludf.DUMMYFUNCTION("""COMPUTED_VALUE"""),"cash_isa")</f>
        <v>cash_isa</v>
      </c>
      <c r="AJ259" s="251" t="str">
        <f>IFERROR(__xludf.DUMMYFUNCTION("""COMPUTED_VALUE"""),"9bc00e6b-ce5f-48c5-ae3a-1baabe00f337")</f>
        <v>9bc00e6b-ce5f-48c5-ae3a-1baabe00f337</v>
      </c>
      <c r="AK259" s="251" t="str">
        <f>IFERROR(__xludf.DUMMYFUNCTION("""COMPUTED_VALUE"""),"fa389ecf-516b-4118-84c4-a0d88561da48")</f>
        <v>fa389ecf-516b-4118-84c4-a0d88561da48</v>
      </c>
      <c r="AL259" s="251"/>
      <c r="AM259" s="254"/>
      <c r="AN259" s="211"/>
      <c r="AO259" s="251"/>
      <c r="AP259" s="261"/>
      <c r="AR259" s="251" t="str">
        <f t="shared" si="1"/>
        <v>15000_credit</v>
      </c>
      <c r="AS259" s="251" t="str">
        <f t="shared" si="2"/>
        <v>DROP</v>
      </c>
      <c r="AT259" s="247"/>
    </row>
    <row r="260">
      <c r="A260" s="262" t="s">
        <v>165</v>
      </c>
      <c r="B260" s="262" t="s">
        <v>652</v>
      </c>
      <c r="C260" s="263">
        <v>46189.56138888889</v>
      </c>
      <c r="D260" s="262" t="s">
        <v>265</v>
      </c>
      <c r="E260" s="264">
        <v>5786.9</v>
      </c>
      <c r="F260" s="262" t="s">
        <v>169</v>
      </c>
      <c r="G260" s="262" t="s">
        <v>170</v>
      </c>
      <c r="H260" s="262" t="s">
        <v>646</v>
      </c>
      <c r="I260" s="265"/>
      <c r="J260" s="265"/>
      <c r="K260" s="266"/>
      <c r="L260" s="265"/>
      <c r="M260" s="267"/>
      <c r="O260" s="247"/>
      <c r="AC260" s="247"/>
      <c r="AD260" s="251" t="str">
        <f>IFERROR(__xludf.DUMMYFUNCTION("""COMPUTED_VALUE"""),"73df5aae-f42a-49a0-9d8f-616ca6dbebaa")</f>
        <v>73df5aae-f42a-49a0-9d8f-616ca6dbebaa</v>
      </c>
      <c r="AE260" s="251" t="str">
        <f>IFERROR(__xludf.DUMMYFUNCTION("""COMPUTED_VALUE"""),"019ed094-aebe-7ef4-b9e3-595ecee2c965")</f>
        <v>019ed094-aebe-7ef4-b9e3-595ecee2c965</v>
      </c>
      <c r="AF260" s="252">
        <f>IFERROR(__xludf.DUMMYFUNCTION("""COMPUTED_VALUE"""),46189.55400462963)</f>
        <v>46189.554</v>
      </c>
      <c r="AG260" s="251" t="str">
        <f>IFERROR(__xludf.DUMMYFUNCTION("""COMPUTED_VALUE"""),"debit")</f>
        <v>debit</v>
      </c>
      <c r="AH260" s="253">
        <f>IFERROR(__xludf.DUMMYFUNCTION("""COMPUTED_VALUE"""),15000.0)</f>
        <v>15000</v>
      </c>
      <c r="AI260" s="251" t="str">
        <f>IFERROR(__xludf.DUMMYFUNCTION("""COMPUTED_VALUE"""),"cash_isa")</f>
        <v>cash_isa</v>
      </c>
      <c r="AJ260" s="251" t="str">
        <f>IFERROR(__xludf.DUMMYFUNCTION("""COMPUTED_VALUE"""),"9bc00e6b-ce5f-48c5-ae3a-1baabe00f337")</f>
        <v>9bc00e6b-ce5f-48c5-ae3a-1baabe00f337</v>
      </c>
      <c r="AK260" s="251" t="str">
        <f>IFERROR(__xludf.DUMMYFUNCTION("""COMPUTED_VALUE"""),"fa389ecf-516b-4118-84c4-a0d88561da48")</f>
        <v>fa389ecf-516b-4118-84c4-a0d88561da48</v>
      </c>
      <c r="AL260" s="251"/>
      <c r="AM260" s="254"/>
      <c r="AN260" s="211"/>
      <c r="AO260" s="251"/>
      <c r="AP260" s="261"/>
      <c r="AR260" s="251" t="str">
        <f t="shared" si="1"/>
        <v>15000_debit</v>
      </c>
      <c r="AS260" s="251" t="str">
        <f t="shared" si="2"/>
        <v>DROP</v>
      </c>
      <c r="AT260" s="247"/>
    </row>
    <row r="261">
      <c r="A261" s="255" t="s">
        <v>165</v>
      </c>
      <c r="B261" s="255" t="s">
        <v>653</v>
      </c>
      <c r="C261" s="256">
        <v>46189.56140046296</v>
      </c>
      <c r="D261" s="255" t="s">
        <v>265</v>
      </c>
      <c r="E261" s="257">
        <v>11542.91</v>
      </c>
      <c r="F261" s="255" t="s">
        <v>169</v>
      </c>
      <c r="G261" s="255" t="s">
        <v>170</v>
      </c>
      <c r="H261" s="255" t="s">
        <v>648</v>
      </c>
      <c r="I261" s="258"/>
      <c r="J261" s="258"/>
      <c r="K261" s="259"/>
      <c r="L261" s="258"/>
      <c r="M261" s="260"/>
      <c r="O261" s="247"/>
      <c r="AC261" s="247"/>
      <c r="AD261" s="251" t="str">
        <f>IFERROR(__xludf.DUMMYFUNCTION("""COMPUTED_VALUE"""),"73df5aae-f42a-49a0-9d8f-616ca6dbebaa")</f>
        <v>73df5aae-f42a-49a0-9d8f-616ca6dbebaa</v>
      </c>
      <c r="AE261" s="251" t="str">
        <f>IFERROR(__xludf.DUMMYFUNCTION("""COMPUTED_VALUE"""),"019ed096-f7d1-7818-9e8f-f47f1bebd032")</f>
        <v>019ed096-f7d1-7818-9e8f-f47f1bebd032</v>
      </c>
      <c r="AF261" s="252">
        <f>IFERROR(__xludf.DUMMYFUNCTION("""COMPUTED_VALUE"""),46189.55572916666)</f>
        <v>46189.55573</v>
      </c>
      <c r="AG261" s="251" t="str">
        <f>IFERROR(__xludf.DUMMYFUNCTION("""COMPUTED_VALUE"""),"credit")</f>
        <v>credit</v>
      </c>
      <c r="AH261" s="253">
        <f>IFERROR(__xludf.DUMMYFUNCTION("""COMPUTED_VALUE"""),20043.21)</f>
        <v>20043.21</v>
      </c>
      <c r="AI261" s="251" t="str">
        <f>IFERROR(__xludf.DUMMYFUNCTION("""COMPUTED_VALUE"""),"cash_isa")</f>
        <v>cash_isa</v>
      </c>
      <c r="AJ261" s="251" t="str">
        <f>IFERROR(__xludf.DUMMYFUNCTION("""COMPUTED_VALUE"""),"9bc00e6b-ce5f-48c5-ae3a-1baabe00f337")</f>
        <v>9bc00e6b-ce5f-48c5-ae3a-1baabe00f337</v>
      </c>
      <c r="AK261" s="251" t="str">
        <f>IFERROR(__xludf.DUMMYFUNCTION("""COMPUTED_VALUE"""),"cad2a83e-b1b1-4978-bf3e-0e846584e5e9")</f>
        <v>cad2a83e-b1b1-4978-bf3e-0e846584e5e9</v>
      </c>
      <c r="AL261" s="251"/>
      <c r="AM261" s="254"/>
      <c r="AN261" s="211"/>
      <c r="AO261" s="251"/>
      <c r="AP261" s="261"/>
      <c r="AR261" s="251" t="str">
        <f t="shared" si="1"/>
        <v>20043.21_credit</v>
      </c>
      <c r="AS261" s="251" t="str">
        <f t="shared" si="2"/>
        <v>DROP</v>
      </c>
      <c r="AT261" s="247"/>
    </row>
    <row r="262">
      <c r="A262" s="262" t="s">
        <v>165</v>
      </c>
      <c r="B262" s="262" t="s">
        <v>654</v>
      </c>
      <c r="C262" s="263">
        <v>46189.562048611115</v>
      </c>
      <c r="D262" s="262" t="s">
        <v>265</v>
      </c>
      <c r="E262" s="264">
        <v>14889.48</v>
      </c>
      <c r="F262" s="262" t="s">
        <v>169</v>
      </c>
      <c r="G262" s="262" t="s">
        <v>170</v>
      </c>
      <c r="H262" s="262" t="s">
        <v>651</v>
      </c>
      <c r="I262" s="265"/>
      <c r="J262" s="265"/>
      <c r="K262" s="266"/>
      <c r="L262" s="265"/>
      <c r="M262" s="267"/>
      <c r="O262" s="247"/>
      <c r="AC262" s="247"/>
      <c r="AD262" s="251" t="str">
        <f>IFERROR(__xludf.DUMMYFUNCTION("""COMPUTED_VALUE"""),"73df5aae-f42a-49a0-9d8f-616ca6dbebaa")</f>
        <v>73df5aae-f42a-49a0-9d8f-616ca6dbebaa</v>
      </c>
      <c r="AE262" s="251" t="str">
        <f>IFERROR(__xludf.DUMMYFUNCTION("""COMPUTED_VALUE"""),"019ed099-5928-76ab-bf6a-16673ffcd66d")</f>
        <v>019ed099-5928-76ab-bf6a-16673ffcd66d</v>
      </c>
      <c r="AF262" s="252">
        <f>IFERROR(__xludf.DUMMYFUNCTION("""COMPUTED_VALUE"""),46189.55753472222)</f>
        <v>46189.55753</v>
      </c>
      <c r="AG262" s="251" t="str">
        <f>IFERROR(__xludf.DUMMYFUNCTION("""COMPUTED_VALUE"""),"credit")</f>
        <v>credit</v>
      </c>
      <c r="AH262" s="253">
        <f>IFERROR(__xludf.DUMMYFUNCTION("""COMPUTED_VALUE"""),5775.33)</f>
        <v>5775.33</v>
      </c>
      <c r="AI262" s="251" t="str">
        <f>IFERROR(__xludf.DUMMYFUNCTION("""COMPUTED_VALUE"""),"cash_isa")</f>
        <v>cash_isa</v>
      </c>
      <c r="AJ262" s="251" t="str">
        <f>IFERROR(__xludf.DUMMYFUNCTION("""COMPUTED_VALUE"""),"9bc00e6b-ce5f-48c5-ae3a-1baabe00f337")</f>
        <v>9bc00e6b-ce5f-48c5-ae3a-1baabe00f337</v>
      </c>
      <c r="AK262" s="251" t="str">
        <f>IFERROR(__xludf.DUMMYFUNCTION("""COMPUTED_VALUE"""),"62322cdc-debb-4f9a-875b-8ccbe68b80e8")</f>
        <v>62322cdc-debb-4f9a-875b-8ccbe68b80e8</v>
      </c>
      <c r="AL262" s="251"/>
      <c r="AM262" s="254"/>
      <c r="AN262" s="211"/>
      <c r="AO262" s="251"/>
      <c r="AP262" s="261"/>
      <c r="AR262" s="251" t="str">
        <f t="shared" si="1"/>
        <v>5775.33_credit</v>
      </c>
      <c r="AS262" s="251" t="str">
        <f t="shared" si="2"/>
        <v>DROP</v>
      </c>
      <c r="AT262" s="247"/>
    </row>
    <row r="263">
      <c r="A263" s="255" t="s">
        <v>165</v>
      </c>
      <c r="B263" s="255" t="s">
        <v>655</v>
      </c>
      <c r="C263" s="256">
        <v>46189.5621875</v>
      </c>
      <c r="D263" s="255" t="s">
        <v>167</v>
      </c>
      <c r="E263" s="257">
        <v>16335.32</v>
      </c>
      <c r="F263" s="255" t="s">
        <v>169</v>
      </c>
      <c r="G263" s="255" t="s">
        <v>170</v>
      </c>
      <c r="H263" s="255" t="s">
        <v>656</v>
      </c>
      <c r="I263" s="258"/>
      <c r="J263" s="258"/>
      <c r="K263" s="259"/>
      <c r="L263" s="258"/>
      <c r="M263" s="260"/>
      <c r="O263" s="247"/>
      <c r="AC263" s="247"/>
      <c r="AD263" s="251" t="str">
        <f>IFERROR(__xludf.DUMMYFUNCTION("""COMPUTED_VALUE"""),"73df5aae-f42a-49a0-9d8f-616ca6dbebaa")</f>
        <v>73df5aae-f42a-49a0-9d8f-616ca6dbebaa</v>
      </c>
      <c r="AE263" s="251" t="str">
        <f>IFERROR(__xludf.DUMMYFUNCTION("""COMPUTED_VALUE"""),"019ed099-762b-7181-9345-8b2dbca881a0")</f>
        <v>019ed099-762b-7181-9345-8b2dbca881a0</v>
      </c>
      <c r="AF263" s="252">
        <f>IFERROR(__xludf.DUMMYFUNCTION("""COMPUTED_VALUE"""),46189.55762731482)</f>
        <v>46189.55763</v>
      </c>
      <c r="AG263" s="251" t="str">
        <f>IFERROR(__xludf.DUMMYFUNCTION("""COMPUTED_VALUE"""),"debit")</f>
        <v>debit</v>
      </c>
      <c r="AH263" s="253">
        <f>IFERROR(__xludf.DUMMYFUNCTION("""COMPUTED_VALUE"""),20043.21)</f>
        <v>20043.21</v>
      </c>
      <c r="AI263" s="251" t="str">
        <f>IFERROR(__xludf.DUMMYFUNCTION("""COMPUTED_VALUE"""),"cash_isa")</f>
        <v>cash_isa</v>
      </c>
      <c r="AJ263" s="251" t="str">
        <f>IFERROR(__xludf.DUMMYFUNCTION("""COMPUTED_VALUE"""),"9bc00e6b-ce5f-48c5-ae3a-1baabe00f337")</f>
        <v>9bc00e6b-ce5f-48c5-ae3a-1baabe00f337</v>
      </c>
      <c r="AK263" s="251" t="str">
        <f>IFERROR(__xludf.DUMMYFUNCTION("""COMPUTED_VALUE"""),"cad2a83e-b1b1-4978-bf3e-0e846584e5e9")</f>
        <v>cad2a83e-b1b1-4978-bf3e-0e846584e5e9</v>
      </c>
      <c r="AL263" s="251"/>
      <c r="AM263" s="254"/>
      <c r="AN263" s="211"/>
      <c r="AO263" s="251"/>
      <c r="AP263" s="261"/>
      <c r="AR263" s="251" t="str">
        <f t="shared" si="1"/>
        <v>20043.21_debit</v>
      </c>
      <c r="AS263" s="251" t="str">
        <f t="shared" si="2"/>
        <v>DROP</v>
      </c>
      <c r="AT263" s="247"/>
    </row>
    <row r="264">
      <c r="A264" s="262" t="s">
        <v>165</v>
      </c>
      <c r="B264" s="262" t="s">
        <v>657</v>
      </c>
      <c r="C264" s="263">
        <v>46189.56385416666</v>
      </c>
      <c r="D264" s="262" t="s">
        <v>265</v>
      </c>
      <c r="E264" s="264">
        <v>16335.32</v>
      </c>
      <c r="F264" s="262" t="s">
        <v>169</v>
      </c>
      <c r="G264" s="262" t="s">
        <v>170</v>
      </c>
      <c r="H264" s="262" t="s">
        <v>656</v>
      </c>
      <c r="I264" s="265"/>
      <c r="J264" s="265"/>
      <c r="K264" s="266"/>
      <c r="L264" s="265"/>
      <c r="M264" s="267"/>
      <c r="O264" s="247"/>
      <c r="AC264" s="247"/>
      <c r="AD264" s="251" t="str">
        <f>IFERROR(__xludf.DUMMYFUNCTION("""COMPUTED_VALUE"""),"73df5aae-f42a-49a0-9d8f-616ca6dbebaa")</f>
        <v>73df5aae-f42a-49a0-9d8f-616ca6dbebaa</v>
      </c>
      <c r="AE264" s="251" t="str">
        <f>IFERROR(__xludf.DUMMYFUNCTION("""COMPUTED_VALUE"""),"019ed09b-1cd6-7c49-a1b4-4b45065610f2")</f>
        <v>019ed09b-1cd6-7c49-a1b4-4b45065610f2</v>
      </c>
      <c r="AF264" s="252">
        <f>IFERROR(__xludf.DUMMYFUNCTION("""COMPUTED_VALUE"""),46189.55887731482)</f>
        <v>46189.55888</v>
      </c>
      <c r="AG264" s="251" t="str">
        <f>IFERROR(__xludf.DUMMYFUNCTION("""COMPUTED_VALUE"""),"credit")</f>
        <v>credit</v>
      </c>
      <c r="AH264" s="253">
        <f>IFERROR(__xludf.DUMMYFUNCTION("""COMPUTED_VALUE"""),5786.9)</f>
        <v>5786.9</v>
      </c>
      <c r="AI264" s="251" t="str">
        <f>IFERROR(__xludf.DUMMYFUNCTION("""COMPUTED_VALUE"""),"cash_isa")</f>
        <v>cash_isa</v>
      </c>
      <c r="AJ264" s="251" t="str">
        <f>IFERROR(__xludf.DUMMYFUNCTION("""COMPUTED_VALUE"""),"9bc00e6b-ce5f-48c5-ae3a-1baabe00f337")</f>
        <v>9bc00e6b-ce5f-48c5-ae3a-1baabe00f337</v>
      </c>
      <c r="AK264" s="251" t="str">
        <f>IFERROR(__xludf.DUMMYFUNCTION("""COMPUTED_VALUE"""),"76ff0d9b-5de6-463b-a1c0-871c8cedeae1")</f>
        <v>76ff0d9b-5de6-463b-a1c0-871c8cedeae1</v>
      </c>
      <c r="AL264" s="251"/>
      <c r="AM264" s="254"/>
      <c r="AN264" s="211"/>
      <c r="AO264" s="251"/>
      <c r="AP264" s="261"/>
      <c r="AR264" s="251" t="str">
        <f t="shared" si="1"/>
        <v>5786.9_credit</v>
      </c>
      <c r="AS264" s="251" t="str">
        <f t="shared" si="2"/>
        <v>DROP</v>
      </c>
      <c r="AT264" s="247"/>
    </row>
    <row r="265">
      <c r="A265" s="255" t="s">
        <v>165</v>
      </c>
      <c r="B265" s="255" t="s">
        <v>658</v>
      </c>
      <c r="C265" s="256">
        <v>46189.56391203704</v>
      </c>
      <c r="D265" s="255" t="s">
        <v>167</v>
      </c>
      <c r="E265" s="257">
        <v>42076.25</v>
      </c>
      <c r="F265" s="255" t="s">
        <v>169</v>
      </c>
      <c r="G265" s="255" t="s">
        <v>170</v>
      </c>
      <c r="H265" s="255" t="s">
        <v>659</v>
      </c>
      <c r="I265" s="258"/>
      <c r="J265" s="258"/>
      <c r="K265" s="259"/>
      <c r="L265" s="258"/>
      <c r="M265" s="260"/>
      <c r="O265" s="247"/>
      <c r="AC265" s="247"/>
      <c r="AD265" s="251" t="str">
        <f>IFERROR(__xludf.DUMMYFUNCTION("""COMPUTED_VALUE"""),"73df5aae-f42a-49a0-9d8f-616ca6dbebaa")</f>
        <v>73df5aae-f42a-49a0-9d8f-616ca6dbebaa</v>
      </c>
      <c r="AE265" s="251" t="str">
        <f>IFERROR(__xludf.DUMMYFUNCTION("""COMPUTED_VALUE"""),"019ed09b-24b6-7d6b-8007-623ab6e8b527")</f>
        <v>019ed09b-24b6-7d6b-8007-623ab6e8b527</v>
      </c>
      <c r="AF265" s="252">
        <f>IFERROR(__xludf.DUMMYFUNCTION("""COMPUTED_VALUE"""),46189.55890046296)</f>
        <v>46189.5589</v>
      </c>
      <c r="AG265" s="251" t="str">
        <f>IFERROR(__xludf.DUMMYFUNCTION("""COMPUTED_VALUE"""),"credit")</f>
        <v>credit</v>
      </c>
      <c r="AH265" s="253">
        <f>IFERROR(__xludf.DUMMYFUNCTION("""COMPUTED_VALUE"""),11542.91)</f>
        <v>11542.91</v>
      </c>
      <c r="AI265" s="251" t="str">
        <f>IFERROR(__xludf.DUMMYFUNCTION("""COMPUTED_VALUE"""),"cash_isa")</f>
        <v>cash_isa</v>
      </c>
      <c r="AJ265" s="251" t="str">
        <f>IFERROR(__xludf.DUMMYFUNCTION("""COMPUTED_VALUE"""),"9bc00e6b-ce5f-48c5-ae3a-1baabe00f337")</f>
        <v>9bc00e6b-ce5f-48c5-ae3a-1baabe00f337</v>
      </c>
      <c r="AK265" s="251" t="str">
        <f>IFERROR(__xludf.DUMMYFUNCTION("""COMPUTED_VALUE"""),"1de20172-837b-4c0a-8b46-49d5f64e4db4")</f>
        <v>1de20172-837b-4c0a-8b46-49d5f64e4db4</v>
      </c>
      <c r="AL265" s="251"/>
      <c r="AM265" s="254"/>
      <c r="AN265" s="211"/>
      <c r="AO265" s="251"/>
      <c r="AP265" s="261"/>
      <c r="AR265" s="251" t="str">
        <f t="shared" si="1"/>
        <v>11542.91_credit</v>
      </c>
      <c r="AS265" s="251" t="str">
        <f t="shared" si="2"/>
        <v>DROP</v>
      </c>
      <c r="AT265" s="247"/>
    </row>
    <row r="266">
      <c r="A266" s="262" t="s">
        <v>165</v>
      </c>
      <c r="B266" s="262" t="s">
        <v>660</v>
      </c>
      <c r="C266" s="263">
        <v>46189.56548611111</v>
      </c>
      <c r="D266" s="262" t="s">
        <v>265</v>
      </c>
      <c r="E266" s="264">
        <v>42076.25</v>
      </c>
      <c r="F266" s="262" t="s">
        <v>169</v>
      </c>
      <c r="G266" s="262" t="s">
        <v>170</v>
      </c>
      <c r="H266" s="262" t="s">
        <v>659</v>
      </c>
      <c r="I266" s="265"/>
      <c r="J266" s="265"/>
      <c r="K266" s="266"/>
      <c r="L266" s="265"/>
      <c r="M266" s="267"/>
      <c r="O266" s="247"/>
      <c r="AC266" s="247"/>
      <c r="AD266" s="251" t="str">
        <f>IFERROR(__xludf.DUMMYFUNCTION("""COMPUTED_VALUE"""),"73df5aae-f42a-49a0-9d8f-616ca6dbebaa")</f>
        <v>73df5aae-f42a-49a0-9d8f-616ca6dbebaa</v>
      </c>
      <c r="AE266" s="251" t="str">
        <f>IFERROR(__xludf.DUMMYFUNCTION("""COMPUTED_VALUE"""),"019ed09b-6227-77a3-8365-4374d1e89b4f")</f>
        <v>019ed09b-6227-77a3-8365-4374d1e89b4f</v>
      </c>
      <c r="AF266" s="252">
        <f>IFERROR(__xludf.DUMMYFUNCTION("""COMPUTED_VALUE"""),46189.55908564814)</f>
        <v>46189.55909</v>
      </c>
      <c r="AG266" s="251" t="str">
        <f>IFERROR(__xludf.DUMMYFUNCTION("""COMPUTED_VALUE"""),"debit")</f>
        <v>debit</v>
      </c>
      <c r="AH266" s="253">
        <f>IFERROR(__xludf.DUMMYFUNCTION("""COMPUTED_VALUE"""),5775.33)</f>
        <v>5775.33</v>
      </c>
      <c r="AI266" s="251" t="str">
        <f>IFERROR(__xludf.DUMMYFUNCTION("""COMPUTED_VALUE"""),"cash_isa")</f>
        <v>cash_isa</v>
      </c>
      <c r="AJ266" s="251" t="str">
        <f>IFERROR(__xludf.DUMMYFUNCTION("""COMPUTED_VALUE"""),"9bc00e6b-ce5f-48c5-ae3a-1baabe00f337")</f>
        <v>9bc00e6b-ce5f-48c5-ae3a-1baabe00f337</v>
      </c>
      <c r="AK266" s="251" t="str">
        <f>IFERROR(__xludf.DUMMYFUNCTION("""COMPUTED_VALUE"""),"62322cdc-debb-4f9a-875b-8ccbe68b80e8")</f>
        <v>62322cdc-debb-4f9a-875b-8ccbe68b80e8</v>
      </c>
      <c r="AL266" s="251"/>
      <c r="AM266" s="254"/>
      <c r="AN266" s="211"/>
      <c r="AO266" s="251"/>
      <c r="AP266" s="261"/>
      <c r="AR266" s="251" t="str">
        <f t="shared" si="1"/>
        <v>5775.33_debit</v>
      </c>
      <c r="AS266" s="251" t="str">
        <f t="shared" si="2"/>
        <v>DROP</v>
      </c>
      <c r="AT266" s="247"/>
    </row>
    <row r="267">
      <c r="A267" s="255" t="s">
        <v>165</v>
      </c>
      <c r="B267" s="255" t="s">
        <v>661</v>
      </c>
      <c r="C267" s="256">
        <v>46189.56606481481</v>
      </c>
      <c r="D267" s="255" t="s">
        <v>167</v>
      </c>
      <c r="E267" s="257">
        <v>5752.8</v>
      </c>
      <c r="F267" s="255" t="s">
        <v>169</v>
      </c>
      <c r="G267" s="255" t="s">
        <v>170</v>
      </c>
      <c r="H267" s="255" t="s">
        <v>662</v>
      </c>
      <c r="I267" s="258"/>
      <c r="J267" s="258"/>
      <c r="K267" s="259"/>
      <c r="L267" s="258"/>
      <c r="M267" s="260"/>
      <c r="O267" s="247"/>
      <c r="AC267" s="247"/>
      <c r="AD267" s="251" t="str">
        <f>IFERROR(__xludf.DUMMYFUNCTION("""COMPUTED_VALUE"""),"73df5aae-f42a-49a0-9d8f-616ca6dbebaa")</f>
        <v>73df5aae-f42a-49a0-9d8f-616ca6dbebaa</v>
      </c>
      <c r="AE267" s="251" t="str">
        <f>IFERROR(__xludf.DUMMYFUNCTION("""COMPUTED_VALUE"""),"019ed09c-e65a-7a22-b2fe-9d2a2e7f888b")</f>
        <v>019ed09c-e65a-7a22-b2fe-9d2a2e7f888b</v>
      </c>
      <c r="AF267" s="252">
        <f>IFERROR(__xludf.DUMMYFUNCTION("""COMPUTED_VALUE"""),46189.56023148148)</f>
        <v>46189.56023</v>
      </c>
      <c r="AG267" s="251" t="str">
        <f>IFERROR(__xludf.DUMMYFUNCTION("""COMPUTED_VALUE"""),"credit")</f>
        <v>credit</v>
      </c>
      <c r="AH267" s="253">
        <f>IFERROR(__xludf.DUMMYFUNCTION("""COMPUTED_VALUE"""),14889.48)</f>
        <v>14889.48</v>
      </c>
      <c r="AI267" s="251" t="str">
        <f>IFERROR(__xludf.DUMMYFUNCTION("""COMPUTED_VALUE"""),"cash_isa")</f>
        <v>cash_isa</v>
      </c>
      <c r="AJ267" s="251" t="str">
        <f>IFERROR(__xludf.DUMMYFUNCTION("""COMPUTED_VALUE"""),"9bc00e6b-ce5f-48c5-ae3a-1baabe00f337")</f>
        <v>9bc00e6b-ce5f-48c5-ae3a-1baabe00f337</v>
      </c>
      <c r="AK267" s="251" t="str">
        <f>IFERROR(__xludf.DUMMYFUNCTION("""COMPUTED_VALUE"""),"19d8cbd6-bf6a-47fc-9552-65715777c1a3")</f>
        <v>19d8cbd6-bf6a-47fc-9552-65715777c1a3</v>
      </c>
      <c r="AL267" s="251"/>
      <c r="AM267" s="254"/>
      <c r="AN267" s="211"/>
      <c r="AO267" s="251"/>
      <c r="AP267" s="261"/>
      <c r="AR267" s="251" t="str">
        <f t="shared" si="1"/>
        <v>14889.48_credit</v>
      </c>
      <c r="AS267" s="251" t="str">
        <f t="shared" si="2"/>
        <v>DROP</v>
      </c>
      <c r="AT267" s="247"/>
    </row>
    <row r="268">
      <c r="A268" s="262" t="s">
        <v>165</v>
      </c>
      <c r="B268" s="262" t="s">
        <v>663</v>
      </c>
      <c r="C268" s="263">
        <v>46189.56630787037</v>
      </c>
      <c r="D268" s="262" t="s">
        <v>167</v>
      </c>
      <c r="E268" s="264">
        <v>61722.7</v>
      </c>
      <c r="F268" s="262" t="s">
        <v>169</v>
      </c>
      <c r="G268" s="262" t="s">
        <v>170</v>
      </c>
      <c r="H268" s="262" t="s">
        <v>664</v>
      </c>
      <c r="I268" s="265"/>
      <c r="J268" s="265"/>
      <c r="K268" s="266"/>
      <c r="L268" s="265"/>
      <c r="M268" s="267"/>
      <c r="O268" s="247"/>
      <c r="AC268" s="247"/>
      <c r="AD268" s="251" t="str">
        <f>IFERROR(__xludf.DUMMYFUNCTION("""COMPUTED_VALUE"""),"73df5aae-f42a-49a0-9d8f-616ca6dbebaa")</f>
        <v>73df5aae-f42a-49a0-9d8f-616ca6dbebaa</v>
      </c>
      <c r="AE268" s="251" t="str">
        <f>IFERROR(__xludf.DUMMYFUNCTION("""COMPUTED_VALUE"""),"019ed09e-6d2e-79fa-841f-be349ae9e3cd")</f>
        <v>019ed09e-6d2e-79fa-841f-be349ae9e3cd</v>
      </c>
      <c r="AF268" s="252">
        <f>IFERROR(__xludf.DUMMYFUNCTION("""COMPUTED_VALUE"""),46189.56138888889)</f>
        <v>46189.56139</v>
      </c>
      <c r="AG268" s="251" t="str">
        <f>IFERROR(__xludf.DUMMYFUNCTION("""COMPUTED_VALUE"""),"debit")</f>
        <v>debit</v>
      </c>
      <c r="AH268" s="253">
        <f>IFERROR(__xludf.DUMMYFUNCTION("""COMPUTED_VALUE"""),5786.9)</f>
        <v>5786.9</v>
      </c>
      <c r="AI268" s="251" t="str">
        <f>IFERROR(__xludf.DUMMYFUNCTION("""COMPUTED_VALUE"""),"cash_isa")</f>
        <v>cash_isa</v>
      </c>
      <c r="AJ268" s="251" t="str">
        <f>IFERROR(__xludf.DUMMYFUNCTION("""COMPUTED_VALUE"""),"9bc00e6b-ce5f-48c5-ae3a-1baabe00f337")</f>
        <v>9bc00e6b-ce5f-48c5-ae3a-1baabe00f337</v>
      </c>
      <c r="AK268" s="251" t="str">
        <f>IFERROR(__xludf.DUMMYFUNCTION("""COMPUTED_VALUE"""),"76ff0d9b-5de6-463b-a1c0-871c8cedeae1")</f>
        <v>76ff0d9b-5de6-463b-a1c0-871c8cedeae1</v>
      </c>
      <c r="AL268" s="251"/>
      <c r="AM268" s="254"/>
      <c r="AN268" s="211"/>
      <c r="AO268" s="251"/>
      <c r="AP268" s="261"/>
      <c r="AR268" s="251" t="str">
        <f t="shared" si="1"/>
        <v>5786.9_debit</v>
      </c>
      <c r="AS268" s="251" t="str">
        <f t="shared" si="2"/>
        <v>DROP</v>
      </c>
      <c r="AT268" s="247"/>
    </row>
    <row r="269">
      <c r="A269" s="255" t="s">
        <v>165</v>
      </c>
      <c r="B269" s="255" t="s">
        <v>665</v>
      </c>
      <c r="C269" s="256">
        <v>46189.56738425926</v>
      </c>
      <c r="D269" s="255" t="s">
        <v>167</v>
      </c>
      <c r="E269" s="257">
        <v>63796.02</v>
      </c>
      <c r="F269" s="255" t="s">
        <v>169</v>
      </c>
      <c r="G269" s="255" t="s">
        <v>170</v>
      </c>
      <c r="H269" s="255" t="s">
        <v>666</v>
      </c>
      <c r="I269" s="258"/>
      <c r="J269" s="258"/>
      <c r="K269" s="259"/>
      <c r="L269" s="258"/>
      <c r="M269" s="260"/>
      <c r="O269" s="247"/>
      <c r="AC269" s="247"/>
      <c r="AD269" s="251" t="str">
        <f>IFERROR(__xludf.DUMMYFUNCTION("""COMPUTED_VALUE"""),"73df5aae-f42a-49a0-9d8f-616ca6dbebaa")</f>
        <v>73df5aae-f42a-49a0-9d8f-616ca6dbebaa</v>
      </c>
      <c r="AE269" s="251" t="str">
        <f>IFERROR(__xludf.DUMMYFUNCTION("""COMPUTED_VALUE"""),"019ed09e-6f63-7663-87ba-a7243a1779d4")</f>
        <v>019ed09e-6f63-7663-87ba-a7243a1779d4</v>
      </c>
      <c r="AF269" s="261">
        <f>IFERROR(__xludf.DUMMYFUNCTION("""COMPUTED_VALUE"""),46189.56140046296)</f>
        <v>46189.5614</v>
      </c>
      <c r="AG269" s="251" t="str">
        <f>IFERROR(__xludf.DUMMYFUNCTION("""COMPUTED_VALUE"""),"debit")</f>
        <v>debit</v>
      </c>
      <c r="AH269" s="251">
        <f>IFERROR(__xludf.DUMMYFUNCTION("""COMPUTED_VALUE"""),11542.91)</f>
        <v>11542.91</v>
      </c>
      <c r="AI269" s="251" t="str">
        <f>IFERROR(__xludf.DUMMYFUNCTION("""COMPUTED_VALUE"""),"cash_isa")</f>
        <v>cash_isa</v>
      </c>
      <c r="AJ269" s="251" t="str">
        <f>IFERROR(__xludf.DUMMYFUNCTION("""COMPUTED_VALUE"""),"9bc00e6b-ce5f-48c5-ae3a-1baabe00f337")</f>
        <v>9bc00e6b-ce5f-48c5-ae3a-1baabe00f337</v>
      </c>
      <c r="AK269" s="251" t="str">
        <f>IFERROR(__xludf.DUMMYFUNCTION("""COMPUTED_VALUE"""),"1de20172-837b-4c0a-8b46-49d5f64e4db4")</f>
        <v>1de20172-837b-4c0a-8b46-49d5f64e4db4</v>
      </c>
      <c r="AL269" s="251"/>
      <c r="AM269" s="251"/>
      <c r="AN269" s="251"/>
      <c r="AO269" s="251"/>
      <c r="AP269" s="261"/>
      <c r="AR269" s="251" t="str">
        <f t="shared" si="1"/>
        <v>11542.91_debit</v>
      </c>
      <c r="AS269" s="251" t="str">
        <f t="shared" si="2"/>
        <v>DROP</v>
      </c>
      <c r="AT269" s="247"/>
    </row>
    <row r="270">
      <c r="A270" s="262" t="s">
        <v>165</v>
      </c>
      <c r="B270" s="262" t="s">
        <v>667</v>
      </c>
      <c r="C270" s="263">
        <v>46189.56752314815</v>
      </c>
      <c r="D270" s="262" t="s">
        <v>167</v>
      </c>
      <c r="E270" s="264">
        <v>20401.2</v>
      </c>
      <c r="F270" s="262" t="s">
        <v>169</v>
      </c>
      <c r="G270" s="262" t="s">
        <v>170</v>
      </c>
      <c r="H270" s="262" t="s">
        <v>668</v>
      </c>
      <c r="I270" s="265"/>
      <c r="J270" s="265"/>
      <c r="K270" s="266"/>
      <c r="L270" s="265"/>
      <c r="M270" s="267"/>
      <c r="O270" s="247"/>
      <c r="AC270" s="247"/>
      <c r="AD270" s="251" t="str">
        <f>IFERROR(__xludf.DUMMYFUNCTION("""COMPUTED_VALUE"""),"73df5aae-f42a-49a0-9d8f-616ca6dbebaa")</f>
        <v>73df5aae-f42a-49a0-9d8f-616ca6dbebaa</v>
      </c>
      <c r="AE270" s="251" t="str">
        <f>IFERROR(__xludf.DUMMYFUNCTION("""COMPUTED_VALUE"""),"019ed09f-4b34-765e-81da-0415f738a5a1")</f>
        <v>019ed09f-4b34-765e-81da-0415f738a5a1</v>
      </c>
      <c r="AF270" s="261">
        <f>IFERROR(__xludf.DUMMYFUNCTION("""COMPUTED_VALUE"""),46189.562048611115)</f>
        <v>46189.56205</v>
      </c>
      <c r="AG270" s="251" t="str">
        <f>IFERROR(__xludf.DUMMYFUNCTION("""COMPUTED_VALUE"""),"debit")</f>
        <v>debit</v>
      </c>
      <c r="AH270" s="251">
        <f>IFERROR(__xludf.DUMMYFUNCTION("""COMPUTED_VALUE"""),14889.48)</f>
        <v>14889.48</v>
      </c>
      <c r="AI270" s="251" t="str">
        <f>IFERROR(__xludf.DUMMYFUNCTION("""COMPUTED_VALUE"""),"cash_isa")</f>
        <v>cash_isa</v>
      </c>
      <c r="AJ270" s="251" t="str">
        <f>IFERROR(__xludf.DUMMYFUNCTION("""COMPUTED_VALUE"""),"9bc00e6b-ce5f-48c5-ae3a-1baabe00f337")</f>
        <v>9bc00e6b-ce5f-48c5-ae3a-1baabe00f337</v>
      </c>
      <c r="AK270" s="251" t="str">
        <f>IFERROR(__xludf.DUMMYFUNCTION("""COMPUTED_VALUE"""),"19d8cbd6-bf6a-47fc-9552-65715777c1a3")</f>
        <v>19d8cbd6-bf6a-47fc-9552-65715777c1a3</v>
      </c>
      <c r="AL270" s="251"/>
      <c r="AM270" s="251"/>
      <c r="AN270" s="251"/>
      <c r="AO270" s="251"/>
      <c r="AP270" s="261"/>
      <c r="AR270" s="251" t="str">
        <f t="shared" si="1"/>
        <v>14889.48_debit</v>
      </c>
      <c r="AS270" s="251" t="str">
        <f t="shared" si="2"/>
        <v>DROP</v>
      </c>
      <c r="AT270" s="247"/>
    </row>
    <row r="271">
      <c r="A271" s="255" t="s">
        <v>165</v>
      </c>
      <c r="B271" s="255" t="s">
        <v>669</v>
      </c>
      <c r="C271" s="256">
        <v>46189.56760416667</v>
      </c>
      <c r="D271" s="255" t="s">
        <v>265</v>
      </c>
      <c r="E271" s="257">
        <v>5752.8</v>
      </c>
      <c r="F271" s="255" t="s">
        <v>169</v>
      </c>
      <c r="G271" s="255" t="s">
        <v>170</v>
      </c>
      <c r="H271" s="255" t="s">
        <v>662</v>
      </c>
      <c r="I271" s="258"/>
      <c r="J271" s="258"/>
      <c r="K271" s="259"/>
      <c r="L271" s="258"/>
      <c r="M271" s="260"/>
      <c r="O271" s="247"/>
      <c r="AC271" s="247"/>
      <c r="AD271" s="251" t="str">
        <f>IFERROR(__xludf.DUMMYFUNCTION("""COMPUTED_VALUE"""),"73df5aae-f42a-49a0-9d8f-616ca6dbebaa")</f>
        <v>73df5aae-f42a-49a0-9d8f-616ca6dbebaa</v>
      </c>
      <c r="AE271" s="251" t="str">
        <f>IFERROR(__xludf.DUMMYFUNCTION("""COMPUTED_VALUE"""),"019ed09f-7936-7ec9-98ef-4d467047316f")</f>
        <v>019ed09f-7936-7ec9-98ef-4d467047316f</v>
      </c>
      <c r="AF271" s="261">
        <f>IFERROR(__xludf.DUMMYFUNCTION("""COMPUTED_VALUE"""),46189.5621875)</f>
        <v>46189.56219</v>
      </c>
      <c r="AG271" s="251" t="str">
        <f>IFERROR(__xludf.DUMMYFUNCTION("""COMPUTED_VALUE"""),"credit")</f>
        <v>credit</v>
      </c>
      <c r="AH271" s="251">
        <f>IFERROR(__xludf.DUMMYFUNCTION("""COMPUTED_VALUE"""),16335.32)</f>
        <v>16335.32</v>
      </c>
      <c r="AI271" s="251" t="str">
        <f>IFERROR(__xludf.DUMMYFUNCTION("""COMPUTED_VALUE"""),"cash_isa")</f>
        <v>cash_isa</v>
      </c>
      <c r="AJ271" s="251" t="str">
        <f>IFERROR(__xludf.DUMMYFUNCTION("""COMPUTED_VALUE"""),"9bc00e6b-ce5f-48c5-ae3a-1baabe00f337")</f>
        <v>9bc00e6b-ce5f-48c5-ae3a-1baabe00f337</v>
      </c>
      <c r="AK271" s="251" t="str">
        <f>IFERROR(__xludf.DUMMYFUNCTION("""COMPUTED_VALUE"""),"2b18974c-93a5-49ef-9481-490aa1f5683b")</f>
        <v>2b18974c-93a5-49ef-9481-490aa1f5683b</v>
      </c>
      <c r="AL271" s="251"/>
      <c r="AM271" s="251"/>
      <c r="AN271" s="251"/>
      <c r="AO271" s="251"/>
      <c r="AP271" s="261"/>
      <c r="AR271" s="251" t="str">
        <f t="shared" si="1"/>
        <v>16335.32_credit</v>
      </c>
      <c r="AS271" s="251" t="str">
        <f t="shared" si="2"/>
        <v>DROP</v>
      </c>
      <c r="AT271" s="247"/>
    </row>
    <row r="272">
      <c r="A272" s="262" t="s">
        <v>165</v>
      </c>
      <c r="B272" s="262" t="s">
        <v>670</v>
      </c>
      <c r="C272" s="263">
        <v>46189.56760416667</v>
      </c>
      <c r="D272" s="262" t="s">
        <v>265</v>
      </c>
      <c r="E272" s="264">
        <v>61722.7</v>
      </c>
      <c r="F272" s="262" t="s">
        <v>169</v>
      </c>
      <c r="G272" s="262" t="s">
        <v>170</v>
      </c>
      <c r="H272" s="262" t="s">
        <v>664</v>
      </c>
      <c r="I272" s="265"/>
      <c r="J272" s="265"/>
      <c r="K272" s="266"/>
      <c r="L272" s="265"/>
      <c r="M272" s="267"/>
      <c r="O272" s="247"/>
      <c r="AC272" s="247"/>
      <c r="AD272" s="251" t="str">
        <f>IFERROR(__xludf.DUMMYFUNCTION("""COMPUTED_VALUE"""),"73df5aae-f42a-49a0-9d8f-616ca6dbebaa")</f>
        <v>73df5aae-f42a-49a0-9d8f-616ca6dbebaa</v>
      </c>
      <c r="AE272" s="251" t="str">
        <f>IFERROR(__xludf.DUMMYFUNCTION("""COMPUTED_VALUE"""),"019ed0a1-ab1a-7f97-8c94-bdcf596184be")</f>
        <v>019ed0a1-ab1a-7f97-8c94-bdcf596184be</v>
      </c>
      <c r="AF272" s="261">
        <f>IFERROR(__xludf.DUMMYFUNCTION("""COMPUTED_VALUE"""),46189.56385416667)</f>
        <v>46189.56385</v>
      </c>
      <c r="AG272" s="251" t="str">
        <f>IFERROR(__xludf.DUMMYFUNCTION("""COMPUTED_VALUE"""),"debit")</f>
        <v>debit</v>
      </c>
      <c r="AH272" s="251">
        <f>IFERROR(__xludf.DUMMYFUNCTION("""COMPUTED_VALUE"""),16335.32)</f>
        <v>16335.32</v>
      </c>
      <c r="AI272" s="251" t="str">
        <f>IFERROR(__xludf.DUMMYFUNCTION("""COMPUTED_VALUE"""),"cash_isa")</f>
        <v>cash_isa</v>
      </c>
      <c r="AJ272" s="251" t="str">
        <f>IFERROR(__xludf.DUMMYFUNCTION("""COMPUTED_VALUE"""),"9bc00e6b-ce5f-48c5-ae3a-1baabe00f337")</f>
        <v>9bc00e6b-ce5f-48c5-ae3a-1baabe00f337</v>
      </c>
      <c r="AK272" s="251" t="str">
        <f>IFERROR(__xludf.DUMMYFUNCTION("""COMPUTED_VALUE"""),"2b18974c-93a5-49ef-9481-490aa1f5683b")</f>
        <v>2b18974c-93a5-49ef-9481-490aa1f5683b</v>
      </c>
      <c r="AL272" s="251"/>
      <c r="AM272" s="251"/>
      <c r="AN272" s="251"/>
      <c r="AO272" s="251"/>
      <c r="AP272" s="261"/>
      <c r="AR272" s="251" t="str">
        <f t="shared" si="1"/>
        <v>16335.32_debit</v>
      </c>
      <c r="AS272" s="251" t="str">
        <f t="shared" si="2"/>
        <v>DROP</v>
      </c>
      <c r="AT272" s="247"/>
    </row>
    <row r="273">
      <c r="A273" s="255" t="s">
        <v>165</v>
      </c>
      <c r="B273" s="255" t="s">
        <v>671</v>
      </c>
      <c r="C273" s="256">
        <v>46189.56898148148</v>
      </c>
      <c r="D273" s="255" t="s">
        <v>265</v>
      </c>
      <c r="E273" s="257">
        <v>20401.2</v>
      </c>
      <c r="F273" s="255" t="s">
        <v>169</v>
      </c>
      <c r="G273" s="255" t="s">
        <v>170</v>
      </c>
      <c r="H273" s="255" t="s">
        <v>668</v>
      </c>
      <c r="I273" s="258"/>
      <c r="J273" s="258"/>
      <c r="K273" s="259"/>
      <c r="L273" s="258"/>
      <c r="M273" s="260"/>
      <c r="O273" s="247"/>
      <c r="AC273" s="247"/>
      <c r="AD273" s="251" t="str">
        <f>IFERROR(__xludf.DUMMYFUNCTION("""COMPUTED_VALUE"""),"73df5aae-f42a-49a0-9d8f-616ca6dbebaa")</f>
        <v>73df5aae-f42a-49a0-9d8f-616ca6dbebaa</v>
      </c>
      <c r="AE273" s="251" t="str">
        <f>IFERROR(__xludf.DUMMYFUNCTION("""COMPUTED_VALUE"""),"019ed0a1-bfa3-79c5-9720-be705d9fa612")</f>
        <v>019ed0a1-bfa3-79c5-9720-be705d9fa612</v>
      </c>
      <c r="AF273" s="261">
        <f>IFERROR(__xludf.DUMMYFUNCTION("""COMPUTED_VALUE"""),46189.56391203703)</f>
        <v>46189.56391</v>
      </c>
      <c r="AG273" s="251" t="str">
        <f>IFERROR(__xludf.DUMMYFUNCTION("""COMPUTED_VALUE"""),"credit")</f>
        <v>credit</v>
      </c>
      <c r="AH273" s="251">
        <f>IFERROR(__xludf.DUMMYFUNCTION("""COMPUTED_VALUE"""),42076.25)</f>
        <v>42076.25</v>
      </c>
      <c r="AI273" s="251" t="str">
        <f>IFERROR(__xludf.DUMMYFUNCTION("""COMPUTED_VALUE"""),"cash_isa")</f>
        <v>cash_isa</v>
      </c>
      <c r="AJ273" s="251" t="str">
        <f>IFERROR(__xludf.DUMMYFUNCTION("""COMPUTED_VALUE"""),"9bc00e6b-ce5f-48c5-ae3a-1baabe00f337")</f>
        <v>9bc00e6b-ce5f-48c5-ae3a-1baabe00f337</v>
      </c>
      <c r="AK273" s="251" t="str">
        <f>IFERROR(__xludf.DUMMYFUNCTION("""COMPUTED_VALUE"""),"294add22-1f1e-4a87-a4b9-3dc38496dfae")</f>
        <v>294add22-1f1e-4a87-a4b9-3dc38496dfae</v>
      </c>
      <c r="AL273" s="251"/>
      <c r="AM273" s="251"/>
      <c r="AN273" s="251"/>
      <c r="AO273" s="251"/>
      <c r="AP273" s="261"/>
      <c r="AR273" s="251" t="str">
        <f t="shared" si="1"/>
        <v>42076.25_credit</v>
      </c>
      <c r="AS273" s="251" t="str">
        <f t="shared" si="2"/>
        <v>DROP</v>
      </c>
      <c r="AT273" s="247"/>
    </row>
    <row r="274">
      <c r="A274" s="262" t="s">
        <v>165</v>
      </c>
      <c r="B274" s="262" t="s">
        <v>672</v>
      </c>
      <c r="C274" s="263">
        <v>46189.56898148148</v>
      </c>
      <c r="D274" s="262" t="s">
        <v>265</v>
      </c>
      <c r="E274" s="264">
        <v>63796.02</v>
      </c>
      <c r="F274" s="262" t="s">
        <v>169</v>
      </c>
      <c r="G274" s="262" t="s">
        <v>170</v>
      </c>
      <c r="H274" s="262" t="s">
        <v>666</v>
      </c>
      <c r="I274" s="265"/>
      <c r="J274" s="265"/>
      <c r="K274" s="266"/>
      <c r="L274" s="265"/>
      <c r="M274" s="267"/>
      <c r="O274" s="247"/>
      <c r="AC274" s="247"/>
      <c r="AD274" s="251" t="str">
        <f>IFERROR(__xludf.DUMMYFUNCTION("""COMPUTED_VALUE"""),"73df5aae-f42a-49a0-9d8f-616ca6dbebaa")</f>
        <v>73df5aae-f42a-49a0-9d8f-616ca6dbebaa</v>
      </c>
      <c r="AE274" s="251" t="str">
        <f>IFERROR(__xludf.DUMMYFUNCTION("""COMPUTED_VALUE"""),"019ed0a3-d499-7e1c-bde5-3c4976126bf7")</f>
        <v>019ed0a3-d499-7e1c-bde5-3c4976126bf7</v>
      </c>
      <c r="AF274" s="261">
        <f>IFERROR(__xludf.DUMMYFUNCTION("""COMPUTED_VALUE"""),46189.56548611111)</f>
        <v>46189.56549</v>
      </c>
      <c r="AG274" s="251" t="str">
        <f>IFERROR(__xludf.DUMMYFUNCTION("""COMPUTED_VALUE"""),"debit")</f>
        <v>debit</v>
      </c>
      <c r="AH274" s="251">
        <f>IFERROR(__xludf.DUMMYFUNCTION("""COMPUTED_VALUE"""),42076.25)</f>
        <v>42076.25</v>
      </c>
      <c r="AI274" s="251" t="str">
        <f>IFERROR(__xludf.DUMMYFUNCTION("""COMPUTED_VALUE"""),"cash_isa")</f>
        <v>cash_isa</v>
      </c>
      <c r="AJ274" s="251" t="str">
        <f>IFERROR(__xludf.DUMMYFUNCTION("""COMPUTED_VALUE"""),"9bc00e6b-ce5f-48c5-ae3a-1baabe00f337")</f>
        <v>9bc00e6b-ce5f-48c5-ae3a-1baabe00f337</v>
      </c>
      <c r="AK274" s="251" t="str">
        <f>IFERROR(__xludf.DUMMYFUNCTION("""COMPUTED_VALUE"""),"294add22-1f1e-4a87-a4b9-3dc38496dfae")</f>
        <v>294add22-1f1e-4a87-a4b9-3dc38496dfae</v>
      </c>
      <c r="AL274" s="251"/>
      <c r="AM274" s="251"/>
      <c r="AN274" s="251"/>
      <c r="AO274" s="251"/>
      <c r="AP274" s="261"/>
      <c r="AR274" s="251" t="str">
        <f t="shared" si="1"/>
        <v>42076.25_debit</v>
      </c>
      <c r="AS274" s="251" t="str">
        <f t="shared" si="2"/>
        <v>DROP</v>
      </c>
      <c r="AT274" s="247"/>
    </row>
    <row r="275">
      <c r="A275" s="255" t="s">
        <v>165</v>
      </c>
      <c r="B275" s="255" t="s">
        <v>673</v>
      </c>
      <c r="C275" s="256">
        <v>46189.56931712963</v>
      </c>
      <c r="D275" s="255" t="s">
        <v>167</v>
      </c>
      <c r="E275" s="257">
        <v>5402.95</v>
      </c>
      <c r="F275" s="255" t="s">
        <v>169</v>
      </c>
      <c r="G275" s="255" t="s">
        <v>170</v>
      </c>
      <c r="H275" s="255" t="s">
        <v>674</v>
      </c>
      <c r="I275" s="258"/>
      <c r="J275" s="258"/>
      <c r="K275" s="259"/>
      <c r="L275" s="258"/>
      <c r="M275" s="260"/>
      <c r="O275" s="247"/>
      <c r="AC275" s="247"/>
      <c r="AD275" s="251" t="str">
        <f>IFERROR(__xludf.DUMMYFUNCTION("""COMPUTED_VALUE"""),"73df5aae-f42a-49a0-9d8f-616ca6dbebaa")</f>
        <v>73df5aae-f42a-49a0-9d8f-616ca6dbebaa</v>
      </c>
      <c r="AE275" s="251" t="str">
        <f>IFERROR(__xludf.DUMMYFUNCTION("""COMPUTED_VALUE"""),"019ed0a4-9553-7608-8494-99833df98d17")</f>
        <v>019ed0a4-9553-7608-8494-99833df98d17</v>
      </c>
      <c r="AF275" s="261">
        <f>IFERROR(__xludf.DUMMYFUNCTION("""COMPUTED_VALUE"""),46189.56606481482)</f>
        <v>46189.56606</v>
      </c>
      <c r="AG275" s="251" t="str">
        <f>IFERROR(__xludf.DUMMYFUNCTION("""COMPUTED_VALUE"""),"credit")</f>
        <v>credit</v>
      </c>
      <c r="AH275" s="251">
        <f>IFERROR(__xludf.DUMMYFUNCTION("""COMPUTED_VALUE"""),5752.8)</f>
        <v>5752.8</v>
      </c>
      <c r="AI275" s="251" t="str">
        <f>IFERROR(__xludf.DUMMYFUNCTION("""COMPUTED_VALUE"""),"cash_isa")</f>
        <v>cash_isa</v>
      </c>
      <c r="AJ275" s="251" t="str">
        <f>IFERROR(__xludf.DUMMYFUNCTION("""COMPUTED_VALUE"""),"9bc00e6b-ce5f-48c5-ae3a-1baabe00f337")</f>
        <v>9bc00e6b-ce5f-48c5-ae3a-1baabe00f337</v>
      </c>
      <c r="AK275" s="251" t="str">
        <f>IFERROR(__xludf.DUMMYFUNCTION("""COMPUTED_VALUE"""),"994b618a-ad5d-4781-b3b4-c8dbfd9493f5")</f>
        <v>994b618a-ad5d-4781-b3b4-c8dbfd9493f5</v>
      </c>
      <c r="AL275" s="251"/>
      <c r="AM275" s="251"/>
      <c r="AN275" s="251"/>
      <c r="AO275" s="251"/>
      <c r="AP275" s="261"/>
      <c r="AR275" s="251" t="str">
        <f t="shared" si="1"/>
        <v>5752.8_credit</v>
      </c>
      <c r="AS275" s="251" t="str">
        <f t="shared" si="2"/>
        <v>DROP</v>
      </c>
      <c r="AT275" s="247"/>
    </row>
    <row r="276">
      <c r="A276" s="262" t="s">
        <v>165</v>
      </c>
      <c r="B276" s="262" t="s">
        <v>675</v>
      </c>
      <c r="C276" s="263">
        <v>46189.56980324074</v>
      </c>
      <c r="D276" s="262" t="s">
        <v>167</v>
      </c>
      <c r="E276" s="264">
        <v>20497.92</v>
      </c>
      <c r="F276" s="262" t="s">
        <v>169</v>
      </c>
      <c r="G276" s="262" t="s">
        <v>170</v>
      </c>
      <c r="H276" s="262" t="s">
        <v>676</v>
      </c>
      <c r="I276" s="265"/>
      <c r="J276" s="265"/>
      <c r="K276" s="266"/>
      <c r="L276" s="265"/>
      <c r="M276" s="267"/>
      <c r="O276" s="247"/>
      <c r="AC276" s="247"/>
      <c r="AD276" s="251" t="str">
        <f>IFERROR(__xludf.DUMMYFUNCTION("""COMPUTED_VALUE"""),"73df5aae-f42a-49a0-9d8f-616ca6dbebaa")</f>
        <v>73df5aae-f42a-49a0-9d8f-616ca6dbebaa</v>
      </c>
      <c r="AE276" s="251" t="str">
        <f>IFERROR(__xludf.DUMMYFUNCTION("""COMPUTED_VALUE"""),"019ed0a4-e769-7131-9a2f-bbcaf03413ac")</f>
        <v>019ed0a4-e769-7131-9a2f-bbcaf03413ac</v>
      </c>
      <c r="AF276" s="261">
        <f>IFERROR(__xludf.DUMMYFUNCTION("""COMPUTED_VALUE"""),46189.566307870366)</f>
        <v>46189.56631</v>
      </c>
      <c r="AG276" s="251" t="str">
        <f>IFERROR(__xludf.DUMMYFUNCTION("""COMPUTED_VALUE"""),"credit")</f>
        <v>credit</v>
      </c>
      <c r="AH276" s="251">
        <f>IFERROR(__xludf.DUMMYFUNCTION("""COMPUTED_VALUE"""),61722.7)</f>
        <v>61722.7</v>
      </c>
      <c r="AI276" s="251" t="str">
        <f>IFERROR(__xludf.DUMMYFUNCTION("""COMPUTED_VALUE"""),"cash_isa")</f>
        <v>cash_isa</v>
      </c>
      <c r="AJ276" s="251" t="str">
        <f>IFERROR(__xludf.DUMMYFUNCTION("""COMPUTED_VALUE"""),"9bc00e6b-ce5f-48c5-ae3a-1baabe00f337")</f>
        <v>9bc00e6b-ce5f-48c5-ae3a-1baabe00f337</v>
      </c>
      <c r="AK276" s="251" t="str">
        <f>IFERROR(__xludf.DUMMYFUNCTION("""COMPUTED_VALUE"""),"0e1c5912-4e20-4840-a5b1-bd17d792d0f1")</f>
        <v>0e1c5912-4e20-4840-a5b1-bd17d792d0f1</v>
      </c>
      <c r="AL276" s="251"/>
      <c r="AM276" s="251"/>
      <c r="AN276" s="251"/>
      <c r="AO276" s="251"/>
      <c r="AP276" s="261"/>
      <c r="AR276" s="251" t="str">
        <f t="shared" si="1"/>
        <v>61722.7_credit</v>
      </c>
      <c r="AS276" s="251" t="str">
        <f t="shared" si="2"/>
        <v>DROP</v>
      </c>
      <c r="AT276" s="247"/>
    </row>
    <row r="277">
      <c r="A277" s="255" t="s">
        <v>165</v>
      </c>
      <c r="B277" s="255" t="s">
        <v>677</v>
      </c>
      <c r="C277" s="256">
        <v>46189.570763888885</v>
      </c>
      <c r="D277" s="255" t="s">
        <v>265</v>
      </c>
      <c r="E277" s="257">
        <v>20497.92</v>
      </c>
      <c r="F277" s="255" t="s">
        <v>169</v>
      </c>
      <c r="G277" s="255" t="s">
        <v>170</v>
      </c>
      <c r="H277" s="255" t="s">
        <v>676</v>
      </c>
      <c r="I277" s="258"/>
      <c r="J277" s="258"/>
      <c r="K277" s="259"/>
      <c r="L277" s="258"/>
      <c r="M277" s="260"/>
      <c r="O277" s="247"/>
      <c r="AC277" s="247"/>
      <c r="AD277" s="251" t="str">
        <f>IFERROR(__xludf.DUMMYFUNCTION("""COMPUTED_VALUE"""),"73df5aae-f42a-49a0-9d8f-616ca6dbebaa")</f>
        <v>73df5aae-f42a-49a0-9d8f-616ca6dbebaa</v>
      </c>
      <c r="AE277" s="251" t="str">
        <f>IFERROR(__xludf.DUMMYFUNCTION("""COMPUTED_VALUE"""),"019ed0a6-5512-7569-b11f-1858a9a13458")</f>
        <v>019ed0a6-5512-7569-b11f-1858a9a13458</v>
      </c>
      <c r="AF277" s="261">
        <f>IFERROR(__xludf.DUMMYFUNCTION("""COMPUTED_VALUE"""),46189.56738425926)</f>
        <v>46189.56738</v>
      </c>
      <c r="AG277" s="251" t="str">
        <f>IFERROR(__xludf.DUMMYFUNCTION("""COMPUTED_VALUE"""),"credit")</f>
        <v>credit</v>
      </c>
      <c r="AH277" s="251">
        <f>IFERROR(__xludf.DUMMYFUNCTION("""COMPUTED_VALUE"""),63796.02)</f>
        <v>63796.02</v>
      </c>
      <c r="AI277" s="251" t="str">
        <f>IFERROR(__xludf.DUMMYFUNCTION("""COMPUTED_VALUE"""),"cash_isa")</f>
        <v>cash_isa</v>
      </c>
      <c r="AJ277" s="251" t="str">
        <f>IFERROR(__xludf.DUMMYFUNCTION("""COMPUTED_VALUE"""),"9bc00e6b-ce5f-48c5-ae3a-1baabe00f337")</f>
        <v>9bc00e6b-ce5f-48c5-ae3a-1baabe00f337</v>
      </c>
      <c r="AK277" s="251" t="str">
        <f>IFERROR(__xludf.DUMMYFUNCTION("""COMPUTED_VALUE"""),"005e70e1-a8c5-4000-b67d-bbe552bdfe5e")</f>
        <v>005e70e1-a8c5-4000-b67d-bbe552bdfe5e</v>
      </c>
      <c r="AL277" s="251"/>
      <c r="AM277" s="251"/>
      <c r="AN277" s="251"/>
      <c r="AO277" s="251"/>
      <c r="AP277" s="261"/>
      <c r="AR277" s="251" t="str">
        <f t="shared" si="1"/>
        <v>63796.02_credit</v>
      </c>
      <c r="AS277" s="251" t="str">
        <f t="shared" si="2"/>
        <v>DROP</v>
      </c>
      <c r="AT277" s="247"/>
    </row>
    <row r="278">
      <c r="A278" s="262" t="s">
        <v>165</v>
      </c>
      <c r="B278" s="262" t="s">
        <v>678</v>
      </c>
      <c r="C278" s="263">
        <v>46189.570763888885</v>
      </c>
      <c r="D278" s="262" t="s">
        <v>265</v>
      </c>
      <c r="E278" s="264">
        <v>5402.95</v>
      </c>
      <c r="F278" s="262" t="s">
        <v>169</v>
      </c>
      <c r="G278" s="262" t="s">
        <v>170</v>
      </c>
      <c r="H278" s="262" t="s">
        <v>674</v>
      </c>
      <c r="I278" s="265"/>
      <c r="J278" s="265"/>
      <c r="K278" s="266"/>
      <c r="L278" s="265"/>
      <c r="M278" s="267"/>
      <c r="O278" s="247"/>
      <c r="AC278" s="247"/>
      <c r="AD278" s="251" t="str">
        <f>IFERROR(__xludf.DUMMYFUNCTION("""COMPUTED_VALUE"""),"73df5aae-f42a-49a0-9d8f-616ca6dbebaa")</f>
        <v>73df5aae-f42a-49a0-9d8f-616ca6dbebaa</v>
      </c>
      <c r="AE278" s="251" t="str">
        <f>IFERROR(__xludf.DUMMYFUNCTION("""COMPUTED_VALUE"""),"019ed0a6-82c8-7ced-9cb1-e57d28f5ce51")</f>
        <v>019ed0a6-82c8-7ced-9cb1-e57d28f5ce51</v>
      </c>
      <c r="AF278" s="261">
        <f>IFERROR(__xludf.DUMMYFUNCTION("""COMPUTED_VALUE"""),46189.567523148144)</f>
        <v>46189.56752</v>
      </c>
      <c r="AG278" s="251" t="str">
        <f>IFERROR(__xludf.DUMMYFUNCTION("""COMPUTED_VALUE"""),"credit")</f>
        <v>credit</v>
      </c>
      <c r="AH278" s="251">
        <f>IFERROR(__xludf.DUMMYFUNCTION("""COMPUTED_VALUE"""),20401.2)</f>
        <v>20401.2</v>
      </c>
      <c r="AI278" s="251" t="str">
        <f>IFERROR(__xludf.DUMMYFUNCTION("""COMPUTED_VALUE"""),"cash_isa")</f>
        <v>cash_isa</v>
      </c>
      <c r="AJ278" s="251" t="str">
        <f>IFERROR(__xludf.DUMMYFUNCTION("""COMPUTED_VALUE"""),"9bc00e6b-ce5f-48c5-ae3a-1baabe00f337")</f>
        <v>9bc00e6b-ce5f-48c5-ae3a-1baabe00f337</v>
      </c>
      <c r="AK278" s="251" t="str">
        <f>IFERROR(__xludf.DUMMYFUNCTION("""COMPUTED_VALUE"""),"17c98068-bdd3-4865-ad5d-1bfd760a6bb3")</f>
        <v>17c98068-bdd3-4865-ad5d-1bfd760a6bb3</v>
      </c>
      <c r="AL278" s="251"/>
      <c r="AM278" s="251"/>
      <c r="AN278" s="251"/>
      <c r="AO278" s="251"/>
      <c r="AP278" s="261"/>
      <c r="AR278" s="251" t="str">
        <f t="shared" si="1"/>
        <v>20401.2_credit</v>
      </c>
      <c r="AS278" s="251" t="str">
        <f t="shared" si="2"/>
        <v>DROP</v>
      </c>
      <c r="AT278" s="247"/>
    </row>
    <row r="279">
      <c r="A279" s="255" t="s">
        <v>165</v>
      </c>
      <c r="B279" s="255" t="s">
        <v>679</v>
      </c>
      <c r="C279" s="256">
        <v>46189.571180555555</v>
      </c>
      <c r="D279" s="255" t="s">
        <v>167</v>
      </c>
      <c r="E279" s="257">
        <v>55246.0</v>
      </c>
      <c r="F279" s="255" t="s">
        <v>169</v>
      </c>
      <c r="G279" s="255" t="s">
        <v>170</v>
      </c>
      <c r="H279" s="255" t="s">
        <v>680</v>
      </c>
      <c r="I279" s="258"/>
      <c r="J279" s="258"/>
      <c r="K279" s="259"/>
      <c r="L279" s="258"/>
      <c r="M279" s="260"/>
      <c r="O279" s="247"/>
      <c r="AC279" s="247"/>
      <c r="AD279" s="251" t="str">
        <f>IFERROR(__xludf.DUMMYFUNCTION("""COMPUTED_VALUE"""),"73df5aae-f42a-49a0-9d8f-616ca6dbebaa")</f>
        <v>73df5aae-f42a-49a0-9d8f-616ca6dbebaa</v>
      </c>
      <c r="AE279" s="251" t="str">
        <f>IFERROR(__xludf.DUMMYFUNCTION("""COMPUTED_VALUE"""),"019ed0a6-9d8a-7bcf-8975-791c2771d2f0")</f>
        <v>019ed0a6-9d8a-7bcf-8975-791c2771d2f0</v>
      </c>
      <c r="AF279" s="261">
        <f>IFERROR(__xludf.DUMMYFUNCTION("""COMPUTED_VALUE"""),46189.56760416667)</f>
        <v>46189.5676</v>
      </c>
      <c r="AG279" s="251" t="str">
        <f>IFERROR(__xludf.DUMMYFUNCTION("""COMPUTED_VALUE"""),"debit")</f>
        <v>debit</v>
      </c>
      <c r="AH279" s="251">
        <f>IFERROR(__xludf.DUMMYFUNCTION("""COMPUTED_VALUE"""),5752.8)</f>
        <v>5752.8</v>
      </c>
      <c r="AI279" s="251" t="str">
        <f>IFERROR(__xludf.DUMMYFUNCTION("""COMPUTED_VALUE"""),"cash_isa")</f>
        <v>cash_isa</v>
      </c>
      <c r="AJ279" s="251" t="str">
        <f>IFERROR(__xludf.DUMMYFUNCTION("""COMPUTED_VALUE"""),"9bc00e6b-ce5f-48c5-ae3a-1baabe00f337")</f>
        <v>9bc00e6b-ce5f-48c5-ae3a-1baabe00f337</v>
      </c>
      <c r="AK279" s="251" t="str">
        <f>IFERROR(__xludf.DUMMYFUNCTION("""COMPUTED_VALUE"""),"994b618a-ad5d-4781-b3b4-c8dbfd9493f5")</f>
        <v>994b618a-ad5d-4781-b3b4-c8dbfd9493f5</v>
      </c>
      <c r="AL279" s="251"/>
      <c r="AM279" s="251"/>
      <c r="AN279" s="251"/>
      <c r="AO279" s="251"/>
      <c r="AP279" s="261"/>
      <c r="AR279" s="251" t="str">
        <f t="shared" si="1"/>
        <v>5752.8_debit</v>
      </c>
      <c r="AS279" s="251" t="str">
        <f t="shared" si="2"/>
        <v>DROP</v>
      </c>
      <c r="AT279" s="247"/>
    </row>
    <row r="280">
      <c r="A280" s="262" t="s">
        <v>165</v>
      </c>
      <c r="B280" s="262" t="s">
        <v>681</v>
      </c>
      <c r="C280" s="263">
        <v>46189.57129629629</v>
      </c>
      <c r="D280" s="262" t="s">
        <v>167</v>
      </c>
      <c r="E280" s="264">
        <v>14300.68</v>
      </c>
      <c r="F280" s="262" t="s">
        <v>169</v>
      </c>
      <c r="G280" s="262" t="s">
        <v>170</v>
      </c>
      <c r="H280" s="262" t="s">
        <v>682</v>
      </c>
      <c r="I280" s="262"/>
      <c r="J280" s="262"/>
      <c r="K280" s="274"/>
      <c r="L280" s="262"/>
      <c r="M280" s="275"/>
      <c r="O280" s="247"/>
      <c r="AC280" s="247"/>
      <c r="AD280" s="251" t="str">
        <f>IFERROR(__xludf.DUMMYFUNCTION("""COMPUTED_VALUE"""),"73df5aae-f42a-49a0-9d8f-616ca6dbebaa")</f>
        <v>73df5aae-f42a-49a0-9d8f-616ca6dbebaa</v>
      </c>
      <c r="AE280" s="251" t="str">
        <f>IFERROR(__xludf.DUMMYFUNCTION("""COMPUTED_VALUE"""),"019ed0a6-9f08-7f4e-b07f-02c72ca8e8b7")</f>
        <v>019ed0a6-9f08-7f4e-b07f-02c72ca8e8b7</v>
      </c>
      <c r="AF280" s="261">
        <f>IFERROR(__xludf.DUMMYFUNCTION("""COMPUTED_VALUE"""),46189.56760416667)</f>
        <v>46189.5676</v>
      </c>
      <c r="AG280" s="251" t="str">
        <f>IFERROR(__xludf.DUMMYFUNCTION("""COMPUTED_VALUE"""),"debit")</f>
        <v>debit</v>
      </c>
      <c r="AH280" s="251">
        <f>IFERROR(__xludf.DUMMYFUNCTION("""COMPUTED_VALUE"""),61722.7)</f>
        <v>61722.7</v>
      </c>
      <c r="AI280" s="251" t="str">
        <f>IFERROR(__xludf.DUMMYFUNCTION("""COMPUTED_VALUE"""),"cash_isa")</f>
        <v>cash_isa</v>
      </c>
      <c r="AJ280" s="251" t="str">
        <f>IFERROR(__xludf.DUMMYFUNCTION("""COMPUTED_VALUE"""),"9bc00e6b-ce5f-48c5-ae3a-1baabe00f337")</f>
        <v>9bc00e6b-ce5f-48c5-ae3a-1baabe00f337</v>
      </c>
      <c r="AK280" s="251" t="str">
        <f>IFERROR(__xludf.DUMMYFUNCTION("""COMPUTED_VALUE"""),"0e1c5912-4e20-4840-a5b1-bd17d792d0f1")</f>
        <v>0e1c5912-4e20-4840-a5b1-bd17d792d0f1</v>
      </c>
      <c r="AL280" s="251"/>
      <c r="AM280" s="251"/>
      <c r="AN280" s="251"/>
      <c r="AO280" s="251"/>
      <c r="AP280" s="261"/>
      <c r="AR280" s="251" t="str">
        <f t="shared" si="1"/>
        <v>61722.7_debit</v>
      </c>
      <c r="AS280" s="251" t="str">
        <f t="shared" si="2"/>
        <v>DROP</v>
      </c>
      <c r="AT280" s="247"/>
    </row>
    <row r="281">
      <c r="A281" s="255" t="s">
        <v>165</v>
      </c>
      <c r="B281" s="255" t="s">
        <v>683</v>
      </c>
      <c r="C281" s="256">
        <v>46189.57193287037</v>
      </c>
      <c r="D281" s="255" t="s">
        <v>167</v>
      </c>
      <c r="E281" s="257">
        <v>20368.38</v>
      </c>
      <c r="F281" s="255" t="s">
        <v>169</v>
      </c>
      <c r="G281" s="255" t="s">
        <v>170</v>
      </c>
      <c r="H281" s="255" t="s">
        <v>684</v>
      </c>
      <c r="I281" s="255"/>
      <c r="J281" s="255"/>
      <c r="K281" s="272"/>
      <c r="L281" s="255"/>
      <c r="M281" s="273"/>
      <c r="O281" s="247"/>
      <c r="AC281" s="247"/>
      <c r="AD281" s="251" t="str">
        <f>IFERROR(__xludf.DUMMYFUNCTION("""COMPUTED_VALUE"""),"73df5aae-f42a-49a0-9d8f-616ca6dbebaa")</f>
        <v>73df5aae-f42a-49a0-9d8f-616ca6dbebaa</v>
      </c>
      <c r="AE281" s="251" t="str">
        <f>IFERROR(__xludf.DUMMYFUNCTION("""COMPUTED_VALUE"""),"019ed0a8-7049-76de-b5e8-b09451c7b7ff")</f>
        <v>019ed0a8-7049-76de-b5e8-b09451c7b7ff</v>
      </c>
      <c r="AF281" s="261">
        <f>IFERROR(__xludf.DUMMYFUNCTION("""COMPUTED_VALUE"""),46189.56898148148)</f>
        <v>46189.56898</v>
      </c>
      <c r="AG281" s="251" t="str">
        <f>IFERROR(__xludf.DUMMYFUNCTION("""COMPUTED_VALUE"""),"debit")</f>
        <v>debit</v>
      </c>
      <c r="AH281" s="251">
        <f>IFERROR(__xludf.DUMMYFUNCTION("""COMPUTED_VALUE"""),20401.2)</f>
        <v>20401.2</v>
      </c>
      <c r="AI281" s="251" t="str">
        <f>IFERROR(__xludf.DUMMYFUNCTION("""COMPUTED_VALUE"""),"cash_isa")</f>
        <v>cash_isa</v>
      </c>
      <c r="AJ281" s="251" t="str">
        <f>IFERROR(__xludf.DUMMYFUNCTION("""COMPUTED_VALUE"""),"9bc00e6b-ce5f-48c5-ae3a-1baabe00f337")</f>
        <v>9bc00e6b-ce5f-48c5-ae3a-1baabe00f337</v>
      </c>
      <c r="AK281" s="251" t="str">
        <f>IFERROR(__xludf.DUMMYFUNCTION("""COMPUTED_VALUE"""),"17c98068-bdd3-4865-ad5d-1bfd760a6bb3")</f>
        <v>17c98068-bdd3-4865-ad5d-1bfd760a6bb3</v>
      </c>
      <c r="AL281" s="251"/>
      <c r="AM281" s="251"/>
      <c r="AN281" s="251"/>
      <c r="AO281" s="251"/>
      <c r="AP281" s="261"/>
      <c r="AR281" s="251" t="str">
        <f t="shared" si="1"/>
        <v>20401.2_debit</v>
      </c>
      <c r="AS281" s="251" t="str">
        <f t="shared" si="2"/>
        <v>DROP</v>
      </c>
      <c r="AT281" s="247"/>
    </row>
    <row r="282">
      <c r="A282" s="262" t="s">
        <v>165</v>
      </c>
      <c r="B282" s="262" t="s">
        <v>685</v>
      </c>
      <c r="C282" s="263">
        <v>46189.57297453703</v>
      </c>
      <c r="D282" s="262" t="s">
        <v>167</v>
      </c>
      <c r="E282" s="264">
        <v>13205.24</v>
      </c>
      <c r="F282" s="262" t="s">
        <v>169</v>
      </c>
      <c r="G282" s="262" t="s">
        <v>170</v>
      </c>
      <c r="H282" s="262" t="s">
        <v>686</v>
      </c>
      <c r="I282" s="262"/>
      <c r="J282" s="262"/>
      <c r="K282" s="274"/>
      <c r="L282" s="262"/>
      <c r="M282" s="275"/>
      <c r="O282" s="247"/>
      <c r="AC282" s="247"/>
      <c r="AD282" s="251" t="str">
        <f>IFERROR(__xludf.DUMMYFUNCTION("""COMPUTED_VALUE"""),"73df5aae-f42a-49a0-9d8f-616ca6dbebaa")</f>
        <v>73df5aae-f42a-49a0-9d8f-616ca6dbebaa</v>
      </c>
      <c r="AE282" s="251" t="str">
        <f>IFERROR(__xludf.DUMMYFUNCTION("""COMPUTED_VALUE"""),"019ed0a8-70aa-7aca-afdc-63ea4d163a36")</f>
        <v>019ed0a8-70aa-7aca-afdc-63ea4d163a36</v>
      </c>
      <c r="AF282" s="261">
        <f>IFERROR(__xludf.DUMMYFUNCTION("""COMPUTED_VALUE"""),46189.56898148148)</f>
        <v>46189.56898</v>
      </c>
      <c r="AG282" s="251" t="str">
        <f>IFERROR(__xludf.DUMMYFUNCTION("""COMPUTED_VALUE"""),"debit")</f>
        <v>debit</v>
      </c>
      <c r="AH282" s="251">
        <f>IFERROR(__xludf.DUMMYFUNCTION("""COMPUTED_VALUE"""),63796.02)</f>
        <v>63796.02</v>
      </c>
      <c r="AI282" s="251" t="str">
        <f>IFERROR(__xludf.DUMMYFUNCTION("""COMPUTED_VALUE"""),"cash_isa")</f>
        <v>cash_isa</v>
      </c>
      <c r="AJ282" s="251" t="str">
        <f>IFERROR(__xludf.DUMMYFUNCTION("""COMPUTED_VALUE"""),"9bc00e6b-ce5f-48c5-ae3a-1baabe00f337")</f>
        <v>9bc00e6b-ce5f-48c5-ae3a-1baabe00f337</v>
      </c>
      <c r="AK282" s="251" t="str">
        <f>IFERROR(__xludf.DUMMYFUNCTION("""COMPUTED_VALUE"""),"005e70e1-a8c5-4000-b67d-bbe552bdfe5e")</f>
        <v>005e70e1-a8c5-4000-b67d-bbe552bdfe5e</v>
      </c>
      <c r="AL282" s="251"/>
      <c r="AM282" s="251"/>
      <c r="AN282" s="251"/>
      <c r="AO282" s="251"/>
      <c r="AP282" s="261"/>
      <c r="AR282" s="251" t="str">
        <f t="shared" si="1"/>
        <v>63796.02_debit</v>
      </c>
      <c r="AS282" s="251" t="str">
        <f t="shared" si="2"/>
        <v>DROP</v>
      </c>
      <c r="AT282" s="247"/>
    </row>
    <row r="283">
      <c r="A283" s="255" t="s">
        <v>165</v>
      </c>
      <c r="B283" s="255" t="s">
        <v>687</v>
      </c>
      <c r="C283" s="256">
        <v>46189.57302083333</v>
      </c>
      <c r="D283" s="255" t="s">
        <v>265</v>
      </c>
      <c r="E283" s="257">
        <v>55246.0</v>
      </c>
      <c r="F283" s="255" t="s">
        <v>169</v>
      </c>
      <c r="G283" s="255" t="s">
        <v>170</v>
      </c>
      <c r="H283" s="255" t="s">
        <v>680</v>
      </c>
      <c r="I283" s="255"/>
      <c r="J283" s="255"/>
      <c r="K283" s="272"/>
      <c r="L283" s="255"/>
      <c r="M283" s="273"/>
      <c r="O283" s="247"/>
      <c r="AC283" s="247"/>
      <c r="AD283" s="251" t="str">
        <f>IFERROR(__xludf.DUMMYFUNCTION("""COMPUTED_VALUE"""),"73df5aae-f42a-49a0-9d8f-616ca6dbebaa")</f>
        <v>73df5aae-f42a-49a0-9d8f-616ca6dbebaa</v>
      </c>
      <c r="AE283" s="251" t="str">
        <f>IFERROR(__xludf.DUMMYFUNCTION("""COMPUTED_VALUE"""),"019ed0a8-e181-7a57-bcb1-2911b2ac8c4e")</f>
        <v>019ed0a8-e181-7a57-bcb1-2911b2ac8c4e</v>
      </c>
      <c r="AF283" s="261">
        <f>IFERROR(__xludf.DUMMYFUNCTION("""COMPUTED_VALUE"""),46189.56931712963)</f>
        <v>46189.56932</v>
      </c>
      <c r="AG283" s="251" t="str">
        <f>IFERROR(__xludf.DUMMYFUNCTION("""COMPUTED_VALUE"""),"credit")</f>
        <v>credit</v>
      </c>
      <c r="AH283" s="251">
        <f>IFERROR(__xludf.DUMMYFUNCTION("""COMPUTED_VALUE"""),5402.95)</f>
        <v>5402.95</v>
      </c>
      <c r="AI283" s="251" t="str">
        <f>IFERROR(__xludf.DUMMYFUNCTION("""COMPUTED_VALUE"""),"cash_isa")</f>
        <v>cash_isa</v>
      </c>
      <c r="AJ283" s="251" t="str">
        <f>IFERROR(__xludf.DUMMYFUNCTION("""COMPUTED_VALUE"""),"9bc00e6b-ce5f-48c5-ae3a-1baabe00f337")</f>
        <v>9bc00e6b-ce5f-48c5-ae3a-1baabe00f337</v>
      </c>
      <c r="AK283" s="251" t="str">
        <f>IFERROR(__xludf.DUMMYFUNCTION("""COMPUTED_VALUE"""),"62022b53-a22d-4001-be8c-8e03107d4460")</f>
        <v>62022b53-a22d-4001-be8c-8e03107d4460</v>
      </c>
      <c r="AL283" s="251"/>
      <c r="AM283" s="251"/>
      <c r="AN283" s="251"/>
      <c r="AO283" s="251"/>
      <c r="AP283" s="261"/>
      <c r="AR283" s="251" t="str">
        <f t="shared" si="1"/>
        <v>5402.95_credit</v>
      </c>
      <c r="AS283" s="251" t="str">
        <f t="shared" si="2"/>
        <v>DROP</v>
      </c>
      <c r="AT283" s="247"/>
    </row>
    <row r="284">
      <c r="A284" s="262" t="s">
        <v>165</v>
      </c>
      <c r="B284" s="262" t="s">
        <v>688</v>
      </c>
      <c r="C284" s="263">
        <v>46189.57336805556</v>
      </c>
      <c r="D284" s="262" t="s">
        <v>265</v>
      </c>
      <c r="E284" s="264">
        <v>20368.38</v>
      </c>
      <c r="F284" s="262" t="s">
        <v>169</v>
      </c>
      <c r="G284" s="262" t="s">
        <v>170</v>
      </c>
      <c r="H284" s="262" t="s">
        <v>684</v>
      </c>
      <c r="I284" s="262"/>
      <c r="J284" s="262"/>
      <c r="K284" s="274"/>
      <c r="L284" s="262"/>
      <c r="M284" s="275"/>
      <c r="O284" s="247"/>
      <c r="AC284" s="247"/>
      <c r="AD284" s="251" t="str">
        <f>IFERROR(__xludf.DUMMYFUNCTION("""COMPUTED_VALUE"""),"73df5aae-f42a-49a0-9d8f-616ca6dbebaa")</f>
        <v>73df5aae-f42a-49a0-9d8f-616ca6dbebaa</v>
      </c>
      <c r="AE284" s="251" t="str">
        <f>IFERROR(__xludf.DUMMYFUNCTION("""COMPUTED_VALUE"""),"019ed0a9-84bc-7821-9feb-1fbc4b202a42")</f>
        <v>019ed0a9-84bc-7821-9feb-1fbc4b202a42</v>
      </c>
      <c r="AF284" s="261">
        <f>IFERROR(__xludf.DUMMYFUNCTION("""COMPUTED_VALUE"""),46189.56980324074)</f>
        <v>46189.5698</v>
      </c>
      <c r="AG284" s="251" t="str">
        <f>IFERROR(__xludf.DUMMYFUNCTION("""COMPUTED_VALUE"""),"credit")</f>
        <v>credit</v>
      </c>
      <c r="AH284" s="251">
        <f>IFERROR(__xludf.DUMMYFUNCTION("""COMPUTED_VALUE"""),20497.92)</f>
        <v>20497.92</v>
      </c>
      <c r="AI284" s="251" t="str">
        <f>IFERROR(__xludf.DUMMYFUNCTION("""COMPUTED_VALUE"""),"cash_isa")</f>
        <v>cash_isa</v>
      </c>
      <c r="AJ284" s="251" t="str">
        <f>IFERROR(__xludf.DUMMYFUNCTION("""COMPUTED_VALUE"""),"9bc00e6b-ce5f-48c5-ae3a-1baabe00f337")</f>
        <v>9bc00e6b-ce5f-48c5-ae3a-1baabe00f337</v>
      </c>
      <c r="AK284" s="251" t="str">
        <f>IFERROR(__xludf.DUMMYFUNCTION("""COMPUTED_VALUE"""),"686748e1-d759-4dc1-8ed8-4326d4a90bfe")</f>
        <v>686748e1-d759-4dc1-8ed8-4326d4a90bfe</v>
      </c>
      <c r="AL284" s="251"/>
      <c r="AM284" s="251"/>
      <c r="AN284" s="251"/>
      <c r="AO284" s="251"/>
      <c r="AP284" s="261"/>
      <c r="AR284" s="251" t="str">
        <f t="shared" si="1"/>
        <v>20497.92_credit</v>
      </c>
      <c r="AS284" s="251" t="str">
        <f t="shared" si="2"/>
        <v>DROP</v>
      </c>
      <c r="AT284" s="247"/>
    </row>
    <row r="285">
      <c r="A285" s="255" t="s">
        <v>165</v>
      </c>
      <c r="B285" s="255" t="s">
        <v>689</v>
      </c>
      <c r="C285" s="256">
        <v>46189.57336805556</v>
      </c>
      <c r="D285" s="255" t="s">
        <v>265</v>
      </c>
      <c r="E285" s="257">
        <v>14300.68</v>
      </c>
      <c r="F285" s="255" t="s">
        <v>169</v>
      </c>
      <c r="G285" s="255" t="s">
        <v>170</v>
      </c>
      <c r="H285" s="255" t="s">
        <v>682</v>
      </c>
      <c r="I285" s="255"/>
      <c r="J285" s="255"/>
      <c r="K285" s="272"/>
      <c r="L285" s="255"/>
      <c r="M285" s="273"/>
      <c r="O285" s="247"/>
      <c r="AC285" s="247"/>
      <c r="AD285" s="251" t="str">
        <f>IFERROR(__xludf.DUMMYFUNCTION("""COMPUTED_VALUE"""),"73df5aae-f42a-49a0-9d8f-616ca6dbebaa")</f>
        <v>73df5aae-f42a-49a0-9d8f-616ca6dbebaa</v>
      </c>
      <c r="AE285" s="251" t="str">
        <f>IFERROR(__xludf.DUMMYFUNCTION("""COMPUTED_VALUE"""),"019ed0aa-c8de-79e8-a0b0-20068c1c8998")</f>
        <v>019ed0aa-c8de-79e8-a0b0-20068c1c8998</v>
      </c>
      <c r="AF285" s="261">
        <f>IFERROR(__xludf.DUMMYFUNCTION("""COMPUTED_VALUE"""),46189.570763888885)</f>
        <v>46189.57076</v>
      </c>
      <c r="AG285" s="251" t="str">
        <f>IFERROR(__xludf.DUMMYFUNCTION("""COMPUTED_VALUE"""),"debit")</f>
        <v>debit</v>
      </c>
      <c r="AH285" s="251">
        <f>IFERROR(__xludf.DUMMYFUNCTION("""COMPUTED_VALUE"""),20497.92)</f>
        <v>20497.92</v>
      </c>
      <c r="AI285" s="251" t="str">
        <f>IFERROR(__xludf.DUMMYFUNCTION("""COMPUTED_VALUE"""),"cash_isa")</f>
        <v>cash_isa</v>
      </c>
      <c r="AJ285" s="251" t="str">
        <f>IFERROR(__xludf.DUMMYFUNCTION("""COMPUTED_VALUE"""),"9bc00e6b-ce5f-48c5-ae3a-1baabe00f337")</f>
        <v>9bc00e6b-ce5f-48c5-ae3a-1baabe00f337</v>
      </c>
      <c r="AK285" s="251" t="str">
        <f>IFERROR(__xludf.DUMMYFUNCTION("""COMPUTED_VALUE"""),"686748e1-d759-4dc1-8ed8-4326d4a90bfe")</f>
        <v>686748e1-d759-4dc1-8ed8-4326d4a90bfe</v>
      </c>
      <c r="AL285" s="251"/>
      <c r="AM285" s="251"/>
      <c r="AN285" s="251"/>
      <c r="AO285" s="251"/>
      <c r="AP285" s="261"/>
      <c r="AR285" s="251" t="str">
        <f t="shared" si="1"/>
        <v>20497.92_debit</v>
      </c>
      <c r="AS285" s="251" t="str">
        <f t="shared" si="2"/>
        <v>DROP</v>
      </c>
      <c r="AT285" s="247"/>
    </row>
    <row r="286">
      <c r="A286" s="262" t="s">
        <v>165</v>
      </c>
      <c r="B286" s="262" t="s">
        <v>690</v>
      </c>
      <c r="C286" s="263">
        <v>46189.57435185185</v>
      </c>
      <c r="D286" s="262" t="s">
        <v>167</v>
      </c>
      <c r="E286" s="264">
        <v>20626.32</v>
      </c>
      <c r="F286" s="262" t="s">
        <v>169</v>
      </c>
      <c r="G286" s="262" t="s">
        <v>170</v>
      </c>
      <c r="H286" s="262" t="s">
        <v>691</v>
      </c>
      <c r="I286" s="262"/>
      <c r="J286" s="262"/>
      <c r="K286" s="274"/>
      <c r="L286" s="262"/>
      <c r="M286" s="275"/>
      <c r="O286" s="247"/>
      <c r="AC286" s="247"/>
      <c r="AD286" s="251" t="str">
        <f>IFERROR(__xludf.DUMMYFUNCTION("""COMPUTED_VALUE"""),"73df5aae-f42a-49a0-9d8f-616ca6dbebaa")</f>
        <v>73df5aae-f42a-49a0-9d8f-616ca6dbebaa</v>
      </c>
      <c r="AE286" s="251" t="str">
        <f>IFERROR(__xludf.DUMMYFUNCTION("""COMPUTED_VALUE"""),"019ed0aa-c9bc-75b1-8335-e0526c071763")</f>
        <v>019ed0aa-c9bc-75b1-8335-e0526c071763</v>
      </c>
      <c r="AF286" s="261">
        <f>IFERROR(__xludf.DUMMYFUNCTION("""COMPUTED_VALUE"""),46189.570763888885)</f>
        <v>46189.57076</v>
      </c>
      <c r="AG286" s="251" t="str">
        <f>IFERROR(__xludf.DUMMYFUNCTION("""COMPUTED_VALUE"""),"debit")</f>
        <v>debit</v>
      </c>
      <c r="AH286" s="251">
        <f>IFERROR(__xludf.DUMMYFUNCTION("""COMPUTED_VALUE"""),5402.95)</f>
        <v>5402.95</v>
      </c>
      <c r="AI286" s="251" t="str">
        <f>IFERROR(__xludf.DUMMYFUNCTION("""COMPUTED_VALUE"""),"cash_isa")</f>
        <v>cash_isa</v>
      </c>
      <c r="AJ286" s="251" t="str">
        <f>IFERROR(__xludf.DUMMYFUNCTION("""COMPUTED_VALUE"""),"9bc00e6b-ce5f-48c5-ae3a-1baabe00f337")</f>
        <v>9bc00e6b-ce5f-48c5-ae3a-1baabe00f337</v>
      </c>
      <c r="AK286" s="251" t="str">
        <f>IFERROR(__xludf.DUMMYFUNCTION("""COMPUTED_VALUE"""),"62022b53-a22d-4001-be8c-8e03107d4460")</f>
        <v>62022b53-a22d-4001-be8c-8e03107d4460</v>
      </c>
      <c r="AL286" s="251"/>
      <c r="AM286" s="251"/>
      <c r="AN286" s="251"/>
      <c r="AO286" s="251"/>
      <c r="AP286" s="261"/>
      <c r="AR286" s="251" t="str">
        <f t="shared" si="1"/>
        <v>5402.95_debit</v>
      </c>
      <c r="AS286" s="251" t="str">
        <f t="shared" si="2"/>
        <v>DROP</v>
      </c>
      <c r="AT286" s="247"/>
    </row>
    <row r="287">
      <c r="A287" s="255" t="s">
        <v>165</v>
      </c>
      <c r="B287" s="255" t="s">
        <v>692</v>
      </c>
      <c r="C287" s="256">
        <v>46189.57438657407</v>
      </c>
      <c r="D287" s="255" t="s">
        <v>265</v>
      </c>
      <c r="E287" s="257">
        <v>13205.24</v>
      </c>
      <c r="F287" s="255" t="s">
        <v>169</v>
      </c>
      <c r="G287" s="255" t="s">
        <v>170</v>
      </c>
      <c r="H287" s="255" t="s">
        <v>686</v>
      </c>
      <c r="I287" s="255"/>
      <c r="J287" s="255"/>
      <c r="K287" s="272"/>
      <c r="L287" s="255"/>
      <c r="M287" s="273"/>
      <c r="O287" s="247"/>
      <c r="AC287" s="247"/>
      <c r="AD287" s="251" t="str">
        <f>IFERROR(__xludf.DUMMYFUNCTION("""COMPUTED_VALUE"""),"73df5aae-f42a-49a0-9d8f-616ca6dbebaa")</f>
        <v>73df5aae-f42a-49a0-9d8f-616ca6dbebaa</v>
      </c>
      <c r="AE287" s="251" t="str">
        <f>IFERROR(__xludf.DUMMYFUNCTION("""COMPUTED_VALUE"""),"019ed0ab-5614-7d48-8410-0fdfba11eabc")</f>
        <v>019ed0ab-5614-7d48-8410-0fdfba11eabc</v>
      </c>
      <c r="AF287" s="261">
        <f>IFERROR(__xludf.DUMMYFUNCTION("""COMPUTED_VALUE"""),46189.571180555555)</f>
        <v>46189.57118</v>
      </c>
      <c r="AG287" s="251" t="str">
        <f>IFERROR(__xludf.DUMMYFUNCTION("""COMPUTED_VALUE"""),"credit")</f>
        <v>credit</v>
      </c>
      <c r="AH287" s="251">
        <f>IFERROR(__xludf.DUMMYFUNCTION("""COMPUTED_VALUE"""),55246.0)</f>
        <v>55246</v>
      </c>
      <c r="AI287" s="251" t="str">
        <f>IFERROR(__xludf.DUMMYFUNCTION("""COMPUTED_VALUE"""),"cash_isa")</f>
        <v>cash_isa</v>
      </c>
      <c r="AJ287" s="251" t="str">
        <f>IFERROR(__xludf.DUMMYFUNCTION("""COMPUTED_VALUE"""),"9bc00e6b-ce5f-48c5-ae3a-1baabe00f337")</f>
        <v>9bc00e6b-ce5f-48c5-ae3a-1baabe00f337</v>
      </c>
      <c r="AK287" s="251" t="str">
        <f>IFERROR(__xludf.DUMMYFUNCTION("""COMPUTED_VALUE"""),"a4ba2ab1-c93d-420e-939d-b01668b6680b")</f>
        <v>a4ba2ab1-c93d-420e-939d-b01668b6680b</v>
      </c>
      <c r="AL287" s="251"/>
      <c r="AM287" s="251"/>
      <c r="AN287" s="251"/>
      <c r="AO287" s="251"/>
      <c r="AP287" s="261"/>
      <c r="AR287" s="251" t="str">
        <f t="shared" si="1"/>
        <v>55246_credit</v>
      </c>
      <c r="AS287" s="251" t="str">
        <f t="shared" si="2"/>
        <v>DROP</v>
      </c>
      <c r="AT287" s="247"/>
    </row>
    <row r="288">
      <c r="A288" s="262" t="s">
        <v>165</v>
      </c>
      <c r="B288" s="262" t="s">
        <v>202</v>
      </c>
      <c r="C288" s="263">
        <v>46189.575625</v>
      </c>
      <c r="D288" s="262" t="s">
        <v>167</v>
      </c>
      <c r="E288" s="264">
        <v>14930.71</v>
      </c>
      <c r="F288" s="262" t="s">
        <v>169</v>
      </c>
      <c r="G288" s="262" t="s">
        <v>170</v>
      </c>
      <c r="H288" s="262" t="s">
        <v>203</v>
      </c>
      <c r="I288" s="262"/>
      <c r="J288" s="262"/>
      <c r="K288" s="274"/>
      <c r="L288" s="262"/>
      <c r="M288" s="275"/>
      <c r="O288" s="247"/>
      <c r="AC288" s="247"/>
      <c r="AD288" s="251" t="str">
        <f>IFERROR(__xludf.DUMMYFUNCTION("""COMPUTED_VALUE"""),"73df5aae-f42a-49a0-9d8f-616ca6dbebaa")</f>
        <v>73df5aae-f42a-49a0-9d8f-616ca6dbebaa</v>
      </c>
      <c r="AE288" s="251" t="str">
        <f>IFERROR(__xludf.DUMMYFUNCTION("""COMPUTED_VALUE"""),"019ed0ab-7d6a-766c-9f85-2d31ffac2718")</f>
        <v>019ed0ab-7d6a-766c-9f85-2d31ffac2718</v>
      </c>
      <c r="AF288" s="261">
        <f>IFERROR(__xludf.DUMMYFUNCTION("""COMPUTED_VALUE"""),46189.5712962963)</f>
        <v>46189.5713</v>
      </c>
      <c r="AG288" s="251" t="str">
        <f>IFERROR(__xludf.DUMMYFUNCTION("""COMPUTED_VALUE"""),"credit")</f>
        <v>credit</v>
      </c>
      <c r="AH288" s="251">
        <f>IFERROR(__xludf.DUMMYFUNCTION("""COMPUTED_VALUE"""),14300.68)</f>
        <v>14300.68</v>
      </c>
      <c r="AI288" s="251" t="str">
        <f>IFERROR(__xludf.DUMMYFUNCTION("""COMPUTED_VALUE"""),"cash_isa")</f>
        <v>cash_isa</v>
      </c>
      <c r="AJ288" s="251" t="str">
        <f>IFERROR(__xludf.DUMMYFUNCTION("""COMPUTED_VALUE"""),"9bc00e6b-ce5f-48c5-ae3a-1baabe00f337")</f>
        <v>9bc00e6b-ce5f-48c5-ae3a-1baabe00f337</v>
      </c>
      <c r="AK288" s="251" t="str">
        <f>IFERROR(__xludf.DUMMYFUNCTION("""COMPUTED_VALUE"""),"3409547f-6837-4398-8701-cd88ddd06adf")</f>
        <v>3409547f-6837-4398-8701-cd88ddd06adf</v>
      </c>
      <c r="AL288" s="251"/>
      <c r="AM288" s="251"/>
      <c r="AN288" s="251"/>
      <c r="AO288" s="251"/>
      <c r="AP288" s="261"/>
      <c r="AR288" s="251" t="str">
        <f t="shared" si="1"/>
        <v>14300.68_credit</v>
      </c>
      <c r="AS288" s="251" t="str">
        <f t="shared" si="2"/>
        <v>DROP</v>
      </c>
      <c r="AT288" s="247"/>
    </row>
    <row r="289">
      <c r="A289" s="255" t="s">
        <v>165</v>
      </c>
      <c r="B289" s="255" t="s">
        <v>693</v>
      </c>
      <c r="C289" s="256">
        <v>46189.57642361111</v>
      </c>
      <c r="D289" s="255" t="s">
        <v>167</v>
      </c>
      <c r="E289" s="257">
        <v>20827.23</v>
      </c>
      <c r="F289" s="255" t="s">
        <v>169</v>
      </c>
      <c r="G289" s="255" t="s">
        <v>170</v>
      </c>
      <c r="H289" s="255" t="s">
        <v>694</v>
      </c>
      <c r="I289" s="255"/>
      <c r="J289" s="255"/>
      <c r="K289" s="272"/>
      <c r="L289" s="255"/>
      <c r="M289" s="273"/>
      <c r="O289" s="247"/>
      <c r="AC289" s="247"/>
      <c r="AD289" s="251" t="str">
        <f>IFERROR(__xludf.DUMMYFUNCTION("""COMPUTED_VALUE"""),"73df5aae-f42a-49a0-9d8f-616ca6dbebaa")</f>
        <v>73df5aae-f42a-49a0-9d8f-616ca6dbebaa</v>
      </c>
      <c r="AE289" s="251" t="str">
        <f>IFERROR(__xludf.DUMMYFUNCTION("""COMPUTED_VALUE"""),"019ed0ac-516e-70dd-b2a8-dcfbbf88cb72")</f>
        <v>019ed0ac-516e-70dd-b2a8-dcfbbf88cb72</v>
      </c>
      <c r="AF289" s="261">
        <f>IFERROR(__xludf.DUMMYFUNCTION("""COMPUTED_VALUE"""),46189.57193287037)</f>
        <v>46189.57193</v>
      </c>
      <c r="AG289" s="251" t="str">
        <f>IFERROR(__xludf.DUMMYFUNCTION("""COMPUTED_VALUE"""),"credit")</f>
        <v>credit</v>
      </c>
      <c r="AH289" s="251">
        <f>IFERROR(__xludf.DUMMYFUNCTION("""COMPUTED_VALUE"""),20368.38)</f>
        <v>20368.38</v>
      </c>
      <c r="AI289" s="251" t="str">
        <f>IFERROR(__xludf.DUMMYFUNCTION("""COMPUTED_VALUE"""),"cash_isa")</f>
        <v>cash_isa</v>
      </c>
      <c r="AJ289" s="251" t="str">
        <f>IFERROR(__xludf.DUMMYFUNCTION("""COMPUTED_VALUE"""),"9bc00e6b-ce5f-48c5-ae3a-1baabe00f337")</f>
        <v>9bc00e6b-ce5f-48c5-ae3a-1baabe00f337</v>
      </c>
      <c r="AK289" s="251" t="str">
        <f>IFERROR(__xludf.DUMMYFUNCTION("""COMPUTED_VALUE"""),"88cbd619-0e1f-48cd-8cc0-87ea8a9d748d")</f>
        <v>88cbd619-0e1f-48cd-8cc0-87ea8a9d748d</v>
      </c>
      <c r="AL289" s="251"/>
      <c r="AM289" s="251"/>
      <c r="AN289" s="251"/>
      <c r="AO289" s="251"/>
      <c r="AP289" s="261"/>
      <c r="AR289" s="251" t="str">
        <f t="shared" si="1"/>
        <v>20368.38_credit</v>
      </c>
      <c r="AS289" s="251" t="str">
        <f t="shared" si="2"/>
        <v>DROP</v>
      </c>
      <c r="AT289" s="247"/>
    </row>
    <row r="290">
      <c r="A290" s="262" t="s">
        <v>165</v>
      </c>
      <c r="B290" s="262" t="s">
        <v>695</v>
      </c>
      <c r="C290" s="263">
        <v>46189.5778587963</v>
      </c>
      <c r="D290" s="262" t="s">
        <v>167</v>
      </c>
      <c r="E290" s="264">
        <v>1000.0</v>
      </c>
      <c r="F290" s="262" t="s">
        <v>169</v>
      </c>
      <c r="G290" s="262" t="s">
        <v>170</v>
      </c>
      <c r="H290" s="262" t="s">
        <v>696</v>
      </c>
      <c r="I290" s="262"/>
      <c r="J290" s="262"/>
      <c r="K290" s="274"/>
      <c r="L290" s="262"/>
      <c r="M290" s="275"/>
      <c r="O290" s="247"/>
      <c r="AC290" s="247"/>
      <c r="AD290" s="251" t="str">
        <f>IFERROR(__xludf.DUMMYFUNCTION("""COMPUTED_VALUE"""),"73df5aae-f42a-49a0-9d8f-616ca6dbebaa")</f>
        <v>73df5aae-f42a-49a0-9d8f-616ca6dbebaa</v>
      </c>
      <c r="AE290" s="251" t="str">
        <f>IFERROR(__xludf.DUMMYFUNCTION("""COMPUTED_VALUE"""),"019ed0ad-b23c-7140-9bd6-43b9578cebd8")</f>
        <v>019ed0ad-b23c-7140-9bd6-43b9578cebd8</v>
      </c>
      <c r="AF290" s="261">
        <f>IFERROR(__xludf.DUMMYFUNCTION("""COMPUTED_VALUE"""),46189.57297453703)</f>
        <v>46189.57297</v>
      </c>
      <c r="AG290" s="251" t="str">
        <f>IFERROR(__xludf.DUMMYFUNCTION("""COMPUTED_VALUE"""),"credit")</f>
        <v>credit</v>
      </c>
      <c r="AH290" s="251">
        <f>IFERROR(__xludf.DUMMYFUNCTION("""COMPUTED_VALUE"""),13205.24)</f>
        <v>13205.24</v>
      </c>
      <c r="AI290" s="251" t="str">
        <f>IFERROR(__xludf.DUMMYFUNCTION("""COMPUTED_VALUE"""),"cash_isa")</f>
        <v>cash_isa</v>
      </c>
      <c r="AJ290" s="251" t="str">
        <f>IFERROR(__xludf.DUMMYFUNCTION("""COMPUTED_VALUE"""),"9bc00e6b-ce5f-48c5-ae3a-1baabe00f337")</f>
        <v>9bc00e6b-ce5f-48c5-ae3a-1baabe00f337</v>
      </c>
      <c r="AK290" s="251" t="str">
        <f>IFERROR(__xludf.DUMMYFUNCTION("""COMPUTED_VALUE"""),"d7a8b957-b3f4-437d-ba2a-c87fe3a28de3")</f>
        <v>d7a8b957-b3f4-437d-ba2a-c87fe3a28de3</v>
      </c>
      <c r="AL290" s="251"/>
      <c r="AM290" s="251"/>
      <c r="AN290" s="251"/>
      <c r="AO290" s="251"/>
      <c r="AP290" s="261"/>
      <c r="AR290" s="251" t="str">
        <f t="shared" si="1"/>
        <v>13205.24_credit</v>
      </c>
      <c r="AS290" s="251" t="str">
        <f t="shared" si="2"/>
        <v>DROP</v>
      </c>
      <c r="AT290" s="247"/>
    </row>
    <row r="291">
      <c r="A291" s="255" t="s">
        <v>165</v>
      </c>
      <c r="B291" s="255" t="s">
        <v>697</v>
      </c>
      <c r="C291" s="256">
        <v>46189.57815972222</v>
      </c>
      <c r="D291" s="255" t="s">
        <v>265</v>
      </c>
      <c r="E291" s="257">
        <v>20626.32</v>
      </c>
      <c r="F291" s="255" t="s">
        <v>169</v>
      </c>
      <c r="G291" s="255" t="s">
        <v>170</v>
      </c>
      <c r="H291" s="255" t="s">
        <v>691</v>
      </c>
      <c r="I291" s="255"/>
      <c r="J291" s="255"/>
      <c r="K291" s="272"/>
      <c r="L291" s="255"/>
      <c r="M291" s="273"/>
      <c r="O291" s="247"/>
      <c r="AC291" s="247"/>
      <c r="AD291" s="251" t="str">
        <f>IFERROR(__xludf.DUMMYFUNCTION("""COMPUTED_VALUE"""),"73df5aae-f42a-49a0-9d8f-616ca6dbebaa")</f>
        <v>73df5aae-f42a-49a0-9d8f-616ca6dbebaa</v>
      </c>
      <c r="AE291" s="251" t="str">
        <f>IFERROR(__xludf.DUMMYFUNCTION("""COMPUTED_VALUE"""),"019ed0ad-c19f-7b2f-9078-4bd1cc1e73f7")</f>
        <v>019ed0ad-c19f-7b2f-9078-4bd1cc1e73f7</v>
      </c>
      <c r="AF291" s="261">
        <f>IFERROR(__xludf.DUMMYFUNCTION("""COMPUTED_VALUE"""),46189.57302083333)</f>
        <v>46189.57302</v>
      </c>
      <c r="AG291" s="251" t="str">
        <f>IFERROR(__xludf.DUMMYFUNCTION("""COMPUTED_VALUE"""),"debit")</f>
        <v>debit</v>
      </c>
      <c r="AH291" s="251">
        <f>IFERROR(__xludf.DUMMYFUNCTION("""COMPUTED_VALUE"""),55246.0)</f>
        <v>55246</v>
      </c>
      <c r="AI291" s="251" t="str">
        <f>IFERROR(__xludf.DUMMYFUNCTION("""COMPUTED_VALUE"""),"cash_isa")</f>
        <v>cash_isa</v>
      </c>
      <c r="AJ291" s="251" t="str">
        <f>IFERROR(__xludf.DUMMYFUNCTION("""COMPUTED_VALUE"""),"9bc00e6b-ce5f-48c5-ae3a-1baabe00f337")</f>
        <v>9bc00e6b-ce5f-48c5-ae3a-1baabe00f337</v>
      </c>
      <c r="AK291" s="251" t="str">
        <f>IFERROR(__xludf.DUMMYFUNCTION("""COMPUTED_VALUE"""),"a4ba2ab1-c93d-420e-939d-b01668b6680b")</f>
        <v>a4ba2ab1-c93d-420e-939d-b01668b6680b</v>
      </c>
      <c r="AL291" s="251"/>
      <c r="AM291" s="251"/>
      <c r="AN291" s="251"/>
      <c r="AO291" s="251"/>
      <c r="AP291" s="261"/>
      <c r="AR291" s="251" t="str">
        <f t="shared" si="1"/>
        <v>55246_debit</v>
      </c>
      <c r="AS291" s="251" t="str">
        <f t="shared" si="2"/>
        <v>DROP</v>
      </c>
      <c r="AT291" s="247"/>
    </row>
    <row r="292">
      <c r="A292" s="262" t="s">
        <v>165</v>
      </c>
      <c r="B292" s="262" t="s">
        <v>698</v>
      </c>
      <c r="C292" s="263">
        <v>46189.57885416667</v>
      </c>
      <c r="D292" s="262" t="s">
        <v>265</v>
      </c>
      <c r="E292" s="264">
        <v>20827.23</v>
      </c>
      <c r="F292" s="262" t="s">
        <v>169</v>
      </c>
      <c r="G292" s="262" t="s">
        <v>170</v>
      </c>
      <c r="H292" s="262" t="s">
        <v>694</v>
      </c>
      <c r="I292" s="262"/>
      <c r="J292" s="262"/>
      <c r="K292" s="274"/>
      <c r="L292" s="262"/>
      <c r="M292" s="275"/>
      <c r="O292" s="247"/>
      <c r="AC292" s="247"/>
      <c r="AD292" s="251" t="str">
        <f>IFERROR(__xludf.DUMMYFUNCTION("""COMPUTED_VALUE"""),"73df5aae-f42a-49a0-9d8f-616ca6dbebaa")</f>
        <v>73df5aae-f42a-49a0-9d8f-616ca6dbebaa</v>
      </c>
      <c r="AE292" s="251" t="str">
        <f>IFERROR(__xludf.DUMMYFUNCTION("""COMPUTED_VALUE"""),"019ed0ae-3722-7299-beb1-b1c650533cde")</f>
        <v>019ed0ae-3722-7299-beb1-b1c650533cde</v>
      </c>
      <c r="AF292" s="261">
        <f>IFERROR(__xludf.DUMMYFUNCTION("""COMPUTED_VALUE"""),46189.57336805556)</f>
        <v>46189.57337</v>
      </c>
      <c r="AG292" s="251" t="str">
        <f>IFERROR(__xludf.DUMMYFUNCTION("""COMPUTED_VALUE"""),"debit")</f>
        <v>debit</v>
      </c>
      <c r="AH292" s="251">
        <f>IFERROR(__xludf.DUMMYFUNCTION("""COMPUTED_VALUE"""),20368.38)</f>
        <v>20368.38</v>
      </c>
      <c r="AI292" s="251" t="str">
        <f>IFERROR(__xludf.DUMMYFUNCTION("""COMPUTED_VALUE"""),"cash_isa")</f>
        <v>cash_isa</v>
      </c>
      <c r="AJ292" s="251" t="str">
        <f>IFERROR(__xludf.DUMMYFUNCTION("""COMPUTED_VALUE"""),"9bc00e6b-ce5f-48c5-ae3a-1baabe00f337")</f>
        <v>9bc00e6b-ce5f-48c5-ae3a-1baabe00f337</v>
      </c>
      <c r="AK292" s="251" t="str">
        <f>IFERROR(__xludf.DUMMYFUNCTION("""COMPUTED_VALUE"""),"88cbd619-0e1f-48cd-8cc0-87ea8a9d748d")</f>
        <v>88cbd619-0e1f-48cd-8cc0-87ea8a9d748d</v>
      </c>
      <c r="AL292" s="251"/>
      <c r="AM292" s="251"/>
      <c r="AN292" s="251"/>
      <c r="AO292" s="251"/>
      <c r="AP292" s="261"/>
      <c r="AR292" s="251" t="str">
        <f t="shared" si="1"/>
        <v>20368.38_debit</v>
      </c>
      <c r="AS292" s="251" t="str">
        <f t="shared" si="2"/>
        <v>DROP</v>
      </c>
      <c r="AT292" s="247"/>
    </row>
    <row r="293">
      <c r="A293" s="255" t="s">
        <v>165</v>
      </c>
      <c r="B293" s="255" t="s">
        <v>699</v>
      </c>
      <c r="C293" s="256">
        <v>46189.57910879629</v>
      </c>
      <c r="D293" s="255" t="s">
        <v>265</v>
      </c>
      <c r="E293" s="257">
        <v>1000.0</v>
      </c>
      <c r="F293" s="255" t="s">
        <v>169</v>
      </c>
      <c r="G293" s="255" t="s">
        <v>170</v>
      </c>
      <c r="H293" s="255" t="s">
        <v>696</v>
      </c>
      <c r="I293" s="255"/>
      <c r="J293" s="255"/>
      <c r="K293" s="272"/>
      <c r="L293" s="255"/>
      <c r="M293" s="273"/>
      <c r="O293" s="247"/>
      <c r="AC293" s="247"/>
      <c r="AD293" s="251" t="str">
        <f>IFERROR(__xludf.DUMMYFUNCTION("""COMPUTED_VALUE"""),"73df5aae-f42a-49a0-9d8f-616ca6dbebaa")</f>
        <v>73df5aae-f42a-49a0-9d8f-616ca6dbebaa</v>
      </c>
      <c r="AE293" s="251" t="str">
        <f>IFERROR(__xludf.DUMMYFUNCTION("""COMPUTED_VALUE"""),"019ed0ae-38af-7dc6-9063-b7019dd730ed")</f>
        <v>019ed0ae-38af-7dc6-9063-b7019dd730ed</v>
      </c>
      <c r="AF293" s="261">
        <f>IFERROR(__xludf.DUMMYFUNCTION("""COMPUTED_VALUE"""),46189.57336805556)</f>
        <v>46189.57337</v>
      </c>
      <c r="AG293" s="251" t="str">
        <f>IFERROR(__xludf.DUMMYFUNCTION("""COMPUTED_VALUE"""),"debit")</f>
        <v>debit</v>
      </c>
      <c r="AH293" s="251">
        <f>IFERROR(__xludf.DUMMYFUNCTION("""COMPUTED_VALUE"""),14300.68)</f>
        <v>14300.68</v>
      </c>
      <c r="AI293" s="251" t="str">
        <f>IFERROR(__xludf.DUMMYFUNCTION("""COMPUTED_VALUE"""),"cash_isa")</f>
        <v>cash_isa</v>
      </c>
      <c r="AJ293" s="251" t="str">
        <f>IFERROR(__xludf.DUMMYFUNCTION("""COMPUTED_VALUE"""),"9bc00e6b-ce5f-48c5-ae3a-1baabe00f337")</f>
        <v>9bc00e6b-ce5f-48c5-ae3a-1baabe00f337</v>
      </c>
      <c r="AK293" s="251" t="str">
        <f>IFERROR(__xludf.DUMMYFUNCTION("""COMPUTED_VALUE"""),"3409547f-6837-4398-8701-cd88ddd06adf")</f>
        <v>3409547f-6837-4398-8701-cd88ddd06adf</v>
      </c>
      <c r="AL293" s="251"/>
      <c r="AM293" s="251"/>
      <c r="AN293" s="251"/>
      <c r="AO293" s="251"/>
      <c r="AP293" s="261"/>
      <c r="AR293" s="251" t="str">
        <f t="shared" si="1"/>
        <v>14300.68_debit</v>
      </c>
      <c r="AS293" s="251" t="str">
        <f t="shared" si="2"/>
        <v>DROP</v>
      </c>
      <c r="AT293" s="247"/>
    </row>
    <row r="294">
      <c r="A294" s="262" t="s">
        <v>165</v>
      </c>
      <c r="B294" s="262" t="s">
        <v>700</v>
      </c>
      <c r="C294" s="263">
        <v>46189.57969907407</v>
      </c>
      <c r="D294" s="262" t="s">
        <v>167</v>
      </c>
      <c r="E294" s="264">
        <v>20000.0</v>
      </c>
      <c r="F294" s="262" t="s">
        <v>169</v>
      </c>
      <c r="G294" s="262" t="s">
        <v>170</v>
      </c>
      <c r="H294" s="262" t="s">
        <v>701</v>
      </c>
      <c r="I294" s="265"/>
      <c r="J294" s="265"/>
      <c r="K294" s="266"/>
      <c r="L294" s="265"/>
      <c r="M294" s="267"/>
      <c r="O294" s="247"/>
      <c r="AC294" s="247"/>
      <c r="AD294" s="251" t="str">
        <f>IFERROR(__xludf.DUMMYFUNCTION("""COMPUTED_VALUE"""),"73df5aae-f42a-49a0-9d8f-616ca6dbebaa")</f>
        <v>73df5aae-f42a-49a0-9d8f-616ca6dbebaa</v>
      </c>
      <c r="AE294" s="251" t="str">
        <f>IFERROR(__xludf.DUMMYFUNCTION("""COMPUTED_VALUE"""),"019ed0af-856e-7c8b-bc96-87367e10892d")</f>
        <v>019ed0af-856e-7c8b-bc96-87367e10892d</v>
      </c>
      <c r="AF294" s="261">
        <f>IFERROR(__xludf.DUMMYFUNCTION("""COMPUTED_VALUE"""),46189.57435185185)</f>
        <v>46189.57435</v>
      </c>
      <c r="AG294" s="251" t="str">
        <f>IFERROR(__xludf.DUMMYFUNCTION("""COMPUTED_VALUE"""),"credit")</f>
        <v>credit</v>
      </c>
      <c r="AH294" s="251">
        <f>IFERROR(__xludf.DUMMYFUNCTION("""COMPUTED_VALUE"""),20626.32)</f>
        <v>20626.32</v>
      </c>
      <c r="AI294" s="251" t="str">
        <f>IFERROR(__xludf.DUMMYFUNCTION("""COMPUTED_VALUE"""),"cash_isa")</f>
        <v>cash_isa</v>
      </c>
      <c r="AJ294" s="251" t="str">
        <f>IFERROR(__xludf.DUMMYFUNCTION("""COMPUTED_VALUE"""),"9bc00e6b-ce5f-48c5-ae3a-1baabe00f337")</f>
        <v>9bc00e6b-ce5f-48c5-ae3a-1baabe00f337</v>
      </c>
      <c r="AK294" s="251" t="str">
        <f>IFERROR(__xludf.DUMMYFUNCTION("""COMPUTED_VALUE"""),"b48f012d-c041-424a-b5d8-c6561c71395c")</f>
        <v>b48f012d-c041-424a-b5d8-c6561c71395c</v>
      </c>
      <c r="AL294" s="251"/>
      <c r="AM294" s="251"/>
      <c r="AN294" s="251"/>
      <c r="AO294" s="251"/>
      <c r="AP294" s="261"/>
      <c r="AR294" s="251" t="str">
        <f t="shared" si="1"/>
        <v>20626.32_credit</v>
      </c>
      <c r="AS294" s="251" t="str">
        <f t="shared" si="2"/>
        <v>DROP</v>
      </c>
      <c r="AT294" s="247"/>
    </row>
    <row r="295">
      <c r="A295" s="255" t="s">
        <v>165</v>
      </c>
      <c r="B295" s="255" t="s">
        <v>702</v>
      </c>
      <c r="C295" s="256">
        <v>46189.58105324074</v>
      </c>
      <c r="D295" s="255" t="s">
        <v>265</v>
      </c>
      <c r="E295" s="257">
        <v>20000.0</v>
      </c>
      <c r="F295" s="255" t="s">
        <v>169</v>
      </c>
      <c r="G295" s="255" t="s">
        <v>170</v>
      </c>
      <c r="H295" s="255" t="s">
        <v>701</v>
      </c>
      <c r="I295" s="258"/>
      <c r="J295" s="258"/>
      <c r="K295" s="259"/>
      <c r="L295" s="258"/>
      <c r="M295" s="260"/>
      <c r="O295" s="247"/>
      <c r="AC295" s="247"/>
      <c r="AD295" s="251" t="str">
        <f>IFERROR(__xludf.DUMMYFUNCTION("""COMPUTED_VALUE"""),"73df5aae-f42a-49a0-9d8f-616ca6dbebaa")</f>
        <v>73df5aae-f42a-49a0-9d8f-616ca6dbebaa</v>
      </c>
      <c r="AE295" s="251" t="str">
        <f>IFERROR(__xludf.DUMMYFUNCTION("""COMPUTED_VALUE"""),"019ed0af-90f5-7750-b268-97f3758798d5")</f>
        <v>019ed0af-90f5-7750-b268-97f3758798d5</v>
      </c>
      <c r="AF295" s="261">
        <f>IFERROR(__xludf.DUMMYFUNCTION("""COMPUTED_VALUE"""),46189.57438657407)</f>
        <v>46189.57439</v>
      </c>
      <c r="AG295" s="251" t="str">
        <f>IFERROR(__xludf.DUMMYFUNCTION("""COMPUTED_VALUE"""),"debit")</f>
        <v>debit</v>
      </c>
      <c r="AH295" s="251">
        <f>IFERROR(__xludf.DUMMYFUNCTION("""COMPUTED_VALUE"""),13205.24)</f>
        <v>13205.24</v>
      </c>
      <c r="AI295" s="251" t="str">
        <f>IFERROR(__xludf.DUMMYFUNCTION("""COMPUTED_VALUE"""),"cash_isa")</f>
        <v>cash_isa</v>
      </c>
      <c r="AJ295" s="251" t="str">
        <f>IFERROR(__xludf.DUMMYFUNCTION("""COMPUTED_VALUE"""),"9bc00e6b-ce5f-48c5-ae3a-1baabe00f337")</f>
        <v>9bc00e6b-ce5f-48c5-ae3a-1baabe00f337</v>
      </c>
      <c r="AK295" s="251" t="str">
        <f>IFERROR(__xludf.DUMMYFUNCTION("""COMPUTED_VALUE"""),"d7a8b957-b3f4-437d-ba2a-c87fe3a28de3")</f>
        <v>d7a8b957-b3f4-437d-ba2a-c87fe3a28de3</v>
      </c>
      <c r="AL295" s="251"/>
      <c r="AM295" s="251"/>
      <c r="AN295" s="251"/>
      <c r="AO295" s="251"/>
      <c r="AP295" s="261"/>
      <c r="AR295" s="251" t="str">
        <f t="shared" si="1"/>
        <v>13205.24_debit</v>
      </c>
      <c r="AS295" s="251" t="str">
        <f t="shared" si="2"/>
        <v>DROP</v>
      </c>
      <c r="AT295" s="247"/>
    </row>
    <row r="296">
      <c r="A296" s="262" t="s">
        <v>165</v>
      </c>
      <c r="B296" s="262" t="s">
        <v>703</v>
      </c>
      <c r="C296" s="263">
        <v>46189.58162037037</v>
      </c>
      <c r="D296" s="262" t="s">
        <v>167</v>
      </c>
      <c r="E296" s="264">
        <v>21765.67</v>
      </c>
      <c r="F296" s="262" t="s">
        <v>169</v>
      </c>
      <c r="G296" s="262" t="s">
        <v>170</v>
      </c>
      <c r="H296" s="262" t="s">
        <v>704</v>
      </c>
      <c r="I296" s="265"/>
      <c r="J296" s="265"/>
      <c r="K296" s="266"/>
      <c r="L296" s="265"/>
      <c r="M296" s="267"/>
      <c r="O296" s="247"/>
      <c r="AC296" s="247"/>
      <c r="AD296" s="251" t="str">
        <f>IFERROR(__xludf.DUMMYFUNCTION("""COMPUTED_VALUE"""),"73df5aae-f42a-49a0-9d8f-616ca6dbebaa")</f>
        <v>73df5aae-f42a-49a0-9d8f-616ca6dbebaa</v>
      </c>
      <c r="AE296" s="251" t="str">
        <f>IFERROR(__xludf.DUMMYFUNCTION("""COMPUTED_VALUE"""),"019ed0b1-3052-7f73-9d08-db917a292c59")</f>
        <v>019ed0b1-3052-7f73-9d08-db917a292c59</v>
      </c>
      <c r="AF296" s="261">
        <f>IFERROR(__xludf.DUMMYFUNCTION("""COMPUTED_VALUE"""),46189.575625)</f>
        <v>46189.57563</v>
      </c>
      <c r="AG296" s="251" t="str">
        <f>IFERROR(__xludf.DUMMYFUNCTION("""COMPUTED_VALUE"""),"credit")</f>
        <v>credit</v>
      </c>
      <c r="AH296" s="251">
        <f>IFERROR(__xludf.DUMMYFUNCTION("""COMPUTED_VALUE"""),14930.71)</f>
        <v>14930.71</v>
      </c>
      <c r="AI296" s="251" t="str">
        <f>IFERROR(__xludf.DUMMYFUNCTION("""COMPUTED_VALUE"""),"cash_isa")</f>
        <v>cash_isa</v>
      </c>
      <c r="AJ296" s="251" t="str">
        <f>IFERROR(__xludf.DUMMYFUNCTION("""COMPUTED_VALUE"""),"9bc00e6b-ce5f-48c5-ae3a-1baabe00f337")</f>
        <v>9bc00e6b-ce5f-48c5-ae3a-1baabe00f337</v>
      </c>
      <c r="AK296" s="251" t="str">
        <f>IFERROR(__xludf.DUMMYFUNCTION("""COMPUTED_VALUE"""),"37db9098-7f00-401d-be6f-68777404753c")</f>
        <v>37db9098-7f00-401d-be6f-68777404753c</v>
      </c>
      <c r="AL296" s="251"/>
      <c r="AM296" s="251"/>
      <c r="AN296" s="251"/>
      <c r="AO296" s="251"/>
      <c r="AP296" s="261"/>
      <c r="AR296" s="251" t="str">
        <f t="shared" si="1"/>
        <v>14930.71_credit</v>
      </c>
      <c r="AS296" s="251" t="str">
        <f t="shared" si="2"/>
        <v>KEEP</v>
      </c>
      <c r="AT296" s="247"/>
    </row>
    <row r="297">
      <c r="A297" s="255" t="s">
        <v>165</v>
      </c>
      <c r="B297" s="255" t="s">
        <v>705</v>
      </c>
      <c r="C297" s="256">
        <v>46189.58185185185</v>
      </c>
      <c r="D297" s="255" t="s">
        <v>167</v>
      </c>
      <c r="E297" s="257">
        <v>25153.6</v>
      </c>
      <c r="F297" s="255" t="s">
        <v>169</v>
      </c>
      <c r="G297" s="255" t="s">
        <v>170</v>
      </c>
      <c r="H297" s="255" t="s">
        <v>706</v>
      </c>
      <c r="I297" s="255"/>
      <c r="J297" s="255"/>
      <c r="K297" s="272"/>
      <c r="L297" s="255"/>
      <c r="M297" s="273"/>
      <c r="O297" s="247"/>
      <c r="AC297" s="247"/>
      <c r="AD297" s="251" t="str">
        <f>IFERROR(__xludf.DUMMYFUNCTION("""COMPUTED_VALUE"""),"73df5aae-f42a-49a0-9d8f-616ca6dbebaa")</f>
        <v>73df5aae-f42a-49a0-9d8f-616ca6dbebaa</v>
      </c>
      <c r="AE297" s="251" t="str">
        <f>IFERROR(__xludf.DUMMYFUNCTION("""COMPUTED_VALUE"""),"019ed0b2-40b5-7567-924f-38f16bbda209")</f>
        <v>019ed0b2-40b5-7567-924f-38f16bbda209</v>
      </c>
      <c r="AF297" s="261">
        <f>IFERROR(__xludf.DUMMYFUNCTION("""COMPUTED_VALUE"""),46189.57642361111)</f>
        <v>46189.57642</v>
      </c>
      <c r="AG297" s="251" t="str">
        <f>IFERROR(__xludf.DUMMYFUNCTION("""COMPUTED_VALUE"""),"credit")</f>
        <v>credit</v>
      </c>
      <c r="AH297" s="251">
        <f>IFERROR(__xludf.DUMMYFUNCTION("""COMPUTED_VALUE"""),20827.23)</f>
        <v>20827.23</v>
      </c>
      <c r="AI297" s="251" t="str">
        <f>IFERROR(__xludf.DUMMYFUNCTION("""COMPUTED_VALUE"""),"cash_isa")</f>
        <v>cash_isa</v>
      </c>
      <c r="AJ297" s="251" t="str">
        <f>IFERROR(__xludf.DUMMYFUNCTION("""COMPUTED_VALUE"""),"9bc00e6b-ce5f-48c5-ae3a-1baabe00f337")</f>
        <v>9bc00e6b-ce5f-48c5-ae3a-1baabe00f337</v>
      </c>
      <c r="AK297" s="251" t="str">
        <f>IFERROR(__xludf.DUMMYFUNCTION("""COMPUTED_VALUE"""),"8d1ae1d8-e340-42fe-a52a-478b2fa1d9f3")</f>
        <v>8d1ae1d8-e340-42fe-a52a-478b2fa1d9f3</v>
      </c>
      <c r="AL297" s="251"/>
      <c r="AM297" s="251"/>
      <c r="AN297" s="251"/>
      <c r="AO297" s="251"/>
      <c r="AP297" s="261"/>
      <c r="AR297" s="251" t="str">
        <f t="shared" si="1"/>
        <v>20827.23_credit</v>
      </c>
      <c r="AS297" s="251" t="str">
        <f t="shared" si="2"/>
        <v>DROP</v>
      </c>
      <c r="AT297" s="247"/>
    </row>
    <row r="298">
      <c r="A298" s="262" t="s">
        <v>165</v>
      </c>
      <c r="B298" s="262" t="s">
        <v>707</v>
      </c>
      <c r="C298" s="263">
        <v>46189.583761574075</v>
      </c>
      <c r="D298" s="262" t="s">
        <v>265</v>
      </c>
      <c r="E298" s="264">
        <v>21765.67</v>
      </c>
      <c r="F298" s="262" t="s">
        <v>169</v>
      </c>
      <c r="G298" s="262" t="s">
        <v>170</v>
      </c>
      <c r="H298" s="262" t="s">
        <v>704</v>
      </c>
      <c r="I298" s="262"/>
      <c r="J298" s="262"/>
      <c r="K298" s="274"/>
      <c r="L298" s="262"/>
      <c r="M298" s="275"/>
      <c r="O298" s="247"/>
      <c r="AC298" s="247"/>
      <c r="AD298" s="251" t="str">
        <f>IFERROR(__xludf.DUMMYFUNCTION("""COMPUTED_VALUE"""),"73df5aae-f42a-49a0-9d8f-616ca6dbebaa")</f>
        <v>73df5aae-f42a-49a0-9d8f-616ca6dbebaa</v>
      </c>
      <c r="AE298" s="251" t="str">
        <f>IFERROR(__xludf.DUMMYFUNCTION("""COMPUTED_VALUE"""),"019ed0b4-236b-736b-9669-215abcb77c99")</f>
        <v>019ed0b4-236b-736b-9669-215abcb77c99</v>
      </c>
      <c r="AF298" s="261">
        <f>IFERROR(__xludf.DUMMYFUNCTION("""COMPUTED_VALUE"""),46189.5778587963)</f>
        <v>46189.57786</v>
      </c>
      <c r="AG298" s="251" t="str">
        <f>IFERROR(__xludf.DUMMYFUNCTION("""COMPUTED_VALUE"""),"credit")</f>
        <v>credit</v>
      </c>
      <c r="AH298" s="251">
        <f>IFERROR(__xludf.DUMMYFUNCTION("""COMPUTED_VALUE"""),1000.0)</f>
        <v>1000</v>
      </c>
      <c r="AI298" s="251" t="str">
        <f>IFERROR(__xludf.DUMMYFUNCTION("""COMPUTED_VALUE"""),"cash_isa")</f>
        <v>cash_isa</v>
      </c>
      <c r="AJ298" s="251" t="str">
        <f>IFERROR(__xludf.DUMMYFUNCTION("""COMPUTED_VALUE"""),"9bc00e6b-ce5f-48c5-ae3a-1baabe00f337")</f>
        <v>9bc00e6b-ce5f-48c5-ae3a-1baabe00f337</v>
      </c>
      <c r="AK298" s="251" t="str">
        <f>IFERROR(__xludf.DUMMYFUNCTION("""COMPUTED_VALUE"""),"18c90dd9-8235-4ae3-977a-afd209f77949")</f>
        <v>18c90dd9-8235-4ae3-977a-afd209f77949</v>
      </c>
      <c r="AL298" s="251"/>
      <c r="AM298" s="251"/>
      <c r="AN298" s="251"/>
      <c r="AO298" s="251"/>
      <c r="AP298" s="261"/>
      <c r="AR298" s="251" t="str">
        <f t="shared" si="1"/>
        <v>1000_credit</v>
      </c>
      <c r="AS298" s="251" t="str">
        <f t="shared" si="2"/>
        <v>DROP</v>
      </c>
      <c r="AT298" s="247"/>
    </row>
    <row r="299">
      <c r="A299" s="255" t="s">
        <v>165</v>
      </c>
      <c r="B299" s="255" t="s">
        <v>708</v>
      </c>
      <c r="C299" s="256">
        <v>46189.583819444444</v>
      </c>
      <c r="D299" s="255" t="s">
        <v>167</v>
      </c>
      <c r="E299" s="257">
        <v>1000.0</v>
      </c>
      <c r="F299" s="255" t="s">
        <v>169</v>
      </c>
      <c r="G299" s="255" t="s">
        <v>170</v>
      </c>
      <c r="H299" s="255" t="s">
        <v>709</v>
      </c>
      <c r="I299" s="255"/>
      <c r="J299" s="255"/>
      <c r="K299" s="272"/>
      <c r="L299" s="255"/>
      <c r="M299" s="273"/>
      <c r="O299" s="247"/>
      <c r="AC299" s="247"/>
      <c r="AD299" s="251" t="str">
        <f>IFERROR(__xludf.DUMMYFUNCTION("""COMPUTED_VALUE"""),"73df5aae-f42a-49a0-9d8f-616ca6dbebaa")</f>
        <v>73df5aae-f42a-49a0-9d8f-616ca6dbebaa</v>
      </c>
      <c r="AE299" s="251" t="str">
        <f>IFERROR(__xludf.DUMMYFUNCTION("""COMPUTED_VALUE"""),"019ed0b4-894a-7735-875b-7e6aaa5c5950")</f>
        <v>019ed0b4-894a-7735-875b-7e6aaa5c5950</v>
      </c>
      <c r="AF299" s="261">
        <f>IFERROR(__xludf.DUMMYFUNCTION("""COMPUTED_VALUE"""),46189.57815972222)</f>
        <v>46189.57816</v>
      </c>
      <c r="AG299" s="251" t="str">
        <f>IFERROR(__xludf.DUMMYFUNCTION("""COMPUTED_VALUE"""),"debit")</f>
        <v>debit</v>
      </c>
      <c r="AH299" s="251">
        <f>IFERROR(__xludf.DUMMYFUNCTION("""COMPUTED_VALUE"""),20626.32)</f>
        <v>20626.32</v>
      </c>
      <c r="AI299" s="251" t="str">
        <f>IFERROR(__xludf.DUMMYFUNCTION("""COMPUTED_VALUE"""),"cash_isa")</f>
        <v>cash_isa</v>
      </c>
      <c r="AJ299" s="251" t="str">
        <f>IFERROR(__xludf.DUMMYFUNCTION("""COMPUTED_VALUE"""),"9bc00e6b-ce5f-48c5-ae3a-1baabe00f337")</f>
        <v>9bc00e6b-ce5f-48c5-ae3a-1baabe00f337</v>
      </c>
      <c r="AK299" s="251" t="str">
        <f>IFERROR(__xludf.DUMMYFUNCTION("""COMPUTED_VALUE"""),"b48f012d-c041-424a-b5d8-c6561c71395c")</f>
        <v>b48f012d-c041-424a-b5d8-c6561c71395c</v>
      </c>
      <c r="AL299" s="251"/>
      <c r="AM299" s="251"/>
      <c r="AN299" s="251"/>
      <c r="AO299" s="251"/>
      <c r="AP299" s="261"/>
      <c r="AR299" s="251" t="str">
        <f t="shared" si="1"/>
        <v>20626.32_debit</v>
      </c>
      <c r="AS299" s="251" t="str">
        <f t="shared" si="2"/>
        <v>DROP</v>
      </c>
      <c r="AT299" s="247"/>
    </row>
    <row r="300">
      <c r="A300" s="262" t="s">
        <v>165</v>
      </c>
      <c r="B300" s="262" t="s">
        <v>710</v>
      </c>
      <c r="C300" s="263">
        <v>46189.58388888889</v>
      </c>
      <c r="D300" s="262" t="s">
        <v>167</v>
      </c>
      <c r="E300" s="264">
        <v>41002.1</v>
      </c>
      <c r="F300" s="262" t="s">
        <v>169</v>
      </c>
      <c r="G300" s="262" t="s">
        <v>170</v>
      </c>
      <c r="H300" s="262" t="s">
        <v>711</v>
      </c>
      <c r="I300" s="262"/>
      <c r="J300" s="262"/>
      <c r="K300" s="274"/>
      <c r="L300" s="262"/>
      <c r="M300" s="275"/>
      <c r="O300" s="247"/>
      <c r="AC300" s="247"/>
      <c r="AD300" s="251" t="str">
        <f>IFERROR(__xludf.DUMMYFUNCTION("""COMPUTED_VALUE"""),"73df5aae-f42a-49a0-9d8f-616ca6dbebaa")</f>
        <v>73df5aae-f42a-49a0-9d8f-616ca6dbebaa</v>
      </c>
      <c r="AE300" s="251" t="str">
        <f>IFERROR(__xludf.DUMMYFUNCTION("""COMPUTED_VALUE"""),"019ed0b5-7232-7098-a47c-bad4af6f57c8")</f>
        <v>019ed0b5-7232-7098-a47c-bad4af6f57c8</v>
      </c>
      <c r="AF300" s="261">
        <f>IFERROR(__xludf.DUMMYFUNCTION("""COMPUTED_VALUE"""),46189.57885416667)</f>
        <v>46189.57885</v>
      </c>
      <c r="AG300" s="251" t="str">
        <f>IFERROR(__xludf.DUMMYFUNCTION("""COMPUTED_VALUE"""),"debit")</f>
        <v>debit</v>
      </c>
      <c r="AH300" s="251">
        <f>IFERROR(__xludf.DUMMYFUNCTION("""COMPUTED_VALUE"""),20827.23)</f>
        <v>20827.23</v>
      </c>
      <c r="AI300" s="251" t="str">
        <f>IFERROR(__xludf.DUMMYFUNCTION("""COMPUTED_VALUE"""),"cash_isa")</f>
        <v>cash_isa</v>
      </c>
      <c r="AJ300" s="251" t="str">
        <f>IFERROR(__xludf.DUMMYFUNCTION("""COMPUTED_VALUE"""),"9bc00e6b-ce5f-48c5-ae3a-1baabe00f337")</f>
        <v>9bc00e6b-ce5f-48c5-ae3a-1baabe00f337</v>
      </c>
      <c r="AK300" s="251" t="str">
        <f>IFERROR(__xludf.DUMMYFUNCTION("""COMPUTED_VALUE"""),"8d1ae1d8-e340-42fe-a52a-478b2fa1d9f3")</f>
        <v>8d1ae1d8-e340-42fe-a52a-478b2fa1d9f3</v>
      </c>
      <c r="AL300" s="251"/>
      <c r="AM300" s="251"/>
      <c r="AN300" s="251"/>
      <c r="AO300" s="251"/>
      <c r="AP300" s="261"/>
      <c r="AR300" s="251" t="str">
        <f t="shared" si="1"/>
        <v>20827.23_debit</v>
      </c>
      <c r="AS300" s="251" t="str">
        <f t="shared" si="2"/>
        <v>DROP</v>
      </c>
      <c r="AT300" s="247"/>
    </row>
    <row r="301">
      <c r="A301" s="255" t="s">
        <v>165</v>
      </c>
      <c r="B301" s="255" t="s">
        <v>712</v>
      </c>
      <c r="C301" s="256">
        <v>46189.58403935185</v>
      </c>
      <c r="D301" s="255" t="s">
        <v>265</v>
      </c>
      <c r="E301" s="257">
        <v>25153.6</v>
      </c>
      <c r="F301" s="255" t="s">
        <v>169</v>
      </c>
      <c r="G301" s="255" t="s">
        <v>170</v>
      </c>
      <c r="H301" s="255" t="s">
        <v>706</v>
      </c>
      <c r="I301" s="255"/>
      <c r="J301" s="255"/>
      <c r="K301" s="272"/>
      <c r="L301" s="255"/>
      <c r="M301" s="273"/>
      <c r="O301" s="247"/>
      <c r="AC301" s="247"/>
      <c r="AD301" s="251" t="str">
        <f>IFERROR(__xludf.DUMMYFUNCTION("""COMPUTED_VALUE"""),"73df5aae-f42a-49a0-9d8f-616ca6dbebaa")</f>
        <v>73df5aae-f42a-49a0-9d8f-616ca6dbebaa</v>
      </c>
      <c r="AE301" s="251" t="str">
        <f>IFERROR(__xludf.DUMMYFUNCTION("""COMPUTED_VALUE"""),"019ed0b5-cadd-7e56-9272-1ea42793d0a7")</f>
        <v>019ed0b5-cadd-7e56-9272-1ea42793d0a7</v>
      </c>
      <c r="AF301" s="261">
        <f>IFERROR(__xludf.DUMMYFUNCTION("""COMPUTED_VALUE"""),46189.5791087963)</f>
        <v>46189.57911</v>
      </c>
      <c r="AG301" s="251" t="str">
        <f>IFERROR(__xludf.DUMMYFUNCTION("""COMPUTED_VALUE"""),"debit")</f>
        <v>debit</v>
      </c>
      <c r="AH301" s="251">
        <f>IFERROR(__xludf.DUMMYFUNCTION("""COMPUTED_VALUE"""),1000.0)</f>
        <v>1000</v>
      </c>
      <c r="AI301" s="251" t="str">
        <f>IFERROR(__xludf.DUMMYFUNCTION("""COMPUTED_VALUE"""),"cash_isa")</f>
        <v>cash_isa</v>
      </c>
      <c r="AJ301" s="251" t="str">
        <f>IFERROR(__xludf.DUMMYFUNCTION("""COMPUTED_VALUE"""),"9bc00e6b-ce5f-48c5-ae3a-1baabe00f337")</f>
        <v>9bc00e6b-ce5f-48c5-ae3a-1baabe00f337</v>
      </c>
      <c r="AK301" s="251" t="str">
        <f>IFERROR(__xludf.DUMMYFUNCTION("""COMPUTED_VALUE"""),"18c90dd9-8235-4ae3-977a-afd209f77949")</f>
        <v>18c90dd9-8235-4ae3-977a-afd209f77949</v>
      </c>
      <c r="AL301" s="251"/>
      <c r="AM301" s="251"/>
      <c r="AN301" s="251"/>
      <c r="AO301" s="251"/>
      <c r="AP301" s="261"/>
      <c r="AR301" s="251" t="str">
        <f t="shared" si="1"/>
        <v>1000_debit</v>
      </c>
      <c r="AS301" s="251" t="str">
        <f t="shared" si="2"/>
        <v>DROP</v>
      </c>
      <c r="AT301" s="247"/>
    </row>
    <row r="302">
      <c r="A302" s="262" t="s">
        <v>165</v>
      </c>
      <c r="B302" s="262" t="s">
        <v>713</v>
      </c>
      <c r="C302" s="263">
        <v>46189.585023148145</v>
      </c>
      <c r="D302" s="262" t="s">
        <v>265</v>
      </c>
      <c r="E302" s="264">
        <v>41002.1</v>
      </c>
      <c r="F302" s="262" t="s">
        <v>169</v>
      </c>
      <c r="G302" s="262" t="s">
        <v>170</v>
      </c>
      <c r="H302" s="262" t="s">
        <v>711</v>
      </c>
      <c r="I302" s="262"/>
      <c r="J302" s="262"/>
      <c r="K302" s="274"/>
      <c r="L302" s="262"/>
      <c r="M302" s="275"/>
      <c r="O302" s="247"/>
      <c r="AC302" s="247"/>
      <c r="AD302" s="251" t="str">
        <f>IFERROR(__xludf.DUMMYFUNCTION("""COMPUTED_VALUE"""),"73df5aae-f42a-49a0-9d8f-616ca6dbebaa")</f>
        <v>73df5aae-f42a-49a0-9d8f-616ca6dbebaa</v>
      </c>
      <c r="AE302" s="251" t="str">
        <f>IFERROR(__xludf.DUMMYFUNCTION("""COMPUTED_VALUE"""),"019ed0b6-8e82-7a4a-9e4f-aff0be9a770f")</f>
        <v>019ed0b6-8e82-7a4a-9e4f-aff0be9a770f</v>
      </c>
      <c r="AF302" s="261">
        <f>IFERROR(__xludf.DUMMYFUNCTION("""COMPUTED_VALUE"""),46189.57969907408)</f>
        <v>46189.5797</v>
      </c>
      <c r="AG302" s="251" t="str">
        <f>IFERROR(__xludf.DUMMYFUNCTION("""COMPUTED_VALUE"""),"credit")</f>
        <v>credit</v>
      </c>
      <c r="AH302" s="251">
        <f>IFERROR(__xludf.DUMMYFUNCTION("""COMPUTED_VALUE"""),20000.0)</f>
        <v>20000</v>
      </c>
      <c r="AI302" s="251" t="str">
        <f>IFERROR(__xludf.DUMMYFUNCTION("""COMPUTED_VALUE"""),"cash_isa")</f>
        <v>cash_isa</v>
      </c>
      <c r="AJ302" s="251" t="str">
        <f>IFERROR(__xludf.DUMMYFUNCTION("""COMPUTED_VALUE"""),"9bc00e6b-ce5f-48c5-ae3a-1baabe00f337")</f>
        <v>9bc00e6b-ce5f-48c5-ae3a-1baabe00f337</v>
      </c>
      <c r="AK302" s="251" t="str">
        <f>IFERROR(__xludf.DUMMYFUNCTION("""COMPUTED_VALUE"""),"20129313-94c9-45d0-9646-1e167da2747e")</f>
        <v>20129313-94c9-45d0-9646-1e167da2747e</v>
      </c>
      <c r="AL302" s="251"/>
      <c r="AM302" s="251"/>
      <c r="AN302" s="251"/>
      <c r="AO302" s="251"/>
      <c r="AP302" s="261"/>
      <c r="AR302" s="251" t="str">
        <f t="shared" si="1"/>
        <v>20000_credit</v>
      </c>
      <c r="AS302" s="251" t="str">
        <f t="shared" si="2"/>
        <v>DROP</v>
      </c>
      <c r="AT302" s="247"/>
    </row>
    <row r="303">
      <c r="A303" s="255" t="s">
        <v>165</v>
      </c>
      <c r="B303" s="255" t="s">
        <v>714</v>
      </c>
      <c r="C303" s="256">
        <v>46189.58503472222</v>
      </c>
      <c r="D303" s="255" t="s">
        <v>265</v>
      </c>
      <c r="E303" s="257">
        <v>1000.0</v>
      </c>
      <c r="F303" s="255" t="s">
        <v>169</v>
      </c>
      <c r="G303" s="255" t="s">
        <v>170</v>
      </c>
      <c r="H303" s="255" t="s">
        <v>709</v>
      </c>
      <c r="I303" s="255"/>
      <c r="J303" s="255"/>
      <c r="K303" s="272"/>
      <c r="L303" s="255"/>
      <c r="M303" s="273"/>
      <c r="O303" s="247"/>
      <c r="AC303" s="247"/>
      <c r="AD303" s="251" t="str">
        <f>IFERROR(__xludf.DUMMYFUNCTION("""COMPUTED_VALUE"""),"73df5aae-f42a-49a0-9d8f-616ca6dbebaa")</f>
        <v>73df5aae-f42a-49a0-9d8f-616ca6dbebaa</v>
      </c>
      <c r="AE303" s="251" t="str">
        <f>IFERROR(__xludf.DUMMYFUNCTION("""COMPUTED_VALUE"""),"019ed0b8-583b-7ab7-af2e-6d8b1a8cc137")</f>
        <v>019ed0b8-583b-7ab7-af2e-6d8b1a8cc137</v>
      </c>
      <c r="AF303" s="261">
        <f>IFERROR(__xludf.DUMMYFUNCTION("""COMPUTED_VALUE"""),46189.58105324074)</f>
        <v>46189.58105</v>
      </c>
      <c r="AG303" s="251" t="str">
        <f>IFERROR(__xludf.DUMMYFUNCTION("""COMPUTED_VALUE"""),"debit")</f>
        <v>debit</v>
      </c>
      <c r="AH303" s="251">
        <f>IFERROR(__xludf.DUMMYFUNCTION("""COMPUTED_VALUE"""),20000.0)</f>
        <v>20000</v>
      </c>
      <c r="AI303" s="251" t="str">
        <f>IFERROR(__xludf.DUMMYFUNCTION("""COMPUTED_VALUE"""),"cash_isa")</f>
        <v>cash_isa</v>
      </c>
      <c r="AJ303" s="251" t="str">
        <f>IFERROR(__xludf.DUMMYFUNCTION("""COMPUTED_VALUE"""),"9bc00e6b-ce5f-48c5-ae3a-1baabe00f337")</f>
        <v>9bc00e6b-ce5f-48c5-ae3a-1baabe00f337</v>
      </c>
      <c r="AK303" s="251" t="str">
        <f>IFERROR(__xludf.DUMMYFUNCTION("""COMPUTED_VALUE"""),"20129313-94c9-45d0-9646-1e167da2747e")</f>
        <v>20129313-94c9-45d0-9646-1e167da2747e</v>
      </c>
      <c r="AL303" s="251"/>
      <c r="AM303" s="251"/>
      <c r="AN303" s="251"/>
      <c r="AO303" s="251"/>
      <c r="AP303" s="261"/>
      <c r="AR303" s="251" t="str">
        <f t="shared" si="1"/>
        <v>20000_debit</v>
      </c>
      <c r="AS303" s="251" t="str">
        <f t="shared" si="2"/>
        <v>DROP</v>
      </c>
      <c r="AT303" s="247"/>
    </row>
    <row r="304">
      <c r="A304" s="262" t="s">
        <v>165</v>
      </c>
      <c r="B304" s="262" t="s">
        <v>715</v>
      </c>
      <c r="C304" s="263">
        <v>46189.58777777778</v>
      </c>
      <c r="D304" s="262" t="s">
        <v>167</v>
      </c>
      <c r="E304" s="264">
        <v>18539.6</v>
      </c>
      <c r="F304" s="262" t="s">
        <v>169</v>
      </c>
      <c r="G304" s="262" t="s">
        <v>170</v>
      </c>
      <c r="H304" s="262" t="s">
        <v>716</v>
      </c>
      <c r="I304" s="262"/>
      <c r="J304" s="262"/>
      <c r="K304" s="274"/>
      <c r="L304" s="262"/>
      <c r="M304" s="275"/>
      <c r="O304" s="247"/>
      <c r="AC304" s="247"/>
      <c r="AD304" s="251" t="str">
        <f>IFERROR(__xludf.DUMMYFUNCTION("""COMPUTED_VALUE"""),"73df5aae-f42a-49a0-9d8f-616ca6dbebaa")</f>
        <v>73df5aae-f42a-49a0-9d8f-616ca6dbebaa</v>
      </c>
      <c r="AE304" s="251" t="str">
        <f>IFERROR(__xludf.DUMMYFUNCTION("""COMPUTED_VALUE"""),"019ed0b9-1777-7d57-90cd-9f4c40247d25")</f>
        <v>019ed0b9-1777-7d57-90cd-9f4c40247d25</v>
      </c>
      <c r="AF304" s="261">
        <f>IFERROR(__xludf.DUMMYFUNCTION("""COMPUTED_VALUE"""),46189.58162037037)</f>
        <v>46189.58162</v>
      </c>
      <c r="AG304" s="251" t="str">
        <f>IFERROR(__xludf.DUMMYFUNCTION("""COMPUTED_VALUE"""),"credit")</f>
        <v>credit</v>
      </c>
      <c r="AH304" s="251">
        <f>IFERROR(__xludf.DUMMYFUNCTION("""COMPUTED_VALUE"""),21765.67)</f>
        <v>21765.67</v>
      </c>
      <c r="AI304" s="251" t="str">
        <f>IFERROR(__xludf.DUMMYFUNCTION("""COMPUTED_VALUE"""),"cash_isa")</f>
        <v>cash_isa</v>
      </c>
      <c r="AJ304" s="251" t="str">
        <f>IFERROR(__xludf.DUMMYFUNCTION("""COMPUTED_VALUE"""),"9bc00e6b-ce5f-48c5-ae3a-1baabe00f337")</f>
        <v>9bc00e6b-ce5f-48c5-ae3a-1baabe00f337</v>
      </c>
      <c r="AK304" s="251" t="str">
        <f>IFERROR(__xludf.DUMMYFUNCTION("""COMPUTED_VALUE"""),"a4f53530-b6d5-4972-84ff-32aa964fdc19")</f>
        <v>a4f53530-b6d5-4972-84ff-32aa964fdc19</v>
      </c>
      <c r="AL304" s="251"/>
      <c r="AM304" s="251"/>
      <c r="AN304" s="251"/>
      <c r="AO304" s="251"/>
      <c r="AP304" s="261"/>
      <c r="AR304" s="251" t="str">
        <f t="shared" si="1"/>
        <v>21765.67_credit</v>
      </c>
      <c r="AS304" s="251" t="str">
        <f t="shared" si="2"/>
        <v>DROP</v>
      </c>
      <c r="AT304" s="247"/>
    </row>
    <row r="305">
      <c r="A305" s="255" t="s">
        <v>165</v>
      </c>
      <c r="B305" s="255" t="s">
        <v>717</v>
      </c>
      <c r="C305" s="256">
        <v>46189.588842592595</v>
      </c>
      <c r="D305" s="255" t="s">
        <v>265</v>
      </c>
      <c r="E305" s="257">
        <v>18539.6</v>
      </c>
      <c r="F305" s="255" t="s">
        <v>169</v>
      </c>
      <c r="G305" s="255" t="s">
        <v>170</v>
      </c>
      <c r="H305" s="255" t="s">
        <v>716</v>
      </c>
      <c r="I305" s="255"/>
      <c r="J305" s="255"/>
      <c r="K305" s="272"/>
      <c r="L305" s="255"/>
      <c r="M305" s="273"/>
      <c r="O305" s="247"/>
      <c r="AC305" s="247"/>
      <c r="AD305" s="251" t="str">
        <f>IFERROR(__xludf.DUMMYFUNCTION("""COMPUTED_VALUE"""),"73df5aae-f42a-49a0-9d8f-616ca6dbebaa")</f>
        <v>73df5aae-f42a-49a0-9d8f-616ca6dbebaa</v>
      </c>
      <c r="AE305" s="251" t="str">
        <f>IFERROR(__xludf.DUMMYFUNCTION("""COMPUTED_VALUE"""),"019ed0b9-6737-7979-92ef-50aa6a3bf75b")</f>
        <v>019ed0b9-6737-7979-92ef-50aa6a3bf75b</v>
      </c>
      <c r="AF305" s="261">
        <f>IFERROR(__xludf.DUMMYFUNCTION("""COMPUTED_VALUE"""),46189.58185185185)</f>
        <v>46189.58185</v>
      </c>
      <c r="AG305" s="251" t="str">
        <f>IFERROR(__xludf.DUMMYFUNCTION("""COMPUTED_VALUE"""),"credit")</f>
        <v>credit</v>
      </c>
      <c r="AH305" s="251">
        <f>IFERROR(__xludf.DUMMYFUNCTION("""COMPUTED_VALUE"""),25153.6)</f>
        <v>25153.6</v>
      </c>
      <c r="AI305" s="251" t="str">
        <f>IFERROR(__xludf.DUMMYFUNCTION("""COMPUTED_VALUE"""),"cash_isa")</f>
        <v>cash_isa</v>
      </c>
      <c r="AJ305" s="251" t="str">
        <f>IFERROR(__xludf.DUMMYFUNCTION("""COMPUTED_VALUE"""),"9bc00e6b-ce5f-48c5-ae3a-1baabe00f337")</f>
        <v>9bc00e6b-ce5f-48c5-ae3a-1baabe00f337</v>
      </c>
      <c r="AK305" s="251" t="str">
        <f>IFERROR(__xludf.DUMMYFUNCTION("""COMPUTED_VALUE"""),"2928f2fb-212c-4075-9771-bff8f1af876d")</f>
        <v>2928f2fb-212c-4075-9771-bff8f1af876d</v>
      </c>
      <c r="AL305" s="251"/>
      <c r="AM305" s="251"/>
      <c r="AN305" s="251"/>
      <c r="AO305" s="251"/>
      <c r="AP305" s="261"/>
      <c r="AR305" s="251" t="str">
        <f t="shared" si="1"/>
        <v>25153.6_credit</v>
      </c>
      <c r="AS305" s="251" t="str">
        <f t="shared" si="2"/>
        <v>DROP</v>
      </c>
      <c r="AT305" s="247"/>
    </row>
    <row r="306">
      <c r="A306" s="262" t="s">
        <v>165</v>
      </c>
      <c r="B306" s="262" t="s">
        <v>718</v>
      </c>
      <c r="C306" s="263">
        <v>46189.590636574074</v>
      </c>
      <c r="D306" s="262" t="s">
        <v>167</v>
      </c>
      <c r="E306" s="264">
        <v>20979.91</v>
      </c>
      <c r="F306" s="262" t="s">
        <v>169</v>
      </c>
      <c r="G306" s="262" t="s">
        <v>170</v>
      </c>
      <c r="H306" s="262" t="s">
        <v>719</v>
      </c>
      <c r="I306" s="265"/>
      <c r="J306" s="265"/>
      <c r="K306" s="266"/>
      <c r="L306" s="265"/>
      <c r="M306" s="267"/>
      <c r="O306" s="247"/>
      <c r="AC306" s="247"/>
      <c r="AD306" s="251" t="str">
        <f>IFERROR(__xludf.DUMMYFUNCTION("""COMPUTED_VALUE"""),"73df5aae-f42a-49a0-9d8f-616ca6dbebaa")</f>
        <v>73df5aae-f42a-49a0-9d8f-616ca6dbebaa</v>
      </c>
      <c r="AE306" s="251" t="str">
        <f>IFERROR(__xludf.DUMMYFUNCTION("""COMPUTED_VALUE"""),"019ed0bb-ecf2-7bd9-8623-20b9bb77864c")</f>
        <v>019ed0bb-ecf2-7bd9-8623-20b9bb77864c</v>
      </c>
      <c r="AF306" s="261">
        <f>IFERROR(__xludf.DUMMYFUNCTION("""COMPUTED_VALUE"""),46189.583761574075)</f>
        <v>46189.58376</v>
      </c>
      <c r="AG306" s="251" t="str">
        <f>IFERROR(__xludf.DUMMYFUNCTION("""COMPUTED_VALUE"""),"debit")</f>
        <v>debit</v>
      </c>
      <c r="AH306" s="251">
        <f>IFERROR(__xludf.DUMMYFUNCTION("""COMPUTED_VALUE"""),21765.67)</f>
        <v>21765.67</v>
      </c>
      <c r="AI306" s="251" t="str">
        <f>IFERROR(__xludf.DUMMYFUNCTION("""COMPUTED_VALUE"""),"cash_isa")</f>
        <v>cash_isa</v>
      </c>
      <c r="AJ306" s="251" t="str">
        <f>IFERROR(__xludf.DUMMYFUNCTION("""COMPUTED_VALUE"""),"9bc00e6b-ce5f-48c5-ae3a-1baabe00f337")</f>
        <v>9bc00e6b-ce5f-48c5-ae3a-1baabe00f337</v>
      </c>
      <c r="AK306" s="251" t="str">
        <f>IFERROR(__xludf.DUMMYFUNCTION("""COMPUTED_VALUE"""),"a4f53530-b6d5-4972-84ff-32aa964fdc19")</f>
        <v>a4f53530-b6d5-4972-84ff-32aa964fdc19</v>
      </c>
      <c r="AL306" s="251"/>
      <c r="AM306" s="251"/>
      <c r="AN306" s="251"/>
      <c r="AO306" s="251"/>
      <c r="AP306" s="261"/>
      <c r="AR306" s="251" t="str">
        <f t="shared" si="1"/>
        <v>21765.67_debit</v>
      </c>
      <c r="AS306" s="251" t="str">
        <f t="shared" si="2"/>
        <v>DROP</v>
      </c>
      <c r="AT306" s="247"/>
    </row>
    <row r="307">
      <c r="A307" s="255" t="s">
        <v>165</v>
      </c>
      <c r="B307" s="255" t="s">
        <v>720</v>
      </c>
      <c r="C307" s="256">
        <v>46189.59332175926</v>
      </c>
      <c r="D307" s="255" t="s">
        <v>265</v>
      </c>
      <c r="E307" s="257">
        <v>20979.91</v>
      </c>
      <c r="F307" s="255" t="s">
        <v>169</v>
      </c>
      <c r="G307" s="255" t="s">
        <v>170</v>
      </c>
      <c r="H307" s="255" t="s">
        <v>719</v>
      </c>
      <c r="I307" s="258"/>
      <c r="J307" s="258"/>
      <c r="K307" s="259"/>
      <c r="L307" s="258"/>
      <c r="M307" s="260"/>
      <c r="O307" s="247"/>
      <c r="AC307" s="247"/>
      <c r="AD307" s="251" t="str">
        <f>IFERROR(__xludf.DUMMYFUNCTION("""COMPUTED_VALUE"""),"73df5aae-f42a-49a0-9d8f-616ca6dbebaa")</f>
        <v>73df5aae-f42a-49a0-9d8f-616ca6dbebaa</v>
      </c>
      <c r="AE307" s="251" t="str">
        <f>IFERROR(__xludf.DUMMYFUNCTION("""COMPUTED_VALUE"""),"019ed0bb-fd46-7ff6-b741-7f2ebfe3ffb2")</f>
        <v>019ed0bb-fd46-7ff6-b741-7f2ebfe3ffb2</v>
      </c>
      <c r="AF307" s="261">
        <f>IFERROR(__xludf.DUMMYFUNCTION("""COMPUTED_VALUE"""),46189.583819444444)</f>
        <v>46189.58382</v>
      </c>
      <c r="AG307" s="251" t="str">
        <f>IFERROR(__xludf.DUMMYFUNCTION("""COMPUTED_VALUE"""),"credit")</f>
        <v>credit</v>
      </c>
      <c r="AH307" s="251">
        <f>IFERROR(__xludf.DUMMYFUNCTION("""COMPUTED_VALUE"""),1000.0)</f>
        <v>1000</v>
      </c>
      <c r="AI307" s="251" t="str">
        <f>IFERROR(__xludf.DUMMYFUNCTION("""COMPUTED_VALUE"""),"cash_isa")</f>
        <v>cash_isa</v>
      </c>
      <c r="AJ307" s="251" t="str">
        <f>IFERROR(__xludf.DUMMYFUNCTION("""COMPUTED_VALUE"""),"9bc00e6b-ce5f-48c5-ae3a-1baabe00f337")</f>
        <v>9bc00e6b-ce5f-48c5-ae3a-1baabe00f337</v>
      </c>
      <c r="AK307" s="251" t="str">
        <f>IFERROR(__xludf.DUMMYFUNCTION("""COMPUTED_VALUE"""),"02904c73-8f73-41f9-bb22-9e7d1dd81c3a")</f>
        <v>02904c73-8f73-41f9-bb22-9e7d1dd81c3a</v>
      </c>
      <c r="AL307" s="251"/>
      <c r="AM307" s="251"/>
      <c r="AN307" s="251"/>
      <c r="AO307" s="251"/>
      <c r="AP307" s="261"/>
      <c r="AR307" s="251" t="str">
        <f t="shared" si="1"/>
        <v>1000_credit</v>
      </c>
      <c r="AS307" s="251" t="str">
        <f t="shared" si="2"/>
        <v>DROP</v>
      </c>
      <c r="AT307" s="247"/>
    </row>
    <row r="308">
      <c r="A308" s="262" t="s">
        <v>165</v>
      </c>
      <c r="B308" s="262" t="s">
        <v>721</v>
      </c>
      <c r="C308" s="263">
        <v>46189.59405092592</v>
      </c>
      <c r="D308" s="262" t="s">
        <v>167</v>
      </c>
      <c r="E308" s="264">
        <v>1355.71</v>
      </c>
      <c r="F308" s="262" t="s">
        <v>169</v>
      </c>
      <c r="G308" s="262" t="s">
        <v>170</v>
      </c>
      <c r="H308" s="262" t="s">
        <v>722</v>
      </c>
      <c r="I308" s="265"/>
      <c r="J308" s="265"/>
      <c r="K308" s="266"/>
      <c r="L308" s="265"/>
      <c r="M308" s="267"/>
      <c r="O308" s="247"/>
      <c r="AC308" s="247"/>
      <c r="AD308" s="251" t="str">
        <f>IFERROR(__xludf.DUMMYFUNCTION("""COMPUTED_VALUE"""),"73df5aae-f42a-49a0-9d8f-616ca6dbebaa")</f>
        <v>73df5aae-f42a-49a0-9d8f-616ca6dbebaa</v>
      </c>
      <c r="AE308" s="251" t="str">
        <f>IFERROR(__xludf.DUMMYFUNCTION("""COMPUTED_VALUE"""),"019ed0bc-1534-7e6f-be13-2346db19f8ea")</f>
        <v>019ed0bc-1534-7e6f-be13-2346db19f8ea</v>
      </c>
      <c r="AF308" s="261">
        <f>IFERROR(__xludf.DUMMYFUNCTION("""COMPUTED_VALUE"""),46189.58388888889)</f>
        <v>46189.58389</v>
      </c>
      <c r="AG308" s="251" t="str">
        <f>IFERROR(__xludf.DUMMYFUNCTION("""COMPUTED_VALUE"""),"credit")</f>
        <v>credit</v>
      </c>
      <c r="AH308" s="251">
        <f>IFERROR(__xludf.DUMMYFUNCTION("""COMPUTED_VALUE"""),41002.1)</f>
        <v>41002.1</v>
      </c>
      <c r="AI308" s="251" t="str">
        <f>IFERROR(__xludf.DUMMYFUNCTION("""COMPUTED_VALUE"""),"cash_isa")</f>
        <v>cash_isa</v>
      </c>
      <c r="AJ308" s="251" t="str">
        <f>IFERROR(__xludf.DUMMYFUNCTION("""COMPUTED_VALUE"""),"9bc00e6b-ce5f-48c5-ae3a-1baabe00f337")</f>
        <v>9bc00e6b-ce5f-48c5-ae3a-1baabe00f337</v>
      </c>
      <c r="AK308" s="251" t="str">
        <f>IFERROR(__xludf.DUMMYFUNCTION("""COMPUTED_VALUE"""),"cc11124b-a388-43e7-b188-0d5d594e8ca0")</f>
        <v>cc11124b-a388-43e7-b188-0d5d594e8ca0</v>
      </c>
      <c r="AL308" s="251"/>
      <c r="AM308" s="251"/>
      <c r="AN308" s="251"/>
      <c r="AO308" s="251"/>
      <c r="AP308" s="261"/>
      <c r="AR308" s="251" t="str">
        <f t="shared" si="1"/>
        <v>41002.1_credit</v>
      </c>
      <c r="AS308" s="251" t="str">
        <f t="shared" si="2"/>
        <v>DROP</v>
      </c>
      <c r="AT308" s="247"/>
    </row>
    <row r="309">
      <c r="A309" s="255" t="s">
        <v>165</v>
      </c>
      <c r="B309" s="255" t="s">
        <v>723</v>
      </c>
      <c r="C309" s="256">
        <v>46189.59516203704</v>
      </c>
      <c r="D309" s="255" t="s">
        <v>265</v>
      </c>
      <c r="E309" s="257">
        <v>1355.71</v>
      </c>
      <c r="F309" s="255" t="s">
        <v>169</v>
      </c>
      <c r="G309" s="255" t="s">
        <v>170</v>
      </c>
      <c r="H309" s="255" t="s">
        <v>722</v>
      </c>
      <c r="I309" s="258"/>
      <c r="J309" s="258"/>
      <c r="K309" s="259"/>
      <c r="L309" s="258"/>
      <c r="M309" s="260"/>
      <c r="O309" s="247"/>
      <c r="AC309" s="247"/>
      <c r="AD309" s="251" t="str">
        <f>IFERROR(__xludf.DUMMYFUNCTION("""COMPUTED_VALUE"""),"73df5aae-f42a-49a0-9d8f-616ca6dbebaa")</f>
        <v>73df5aae-f42a-49a0-9d8f-616ca6dbebaa</v>
      </c>
      <c r="AE309" s="251" t="str">
        <f>IFERROR(__xludf.DUMMYFUNCTION("""COMPUTED_VALUE"""),"019ed0bc-4885-7540-a732-92946c90a5a2")</f>
        <v>019ed0bc-4885-7540-a732-92946c90a5a2</v>
      </c>
      <c r="AF309" s="261">
        <f>IFERROR(__xludf.DUMMYFUNCTION("""COMPUTED_VALUE"""),46189.58403935185)</f>
        <v>46189.58404</v>
      </c>
      <c r="AG309" s="251" t="str">
        <f>IFERROR(__xludf.DUMMYFUNCTION("""COMPUTED_VALUE"""),"debit")</f>
        <v>debit</v>
      </c>
      <c r="AH309" s="251">
        <f>IFERROR(__xludf.DUMMYFUNCTION("""COMPUTED_VALUE"""),25153.6)</f>
        <v>25153.6</v>
      </c>
      <c r="AI309" s="251" t="str">
        <f>IFERROR(__xludf.DUMMYFUNCTION("""COMPUTED_VALUE"""),"cash_isa")</f>
        <v>cash_isa</v>
      </c>
      <c r="AJ309" s="251" t="str">
        <f>IFERROR(__xludf.DUMMYFUNCTION("""COMPUTED_VALUE"""),"9bc00e6b-ce5f-48c5-ae3a-1baabe00f337")</f>
        <v>9bc00e6b-ce5f-48c5-ae3a-1baabe00f337</v>
      </c>
      <c r="AK309" s="251" t="str">
        <f>IFERROR(__xludf.DUMMYFUNCTION("""COMPUTED_VALUE"""),"2928f2fb-212c-4075-9771-bff8f1af876d")</f>
        <v>2928f2fb-212c-4075-9771-bff8f1af876d</v>
      </c>
      <c r="AL309" s="251"/>
      <c r="AM309" s="251"/>
      <c r="AN309" s="251"/>
      <c r="AO309" s="251"/>
      <c r="AP309" s="261"/>
      <c r="AR309" s="251" t="str">
        <f t="shared" si="1"/>
        <v>25153.6_debit</v>
      </c>
      <c r="AS309" s="251" t="str">
        <f t="shared" si="2"/>
        <v>DROP</v>
      </c>
      <c r="AT309" s="247"/>
    </row>
    <row r="310">
      <c r="A310" s="262" t="s">
        <v>165</v>
      </c>
      <c r="B310" s="262" t="s">
        <v>724</v>
      </c>
      <c r="C310" s="263">
        <v>46189.604629629626</v>
      </c>
      <c r="D310" s="262" t="s">
        <v>167</v>
      </c>
      <c r="E310" s="264">
        <v>20539.48</v>
      </c>
      <c r="F310" s="262" t="s">
        <v>169</v>
      </c>
      <c r="G310" s="262" t="s">
        <v>170</v>
      </c>
      <c r="H310" s="262" t="s">
        <v>725</v>
      </c>
      <c r="I310" s="265"/>
      <c r="J310" s="265"/>
      <c r="K310" s="266"/>
      <c r="L310" s="265"/>
      <c r="M310" s="267"/>
      <c r="O310" s="247"/>
      <c r="AC310" s="247"/>
      <c r="AD310" s="251" t="str">
        <f>IFERROR(__xludf.DUMMYFUNCTION("""COMPUTED_VALUE"""),"73df5aae-f42a-49a0-9d8f-616ca6dbebaa")</f>
        <v>73df5aae-f42a-49a0-9d8f-616ca6dbebaa</v>
      </c>
      <c r="AE310" s="251" t="str">
        <f>IFERROR(__xludf.DUMMYFUNCTION("""COMPUTED_VALUE"""),"019ed0bd-9472-7b7e-9b7e-2b159bceed9f")</f>
        <v>019ed0bd-9472-7b7e-9b7e-2b159bceed9f</v>
      </c>
      <c r="AF310" s="261">
        <f>IFERROR(__xludf.DUMMYFUNCTION("""COMPUTED_VALUE"""),46189.585023148145)</f>
        <v>46189.58502</v>
      </c>
      <c r="AG310" s="251" t="str">
        <f>IFERROR(__xludf.DUMMYFUNCTION("""COMPUTED_VALUE"""),"debit")</f>
        <v>debit</v>
      </c>
      <c r="AH310" s="251">
        <f>IFERROR(__xludf.DUMMYFUNCTION("""COMPUTED_VALUE"""),41002.1)</f>
        <v>41002.1</v>
      </c>
      <c r="AI310" s="251" t="str">
        <f>IFERROR(__xludf.DUMMYFUNCTION("""COMPUTED_VALUE"""),"cash_isa")</f>
        <v>cash_isa</v>
      </c>
      <c r="AJ310" s="251" t="str">
        <f>IFERROR(__xludf.DUMMYFUNCTION("""COMPUTED_VALUE"""),"9bc00e6b-ce5f-48c5-ae3a-1baabe00f337")</f>
        <v>9bc00e6b-ce5f-48c5-ae3a-1baabe00f337</v>
      </c>
      <c r="AK310" s="251" t="str">
        <f>IFERROR(__xludf.DUMMYFUNCTION("""COMPUTED_VALUE"""),"cc11124b-a388-43e7-b188-0d5d594e8ca0")</f>
        <v>cc11124b-a388-43e7-b188-0d5d594e8ca0</v>
      </c>
      <c r="AL310" s="251"/>
      <c r="AM310" s="251"/>
      <c r="AN310" s="251"/>
      <c r="AO310" s="251"/>
      <c r="AP310" s="261"/>
      <c r="AR310" s="251" t="str">
        <f t="shared" si="1"/>
        <v>41002.1_debit</v>
      </c>
      <c r="AS310" s="251" t="str">
        <f t="shared" si="2"/>
        <v>DROP</v>
      </c>
      <c r="AT310" s="247"/>
    </row>
    <row r="311">
      <c r="A311" s="255" t="s">
        <v>165</v>
      </c>
      <c r="B311" s="255" t="s">
        <v>726</v>
      </c>
      <c r="C311" s="256">
        <v>46189.60533564815</v>
      </c>
      <c r="D311" s="255" t="s">
        <v>167</v>
      </c>
      <c r="E311" s="257">
        <v>18848.06</v>
      </c>
      <c r="F311" s="255" t="s">
        <v>169</v>
      </c>
      <c r="G311" s="255" t="s">
        <v>170</v>
      </c>
      <c r="H311" s="255" t="s">
        <v>727</v>
      </c>
      <c r="I311" s="258"/>
      <c r="J311" s="258"/>
      <c r="K311" s="259"/>
      <c r="L311" s="258"/>
      <c r="M311" s="260"/>
      <c r="O311" s="247"/>
      <c r="AC311" s="247"/>
      <c r="AD311" s="251" t="str">
        <f>IFERROR(__xludf.DUMMYFUNCTION("""COMPUTED_VALUE"""),"73df5aae-f42a-49a0-9d8f-616ca6dbebaa")</f>
        <v>73df5aae-f42a-49a0-9d8f-616ca6dbebaa</v>
      </c>
      <c r="AE311" s="251" t="str">
        <f>IFERROR(__xludf.DUMMYFUNCTION("""COMPUTED_VALUE"""),"019ed0bd-97d7-7856-a481-81c4761974d4")</f>
        <v>019ed0bd-97d7-7856-a481-81c4761974d4</v>
      </c>
      <c r="AF311" s="261">
        <f>IFERROR(__xludf.DUMMYFUNCTION("""COMPUTED_VALUE"""),46189.58503472222)</f>
        <v>46189.58503</v>
      </c>
      <c r="AG311" s="251" t="str">
        <f>IFERROR(__xludf.DUMMYFUNCTION("""COMPUTED_VALUE"""),"debit")</f>
        <v>debit</v>
      </c>
      <c r="AH311" s="251">
        <f>IFERROR(__xludf.DUMMYFUNCTION("""COMPUTED_VALUE"""),1000.0)</f>
        <v>1000</v>
      </c>
      <c r="AI311" s="251" t="str">
        <f>IFERROR(__xludf.DUMMYFUNCTION("""COMPUTED_VALUE"""),"cash_isa")</f>
        <v>cash_isa</v>
      </c>
      <c r="AJ311" s="251" t="str">
        <f>IFERROR(__xludf.DUMMYFUNCTION("""COMPUTED_VALUE"""),"9bc00e6b-ce5f-48c5-ae3a-1baabe00f337")</f>
        <v>9bc00e6b-ce5f-48c5-ae3a-1baabe00f337</v>
      </c>
      <c r="AK311" s="251" t="str">
        <f>IFERROR(__xludf.DUMMYFUNCTION("""COMPUTED_VALUE"""),"02904c73-8f73-41f9-bb22-9e7d1dd81c3a")</f>
        <v>02904c73-8f73-41f9-bb22-9e7d1dd81c3a</v>
      </c>
      <c r="AL311" s="251"/>
      <c r="AM311" s="251"/>
      <c r="AN311" s="251"/>
      <c r="AO311" s="251"/>
      <c r="AP311" s="261"/>
      <c r="AR311" s="251" t="str">
        <f t="shared" si="1"/>
        <v>1000_debit</v>
      </c>
      <c r="AS311" s="251" t="str">
        <f t="shared" si="2"/>
        <v>DROP</v>
      </c>
      <c r="AT311" s="247"/>
    </row>
    <row r="312">
      <c r="A312" s="262" t="s">
        <v>165</v>
      </c>
      <c r="B312" s="262" t="s">
        <v>728</v>
      </c>
      <c r="C312" s="263">
        <v>46189.6059837963</v>
      </c>
      <c r="D312" s="262" t="s">
        <v>167</v>
      </c>
      <c r="E312" s="264">
        <v>24452.72</v>
      </c>
      <c r="F312" s="262" t="s">
        <v>169</v>
      </c>
      <c r="G312" s="262" t="s">
        <v>170</v>
      </c>
      <c r="H312" s="262" t="s">
        <v>729</v>
      </c>
      <c r="I312" s="265"/>
      <c r="J312" s="265"/>
      <c r="K312" s="266"/>
      <c r="L312" s="265"/>
      <c r="M312" s="267"/>
      <c r="O312" s="247"/>
      <c r="AC312" s="247"/>
      <c r="AD312" s="251" t="str">
        <f>IFERROR(__xludf.DUMMYFUNCTION("""COMPUTED_VALUE"""),"73df5aae-f42a-49a0-9d8f-616ca6dbebaa")</f>
        <v>73df5aae-f42a-49a0-9d8f-616ca6dbebaa</v>
      </c>
      <c r="AE312" s="251" t="str">
        <f>IFERROR(__xludf.DUMMYFUNCTION("""COMPUTED_VALUE"""),"019ed0c1-361e-7513-affc-9e2566eaeb43")</f>
        <v>019ed0c1-361e-7513-affc-9e2566eaeb43</v>
      </c>
      <c r="AF312" s="261">
        <f>IFERROR(__xludf.DUMMYFUNCTION("""COMPUTED_VALUE"""),46189.58777777778)</f>
        <v>46189.58778</v>
      </c>
      <c r="AG312" s="251" t="str">
        <f>IFERROR(__xludf.DUMMYFUNCTION("""COMPUTED_VALUE"""),"credit")</f>
        <v>credit</v>
      </c>
      <c r="AH312" s="251">
        <f>IFERROR(__xludf.DUMMYFUNCTION("""COMPUTED_VALUE"""),18539.6)</f>
        <v>18539.6</v>
      </c>
      <c r="AI312" s="251" t="str">
        <f>IFERROR(__xludf.DUMMYFUNCTION("""COMPUTED_VALUE"""),"cash_isa")</f>
        <v>cash_isa</v>
      </c>
      <c r="AJ312" s="251" t="str">
        <f>IFERROR(__xludf.DUMMYFUNCTION("""COMPUTED_VALUE"""),"9bc00e6b-ce5f-48c5-ae3a-1baabe00f337")</f>
        <v>9bc00e6b-ce5f-48c5-ae3a-1baabe00f337</v>
      </c>
      <c r="AK312" s="251" t="str">
        <f>IFERROR(__xludf.DUMMYFUNCTION("""COMPUTED_VALUE"""),"2f9b8c85-073e-4f85-832c-b91ab38a4e5b")</f>
        <v>2f9b8c85-073e-4f85-832c-b91ab38a4e5b</v>
      </c>
      <c r="AL312" s="251"/>
      <c r="AM312" s="251"/>
      <c r="AN312" s="251"/>
      <c r="AO312" s="251"/>
      <c r="AP312" s="261"/>
      <c r="AR312" s="251" t="str">
        <f t="shared" si="1"/>
        <v>18539.6_credit</v>
      </c>
      <c r="AS312" s="251" t="str">
        <f t="shared" si="2"/>
        <v>DROP</v>
      </c>
      <c r="AT312" s="247"/>
    </row>
    <row r="313">
      <c r="A313" s="255" t="s">
        <v>165</v>
      </c>
      <c r="B313" s="255" t="s">
        <v>730</v>
      </c>
      <c r="C313" s="256">
        <v>46189.6062962963</v>
      </c>
      <c r="D313" s="255" t="s">
        <v>265</v>
      </c>
      <c r="E313" s="257">
        <v>20539.48</v>
      </c>
      <c r="F313" s="255" t="s">
        <v>169</v>
      </c>
      <c r="G313" s="255" t="s">
        <v>170</v>
      </c>
      <c r="H313" s="255" t="s">
        <v>725</v>
      </c>
      <c r="I313" s="258"/>
      <c r="J313" s="258"/>
      <c r="K313" s="259"/>
      <c r="L313" s="258"/>
      <c r="M313" s="260"/>
      <c r="O313" s="247"/>
      <c r="AC313" s="247"/>
      <c r="AD313" s="251" t="str">
        <f>IFERROR(__xludf.DUMMYFUNCTION("""COMPUTED_VALUE"""),"73df5aae-f42a-49a0-9d8f-616ca6dbebaa")</f>
        <v>73df5aae-f42a-49a0-9d8f-616ca6dbebaa</v>
      </c>
      <c r="AE313" s="251" t="str">
        <f>IFERROR(__xludf.DUMMYFUNCTION("""COMPUTED_VALUE"""),"019ed0c2-9c8b-7666-9287-05c79317941f")</f>
        <v>019ed0c2-9c8b-7666-9287-05c79317941f</v>
      </c>
      <c r="AF313" s="261">
        <f>IFERROR(__xludf.DUMMYFUNCTION("""COMPUTED_VALUE"""),46189.588842592595)</f>
        <v>46189.58884</v>
      </c>
      <c r="AG313" s="251" t="str">
        <f>IFERROR(__xludf.DUMMYFUNCTION("""COMPUTED_VALUE"""),"debit")</f>
        <v>debit</v>
      </c>
      <c r="AH313" s="251">
        <f>IFERROR(__xludf.DUMMYFUNCTION("""COMPUTED_VALUE"""),18539.6)</f>
        <v>18539.6</v>
      </c>
      <c r="AI313" s="251" t="str">
        <f>IFERROR(__xludf.DUMMYFUNCTION("""COMPUTED_VALUE"""),"cash_isa")</f>
        <v>cash_isa</v>
      </c>
      <c r="AJ313" s="251" t="str">
        <f>IFERROR(__xludf.DUMMYFUNCTION("""COMPUTED_VALUE"""),"9bc00e6b-ce5f-48c5-ae3a-1baabe00f337")</f>
        <v>9bc00e6b-ce5f-48c5-ae3a-1baabe00f337</v>
      </c>
      <c r="AK313" s="251" t="str">
        <f>IFERROR(__xludf.DUMMYFUNCTION("""COMPUTED_VALUE"""),"2f9b8c85-073e-4f85-832c-b91ab38a4e5b")</f>
        <v>2f9b8c85-073e-4f85-832c-b91ab38a4e5b</v>
      </c>
      <c r="AL313" s="251"/>
      <c r="AM313" s="251"/>
      <c r="AN313" s="251"/>
      <c r="AO313" s="251"/>
      <c r="AP313" s="261"/>
      <c r="AR313" s="251" t="str">
        <f t="shared" si="1"/>
        <v>18539.6_debit</v>
      </c>
      <c r="AS313" s="251" t="str">
        <f t="shared" si="2"/>
        <v>DROP</v>
      </c>
      <c r="AT313" s="247"/>
    </row>
    <row r="314">
      <c r="A314" s="262" t="s">
        <v>165</v>
      </c>
      <c r="B314" s="262" t="s">
        <v>731</v>
      </c>
      <c r="C314" s="263">
        <v>46189.6084375</v>
      </c>
      <c r="D314" s="262" t="s">
        <v>167</v>
      </c>
      <c r="E314" s="264">
        <v>21627.92</v>
      </c>
      <c r="F314" s="262" t="s">
        <v>169</v>
      </c>
      <c r="G314" s="262" t="s">
        <v>170</v>
      </c>
      <c r="H314" s="262" t="s">
        <v>732</v>
      </c>
      <c r="I314" s="265"/>
      <c r="J314" s="265"/>
      <c r="K314" s="266"/>
      <c r="L314" s="265"/>
      <c r="M314" s="267"/>
      <c r="O314" s="247"/>
      <c r="AC314" s="247"/>
      <c r="AD314" s="251" t="str">
        <f>IFERROR(__xludf.DUMMYFUNCTION("""COMPUTED_VALUE"""),"73df5aae-f42a-49a0-9d8f-616ca6dbebaa")</f>
        <v>73df5aae-f42a-49a0-9d8f-616ca6dbebaa</v>
      </c>
      <c r="AE314" s="251" t="str">
        <f>IFERROR(__xludf.DUMMYFUNCTION("""COMPUTED_VALUE"""),"019ed0c4-fc8f-7226-bde0-1dc4306481fc")</f>
        <v>019ed0c4-fc8f-7226-bde0-1dc4306481fc</v>
      </c>
      <c r="AF314" s="261">
        <f>IFERROR(__xludf.DUMMYFUNCTION("""COMPUTED_VALUE"""),46189.590636574074)</f>
        <v>46189.59064</v>
      </c>
      <c r="AG314" s="251" t="str">
        <f>IFERROR(__xludf.DUMMYFUNCTION("""COMPUTED_VALUE"""),"credit")</f>
        <v>credit</v>
      </c>
      <c r="AH314" s="251">
        <f>IFERROR(__xludf.DUMMYFUNCTION("""COMPUTED_VALUE"""),20979.91)</f>
        <v>20979.91</v>
      </c>
      <c r="AI314" s="251" t="str">
        <f>IFERROR(__xludf.DUMMYFUNCTION("""COMPUTED_VALUE"""),"cash_isa")</f>
        <v>cash_isa</v>
      </c>
      <c r="AJ314" s="251" t="str">
        <f>IFERROR(__xludf.DUMMYFUNCTION("""COMPUTED_VALUE"""),"9bc00e6b-ce5f-48c5-ae3a-1baabe00f337")</f>
        <v>9bc00e6b-ce5f-48c5-ae3a-1baabe00f337</v>
      </c>
      <c r="AK314" s="251" t="str">
        <f>IFERROR(__xludf.DUMMYFUNCTION("""COMPUTED_VALUE"""),"274b82d1-be47-4cb0-84d0-b471a14dd14d")</f>
        <v>274b82d1-be47-4cb0-84d0-b471a14dd14d</v>
      </c>
      <c r="AL314" s="251"/>
      <c r="AM314" s="251"/>
      <c r="AN314" s="251"/>
      <c r="AO314" s="251"/>
      <c r="AP314" s="261"/>
      <c r="AR314" s="251" t="str">
        <f t="shared" si="1"/>
        <v>20979.91_credit</v>
      </c>
      <c r="AS314" s="251" t="str">
        <f t="shared" si="2"/>
        <v>DROP</v>
      </c>
      <c r="AT314" s="247"/>
    </row>
    <row r="315">
      <c r="A315" s="255" t="s">
        <v>165</v>
      </c>
      <c r="B315" s="255" t="s">
        <v>733</v>
      </c>
      <c r="C315" s="256">
        <v>46189.60917824074</v>
      </c>
      <c r="D315" s="255" t="s">
        <v>265</v>
      </c>
      <c r="E315" s="257">
        <v>24452.72</v>
      </c>
      <c r="F315" s="255" t="s">
        <v>169</v>
      </c>
      <c r="G315" s="255" t="s">
        <v>170</v>
      </c>
      <c r="H315" s="255" t="s">
        <v>729</v>
      </c>
      <c r="I315" s="258"/>
      <c r="J315" s="258"/>
      <c r="K315" s="259"/>
      <c r="L315" s="258"/>
      <c r="M315" s="260"/>
      <c r="O315" s="247"/>
      <c r="AC315" s="247"/>
      <c r="AD315" s="251" t="str">
        <f>IFERROR(__xludf.DUMMYFUNCTION("""COMPUTED_VALUE"""),"73df5aae-f42a-49a0-9d8f-616ca6dbebaa")</f>
        <v>73df5aae-f42a-49a0-9d8f-616ca6dbebaa</v>
      </c>
      <c r="AE315" s="251" t="str">
        <f>IFERROR(__xludf.DUMMYFUNCTION("""COMPUTED_VALUE"""),"019ed0c8-84b3-7448-8b6b-0c4ba695f625")</f>
        <v>019ed0c8-84b3-7448-8b6b-0c4ba695f625</v>
      </c>
      <c r="AF315" s="261">
        <f>IFERROR(__xludf.DUMMYFUNCTION("""COMPUTED_VALUE"""),46189.59332175926)</f>
        <v>46189.59332</v>
      </c>
      <c r="AG315" s="251" t="str">
        <f>IFERROR(__xludf.DUMMYFUNCTION("""COMPUTED_VALUE"""),"debit")</f>
        <v>debit</v>
      </c>
      <c r="AH315" s="251">
        <f>IFERROR(__xludf.DUMMYFUNCTION("""COMPUTED_VALUE"""),20979.91)</f>
        <v>20979.91</v>
      </c>
      <c r="AI315" s="251" t="str">
        <f>IFERROR(__xludf.DUMMYFUNCTION("""COMPUTED_VALUE"""),"cash_isa")</f>
        <v>cash_isa</v>
      </c>
      <c r="AJ315" s="251" t="str">
        <f>IFERROR(__xludf.DUMMYFUNCTION("""COMPUTED_VALUE"""),"9bc00e6b-ce5f-48c5-ae3a-1baabe00f337")</f>
        <v>9bc00e6b-ce5f-48c5-ae3a-1baabe00f337</v>
      </c>
      <c r="AK315" s="251" t="str">
        <f>IFERROR(__xludf.DUMMYFUNCTION("""COMPUTED_VALUE"""),"274b82d1-be47-4cb0-84d0-b471a14dd14d")</f>
        <v>274b82d1-be47-4cb0-84d0-b471a14dd14d</v>
      </c>
      <c r="AL315" s="251"/>
      <c r="AM315" s="251"/>
      <c r="AN315" s="251"/>
      <c r="AO315" s="251"/>
      <c r="AP315" s="261"/>
      <c r="AR315" s="251" t="str">
        <f t="shared" si="1"/>
        <v>20979.91_debit</v>
      </c>
      <c r="AS315" s="251" t="str">
        <f t="shared" si="2"/>
        <v>DROP</v>
      </c>
      <c r="AT315" s="247"/>
    </row>
    <row r="316">
      <c r="A316" s="262" t="s">
        <v>165</v>
      </c>
      <c r="B316" s="262" t="s">
        <v>734</v>
      </c>
      <c r="C316" s="263">
        <v>46189.609189814815</v>
      </c>
      <c r="D316" s="262" t="s">
        <v>265</v>
      </c>
      <c r="E316" s="264">
        <v>18848.06</v>
      </c>
      <c r="F316" s="262" t="s">
        <v>169</v>
      </c>
      <c r="G316" s="262" t="s">
        <v>170</v>
      </c>
      <c r="H316" s="262" t="s">
        <v>727</v>
      </c>
      <c r="I316" s="265"/>
      <c r="J316" s="265"/>
      <c r="K316" s="266"/>
      <c r="L316" s="265"/>
      <c r="M316" s="267"/>
      <c r="O316" s="247"/>
      <c r="AC316" s="247"/>
      <c r="AD316" s="251" t="str">
        <f>IFERROR(__xludf.DUMMYFUNCTION("""COMPUTED_VALUE"""),"73df5aae-f42a-49a0-9d8f-616ca6dbebaa")</f>
        <v>73df5aae-f42a-49a0-9d8f-616ca6dbebaa</v>
      </c>
      <c r="AE316" s="251" t="str">
        <f>IFERROR(__xludf.DUMMYFUNCTION("""COMPUTED_VALUE"""),"019ed0c9-7c45-70ef-825f-8236136bc85e")</f>
        <v>019ed0c9-7c45-70ef-825f-8236136bc85e</v>
      </c>
      <c r="AF316" s="261">
        <f>IFERROR(__xludf.DUMMYFUNCTION("""COMPUTED_VALUE"""),46189.59405092592)</f>
        <v>46189.59405</v>
      </c>
      <c r="AG316" s="251" t="str">
        <f>IFERROR(__xludf.DUMMYFUNCTION("""COMPUTED_VALUE"""),"credit")</f>
        <v>credit</v>
      </c>
      <c r="AH316" s="251">
        <f>IFERROR(__xludf.DUMMYFUNCTION("""COMPUTED_VALUE"""),1355.71)</f>
        <v>1355.71</v>
      </c>
      <c r="AI316" s="251" t="str">
        <f>IFERROR(__xludf.DUMMYFUNCTION("""COMPUTED_VALUE"""),"cash_isa")</f>
        <v>cash_isa</v>
      </c>
      <c r="AJ316" s="251" t="str">
        <f>IFERROR(__xludf.DUMMYFUNCTION("""COMPUTED_VALUE"""),"9bc00e6b-ce5f-48c5-ae3a-1baabe00f337")</f>
        <v>9bc00e6b-ce5f-48c5-ae3a-1baabe00f337</v>
      </c>
      <c r="AK316" s="251" t="str">
        <f>IFERROR(__xludf.DUMMYFUNCTION("""COMPUTED_VALUE"""),"d4473e08-9779-4d6a-a418-505d65901a60")</f>
        <v>d4473e08-9779-4d6a-a418-505d65901a60</v>
      </c>
      <c r="AL316" s="251"/>
      <c r="AM316" s="251"/>
      <c r="AN316" s="251"/>
      <c r="AO316" s="251"/>
      <c r="AP316" s="261"/>
      <c r="AR316" s="251" t="str">
        <f t="shared" si="1"/>
        <v>1355.71_credit</v>
      </c>
      <c r="AS316" s="251" t="str">
        <f t="shared" si="2"/>
        <v>DROP</v>
      </c>
      <c r="AT316" s="247"/>
    </row>
    <row r="317">
      <c r="A317" s="255" t="s">
        <v>165</v>
      </c>
      <c r="B317" s="255" t="s">
        <v>735</v>
      </c>
      <c r="C317" s="256">
        <v>46189.609293981484</v>
      </c>
      <c r="D317" s="255" t="s">
        <v>167</v>
      </c>
      <c r="E317" s="257">
        <v>23146.34</v>
      </c>
      <c r="F317" s="255" t="s">
        <v>169</v>
      </c>
      <c r="G317" s="255" t="s">
        <v>170</v>
      </c>
      <c r="H317" s="255" t="s">
        <v>736</v>
      </c>
      <c r="I317" s="258"/>
      <c r="J317" s="258"/>
      <c r="K317" s="259"/>
      <c r="L317" s="258"/>
      <c r="M317" s="260"/>
      <c r="O317" s="247"/>
      <c r="AC317" s="247"/>
      <c r="AD317" s="251" t="str">
        <f>IFERROR(__xludf.DUMMYFUNCTION("""COMPUTED_VALUE"""),"73df5aae-f42a-49a0-9d8f-616ca6dbebaa")</f>
        <v>73df5aae-f42a-49a0-9d8f-616ca6dbebaa</v>
      </c>
      <c r="AE317" s="251" t="str">
        <f>IFERROR(__xludf.DUMMYFUNCTION("""COMPUTED_VALUE"""),"019ed0ca-f2b4-7f79-ba9f-88d7b690fa9b")</f>
        <v>019ed0ca-f2b4-7f79-ba9f-88d7b690fa9b</v>
      </c>
      <c r="AF317" s="261">
        <f>IFERROR(__xludf.DUMMYFUNCTION("""COMPUTED_VALUE"""),46189.59516203703)</f>
        <v>46189.59516</v>
      </c>
      <c r="AG317" s="251" t="str">
        <f>IFERROR(__xludf.DUMMYFUNCTION("""COMPUTED_VALUE"""),"debit")</f>
        <v>debit</v>
      </c>
      <c r="AH317" s="251">
        <f>IFERROR(__xludf.DUMMYFUNCTION("""COMPUTED_VALUE"""),1355.71)</f>
        <v>1355.71</v>
      </c>
      <c r="AI317" s="251" t="str">
        <f>IFERROR(__xludf.DUMMYFUNCTION("""COMPUTED_VALUE"""),"cash_isa")</f>
        <v>cash_isa</v>
      </c>
      <c r="AJ317" s="251" t="str">
        <f>IFERROR(__xludf.DUMMYFUNCTION("""COMPUTED_VALUE"""),"9bc00e6b-ce5f-48c5-ae3a-1baabe00f337")</f>
        <v>9bc00e6b-ce5f-48c5-ae3a-1baabe00f337</v>
      </c>
      <c r="AK317" s="251" t="str">
        <f>IFERROR(__xludf.DUMMYFUNCTION("""COMPUTED_VALUE"""),"d4473e08-9779-4d6a-a418-505d65901a60")</f>
        <v>d4473e08-9779-4d6a-a418-505d65901a60</v>
      </c>
      <c r="AL317" s="251"/>
      <c r="AM317" s="251"/>
      <c r="AN317" s="251"/>
      <c r="AO317" s="251"/>
      <c r="AP317" s="261"/>
      <c r="AR317" s="251" t="str">
        <f t="shared" si="1"/>
        <v>1355.71_debit</v>
      </c>
      <c r="AS317" s="251" t="str">
        <f t="shared" si="2"/>
        <v>DROP</v>
      </c>
      <c r="AT317" s="247"/>
    </row>
    <row r="318">
      <c r="A318" s="262" t="s">
        <v>165</v>
      </c>
      <c r="B318" s="262" t="s">
        <v>737</v>
      </c>
      <c r="C318" s="263">
        <v>46189.610439814816</v>
      </c>
      <c r="D318" s="262" t="s">
        <v>265</v>
      </c>
      <c r="E318" s="264">
        <v>21627.92</v>
      </c>
      <c r="F318" s="262" t="s">
        <v>169</v>
      </c>
      <c r="G318" s="262" t="s">
        <v>170</v>
      </c>
      <c r="H318" s="262" t="s">
        <v>732</v>
      </c>
      <c r="I318" s="265"/>
      <c r="J318" s="265"/>
      <c r="K318" s="266"/>
      <c r="L318" s="265"/>
      <c r="M318" s="267"/>
      <c r="O318" s="247"/>
      <c r="AC318" s="247"/>
      <c r="AD318" s="251" t="str">
        <f>IFERROR(__xludf.DUMMYFUNCTION("""COMPUTED_VALUE"""),"73df5aae-f42a-49a0-9d8f-616ca6dbebaa")</f>
        <v>73df5aae-f42a-49a0-9d8f-616ca6dbebaa</v>
      </c>
      <c r="AE318" s="251" t="str">
        <f>IFERROR(__xludf.DUMMYFUNCTION("""COMPUTED_VALUE"""),"019ed0d7-6c7b-7107-b383-19331384d098")</f>
        <v>019ed0d7-6c7b-7107-b383-19331384d098</v>
      </c>
      <c r="AF318" s="261">
        <f>IFERROR(__xludf.DUMMYFUNCTION("""COMPUTED_VALUE"""),46189.604629629626)</f>
        <v>46189.60463</v>
      </c>
      <c r="AG318" s="251" t="str">
        <f>IFERROR(__xludf.DUMMYFUNCTION("""COMPUTED_VALUE"""),"credit")</f>
        <v>credit</v>
      </c>
      <c r="AH318" s="251">
        <f>IFERROR(__xludf.DUMMYFUNCTION("""COMPUTED_VALUE"""),20539.48)</f>
        <v>20539.48</v>
      </c>
      <c r="AI318" s="251" t="str">
        <f>IFERROR(__xludf.DUMMYFUNCTION("""COMPUTED_VALUE"""),"cash_isa")</f>
        <v>cash_isa</v>
      </c>
      <c r="AJ318" s="251" t="str">
        <f>IFERROR(__xludf.DUMMYFUNCTION("""COMPUTED_VALUE"""),"9bc00e6b-ce5f-48c5-ae3a-1baabe00f337")</f>
        <v>9bc00e6b-ce5f-48c5-ae3a-1baabe00f337</v>
      </c>
      <c r="AK318" s="251" t="str">
        <f>IFERROR(__xludf.DUMMYFUNCTION("""COMPUTED_VALUE"""),"9924f791-7819-46bb-a524-e82398dc6b4a")</f>
        <v>9924f791-7819-46bb-a524-e82398dc6b4a</v>
      </c>
      <c r="AL318" s="251"/>
      <c r="AM318" s="251"/>
      <c r="AN318" s="251"/>
      <c r="AO318" s="251"/>
      <c r="AP318" s="261"/>
      <c r="AR318" s="251" t="str">
        <f t="shared" si="1"/>
        <v>20539.48_credit</v>
      </c>
      <c r="AS318" s="251" t="str">
        <f t="shared" si="2"/>
        <v>DROP</v>
      </c>
      <c r="AT318" s="247"/>
    </row>
    <row r="319">
      <c r="A319" s="255" t="s">
        <v>165</v>
      </c>
      <c r="B319" s="255" t="s">
        <v>738</v>
      </c>
      <c r="C319" s="256">
        <v>46189.610868055555</v>
      </c>
      <c r="D319" s="255" t="s">
        <v>167</v>
      </c>
      <c r="E319" s="257">
        <v>20787.07</v>
      </c>
      <c r="F319" s="255" t="s">
        <v>169</v>
      </c>
      <c r="G319" s="255" t="s">
        <v>170</v>
      </c>
      <c r="H319" s="255" t="s">
        <v>739</v>
      </c>
      <c r="I319" s="258"/>
      <c r="J319" s="258"/>
      <c r="K319" s="259"/>
      <c r="L319" s="258"/>
      <c r="M319" s="260"/>
      <c r="O319" s="247"/>
      <c r="AC319" s="247"/>
      <c r="AD319" s="251" t="str">
        <f>IFERROR(__xludf.DUMMYFUNCTION("""COMPUTED_VALUE"""),"73df5aae-f42a-49a0-9d8f-616ca6dbebaa")</f>
        <v>73df5aae-f42a-49a0-9d8f-616ca6dbebaa</v>
      </c>
      <c r="AE319" s="251" t="str">
        <f>IFERROR(__xludf.DUMMYFUNCTION("""COMPUTED_VALUE"""),"019ed0d8-5b03-7daa-ad6e-197694c6154c")</f>
        <v>019ed0d8-5b03-7daa-ad6e-197694c6154c</v>
      </c>
      <c r="AF319" s="261">
        <f>IFERROR(__xludf.DUMMYFUNCTION("""COMPUTED_VALUE"""),46189.60533564815)</f>
        <v>46189.60534</v>
      </c>
      <c r="AG319" s="251" t="str">
        <f>IFERROR(__xludf.DUMMYFUNCTION("""COMPUTED_VALUE"""),"credit")</f>
        <v>credit</v>
      </c>
      <c r="AH319" s="251">
        <f>IFERROR(__xludf.DUMMYFUNCTION("""COMPUTED_VALUE"""),18848.06)</f>
        <v>18848.06</v>
      </c>
      <c r="AI319" s="251" t="str">
        <f>IFERROR(__xludf.DUMMYFUNCTION("""COMPUTED_VALUE"""),"cash_isa")</f>
        <v>cash_isa</v>
      </c>
      <c r="AJ319" s="251" t="str">
        <f>IFERROR(__xludf.DUMMYFUNCTION("""COMPUTED_VALUE"""),"9bc00e6b-ce5f-48c5-ae3a-1baabe00f337")</f>
        <v>9bc00e6b-ce5f-48c5-ae3a-1baabe00f337</v>
      </c>
      <c r="AK319" s="251" t="str">
        <f>IFERROR(__xludf.DUMMYFUNCTION("""COMPUTED_VALUE"""),"575f4ec5-1244-4efd-b3a2-11bdb336a89f")</f>
        <v>575f4ec5-1244-4efd-b3a2-11bdb336a89f</v>
      </c>
      <c r="AL319" s="251"/>
      <c r="AM319" s="251"/>
      <c r="AN319" s="251"/>
      <c r="AO319" s="251"/>
      <c r="AP319" s="261"/>
      <c r="AR319" s="251" t="str">
        <f t="shared" si="1"/>
        <v>18848.06_credit</v>
      </c>
      <c r="AS319" s="251" t="str">
        <f t="shared" si="2"/>
        <v>DROP</v>
      </c>
      <c r="AT319" s="247"/>
    </row>
    <row r="320">
      <c r="A320" s="262" t="s">
        <v>165</v>
      </c>
      <c r="B320" s="262" t="s">
        <v>740</v>
      </c>
      <c r="C320" s="263">
        <v>46189.61099537037</v>
      </c>
      <c r="D320" s="262" t="s">
        <v>167</v>
      </c>
      <c r="E320" s="264">
        <v>4054.36</v>
      </c>
      <c r="F320" s="262" t="s">
        <v>169</v>
      </c>
      <c r="G320" s="262" t="s">
        <v>170</v>
      </c>
      <c r="H320" s="262" t="s">
        <v>741</v>
      </c>
      <c r="I320" s="265"/>
      <c r="J320" s="265"/>
      <c r="K320" s="266"/>
      <c r="L320" s="265"/>
      <c r="M320" s="267"/>
      <c r="O320" s="247"/>
      <c r="AC320" s="247"/>
      <c r="AD320" s="251" t="str">
        <f>IFERROR(__xludf.DUMMYFUNCTION("""COMPUTED_VALUE"""),"73df5aae-f42a-49a0-9d8f-616ca6dbebaa")</f>
        <v>73df5aae-f42a-49a0-9d8f-616ca6dbebaa</v>
      </c>
      <c r="AE320" s="251" t="str">
        <f>IFERROR(__xludf.DUMMYFUNCTION("""COMPUTED_VALUE"""),"019ed0d9-36bc-7da4-b119-40d769c33720")</f>
        <v>019ed0d9-36bc-7da4-b119-40d769c33720</v>
      </c>
      <c r="AF320" s="261">
        <f>IFERROR(__xludf.DUMMYFUNCTION("""COMPUTED_VALUE"""),46189.6059837963)</f>
        <v>46189.60598</v>
      </c>
      <c r="AG320" s="251" t="str">
        <f>IFERROR(__xludf.DUMMYFUNCTION("""COMPUTED_VALUE"""),"credit")</f>
        <v>credit</v>
      </c>
      <c r="AH320" s="251">
        <f>IFERROR(__xludf.DUMMYFUNCTION("""COMPUTED_VALUE"""),24452.72)</f>
        <v>24452.72</v>
      </c>
      <c r="AI320" s="251" t="str">
        <f>IFERROR(__xludf.DUMMYFUNCTION("""COMPUTED_VALUE"""),"cash_isa")</f>
        <v>cash_isa</v>
      </c>
      <c r="AJ320" s="251" t="str">
        <f>IFERROR(__xludf.DUMMYFUNCTION("""COMPUTED_VALUE"""),"9bc00e6b-ce5f-48c5-ae3a-1baabe00f337")</f>
        <v>9bc00e6b-ce5f-48c5-ae3a-1baabe00f337</v>
      </c>
      <c r="AK320" s="251" t="str">
        <f>IFERROR(__xludf.DUMMYFUNCTION("""COMPUTED_VALUE"""),"858bbf62-072c-48dc-aa58-64f2fdca12ba")</f>
        <v>858bbf62-072c-48dc-aa58-64f2fdca12ba</v>
      </c>
      <c r="AL320" s="251"/>
      <c r="AM320" s="251"/>
      <c r="AN320" s="251"/>
      <c r="AO320" s="251"/>
      <c r="AP320" s="261"/>
      <c r="AR320" s="251" t="str">
        <f t="shared" si="1"/>
        <v>24452.72_credit</v>
      </c>
      <c r="AS320" s="251" t="str">
        <f t="shared" si="2"/>
        <v>DROP</v>
      </c>
      <c r="AT320" s="247"/>
    </row>
    <row r="321">
      <c r="A321" s="255" t="s">
        <v>165</v>
      </c>
      <c r="B321" s="255" t="s">
        <v>742</v>
      </c>
      <c r="C321" s="256">
        <v>46189.61111111111</v>
      </c>
      <c r="D321" s="255" t="s">
        <v>265</v>
      </c>
      <c r="E321" s="257">
        <v>23146.34</v>
      </c>
      <c r="F321" s="255" t="s">
        <v>169</v>
      </c>
      <c r="G321" s="255" t="s">
        <v>170</v>
      </c>
      <c r="H321" s="255" t="s">
        <v>736</v>
      </c>
      <c r="I321" s="258"/>
      <c r="J321" s="258"/>
      <c r="K321" s="259"/>
      <c r="L321" s="258"/>
      <c r="M321" s="260"/>
      <c r="O321" s="247"/>
      <c r="AC321" s="247"/>
      <c r="AD321" s="251" t="str">
        <f>IFERROR(__xludf.DUMMYFUNCTION("""COMPUTED_VALUE"""),"73df5aae-f42a-49a0-9d8f-616ca6dbebaa")</f>
        <v>73df5aae-f42a-49a0-9d8f-616ca6dbebaa</v>
      </c>
      <c r="AE321" s="251" t="str">
        <f>IFERROR(__xludf.DUMMYFUNCTION("""COMPUTED_VALUE"""),"019ed0d9-a0e4-7b0b-94cd-a99dce85d991")</f>
        <v>019ed0d9-a0e4-7b0b-94cd-a99dce85d991</v>
      </c>
      <c r="AF321" s="261">
        <f>IFERROR(__xludf.DUMMYFUNCTION("""COMPUTED_VALUE"""),46189.6062962963)</f>
        <v>46189.6063</v>
      </c>
      <c r="AG321" s="251" t="str">
        <f>IFERROR(__xludf.DUMMYFUNCTION("""COMPUTED_VALUE"""),"debit")</f>
        <v>debit</v>
      </c>
      <c r="AH321" s="251">
        <f>IFERROR(__xludf.DUMMYFUNCTION("""COMPUTED_VALUE"""),20539.48)</f>
        <v>20539.48</v>
      </c>
      <c r="AI321" s="251" t="str">
        <f>IFERROR(__xludf.DUMMYFUNCTION("""COMPUTED_VALUE"""),"cash_isa")</f>
        <v>cash_isa</v>
      </c>
      <c r="AJ321" s="251" t="str">
        <f>IFERROR(__xludf.DUMMYFUNCTION("""COMPUTED_VALUE"""),"9bc00e6b-ce5f-48c5-ae3a-1baabe00f337")</f>
        <v>9bc00e6b-ce5f-48c5-ae3a-1baabe00f337</v>
      </c>
      <c r="AK321" s="251" t="str">
        <f>IFERROR(__xludf.DUMMYFUNCTION("""COMPUTED_VALUE"""),"9924f791-7819-46bb-a524-e82398dc6b4a")</f>
        <v>9924f791-7819-46bb-a524-e82398dc6b4a</v>
      </c>
      <c r="AL321" s="251"/>
      <c r="AM321" s="251"/>
      <c r="AN321" s="251"/>
      <c r="AO321" s="251"/>
      <c r="AP321" s="261"/>
      <c r="AR321" s="251" t="str">
        <f t="shared" si="1"/>
        <v>20539.48_debit</v>
      </c>
      <c r="AS321" s="251" t="str">
        <f t="shared" si="2"/>
        <v>DROP</v>
      </c>
      <c r="AT321" s="247"/>
    </row>
    <row r="322">
      <c r="A322" s="262" t="s">
        <v>165</v>
      </c>
      <c r="B322" s="262" t="s">
        <v>743</v>
      </c>
      <c r="C322" s="263">
        <v>46189.61238425926</v>
      </c>
      <c r="D322" s="262" t="s">
        <v>167</v>
      </c>
      <c r="E322" s="264">
        <v>15617.68</v>
      </c>
      <c r="F322" s="262" t="s">
        <v>169</v>
      </c>
      <c r="G322" s="262" t="s">
        <v>170</v>
      </c>
      <c r="H322" s="262" t="s">
        <v>744</v>
      </c>
      <c r="I322" s="265"/>
      <c r="J322" s="265"/>
      <c r="K322" s="266"/>
      <c r="L322" s="265"/>
      <c r="M322" s="267"/>
      <c r="O322" s="247"/>
      <c r="AC322" s="247"/>
      <c r="AD322" s="251" t="str">
        <f>IFERROR(__xludf.DUMMYFUNCTION("""COMPUTED_VALUE"""),"73df5aae-f42a-49a0-9d8f-616ca6dbebaa")</f>
        <v>73df5aae-f42a-49a0-9d8f-616ca6dbebaa</v>
      </c>
      <c r="AE322" s="251" t="str">
        <f>IFERROR(__xludf.DUMMYFUNCTION("""COMPUTED_VALUE"""),"019ed0dc-745f-7c0b-8ab9-d98f0c7e4a9d")</f>
        <v>019ed0dc-745f-7c0b-8ab9-d98f0c7e4a9d</v>
      </c>
      <c r="AF322" s="261">
        <f>IFERROR(__xludf.DUMMYFUNCTION("""COMPUTED_VALUE"""),46189.6084375)</f>
        <v>46189.60844</v>
      </c>
      <c r="AG322" s="251" t="str">
        <f>IFERROR(__xludf.DUMMYFUNCTION("""COMPUTED_VALUE"""),"credit")</f>
        <v>credit</v>
      </c>
      <c r="AH322" s="251">
        <f>IFERROR(__xludf.DUMMYFUNCTION("""COMPUTED_VALUE"""),21627.92)</f>
        <v>21627.92</v>
      </c>
      <c r="AI322" s="251" t="str">
        <f>IFERROR(__xludf.DUMMYFUNCTION("""COMPUTED_VALUE"""),"cash_isa")</f>
        <v>cash_isa</v>
      </c>
      <c r="AJ322" s="251" t="str">
        <f>IFERROR(__xludf.DUMMYFUNCTION("""COMPUTED_VALUE"""),"9bc00e6b-ce5f-48c5-ae3a-1baabe00f337")</f>
        <v>9bc00e6b-ce5f-48c5-ae3a-1baabe00f337</v>
      </c>
      <c r="AK322" s="251" t="str">
        <f>IFERROR(__xludf.DUMMYFUNCTION("""COMPUTED_VALUE"""),"a8885808-ec7e-49e8-90c6-5ec3d20e7a70")</f>
        <v>a8885808-ec7e-49e8-90c6-5ec3d20e7a70</v>
      </c>
      <c r="AL322" s="251"/>
      <c r="AM322" s="251"/>
      <c r="AN322" s="251"/>
      <c r="AO322" s="251"/>
      <c r="AP322" s="261"/>
      <c r="AR322" s="251" t="str">
        <f t="shared" si="1"/>
        <v>21627.92_credit</v>
      </c>
      <c r="AS322" s="251" t="str">
        <f t="shared" si="2"/>
        <v>DROP</v>
      </c>
      <c r="AT322" s="247"/>
    </row>
    <row r="323">
      <c r="A323" s="255" t="s">
        <v>165</v>
      </c>
      <c r="B323" s="255" t="s">
        <v>745</v>
      </c>
      <c r="C323" s="256">
        <v>46189.613333333335</v>
      </c>
      <c r="D323" s="255" t="s">
        <v>167</v>
      </c>
      <c r="E323" s="257">
        <v>20087.91</v>
      </c>
      <c r="F323" s="255" t="s">
        <v>169</v>
      </c>
      <c r="G323" s="255" t="s">
        <v>170</v>
      </c>
      <c r="H323" s="255" t="s">
        <v>746</v>
      </c>
      <c r="I323" s="258"/>
      <c r="J323" s="258"/>
      <c r="K323" s="259"/>
      <c r="L323" s="258"/>
      <c r="M323" s="260"/>
      <c r="O323" s="247"/>
      <c r="AC323" s="247"/>
      <c r="AD323" s="251" t="str">
        <f>IFERROR(__xludf.DUMMYFUNCTION("""COMPUTED_VALUE"""),"73df5aae-f42a-49a0-9d8f-616ca6dbebaa")</f>
        <v>73df5aae-f42a-49a0-9d8f-616ca6dbebaa</v>
      </c>
      <c r="AE323" s="251" t="str">
        <f>IFERROR(__xludf.DUMMYFUNCTION("""COMPUTED_VALUE"""),"019ed0dd-6ddb-7b1f-aa51-a3945c2f58f1")</f>
        <v>019ed0dd-6ddb-7b1f-aa51-a3945c2f58f1</v>
      </c>
      <c r="AF323" s="261">
        <f>IFERROR(__xludf.DUMMYFUNCTION("""COMPUTED_VALUE"""),46189.609178240746)</f>
        <v>46189.60918</v>
      </c>
      <c r="AG323" s="251" t="str">
        <f>IFERROR(__xludf.DUMMYFUNCTION("""COMPUTED_VALUE"""),"debit")</f>
        <v>debit</v>
      </c>
      <c r="AH323" s="251">
        <f>IFERROR(__xludf.DUMMYFUNCTION("""COMPUTED_VALUE"""),24452.72)</f>
        <v>24452.72</v>
      </c>
      <c r="AI323" s="251" t="str">
        <f>IFERROR(__xludf.DUMMYFUNCTION("""COMPUTED_VALUE"""),"cash_isa")</f>
        <v>cash_isa</v>
      </c>
      <c r="AJ323" s="251" t="str">
        <f>IFERROR(__xludf.DUMMYFUNCTION("""COMPUTED_VALUE"""),"9bc00e6b-ce5f-48c5-ae3a-1baabe00f337")</f>
        <v>9bc00e6b-ce5f-48c5-ae3a-1baabe00f337</v>
      </c>
      <c r="AK323" s="251" t="str">
        <f>IFERROR(__xludf.DUMMYFUNCTION("""COMPUTED_VALUE"""),"858bbf62-072c-48dc-aa58-64f2fdca12ba")</f>
        <v>858bbf62-072c-48dc-aa58-64f2fdca12ba</v>
      </c>
      <c r="AL323" s="251"/>
      <c r="AM323" s="251"/>
      <c r="AN323" s="251"/>
      <c r="AO323" s="251"/>
      <c r="AP323" s="261"/>
      <c r="AR323" s="251" t="str">
        <f t="shared" si="1"/>
        <v>24452.72_debit</v>
      </c>
      <c r="AS323" s="251" t="str">
        <f t="shared" si="2"/>
        <v>DROP</v>
      </c>
      <c r="AT323" s="247"/>
    </row>
    <row r="324">
      <c r="A324" s="262" t="s">
        <v>165</v>
      </c>
      <c r="B324" s="262" t="s">
        <v>747</v>
      </c>
      <c r="C324" s="263">
        <v>46189.613541666666</v>
      </c>
      <c r="D324" s="262" t="s">
        <v>167</v>
      </c>
      <c r="E324" s="264">
        <v>22593.39</v>
      </c>
      <c r="F324" s="262" t="s">
        <v>169</v>
      </c>
      <c r="G324" s="262" t="s">
        <v>170</v>
      </c>
      <c r="H324" s="262" t="s">
        <v>748</v>
      </c>
      <c r="I324" s="265"/>
      <c r="J324" s="265"/>
      <c r="K324" s="266"/>
      <c r="L324" s="265"/>
      <c r="M324" s="267"/>
      <c r="O324" s="247"/>
      <c r="AC324" s="247"/>
      <c r="AD324" s="251" t="str">
        <f>IFERROR(__xludf.DUMMYFUNCTION("""COMPUTED_VALUE"""),"73df5aae-f42a-49a0-9d8f-616ca6dbebaa")</f>
        <v>73df5aae-f42a-49a0-9d8f-616ca6dbebaa</v>
      </c>
      <c r="AE324" s="251" t="str">
        <f>IFERROR(__xludf.DUMMYFUNCTION("""COMPUTED_VALUE"""),"019ed0dd-6fa7-75c6-be69-02469a42b38f")</f>
        <v>019ed0dd-6fa7-75c6-be69-02469a42b38f</v>
      </c>
      <c r="AF324" s="261">
        <f>IFERROR(__xludf.DUMMYFUNCTION("""COMPUTED_VALUE"""),46189.609189814815)</f>
        <v>46189.60919</v>
      </c>
      <c r="AG324" s="251" t="str">
        <f>IFERROR(__xludf.DUMMYFUNCTION("""COMPUTED_VALUE"""),"debit")</f>
        <v>debit</v>
      </c>
      <c r="AH324" s="251">
        <f>IFERROR(__xludf.DUMMYFUNCTION("""COMPUTED_VALUE"""),18848.06)</f>
        <v>18848.06</v>
      </c>
      <c r="AI324" s="251" t="str">
        <f>IFERROR(__xludf.DUMMYFUNCTION("""COMPUTED_VALUE"""),"cash_isa")</f>
        <v>cash_isa</v>
      </c>
      <c r="AJ324" s="251" t="str">
        <f>IFERROR(__xludf.DUMMYFUNCTION("""COMPUTED_VALUE"""),"9bc00e6b-ce5f-48c5-ae3a-1baabe00f337")</f>
        <v>9bc00e6b-ce5f-48c5-ae3a-1baabe00f337</v>
      </c>
      <c r="AK324" s="251" t="str">
        <f>IFERROR(__xludf.DUMMYFUNCTION("""COMPUTED_VALUE"""),"575f4ec5-1244-4efd-b3a2-11bdb336a89f")</f>
        <v>575f4ec5-1244-4efd-b3a2-11bdb336a89f</v>
      </c>
      <c r="AL324" s="251"/>
      <c r="AM324" s="251"/>
      <c r="AN324" s="251"/>
      <c r="AO324" s="251"/>
      <c r="AP324" s="261"/>
      <c r="AR324" s="251" t="str">
        <f t="shared" si="1"/>
        <v>18848.06_debit</v>
      </c>
      <c r="AS324" s="251" t="str">
        <f t="shared" si="2"/>
        <v>DROP</v>
      </c>
      <c r="AT324" s="247"/>
    </row>
    <row r="325">
      <c r="A325" s="255" t="s">
        <v>165</v>
      </c>
      <c r="B325" s="255" t="s">
        <v>749</v>
      </c>
      <c r="C325" s="256">
        <v>46189.61414351852</v>
      </c>
      <c r="D325" s="255" t="s">
        <v>167</v>
      </c>
      <c r="E325" s="257">
        <v>3565.56</v>
      </c>
      <c r="F325" s="255" t="s">
        <v>169</v>
      </c>
      <c r="G325" s="255" t="s">
        <v>170</v>
      </c>
      <c r="H325" s="255" t="s">
        <v>750</v>
      </c>
      <c r="I325" s="258"/>
      <c r="J325" s="258"/>
      <c r="K325" s="259"/>
      <c r="L325" s="258"/>
      <c r="M325" s="260"/>
      <c r="O325" s="247"/>
      <c r="AC325" s="247"/>
      <c r="AD325" s="251" t="str">
        <f>IFERROR(__xludf.DUMMYFUNCTION("""COMPUTED_VALUE"""),"73df5aae-f42a-49a0-9d8f-616ca6dbebaa")</f>
        <v>73df5aae-f42a-49a0-9d8f-616ca6dbebaa</v>
      </c>
      <c r="AE325" s="251" t="str">
        <f>IFERROR(__xludf.DUMMYFUNCTION("""COMPUTED_VALUE"""),"019ed0dd-9453-78b9-955a-0682457c6cab")</f>
        <v>019ed0dd-9453-78b9-955a-0682457c6cab</v>
      </c>
      <c r="AF325" s="261">
        <f>IFERROR(__xludf.DUMMYFUNCTION("""COMPUTED_VALUE"""),46189.609293981484)</f>
        <v>46189.60929</v>
      </c>
      <c r="AG325" s="251" t="str">
        <f>IFERROR(__xludf.DUMMYFUNCTION("""COMPUTED_VALUE"""),"credit")</f>
        <v>credit</v>
      </c>
      <c r="AH325" s="251">
        <f>IFERROR(__xludf.DUMMYFUNCTION("""COMPUTED_VALUE"""),23146.34)</f>
        <v>23146.34</v>
      </c>
      <c r="AI325" s="251" t="str">
        <f>IFERROR(__xludf.DUMMYFUNCTION("""COMPUTED_VALUE"""),"cash_isa")</f>
        <v>cash_isa</v>
      </c>
      <c r="AJ325" s="251" t="str">
        <f>IFERROR(__xludf.DUMMYFUNCTION("""COMPUTED_VALUE"""),"9bc00e6b-ce5f-48c5-ae3a-1baabe00f337")</f>
        <v>9bc00e6b-ce5f-48c5-ae3a-1baabe00f337</v>
      </c>
      <c r="AK325" s="251" t="str">
        <f>IFERROR(__xludf.DUMMYFUNCTION("""COMPUTED_VALUE"""),"3631454d-b65f-4055-ab1a-08a8d41348b7")</f>
        <v>3631454d-b65f-4055-ab1a-08a8d41348b7</v>
      </c>
      <c r="AL325" s="251"/>
      <c r="AM325" s="251"/>
      <c r="AN325" s="251"/>
      <c r="AO325" s="251"/>
      <c r="AP325" s="261"/>
      <c r="AR325" s="251" t="str">
        <f t="shared" si="1"/>
        <v>23146.34_credit</v>
      </c>
      <c r="AS325" s="251" t="str">
        <f t="shared" si="2"/>
        <v>DROP</v>
      </c>
      <c r="AT325" s="247"/>
    </row>
    <row r="326">
      <c r="A326" s="262" t="s">
        <v>165</v>
      </c>
      <c r="B326" s="262" t="s">
        <v>751</v>
      </c>
      <c r="C326" s="263">
        <v>46189.614340277774</v>
      </c>
      <c r="D326" s="262" t="s">
        <v>265</v>
      </c>
      <c r="E326" s="264">
        <v>4054.36</v>
      </c>
      <c r="F326" s="262" t="s">
        <v>169</v>
      </c>
      <c r="G326" s="262" t="s">
        <v>170</v>
      </c>
      <c r="H326" s="262" t="s">
        <v>741</v>
      </c>
      <c r="I326" s="262"/>
      <c r="J326" s="262"/>
      <c r="K326" s="274"/>
      <c r="L326" s="262"/>
      <c r="M326" s="275"/>
      <c r="O326" s="247"/>
      <c r="AC326" s="247"/>
      <c r="AD326" s="251" t="str">
        <f>IFERROR(__xludf.DUMMYFUNCTION("""COMPUTED_VALUE"""),"73df5aae-f42a-49a0-9d8f-616ca6dbebaa")</f>
        <v>73df5aae-f42a-49a0-9d8f-616ca6dbebaa</v>
      </c>
      <c r="AE326" s="251" t="str">
        <f>IFERROR(__xludf.DUMMYFUNCTION("""COMPUTED_VALUE"""),"019ed0df-1685-7e7f-ba33-00b3a83c3c96")</f>
        <v>019ed0df-1685-7e7f-ba33-00b3a83c3c96</v>
      </c>
      <c r="AF326" s="261">
        <f>IFERROR(__xludf.DUMMYFUNCTION("""COMPUTED_VALUE"""),46189.610439814816)</f>
        <v>46189.61044</v>
      </c>
      <c r="AG326" s="251" t="str">
        <f>IFERROR(__xludf.DUMMYFUNCTION("""COMPUTED_VALUE"""),"debit")</f>
        <v>debit</v>
      </c>
      <c r="AH326" s="251">
        <f>IFERROR(__xludf.DUMMYFUNCTION("""COMPUTED_VALUE"""),21627.92)</f>
        <v>21627.92</v>
      </c>
      <c r="AI326" s="251" t="str">
        <f>IFERROR(__xludf.DUMMYFUNCTION("""COMPUTED_VALUE"""),"cash_isa")</f>
        <v>cash_isa</v>
      </c>
      <c r="AJ326" s="251" t="str">
        <f>IFERROR(__xludf.DUMMYFUNCTION("""COMPUTED_VALUE"""),"9bc00e6b-ce5f-48c5-ae3a-1baabe00f337")</f>
        <v>9bc00e6b-ce5f-48c5-ae3a-1baabe00f337</v>
      </c>
      <c r="AK326" s="251" t="str">
        <f>IFERROR(__xludf.DUMMYFUNCTION("""COMPUTED_VALUE"""),"a8885808-ec7e-49e8-90c6-5ec3d20e7a70")</f>
        <v>a8885808-ec7e-49e8-90c6-5ec3d20e7a70</v>
      </c>
      <c r="AL326" s="251"/>
      <c r="AM326" s="251"/>
      <c r="AN326" s="251"/>
      <c r="AO326" s="251"/>
      <c r="AP326" s="261"/>
      <c r="AR326" s="251" t="str">
        <f t="shared" si="1"/>
        <v>21627.92_debit</v>
      </c>
      <c r="AS326" s="251" t="str">
        <f t="shared" si="2"/>
        <v>DROP</v>
      </c>
      <c r="AT326" s="247"/>
    </row>
    <row r="327">
      <c r="A327" s="255" t="s">
        <v>165</v>
      </c>
      <c r="B327" s="255" t="s">
        <v>752</v>
      </c>
      <c r="C327" s="256">
        <v>46189.61435185185</v>
      </c>
      <c r="D327" s="255" t="s">
        <v>265</v>
      </c>
      <c r="E327" s="257">
        <v>20787.07</v>
      </c>
      <c r="F327" s="255" t="s">
        <v>169</v>
      </c>
      <c r="G327" s="255" t="s">
        <v>170</v>
      </c>
      <c r="H327" s="255" t="s">
        <v>739</v>
      </c>
      <c r="I327" s="255"/>
      <c r="J327" s="255"/>
      <c r="K327" s="272"/>
      <c r="L327" s="255"/>
      <c r="M327" s="273"/>
      <c r="O327" s="247"/>
      <c r="AC327" s="247"/>
      <c r="AD327" s="251" t="str">
        <f>IFERROR(__xludf.DUMMYFUNCTION("""COMPUTED_VALUE"""),"73df5aae-f42a-49a0-9d8f-616ca6dbebaa")</f>
        <v>73df5aae-f42a-49a0-9d8f-616ca6dbebaa</v>
      </c>
      <c r="AE327" s="251" t="str">
        <f>IFERROR(__xludf.DUMMYFUNCTION("""COMPUTED_VALUE"""),"019ed0df-a7c0-732d-9736-eff61ed42818")</f>
        <v>019ed0df-a7c0-732d-9736-eff61ed42818</v>
      </c>
      <c r="AF327" s="261">
        <f>IFERROR(__xludf.DUMMYFUNCTION("""COMPUTED_VALUE"""),46189.610868055555)</f>
        <v>46189.61087</v>
      </c>
      <c r="AG327" s="251" t="str">
        <f>IFERROR(__xludf.DUMMYFUNCTION("""COMPUTED_VALUE"""),"credit")</f>
        <v>credit</v>
      </c>
      <c r="AH327" s="251">
        <f>IFERROR(__xludf.DUMMYFUNCTION("""COMPUTED_VALUE"""),20787.07)</f>
        <v>20787.07</v>
      </c>
      <c r="AI327" s="251" t="str">
        <f>IFERROR(__xludf.DUMMYFUNCTION("""COMPUTED_VALUE"""),"cash_isa")</f>
        <v>cash_isa</v>
      </c>
      <c r="AJ327" s="251" t="str">
        <f>IFERROR(__xludf.DUMMYFUNCTION("""COMPUTED_VALUE"""),"9bc00e6b-ce5f-48c5-ae3a-1baabe00f337")</f>
        <v>9bc00e6b-ce5f-48c5-ae3a-1baabe00f337</v>
      </c>
      <c r="AK327" s="251" t="str">
        <f>IFERROR(__xludf.DUMMYFUNCTION("""COMPUTED_VALUE"""),"3d657ec0-7ef0-4a10-87b3-1b07c7c95969")</f>
        <v>3d657ec0-7ef0-4a10-87b3-1b07c7c95969</v>
      </c>
      <c r="AL327" s="251"/>
      <c r="AM327" s="251"/>
      <c r="AN327" s="251"/>
      <c r="AO327" s="251"/>
      <c r="AP327" s="261"/>
      <c r="AR327" s="251" t="str">
        <f t="shared" si="1"/>
        <v>20787.07_credit</v>
      </c>
      <c r="AS327" s="251" t="str">
        <f t="shared" si="2"/>
        <v>DROP</v>
      </c>
      <c r="AT327" s="247"/>
    </row>
    <row r="328">
      <c r="A328" s="262" t="s">
        <v>165</v>
      </c>
      <c r="B328" s="262" t="s">
        <v>753</v>
      </c>
      <c r="C328" s="263">
        <v>46189.614699074074</v>
      </c>
      <c r="D328" s="262" t="s">
        <v>167</v>
      </c>
      <c r="E328" s="264">
        <v>32601.64</v>
      </c>
      <c r="F328" s="262" t="s">
        <v>169</v>
      </c>
      <c r="G328" s="262" t="s">
        <v>170</v>
      </c>
      <c r="H328" s="262" t="s">
        <v>754</v>
      </c>
      <c r="I328" s="262"/>
      <c r="J328" s="262"/>
      <c r="K328" s="274"/>
      <c r="L328" s="262"/>
      <c r="M328" s="275"/>
      <c r="O328" s="247"/>
      <c r="AC328" s="247"/>
      <c r="AD328" s="251" t="str">
        <f>IFERROR(__xludf.DUMMYFUNCTION("""COMPUTED_VALUE"""),"73df5aae-f42a-49a0-9d8f-616ca6dbebaa")</f>
        <v>73df5aae-f42a-49a0-9d8f-616ca6dbebaa</v>
      </c>
      <c r="AE328" s="251" t="str">
        <f>IFERROR(__xludf.DUMMYFUNCTION("""COMPUTED_VALUE"""),"019ed0df-d34f-70b4-b4b9-09e453022b7a")</f>
        <v>019ed0df-d34f-70b4-b4b9-09e453022b7a</v>
      </c>
      <c r="AF328" s="261">
        <f>IFERROR(__xludf.DUMMYFUNCTION("""COMPUTED_VALUE"""),46189.61099537037)</f>
        <v>46189.611</v>
      </c>
      <c r="AG328" s="251" t="str">
        <f>IFERROR(__xludf.DUMMYFUNCTION("""COMPUTED_VALUE"""),"credit")</f>
        <v>credit</v>
      </c>
      <c r="AH328" s="251">
        <f>IFERROR(__xludf.DUMMYFUNCTION("""COMPUTED_VALUE"""),4054.36)</f>
        <v>4054.36</v>
      </c>
      <c r="AI328" s="251" t="str">
        <f>IFERROR(__xludf.DUMMYFUNCTION("""COMPUTED_VALUE"""),"cash_isa")</f>
        <v>cash_isa</v>
      </c>
      <c r="AJ328" s="251" t="str">
        <f>IFERROR(__xludf.DUMMYFUNCTION("""COMPUTED_VALUE"""),"9bc00e6b-ce5f-48c5-ae3a-1baabe00f337")</f>
        <v>9bc00e6b-ce5f-48c5-ae3a-1baabe00f337</v>
      </c>
      <c r="AK328" s="251" t="str">
        <f>IFERROR(__xludf.DUMMYFUNCTION("""COMPUTED_VALUE"""),"dbb9b7fc-e297-4fa3-873a-50bc5ad6bbab")</f>
        <v>dbb9b7fc-e297-4fa3-873a-50bc5ad6bbab</v>
      </c>
      <c r="AL328" s="251"/>
      <c r="AM328" s="251"/>
      <c r="AN328" s="251"/>
      <c r="AO328" s="251"/>
      <c r="AP328" s="261"/>
      <c r="AR328" s="251" t="str">
        <f t="shared" si="1"/>
        <v>4054.36_credit</v>
      </c>
      <c r="AS328" s="251" t="str">
        <f t="shared" si="2"/>
        <v>DROP</v>
      </c>
      <c r="AT328" s="247"/>
    </row>
    <row r="329">
      <c r="A329" s="255" t="s">
        <v>165</v>
      </c>
      <c r="B329" s="255" t="s">
        <v>755</v>
      </c>
      <c r="C329" s="256">
        <v>46189.61481481481</v>
      </c>
      <c r="D329" s="255" t="s">
        <v>265</v>
      </c>
      <c r="E329" s="257">
        <v>15617.68</v>
      </c>
      <c r="F329" s="255" t="s">
        <v>169</v>
      </c>
      <c r="G329" s="255" t="s">
        <v>170</v>
      </c>
      <c r="H329" s="255" t="s">
        <v>744</v>
      </c>
      <c r="I329" s="255"/>
      <c r="J329" s="255"/>
      <c r="K329" s="272"/>
      <c r="L329" s="255"/>
      <c r="M329" s="273"/>
      <c r="O329" s="247"/>
      <c r="AC329" s="247"/>
      <c r="AD329" s="251" t="str">
        <f>IFERROR(__xludf.DUMMYFUNCTION("""COMPUTED_VALUE"""),"73df5aae-f42a-49a0-9d8f-616ca6dbebaa")</f>
        <v>73df5aae-f42a-49a0-9d8f-616ca6dbebaa</v>
      </c>
      <c r="AE329" s="251" t="str">
        <f>IFERROR(__xludf.DUMMYFUNCTION("""COMPUTED_VALUE"""),"019ed0df-fb4b-723a-b83b-e428daf5a529")</f>
        <v>019ed0df-fb4b-723a-b83b-e428daf5a529</v>
      </c>
      <c r="AF329" s="261">
        <f>IFERROR(__xludf.DUMMYFUNCTION("""COMPUTED_VALUE"""),46189.61111111111)</f>
        <v>46189.61111</v>
      </c>
      <c r="AG329" s="251" t="str">
        <f>IFERROR(__xludf.DUMMYFUNCTION("""COMPUTED_VALUE"""),"debit")</f>
        <v>debit</v>
      </c>
      <c r="AH329" s="251">
        <f>IFERROR(__xludf.DUMMYFUNCTION("""COMPUTED_VALUE"""),23146.34)</f>
        <v>23146.34</v>
      </c>
      <c r="AI329" s="251" t="str">
        <f>IFERROR(__xludf.DUMMYFUNCTION("""COMPUTED_VALUE"""),"cash_isa")</f>
        <v>cash_isa</v>
      </c>
      <c r="AJ329" s="251" t="str">
        <f>IFERROR(__xludf.DUMMYFUNCTION("""COMPUTED_VALUE"""),"9bc00e6b-ce5f-48c5-ae3a-1baabe00f337")</f>
        <v>9bc00e6b-ce5f-48c5-ae3a-1baabe00f337</v>
      </c>
      <c r="AK329" s="251" t="str">
        <f>IFERROR(__xludf.DUMMYFUNCTION("""COMPUTED_VALUE"""),"3631454d-b65f-4055-ab1a-08a8d41348b7")</f>
        <v>3631454d-b65f-4055-ab1a-08a8d41348b7</v>
      </c>
      <c r="AL329" s="251"/>
      <c r="AM329" s="251"/>
      <c r="AN329" s="251"/>
      <c r="AO329" s="251"/>
      <c r="AP329" s="261"/>
      <c r="AR329" s="251" t="str">
        <f t="shared" si="1"/>
        <v>23146.34_debit</v>
      </c>
      <c r="AS329" s="251" t="str">
        <f t="shared" si="2"/>
        <v>DROP</v>
      </c>
      <c r="AT329" s="247"/>
    </row>
    <row r="330">
      <c r="A330" s="262" t="s">
        <v>165</v>
      </c>
      <c r="B330" s="262" t="s">
        <v>756</v>
      </c>
      <c r="C330" s="263">
        <v>46189.61519675926</v>
      </c>
      <c r="D330" s="262" t="s">
        <v>265</v>
      </c>
      <c r="E330" s="264">
        <v>20087.91</v>
      </c>
      <c r="F330" s="262" t="s">
        <v>169</v>
      </c>
      <c r="G330" s="262" t="s">
        <v>170</v>
      </c>
      <c r="H330" s="262" t="s">
        <v>746</v>
      </c>
      <c r="I330" s="262"/>
      <c r="J330" s="262"/>
      <c r="K330" s="274"/>
      <c r="L330" s="262"/>
      <c r="M330" s="275"/>
      <c r="O330" s="247"/>
      <c r="AC330" s="247"/>
      <c r="AD330" s="251" t="str">
        <f>IFERROR(__xludf.DUMMYFUNCTION("""COMPUTED_VALUE"""),"73df5aae-f42a-49a0-9d8f-616ca6dbebaa")</f>
        <v>73df5aae-f42a-49a0-9d8f-616ca6dbebaa</v>
      </c>
      <c r="AE330" s="251" t="str">
        <f>IFERROR(__xludf.DUMMYFUNCTION("""COMPUTED_VALUE"""),"019ed0e1-a97e-7e3a-b353-5d9c9294304e")</f>
        <v>019ed0e1-a97e-7e3a-b353-5d9c9294304e</v>
      </c>
      <c r="AF330" s="261">
        <f>IFERROR(__xludf.DUMMYFUNCTION("""COMPUTED_VALUE"""),46189.612384259264)</f>
        <v>46189.61238</v>
      </c>
      <c r="AG330" s="251" t="str">
        <f>IFERROR(__xludf.DUMMYFUNCTION("""COMPUTED_VALUE"""),"credit")</f>
        <v>credit</v>
      </c>
      <c r="AH330" s="251">
        <f>IFERROR(__xludf.DUMMYFUNCTION("""COMPUTED_VALUE"""),15617.68)</f>
        <v>15617.68</v>
      </c>
      <c r="AI330" s="251" t="str">
        <f>IFERROR(__xludf.DUMMYFUNCTION("""COMPUTED_VALUE"""),"cash_isa")</f>
        <v>cash_isa</v>
      </c>
      <c r="AJ330" s="251" t="str">
        <f>IFERROR(__xludf.DUMMYFUNCTION("""COMPUTED_VALUE"""),"9bc00e6b-ce5f-48c5-ae3a-1baabe00f337")</f>
        <v>9bc00e6b-ce5f-48c5-ae3a-1baabe00f337</v>
      </c>
      <c r="AK330" s="251" t="str">
        <f>IFERROR(__xludf.DUMMYFUNCTION("""COMPUTED_VALUE"""),"cd36314e-9765-4382-af8a-8a42258cdd90")</f>
        <v>cd36314e-9765-4382-af8a-8a42258cdd90</v>
      </c>
      <c r="AL330" s="251"/>
      <c r="AM330" s="251"/>
      <c r="AN330" s="251"/>
      <c r="AO330" s="251"/>
      <c r="AP330" s="261"/>
      <c r="AR330" s="251" t="str">
        <f t="shared" si="1"/>
        <v>15617.68_credit</v>
      </c>
      <c r="AS330" s="251" t="str">
        <f t="shared" si="2"/>
        <v>DROP</v>
      </c>
      <c r="AT330" s="247"/>
    </row>
    <row r="331">
      <c r="A331" s="255" t="s">
        <v>165</v>
      </c>
      <c r="B331" s="255" t="s">
        <v>757</v>
      </c>
      <c r="C331" s="256">
        <v>46189.61519675926</v>
      </c>
      <c r="D331" s="255" t="s">
        <v>265</v>
      </c>
      <c r="E331" s="257">
        <v>22593.39</v>
      </c>
      <c r="F331" s="255" t="s">
        <v>169</v>
      </c>
      <c r="G331" s="255" t="s">
        <v>170</v>
      </c>
      <c r="H331" s="255" t="s">
        <v>748</v>
      </c>
      <c r="I331" s="255"/>
      <c r="J331" s="255"/>
      <c r="K331" s="272"/>
      <c r="L331" s="255"/>
      <c r="M331" s="273"/>
      <c r="O331" s="247"/>
      <c r="AC331" s="247"/>
      <c r="AD331" s="251" t="str">
        <f>IFERROR(__xludf.DUMMYFUNCTION("""COMPUTED_VALUE"""),"73df5aae-f42a-49a0-9d8f-616ca6dbebaa")</f>
        <v>73df5aae-f42a-49a0-9d8f-616ca6dbebaa</v>
      </c>
      <c r="AE331" s="251" t="str">
        <f>IFERROR(__xludf.DUMMYFUNCTION("""COMPUTED_VALUE"""),"019ed0e2-e73b-79c9-8ba6-cff6744efc70")</f>
        <v>019ed0e2-e73b-79c9-8ba6-cff6744efc70</v>
      </c>
      <c r="AF331" s="261">
        <f>IFERROR(__xludf.DUMMYFUNCTION("""COMPUTED_VALUE"""),46189.613333333335)</f>
        <v>46189.61333</v>
      </c>
      <c r="AG331" s="251" t="str">
        <f>IFERROR(__xludf.DUMMYFUNCTION("""COMPUTED_VALUE"""),"credit")</f>
        <v>credit</v>
      </c>
      <c r="AH331" s="251">
        <f>IFERROR(__xludf.DUMMYFUNCTION("""COMPUTED_VALUE"""),20087.91)</f>
        <v>20087.91</v>
      </c>
      <c r="AI331" s="251" t="str">
        <f>IFERROR(__xludf.DUMMYFUNCTION("""COMPUTED_VALUE"""),"cash_isa")</f>
        <v>cash_isa</v>
      </c>
      <c r="AJ331" s="251" t="str">
        <f>IFERROR(__xludf.DUMMYFUNCTION("""COMPUTED_VALUE"""),"9bc00e6b-ce5f-48c5-ae3a-1baabe00f337")</f>
        <v>9bc00e6b-ce5f-48c5-ae3a-1baabe00f337</v>
      </c>
      <c r="AK331" s="251" t="str">
        <f>IFERROR(__xludf.DUMMYFUNCTION("""COMPUTED_VALUE"""),"60e14ee1-eea8-4d74-b6e3-27bbf4c5b855")</f>
        <v>60e14ee1-eea8-4d74-b6e3-27bbf4c5b855</v>
      </c>
      <c r="AL331" s="251"/>
      <c r="AM331" s="251"/>
      <c r="AN331" s="251"/>
      <c r="AO331" s="251"/>
      <c r="AP331" s="261"/>
      <c r="AR331" s="251" t="str">
        <f t="shared" si="1"/>
        <v>20087.91_credit</v>
      </c>
      <c r="AS331" s="251" t="str">
        <f t="shared" si="2"/>
        <v>DROP</v>
      </c>
      <c r="AT331" s="247"/>
    </row>
    <row r="332">
      <c r="A332" s="262" t="s">
        <v>165</v>
      </c>
      <c r="B332" s="262" t="s">
        <v>758</v>
      </c>
      <c r="C332" s="263">
        <v>46189.615625</v>
      </c>
      <c r="D332" s="262" t="s">
        <v>167</v>
      </c>
      <c r="E332" s="264">
        <v>142.46</v>
      </c>
      <c r="F332" s="262" t="s">
        <v>169</v>
      </c>
      <c r="G332" s="262" t="s">
        <v>170</v>
      </c>
      <c r="H332" s="262" t="s">
        <v>759</v>
      </c>
      <c r="I332" s="262"/>
      <c r="J332" s="262"/>
      <c r="K332" s="274"/>
      <c r="L332" s="262"/>
      <c r="M332" s="275"/>
      <c r="O332" s="247"/>
      <c r="AC332" s="247"/>
      <c r="AD332" s="251" t="str">
        <f>IFERROR(__xludf.DUMMYFUNCTION("""COMPUTED_VALUE"""),"73df5aae-f42a-49a0-9d8f-616ca6dbebaa")</f>
        <v>73df5aae-f42a-49a0-9d8f-616ca6dbebaa</v>
      </c>
      <c r="AE332" s="251" t="str">
        <f>IFERROR(__xludf.DUMMYFUNCTION("""COMPUTED_VALUE"""),"019ed0e3-2d9c-767e-a87d-24878c3f0008")</f>
        <v>019ed0e3-2d9c-767e-a87d-24878c3f0008</v>
      </c>
      <c r="AF332" s="261">
        <f>IFERROR(__xludf.DUMMYFUNCTION("""COMPUTED_VALUE"""),46189.613541666666)</f>
        <v>46189.61354</v>
      </c>
      <c r="AG332" s="251" t="str">
        <f>IFERROR(__xludf.DUMMYFUNCTION("""COMPUTED_VALUE"""),"credit")</f>
        <v>credit</v>
      </c>
      <c r="AH332" s="251">
        <f>IFERROR(__xludf.DUMMYFUNCTION("""COMPUTED_VALUE"""),22593.39)</f>
        <v>22593.39</v>
      </c>
      <c r="AI332" s="251" t="str">
        <f>IFERROR(__xludf.DUMMYFUNCTION("""COMPUTED_VALUE"""),"cash_isa")</f>
        <v>cash_isa</v>
      </c>
      <c r="AJ332" s="251" t="str">
        <f>IFERROR(__xludf.DUMMYFUNCTION("""COMPUTED_VALUE"""),"9bc00e6b-ce5f-48c5-ae3a-1baabe00f337")</f>
        <v>9bc00e6b-ce5f-48c5-ae3a-1baabe00f337</v>
      </c>
      <c r="AK332" s="251" t="str">
        <f>IFERROR(__xludf.DUMMYFUNCTION("""COMPUTED_VALUE"""),"24861303-30c8-45d3-9f58-f41ebc70e36f")</f>
        <v>24861303-30c8-45d3-9f58-f41ebc70e36f</v>
      </c>
      <c r="AL332" s="251"/>
      <c r="AM332" s="251"/>
      <c r="AN332" s="251"/>
      <c r="AO332" s="251"/>
      <c r="AP332" s="261"/>
      <c r="AR332" s="251" t="str">
        <f t="shared" si="1"/>
        <v>22593.39_credit</v>
      </c>
      <c r="AS332" s="251" t="str">
        <f t="shared" si="2"/>
        <v>DROP</v>
      </c>
      <c r="AT332" s="247"/>
    </row>
    <row r="333">
      <c r="A333" s="255" t="s">
        <v>165</v>
      </c>
      <c r="B333" s="255" t="s">
        <v>760</v>
      </c>
      <c r="C333" s="256">
        <v>46189.61578703704</v>
      </c>
      <c r="D333" s="255" t="s">
        <v>265</v>
      </c>
      <c r="E333" s="257">
        <v>3565.56</v>
      </c>
      <c r="F333" s="255" t="s">
        <v>169</v>
      </c>
      <c r="G333" s="255" t="s">
        <v>170</v>
      </c>
      <c r="H333" s="255" t="s">
        <v>750</v>
      </c>
      <c r="I333" s="255"/>
      <c r="J333" s="255"/>
      <c r="K333" s="272"/>
      <c r="L333" s="255"/>
      <c r="M333" s="273"/>
      <c r="O333" s="247"/>
      <c r="AC333" s="247"/>
      <c r="AD333" s="251" t="str">
        <f>IFERROR(__xludf.DUMMYFUNCTION("""COMPUTED_VALUE"""),"73df5aae-f42a-49a0-9d8f-616ca6dbebaa")</f>
        <v>73df5aae-f42a-49a0-9d8f-616ca6dbebaa</v>
      </c>
      <c r="AE333" s="251" t="str">
        <f>IFERROR(__xludf.DUMMYFUNCTION("""COMPUTED_VALUE"""),"019ed0e3-f952-75d1-8fba-d704fe402df6")</f>
        <v>019ed0e3-f952-75d1-8fba-d704fe402df6</v>
      </c>
      <c r="AF333" s="261">
        <f>IFERROR(__xludf.DUMMYFUNCTION("""COMPUTED_VALUE"""),46189.61414351852)</f>
        <v>46189.61414</v>
      </c>
      <c r="AG333" s="251" t="str">
        <f>IFERROR(__xludf.DUMMYFUNCTION("""COMPUTED_VALUE"""),"credit")</f>
        <v>credit</v>
      </c>
      <c r="AH333" s="251">
        <f>IFERROR(__xludf.DUMMYFUNCTION("""COMPUTED_VALUE"""),3565.56)</f>
        <v>3565.56</v>
      </c>
      <c r="AI333" s="251" t="str">
        <f>IFERROR(__xludf.DUMMYFUNCTION("""COMPUTED_VALUE"""),"cash_isa")</f>
        <v>cash_isa</v>
      </c>
      <c r="AJ333" s="251" t="str">
        <f>IFERROR(__xludf.DUMMYFUNCTION("""COMPUTED_VALUE"""),"9bc00e6b-ce5f-48c5-ae3a-1baabe00f337")</f>
        <v>9bc00e6b-ce5f-48c5-ae3a-1baabe00f337</v>
      </c>
      <c r="AK333" s="251" t="str">
        <f>IFERROR(__xludf.DUMMYFUNCTION("""COMPUTED_VALUE"""),"026cceba-4730-401d-866f-23b592ac5a5e")</f>
        <v>026cceba-4730-401d-866f-23b592ac5a5e</v>
      </c>
      <c r="AL333" s="251"/>
      <c r="AM333" s="251"/>
      <c r="AN333" s="251"/>
      <c r="AO333" s="251"/>
      <c r="AP333" s="261"/>
      <c r="AR333" s="251" t="str">
        <f t="shared" si="1"/>
        <v>3565.56_credit</v>
      </c>
      <c r="AS333" s="251" t="str">
        <f t="shared" si="2"/>
        <v>DROP</v>
      </c>
      <c r="AT333" s="247"/>
    </row>
    <row r="334">
      <c r="A334" s="262" t="s">
        <v>165</v>
      </c>
      <c r="B334" s="262" t="s">
        <v>761</v>
      </c>
      <c r="C334" s="263">
        <v>46189.61651620371</v>
      </c>
      <c r="D334" s="262" t="s">
        <v>265</v>
      </c>
      <c r="E334" s="264">
        <v>32601.64</v>
      </c>
      <c r="F334" s="262" t="s">
        <v>169</v>
      </c>
      <c r="G334" s="262" t="s">
        <v>170</v>
      </c>
      <c r="H334" s="262" t="s">
        <v>754</v>
      </c>
      <c r="I334" s="262"/>
      <c r="J334" s="262"/>
      <c r="K334" s="274"/>
      <c r="L334" s="262"/>
      <c r="M334" s="275"/>
      <c r="O334" s="247"/>
      <c r="AC334" s="247"/>
      <c r="AD334" s="251" t="str">
        <f>IFERROR(__xludf.DUMMYFUNCTION("""COMPUTED_VALUE"""),"73df5aae-f42a-49a0-9d8f-616ca6dbebaa")</f>
        <v>73df5aae-f42a-49a0-9d8f-616ca6dbebaa</v>
      </c>
      <c r="AE334" s="251" t="str">
        <f>IFERROR(__xludf.DUMMYFUNCTION("""COMPUTED_VALUE"""),"019ed0e4-3ba1-7422-97bd-ede339d7a095")</f>
        <v>019ed0e4-3ba1-7422-97bd-ede339d7a095</v>
      </c>
      <c r="AF334" s="261">
        <f>IFERROR(__xludf.DUMMYFUNCTION("""COMPUTED_VALUE"""),46189.61434027778)</f>
        <v>46189.61434</v>
      </c>
      <c r="AG334" s="251" t="str">
        <f>IFERROR(__xludf.DUMMYFUNCTION("""COMPUTED_VALUE"""),"debit")</f>
        <v>debit</v>
      </c>
      <c r="AH334" s="251">
        <f>IFERROR(__xludf.DUMMYFUNCTION("""COMPUTED_VALUE"""),4054.36)</f>
        <v>4054.36</v>
      </c>
      <c r="AI334" s="251" t="str">
        <f>IFERROR(__xludf.DUMMYFUNCTION("""COMPUTED_VALUE"""),"cash_isa")</f>
        <v>cash_isa</v>
      </c>
      <c r="AJ334" s="251" t="str">
        <f>IFERROR(__xludf.DUMMYFUNCTION("""COMPUTED_VALUE"""),"9bc00e6b-ce5f-48c5-ae3a-1baabe00f337")</f>
        <v>9bc00e6b-ce5f-48c5-ae3a-1baabe00f337</v>
      </c>
      <c r="AK334" s="251" t="str">
        <f>IFERROR(__xludf.DUMMYFUNCTION("""COMPUTED_VALUE"""),"dbb9b7fc-e297-4fa3-873a-50bc5ad6bbab")</f>
        <v>dbb9b7fc-e297-4fa3-873a-50bc5ad6bbab</v>
      </c>
      <c r="AL334" s="251"/>
      <c r="AM334" s="251"/>
      <c r="AN334" s="251"/>
      <c r="AO334" s="251"/>
      <c r="AP334" s="261"/>
      <c r="AR334" s="251" t="str">
        <f t="shared" si="1"/>
        <v>4054.36_debit</v>
      </c>
      <c r="AS334" s="251" t="str">
        <f t="shared" si="2"/>
        <v>DROP</v>
      </c>
      <c r="AT334" s="247"/>
    </row>
    <row r="335">
      <c r="A335" s="255" t="s">
        <v>165</v>
      </c>
      <c r="B335" s="255" t="s">
        <v>762</v>
      </c>
      <c r="C335" s="256">
        <v>46189.617638888885</v>
      </c>
      <c r="D335" s="255" t="s">
        <v>265</v>
      </c>
      <c r="E335" s="257">
        <v>142.46</v>
      </c>
      <c r="F335" s="255" t="s">
        <v>169</v>
      </c>
      <c r="G335" s="255" t="s">
        <v>170</v>
      </c>
      <c r="H335" s="255" t="s">
        <v>759</v>
      </c>
      <c r="I335" s="255"/>
      <c r="J335" s="255"/>
      <c r="K335" s="272"/>
      <c r="L335" s="255"/>
      <c r="M335" s="273"/>
      <c r="O335" s="247"/>
      <c r="AC335" s="247"/>
      <c r="AD335" s="251" t="str">
        <f>IFERROR(__xludf.DUMMYFUNCTION("""COMPUTED_VALUE"""),"73df5aae-f42a-49a0-9d8f-616ca6dbebaa")</f>
        <v>73df5aae-f42a-49a0-9d8f-616ca6dbebaa</v>
      </c>
      <c r="AE335" s="251" t="str">
        <f>IFERROR(__xludf.DUMMYFUNCTION("""COMPUTED_VALUE"""),"019ed0e4-3fb6-7ce7-9f38-976864b1edb2")</f>
        <v>019ed0e4-3fb6-7ce7-9f38-976864b1edb2</v>
      </c>
      <c r="AF335" s="261">
        <f>IFERROR(__xludf.DUMMYFUNCTION("""COMPUTED_VALUE"""),46189.61435185185)</f>
        <v>46189.61435</v>
      </c>
      <c r="AG335" s="251" t="str">
        <f>IFERROR(__xludf.DUMMYFUNCTION("""COMPUTED_VALUE"""),"debit")</f>
        <v>debit</v>
      </c>
      <c r="AH335" s="251">
        <f>IFERROR(__xludf.DUMMYFUNCTION("""COMPUTED_VALUE"""),20787.07)</f>
        <v>20787.07</v>
      </c>
      <c r="AI335" s="251" t="str">
        <f>IFERROR(__xludf.DUMMYFUNCTION("""COMPUTED_VALUE"""),"cash_isa")</f>
        <v>cash_isa</v>
      </c>
      <c r="AJ335" s="251" t="str">
        <f>IFERROR(__xludf.DUMMYFUNCTION("""COMPUTED_VALUE"""),"9bc00e6b-ce5f-48c5-ae3a-1baabe00f337")</f>
        <v>9bc00e6b-ce5f-48c5-ae3a-1baabe00f337</v>
      </c>
      <c r="AK335" s="251" t="str">
        <f>IFERROR(__xludf.DUMMYFUNCTION("""COMPUTED_VALUE"""),"3d657ec0-7ef0-4a10-87b3-1b07c7c95969")</f>
        <v>3d657ec0-7ef0-4a10-87b3-1b07c7c95969</v>
      </c>
      <c r="AL335" s="251"/>
      <c r="AM335" s="251"/>
      <c r="AN335" s="251"/>
      <c r="AO335" s="251"/>
      <c r="AP335" s="261"/>
      <c r="AR335" s="251" t="str">
        <f t="shared" si="1"/>
        <v>20787.07_debit</v>
      </c>
      <c r="AS335" s="251" t="str">
        <f t="shared" si="2"/>
        <v>DROP</v>
      </c>
      <c r="AT335" s="247"/>
    </row>
    <row r="336">
      <c r="A336" s="262" t="s">
        <v>165</v>
      </c>
      <c r="B336" s="262" t="s">
        <v>763</v>
      </c>
      <c r="C336" s="263">
        <v>46189.61785879629</v>
      </c>
      <c r="D336" s="262" t="s">
        <v>167</v>
      </c>
      <c r="E336" s="264">
        <v>5000.0</v>
      </c>
      <c r="F336" s="262" t="s">
        <v>169</v>
      </c>
      <c r="G336" s="262" t="s">
        <v>170</v>
      </c>
      <c r="H336" s="262" t="s">
        <v>764</v>
      </c>
      <c r="I336" s="262"/>
      <c r="J336" s="262"/>
      <c r="K336" s="274"/>
      <c r="L336" s="262"/>
      <c r="M336" s="275"/>
      <c r="O336" s="247"/>
      <c r="AC336" s="247"/>
      <c r="AD336" s="251" t="str">
        <f>IFERROR(__xludf.DUMMYFUNCTION("""COMPUTED_VALUE"""),"73df5aae-f42a-49a0-9d8f-616ca6dbebaa")</f>
        <v>73df5aae-f42a-49a0-9d8f-616ca6dbebaa</v>
      </c>
      <c r="AE336" s="251" t="str">
        <f>IFERROR(__xludf.DUMMYFUNCTION("""COMPUTED_VALUE"""),"019ed0e4-b3ec-71ad-871f-daca2d28c55f")</f>
        <v>019ed0e4-b3ec-71ad-871f-daca2d28c55f</v>
      </c>
      <c r="AF336" s="261">
        <f>IFERROR(__xludf.DUMMYFUNCTION("""COMPUTED_VALUE"""),46189.614699074074)</f>
        <v>46189.6147</v>
      </c>
      <c r="AG336" s="251" t="str">
        <f>IFERROR(__xludf.DUMMYFUNCTION("""COMPUTED_VALUE"""),"credit")</f>
        <v>credit</v>
      </c>
      <c r="AH336" s="251">
        <f>IFERROR(__xludf.DUMMYFUNCTION("""COMPUTED_VALUE"""),32601.64)</f>
        <v>32601.64</v>
      </c>
      <c r="AI336" s="251" t="str">
        <f>IFERROR(__xludf.DUMMYFUNCTION("""COMPUTED_VALUE"""),"cash_isa")</f>
        <v>cash_isa</v>
      </c>
      <c r="AJ336" s="251" t="str">
        <f>IFERROR(__xludf.DUMMYFUNCTION("""COMPUTED_VALUE"""),"9bc00e6b-ce5f-48c5-ae3a-1baabe00f337")</f>
        <v>9bc00e6b-ce5f-48c5-ae3a-1baabe00f337</v>
      </c>
      <c r="AK336" s="251" t="str">
        <f>IFERROR(__xludf.DUMMYFUNCTION("""COMPUTED_VALUE"""),"c20e37ad-4f39-4a5f-9e4d-d46d14b56e7e")</f>
        <v>c20e37ad-4f39-4a5f-9e4d-d46d14b56e7e</v>
      </c>
      <c r="AL336" s="251"/>
      <c r="AM336" s="251"/>
      <c r="AN336" s="251"/>
      <c r="AO336" s="251"/>
      <c r="AP336" s="261"/>
      <c r="AR336" s="251" t="str">
        <f t="shared" si="1"/>
        <v>32601.64_credit</v>
      </c>
      <c r="AS336" s="251" t="str">
        <f t="shared" si="2"/>
        <v>DROP</v>
      </c>
      <c r="AT336" s="247"/>
    </row>
    <row r="337">
      <c r="A337" s="255" t="s">
        <v>165</v>
      </c>
      <c r="B337" s="255" t="s">
        <v>765</v>
      </c>
      <c r="C337" s="256">
        <v>46189.61902777778</v>
      </c>
      <c r="D337" s="255" t="s">
        <v>167</v>
      </c>
      <c r="E337" s="257">
        <v>20000.0</v>
      </c>
      <c r="F337" s="255" t="s">
        <v>169</v>
      </c>
      <c r="G337" s="255" t="s">
        <v>170</v>
      </c>
      <c r="H337" s="255" t="s">
        <v>766</v>
      </c>
      <c r="I337" s="255"/>
      <c r="J337" s="255"/>
      <c r="K337" s="272"/>
      <c r="L337" s="255"/>
      <c r="M337" s="273"/>
      <c r="O337" s="247"/>
      <c r="AC337" s="247"/>
      <c r="AD337" s="251" t="str">
        <f>IFERROR(__xludf.DUMMYFUNCTION("""COMPUTED_VALUE"""),"73df5aae-f42a-49a0-9d8f-616ca6dbebaa")</f>
        <v>73df5aae-f42a-49a0-9d8f-616ca6dbebaa</v>
      </c>
      <c r="AE337" s="251" t="str">
        <f>IFERROR(__xludf.DUMMYFUNCTION("""COMPUTED_VALUE"""),"019ed0e4-dc06-75d4-8620-9b4d4939c9ac")</f>
        <v>019ed0e4-dc06-75d4-8620-9b4d4939c9ac</v>
      </c>
      <c r="AF337" s="261">
        <f>IFERROR(__xludf.DUMMYFUNCTION("""COMPUTED_VALUE"""),46189.61481481481)</f>
        <v>46189.61481</v>
      </c>
      <c r="AG337" s="251" t="str">
        <f>IFERROR(__xludf.DUMMYFUNCTION("""COMPUTED_VALUE"""),"debit")</f>
        <v>debit</v>
      </c>
      <c r="AH337" s="251">
        <f>IFERROR(__xludf.DUMMYFUNCTION("""COMPUTED_VALUE"""),15617.68)</f>
        <v>15617.68</v>
      </c>
      <c r="AI337" s="251" t="str">
        <f>IFERROR(__xludf.DUMMYFUNCTION("""COMPUTED_VALUE"""),"cash_isa")</f>
        <v>cash_isa</v>
      </c>
      <c r="AJ337" s="251" t="str">
        <f>IFERROR(__xludf.DUMMYFUNCTION("""COMPUTED_VALUE"""),"9bc00e6b-ce5f-48c5-ae3a-1baabe00f337")</f>
        <v>9bc00e6b-ce5f-48c5-ae3a-1baabe00f337</v>
      </c>
      <c r="AK337" s="251" t="str">
        <f>IFERROR(__xludf.DUMMYFUNCTION("""COMPUTED_VALUE"""),"cd36314e-9765-4382-af8a-8a42258cdd90")</f>
        <v>cd36314e-9765-4382-af8a-8a42258cdd90</v>
      </c>
      <c r="AL337" s="251"/>
      <c r="AM337" s="251"/>
      <c r="AN337" s="251"/>
      <c r="AO337" s="251"/>
      <c r="AP337" s="261"/>
      <c r="AR337" s="251" t="str">
        <f t="shared" si="1"/>
        <v>15617.68_debit</v>
      </c>
      <c r="AS337" s="251" t="str">
        <f t="shared" si="2"/>
        <v>DROP</v>
      </c>
      <c r="AT337" s="247"/>
    </row>
    <row r="338">
      <c r="A338" s="262" t="s">
        <v>165</v>
      </c>
      <c r="B338" s="262" t="s">
        <v>767</v>
      </c>
      <c r="C338" s="263">
        <v>46189.61989583333</v>
      </c>
      <c r="D338" s="262" t="s">
        <v>167</v>
      </c>
      <c r="E338" s="264">
        <v>20451.93</v>
      </c>
      <c r="F338" s="262" t="s">
        <v>169</v>
      </c>
      <c r="G338" s="262" t="s">
        <v>170</v>
      </c>
      <c r="H338" s="262" t="s">
        <v>768</v>
      </c>
      <c r="I338" s="262"/>
      <c r="J338" s="262"/>
      <c r="K338" s="274"/>
      <c r="L338" s="262"/>
      <c r="M338" s="275"/>
      <c r="O338" s="247"/>
      <c r="AC338" s="247"/>
      <c r="AD338" s="251" t="str">
        <f>IFERROR(__xludf.DUMMYFUNCTION("""COMPUTED_VALUE"""),"73df5aae-f42a-49a0-9d8f-616ca6dbebaa")</f>
        <v>73df5aae-f42a-49a0-9d8f-616ca6dbebaa</v>
      </c>
      <c r="AE338" s="251" t="str">
        <f>IFERROR(__xludf.DUMMYFUNCTION("""COMPUTED_VALUE"""),"019ed0e5-5e9b-795f-8750-8b711a40ff2b")</f>
        <v>019ed0e5-5e9b-795f-8750-8b711a40ff2b</v>
      </c>
      <c r="AF338" s="261">
        <f>IFERROR(__xludf.DUMMYFUNCTION("""COMPUTED_VALUE"""),46189.61519675926)</f>
        <v>46189.6152</v>
      </c>
      <c r="AG338" s="251" t="str">
        <f>IFERROR(__xludf.DUMMYFUNCTION("""COMPUTED_VALUE"""),"debit")</f>
        <v>debit</v>
      </c>
      <c r="AH338" s="251">
        <f>IFERROR(__xludf.DUMMYFUNCTION("""COMPUTED_VALUE"""),20087.91)</f>
        <v>20087.91</v>
      </c>
      <c r="AI338" s="251" t="str">
        <f>IFERROR(__xludf.DUMMYFUNCTION("""COMPUTED_VALUE"""),"cash_isa")</f>
        <v>cash_isa</v>
      </c>
      <c r="AJ338" s="251" t="str">
        <f>IFERROR(__xludf.DUMMYFUNCTION("""COMPUTED_VALUE"""),"9bc00e6b-ce5f-48c5-ae3a-1baabe00f337")</f>
        <v>9bc00e6b-ce5f-48c5-ae3a-1baabe00f337</v>
      </c>
      <c r="AK338" s="251" t="str">
        <f>IFERROR(__xludf.DUMMYFUNCTION("""COMPUTED_VALUE"""),"60e14ee1-eea8-4d74-b6e3-27bbf4c5b855")</f>
        <v>60e14ee1-eea8-4d74-b6e3-27bbf4c5b855</v>
      </c>
      <c r="AL338" s="251"/>
      <c r="AM338" s="251"/>
      <c r="AN338" s="251"/>
      <c r="AO338" s="251"/>
      <c r="AP338" s="261"/>
      <c r="AR338" s="251" t="str">
        <f t="shared" si="1"/>
        <v>20087.91_debit</v>
      </c>
      <c r="AS338" s="251" t="str">
        <f t="shared" si="2"/>
        <v>DROP</v>
      </c>
      <c r="AT338" s="247"/>
    </row>
    <row r="339">
      <c r="A339" s="255" t="s">
        <v>165</v>
      </c>
      <c r="B339" s="255" t="s">
        <v>769</v>
      </c>
      <c r="C339" s="256">
        <v>46189.62</v>
      </c>
      <c r="D339" s="255" t="s">
        <v>265</v>
      </c>
      <c r="E339" s="257">
        <v>5000.0</v>
      </c>
      <c r="F339" s="255" t="s">
        <v>169</v>
      </c>
      <c r="G339" s="255" t="s">
        <v>170</v>
      </c>
      <c r="H339" s="255" t="s">
        <v>764</v>
      </c>
      <c r="I339" s="255"/>
      <c r="J339" s="255"/>
      <c r="K339" s="272"/>
      <c r="L339" s="255"/>
      <c r="M339" s="273"/>
      <c r="O339" s="247"/>
      <c r="AC339" s="247"/>
      <c r="AD339" s="251" t="str">
        <f>IFERROR(__xludf.DUMMYFUNCTION("""COMPUTED_VALUE"""),"73df5aae-f42a-49a0-9d8f-616ca6dbebaa")</f>
        <v>73df5aae-f42a-49a0-9d8f-616ca6dbebaa</v>
      </c>
      <c r="AE339" s="251" t="str">
        <f>IFERROR(__xludf.DUMMYFUNCTION("""COMPUTED_VALUE"""),"019ed0e5-5e9c-7392-bae3-a425e1e8da40")</f>
        <v>019ed0e5-5e9c-7392-bae3-a425e1e8da40</v>
      </c>
      <c r="AF339" s="261">
        <f>IFERROR(__xludf.DUMMYFUNCTION("""COMPUTED_VALUE"""),46189.61519675926)</f>
        <v>46189.6152</v>
      </c>
      <c r="AG339" s="251" t="str">
        <f>IFERROR(__xludf.DUMMYFUNCTION("""COMPUTED_VALUE"""),"debit")</f>
        <v>debit</v>
      </c>
      <c r="AH339" s="251">
        <f>IFERROR(__xludf.DUMMYFUNCTION("""COMPUTED_VALUE"""),22593.39)</f>
        <v>22593.39</v>
      </c>
      <c r="AI339" s="251" t="str">
        <f>IFERROR(__xludf.DUMMYFUNCTION("""COMPUTED_VALUE"""),"cash_isa")</f>
        <v>cash_isa</v>
      </c>
      <c r="AJ339" s="251" t="str">
        <f>IFERROR(__xludf.DUMMYFUNCTION("""COMPUTED_VALUE"""),"9bc00e6b-ce5f-48c5-ae3a-1baabe00f337")</f>
        <v>9bc00e6b-ce5f-48c5-ae3a-1baabe00f337</v>
      </c>
      <c r="AK339" s="251" t="str">
        <f>IFERROR(__xludf.DUMMYFUNCTION("""COMPUTED_VALUE"""),"24861303-30c8-45d3-9f58-f41ebc70e36f")</f>
        <v>24861303-30c8-45d3-9f58-f41ebc70e36f</v>
      </c>
      <c r="AL339" s="251"/>
      <c r="AM339" s="251"/>
      <c r="AN339" s="251"/>
      <c r="AO339" s="251"/>
      <c r="AP339" s="261"/>
      <c r="AR339" s="251" t="str">
        <f t="shared" si="1"/>
        <v>22593.39_debit</v>
      </c>
      <c r="AS339" s="251" t="str">
        <f t="shared" si="2"/>
        <v>DROP</v>
      </c>
      <c r="AT339" s="247"/>
    </row>
    <row r="340">
      <c r="A340" s="262" t="s">
        <v>165</v>
      </c>
      <c r="B340" s="262" t="s">
        <v>770</v>
      </c>
      <c r="C340" s="263">
        <v>46189.620983796296</v>
      </c>
      <c r="D340" s="262" t="s">
        <v>265</v>
      </c>
      <c r="E340" s="264">
        <v>20000.0</v>
      </c>
      <c r="F340" s="262" t="s">
        <v>169</v>
      </c>
      <c r="G340" s="262" t="s">
        <v>170</v>
      </c>
      <c r="H340" s="262" t="s">
        <v>766</v>
      </c>
      <c r="I340" s="265"/>
      <c r="J340" s="265"/>
      <c r="K340" s="266"/>
      <c r="L340" s="265"/>
      <c r="M340" s="267"/>
      <c r="O340" s="247"/>
      <c r="AC340" s="247"/>
      <c r="AD340" s="251" t="str">
        <f>IFERROR(__xludf.DUMMYFUNCTION("""COMPUTED_VALUE"""),"73df5aae-f42a-49a0-9d8f-616ca6dbebaa")</f>
        <v>73df5aae-f42a-49a0-9d8f-616ca6dbebaa</v>
      </c>
      <c r="AE340" s="251" t="str">
        <f>IFERROR(__xludf.DUMMYFUNCTION("""COMPUTED_VALUE"""),"019ed0e5-ed94-726f-a86b-f7102cbac668")</f>
        <v>019ed0e5-ed94-726f-a86b-f7102cbac668</v>
      </c>
      <c r="AF340" s="261">
        <f>IFERROR(__xludf.DUMMYFUNCTION("""COMPUTED_VALUE"""),46189.615625)</f>
        <v>46189.61563</v>
      </c>
      <c r="AG340" s="251" t="str">
        <f>IFERROR(__xludf.DUMMYFUNCTION("""COMPUTED_VALUE"""),"credit")</f>
        <v>credit</v>
      </c>
      <c r="AH340" s="251">
        <f>IFERROR(__xludf.DUMMYFUNCTION("""COMPUTED_VALUE"""),142.46)</f>
        <v>142.46</v>
      </c>
      <c r="AI340" s="251" t="str">
        <f>IFERROR(__xludf.DUMMYFUNCTION("""COMPUTED_VALUE"""),"cash_isa")</f>
        <v>cash_isa</v>
      </c>
      <c r="AJ340" s="251" t="str">
        <f>IFERROR(__xludf.DUMMYFUNCTION("""COMPUTED_VALUE"""),"9bc00e6b-ce5f-48c5-ae3a-1baabe00f337")</f>
        <v>9bc00e6b-ce5f-48c5-ae3a-1baabe00f337</v>
      </c>
      <c r="AK340" s="251" t="str">
        <f>IFERROR(__xludf.DUMMYFUNCTION("""COMPUTED_VALUE"""),"af16192e-7bc3-4f74-aa60-cda90af31e76")</f>
        <v>af16192e-7bc3-4f74-aa60-cda90af31e76</v>
      </c>
      <c r="AL340" s="251"/>
      <c r="AM340" s="251"/>
      <c r="AN340" s="251"/>
      <c r="AO340" s="251"/>
      <c r="AP340" s="261"/>
      <c r="AR340" s="251" t="str">
        <f t="shared" si="1"/>
        <v>142.46_credit</v>
      </c>
      <c r="AS340" s="251" t="str">
        <f t="shared" si="2"/>
        <v>DROP</v>
      </c>
      <c r="AT340" s="247"/>
    </row>
    <row r="341">
      <c r="A341" s="255" t="s">
        <v>165</v>
      </c>
      <c r="B341" s="255" t="s">
        <v>771</v>
      </c>
      <c r="C341" s="256">
        <v>46189.62241898148</v>
      </c>
      <c r="D341" s="255" t="s">
        <v>265</v>
      </c>
      <c r="E341" s="257">
        <v>20451.93</v>
      </c>
      <c r="F341" s="255" t="s">
        <v>169</v>
      </c>
      <c r="G341" s="255" t="s">
        <v>170</v>
      </c>
      <c r="H341" s="255" t="s">
        <v>768</v>
      </c>
      <c r="I341" s="258"/>
      <c r="J341" s="258"/>
      <c r="K341" s="259"/>
      <c r="L341" s="258"/>
      <c r="M341" s="260"/>
      <c r="O341" s="247"/>
      <c r="AC341" s="247"/>
      <c r="AD341" s="251" t="str">
        <f>IFERROR(__xludf.DUMMYFUNCTION("""COMPUTED_VALUE"""),"73df5aae-f42a-49a0-9d8f-616ca6dbebaa")</f>
        <v>73df5aae-f42a-49a0-9d8f-616ca6dbebaa</v>
      </c>
      <c r="AE341" s="251" t="str">
        <f>IFERROR(__xludf.DUMMYFUNCTION("""COMPUTED_VALUE"""),"019ed0e6-2448-7745-90dc-1a8497e52838")</f>
        <v>019ed0e6-2448-7745-90dc-1a8497e52838</v>
      </c>
      <c r="AF341" s="261">
        <f>IFERROR(__xludf.DUMMYFUNCTION("""COMPUTED_VALUE"""),46189.61578703704)</f>
        <v>46189.61579</v>
      </c>
      <c r="AG341" s="251" t="str">
        <f>IFERROR(__xludf.DUMMYFUNCTION("""COMPUTED_VALUE"""),"debit")</f>
        <v>debit</v>
      </c>
      <c r="AH341" s="251">
        <f>IFERROR(__xludf.DUMMYFUNCTION("""COMPUTED_VALUE"""),3565.56)</f>
        <v>3565.56</v>
      </c>
      <c r="AI341" s="251" t="str">
        <f>IFERROR(__xludf.DUMMYFUNCTION("""COMPUTED_VALUE"""),"cash_isa")</f>
        <v>cash_isa</v>
      </c>
      <c r="AJ341" s="251" t="str">
        <f>IFERROR(__xludf.DUMMYFUNCTION("""COMPUTED_VALUE"""),"9bc00e6b-ce5f-48c5-ae3a-1baabe00f337")</f>
        <v>9bc00e6b-ce5f-48c5-ae3a-1baabe00f337</v>
      </c>
      <c r="AK341" s="251" t="str">
        <f>IFERROR(__xludf.DUMMYFUNCTION("""COMPUTED_VALUE"""),"026cceba-4730-401d-866f-23b592ac5a5e")</f>
        <v>026cceba-4730-401d-866f-23b592ac5a5e</v>
      </c>
      <c r="AL341" s="251"/>
      <c r="AM341" s="251"/>
      <c r="AN341" s="251"/>
      <c r="AO341" s="251"/>
      <c r="AP341" s="261"/>
      <c r="AR341" s="251" t="str">
        <f t="shared" si="1"/>
        <v>3565.56_debit</v>
      </c>
      <c r="AS341" s="251" t="str">
        <f t="shared" si="2"/>
        <v>DROP</v>
      </c>
      <c r="AT341" s="247"/>
    </row>
    <row r="342">
      <c r="A342" s="262" t="s">
        <v>165</v>
      </c>
      <c r="B342" s="262" t="s">
        <v>772</v>
      </c>
      <c r="C342" s="263">
        <v>46189.622453703705</v>
      </c>
      <c r="D342" s="262" t="s">
        <v>167</v>
      </c>
      <c r="E342" s="264">
        <v>42.33</v>
      </c>
      <c r="F342" s="262" t="s">
        <v>169</v>
      </c>
      <c r="G342" s="262" t="s">
        <v>170</v>
      </c>
      <c r="H342" s="262" t="s">
        <v>773</v>
      </c>
      <c r="I342" s="265"/>
      <c r="J342" s="265"/>
      <c r="K342" s="266"/>
      <c r="L342" s="265"/>
      <c r="M342" s="267"/>
      <c r="O342" s="247"/>
      <c r="AC342" s="247"/>
      <c r="AD342" s="251" t="str">
        <f>IFERROR(__xludf.DUMMYFUNCTION("""COMPUTED_VALUE"""),"73df5aae-f42a-49a0-9d8f-616ca6dbebaa")</f>
        <v>73df5aae-f42a-49a0-9d8f-616ca6dbebaa</v>
      </c>
      <c r="AE342" s="251" t="str">
        <f>IFERROR(__xludf.DUMMYFUNCTION("""COMPUTED_VALUE"""),"019ed0e7-194d-7d63-9226-f5022ee1bb89")</f>
        <v>019ed0e7-194d-7d63-9226-f5022ee1bb89</v>
      </c>
      <c r="AF342" s="261">
        <f>IFERROR(__xludf.DUMMYFUNCTION("""COMPUTED_VALUE"""),46189.61651620371)</f>
        <v>46189.61652</v>
      </c>
      <c r="AG342" s="251" t="str">
        <f>IFERROR(__xludf.DUMMYFUNCTION("""COMPUTED_VALUE"""),"debit")</f>
        <v>debit</v>
      </c>
      <c r="AH342" s="251">
        <f>IFERROR(__xludf.DUMMYFUNCTION("""COMPUTED_VALUE"""),32601.64)</f>
        <v>32601.64</v>
      </c>
      <c r="AI342" s="251" t="str">
        <f>IFERROR(__xludf.DUMMYFUNCTION("""COMPUTED_VALUE"""),"cash_isa")</f>
        <v>cash_isa</v>
      </c>
      <c r="AJ342" s="251" t="str">
        <f>IFERROR(__xludf.DUMMYFUNCTION("""COMPUTED_VALUE"""),"9bc00e6b-ce5f-48c5-ae3a-1baabe00f337")</f>
        <v>9bc00e6b-ce5f-48c5-ae3a-1baabe00f337</v>
      </c>
      <c r="AK342" s="251" t="str">
        <f>IFERROR(__xludf.DUMMYFUNCTION("""COMPUTED_VALUE"""),"c20e37ad-4f39-4a5f-9e4d-d46d14b56e7e")</f>
        <v>c20e37ad-4f39-4a5f-9e4d-d46d14b56e7e</v>
      </c>
      <c r="AL342" s="251"/>
      <c r="AM342" s="251"/>
      <c r="AN342" s="251"/>
      <c r="AO342" s="251"/>
      <c r="AP342" s="261"/>
      <c r="AR342" s="251" t="str">
        <f t="shared" si="1"/>
        <v>32601.64_debit</v>
      </c>
      <c r="AS342" s="251" t="str">
        <f t="shared" si="2"/>
        <v>DROP</v>
      </c>
      <c r="AT342" s="247"/>
    </row>
    <row r="343">
      <c r="A343" s="255" t="s">
        <v>165</v>
      </c>
      <c r="B343" s="255" t="s">
        <v>774</v>
      </c>
      <c r="C343" s="256">
        <v>46189.62459490741</v>
      </c>
      <c r="D343" s="255" t="s">
        <v>167</v>
      </c>
      <c r="E343" s="257">
        <v>32526.38</v>
      </c>
      <c r="F343" s="255" t="s">
        <v>169</v>
      </c>
      <c r="G343" s="255" t="s">
        <v>170</v>
      </c>
      <c r="H343" s="255" t="s">
        <v>775</v>
      </c>
      <c r="I343" s="258"/>
      <c r="J343" s="258"/>
      <c r="K343" s="259"/>
      <c r="L343" s="258"/>
      <c r="M343" s="260"/>
      <c r="O343" s="247"/>
      <c r="AC343" s="247"/>
      <c r="AD343" s="251" t="str">
        <f>IFERROR(__xludf.DUMMYFUNCTION("""COMPUTED_VALUE"""),"73df5aae-f42a-49a0-9d8f-616ca6dbebaa")</f>
        <v>73df5aae-f42a-49a0-9d8f-616ca6dbebaa</v>
      </c>
      <c r="AE343" s="251" t="str">
        <f>IFERROR(__xludf.DUMMYFUNCTION("""COMPUTED_VALUE"""),"019ed0e8-96b0-7bdf-87db-77713fdbbfa2")</f>
        <v>019ed0e8-96b0-7bdf-87db-77713fdbbfa2</v>
      </c>
      <c r="AF343" s="261">
        <f>IFERROR(__xludf.DUMMYFUNCTION("""COMPUTED_VALUE"""),46189.617638888885)</f>
        <v>46189.61764</v>
      </c>
      <c r="AG343" s="251" t="str">
        <f>IFERROR(__xludf.DUMMYFUNCTION("""COMPUTED_VALUE"""),"debit")</f>
        <v>debit</v>
      </c>
      <c r="AH343" s="251">
        <f>IFERROR(__xludf.DUMMYFUNCTION("""COMPUTED_VALUE"""),142.46)</f>
        <v>142.46</v>
      </c>
      <c r="AI343" s="251" t="str">
        <f>IFERROR(__xludf.DUMMYFUNCTION("""COMPUTED_VALUE"""),"cash_isa")</f>
        <v>cash_isa</v>
      </c>
      <c r="AJ343" s="251" t="str">
        <f>IFERROR(__xludf.DUMMYFUNCTION("""COMPUTED_VALUE"""),"9bc00e6b-ce5f-48c5-ae3a-1baabe00f337")</f>
        <v>9bc00e6b-ce5f-48c5-ae3a-1baabe00f337</v>
      </c>
      <c r="AK343" s="251" t="str">
        <f>IFERROR(__xludf.DUMMYFUNCTION("""COMPUTED_VALUE"""),"af16192e-7bc3-4f74-aa60-cda90af31e76")</f>
        <v>af16192e-7bc3-4f74-aa60-cda90af31e76</v>
      </c>
      <c r="AL343" s="251"/>
      <c r="AM343" s="251"/>
      <c r="AN343" s="251"/>
      <c r="AO343" s="251"/>
      <c r="AP343" s="261"/>
      <c r="AR343" s="251" t="str">
        <f t="shared" si="1"/>
        <v>142.46_debit</v>
      </c>
      <c r="AS343" s="251" t="str">
        <f t="shared" si="2"/>
        <v>DROP</v>
      </c>
      <c r="AT343" s="247"/>
    </row>
    <row r="344">
      <c r="A344" s="262" t="s">
        <v>165</v>
      </c>
      <c r="B344" s="262" t="s">
        <v>776</v>
      </c>
      <c r="C344" s="263">
        <v>46189.62474537037</v>
      </c>
      <c r="D344" s="262" t="s">
        <v>265</v>
      </c>
      <c r="E344" s="264">
        <v>42.33</v>
      </c>
      <c r="F344" s="262" t="s">
        <v>169</v>
      </c>
      <c r="G344" s="262" t="s">
        <v>170</v>
      </c>
      <c r="H344" s="262" t="s">
        <v>773</v>
      </c>
      <c r="I344" s="265"/>
      <c r="J344" s="265"/>
      <c r="K344" s="266"/>
      <c r="L344" s="265"/>
      <c r="M344" s="267"/>
      <c r="O344" s="247"/>
      <c r="AC344" s="247"/>
      <c r="AD344" s="251" t="str">
        <f>IFERROR(__xludf.DUMMYFUNCTION("""COMPUTED_VALUE"""),"73df5aae-f42a-49a0-9d8f-616ca6dbebaa")</f>
        <v>73df5aae-f42a-49a0-9d8f-616ca6dbebaa</v>
      </c>
      <c r="AE344" s="251" t="str">
        <f>IFERROR(__xludf.DUMMYFUNCTION("""COMPUTED_VALUE"""),"019ed0e8-ddc6-7f2d-a459-a32e9e6204e0")</f>
        <v>019ed0e8-ddc6-7f2d-a459-a32e9e6204e0</v>
      </c>
      <c r="AF344" s="261">
        <f>IFERROR(__xludf.DUMMYFUNCTION("""COMPUTED_VALUE"""),46189.61785879629)</f>
        <v>46189.61786</v>
      </c>
      <c r="AG344" s="251" t="str">
        <f>IFERROR(__xludf.DUMMYFUNCTION("""COMPUTED_VALUE"""),"credit")</f>
        <v>credit</v>
      </c>
      <c r="AH344" s="251">
        <f>IFERROR(__xludf.DUMMYFUNCTION("""COMPUTED_VALUE"""),5000.0)</f>
        <v>5000</v>
      </c>
      <c r="AI344" s="251" t="str">
        <f>IFERROR(__xludf.DUMMYFUNCTION("""COMPUTED_VALUE"""),"cash_isa")</f>
        <v>cash_isa</v>
      </c>
      <c r="AJ344" s="251" t="str">
        <f>IFERROR(__xludf.DUMMYFUNCTION("""COMPUTED_VALUE"""),"9bc00e6b-ce5f-48c5-ae3a-1baabe00f337")</f>
        <v>9bc00e6b-ce5f-48c5-ae3a-1baabe00f337</v>
      </c>
      <c r="AK344" s="251" t="str">
        <f>IFERROR(__xludf.DUMMYFUNCTION("""COMPUTED_VALUE"""),"801a06ed-ea4e-4213-bc7a-a7367f672925")</f>
        <v>801a06ed-ea4e-4213-bc7a-a7367f672925</v>
      </c>
      <c r="AL344" s="251"/>
      <c r="AM344" s="251"/>
      <c r="AN344" s="251"/>
      <c r="AO344" s="251"/>
      <c r="AP344" s="261"/>
      <c r="AR344" s="251" t="str">
        <f t="shared" si="1"/>
        <v>5000_credit</v>
      </c>
      <c r="AS344" s="251" t="str">
        <f t="shared" si="2"/>
        <v>DROP</v>
      </c>
      <c r="AT344" s="247"/>
    </row>
    <row r="345">
      <c r="A345" s="255" t="s">
        <v>165</v>
      </c>
      <c r="B345" s="255" t="s">
        <v>777</v>
      </c>
      <c r="C345" s="256">
        <v>46189.624976851854</v>
      </c>
      <c r="D345" s="255" t="s">
        <v>167</v>
      </c>
      <c r="E345" s="257">
        <v>35641.83</v>
      </c>
      <c r="F345" s="255" t="s">
        <v>169</v>
      </c>
      <c r="G345" s="255" t="s">
        <v>170</v>
      </c>
      <c r="H345" s="255" t="s">
        <v>778</v>
      </c>
      <c r="I345" s="258"/>
      <c r="J345" s="258"/>
      <c r="K345" s="259"/>
      <c r="L345" s="258"/>
      <c r="M345" s="260"/>
      <c r="O345" s="247"/>
      <c r="AC345" s="247"/>
      <c r="AD345" s="251" t="str">
        <f>IFERROR(__xludf.DUMMYFUNCTION("""COMPUTED_VALUE"""),"73df5aae-f42a-49a0-9d8f-616ca6dbebaa")</f>
        <v>73df5aae-f42a-49a0-9d8f-616ca6dbebaa</v>
      </c>
      <c r="AE345" s="251" t="str">
        <f>IFERROR(__xludf.DUMMYFUNCTION("""COMPUTED_VALUE"""),"019ed0ea-696f-7f8a-a2c1-4c948e9d8f1c")</f>
        <v>019ed0ea-696f-7f8a-a2c1-4c948e9d8f1c</v>
      </c>
      <c r="AF345" s="261">
        <f>IFERROR(__xludf.DUMMYFUNCTION("""COMPUTED_VALUE"""),46189.61902777778)</f>
        <v>46189.61903</v>
      </c>
      <c r="AG345" s="251" t="str">
        <f>IFERROR(__xludf.DUMMYFUNCTION("""COMPUTED_VALUE"""),"credit")</f>
        <v>credit</v>
      </c>
      <c r="AH345" s="251">
        <f>IFERROR(__xludf.DUMMYFUNCTION("""COMPUTED_VALUE"""),20000.0)</f>
        <v>20000</v>
      </c>
      <c r="AI345" s="251" t="str">
        <f>IFERROR(__xludf.DUMMYFUNCTION("""COMPUTED_VALUE"""),"cash_isa")</f>
        <v>cash_isa</v>
      </c>
      <c r="AJ345" s="251" t="str">
        <f>IFERROR(__xludf.DUMMYFUNCTION("""COMPUTED_VALUE"""),"9bc00e6b-ce5f-48c5-ae3a-1baabe00f337")</f>
        <v>9bc00e6b-ce5f-48c5-ae3a-1baabe00f337</v>
      </c>
      <c r="AK345" s="251" t="str">
        <f>IFERROR(__xludf.DUMMYFUNCTION("""COMPUTED_VALUE"""),"937631d6-278a-44cb-93e9-f182371e664b")</f>
        <v>937631d6-278a-44cb-93e9-f182371e664b</v>
      </c>
      <c r="AL345" s="251"/>
      <c r="AM345" s="251"/>
      <c r="AN345" s="251"/>
      <c r="AO345" s="251"/>
      <c r="AP345" s="261"/>
      <c r="AR345" s="251" t="str">
        <f t="shared" si="1"/>
        <v>20000_credit</v>
      </c>
      <c r="AS345" s="251" t="str">
        <f t="shared" si="2"/>
        <v>DROP</v>
      </c>
      <c r="AT345" s="247"/>
    </row>
    <row r="346">
      <c r="A346" s="262" t="s">
        <v>165</v>
      </c>
      <c r="B346" s="262" t="s">
        <v>779</v>
      </c>
      <c r="C346" s="263">
        <v>46189.62644675926</v>
      </c>
      <c r="D346" s="262" t="s">
        <v>265</v>
      </c>
      <c r="E346" s="264">
        <v>32526.38</v>
      </c>
      <c r="F346" s="262" t="s">
        <v>169</v>
      </c>
      <c r="G346" s="262" t="s">
        <v>170</v>
      </c>
      <c r="H346" s="262" t="s">
        <v>775</v>
      </c>
      <c r="I346" s="265"/>
      <c r="J346" s="265"/>
      <c r="K346" s="266"/>
      <c r="L346" s="265"/>
      <c r="M346" s="267"/>
      <c r="O346" s="247"/>
      <c r="AC346" s="247"/>
      <c r="AD346" s="251" t="str">
        <f>IFERROR(__xludf.DUMMYFUNCTION("""COMPUTED_VALUE"""),"73df5aae-f42a-49a0-9d8f-616ca6dbebaa")</f>
        <v>73df5aae-f42a-49a0-9d8f-616ca6dbebaa</v>
      </c>
      <c r="AE346" s="251" t="str">
        <f>IFERROR(__xludf.DUMMYFUNCTION("""COMPUTED_VALUE"""),"019ed0eb-8d9c-7d6c-b9f1-86e04ddda7d3")</f>
        <v>019ed0eb-8d9c-7d6c-b9f1-86e04ddda7d3</v>
      </c>
      <c r="AF346" s="261">
        <f>IFERROR(__xludf.DUMMYFUNCTION("""COMPUTED_VALUE"""),46189.61989583333)</f>
        <v>46189.6199</v>
      </c>
      <c r="AG346" s="251" t="str">
        <f>IFERROR(__xludf.DUMMYFUNCTION("""COMPUTED_VALUE"""),"credit")</f>
        <v>credit</v>
      </c>
      <c r="AH346" s="251">
        <f>IFERROR(__xludf.DUMMYFUNCTION("""COMPUTED_VALUE"""),20451.93)</f>
        <v>20451.93</v>
      </c>
      <c r="AI346" s="251" t="str">
        <f>IFERROR(__xludf.DUMMYFUNCTION("""COMPUTED_VALUE"""),"cash_isa")</f>
        <v>cash_isa</v>
      </c>
      <c r="AJ346" s="251" t="str">
        <f>IFERROR(__xludf.DUMMYFUNCTION("""COMPUTED_VALUE"""),"9bc00e6b-ce5f-48c5-ae3a-1baabe00f337")</f>
        <v>9bc00e6b-ce5f-48c5-ae3a-1baabe00f337</v>
      </c>
      <c r="AK346" s="251" t="str">
        <f>IFERROR(__xludf.DUMMYFUNCTION("""COMPUTED_VALUE"""),"f812a94d-9bbe-4c38-88ab-78c0e01a8493")</f>
        <v>f812a94d-9bbe-4c38-88ab-78c0e01a8493</v>
      </c>
      <c r="AL346" s="251"/>
      <c r="AM346" s="251"/>
      <c r="AN346" s="251"/>
      <c r="AO346" s="251"/>
      <c r="AP346" s="261"/>
      <c r="AR346" s="251" t="str">
        <f t="shared" si="1"/>
        <v>20451.93_credit</v>
      </c>
      <c r="AS346" s="251" t="str">
        <f t="shared" si="2"/>
        <v>DROP</v>
      </c>
      <c r="AT346" s="247"/>
    </row>
    <row r="347">
      <c r="A347" s="255" t="s">
        <v>165</v>
      </c>
      <c r="B347" s="255" t="s">
        <v>780</v>
      </c>
      <c r="C347" s="256">
        <v>46189.6265625</v>
      </c>
      <c r="D347" s="255" t="s">
        <v>265</v>
      </c>
      <c r="E347" s="257">
        <v>35641.83</v>
      </c>
      <c r="F347" s="255" t="s">
        <v>169</v>
      </c>
      <c r="G347" s="255" t="s">
        <v>170</v>
      </c>
      <c r="H347" s="255" t="s">
        <v>778</v>
      </c>
      <c r="I347" s="255"/>
      <c r="J347" s="255"/>
      <c r="K347" s="272"/>
      <c r="L347" s="255"/>
      <c r="M347" s="273"/>
      <c r="O347" s="247"/>
      <c r="AC347" s="247"/>
      <c r="AD347" s="251" t="str">
        <f>IFERROR(__xludf.DUMMYFUNCTION("""COMPUTED_VALUE"""),"73df5aae-f42a-49a0-9d8f-616ca6dbebaa")</f>
        <v>73df5aae-f42a-49a0-9d8f-616ca6dbebaa</v>
      </c>
      <c r="AE347" s="251" t="str">
        <f>IFERROR(__xludf.DUMMYFUNCTION("""COMPUTED_VALUE"""),"019ed0eb-b153-76ab-a76a-7a527705a992")</f>
        <v>019ed0eb-b153-76ab-a76a-7a527705a992</v>
      </c>
      <c r="AF347" s="261">
        <f>IFERROR(__xludf.DUMMYFUNCTION("""COMPUTED_VALUE"""),46189.619999999995)</f>
        <v>46189.62</v>
      </c>
      <c r="AG347" s="251" t="str">
        <f>IFERROR(__xludf.DUMMYFUNCTION("""COMPUTED_VALUE"""),"debit")</f>
        <v>debit</v>
      </c>
      <c r="AH347" s="251">
        <f>IFERROR(__xludf.DUMMYFUNCTION("""COMPUTED_VALUE"""),5000.0)</f>
        <v>5000</v>
      </c>
      <c r="AI347" s="251" t="str">
        <f>IFERROR(__xludf.DUMMYFUNCTION("""COMPUTED_VALUE"""),"cash_isa")</f>
        <v>cash_isa</v>
      </c>
      <c r="AJ347" s="251" t="str">
        <f>IFERROR(__xludf.DUMMYFUNCTION("""COMPUTED_VALUE"""),"9bc00e6b-ce5f-48c5-ae3a-1baabe00f337")</f>
        <v>9bc00e6b-ce5f-48c5-ae3a-1baabe00f337</v>
      </c>
      <c r="AK347" s="251" t="str">
        <f>IFERROR(__xludf.DUMMYFUNCTION("""COMPUTED_VALUE"""),"801a06ed-ea4e-4213-bc7a-a7367f672925")</f>
        <v>801a06ed-ea4e-4213-bc7a-a7367f672925</v>
      </c>
      <c r="AL347" s="251"/>
      <c r="AM347" s="251"/>
      <c r="AN347" s="251"/>
      <c r="AO347" s="251"/>
      <c r="AP347" s="261"/>
      <c r="AR347" s="251" t="str">
        <f t="shared" si="1"/>
        <v>5000_debit</v>
      </c>
      <c r="AS347" s="251" t="str">
        <f t="shared" si="2"/>
        <v>DROP</v>
      </c>
      <c r="AT347" s="247"/>
    </row>
    <row r="348">
      <c r="A348" s="262" t="s">
        <v>165</v>
      </c>
      <c r="B348" s="262" t="s">
        <v>781</v>
      </c>
      <c r="C348" s="263">
        <v>46189.62715277778</v>
      </c>
      <c r="D348" s="262" t="s">
        <v>167</v>
      </c>
      <c r="E348" s="264">
        <v>20978.44</v>
      </c>
      <c r="F348" s="262" t="s">
        <v>169</v>
      </c>
      <c r="G348" s="262" t="s">
        <v>170</v>
      </c>
      <c r="H348" s="262" t="s">
        <v>782</v>
      </c>
      <c r="I348" s="262"/>
      <c r="J348" s="262"/>
      <c r="K348" s="274"/>
      <c r="L348" s="262"/>
      <c r="M348" s="275"/>
      <c r="O348" s="247"/>
      <c r="AC348" s="247"/>
      <c r="AD348" s="251" t="str">
        <f>IFERROR(__xludf.DUMMYFUNCTION("""COMPUTED_VALUE"""),"73df5aae-f42a-49a0-9d8f-616ca6dbebaa")</f>
        <v>73df5aae-f42a-49a0-9d8f-616ca6dbebaa</v>
      </c>
      <c r="AE348" s="251" t="str">
        <f>IFERROR(__xludf.DUMMYFUNCTION("""COMPUTED_VALUE"""),"019ed0ec-ff50-7f47-ba1c-e41dae2ae33a")</f>
        <v>019ed0ec-ff50-7f47-ba1c-e41dae2ae33a</v>
      </c>
      <c r="AF348" s="261">
        <f>IFERROR(__xludf.DUMMYFUNCTION("""COMPUTED_VALUE"""),46189.620983796296)</f>
        <v>46189.62098</v>
      </c>
      <c r="AG348" s="251" t="str">
        <f>IFERROR(__xludf.DUMMYFUNCTION("""COMPUTED_VALUE"""),"debit")</f>
        <v>debit</v>
      </c>
      <c r="AH348" s="251">
        <f>IFERROR(__xludf.DUMMYFUNCTION("""COMPUTED_VALUE"""),20000.0)</f>
        <v>20000</v>
      </c>
      <c r="AI348" s="251" t="str">
        <f>IFERROR(__xludf.DUMMYFUNCTION("""COMPUTED_VALUE"""),"cash_isa")</f>
        <v>cash_isa</v>
      </c>
      <c r="AJ348" s="251" t="str">
        <f>IFERROR(__xludf.DUMMYFUNCTION("""COMPUTED_VALUE"""),"9bc00e6b-ce5f-48c5-ae3a-1baabe00f337")</f>
        <v>9bc00e6b-ce5f-48c5-ae3a-1baabe00f337</v>
      </c>
      <c r="AK348" s="251" t="str">
        <f>IFERROR(__xludf.DUMMYFUNCTION("""COMPUTED_VALUE"""),"937631d6-278a-44cb-93e9-f182371e664b")</f>
        <v>937631d6-278a-44cb-93e9-f182371e664b</v>
      </c>
      <c r="AL348" s="251"/>
      <c r="AM348" s="251"/>
      <c r="AN348" s="251"/>
      <c r="AO348" s="251"/>
      <c r="AP348" s="261"/>
      <c r="AR348" s="251" t="str">
        <f t="shared" si="1"/>
        <v>20000_debit</v>
      </c>
      <c r="AS348" s="251" t="str">
        <f t="shared" si="2"/>
        <v>DROP</v>
      </c>
      <c r="AT348" s="247"/>
    </row>
    <row r="349">
      <c r="A349" s="255" t="s">
        <v>165</v>
      </c>
      <c r="B349" s="255" t="s">
        <v>783</v>
      </c>
      <c r="C349" s="256">
        <v>46189.62913194444</v>
      </c>
      <c r="D349" s="255" t="s">
        <v>167</v>
      </c>
      <c r="E349" s="257">
        <v>16889.7</v>
      </c>
      <c r="F349" s="255" t="s">
        <v>169</v>
      </c>
      <c r="G349" s="255" t="s">
        <v>170</v>
      </c>
      <c r="H349" s="255" t="s">
        <v>784</v>
      </c>
      <c r="I349" s="255"/>
      <c r="J349" s="255"/>
      <c r="K349" s="272"/>
      <c r="L349" s="255"/>
      <c r="M349" s="273"/>
      <c r="O349" s="247"/>
      <c r="AC349" s="247"/>
      <c r="AD349" s="251" t="str">
        <f>IFERROR(__xludf.DUMMYFUNCTION("""COMPUTED_VALUE"""),"73df5aae-f42a-49a0-9d8f-616ca6dbebaa")</f>
        <v>73df5aae-f42a-49a0-9d8f-616ca6dbebaa</v>
      </c>
      <c r="AE349" s="251" t="str">
        <f>IFERROR(__xludf.DUMMYFUNCTION("""COMPUTED_VALUE"""),"019ed0ee-e0cd-7bf8-b4fb-033d21aae0fa")</f>
        <v>019ed0ee-e0cd-7bf8-b4fb-033d21aae0fa</v>
      </c>
      <c r="AF349" s="261">
        <f>IFERROR(__xludf.DUMMYFUNCTION("""COMPUTED_VALUE"""),46189.62241898148)</f>
        <v>46189.62242</v>
      </c>
      <c r="AG349" s="251" t="str">
        <f>IFERROR(__xludf.DUMMYFUNCTION("""COMPUTED_VALUE"""),"debit")</f>
        <v>debit</v>
      </c>
      <c r="AH349" s="251">
        <f>IFERROR(__xludf.DUMMYFUNCTION("""COMPUTED_VALUE"""),20451.93)</f>
        <v>20451.93</v>
      </c>
      <c r="AI349" s="251" t="str">
        <f>IFERROR(__xludf.DUMMYFUNCTION("""COMPUTED_VALUE"""),"cash_isa")</f>
        <v>cash_isa</v>
      </c>
      <c r="AJ349" s="251" t="str">
        <f>IFERROR(__xludf.DUMMYFUNCTION("""COMPUTED_VALUE"""),"9bc00e6b-ce5f-48c5-ae3a-1baabe00f337")</f>
        <v>9bc00e6b-ce5f-48c5-ae3a-1baabe00f337</v>
      </c>
      <c r="AK349" s="251" t="str">
        <f>IFERROR(__xludf.DUMMYFUNCTION("""COMPUTED_VALUE"""),"f812a94d-9bbe-4c38-88ab-78c0e01a8493")</f>
        <v>f812a94d-9bbe-4c38-88ab-78c0e01a8493</v>
      </c>
      <c r="AL349" s="251"/>
      <c r="AM349" s="251"/>
      <c r="AN349" s="251"/>
      <c r="AO349" s="251"/>
      <c r="AP349" s="261"/>
      <c r="AR349" s="251" t="str">
        <f t="shared" si="1"/>
        <v>20451.93_debit</v>
      </c>
      <c r="AS349" s="251" t="str">
        <f t="shared" si="2"/>
        <v>DROP</v>
      </c>
      <c r="AT349" s="247"/>
    </row>
    <row r="350">
      <c r="A350" s="262" t="s">
        <v>165</v>
      </c>
      <c r="B350" s="262" t="s">
        <v>785</v>
      </c>
      <c r="C350" s="263">
        <v>46189.62988425926</v>
      </c>
      <c r="D350" s="262" t="s">
        <v>167</v>
      </c>
      <c r="E350" s="264">
        <v>7817.49</v>
      </c>
      <c r="F350" s="262" t="s">
        <v>169</v>
      </c>
      <c r="G350" s="262" t="s">
        <v>170</v>
      </c>
      <c r="H350" s="262" t="s">
        <v>786</v>
      </c>
      <c r="I350" s="262"/>
      <c r="J350" s="262"/>
      <c r="K350" s="274"/>
      <c r="L350" s="262"/>
      <c r="M350" s="275"/>
      <c r="O350" s="247"/>
      <c r="AC350" s="247"/>
      <c r="AD350" s="251" t="str">
        <f>IFERROR(__xludf.DUMMYFUNCTION("""COMPUTED_VALUE"""),"73df5aae-f42a-49a0-9d8f-616ca6dbebaa")</f>
        <v>73df5aae-f42a-49a0-9d8f-616ca6dbebaa</v>
      </c>
      <c r="AE350" s="251" t="str">
        <f>IFERROR(__xludf.DUMMYFUNCTION("""COMPUTED_VALUE"""),"019ed0ee-ee1f-74ca-9b98-8a8e264b2036")</f>
        <v>019ed0ee-ee1f-74ca-9b98-8a8e264b2036</v>
      </c>
      <c r="AF350" s="261">
        <f>IFERROR(__xludf.DUMMYFUNCTION("""COMPUTED_VALUE"""),46189.622453703705)</f>
        <v>46189.62245</v>
      </c>
      <c r="AG350" s="251" t="str">
        <f>IFERROR(__xludf.DUMMYFUNCTION("""COMPUTED_VALUE"""),"credit")</f>
        <v>credit</v>
      </c>
      <c r="AH350" s="251">
        <f>IFERROR(__xludf.DUMMYFUNCTION("""COMPUTED_VALUE"""),42.33)</f>
        <v>42.33</v>
      </c>
      <c r="AI350" s="251" t="str">
        <f>IFERROR(__xludf.DUMMYFUNCTION("""COMPUTED_VALUE"""),"cash_isa")</f>
        <v>cash_isa</v>
      </c>
      <c r="AJ350" s="251" t="str">
        <f>IFERROR(__xludf.DUMMYFUNCTION("""COMPUTED_VALUE"""),"9bc00e6b-ce5f-48c5-ae3a-1baabe00f337")</f>
        <v>9bc00e6b-ce5f-48c5-ae3a-1baabe00f337</v>
      </c>
      <c r="AK350" s="251" t="str">
        <f>IFERROR(__xludf.DUMMYFUNCTION("""COMPUTED_VALUE"""),"9478f659-c105-4ca0-9cb2-245ee6771690")</f>
        <v>9478f659-c105-4ca0-9cb2-245ee6771690</v>
      </c>
      <c r="AL350" s="251"/>
      <c r="AM350" s="251"/>
      <c r="AN350" s="251"/>
      <c r="AO350" s="251"/>
      <c r="AP350" s="261"/>
      <c r="AR350" s="251" t="str">
        <f t="shared" si="1"/>
        <v>42.33_credit</v>
      </c>
      <c r="AS350" s="251" t="str">
        <f t="shared" si="2"/>
        <v>DROP</v>
      </c>
      <c r="AT350" s="247"/>
    </row>
    <row r="351">
      <c r="A351" s="255" t="s">
        <v>165</v>
      </c>
      <c r="B351" s="255" t="s">
        <v>787</v>
      </c>
      <c r="C351" s="256">
        <v>46189.629895833335</v>
      </c>
      <c r="D351" s="255" t="s">
        <v>167</v>
      </c>
      <c r="E351" s="257">
        <v>20922.8</v>
      </c>
      <c r="F351" s="255" t="s">
        <v>169</v>
      </c>
      <c r="G351" s="255" t="s">
        <v>170</v>
      </c>
      <c r="H351" s="255" t="s">
        <v>788</v>
      </c>
      <c r="I351" s="255"/>
      <c r="J351" s="255"/>
      <c r="K351" s="272"/>
      <c r="L351" s="255"/>
      <c r="M351" s="273"/>
      <c r="O351" s="247"/>
      <c r="AC351" s="247"/>
      <c r="AD351" s="251" t="str">
        <f>IFERROR(__xludf.DUMMYFUNCTION("""COMPUTED_VALUE"""),"73df5aae-f42a-49a0-9d8f-616ca6dbebaa")</f>
        <v>73df5aae-f42a-49a0-9d8f-616ca6dbebaa</v>
      </c>
      <c r="AE351" s="251" t="str">
        <f>IFERROR(__xludf.DUMMYFUNCTION("""COMPUTED_VALUE"""),"019ed0f1-bfb2-73f4-92d1-06064cc0184c")</f>
        <v>019ed0f1-bfb2-73f4-92d1-06064cc0184c</v>
      </c>
      <c r="AF351" s="261">
        <f>IFERROR(__xludf.DUMMYFUNCTION("""COMPUTED_VALUE"""),46189.62459490741)</f>
        <v>46189.62459</v>
      </c>
      <c r="AG351" s="251" t="str">
        <f>IFERROR(__xludf.DUMMYFUNCTION("""COMPUTED_VALUE"""),"credit")</f>
        <v>credit</v>
      </c>
      <c r="AH351" s="251">
        <f>IFERROR(__xludf.DUMMYFUNCTION("""COMPUTED_VALUE"""),32526.38)</f>
        <v>32526.38</v>
      </c>
      <c r="AI351" s="251" t="str">
        <f>IFERROR(__xludf.DUMMYFUNCTION("""COMPUTED_VALUE"""),"cash_isa")</f>
        <v>cash_isa</v>
      </c>
      <c r="AJ351" s="251" t="str">
        <f>IFERROR(__xludf.DUMMYFUNCTION("""COMPUTED_VALUE"""),"9bc00e6b-ce5f-48c5-ae3a-1baabe00f337")</f>
        <v>9bc00e6b-ce5f-48c5-ae3a-1baabe00f337</v>
      </c>
      <c r="AK351" s="251" t="str">
        <f>IFERROR(__xludf.DUMMYFUNCTION("""COMPUTED_VALUE"""),"9a797704-7028-4b19-85fd-16e6820f59e1")</f>
        <v>9a797704-7028-4b19-85fd-16e6820f59e1</v>
      </c>
      <c r="AL351" s="251"/>
      <c r="AM351" s="251"/>
      <c r="AN351" s="251"/>
      <c r="AO351" s="251"/>
      <c r="AP351" s="261"/>
      <c r="AR351" s="251" t="str">
        <f t="shared" si="1"/>
        <v>32526.38_credit</v>
      </c>
      <c r="AS351" s="251" t="str">
        <f t="shared" si="2"/>
        <v>DROP</v>
      </c>
      <c r="AT351" s="247"/>
    </row>
    <row r="352">
      <c r="A352" s="262" t="s">
        <v>165</v>
      </c>
      <c r="B352" s="262" t="s">
        <v>789</v>
      </c>
      <c r="C352" s="263">
        <v>46189.63009259259</v>
      </c>
      <c r="D352" s="262" t="s">
        <v>265</v>
      </c>
      <c r="E352" s="264">
        <v>20978.44</v>
      </c>
      <c r="F352" s="262" t="s">
        <v>169</v>
      </c>
      <c r="G352" s="262" t="s">
        <v>170</v>
      </c>
      <c r="H352" s="262" t="s">
        <v>782</v>
      </c>
      <c r="I352" s="262"/>
      <c r="J352" s="262"/>
      <c r="K352" s="274"/>
      <c r="L352" s="262"/>
      <c r="M352" s="275"/>
      <c r="O352" s="247"/>
      <c r="AC352" s="247"/>
      <c r="AD352" s="251" t="str">
        <f>IFERROR(__xludf.DUMMYFUNCTION("""COMPUTED_VALUE"""),"73df5aae-f42a-49a0-9d8f-616ca6dbebaa")</f>
        <v>73df5aae-f42a-49a0-9d8f-616ca6dbebaa</v>
      </c>
      <c r="AE352" s="251" t="str">
        <f>IFERROR(__xludf.DUMMYFUNCTION("""COMPUTED_VALUE"""),"019ed0f1-f423-776c-a7e1-137a714380d8")</f>
        <v>019ed0f1-f423-776c-a7e1-137a714380d8</v>
      </c>
      <c r="AF352" s="261">
        <f>IFERROR(__xludf.DUMMYFUNCTION("""COMPUTED_VALUE"""),46189.62474537037)</f>
        <v>46189.62475</v>
      </c>
      <c r="AG352" s="251" t="str">
        <f>IFERROR(__xludf.DUMMYFUNCTION("""COMPUTED_VALUE"""),"debit")</f>
        <v>debit</v>
      </c>
      <c r="AH352" s="251">
        <f>IFERROR(__xludf.DUMMYFUNCTION("""COMPUTED_VALUE"""),42.33)</f>
        <v>42.33</v>
      </c>
      <c r="AI352" s="251" t="str">
        <f>IFERROR(__xludf.DUMMYFUNCTION("""COMPUTED_VALUE"""),"cash_isa")</f>
        <v>cash_isa</v>
      </c>
      <c r="AJ352" s="251" t="str">
        <f>IFERROR(__xludf.DUMMYFUNCTION("""COMPUTED_VALUE"""),"9bc00e6b-ce5f-48c5-ae3a-1baabe00f337")</f>
        <v>9bc00e6b-ce5f-48c5-ae3a-1baabe00f337</v>
      </c>
      <c r="AK352" s="251" t="str">
        <f>IFERROR(__xludf.DUMMYFUNCTION("""COMPUTED_VALUE"""),"9478f659-c105-4ca0-9cb2-245ee6771690")</f>
        <v>9478f659-c105-4ca0-9cb2-245ee6771690</v>
      </c>
      <c r="AL352" s="251"/>
      <c r="AM352" s="251"/>
      <c r="AN352" s="251"/>
      <c r="AO352" s="251"/>
      <c r="AP352" s="261"/>
      <c r="AR352" s="251" t="str">
        <f t="shared" si="1"/>
        <v>42.33_debit</v>
      </c>
      <c r="AS352" s="251" t="str">
        <f t="shared" si="2"/>
        <v>DROP</v>
      </c>
      <c r="AT352" s="247"/>
    </row>
    <row r="353">
      <c r="A353" s="255" t="s">
        <v>165</v>
      </c>
      <c r="B353" s="255" t="s">
        <v>790</v>
      </c>
      <c r="C353" s="256">
        <v>46189.6309375</v>
      </c>
      <c r="D353" s="255" t="s">
        <v>265</v>
      </c>
      <c r="E353" s="257">
        <v>16889.7</v>
      </c>
      <c r="F353" s="255" t="s">
        <v>169</v>
      </c>
      <c r="G353" s="255" t="s">
        <v>170</v>
      </c>
      <c r="H353" s="255" t="s">
        <v>784</v>
      </c>
      <c r="I353" s="255"/>
      <c r="J353" s="255"/>
      <c r="K353" s="272"/>
      <c r="L353" s="255"/>
      <c r="M353" s="273"/>
      <c r="O353" s="247"/>
      <c r="AC353" s="247"/>
      <c r="AD353" s="251" t="str">
        <f>IFERROR(__xludf.DUMMYFUNCTION("""COMPUTED_VALUE"""),"73df5aae-f42a-49a0-9d8f-616ca6dbebaa")</f>
        <v>73df5aae-f42a-49a0-9d8f-616ca6dbebaa</v>
      </c>
      <c r="AE353" s="251" t="str">
        <f>IFERROR(__xludf.DUMMYFUNCTION("""COMPUTED_VALUE"""),"019ed0f2-4289-7373-806e-2ee85405c533")</f>
        <v>019ed0f2-4289-7373-806e-2ee85405c533</v>
      </c>
      <c r="AF353" s="261">
        <f>IFERROR(__xludf.DUMMYFUNCTION("""COMPUTED_VALUE"""),46189.62497685185)</f>
        <v>46189.62498</v>
      </c>
      <c r="AG353" s="251" t="str">
        <f>IFERROR(__xludf.DUMMYFUNCTION("""COMPUTED_VALUE"""),"credit")</f>
        <v>credit</v>
      </c>
      <c r="AH353" s="251">
        <f>IFERROR(__xludf.DUMMYFUNCTION("""COMPUTED_VALUE"""),35641.83)</f>
        <v>35641.83</v>
      </c>
      <c r="AI353" s="251" t="str">
        <f>IFERROR(__xludf.DUMMYFUNCTION("""COMPUTED_VALUE"""),"cash_isa")</f>
        <v>cash_isa</v>
      </c>
      <c r="AJ353" s="251" t="str">
        <f>IFERROR(__xludf.DUMMYFUNCTION("""COMPUTED_VALUE"""),"9bc00e6b-ce5f-48c5-ae3a-1baabe00f337")</f>
        <v>9bc00e6b-ce5f-48c5-ae3a-1baabe00f337</v>
      </c>
      <c r="AK353" s="251" t="str">
        <f>IFERROR(__xludf.DUMMYFUNCTION("""COMPUTED_VALUE"""),"2d569cf4-8a36-4935-a4bf-15d8afe846e5")</f>
        <v>2d569cf4-8a36-4935-a4bf-15d8afe846e5</v>
      </c>
      <c r="AL353" s="251"/>
      <c r="AM353" s="251"/>
      <c r="AN353" s="251"/>
      <c r="AO353" s="251"/>
      <c r="AP353" s="261"/>
      <c r="AR353" s="251" t="str">
        <f t="shared" si="1"/>
        <v>35641.83_credit</v>
      </c>
      <c r="AS353" s="251" t="str">
        <f t="shared" si="2"/>
        <v>DROP</v>
      </c>
      <c r="AT353" s="247"/>
    </row>
    <row r="354">
      <c r="A354" s="262" t="s">
        <v>165</v>
      </c>
      <c r="B354" s="262" t="s">
        <v>791</v>
      </c>
      <c r="C354" s="263">
        <v>46189.63130787037</v>
      </c>
      <c r="D354" s="262" t="s">
        <v>265</v>
      </c>
      <c r="E354" s="264">
        <v>20922.8</v>
      </c>
      <c r="F354" s="262" t="s">
        <v>169</v>
      </c>
      <c r="G354" s="262" t="s">
        <v>170</v>
      </c>
      <c r="H354" s="262" t="s">
        <v>788</v>
      </c>
      <c r="I354" s="262"/>
      <c r="J354" s="262"/>
      <c r="K354" s="274"/>
      <c r="L354" s="262"/>
      <c r="M354" s="275"/>
      <c r="O354" s="247"/>
      <c r="AC354" s="247"/>
      <c r="AD354" s="251" t="str">
        <f>IFERROR(__xludf.DUMMYFUNCTION("""COMPUTED_VALUE"""),"73df5aae-f42a-49a0-9d8f-616ca6dbebaa")</f>
        <v>73df5aae-f42a-49a0-9d8f-616ca6dbebaa</v>
      </c>
      <c r="AE354" s="251" t="str">
        <f>IFERROR(__xludf.DUMMYFUNCTION("""COMPUTED_VALUE"""),"019ed0f4-3106-748e-847e-9ebb769c45b2")</f>
        <v>019ed0f4-3106-748e-847e-9ebb769c45b2</v>
      </c>
      <c r="AF354" s="261">
        <f>IFERROR(__xludf.DUMMYFUNCTION("""COMPUTED_VALUE"""),46189.626446759255)</f>
        <v>46189.62645</v>
      </c>
      <c r="AG354" s="251" t="str">
        <f>IFERROR(__xludf.DUMMYFUNCTION("""COMPUTED_VALUE"""),"debit")</f>
        <v>debit</v>
      </c>
      <c r="AH354" s="251">
        <f>IFERROR(__xludf.DUMMYFUNCTION("""COMPUTED_VALUE"""),32526.38)</f>
        <v>32526.38</v>
      </c>
      <c r="AI354" s="251" t="str">
        <f>IFERROR(__xludf.DUMMYFUNCTION("""COMPUTED_VALUE"""),"cash_isa")</f>
        <v>cash_isa</v>
      </c>
      <c r="AJ354" s="251" t="str">
        <f>IFERROR(__xludf.DUMMYFUNCTION("""COMPUTED_VALUE"""),"9bc00e6b-ce5f-48c5-ae3a-1baabe00f337")</f>
        <v>9bc00e6b-ce5f-48c5-ae3a-1baabe00f337</v>
      </c>
      <c r="AK354" s="251" t="str">
        <f>IFERROR(__xludf.DUMMYFUNCTION("""COMPUTED_VALUE"""),"9a797704-7028-4b19-85fd-16e6820f59e1")</f>
        <v>9a797704-7028-4b19-85fd-16e6820f59e1</v>
      </c>
      <c r="AL354" s="251"/>
      <c r="AM354" s="251"/>
      <c r="AN354" s="251"/>
      <c r="AO354" s="251"/>
      <c r="AP354" s="261"/>
      <c r="AR354" s="251" t="str">
        <f t="shared" si="1"/>
        <v>32526.38_debit</v>
      </c>
      <c r="AS354" s="251" t="str">
        <f t="shared" si="2"/>
        <v>DROP</v>
      </c>
      <c r="AT354" s="247"/>
    </row>
    <row r="355">
      <c r="A355" s="255" t="s">
        <v>165</v>
      </c>
      <c r="B355" s="255" t="s">
        <v>792</v>
      </c>
      <c r="C355" s="256">
        <v>46189.63134259259</v>
      </c>
      <c r="D355" s="255" t="s">
        <v>265</v>
      </c>
      <c r="E355" s="257">
        <v>7817.49</v>
      </c>
      <c r="F355" s="255" t="s">
        <v>169</v>
      </c>
      <c r="G355" s="255" t="s">
        <v>170</v>
      </c>
      <c r="H355" s="255" t="s">
        <v>786</v>
      </c>
      <c r="I355" s="255"/>
      <c r="J355" s="255"/>
      <c r="K355" s="272"/>
      <c r="L355" s="255"/>
      <c r="M355" s="273"/>
      <c r="O355" s="247"/>
      <c r="AC355" s="247"/>
      <c r="AD355" s="251" t="str">
        <f>IFERROR(__xludf.DUMMYFUNCTION("""COMPUTED_VALUE"""),"73df5aae-f42a-49a0-9d8f-616ca6dbebaa")</f>
        <v>73df5aae-f42a-49a0-9d8f-616ca6dbebaa</v>
      </c>
      <c r="AE355" s="251" t="str">
        <f>IFERROR(__xludf.DUMMYFUNCTION("""COMPUTED_VALUE"""),"019ed0f4-596d-7e89-9e15-4b3fcf9cb2e3")</f>
        <v>019ed0f4-596d-7e89-9e15-4b3fcf9cb2e3</v>
      </c>
      <c r="AF355" s="261">
        <f>IFERROR(__xludf.DUMMYFUNCTION("""COMPUTED_VALUE"""),46189.6265625)</f>
        <v>46189.62656</v>
      </c>
      <c r="AG355" s="251" t="str">
        <f>IFERROR(__xludf.DUMMYFUNCTION("""COMPUTED_VALUE"""),"debit")</f>
        <v>debit</v>
      </c>
      <c r="AH355" s="251">
        <f>IFERROR(__xludf.DUMMYFUNCTION("""COMPUTED_VALUE"""),35641.83)</f>
        <v>35641.83</v>
      </c>
      <c r="AI355" s="251" t="str">
        <f>IFERROR(__xludf.DUMMYFUNCTION("""COMPUTED_VALUE"""),"cash_isa")</f>
        <v>cash_isa</v>
      </c>
      <c r="AJ355" s="251" t="str">
        <f>IFERROR(__xludf.DUMMYFUNCTION("""COMPUTED_VALUE"""),"9bc00e6b-ce5f-48c5-ae3a-1baabe00f337")</f>
        <v>9bc00e6b-ce5f-48c5-ae3a-1baabe00f337</v>
      </c>
      <c r="AK355" s="251" t="str">
        <f>IFERROR(__xludf.DUMMYFUNCTION("""COMPUTED_VALUE"""),"2d569cf4-8a36-4935-a4bf-15d8afe846e5")</f>
        <v>2d569cf4-8a36-4935-a4bf-15d8afe846e5</v>
      </c>
      <c r="AL355" s="251"/>
      <c r="AM355" s="251"/>
      <c r="AN355" s="251"/>
      <c r="AO355" s="251"/>
      <c r="AP355" s="261"/>
      <c r="AR355" s="251" t="str">
        <f t="shared" si="1"/>
        <v>35641.83_debit</v>
      </c>
      <c r="AS355" s="251" t="str">
        <f t="shared" si="2"/>
        <v>DROP</v>
      </c>
      <c r="AT355" s="247"/>
    </row>
    <row r="356">
      <c r="A356" s="262" t="s">
        <v>165</v>
      </c>
      <c r="B356" s="262" t="s">
        <v>204</v>
      </c>
      <c r="C356" s="263">
        <v>46189.631377314814</v>
      </c>
      <c r="D356" s="262" t="s">
        <v>167</v>
      </c>
      <c r="E356" s="264">
        <v>20000.0</v>
      </c>
      <c r="F356" s="262" t="s">
        <v>169</v>
      </c>
      <c r="G356" s="262" t="s">
        <v>170</v>
      </c>
      <c r="H356" s="262" t="s">
        <v>205</v>
      </c>
      <c r="I356" s="262"/>
      <c r="J356" s="262"/>
      <c r="K356" s="274"/>
      <c r="L356" s="262"/>
      <c r="M356" s="275"/>
      <c r="O356" s="247"/>
      <c r="AC356" s="247"/>
      <c r="AD356" s="251" t="str">
        <f>IFERROR(__xludf.DUMMYFUNCTION("""COMPUTED_VALUE"""),"73df5aae-f42a-49a0-9d8f-616ca6dbebaa")</f>
        <v>73df5aae-f42a-49a0-9d8f-616ca6dbebaa</v>
      </c>
      <c r="AE356" s="251" t="str">
        <f>IFERROR(__xludf.DUMMYFUNCTION("""COMPUTED_VALUE"""),"019ed0f5-20ea-703c-8f89-694be690bec8")</f>
        <v>019ed0f5-20ea-703c-8f89-694be690bec8</v>
      </c>
      <c r="AF356" s="261">
        <f>IFERROR(__xludf.DUMMYFUNCTION("""COMPUTED_VALUE"""),46189.62715277778)</f>
        <v>46189.62715</v>
      </c>
      <c r="AG356" s="251" t="str">
        <f>IFERROR(__xludf.DUMMYFUNCTION("""COMPUTED_VALUE"""),"credit")</f>
        <v>credit</v>
      </c>
      <c r="AH356" s="251">
        <f>IFERROR(__xludf.DUMMYFUNCTION("""COMPUTED_VALUE"""),20978.44)</f>
        <v>20978.44</v>
      </c>
      <c r="AI356" s="251" t="str">
        <f>IFERROR(__xludf.DUMMYFUNCTION("""COMPUTED_VALUE"""),"cash_isa")</f>
        <v>cash_isa</v>
      </c>
      <c r="AJ356" s="251" t="str">
        <f>IFERROR(__xludf.DUMMYFUNCTION("""COMPUTED_VALUE"""),"9bc00e6b-ce5f-48c5-ae3a-1baabe00f337")</f>
        <v>9bc00e6b-ce5f-48c5-ae3a-1baabe00f337</v>
      </c>
      <c r="AK356" s="251" t="str">
        <f>IFERROR(__xludf.DUMMYFUNCTION("""COMPUTED_VALUE"""),"2d591b47-9e44-4795-805a-5ab24619acc1")</f>
        <v>2d591b47-9e44-4795-805a-5ab24619acc1</v>
      </c>
      <c r="AL356" s="251"/>
      <c r="AM356" s="251"/>
      <c r="AN356" s="251"/>
      <c r="AO356" s="251"/>
      <c r="AP356" s="261"/>
      <c r="AR356" s="251" t="str">
        <f t="shared" si="1"/>
        <v>20978.44_credit</v>
      </c>
      <c r="AS356" s="251" t="str">
        <f t="shared" si="2"/>
        <v>DROP</v>
      </c>
      <c r="AT356" s="247"/>
    </row>
    <row r="357">
      <c r="A357" s="255" t="s">
        <v>165</v>
      </c>
      <c r="B357" s="255" t="s">
        <v>793</v>
      </c>
      <c r="C357" s="256">
        <v>46189.6327662037</v>
      </c>
      <c r="D357" s="255" t="s">
        <v>167</v>
      </c>
      <c r="E357" s="257">
        <v>21068.21</v>
      </c>
      <c r="F357" s="255" t="s">
        <v>169</v>
      </c>
      <c r="G357" s="255" t="s">
        <v>170</v>
      </c>
      <c r="H357" s="255" t="s">
        <v>794</v>
      </c>
      <c r="I357" s="255"/>
      <c r="J357" s="255"/>
      <c r="K357" s="272"/>
      <c r="L357" s="255"/>
      <c r="M357" s="273"/>
      <c r="O357" s="247"/>
      <c r="AC357" s="247"/>
      <c r="AD357" s="251" t="str">
        <f>IFERROR(__xludf.DUMMYFUNCTION("""COMPUTED_VALUE"""),"73df5aae-f42a-49a0-9d8f-616ca6dbebaa")</f>
        <v>73df5aae-f42a-49a0-9d8f-616ca6dbebaa</v>
      </c>
      <c r="AE357" s="251" t="str">
        <f>IFERROR(__xludf.DUMMYFUNCTION("""COMPUTED_VALUE"""),"019ed0f7-bb76-77c4-8e83-3ec4a2368be6")</f>
        <v>019ed0f7-bb76-77c4-8e83-3ec4a2368be6</v>
      </c>
      <c r="AF357" s="261">
        <f>IFERROR(__xludf.DUMMYFUNCTION("""COMPUTED_VALUE"""),46189.62913194444)</f>
        <v>46189.62913</v>
      </c>
      <c r="AG357" s="251" t="str">
        <f>IFERROR(__xludf.DUMMYFUNCTION("""COMPUTED_VALUE"""),"credit")</f>
        <v>credit</v>
      </c>
      <c r="AH357" s="251">
        <f>IFERROR(__xludf.DUMMYFUNCTION("""COMPUTED_VALUE"""),16889.7)</f>
        <v>16889.7</v>
      </c>
      <c r="AI357" s="251" t="str">
        <f>IFERROR(__xludf.DUMMYFUNCTION("""COMPUTED_VALUE"""),"cash_isa")</f>
        <v>cash_isa</v>
      </c>
      <c r="AJ357" s="251" t="str">
        <f>IFERROR(__xludf.DUMMYFUNCTION("""COMPUTED_VALUE"""),"9bc00e6b-ce5f-48c5-ae3a-1baabe00f337")</f>
        <v>9bc00e6b-ce5f-48c5-ae3a-1baabe00f337</v>
      </c>
      <c r="AK357" s="251" t="str">
        <f>IFERROR(__xludf.DUMMYFUNCTION("""COMPUTED_VALUE"""),"82840bc4-1ec9-4c52-9e25-6e73cd8be803")</f>
        <v>82840bc4-1ec9-4c52-9e25-6e73cd8be803</v>
      </c>
      <c r="AL357" s="251"/>
      <c r="AM357" s="251"/>
      <c r="AN357" s="251"/>
      <c r="AO357" s="251"/>
      <c r="AP357" s="261"/>
      <c r="AR357" s="251" t="str">
        <f t="shared" si="1"/>
        <v>16889.7_credit</v>
      </c>
      <c r="AS357" s="251" t="str">
        <f t="shared" si="2"/>
        <v>DROP</v>
      </c>
      <c r="AT357" s="247"/>
    </row>
    <row r="358">
      <c r="A358" s="262" t="s">
        <v>165</v>
      </c>
      <c r="B358" s="262" t="s">
        <v>795</v>
      </c>
      <c r="C358" s="263">
        <v>46189.63291666667</v>
      </c>
      <c r="D358" s="262" t="s">
        <v>167</v>
      </c>
      <c r="E358" s="264">
        <v>20067.7</v>
      </c>
      <c r="F358" s="262" t="s">
        <v>169</v>
      </c>
      <c r="G358" s="262" t="s">
        <v>170</v>
      </c>
      <c r="H358" s="262" t="s">
        <v>796</v>
      </c>
      <c r="I358" s="265"/>
      <c r="J358" s="265"/>
      <c r="K358" s="266"/>
      <c r="L358" s="265"/>
      <c r="M358" s="267"/>
      <c r="O358" s="247"/>
      <c r="AC358" s="247"/>
      <c r="AD358" s="251" t="str">
        <f>IFERROR(__xludf.DUMMYFUNCTION("""COMPUTED_VALUE"""),"73df5aae-f42a-49a0-9d8f-616ca6dbebaa")</f>
        <v>73df5aae-f42a-49a0-9d8f-616ca6dbebaa</v>
      </c>
      <c r="AE358" s="251" t="str">
        <f>IFERROR(__xludf.DUMMYFUNCTION("""COMPUTED_VALUE"""),"019ed0f8-b810-79dd-9a2d-ac97ff7f7f64")</f>
        <v>019ed0f8-b810-79dd-9a2d-ac97ff7f7f64</v>
      </c>
      <c r="AF358" s="261">
        <f>IFERROR(__xludf.DUMMYFUNCTION("""COMPUTED_VALUE"""),46189.62988425926)</f>
        <v>46189.62988</v>
      </c>
      <c r="AG358" s="251" t="str">
        <f>IFERROR(__xludf.DUMMYFUNCTION("""COMPUTED_VALUE"""),"credit")</f>
        <v>credit</v>
      </c>
      <c r="AH358" s="251">
        <f>IFERROR(__xludf.DUMMYFUNCTION("""COMPUTED_VALUE"""),7817.49)</f>
        <v>7817.49</v>
      </c>
      <c r="AI358" s="251" t="str">
        <f>IFERROR(__xludf.DUMMYFUNCTION("""COMPUTED_VALUE"""),"cash_isa")</f>
        <v>cash_isa</v>
      </c>
      <c r="AJ358" s="251" t="str">
        <f>IFERROR(__xludf.DUMMYFUNCTION("""COMPUTED_VALUE"""),"9bc00e6b-ce5f-48c5-ae3a-1baabe00f337")</f>
        <v>9bc00e6b-ce5f-48c5-ae3a-1baabe00f337</v>
      </c>
      <c r="AK358" s="251" t="str">
        <f>IFERROR(__xludf.DUMMYFUNCTION("""COMPUTED_VALUE"""),"0eb8b49c-3070-4465-a385-a09b5bc3d2ce")</f>
        <v>0eb8b49c-3070-4465-a385-a09b5bc3d2ce</v>
      </c>
      <c r="AL358" s="251"/>
      <c r="AM358" s="251"/>
      <c r="AN358" s="251"/>
      <c r="AO358" s="251"/>
      <c r="AP358" s="261"/>
      <c r="AR358" s="251" t="str">
        <f t="shared" si="1"/>
        <v>7817.49_credit</v>
      </c>
      <c r="AS358" s="251" t="str">
        <f t="shared" si="2"/>
        <v>DROP</v>
      </c>
      <c r="AT358" s="247"/>
    </row>
    <row r="359">
      <c r="A359" s="255" t="s">
        <v>165</v>
      </c>
      <c r="B359" s="255" t="s">
        <v>797</v>
      </c>
      <c r="C359" s="256">
        <v>46189.63292824074</v>
      </c>
      <c r="D359" s="255" t="s">
        <v>265</v>
      </c>
      <c r="E359" s="257">
        <v>20000.0</v>
      </c>
      <c r="F359" s="255" t="s">
        <v>169</v>
      </c>
      <c r="G359" s="255" t="s">
        <v>170</v>
      </c>
      <c r="H359" s="255" t="s">
        <v>205</v>
      </c>
      <c r="I359" s="258"/>
      <c r="J359" s="258"/>
      <c r="K359" s="259"/>
      <c r="L359" s="258"/>
      <c r="M359" s="260"/>
      <c r="O359" s="247"/>
      <c r="AC359" s="247"/>
      <c r="AD359" s="251" t="str">
        <f>IFERROR(__xludf.DUMMYFUNCTION("""COMPUTED_VALUE"""),"73df5aae-f42a-49a0-9d8f-616ca6dbebaa")</f>
        <v>73df5aae-f42a-49a0-9d8f-616ca6dbebaa</v>
      </c>
      <c r="AE359" s="251" t="str">
        <f>IFERROR(__xludf.DUMMYFUNCTION("""COMPUTED_VALUE"""),"019ed0f8-bdd5-706b-a4be-6c6deb6282fe")</f>
        <v>019ed0f8-bdd5-706b-a4be-6c6deb6282fe</v>
      </c>
      <c r="AF359" s="261">
        <f>IFERROR(__xludf.DUMMYFUNCTION("""COMPUTED_VALUE"""),46189.629895833335)</f>
        <v>46189.6299</v>
      </c>
      <c r="AG359" s="251" t="str">
        <f>IFERROR(__xludf.DUMMYFUNCTION("""COMPUTED_VALUE"""),"credit")</f>
        <v>credit</v>
      </c>
      <c r="AH359" s="251">
        <f>IFERROR(__xludf.DUMMYFUNCTION("""COMPUTED_VALUE"""),20922.8)</f>
        <v>20922.8</v>
      </c>
      <c r="AI359" s="251" t="str">
        <f>IFERROR(__xludf.DUMMYFUNCTION("""COMPUTED_VALUE"""),"cash_isa")</f>
        <v>cash_isa</v>
      </c>
      <c r="AJ359" s="251" t="str">
        <f>IFERROR(__xludf.DUMMYFUNCTION("""COMPUTED_VALUE"""),"9bc00e6b-ce5f-48c5-ae3a-1baabe00f337")</f>
        <v>9bc00e6b-ce5f-48c5-ae3a-1baabe00f337</v>
      </c>
      <c r="AK359" s="251" t="str">
        <f>IFERROR(__xludf.DUMMYFUNCTION("""COMPUTED_VALUE"""),"a606ece4-fe56-4f9f-b895-14d88c351855")</f>
        <v>a606ece4-fe56-4f9f-b895-14d88c351855</v>
      </c>
      <c r="AL359" s="251"/>
      <c r="AM359" s="251"/>
      <c r="AN359" s="251"/>
      <c r="AO359" s="251"/>
      <c r="AP359" s="261"/>
      <c r="AR359" s="251" t="str">
        <f t="shared" si="1"/>
        <v>20922.8_credit</v>
      </c>
      <c r="AS359" s="251" t="str">
        <f t="shared" si="2"/>
        <v>DROP</v>
      </c>
      <c r="AT359" s="247"/>
    </row>
    <row r="360">
      <c r="A360" s="262" t="s">
        <v>165</v>
      </c>
      <c r="B360" s="262" t="s">
        <v>798</v>
      </c>
      <c r="C360" s="263">
        <v>46189.63496527778</v>
      </c>
      <c r="D360" s="262" t="s">
        <v>167</v>
      </c>
      <c r="E360" s="264">
        <v>20944.71</v>
      </c>
      <c r="F360" s="262" t="s">
        <v>169</v>
      </c>
      <c r="G360" s="262" t="s">
        <v>170</v>
      </c>
      <c r="H360" s="262" t="s">
        <v>799</v>
      </c>
      <c r="I360" s="265"/>
      <c r="J360" s="265"/>
      <c r="K360" s="266"/>
      <c r="L360" s="265"/>
      <c r="M360" s="267"/>
      <c r="O360" s="247"/>
      <c r="AC360" s="247"/>
      <c r="AD360" s="251" t="str">
        <f>IFERROR(__xludf.DUMMYFUNCTION("""COMPUTED_VALUE"""),"73df5aae-f42a-49a0-9d8f-616ca6dbebaa")</f>
        <v>73df5aae-f42a-49a0-9d8f-616ca6dbebaa</v>
      </c>
      <c r="AE360" s="251" t="str">
        <f>IFERROR(__xludf.DUMMYFUNCTION("""COMPUTED_VALUE"""),"019ed0f8-ffb7-74a1-9b4a-0828c78512c5")</f>
        <v>019ed0f8-ffb7-74a1-9b4a-0828c78512c5</v>
      </c>
      <c r="AF360" s="261">
        <f>IFERROR(__xludf.DUMMYFUNCTION("""COMPUTED_VALUE"""),46189.63009259259)</f>
        <v>46189.63009</v>
      </c>
      <c r="AG360" s="251" t="str">
        <f>IFERROR(__xludf.DUMMYFUNCTION("""COMPUTED_VALUE"""),"debit")</f>
        <v>debit</v>
      </c>
      <c r="AH360" s="251">
        <f>IFERROR(__xludf.DUMMYFUNCTION("""COMPUTED_VALUE"""),20978.44)</f>
        <v>20978.44</v>
      </c>
      <c r="AI360" s="251" t="str">
        <f>IFERROR(__xludf.DUMMYFUNCTION("""COMPUTED_VALUE"""),"cash_isa")</f>
        <v>cash_isa</v>
      </c>
      <c r="AJ360" s="251" t="str">
        <f>IFERROR(__xludf.DUMMYFUNCTION("""COMPUTED_VALUE"""),"9bc00e6b-ce5f-48c5-ae3a-1baabe00f337")</f>
        <v>9bc00e6b-ce5f-48c5-ae3a-1baabe00f337</v>
      </c>
      <c r="AK360" s="251" t="str">
        <f>IFERROR(__xludf.DUMMYFUNCTION("""COMPUTED_VALUE"""),"2d591b47-9e44-4795-805a-5ab24619acc1")</f>
        <v>2d591b47-9e44-4795-805a-5ab24619acc1</v>
      </c>
      <c r="AL360" s="251"/>
      <c r="AM360" s="251"/>
      <c r="AN360" s="251"/>
      <c r="AO360" s="251"/>
      <c r="AP360" s="261"/>
      <c r="AR360" s="251" t="str">
        <f t="shared" si="1"/>
        <v>20978.44_debit</v>
      </c>
      <c r="AS360" s="251" t="str">
        <f t="shared" si="2"/>
        <v>DROP</v>
      </c>
      <c r="AT360" s="247"/>
    </row>
    <row r="361">
      <c r="A361" s="255" t="s">
        <v>165</v>
      </c>
      <c r="B361" s="255" t="s">
        <v>800</v>
      </c>
      <c r="C361" s="256">
        <v>46189.635300925926</v>
      </c>
      <c r="D361" s="255" t="s">
        <v>265</v>
      </c>
      <c r="E361" s="257">
        <v>21068.21</v>
      </c>
      <c r="F361" s="255" t="s">
        <v>169</v>
      </c>
      <c r="G361" s="255" t="s">
        <v>170</v>
      </c>
      <c r="H361" s="255" t="s">
        <v>794</v>
      </c>
      <c r="I361" s="258"/>
      <c r="J361" s="258"/>
      <c r="K361" s="259"/>
      <c r="L361" s="258"/>
      <c r="M361" s="260"/>
      <c r="O361" s="247"/>
      <c r="AC361" s="247"/>
      <c r="AD361" s="251" t="str">
        <f>IFERROR(__xludf.DUMMYFUNCTION("""COMPUTED_VALUE"""),"73df5aae-f42a-49a0-9d8f-616ca6dbebaa")</f>
        <v>73df5aae-f42a-49a0-9d8f-616ca6dbebaa</v>
      </c>
      <c r="AE361" s="251" t="str">
        <f>IFERROR(__xludf.DUMMYFUNCTION("""COMPUTED_VALUE"""),"019ed0fa-1e98-7d05-bcc4-3afd526b31d2")</f>
        <v>019ed0fa-1e98-7d05-bcc4-3afd526b31d2</v>
      </c>
      <c r="AF361" s="261">
        <f>IFERROR(__xludf.DUMMYFUNCTION("""COMPUTED_VALUE"""),46189.6309375)</f>
        <v>46189.63094</v>
      </c>
      <c r="AG361" s="251" t="str">
        <f>IFERROR(__xludf.DUMMYFUNCTION("""COMPUTED_VALUE"""),"debit")</f>
        <v>debit</v>
      </c>
      <c r="AH361" s="251">
        <f>IFERROR(__xludf.DUMMYFUNCTION("""COMPUTED_VALUE"""),16889.7)</f>
        <v>16889.7</v>
      </c>
      <c r="AI361" s="251" t="str">
        <f>IFERROR(__xludf.DUMMYFUNCTION("""COMPUTED_VALUE"""),"cash_isa")</f>
        <v>cash_isa</v>
      </c>
      <c r="AJ361" s="251" t="str">
        <f>IFERROR(__xludf.DUMMYFUNCTION("""COMPUTED_VALUE"""),"9bc00e6b-ce5f-48c5-ae3a-1baabe00f337")</f>
        <v>9bc00e6b-ce5f-48c5-ae3a-1baabe00f337</v>
      </c>
      <c r="AK361" s="251" t="str">
        <f>IFERROR(__xludf.DUMMYFUNCTION("""COMPUTED_VALUE"""),"82840bc4-1ec9-4c52-9e25-6e73cd8be803")</f>
        <v>82840bc4-1ec9-4c52-9e25-6e73cd8be803</v>
      </c>
      <c r="AL361" s="251"/>
      <c r="AM361" s="251"/>
      <c r="AN361" s="251"/>
      <c r="AO361" s="251"/>
      <c r="AP361" s="261"/>
      <c r="AR361" s="251" t="str">
        <f t="shared" si="1"/>
        <v>16889.7_debit</v>
      </c>
      <c r="AS361" s="251" t="str">
        <f t="shared" si="2"/>
        <v>DROP</v>
      </c>
      <c r="AT361" s="247"/>
    </row>
    <row r="362">
      <c r="A362" s="262" t="s">
        <v>165</v>
      </c>
      <c r="B362" s="262" t="s">
        <v>801</v>
      </c>
      <c r="C362" s="263">
        <v>46189.6353125</v>
      </c>
      <c r="D362" s="262" t="s">
        <v>265</v>
      </c>
      <c r="E362" s="264">
        <v>20067.7</v>
      </c>
      <c r="F362" s="262" t="s">
        <v>169</v>
      </c>
      <c r="G362" s="262" t="s">
        <v>170</v>
      </c>
      <c r="H362" s="262" t="s">
        <v>796</v>
      </c>
      <c r="I362" s="265"/>
      <c r="J362" s="265"/>
      <c r="K362" s="266"/>
      <c r="L362" s="265"/>
      <c r="M362" s="267"/>
      <c r="O362" s="247"/>
      <c r="AC362" s="247"/>
      <c r="AD362" s="251" t="str">
        <f>IFERROR(__xludf.DUMMYFUNCTION("""COMPUTED_VALUE"""),"73df5aae-f42a-49a0-9d8f-616ca6dbebaa")</f>
        <v>73df5aae-f42a-49a0-9d8f-616ca6dbebaa</v>
      </c>
      <c r="AE362" s="251" t="str">
        <f>IFERROR(__xludf.DUMMYFUNCTION("""COMPUTED_VALUE"""),"019ed0fa-9c15-7595-8c99-ebd41c73bd87")</f>
        <v>019ed0fa-9c15-7595-8c99-ebd41c73bd87</v>
      </c>
      <c r="AF362" s="261">
        <f>IFERROR(__xludf.DUMMYFUNCTION("""COMPUTED_VALUE"""),46189.63130787037)</f>
        <v>46189.63131</v>
      </c>
      <c r="AG362" s="251" t="str">
        <f>IFERROR(__xludf.DUMMYFUNCTION("""COMPUTED_VALUE"""),"debit")</f>
        <v>debit</v>
      </c>
      <c r="AH362" s="251">
        <f>IFERROR(__xludf.DUMMYFUNCTION("""COMPUTED_VALUE"""),20922.8)</f>
        <v>20922.8</v>
      </c>
      <c r="AI362" s="251" t="str">
        <f>IFERROR(__xludf.DUMMYFUNCTION("""COMPUTED_VALUE"""),"cash_isa")</f>
        <v>cash_isa</v>
      </c>
      <c r="AJ362" s="251" t="str">
        <f>IFERROR(__xludf.DUMMYFUNCTION("""COMPUTED_VALUE"""),"9bc00e6b-ce5f-48c5-ae3a-1baabe00f337")</f>
        <v>9bc00e6b-ce5f-48c5-ae3a-1baabe00f337</v>
      </c>
      <c r="AK362" s="251" t="str">
        <f>IFERROR(__xludf.DUMMYFUNCTION("""COMPUTED_VALUE"""),"a606ece4-fe56-4f9f-b895-14d88c351855")</f>
        <v>a606ece4-fe56-4f9f-b895-14d88c351855</v>
      </c>
      <c r="AL362" s="251"/>
      <c r="AM362" s="251"/>
      <c r="AN362" s="251"/>
      <c r="AO362" s="251"/>
      <c r="AP362" s="261"/>
      <c r="AR362" s="251" t="str">
        <f t="shared" si="1"/>
        <v>20922.8_debit</v>
      </c>
      <c r="AS362" s="251" t="str">
        <f t="shared" si="2"/>
        <v>DROP</v>
      </c>
      <c r="AT362" s="247"/>
    </row>
    <row r="363">
      <c r="A363" s="255" t="s">
        <v>165</v>
      </c>
      <c r="B363" s="255" t="s">
        <v>802</v>
      </c>
      <c r="C363" s="256">
        <v>46189.63668981481</v>
      </c>
      <c r="D363" s="255" t="s">
        <v>265</v>
      </c>
      <c r="E363" s="257">
        <v>20944.71</v>
      </c>
      <c r="F363" s="255" t="s">
        <v>169</v>
      </c>
      <c r="G363" s="255" t="s">
        <v>170</v>
      </c>
      <c r="H363" s="255" t="s">
        <v>799</v>
      </c>
      <c r="I363" s="258"/>
      <c r="J363" s="258"/>
      <c r="K363" s="259"/>
      <c r="L363" s="258"/>
      <c r="M363" s="260"/>
      <c r="O363" s="247"/>
      <c r="AC363" s="247"/>
      <c r="AD363" s="251" t="str">
        <f>IFERROR(__xludf.DUMMYFUNCTION("""COMPUTED_VALUE"""),"73df5aae-f42a-49a0-9d8f-616ca6dbebaa")</f>
        <v>73df5aae-f42a-49a0-9d8f-616ca6dbebaa</v>
      </c>
      <c r="AE363" s="251" t="str">
        <f>IFERROR(__xludf.DUMMYFUNCTION("""COMPUTED_VALUE"""),"019ed0fa-a75d-7b87-b240-96677aa00a3b")</f>
        <v>019ed0fa-a75d-7b87-b240-96677aa00a3b</v>
      </c>
      <c r="AF363" s="261">
        <f>IFERROR(__xludf.DUMMYFUNCTION("""COMPUTED_VALUE"""),46189.63134259259)</f>
        <v>46189.63134</v>
      </c>
      <c r="AG363" s="251" t="str">
        <f>IFERROR(__xludf.DUMMYFUNCTION("""COMPUTED_VALUE"""),"debit")</f>
        <v>debit</v>
      </c>
      <c r="AH363" s="251">
        <f>IFERROR(__xludf.DUMMYFUNCTION("""COMPUTED_VALUE"""),7817.49)</f>
        <v>7817.49</v>
      </c>
      <c r="AI363" s="251" t="str">
        <f>IFERROR(__xludf.DUMMYFUNCTION("""COMPUTED_VALUE"""),"cash_isa")</f>
        <v>cash_isa</v>
      </c>
      <c r="AJ363" s="251" t="str">
        <f>IFERROR(__xludf.DUMMYFUNCTION("""COMPUTED_VALUE"""),"9bc00e6b-ce5f-48c5-ae3a-1baabe00f337")</f>
        <v>9bc00e6b-ce5f-48c5-ae3a-1baabe00f337</v>
      </c>
      <c r="AK363" s="251" t="str">
        <f>IFERROR(__xludf.DUMMYFUNCTION("""COMPUTED_VALUE"""),"0eb8b49c-3070-4465-a385-a09b5bc3d2ce")</f>
        <v>0eb8b49c-3070-4465-a385-a09b5bc3d2ce</v>
      </c>
      <c r="AL363" s="251"/>
      <c r="AM363" s="251"/>
      <c r="AN363" s="251"/>
      <c r="AO363" s="251"/>
      <c r="AP363" s="261"/>
      <c r="AR363" s="251" t="str">
        <f t="shared" si="1"/>
        <v>7817.49_debit</v>
      </c>
      <c r="AS363" s="251" t="str">
        <f t="shared" si="2"/>
        <v>DROP</v>
      </c>
      <c r="AT363" s="247"/>
    </row>
    <row r="364">
      <c r="A364" s="262" t="s">
        <v>165</v>
      </c>
      <c r="B364" s="262" t="s">
        <v>803</v>
      </c>
      <c r="C364" s="263">
        <v>46189.636782407404</v>
      </c>
      <c r="D364" s="262" t="s">
        <v>167</v>
      </c>
      <c r="E364" s="264">
        <v>2780.06</v>
      </c>
      <c r="F364" s="262" t="s">
        <v>169</v>
      </c>
      <c r="G364" s="262" t="s">
        <v>170</v>
      </c>
      <c r="H364" s="262" t="s">
        <v>804</v>
      </c>
      <c r="I364" s="265"/>
      <c r="J364" s="265"/>
      <c r="K364" s="266"/>
      <c r="L364" s="265"/>
      <c r="M364" s="267"/>
      <c r="O364" s="247"/>
      <c r="AC364" s="247"/>
      <c r="AD364" s="251" t="str">
        <f>IFERROR(__xludf.DUMMYFUNCTION("""COMPUTED_VALUE"""),"73df5aae-f42a-49a0-9d8f-616ca6dbebaa")</f>
        <v>73df5aae-f42a-49a0-9d8f-616ca6dbebaa</v>
      </c>
      <c r="AE364" s="251" t="str">
        <f>IFERROR(__xludf.DUMMYFUNCTION("""COMPUTED_VALUE"""),"019ed0fa-b1c2-7819-857e-40a98c4e3541")</f>
        <v>019ed0fa-b1c2-7819-857e-40a98c4e3541</v>
      </c>
      <c r="AF364" s="261">
        <f>IFERROR(__xludf.DUMMYFUNCTION("""COMPUTED_VALUE"""),46189.631377314814)</f>
        <v>46189.63138</v>
      </c>
      <c r="AG364" s="251" t="str">
        <f>IFERROR(__xludf.DUMMYFUNCTION("""COMPUTED_VALUE"""),"credit")</f>
        <v>credit</v>
      </c>
      <c r="AH364" s="251">
        <f>IFERROR(__xludf.DUMMYFUNCTION("""COMPUTED_VALUE"""),20000.0)</f>
        <v>20000</v>
      </c>
      <c r="AI364" s="251" t="str">
        <f>IFERROR(__xludf.DUMMYFUNCTION("""COMPUTED_VALUE"""),"cash_isa")</f>
        <v>cash_isa</v>
      </c>
      <c r="AJ364" s="251" t="str">
        <f>IFERROR(__xludf.DUMMYFUNCTION("""COMPUTED_VALUE"""),"9bc00e6b-ce5f-48c5-ae3a-1baabe00f337")</f>
        <v>9bc00e6b-ce5f-48c5-ae3a-1baabe00f337</v>
      </c>
      <c r="AK364" s="251" t="str">
        <f>IFERROR(__xludf.DUMMYFUNCTION("""COMPUTED_VALUE"""),"fc861623-56a0-47e2-bd62-7aa9db1633a8")</f>
        <v>fc861623-56a0-47e2-bd62-7aa9db1633a8</v>
      </c>
      <c r="AL364" s="251"/>
      <c r="AM364" s="251"/>
      <c r="AN364" s="251"/>
      <c r="AO364" s="251"/>
      <c r="AP364" s="261"/>
      <c r="AR364" s="251" t="str">
        <f t="shared" si="1"/>
        <v>20000_credit</v>
      </c>
      <c r="AS364" s="251" t="str">
        <f t="shared" si="2"/>
        <v>KEEP</v>
      </c>
      <c r="AT364" s="247"/>
    </row>
    <row r="365">
      <c r="A365" s="255" t="s">
        <v>165</v>
      </c>
      <c r="B365" s="255" t="s">
        <v>805</v>
      </c>
      <c r="C365" s="256">
        <v>46189.63873842593</v>
      </c>
      <c r="D365" s="255" t="s">
        <v>265</v>
      </c>
      <c r="E365" s="257">
        <v>2780.06</v>
      </c>
      <c r="F365" s="255" t="s">
        <v>169</v>
      </c>
      <c r="G365" s="255" t="s">
        <v>170</v>
      </c>
      <c r="H365" s="255" t="s">
        <v>804</v>
      </c>
      <c r="I365" s="258"/>
      <c r="J365" s="258"/>
      <c r="K365" s="259"/>
      <c r="L365" s="258"/>
      <c r="M365" s="260"/>
      <c r="O365" s="247"/>
      <c r="AC365" s="247"/>
      <c r="AD365" s="251" t="str">
        <f>IFERROR(__xludf.DUMMYFUNCTION("""COMPUTED_VALUE"""),"73df5aae-f42a-49a0-9d8f-616ca6dbebaa")</f>
        <v>73df5aae-f42a-49a0-9d8f-616ca6dbebaa</v>
      </c>
      <c r="AE365" s="251" t="str">
        <f>IFERROR(__xludf.DUMMYFUNCTION("""COMPUTED_VALUE"""),"019ed0fc-8712-73d8-b670-02231e18e34c")</f>
        <v>019ed0fc-8712-73d8-b670-02231e18e34c</v>
      </c>
      <c r="AF365" s="261">
        <f>IFERROR(__xludf.DUMMYFUNCTION("""COMPUTED_VALUE"""),46189.63276620371)</f>
        <v>46189.63277</v>
      </c>
      <c r="AG365" s="251" t="str">
        <f>IFERROR(__xludf.DUMMYFUNCTION("""COMPUTED_VALUE"""),"credit")</f>
        <v>credit</v>
      </c>
      <c r="AH365" s="251">
        <f>IFERROR(__xludf.DUMMYFUNCTION("""COMPUTED_VALUE"""),21068.21)</f>
        <v>21068.21</v>
      </c>
      <c r="AI365" s="251" t="str">
        <f>IFERROR(__xludf.DUMMYFUNCTION("""COMPUTED_VALUE"""),"cash_isa")</f>
        <v>cash_isa</v>
      </c>
      <c r="AJ365" s="251" t="str">
        <f>IFERROR(__xludf.DUMMYFUNCTION("""COMPUTED_VALUE"""),"9bc00e6b-ce5f-48c5-ae3a-1baabe00f337")</f>
        <v>9bc00e6b-ce5f-48c5-ae3a-1baabe00f337</v>
      </c>
      <c r="AK365" s="251" t="str">
        <f>IFERROR(__xludf.DUMMYFUNCTION("""COMPUTED_VALUE"""),"4c799ac0-650b-4d82-8620-3297bb2df568")</f>
        <v>4c799ac0-650b-4d82-8620-3297bb2df568</v>
      </c>
      <c r="AL365" s="251"/>
      <c r="AM365" s="251"/>
      <c r="AN365" s="251"/>
      <c r="AO365" s="251"/>
      <c r="AP365" s="261"/>
      <c r="AR365" s="251" t="str">
        <f t="shared" si="1"/>
        <v>21068.21_credit</v>
      </c>
      <c r="AS365" s="251" t="str">
        <f t="shared" si="2"/>
        <v>DROP</v>
      </c>
      <c r="AT365" s="247"/>
    </row>
    <row r="366">
      <c r="A366" s="262" t="s">
        <v>165</v>
      </c>
      <c r="B366" s="262" t="s">
        <v>806</v>
      </c>
      <c r="C366" s="263">
        <v>46189.64037037037</v>
      </c>
      <c r="D366" s="262" t="s">
        <v>265</v>
      </c>
      <c r="E366" s="264">
        <v>21205.46</v>
      </c>
      <c r="F366" s="262" t="s">
        <v>213</v>
      </c>
      <c r="G366" s="262" t="s">
        <v>214</v>
      </c>
      <c r="H366" s="262" t="s">
        <v>807</v>
      </c>
      <c r="I366" s="265"/>
      <c r="J366" s="265"/>
      <c r="K366" s="266"/>
      <c r="L366" s="265"/>
      <c r="M366" s="267"/>
      <c r="O366" s="247"/>
      <c r="AC366" s="247"/>
      <c r="AD366" s="251" t="str">
        <f>IFERROR(__xludf.DUMMYFUNCTION("""COMPUTED_VALUE"""),"73df5aae-f42a-49a0-9d8f-616ca6dbebaa")</f>
        <v>73df5aae-f42a-49a0-9d8f-616ca6dbebaa</v>
      </c>
      <c r="AE366" s="251" t="str">
        <f>IFERROR(__xludf.DUMMYFUNCTION("""COMPUTED_VALUE"""),"019ed0fc-b8b4-76a0-b5cf-125025ceaadc")</f>
        <v>019ed0fc-b8b4-76a0-b5cf-125025ceaadc</v>
      </c>
      <c r="AF366" s="261">
        <f>IFERROR(__xludf.DUMMYFUNCTION("""COMPUTED_VALUE"""),46189.63291666667)</f>
        <v>46189.63292</v>
      </c>
      <c r="AG366" s="251" t="str">
        <f>IFERROR(__xludf.DUMMYFUNCTION("""COMPUTED_VALUE"""),"credit")</f>
        <v>credit</v>
      </c>
      <c r="AH366" s="251">
        <f>IFERROR(__xludf.DUMMYFUNCTION("""COMPUTED_VALUE"""),20067.7)</f>
        <v>20067.7</v>
      </c>
      <c r="AI366" s="251" t="str">
        <f>IFERROR(__xludf.DUMMYFUNCTION("""COMPUTED_VALUE"""),"cash_isa")</f>
        <v>cash_isa</v>
      </c>
      <c r="AJ366" s="251" t="str">
        <f>IFERROR(__xludf.DUMMYFUNCTION("""COMPUTED_VALUE"""),"9bc00e6b-ce5f-48c5-ae3a-1baabe00f337")</f>
        <v>9bc00e6b-ce5f-48c5-ae3a-1baabe00f337</v>
      </c>
      <c r="AK366" s="251" t="str">
        <f>IFERROR(__xludf.DUMMYFUNCTION("""COMPUTED_VALUE"""),"644ad806-dd57-43a7-9d30-504c8da1323d")</f>
        <v>644ad806-dd57-43a7-9d30-504c8da1323d</v>
      </c>
      <c r="AL366" s="251"/>
      <c r="AM366" s="251"/>
      <c r="AN366" s="251"/>
      <c r="AO366" s="251"/>
      <c r="AP366" s="261"/>
      <c r="AR366" s="251" t="str">
        <f t="shared" si="1"/>
        <v>20067.7_credit</v>
      </c>
      <c r="AS366" s="251" t="str">
        <f t="shared" si="2"/>
        <v>DROP</v>
      </c>
      <c r="AT366" s="247"/>
    </row>
    <row r="367">
      <c r="A367" s="255" t="s">
        <v>165</v>
      </c>
      <c r="B367" s="255" t="s">
        <v>808</v>
      </c>
      <c r="C367" s="256">
        <v>46189.64053240741</v>
      </c>
      <c r="D367" s="255" t="s">
        <v>167</v>
      </c>
      <c r="E367" s="257">
        <v>500.0</v>
      </c>
      <c r="F367" s="255" t="s">
        <v>169</v>
      </c>
      <c r="G367" s="255" t="s">
        <v>170</v>
      </c>
      <c r="H367" s="255" t="s">
        <v>809</v>
      </c>
      <c r="I367" s="258"/>
      <c r="J367" s="258"/>
      <c r="K367" s="259"/>
      <c r="L367" s="258"/>
      <c r="M367" s="260"/>
      <c r="O367" s="247"/>
      <c r="AC367" s="247"/>
      <c r="AD367" s="251" t="str">
        <f>IFERROR(__xludf.DUMMYFUNCTION("""COMPUTED_VALUE"""),"73df5aae-f42a-49a0-9d8f-616ca6dbebaa")</f>
        <v>73df5aae-f42a-49a0-9d8f-616ca6dbebaa</v>
      </c>
      <c r="AE367" s="251" t="str">
        <f>IFERROR(__xludf.DUMMYFUNCTION("""COMPUTED_VALUE"""),"019ed0fc-bf02-70db-9802-e75429ecf1ac")</f>
        <v>019ed0fc-bf02-70db-9802-e75429ecf1ac</v>
      </c>
      <c r="AF367" s="261">
        <f>IFERROR(__xludf.DUMMYFUNCTION("""COMPUTED_VALUE"""),46189.63292824074)</f>
        <v>46189.63293</v>
      </c>
      <c r="AG367" s="251" t="str">
        <f>IFERROR(__xludf.DUMMYFUNCTION("""COMPUTED_VALUE"""),"debit")</f>
        <v>debit</v>
      </c>
      <c r="AH367" s="251">
        <f>IFERROR(__xludf.DUMMYFUNCTION("""COMPUTED_VALUE"""),20000.0)</f>
        <v>20000</v>
      </c>
      <c r="AI367" s="251" t="str">
        <f>IFERROR(__xludf.DUMMYFUNCTION("""COMPUTED_VALUE"""),"cash_isa")</f>
        <v>cash_isa</v>
      </c>
      <c r="AJ367" s="251" t="str">
        <f>IFERROR(__xludf.DUMMYFUNCTION("""COMPUTED_VALUE"""),"9bc00e6b-ce5f-48c5-ae3a-1baabe00f337")</f>
        <v>9bc00e6b-ce5f-48c5-ae3a-1baabe00f337</v>
      </c>
      <c r="AK367" s="251" t="str">
        <f>IFERROR(__xludf.DUMMYFUNCTION("""COMPUTED_VALUE"""),"fc861623-56a0-47e2-bd62-7aa9db1633a8")</f>
        <v>fc861623-56a0-47e2-bd62-7aa9db1633a8</v>
      </c>
      <c r="AL367" s="251"/>
      <c r="AM367" s="251"/>
      <c r="AN367" s="251"/>
      <c r="AO367" s="251"/>
      <c r="AP367" s="261"/>
      <c r="AR367" s="251" t="str">
        <f t="shared" si="1"/>
        <v>20000_debit</v>
      </c>
      <c r="AS367" s="251" t="str">
        <f t="shared" si="2"/>
        <v>DROP</v>
      </c>
      <c r="AT367" s="247"/>
    </row>
    <row r="368">
      <c r="A368" s="262" t="s">
        <v>165</v>
      </c>
      <c r="B368" s="262" t="s">
        <v>810</v>
      </c>
      <c r="C368" s="263">
        <v>46189.6421412037</v>
      </c>
      <c r="D368" s="262" t="s">
        <v>167</v>
      </c>
      <c r="E368" s="264">
        <v>34738.52</v>
      </c>
      <c r="F368" s="262" t="s">
        <v>169</v>
      </c>
      <c r="G368" s="262" t="s">
        <v>170</v>
      </c>
      <c r="H368" s="262" t="s">
        <v>811</v>
      </c>
      <c r="I368" s="265"/>
      <c r="J368" s="265"/>
      <c r="K368" s="266"/>
      <c r="L368" s="265"/>
      <c r="M368" s="267"/>
      <c r="O368" s="247"/>
      <c r="AC368" s="247"/>
      <c r="AD368" s="251" t="str">
        <f>IFERROR(__xludf.DUMMYFUNCTION("""COMPUTED_VALUE"""),"73df5aae-f42a-49a0-9d8f-616ca6dbebaa")</f>
        <v>73df5aae-f42a-49a0-9d8f-616ca6dbebaa</v>
      </c>
      <c r="AE368" s="251" t="str">
        <f>IFERROR(__xludf.DUMMYFUNCTION("""COMPUTED_VALUE"""),"019ed0ff-6b95-7130-a20e-aa32f5123a05")</f>
        <v>019ed0ff-6b95-7130-a20e-aa32f5123a05</v>
      </c>
      <c r="AF368" s="261">
        <f>IFERROR(__xludf.DUMMYFUNCTION("""COMPUTED_VALUE"""),46189.63496527778)</f>
        <v>46189.63497</v>
      </c>
      <c r="AG368" s="251" t="str">
        <f>IFERROR(__xludf.DUMMYFUNCTION("""COMPUTED_VALUE"""),"credit")</f>
        <v>credit</v>
      </c>
      <c r="AH368" s="251">
        <f>IFERROR(__xludf.DUMMYFUNCTION("""COMPUTED_VALUE"""),20944.71)</f>
        <v>20944.71</v>
      </c>
      <c r="AI368" s="251" t="str">
        <f>IFERROR(__xludf.DUMMYFUNCTION("""COMPUTED_VALUE"""),"cash_isa")</f>
        <v>cash_isa</v>
      </c>
      <c r="AJ368" s="251" t="str">
        <f>IFERROR(__xludf.DUMMYFUNCTION("""COMPUTED_VALUE"""),"9bc00e6b-ce5f-48c5-ae3a-1baabe00f337")</f>
        <v>9bc00e6b-ce5f-48c5-ae3a-1baabe00f337</v>
      </c>
      <c r="AK368" s="251" t="str">
        <f>IFERROR(__xludf.DUMMYFUNCTION("""COMPUTED_VALUE"""),"746b2c9c-544a-4552-98d7-46ae2a0d3ba1")</f>
        <v>746b2c9c-544a-4552-98d7-46ae2a0d3ba1</v>
      </c>
      <c r="AL368" s="251"/>
      <c r="AM368" s="251"/>
      <c r="AN368" s="251"/>
      <c r="AO368" s="251"/>
      <c r="AP368" s="261"/>
      <c r="AR368" s="251" t="str">
        <f t="shared" si="1"/>
        <v>20944.71_credit</v>
      </c>
      <c r="AS368" s="251" t="str">
        <f t="shared" si="2"/>
        <v>DROP</v>
      </c>
      <c r="AT368" s="247"/>
    </row>
    <row r="369">
      <c r="A369" s="255" t="s">
        <v>165</v>
      </c>
      <c r="B369" s="255" t="s">
        <v>812</v>
      </c>
      <c r="C369" s="256">
        <v>46189.6424537037</v>
      </c>
      <c r="D369" s="255" t="s">
        <v>265</v>
      </c>
      <c r="E369" s="257">
        <v>500.0</v>
      </c>
      <c r="F369" s="255" t="s">
        <v>169</v>
      </c>
      <c r="G369" s="255" t="s">
        <v>170</v>
      </c>
      <c r="H369" s="255" t="s">
        <v>809</v>
      </c>
      <c r="I369" s="258"/>
      <c r="J369" s="258"/>
      <c r="K369" s="259"/>
      <c r="L369" s="258"/>
      <c r="M369" s="260"/>
      <c r="O369" s="247"/>
      <c r="AC369" s="247"/>
      <c r="AD369" s="251" t="str">
        <f>IFERROR(__xludf.DUMMYFUNCTION("""COMPUTED_VALUE"""),"73df5aae-f42a-49a0-9d8f-616ca6dbebaa")</f>
        <v>73df5aae-f42a-49a0-9d8f-616ca6dbebaa</v>
      </c>
      <c r="AE369" s="251" t="str">
        <f>IFERROR(__xludf.DUMMYFUNCTION("""COMPUTED_VALUE"""),"019ed0ff-df53-77ad-9d84-8e2013cf6c72")</f>
        <v>019ed0ff-df53-77ad-9d84-8e2013cf6c72</v>
      </c>
      <c r="AF369" s="261">
        <f>IFERROR(__xludf.DUMMYFUNCTION("""COMPUTED_VALUE"""),46189.635300925926)</f>
        <v>46189.6353</v>
      </c>
      <c r="AG369" s="251" t="str">
        <f>IFERROR(__xludf.DUMMYFUNCTION("""COMPUTED_VALUE"""),"debit")</f>
        <v>debit</v>
      </c>
      <c r="AH369" s="251">
        <f>IFERROR(__xludf.DUMMYFUNCTION("""COMPUTED_VALUE"""),21068.21)</f>
        <v>21068.21</v>
      </c>
      <c r="AI369" s="251" t="str">
        <f>IFERROR(__xludf.DUMMYFUNCTION("""COMPUTED_VALUE"""),"cash_isa")</f>
        <v>cash_isa</v>
      </c>
      <c r="AJ369" s="251" t="str">
        <f>IFERROR(__xludf.DUMMYFUNCTION("""COMPUTED_VALUE"""),"9bc00e6b-ce5f-48c5-ae3a-1baabe00f337")</f>
        <v>9bc00e6b-ce5f-48c5-ae3a-1baabe00f337</v>
      </c>
      <c r="AK369" s="251" t="str">
        <f>IFERROR(__xludf.DUMMYFUNCTION("""COMPUTED_VALUE"""),"4c799ac0-650b-4d82-8620-3297bb2df568")</f>
        <v>4c799ac0-650b-4d82-8620-3297bb2df568</v>
      </c>
      <c r="AL369" s="251"/>
      <c r="AM369" s="251"/>
      <c r="AN369" s="251"/>
      <c r="AO369" s="251"/>
      <c r="AP369" s="261"/>
      <c r="AR369" s="251" t="str">
        <f t="shared" si="1"/>
        <v>21068.21_debit</v>
      </c>
      <c r="AS369" s="251" t="str">
        <f t="shared" si="2"/>
        <v>DROP</v>
      </c>
      <c r="AT369" s="247"/>
    </row>
    <row r="370">
      <c r="A370" s="262" t="s">
        <v>165</v>
      </c>
      <c r="B370" s="262" t="s">
        <v>813</v>
      </c>
      <c r="C370" s="263">
        <v>46189.643912037034</v>
      </c>
      <c r="D370" s="262" t="s">
        <v>265</v>
      </c>
      <c r="E370" s="264">
        <v>34738.52</v>
      </c>
      <c r="F370" s="262" t="s">
        <v>169</v>
      </c>
      <c r="G370" s="262" t="s">
        <v>170</v>
      </c>
      <c r="H370" s="262" t="s">
        <v>811</v>
      </c>
      <c r="I370" s="265"/>
      <c r="J370" s="265"/>
      <c r="K370" s="266"/>
      <c r="L370" s="265"/>
      <c r="M370" s="267"/>
      <c r="O370" s="247"/>
      <c r="AC370" s="247"/>
      <c r="AD370" s="251" t="str">
        <f>IFERROR(__xludf.DUMMYFUNCTION("""COMPUTED_VALUE"""),"73df5aae-f42a-49a0-9d8f-616ca6dbebaa")</f>
        <v>73df5aae-f42a-49a0-9d8f-616ca6dbebaa</v>
      </c>
      <c r="AE370" s="251" t="str">
        <f>IFERROR(__xludf.DUMMYFUNCTION("""COMPUTED_VALUE"""),"019ed0ff-dffe-7cfd-8de5-72524873bebb")</f>
        <v>019ed0ff-dffe-7cfd-8de5-72524873bebb</v>
      </c>
      <c r="AF370" s="261">
        <f>IFERROR(__xludf.DUMMYFUNCTION("""COMPUTED_VALUE"""),46189.6353125)</f>
        <v>46189.63531</v>
      </c>
      <c r="AG370" s="251" t="str">
        <f>IFERROR(__xludf.DUMMYFUNCTION("""COMPUTED_VALUE"""),"debit")</f>
        <v>debit</v>
      </c>
      <c r="AH370" s="251">
        <f>IFERROR(__xludf.DUMMYFUNCTION("""COMPUTED_VALUE"""),20067.7)</f>
        <v>20067.7</v>
      </c>
      <c r="AI370" s="251" t="str">
        <f>IFERROR(__xludf.DUMMYFUNCTION("""COMPUTED_VALUE"""),"cash_isa")</f>
        <v>cash_isa</v>
      </c>
      <c r="AJ370" s="251" t="str">
        <f>IFERROR(__xludf.DUMMYFUNCTION("""COMPUTED_VALUE"""),"9bc00e6b-ce5f-48c5-ae3a-1baabe00f337")</f>
        <v>9bc00e6b-ce5f-48c5-ae3a-1baabe00f337</v>
      </c>
      <c r="AK370" s="251" t="str">
        <f>IFERROR(__xludf.DUMMYFUNCTION("""COMPUTED_VALUE"""),"644ad806-dd57-43a7-9d30-504c8da1323d")</f>
        <v>644ad806-dd57-43a7-9d30-504c8da1323d</v>
      </c>
      <c r="AL370" s="251"/>
      <c r="AM370" s="251"/>
      <c r="AN370" s="251"/>
      <c r="AO370" s="251"/>
      <c r="AP370" s="261"/>
      <c r="AR370" s="251" t="str">
        <f t="shared" si="1"/>
        <v>20067.7_debit</v>
      </c>
      <c r="AS370" s="251" t="str">
        <f t="shared" si="2"/>
        <v>DROP</v>
      </c>
      <c r="AT370" s="247"/>
    </row>
    <row r="371">
      <c r="A371" s="255" t="s">
        <v>165</v>
      </c>
      <c r="B371" s="255" t="s">
        <v>814</v>
      </c>
      <c r="C371" s="256">
        <v>46189.64414351852</v>
      </c>
      <c r="D371" s="255" t="s">
        <v>265</v>
      </c>
      <c r="E371" s="257">
        <v>26943.49</v>
      </c>
      <c r="F371" s="255" t="s">
        <v>213</v>
      </c>
      <c r="G371" s="255" t="s">
        <v>214</v>
      </c>
      <c r="H371" s="255" t="s">
        <v>815</v>
      </c>
      <c r="I371" s="258"/>
      <c r="J371" s="258"/>
      <c r="K371" s="259"/>
      <c r="L371" s="258"/>
      <c r="M371" s="260"/>
      <c r="O371" s="247"/>
      <c r="AC371" s="247"/>
      <c r="AD371" s="251" t="str">
        <f>IFERROR(__xludf.DUMMYFUNCTION("""COMPUTED_VALUE"""),"73df5aae-f42a-49a0-9d8f-616ca6dbebaa")</f>
        <v>73df5aae-f42a-49a0-9d8f-616ca6dbebaa</v>
      </c>
      <c r="AE371" s="251" t="str">
        <f>IFERROR(__xludf.DUMMYFUNCTION("""COMPUTED_VALUE"""),"019ed101-b209-7942-b93a-9b915a16cecd")</f>
        <v>019ed101-b209-7942-b93a-9b915a16cecd</v>
      </c>
      <c r="AF371" s="261">
        <f>IFERROR(__xludf.DUMMYFUNCTION("""COMPUTED_VALUE"""),46189.63668981481)</f>
        <v>46189.63669</v>
      </c>
      <c r="AG371" s="251" t="str">
        <f>IFERROR(__xludf.DUMMYFUNCTION("""COMPUTED_VALUE"""),"debit")</f>
        <v>debit</v>
      </c>
      <c r="AH371" s="251">
        <f>IFERROR(__xludf.DUMMYFUNCTION("""COMPUTED_VALUE"""),20944.71)</f>
        <v>20944.71</v>
      </c>
      <c r="AI371" s="251" t="str">
        <f>IFERROR(__xludf.DUMMYFUNCTION("""COMPUTED_VALUE"""),"cash_isa")</f>
        <v>cash_isa</v>
      </c>
      <c r="AJ371" s="251" t="str">
        <f>IFERROR(__xludf.DUMMYFUNCTION("""COMPUTED_VALUE"""),"9bc00e6b-ce5f-48c5-ae3a-1baabe00f337")</f>
        <v>9bc00e6b-ce5f-48c5-ae3a-1baabe00f337</v>
      </c>
      <c r="AK371" s="251" t="str">
        <f>IFERROR(__xludf.DUMMYFUNCTION("""COMPUTED_VALUE"""),"746b2c9c-544a-4552-98d7-46ae2a0d3ba1")</f>
        <v>746b2c9c-544a-4552-98d7-46ae2a0d3ba1</v>
      </c>
      <c r="AL371" s="251"/>
      <c r="AM371" s="251"/>
      <c r="AN371" s="251"/>
      <c r="AO371" s="251"/>
      <c r="AP371" s="261"/>
      <c r="AR371" s="251" t="str">
        <f t="shared" si="1"/>
        <v>20944.71_debit</v>
      </c>
      <c r="AS371" s="251" t="str">
        <f t="shared" si="2"/>
        <v>DROP</v>
      </c>
      <c r="AT371" s="247"/>
    </row>
    <row r="372">
      <c r="A372" s="262" t="s">
        <v>165</v>
      </c>
      <c r="B372" s="262" t="s">
        <v>816</v>
      </c>
      <c r="C372" s="263">
        <v>46189.644212962965</v>
      </c>
      <c r="D372" s="262" t="s">
        <v>167</v>
      </c>
      <c r="E372" s="264">
        <v>15000.0</v>
      </c>
      <c r="F372" s="262" t="s">
        <v>169</v>
      </c>
      <c r="G372" s="262" t="s">
        <v>170</v>
      </c>
      <c r="H372" s="262" t="s">
        <v>817</v>
      </c>
      <c r="I372" s="265"/>
      <c r="J372" s="265"/>
      <c r="K372" s="266"/>
      <c r="L372" s="265"/>
      <c r="M372" s="267"/>
      <c r="O372" s="247"/>
      <c r="AC372" s="247"/>
      <c r="AD372" s="251" t="str">
        <f>IFERROR(__xludf.DUMMYFUNCTION("""COMPUTED_VALUE"""),"73df5aae-f42a-49a0-9d8f-616ca6dbebaa")</f>
        <v>73df5aae-f42a-49a0-9d8f-616ca6dbebaa</v>
      </c>
      <c r="AE372" s="251" t="str">
        <f>IFERROR(__xludf.DUMMYFUNCTION("""COMPUTED_VALUE"""),"019ed101-d0df-7096-bc3c-94087a4ba178")</f>
        <v>019ed101-d0df-7096-bc3c-94087a4ba178</v>
      </c>
      <c r="AF372" s="261">
        <f>IFERROR(__xludf.DUMMYFUNCTION("""COMPUTED_VALUE"""),46189.63678240741)</f>
        <v>46189.63678</v>
      </c>
      <c r="AG372" s="251" t="str">
        <f>IFERROR(__xludf.DUMMYFUNCTION("""COMPUTED_VALUE"""),"credit")</f>
        <v>credit</v>
      </c>
      <c r="AH372" s="251">
        <f>IFERROR(__xludf.DUMMYFUNCTION("""COMPUTED_VALUE"""),2780.06)</f>
        <v>2780.06</v>
      </c>
      <c r="AI372" s="251" t="str">
        <f>IFERROR(__xludf.DUMMYFUNCTION("""COMPUTED_VALUE"""),"cash_isa")</f>
        <v>cash_isa</v>
      </c>
      <c r="AJ372" s="251" t="str">
        <f>IFERROR(__xludf.DUMMYFUNCTION("""COMPUTED_VALUE"""),"9bc00e6b-ce5f-48c5-ae3a-1baabe00f337")</f>
        <v>9bc00e6b-ce5f-48c5-ae3a-1baabe00f337</v>
      </c>
      <c r="AK372" s="251" t="str">
        <f>IFERROR(__xludf.DUMMYFUNCTION("""COMPUTED_VALUE"""),"109ce1de-e609-47ac-b9ed-8a97392f7f74")</f>
        <v>109ce1de-e609-47ac-b9ed-8a97392f7f74</v>
      </c>
      <c r="AL372" s="251"/>
      <c r="AM372" s="251"/>
      <c r="AN372" s="251"/>
      <c r="AO372" s="251"/>
      <c r="AP372" s="261"/>
      <c r="AR372" s="251" t="str">
        <f t="shared" si="1"/>
        <v>2780.06_credit</v>
      </c>
      <c r="AS372" s="251" t="str">
        <f t="shared" si="2"/>
        <v>DROP</v>
      </c>
      <c r="AT372" s="247"/>
    </row>
    <row r="373">
      <c r="A373" s="255" t="s">
        <v>165</v>
      </c>
      <c r="B373" s="255" t="s">
        <v>818</v>
      </c>
      <c r="C373" s="256">
        <v>46189.64662037037</v>
      </c>
      <c r="D373" s="255" t="s">
        <v>265</v>
      </c>
      <c r="E373" s="257">
        <v>17528.76</v>
      </c>
      <c r="F373" s="255" t="s">
        <v>213</v>
      </c>
      <c r="G373" s="255" t="s">
        <v>214</v>
      </c>
      <c r="H373" s="255" t="s">
        <v>819</v>
      </c>
      <c r="I373" s="258"/>
      <c r="J373" s="258"/>
      <c r="K373" s="259"/>
      <c r="L373" s="258"/>
      <c r="M373" s="260"/>
      <c r="O373" s="247"/>
      <c r="AC373" s="247"/>
      <c r="AD373" s="251" t="str">
        <f>IFERROR(__xludf.DUMMYFUNCTION("""COMPUTED_VALUE"""),"73df5aae-f42a-49a0-9d8f-616ca6dbebaa")</f>
        <v>73df5aae-f42a-49a0-9d8f-616ca6dbebaa</v>
      </c>
      <c r="AE373" s="251" t="str">
        <f>IFERROR(__xludf.DUMMYFUNCTION("""COMPUTED_VALUE"""),"019ed104-6596-75c0-bad4-af3117556974")</f>
        <v>019ed104-6596-75c0-bad4-af3117556974</v>
      </c>
      <c r="AF373" s="261">
        <f>IFERROR(__xludf.DUMMYFUNCTION("""COMPUTED_VALUE"""),46189.63873842593)</f>
        <v>46189.63874</v>
      </c>
      <c r="AG373" s="251" t="str">
        <f>IFERROR(__xludf.DUMMYFUNCTION("""COMPUTED_VALUE"""),"debit")</f>
        <v>debit</v>
      </c>
      <c r="AH373" s="251">
        <f>IFERROR(__xludf.DUMMYFUNCTION("""COMPUTED_VALUE"""),2780.06)</f>
        <v>2780.06</v>
      </c>
      <c r="AI373" s="251" t="str">
        <f>IFERROR(__xludf.DUMMYFUNCTION("""COMPUTED_VALUE"""),"cash_isa")</f>
        <v>cash_isa</v>
      </c>
      <c r="AJ373" s="251" t="str">
        <f>IFERROR(__xludf.DUMMYFUNCTION("""COMPUTED_VALUE"""),"9bc00e6b-ce5f-48c5-ae3a-1baabe00f337")</f>
        <v>9bc00e6b-ce5f-48c5-ae3a-1baabe00f337</v>
      </c>
      <c r="AK373" s="251" t="str">
        <f>IFERROR(__xludf.DUMMYFUNCTION("""COMPUTED_VALUE"""),"109ce1de-e609-47ac-b9ed-8a97392f7f74")</f>
        <v>109ce1de-e609-47ac-b9ed-8a97392f7f74</v>
      </c>
      <c r="AL373" s="251"/>
      <c r="AM373" s="251"/>
      <c r="AN373" s="251"/>
      <c r="AO373" s="251"/>
      <c r="AP373" s="261"/>
      <c r="AR373" s="251" t="str">
        <f t="shared" si="1"/>
        <v>2780.06_debit</v>
      </c>
      <c r="AS373" s="251" t="str">
        <f t="shared" si="2"/>
        <v>DROP</v>
      </c>
      <c r="AT373" s="247"/>
    </row>
    <row r="374">
      <c r="A374" s="262" t="s">
        <v>165</v>
      </c>
      <c r="B374" s="262" t="s">
        <v>820</v>
      </c>
      <c r="C374" s="263">
        <v>46189.64681712963</v>
      </c>
      <c r="D374" s="262" t="s">
        <v>265</v>
      </c>
      <c r="E374" s="264">
        <v>15000.0</v>
      </c>
      <c r="F374" s="262" t="s">
        <v>169</v>
      </c>
      <c r="G374" s="262" t="s">
        <v>170</v>
      </c>
      <c r="H374" s="262" t="s">
        <v>817</v>
      </c>
      <c r="I374" s="265"/>
      <c r="J374" s="265"/>
      <c r="K374" s="266"/>
      <c r="L374" s="265"/>
      <c r="M374" s="267"/>
      <c r="O374" s="247"/>
      <c r="AC374" s="247"/>
      <c r="AD374" s="251" t="str">
        <f>IFERROR(__xludf.DUMMYFUNCTION("""COMPUTED_VALUE"""),"73df5aae-f42a-49a0-9d8f-616ca6dbebaa")</f>
        <v>73df5aae-f42a-49a0-9d8f-616ca6dbebaa</v>
      </c>
      <c r="AE374" s="251" t="str">
        <f>IFERROR(__xludf.DUMMYFUNCTION("""COMPUTED_VALUE"""),"019ed106-c39f-7b30-97d6-4d85a6f93ebe")</f>
        <v>019ed106-c39f-7b30-97d6-4d85a6f93ebe</v>
      </c>
      <c r="AF374" s="261">
        <f>IFERROR(__xludf.DUMMYFUNCTION("""COMPUTED_VALUE"""),46189.64053240741)</f>
        <v>46189.64053</v>
      </c>
      <c r="AG374" s="251" t="str">
        <f>IFERROR(__xludf.DUMMYFUNCTION("""COMPUTED_VALUE"""),"credit")</f>
        <v>credit</v>
      </c>
      <c r="AH374" s="251">
        <f>IFERROR(__xludf.DUMMYFUNCTION("""COMPUTED_VALUE"""),500.0)</f>
        <v>500</v>
      </c>
      <c r="AI374" s="251" t="str">
        <f>IFERROR(__xludf.DUMMYFUNCTION("""COMPUTED_VALUE"""),"cash_isa")</f>
        <v>cash_isa</v>
      </c>
      <c r="AJ374" s="251" t="str">
        <f>IFERROR(__xludf.DUMMYFUNCTION("""COMPUTED_VALUE"""),"9bc00e6b-ce5f-48c5-ae3a-1baabe00f337")</f>
        <v>9bc00e6b-ce5f-48c5-ae3a-1baabe00f337</v>
      </c>
      <c r="AK374" s="251" t="str">
        <f>IFERROR(__xludf.DUMMYFUNCTION("""COMPUTED_VALUE"""),"c15787bd-94f8-4e0b-9586-fd410ad7e51f")</f>
        <v>c15787bd-94f8-4e0b-9586-fd410ad7e51f</v>
      </c>
      <c r="AL374" s="251"/>
      <c r="AM374" s="251"/>
      <c r="AN374" s="251"/>
      <c r="AO374" s="251"/>
      <c r="AP374" s="261"/>
      <c r="AR374" s="251" t="str">
        <f t="shared" si="1"/>
        <v>500_credit</v>
      </c>
      <c r="AS374" s="251" t="str">
        <f t="shared" si="2"/>
        <v>DROP</v>
      </c>
      <c r="AT374" s="247"/>
    </row>
    <row r="375">
      <c r="A375" s="255" t="s">
        <v>165</v>
      </c>
      <c r="B375" s="255" t="s">
        <v>821</v>
      </c>
      <c r="C375" s="256">
        <v>46189.648368055554</v>
      </c>
      <c r="D375" s="255" t="s">
        <v>167</v>
      </c>
      <c r="E375" s="257">
        <v>5488.02</v>
      </c>
      <c r="F375" s="255" t="s">
        <v>169</v>
      </c>
      <c r="G375" s="255" t="s">
        <v>170</v>
      </c>
      <c r="H375" s="255" t="s">
        <v>822</v>
      </c>
      <c r="I375" s="258"/>
      <c r="J375" s="258"/>
      <c r="K375" s="259"/>
      <c r="L375" s="258"/>
      <c r="M375" s="260"/>
      <c r="O375" s="247"/>
      <c r="AC375" s="247"/>
      <c r="AD375" s="251" t="str">
        <f>IFERROR(__xludf.DUMMYFUNCTION("""COMPUTED_VALUE"""),"73df5aae-f42a-49a0-9d8f-616ca6dbebaa")</f>
        <v>73df5aae-f42a-49a0-9d8f-616ca6dbebaa</v>
      </c>
      <c r="AE375" s="251" t="str">
        <f>IFERROR(__xludf.DUMMYFUNCTION("""COMPUTED_VALUE"""),"019ed108-e2c3-7189-9517-c717084e1ad2")</f>
        <v>019ed108-e2c3-7189-9517-c717084e1ad2</v>
      </c>
      <c r="AF375" s="261">
        <f>IFERROR(__xludf.DUMMYFUNCTION("""COMPUTED_VALUE"""),46189.6421412037)</f>
        <v>46189.64214</v>
      </c>
      <c r="AG375" s="251" t="str">
        <f>IFERROR(__xludf.DUMMYFUNCTION("""COMPUTED_VALUE"""),"credit")</f>
        <v>credit</v>
      </c>
      <c r="AH375" s="251">
        <f>IFERROR(__xludf.DUMMYFUNCTION("""COMPUTED_VALUE"""),34738.52)</f>
        <v>34738.52</v>
      </c>
      <c r="AI375" s="251" t="str">
        <f>IFERROR(__xludf.DUMMYFUNCTION("""COMPUTED_VALUE"""),"cash_isa")</f>
        <v>cash_isa</v>
      </c>
      <c r="AJ375" s="251" t="str">
        <f>IFERROR(__xludf.DUMMYFUNCTION("""COMPUTED_VALUE"""),"9bc00e6b-ce5f-48c5-ae3a-1baabe00f337")</f>
        <v>9bc00e6b-ce5f-48c5-ae3a-1baabe00f337</v>
      </c>
      <c r="AK375" s="251" t="str">
        <f>IFERROR(__xludf.DUMMYFUNCTION("""COMPUTED_VALUE"""),"64b41fc6-f7bf-4c14-a338-d852cf7c25ab")</f>
        <v>64b41fc6-f7bf-4c14-a338-d852cf7c25ab</v>
      </c>
      <c r="AL375" s="251"/>
      <c r="AM375" s="251"/>
      <c r="AN375" s="251"/>
      <c r="AO375" s="251"/>
      <c r="AP375" s="261"/>
      <c r="AR375" s="251" t="str">
        <f t="shared" si="1"/>
        <v>34738.52_credit</v>
      </c>
      <c r="AS375" s="251" t="str">
        <f t="shared" si="2"/>
        <v>DROP</v>
      </c>
      <c r="AT375" s="247"/>
    </row>
    <row r="376">
      <c r="A376" s="262" t="s">
        <v>165</v>
      </c>
      <c r="B376" s="262" t="s">
        <v>823</v>
      </c>
      <c r="C376" s="263">
        <v>46189.650034722225</v>
      </c>
      <c r="D376" s="262" t="s">
        <v>265</v>
      </c>
      <c r="E376" s="264">
        <v>5488.02</v>
      </c>
      <c r="F376" s="262" t="s">
        <v>169</v>
      </c>
      <c r="G376" s="262" t="s">
        <v>170</v>
      </c>
      <c r="H376" s="262" t="s">
        <v>822</v>
      </c>
      <c r="I376" s="265"/>
      <c r="J376" s="265"/>
      <c r="K376" s="266"/>
      <c r="L376" s="265"/>
      <c r="M376" s="267"/>
      <c r="O376" s="247"/>
      <c r="AC376" s="247"/>
      <c r="AD376" s="251" t="str">
        <f>IFERROR(__xludf.DUMMYFUNCTION("""COMPUTED_VALUE"""),"73df5aae-f42a-49a0-9d8f-616ca6dbebaa")</f>
        <v>73df5aae-f42a-49a0-9d8f-616ca6dbebaa</v>
      </c>
      <c r="AE376" s="251" t="str">
        <f>IFERROR(__xludf.DUMMYFUNCTION("""COMPUTED_VALUE"""),"019ed109-4d6c-73d5-a5f5-03720523f372")</f>
        <v>019ed109-4d6c-73d5-a5f5-03720523f372</v>
      </c>
      <c r="AF376" s="261">
        <f>IFERROR(__xludf.DUMMYFUNCTION("""COMPUTED_VALUE"""),46189.6424537037)</f>
        <v>46189.64245</v>
      </c>
      <c r="AG376" s="251" t="str">
        <f>IFERROR(__xludf.DUMMYFUNCTION("""COMPUTED_VALUE"""),"debit")</f>
        <v>debit</v>
      </c>
      <c r="AH376" s="251">
        <f>IFERROR(__xludf.DUMMYFUNCTION("""COMPUTED_VALUE"""),500.0)</f>
        <v>500</v>
      </c>
      <c r="AI376" s="251" t="str">
        <f>IFERROR(__xludf.DUMMYFUNCTION("""COMPUTED_VALUE"""),"cash_isa")</f>
        <v>cash_isa</v>
      </c>
      <c r="AJ376" s="251" t="str">
        <f>IFERROR(__xludf.DUMMYFUNCTION("""COMPUTED_VALUE"""),"9bc00e6b-ce5f-48c5-ae3a-1baabe00f337")</f>
        <v>9bc00e6b-ce5f-48c5-ae3a-1baabe00f337</v>
      </c>
      <c r="AK376" s="251" t="str">
        <f>IFERROR(__xludf.DUMMYFUNCTION("""COMPUTED_VALUE"""),"c15787bd-94f8-4e0b-9586-fd410ad7e51f")</f>
        <v>c15787bd-94f8-4e0b-9586-fd410ad7e51f</v>
      </c>
      <c r="AL376" s="251"/>
      <c r="AM376" s="251"/>
      <c r="AN376" s="251"/>
      <c r="AO376" s="251"/>
      <c r="AP376" s="261"/>
      <c r="AR376" s="251" t="str">
        <f t="shared" si="1"/>
        <v>500_debit</v>
      </c>
      <c r="AS376" s="251" t="str">
        <f t="shared" si="2"/>
        <v>DROP</v>
      </c>
      <c r="AT376" s="247"/>
    </row>
    <row r="377">
      <c r="A377" s="255" t="s">
        <v>165</v>
      </c>
      <c r="B377" s="255" t="s">
        <v>824</v>
      </c>
      <c r="C377" s="256">
        <v>46189.65046296296</v>
      </c>
      <c r="D377" s="255" t="s">
        <v>265</v>
      </c>
      <c r="E377" s="257">
        <v>21672.66</v>
      </c>
      <c r="F377" s="255" t="s">
        <v>169</v>
      </c>
      <c r="G377" s="255" t="s">
        <v>170</v>
      </c>
      <c r="H377" s="255" t="s">
        <v>825</v>
      </c>
      <c r="I377" s="255" t="s">
        <v>825</v>
      </c>
      <c r="J377" s="255" t="s">
        <v>826</v>
      </c>
      <c r="K377" s="272">
        <v>21672.66</v>
      </c>
      <c r="L377" s="255" t="s">
        <v>173</v>
      </c>
      <c r="M377" s="273">
        <v>46153.67741898148</v>
      </c>
      <c r="O377" s="247"/>
      <c r="AC377" s="247"/>
      <c r="AD377" s="251" t="str">
        <f>IFERROR(__xludf.DUMMYFUNCTION("""COMPUTED_VALUE"""),"73df5aae-f42a-49a0-9d8f-616ca6dbebaa")</f>
        <v>73df5aae-f42a-49a0-9d8f-616ca6dbebaa</v>
      </c>
      <c r="AE377" s="251" t="str">
        <f>IFERROR(__xludf.DUMMYFUNCTION("""COMPUTED_VALUE"""),"019ed10b-39bf-7a6c-8a7a-76751eddf2da")</f>
        <v>019ed10b-39bf-7a6c-8a7a-76751eddf2da</v>
      </c>
      <c r="AF377" s="261">
        <f>IFERROR(__xludf.DUMMYFUNCTION("""COMPUTED_VALUE"""),46189.643912037034)</f>
        <v>46189.64391</v>
      </c>
      <c r="AG377" s="251" t="str">
        <f>IFERROR(__xludf.DUMMYFUNCTION("""COMPUTED_VALUE"""),"debit")</f>
        <v>debit</v>
      </c>
      <c r="AH377" s="251">
        <f>IFERROR(__xludf.DUMMYFUNCTION("""COMPUTED_VALUE"""),34738.52)</f>
        <v>34738.52</v>
      </c>
      <c r="AI377" s="251" t="str">
        <f>IFERROR(__xludf.DUMMYFUNCTION("""COMPUTED_VALUE"""),"cash_isa")</f>
        <v>cash_isa</v>
      </c>
      <c r="AJ377" s="251" t="str">
        <f>IFERROR(__xludf.DUMMYFUNCTION("""COMPUTED_VALUE"""),"9bc00e6b-ce5f-48c5-ae3a-1baabe00f337")</f>
        <v>9bc00e6b-ce5f-48c5-ae3a-1baabe00f337</v>
      </c>
      <c r="AK377" s="251" t="str">
        <f>IFERROR(__xludf.DUMMYFUNCTION("""COMPUTED_VALUE"""),"64b41fc6-f7bf-4c14-a338-d852cf7c25ab")</f>
        <v>64b41fc6-f7bf-4c14-a338-d852cf7c25ab</v>
      </c>
      <c r="AL377" s="251"/>
      <c r="AM377" s="251"/>
      <c r="AN377" s="251"/>
      <c r="AO377" s="251"/>
      <c r="AP377" s="261"/>
      <c r="AR377" s="251" t="str">
        <f t="shared" si="1"/>
        <v>34738.52_debit</v>
      </c>
      <c r="AS377" s="251" t="str">
        <f t="shared" si="2"/>
        <v>DROP</v>
      </c>
      <c r="AT377" s="247"/>
    </row>
    <row r="378">
      <c r="A378" s="262" t="s">
        <v>165</v>
      </c>
      <c r="B378" s="262" t="s">
        <v>827</v>
      </c>
      <c r="C378" s="263">
        <v>46189.648680555554</v>
      </c>
      <c r="D378" s="262" t="s">
        <v>265</v>
      </c>
      <c r="E378" s="264">
        <v>1000.42</v>
      </c>
      <c r="F378" s="262" t="s">
        <v>213</v>
      </c>
      <c r="G378" s="262" t="s">
        <v>214</v>
      </c>
      <c r="H378" s="262" t="s">
        <v>828</v>
      </c>
      <c r="I378" s="262" t="s">
        <v>828</v>
      </c>
      <c r="J378" s="262" t="s">
        <v>829</v>
      </c>
      <c r="K378" s="274">
        <v>1000.42</v>
      </c>
      <c r="L378" s="262" t="s">
        <v>173</v>
      </c>
      <c r="M378" s="275">
        <v>46175.11004629629</v>
      </c>
      <c r="O378" s="247"/>
      <c r="AC378" s="247"/>
      <c r="AD378" s="251" t="str">
        <f>IFERROR(__xludf.DUMMYFUNCTION("""COMPUTED_VALUE"""),"73df5aae-f42a-49a0-9d8f-616ca6dbebaa")</f>
        <v>73df5aae-f42a-49a0-9d8f-616ca6dbebaa</v>
      </c>
      <c r="AE378" s="251" t="str">
        <f>IFERROR(__xludf.DUMMYFUNCTION("""COMPUTED_VALUE"""),"019ed10b-9c69-76d0-a25c-70853f00d7ce")</f>
        <v>019ed10b-9c69-76d0-a25c-70853f00d7ce</v>
      </c>
      <c r="AF378" s="261">
        <f>IFERROR(__xludf.DUMMYFUNCTION("""COMPUTED_VALUE"""),46189.64421296296)</f>
        <v>46189.64421</v>
      </c>
      <c r="AG378" s="251" t="str">
        <f>IFERROR(__xludf.DUMMYFUNCTION("""COMPUTED_VALUE"""),"credit")</f>
        <v>credit</v>
      </c>
      <c r="AH378" s="251">
        <f>IFERROR(__xludf.DUMMYFUNCTION("""COMPUTED_VALUE"""),15000.0)</f>
        <v>15000</v>
      </c>
      <c r="AI378" s="251" t="str">
        <f>IFERROR(__xludf.DUMMYFUNCTION("""COMPUTED_VALUE"""),"cash_isa")</f>
        <v>cash_isa</v>
      </c>
      <c r="AJ378" s="251" t="str">
        <f>IFERROR(__xludf.DUMMYFUNCTION("""COMPUTED_VALUE"""),"9bc00e6b-ce5f-48c5-ae3a-1baabe00f337")</f>
        <v>9bc00e6b-ce5f-48c5-ae3a-1baabe00f337</v>
      </c>
      <c r="AK378" s="251" t="str">
        <f>IFERROR(__xludf.DUMMYFUNCTION("""COMPUTED_VALUE"""),"45e9e269-f356-4b00-8928-c66a89a066e0")</f>
        <v>45e9e269-f356-4b00-8928-c66a89a066e0</v>
      </c>
      <c r="AL378" s="251"/>
      <c r="AM378" s="251"/>
      <c r="AN378" s="251"/>
      <c r="AO378" s="251"/>
      <c r="AP378" s="261"/>
      <c r="AR378" s="251" t="str">
        <f t="shared" si="1"/>
        <v>15000_credit</v>
      </c>
      <c r="AS378" s="251" t="str">
        <f t="shared" si="2"/>
        <v>DROP</v>
      </c>
      <c r="AT378" s="247"/>
    </row>
    <row r="379">
      <c r="A379" s="255" t="s">
        <v>165</v>
      </c>
      <c r="B379" s="255" t="s">
        <v>830</v>
      </c>
      <c r="C379" s="256">
        <v>46189.64979166666</v>
      </c>
      <c r="D379" s="255" t="s">
        <v>265</v>
      </c>
      <c r="E379" s="257">
        <v>287.51</v>
      </c>
      <c r="F379" s="255" t="s">
        <v>213</v>
      </c>
      <c r="G379" s="255" t="s">
        <v>214</v>
      </c>
      <c r="H379" s="255" t="s">
        <v>831</v>
      </c>
      <c r="I379" s="255" t="s">
        <v>831</v>
      </c>
      <c r="J379" s="255" t="s">
        <v>832</v>
      </c>
      <c r="K379" s="272">
        <v>287.51</v>
      </c>
      <c r="L379" s="255" t="s">
        <v>173</v>
      </c>
      <c r="M379" s="273">
        <v>46175.39371527778</v>
      </c>
      <c r="O379" s="247"/>
      <c r="AC379" s="247"/>
      <c r="AD379" s="251" t="str">
        <f>IFERROR(__xludf.DUMMYFUNCTION("""COMPUTED_VALUE"""),"73df5aae-f42a-49a0-9d8f-616ca6dbebaa")</f>
        <v>73df5aae-f42a-49a0-9d8f-616ca6dbebaa</v>
      </c>
      <c r="AE379" s="251" t="str">
        <f>IFERROR(__xludf.DUMMYFUNCTION("""COMPUTED_VALUE"""),"019ed10f-0b4a-72ef-9695-14561923946e")</f>
        <v>019ed10f-0b4a-72ef-9695-14561923946e</v>
      </c>
      <c r="AF379" s="261">
        <f>IFERROR(__xludf.DUMMYFUNCTION("""COMPUTED_VALUE"""),46189.64681712963)</f>
        <v>46189.64682</v>
      </c>
      <c r="AG379" s="251" t="str">
        <f>IFERROR(__xludf.DUMMYFUNCTION("""COMPUTED_VALUE"""),"debit")</f>
        <v>debit</v>
      </c>
      <c r="AH379" s="251">
        <f>IFERROR(__xludf.DUMMYFUNCTION("""COMPUTED_VALUE"""),15000.0)</f>
        <v>15000</v>
      </c>
      <c r="AI379" s="251" t="str">
        <f>IFERROR(__xludf.DUMMYFUNCTION("""COMPUTED_VALUE"""),"cash_isa")</f>
        <v>cash_isa</v>
      </c>
      <c r="AJ379" s="251" t="str">
        <f>IFERROR(__xludf.DUMMYFUNCTION("""COMPUTED_VALUE"""),"9bc00e6b-ce5f-48c5-ae3a-1baabe00f337")</f>
        <v>9bc00e6b-ce5f-48c5-ae3a-1baabe00f337</v>
      </c>
      <c r="AK379" s="251" t="str">
        <f>IFERROR(__xludf.DUMMYFUNCTION("""COMPUTED_VALUE"""),"45e9e269-f356-4b00-8928-c66a89a066e0")</f>
        <v>45e9e269-f356-4b00-8928-c66a89a066e0</v>
      </c>
      <c r="AL379" s="251"/>
      <c r="AM379" s="251"/>
      <c r="AN379" s="251"/>
      <c r="AO379" s="251"/>
      <c r="AP379" s="261"/>
      <c r="AR379" s="251" t="str">
        <f t="shared" si="1"/>
        <v>15000_debit</v>
      </c>
      <c r="AS379" s="251" t="str">
        <f t="shared" si="2"/>
        <v>DROP</v>
      </c>
      <c r="AT379" s="247"/>
    </row>
    <row r="380">
      <c r="A380" s="262" t="s">
        <v>165</v>
      </c>
      <c r="B380" s="262" t="s">
        <v>833</v>
      </c>
      <c r="C380" s="263">
        <v>46189.64979166666</v>
      </c>
      <c r="D380" s="262" t="s">
        <v>265</v>
      </c>
      <c r="E380" s="264">
        <v>14249.6</v>
      </c>
      <c r="F380" s="262" t="s">
        <v>213</v>
      </c>
      <c r="G380" s="262" t="s">
        <v>214</v>
      </c>
      <c r="H380" s="262" t="s">
        <v>834</v>
      </c>
      <c r="I380" s="262" t="s">
        <v>834</v>
      </c>
      <c r="J380" s="262" t="s">
        <v>835</v>
      </c>
      <c r="K380" s="274">
        <v>14249.6</v>
      </c>
      <c r="L380" s="262" t="s">
        <v>173</v>
      </c>
      <c r="M380" s="275">
        <v>46175.46650462963</v>
      </c>
      <c r="O380" s="247"/>
      <c r="AC380" s="247"/>
      <c r="AD380" s="251" t="str">
        <f>IFERROR(__xludf.DUMMYFUNCTION("""COMPUTED_VALUE"""),"73df5aae-f42a-49a0-9d8f-616ca6dbebaa")</f>
        <v>73df5aae-f42a-49a0-9d8f-616ca6dbebaa</v>
      </c>
      <c r="AE380" s="251" t="str">
        <f>IFERROR(__xludf.DUMMYFUNCTION("""COMPUTED_VALUE"""),"019ed111-1791-7664-9231-6185c0e5cb13")</f>
        <v>019ed111-1791-7664-9231-6185c0e5cb13</v>
      </c>
      <c r="AF380" s="261">
        <f>IFERROR(__xludf.DUMMYFUNCTION("""COMPUTED_VALUE"""),46189.648368055554)</f>
        <v>46189.64837</v>
      </c>
      <c r="AG380" s="251" t="str">
        <f>IFERROR(__xludf.DUMMYFUNCTION("""COMPUTED_VALUE"""),"credit")</f>
        <v>credit</v>
      </c>
      <c r="AH380" s="251">
        <f>IFERROR(__xludf.DUMMYFUNCTION("""COMPUTED_VALUE"""),5488.02)</f>
        <v>5488.02</v>
      </c>
      <c r="AI380" s="251" t="str">
        <f>IFERROR(__xludf.DUMMYFUNCTION("""COMPUTED_VALUE"""),"cash_isa")</f>
        <v>cash_isa</v>
      </c>
      <c r="AJ380" s="251" t="str">
        <f>IFERROR(__xludf.DUMMYFUNCTION("""COMPUTED_VALUE"""),"9bc00e6b-ce5f-48c5-ae3a-1baabe00f337")</f>
        <v>9bc00e6b-ce5f-48c5-ae3a-1baabe00f337</v>
      </c>
      <c r="AK380" s="251" t="str">
        <f>IFERROR(__xludf.DUMMYFUNCTION("""COMPUTED_VALUE"""),"9228160d-f25a-43ef-9906-4d2fe62662a2")</f>
        <v>9228160d-f25a-43ef-9906-4d2fe62662a2</v>
      </c>
      <c r="AL380" s="251"/>
      <c r="AM380" s="251"/>
      <c r="AN380" s="251"/>
      <c r="AO380" s="251"/>
      <c r="AP380" s="261"/>
      <c r="AR380" s="251" t="str">
        <f t="shared" si="1"/>
        <v>5488.02_credit</v>
      </c>
      <c r="AS380" s="251" t="str">
        <f t="shared" si="2"/>
        <v>DROP</v>
      </c>
      <c r="AT380" s="247"/>
    </row>
    <row r="381">
      <c r="A381" s="255" t="s">
        <v>165</v>
      </c>
      <c r="B381" s="255" t="s">
        <v>836</v>
      </c>
      <c r="C381" s="256">
        <v>46189.36858796296</v>
      </c>
      <c r="D381" s="255" t="s">
        <v>265</v>
      </c>
      <c r="E381" s="257">
        <v>2947.19</v>
      </c>
      <c r="F381" s="255" t="s">
        <v>213</v>
      </c>
      <c r="G381" s="255" t="s">
        <v>214</v>
      </c>
      <c r="H381" s="255" t="s">
        <v>837</v>
      </c>
      <c r="I381" s="255" t="s">
        <v>837</v>
      </c>
      <c r="J381" s="255" t="s">
        <v>838</v>
      </c>
      <c r="K381" s="272">
        <v>2947.19</v>
      </c>
      <c r="L381" s="255" t="s">
        <v>173</v>
      </c>
      <c r="M381" s="273">
        <v>46175.52678240741</v>
      </c>
      <c r="O381" s="247"/>
      <c r="AC381" s="247"/>
      <c r="AD381" s="251" t="str">
        <f>IFERROR(__xludf.DUMMYFUNCTION("""COMPUTED_VALUE"""),"73df5aae-f42a-49a0-9d8f-616ca6dbebaa")</f>
        <v>73df5aae-f42a-49a0-9d8f-616ca6dbebaa</v>
      </c>
      <c r="AE381" s="251" t="str">
        <f>IFERROR(__xludf.DUMMYFUNCTION("""COMPUTED_VALUE"""),"019ed113-4afc-7452-ac8c-6d893d9aff62")</f>
        <v>019ed113-4afc-7452-ac8c-6d893d9aff62</v>
      </c>
      <c r="AF381" s="261">
        <f>IFERROR(__xludf.DUMMYFUNCTION("""COMPUTED_VALUE"""),46189.65003472222)</f>
        <v>46189.65003</v>
      </c>
      <c r="AG381" s="251" t="str">
        <f>IFERROR(__xludf.DUMMYFUNCTION("""COMPUTED_VALUE"""),"debit")</f>
        <v>debit</v>
      </c>
      <c r="AH381" s="251">
        <f>IFERROR(__xludf.DUMMYFUNCTION("""COMPUTED_VALUE"""),5488.02)</f>
        <v>5488.02</v>
      </c>
      <c r="AI381" s="251" t="str">
        <f>IFERROR(__xludf.DUMMYFUNCTION("""COMPUTED_VALUE"""),"cash_isa")</f>
        <v>cash_isa</v>
      </c>
      <c r="AJ381" s="251" t="str">
        <f>IFERROR(__xludf.DUMMYFUNCTION("""COMPUTED_VALUE"""),"9bc00e6b-ce5f-48c5-ae3a-1baabe00f337")</f>
        <v>9bc00e6b-ce5f-48c5-ae3a-1baabe00f337</v>
      </c>
      <c r="AK381" s="251" t="str">
        <f>IFERROR(__xludf.DUMMYFUNCTION("""COMPUTED_VALUE"""),"9228160d-f25a-43ef-9906-4d2fe62662a2")</f>
        <v>9228160d-f25a-43ef-9906-4d2fe62662a2</v>
      </c>
      <c r="AL381" s="251"/>
      <c r="AM381" s="251"/>
      <c r="AN381" s="251"/>
      <c r="AO381" s="251"/>
      <c r="AP381" s="261"/>
      <c r="AR381" s="251" t="str">
        <f t="shared" si="1"/>
        <v>5488.02_debit</v>
      </c>
      <c r="AS381" s="251" t="str">
        <f t="shared" si="2"/>
        <v>DROP</v>
      </c>
      <c r="AT381" s="247"/>
    </row>
    <row r="382">
      <c r="A382" s="255" t="s">
        <v>165</v>
      </c>
      <c r="B382" s="255" t="s">
        <v>839</v>
      </c>
      <c r="C382" s="256">
        <v>46189.382268518515</v>
      </c>
      <c r="D382" s="255" t="s">
        <v>265</v>
      </c>
      <c r="E382" s="257">
        <v>18989.0</v>
      </c>
      <c r="F382" s="255" t="s">
        <v>169</v>
      </c>
      <c r="G382" s="255" t="s">
        <v>170</v>
      </c>
      <c r="H382" s="255" t="s">
        <v>840</v>
      </c>
      <c r="I382" s="255" t="s">
        <v>840</v>
      </c>
      <c r="J382" s="255" t="s">
        <v>841</v>
      </c>
      <c r="K382" s="257">
        <v>18989.0</v>
      </c>
      <c r="L382" s="255" t="s">
        <v>173</v>
      </c>
      <c r="M382" s="256">
        <v>46181.562314814815</v>
      </c>
      <c r="O382" s="247"/>
      <c r="AC382" s="247"/>
      <c r="AD382" s="251" t="str">
        <f>IFERROR(__xludf.DUMMYFUNCTION("""COMPUTED_VALUE"""),"73df5aae-f42a-49a0-9d8f-616ca6dbebaa")</f>
        <v>73df5aae-f42a-49a0-9d8f-616ca6dbebaa</v>
      </c>
      <c r="AE382" s="251" t="str">
        <f>IFERROR(__xludf.DUMMYFUNCTION("""COMPUTED_VALUE"""),"019ed113-db36-7cc1-bf1f-f2778d3e3a69")</f>
        <v>019ed113-db36-7cc1-bf1f-f2778d3e3a69</v>
      </c>
      <c r="AF382" s="261">
        <f>IFERROR(__xludf.DUMMYFUNCTION("""COMPUTED_VALUE"""),46189.65046296296)</f>
        <v>46189.65046</v>
      </c>
      <c r="AG382" s="251" t="str">
        <f>IFERROR(__xludf.DUMMYFUNCTION("""COMPUTED_VALUE"""),"debit")</f>
        <v>debit</v>
      </c>
      <c r="AH382" s="251">
        <f>IFERROR(__xludf.DUMMYFUNCTION("""COMPUTED_VALUE"""),21672.66)</f>
        <v>21672.66</v>
      </c>
      <c r="AI382" s="251" t="str">
        <f>IFERROR(__xludf.DUMMYFUNCTION("""COMPUTED_VALUE"""),"cash_isa")</f>
        <v>cash_isa</v>
      </c>
      <c r="AJ382" s="251" t="str">
        <f>IFERROR(__xludf.DUMMYFUNCTION("""COMPUTED_VALUE"""),"9bc00e6b-ce5f-48c5-ae3a-1baabe00f337")</f>
        <v>9bc00e6b-ce5f-48c5-ae3a-1baabe00f337</v>
      </c>
      <c r="AK382" s="251" t="str">
        <f>IFERROR(__xludf.DUMMYFUNCTION("""COMPUTED_VALUE"""),"98dfe598-22b1-4ae2-919c-cdeeecf42108")</f>
        <v>98dfe598-22b1-4ae2-919c-cdeeecf42108</v>
      </c>
      <c r="AL382" s="251" t="str">
        <f>IFERROR(__xludf.DUMMYFUNCTION("""COMPUTED_VALUE"""),"98dfe598-22b1-4ae2-919c-cdeeecf42108")</f>
        <v>98dfe598-22b1-4ae2-919c-cdeeecf42108</v>
      </c>
      <c r="AM382" s="251" t="str">
        <f>IFERROR(__xludf.DUMMYFUNCTION("""COMPUTED_VALUE"""),"NOREF-2119575534")</f>
        <v>NOREF-2119575534</v>
      </c>
      <c r="AN382" s="251">
        <f>IFERROR(__xludf.DUMMYFUNCTION("""COMPUTED_VALUE"""),21672.66)</f>
        <v>21672.66</v>
      </c>
      <c r="AO382" s="251" t="str">
        <f>IFERROR(__xludf.DUMMYFUNCTION("""COMPUTED_VALUE"""),"payin")</f>
        <v>payin</v>
      </c>
      <c r="AP382" s="261">
        <f>IFERROR(__xludf.DUMMYFUNCTION("""COMPUTED_VALUE"""),46153.67741898148)</f>
        <v>46153.67742</v>
      </c>
      <c r="AR382" s="251" t="str">
        <f t="shared" si="1"/>
        <v>21672.66_debit</v>
      </c>
      <c r="AS382" s="251" t="str">
        <f t="shared" si="2"/>
        <v>KEEP</v>
      </c>
      <c r="AT382" s="247"/>
    </row>
    <row r="383">
      <c r="A383" s="255" t="s">
        <v>165</v>
      </c>
      <c r="B383" s="255" t="s">
        <v>842</v>
      </c>
      <c r="C383" s="256">
        <v>46189.379525462966</v>
      </c>
      <c r="D383" s="255" t="s">
        <v>265</v>
      </c>
      <c r="E383" s="257">
        <v>13326.74</v>
      </c>
      <c r="F383" s="255" t="s">
        <v>169</v>
      </c>
      <c r="G383" s="255" t="s">
        <v>170</v>
      </c>
      <c r="H383" s="255" t="s">
        <v>843</v>
      </c>
      <c r="I383" s="255" t="s">
        <v>843</v>
      </c>
      <c r="J383" s="258"/>
      <c r="K383" s="257">
        <v>13326.74</v>
      </c>
      <c r="L383" s="255" t="s">
        <v>844</v>
      </c>
      <c r="M383" s="256">
        <v>46183.25782407408</v>
      </c>
      <c r="O383" s="247"/>
      <c r="AC383" s="247"/>
      <c r="AD383" s="251" t="str">
        <f>IFERROR(__xludf.DUMMYFUNCTION("""COMPUTED_VALUE"""),"73df5aae-f42a-49a0-9d8f-616ca6dbebaa")</f>
        <v>73df5aae-f42a-49a0-9d8f-616ca6dbebaa</v>
      </c>
      <c r="AE383" s="251" t="str">
        <f>IFERROR(__xludf.DUMMYFUNCTION("""COMPUTED_VALUE"""),"019ecfb2-4980-7229-903f-40db4994fdf1")</f>
        <v>019ecfb2-4980-7229-903f-40db4994fdf1</v>
      </c>
      <c r="AF383" s="261">
        <f>IFERROR(__xludf.DUMMYFUNCTION("""COMPUTED_VALUE"""),46189.382268518515)</f>
        <v>46189.38227</v>
      </c>
      <c r="AG383" s="251" t="str">
        <f>IFERROR(__xludf.DUMMYFUNCTION("""COMPUTED_VALUE"""),"debit")</f>
        <v>debit</v>
      </c>
      <c r="AH383" s="251">
        <f>IFERROR(__xludf.DUMMYFUNCTION("""COMPUTED_VALUE"""),18989.0)</f>
        <v>18989</v>
      </c>
      <c r="AI383" s="251" t="str">
        <f>IFERROR(__xludf.DUMMYFUNCTION("""COMPUTED_VALUE"""),"cash_isa")</f>
        <v>cash_isa</v>
      </c>
      <c r="AJ383" s="251" t="str">
        <f>IFERROR(__xludf.DUMMYFUNCTION("""COMPUTED_VALUE"""),"9bc00e6b-ce5f-48c5-ae3a-1baabe00f337")</f>
        <v>9bc00e6b-ce5f-48c5-ae3a-1baabe00f337</v>
      </c>
      <c r="AK383" s="251" t="str">
        <f>IFERROR(__xludf.DUMMYFUNCTION("""COMPUTED_VALUE"""),"d02fd859-d682-4368-bc53-bdd594a15f1b")</f>
        <v>d02fd859-d682-4368-bc53-bdd594a15f1b</v>
      </c>
      <c r="AL383" s="251" t="str">
        <f>IFERROR(__xludf.DUMMYFUNCTION("""COMPUTED_VALUE"""),"d02fd859-d682-4368-bc53-bdd594a15f1b")</f>
        <v>d02fd859-d682-4368-bc53-bdd594a15f1b</v>
      </c>
      <c r="AM383" s="251" t="str">
        <f>IFERROR(__xludf.DUMMYFUNCTION("""COMPUTED_VALUE"""),"Return of Funds-501102174")</f>
        <v>Return of Funds-501102174</v>
      </c>
      <c r="AN383" s="251">
        <f>IFERROR(__xludf.DUMMYFUNCTION("""COMPUTED_VALUE"""),18989.0)</f>
        <v>18989</v>
      </c>
      <c r="AO383" s="251" t="str">
        <f>IFERROR(__xludf.DUMMYFUNCTION("""COMPUTED_VALUE"""),"payin")</f>
        <v>payin</v>
      </c>
      <c r="AP383" s="261">
        <f>IFERROR(__xludf.DUMMYFUNCTION("""COMPUTED_VALUE"""),46181.562314814815)</f>
        <v>46181.56231</v>
      </c>
      <c r="AR383" s="251" t="str">
        <f t="shared" si="1"/>
        <v>18989_debit</v>
      </c>
      <c r="AS383" s="251" t="str">
        <f t="shared" si="2"/>
        <v>KEEP</v>
      </c>
      <c r="AT383" s="247"/>
    </row>
    <row r="384">
      <c r="A384" s="262" t="s">
        <v>165</v>
      </c>
      <c r="B384" s="262" t="s">
        <v>845</v>
      </c>
      <c r="C384" s="263">
        <v>46189.66677083333</v>
      </c>
      <c r="D384" s="262" t="s">
        <v>265</v>
      </c>
      <c r="E384" s="264">
        <v>1000.44</v>
      </c>
      <c r="F384" s="262" t="s">
        <v>213</v>
      </c>
      <c r="G384" s="262" t="s">
        <v>214</v>
      </c>
      <c r="H384" s="262" t="s">
        <v>846</v>
      </c>
      <c r="I384" s="262" t="s">
        <v>846</v>
      </c>
      <c r="J384" s="262" t="s">
        <v>847</v>
      </c>
      <c r="K384" s="264">
        <v>1000.44</v>
      </c>
      <c r="L384" s="262" t="s">
        <v>173</v>
      </c>
      <c r="M384" s="263">
        <v>46183.41357638889</v>
      </c>
      <c r="O384" s="247"/>
      <c r="AC384" s="247"/>
      <c r="AD384" s="251" t="str">
        <f>IFERROR(__xludf.DUMMYFUNCTION("""COMPUTED_VALUE"""),"73df5aae-f42a-49a0-9d8f-616ca6dbebaa")</f>
        <v>73df5aae-f42a-49a0-9d8f-616ca6dbebaa</v>
      </c>
      <c r="AE384" s="251" t="str">
        <f>IFERROR(__xludf.DUMMYFUNCTION("""COMPUTED_VALUE"""),"019ecfae-a956-7cee-9cd6-cc020e483641")</f>
        <v>019ecfae-a956-7cee-9cd6-cc020e483641</v>
      </c>
      <c r="AF384" s="261">
        <f>IFERROR(__xludf.DUMMYFUNCTION("""COMPUTED_VALUE"""),46189.379525462966)</f>
        <v>46189.37953</v>
      </c>
      <c r="AG384" s="251" t="str">
        <f>IFERROR(__xludf.DUMMYFUNCTION("""COMPUTED_VALUE"""),"debit")</f>
        <v>debit</v>
      </c>
      <c r="AH384" s="251">
        <f>IFERROR(__xludf.DUMMYFUNCTION("""COMPUTED_VALUE"""),13326.74)</f>
        <v>13326.74</v>
      </c>
      <c r="AI384" s="251" t="str">
        <f>IFERROR(__xludf.DUMMYFUNCTION("""COMPUTED_VALUE"""),"cash_isa")</f>
        <v>cash_isa</v>
      </c>
      <c r="AJ384" s="251" t="str">
        <f>IFERROR(__xludf.DUMMYFUNCTION("""COMPUTED_VALUE"""),"9bc00e6b-ce5f-48c5-ae3a-1baabe00f337")</f>
        <v>9bc00e6b-ce5f-48c5-ae3a-1baabe00f337</v>
      </c>
      <c r="AK384" s="251" t="str">
        <f>IFERROR(__xludf.DUMMYFUNCTION("""COMPUTED_VALUE"""),"f0a37a7e-0033-47e7-97ae-2a9b66aa8fa6")</f>
        <v>f0a37a7e-0033-47e7-97ae-2a9b66aa8fa6</v>
      </c>
      <c r="AL384" s="251" t="str">
        <f>IFERROR(__xludf.DUMMYFUNCTION("""COMPUTED_VALUE"""),"f0a37a7e-0033-47e7-97ae-2a9b66aa8fa6")</f>
        <v>f0a37a7e-0033-47e7-97ae-2a9b66aa8fa6</v>
      </c>
      <c r="AM384" s="251"/>
      <c r="AN384" s="251">
        <f>IFERROR(__xludf.DUMMYFUNCTION("""COMPUTED_VALUE"""),13326.74)</f>
        <v>13326.74</v>
      </c>
      <c r="AO384" s="251" t="str">
        <f>IFERROR(__xludf.DUMMYFUNCTION("""COMPUTED_VALUE"""),"payout")</f>
        <v>payout</v>
      </c>
      <c r="AP384" s="261">
        <f>IFERROR(__xludf.DUMMYFUNCTION("""COMPUTED_VALUE"""),46183.25782407407)</f>
        <v>46183.25782</v>
      </c>
      <c r="AR384" s="251" t="str">
        <f t="shared" si="1"/>
        <v>13326.74_debit</v>
      </c>
      <c r="AS384" s="251" t="str">
        <f t="shared" si="2"/>
        <v>KEEP</v>
      </c>
      <c r="AT384" s="247"/>
    </row>
    <row r="385">
      <c r="A385" s="255" t="s">
        <v>165</v>
      </c>
      <c r="B385" s="255" t="s">
        <v>848</v>
      </c>
      <c r="C385" s="256">
        <v>46189.654398148145</v>
      </c>
      <c r="D385" s="255" t="s">
        <v>265</v>
      </c>
      <c r="E385" s="257">
        <v>21409.16</v>
      </c>
      <c r="F385" s="255" t="s">
        <v>213</v>
      </c>
      <c r="G385" s="255" t="s">
        <v>214</v>
      </c>
      <c r="H385" s="255" t="s">
        <v>849</v>
      </c>
      <c r="I385" s="255" t="s">
        <v>849</v>
      </c>
      <c r="J385" s="255" t="s">
        <v>850</v>
      </c>
      <c r="K385" s="257">
        <v>21409.16</v>
      </c>
      <c r="L385" s="255" t="s">
        <v>173</v>
      </c>
      <c r="M385" s="256">
        <v>46185.09847222222</v>
      </c>
      <c r="O385" s="247"/>
      <c r="AC385" s="247"/>
      <c r="AD385" s="251" t="str">
        <f>IFERROR(__xludf.DUMMYFUNCTION("""COMPUTED_VALUE"""),"73df5aae-f42a-49a0-9d8f-616ca6dbebaa")</f>
        <v>73df5aae-f42a-49a0-9d8f-616ca6dbebaa</v>
      </c>
      <c r="AE385" s="251" t="str">
        <f>IFERROR(__xludf.DUMMYFUNCTION("""COMPUTED_VALUE"""),"019ed024-8a33-7fb5-96a0-78ffd98b3516")</f>
        <v>019ed024-8a33-7fb5-96a0-78ffd98b3516</v>
      </c>
      <c r="AF385" s="261">
        <f>IFERROR(__xludf.DUMMYFUNCTION("""COMPUTED_VALUE"""),46189.468935185185)</f>
        <v>46189.46894</v>
      </c>
      <c r="AG385" s="251" t="str">
        <f>IFERROR(__xludf.DUMMYFUNCTION("""COMPUTED_VALUE"""),"credit")</f>
        <v>credit</v>
      </c>
      <c r="AH385" s="251">
        <f>IFERROR(__xludf.DUMMYFUNCTION("""COMPUTED_VALUE"""),7.35)</f>
        <v>7.35</v>
      </c>
      <c r="AI385" s="251" t="str">
        <f>IFERROR(__xludf.DUMMYFUNCTION("""COMPUTED_VALUE"""),"cash_isa")</f>
        <v>cash_isa</v>
      </c>
      <c r="AJ385" s="251" t="str">
        <f>IFERROR(__xludf.DUMMYFUNCTION("""COMPUTED_VALUE"""),"9bc00e6b-ce5f-48c5-ae3a-1baabe00f337")</f>
        <v>9bc00e6b-ce5f-48c5-ae3a-1baabe00f337</v>
      </c>
      <c r="AK385" s="251" t="str">
        <f>IFERROR(__xludf.DUMMYFUNCTION("""COMPUTED_VALUE"""),"42c3a58b-fec1-43e1-b86e-f071b829ba7a")</f>
        <v>42c3a58b-fec1-43e1-b86e-f071b829ba7a</v>
      </c>
      <c r="AL385" s="251" t="str">
        <f>IFERROR(__xludf.DUMMYFUNCTION("""COMPUTED_VALUE"""),"42c3a58b-fec1-43e1-b86e-f071b829ba7a")</f>
        <v>42c3a58b-fec1-43e1-b86e-f071b829ba7a</v>
      </c>
      <c r="AM385" s="251" t="str">
        <f>IFERROR(__xludf.DUMMYFUNCTION("""COMPUTED_VALUE"""),"NOREF-910332414")</f>
        <v>NOREF-910332414</v>
      </c>
      <c r="AN385" s="251">
        <f>IFERROR(__xludf.DUMMYFUNCTION("""COMPUTED_VALUE"""),7.35)</f>
        <v>7.35</v>
      </c>
      <c r="AO385" s="251" t="str">
        <f>IFERROR(__xludf.DUMMYFUNCTION("""COMPUTED_VALUE"""),"payin")</f>
        <v>payin</v>
      </c>
      <c r="AP385" s="261">
        <f>IFERROR(__xludf.DUMMYFUNCTION("""COMPUTED_VALUE"""),46188.454293981486)</f>
        <v>46188.45429</v>
      </c>
      <c r="AR385" s="251" t="str">
        <f t="shared" si="1"/>
        <v>7.35_credit</v>
      </c>
      <c r="AS385" s="251" t="str">
        <f t="shared" si="2"/>
        <v>KEEP</v>
      </c>
      <c r="AT385" s="247"/>
    </row>
    <row r="386">
      <c r="A386" s="255" t="s">
        <v>165</v>
      </c>
      <c r="B386" s="255" t="s">
        <v>193</v>
      </c>
      <c r="C386" s="256">
        <v>46189.468935185185</v>
      </c>
      <c r="D386" s="255" t="s">
        <v>167</v>
      </c>
      <c r="E386" s="257">
        <v>7.35</v>
      </c>
      <c r="F386" s="255" t="s">
        <v>169</v>
      </c>
      <c r="G386" s="255" t="s">
        <v>170</v>
      </c>
      <c r="H386" s="255" t="s">
        <v>194</v>
      </c>
      <c r="I386" s="255" t="s">
        <v>194</v>
      </c>
      <c r="J386" s="255" t="s">
        <v>195</v>
      </c>
      <c r="K386" s="257">
        <v>7.35</v>
      </c>
      <c r="L386" s="255" t="s">
        <v>173</v>
      </c>
      <c r="M386" s="256">
        <v>46188.45429398148</v>
      </c>
      <c r="O386" s="247"/>
      <c r="AC386" s="247"/>
      <c r="AD386" s="251" t="str">
        <f>IFERROR(__xludf.DUMMYFUNCTION("""COMPUTED_VALUE"""),"73df5aae-f42a-49a0-9d8f-616ca6dbebaa")</f>
        <v>73df5aae-f42a-49a0-9d8f-616ca6dbebaa</v>
      </c>
      <c r="AE386" s="251" t="str">
        <f>IFERROR(__xludf.DUMMYFUNCTION("""COMPUTED_VALUE"""),"019ed024-854b-7377-878e-9bd25cd97072")</f>
        <v>019ed024-854b-7377-878e-9bd25cd97072</v>
      </c>
      <c r="AF386" s="261">
        <f>IFERROR(__xludf.DUMMYFUNCTION("""COMPUTED_VALUE"""),46189.468923611115)</f>
        <v>46189.46892</v>
      </c>
      <c r="AG386" s="251" t="str">
        <f>IFERROR(__xludf.DUMMYFUNCTION("""COMPUTED_VALUE"""),"credit")</f>
        <v>credit</v>
      </c>
      <c r="AH386" s="251">
        <f>IFERROR(__xludf.DUMMYFUNCTION("""COMPUTED_VALUE"""),21471.6)</f>
        <v>21471.6</v>
      </c>
      <c r="AI386" s="251" t="str">
        <f>IFERROR(__xludf.DUMMYFUNCTION("""COMPUTED_VALUE"""),"cash_isa")</f>
        <v>cash_isa</v>
      </c>
      <c r="AJ386" s="251" t="str">
        <f>IFERROR(__xludf.DUMMYFUNCTION("""COMPUTED_VALUE"""),"9bc00e6b-ce5f-48c5-ae3a-1baabe00f337")</f>
        <v>9bc00e6b-ce5f-48c5-ae3a-1baabe00f337</v>
      </c>
      <c r="AK386" s="251" t="str">
        <f>IFERROR(__xludf.DUMMYFUNCTION("""COMPUTED_VALUE"""),"228cd2f5-1ee0-4962-a649-82c9f17961ae")</f>
        <v>228cd2f5-1ee0-4962-a649-82c9f17961ae</v>
      </c>
      <c r="AL386" s="251" t="str">
        <f>IFERROR(__xludf.DUMMYFUNCTION("""COMPUTED_VALUE"""),"228cd2f5-1ee0-4962-a649-82c9f17961ae")</f>
        <v>228cd2f5-1ee0-4962-a649-82c9f17961ae</v>
      </c>
      <c r="AM386" s="251" t="str">
        <f>IFERROR(__xludf.DUMMYFUNCTION("""COMPUTED_VALUE"""),"WK648730Ba-580073357")</f>
        <v>WK648730Ba-580073357</v>
      </c>
      <c r="AN386" s="251">
        <f>IFERROR(__xludf.DUMMYFUNCTION("""COMPUTED_VALUE"""),21471.6)</f>
        <v>21471.6</v>
      </c>
      <c r="AO386" s="251" t="str">
        <f>IFERROR(__xludf.DUMMYFUNCTION("""COMPUTED_VALUE"""),"payin")</f>
        <v>payin</v>
      </c>
      <c r="AP386" s="261">
        <f>IFERROR(__xludf.DUMMYFUNCTION("""COMPUTED_VALUE"""),46188.66883101852)</f>
        <v>46188.66883</v>
      </c>
      <c r="AR386" s="251" t="str">
        <f t="shared" si="1"/>
        <v>21471.6_credit</v>
      </c>
      <c r="AS386" s="251" t="str">
        <f t="shared" si="2"/>
        <v>KEEP</v>
      </c>
      <c r="AT386" s="247"/>
    </row>
    <row r="387">
      <c r="A387" s="262" t="s">
        <v>165</v>
      </c>
      <c r="B387" s="262" t="s">
        <v>255</v>
      </c>
      <c r="C387" s="263">
        <v>46189.66320601852</v>
      </c>
      <c r="D387" s="262" t="s">
        <v>167</v>
      </c>
      <c r="E387" s="264">
        <v>15800.69</v>
      </c>
      <c r="F387" s="262" t="s">
        <v>213</v>
      </c>
      <c r="G387" s="262" t="s">
        <v>214</v>
      </c>
      <c r="H387" s="262" t="s">
        <v>256</v>
      </c>
      <c r="I387" s="262" t="s">
        <v>256</v>
      </c>
      <c r="J387" s="262" t="s">
        <v>257</v>
      </c>
      <c r="K387" s="264">
        <v>15800.69</v>
      </c>
      <c r="L387" s="262" t="s">
        <v>173</v>
      </c>
      <c r="M387" s="263">
        <v>46188.56484953704</v>
      </c>
      <c r="O387" s="247"/>
      <c r="AC387" s="247"/>
      <c r="AD387" s="251" t="str">
        <f>IFERROR(__xludf.DUMMYFUNCTION("""COMPUTED_VALUE"""),"73df5aae-f42a-49a0-9d8f-616ca6dbebaa")</f>
        <v>73df5aae-f42a-49a0-9d8f-616ca6dbebaa</v>
      </c>
      <c r="AE387" s="251" t="str">
        <f>IFERROR(__xludf.DUMMYFUNCTION("""COMPUTED_VALUE"""),"019ed024-864c-78df-b53a-e34f6f766c49")</f>
        <v>019ed024-864c-78df-b53a-e34f6f766c49</v>
      </c>
      <c r="AF387" s="261">
        <f>IFERROR(__xludf.DUMMYFUNCTION("""COMPUTED_VALUE"""),46189.468923611115)</f>
        <v>46189.46892</v>
      </c>
      <c r="AG387" s="251" t="str">
        <f>IFERROR(__xludf.DUMMYFUNCTION("""COMPUTED_VALUE"""),"credit")</f>
        <v>credit</v>
      </c>
      <c r="AH387" s="251">
        <f>IFERROR(__xludf.DUMMYFUNCTION("""COMPUTED_VALUE"""),20974.52)</f>
        <v>20974.52</v>
      </c>
      <c r="AI387" s="251" t="str">
        <f>IFERROR(__xludf.DUMMYFUNCTION("""COMPUTED_VALUE"""),"cash_isa")</f>
        <v>cash_isa</v>
      </c>
      <c r="AJ387" s="251" t="str">
        <f>IFERROR(__xludf.DUMMYFUNCTION("""COMPUTED_VALUE"""),"9bc00e6b-ce5f-48c5-ae3a-1baabe00f337")</f>
        <v>9bc00e6b-ce5f-48c5-ae3a-1baabe00f337</v>
      </c>
      <c r="AK387" s="251" t="str">
        <f>IFERROR(__xludf.DUMMYFUNCTION("""COMPUTED_VALUE"""),"084ad475-9333-4dbe-8fb5-7d7b8ad84064")</f>
        <v>084ad475-9333-4dbe-8fb5-7d7b8ad84064</v>
      </c>
      <c r="AL387" s="251" t="str">
        <f>IFERROR(__xludf.DUMMYFUNCTION("""COMPUTED_VALUE"""),"084ad475-9333-4dbe-8fb5-7d7b8ad84064")</f>
        <v>084ad475-9333-4dbe-8fb5-7d7b8ad84064</v>
      </c>
      <c r="AM387" s="251" t="str">
        <f>IFERROR(__xludf.DUMMYFUNCTION("""COMPUTED_VALUE"""),"NZ656284A-1098901635")</f>
        <v>NZ656284A-1098901635</v>
      </c>
      <c r="AN387" s="251">
        <f>IFERROR(__xludf.DUMMYFUNCTION("""COMPUTED_VALUE"""),20974.52)</f>
        <v>20974.52</v>
      </c>
      <c r="AO387" s="251" t="str">
        <f>IFERROR(__xludf.DUMMYFUNCTION("""COMPUTED_VALUE"""),"payin")</f>
        <v>payin</v>
      </c>
      <c r="AP387" s="261">
        <f>IFERROR(__xludf.DUMMYFUNCTION("""COMPUTED_VALUE"""),46188.66883101852)</f>
        <v>46188.66883</v>
      </c>
      <c r="AR387" s="251" t="str">
        <f t="shared" si="1"/>
        <v>20974.52_credit</v>
      </c>
      <c r="AS387" s="251" t="str">
        <f t="shared" si="2"/>
        <v>KEEP</v>
      </c>
      <c r="AT387" s="247"/>
    </row>
    <row r="388">
      <c r="A388" s="262" t="s">
        <v>165</v>
      </c>
      <c r="B388" s="262" t="s">
        <v>184</v>
      </c>
      <c r="C388" s="263">
        <v>46189.46892361111</v>
      </c>
      <c r="D388" s="262" t="s">
        <v>167</v>
      </c>
      <c r="E388" s="264">
        <v>21471.6</v>
      </c>
      <c r="F388" s="262" t="s">
        <v>169</v>
      </c>
      <c r="G388" s="262" t="s">
        <v>170</v>
      </c>
      <c r="H388" s="262" t="s">
        <v>185</v>
      </c>
      <c r="I388" s="262" t="s">
        <v>185</v>
      </c>
      <c r="J388" s="262" t="s">
        <v>186</v>
      </c>
      <c r="K388" s="264">
        <v>21471.6</v>
      </c>
      <c r="L388" s="262" t="s">
        <v>173</v>
      </c>
      <c r="M388" s="263">
        <v>46188.66883101852</v>
      </c>
      <c r="O388" s="247"/>
      <c r="AC388" s="247"/>
      <c r="AD388" s="251" t="str">
        <f>IFERROR(__xludf.DUMMYFUNCTION("""COMPUTED_VALUE"""),"73df5aae-f42a-49a0-9d8f-616ca6dbebaa")</f>
        <v>73df5aae-f42a-49a0-9d8f-616ca6dbebaa</v>
      </c>
      <c r="AE388" s="251" t="str">
        <f>IFERROR(__xludf.DUMMYFUNCTION("""COMPUTED_VALUE"""),"019ed024-88f1-789c-a803-e90f28c9087e")</f>
        <v>019ed024-88f1-789c-a803-e90f28c9087e</v>
      </c>
      <c r="AF388" s="261">
        <f>IFERROR(__xludf.DUMMYFUNCTION("""COMPUTED_VALUE"""),46189.468935185185)</f>
        <v>46189.46894</v>
      </c>
      <c r="AG388" s="251" t="str">
        <f>IFERROR(__xludf.DUMMYFUNCTION("""COMPUTED_VALUE"""),"credit")</f>
        <v>credit</v>
      </c>
      <c r="AH388" s="251">
        <f>IFERROR(__xludf.DUMMYFUNCTION("""COMPUTED_VALUE"""),250.0)</f>
        <v>250</v>
      </c>
      <c r="AI388" s="251" t="str">
        <f>IFERROR(__xludf.DUMMYFUNCTION("""COMPUTED_VALUE"""),"cash_isa")</f>
        <v>cash_isa</v>
      </c>
      <c r="AJ388" s="251" t="str">
        <f>IFERROR(__xludf.DUMMYFUNCTION("""COMPUTED_VALUE"""),"9bc00e6b-ce5f-48c5-ae3a-1baabe00f337")</f>
        <v>9bc00e6b-ce5f-48c5-ae3a-1baabe00f337</v>
      </c>
      <c r="AK388" s="251" t="str">
        <f>IFERROR(__xludf.DUMMYFUNCTION("""COMPUTED_VALUE"""),"5a92f897-6035-4172-9831-90028a8a98c2")</f>
        <v>5a92f897-6035-4172-9831-90028a8a98c2</v>
      </c>
      <c r="AL388" s="251" t="str">
        <f>IFERROR(__xludf.DUMMYFUNCTION("""COMPUTED_VALUE"""),"5a92f897-6035-4172-9831-90028a8a98c2")</f>
        <v>5a92f897-6035-4172-9831-90028a8a98c2</v>
      </c>
      <c r="AM388" s="251" t="str">
        <f>IFERROR(__xludf.DUMMYFUNCTION("""COMPUTED_VALUE"""),"JC321715Da-518647334")</f>
        <v>JC321715Da-518647334</v>
      </c>
      <c r="AN388" s="251">
        <f>IFERROR(__xludf.DUMMYFUNCTION("""COMPUTED_VALUE"""),250.0)</f>
        <v>250</v>
      </c>
      <c r="AO388" s="251" t="str">
        <f>IFERROR(__xludf.DUMMYFUNCTION("""COMPUTED_VALUE"""),"payin")</f>
        <v>payin</v>
      </c>
      <c r="AP388" s="261">
        <f>IFERROR(__xludf.DUMMYFUNCTION("""COMPUTED_VALUE"""),46188.66883101852)</f>
        <v>46188.66883</v>
      </c>
      <c r="AR388" s="251" t="str">
        <f t="shared" si="1"/>
        <v>250_credit</v>
      </c>
      <c r="AS388" s="251" t="str">
        <f t="shared" si="2"/>
        <v>KEEP</v>
      </c>
      <c r="AT388" s="247"/>
    </row>
    <row r="389">
      <c r="A389" s="255" t="s">
        <v>165</v>
      </c>
      <c r="B389" s="255" t="s">
        <v>187</v>
      </c>
      <c r="C389" s="256">
        <v>46189.46892361111</v>
      </c>
      <c r="D389" s="255" t="s">
        <v>167</v>
      </c>
      <c r="E389" s="257">
        <v>20974.52</v>
      </c>
      <c r="F389" s="255" t="s">
        <v>169</v>
      </c>
      <c r="G389" s="255" t="s">
        <v>170</v>
      </c>
      <c r="H389" s="255" t="s">
        <v>188</v>
      </c>
      <c r="I389" s="255" t="s">
        <v>188</v>
      </c>
      <c r="J389" s="255" t="s">
        <v>189</v>
      </c>
      <c r="K389" s="257">
        <v>20974.52</v>
      </c>
      <c r="L389" s="255" t="s">
        <v>173</v>
      </c>
      <c r="M389" s="256">
        <v>46188.66883101852</v>
      </c>
      <c r="O389" s="247"/>
      <c r="AC389" s="247"/>
      <c r="AD389" s="251" t="str">
        <f>IFERROR(__xludf.DUMMYFUNCTION("""COMPUTED_VALUE"""),"73df5aae-f42a-49a0-9d8f-616ca6dbebaa")</f>
        <v>73df5aae-f42a-49a0-9d8f-616ca6dbebaa</v>
      </c>
      <c r="AE389" s="251" t="str">
        <f>IFERROR(__xludf.DUMMYFUNCTION("""COMPUTED_VALUE"""),"019ed024-8817-7d80-9685-39944e000a98")</f>
        <v>019ed024-8817-7d80-9685-39944e000a98</v>
      </c>
      <c r="AF389" s="261">
        <f>IFERROR(__xludf.DUMMYFUNCTION("""COMPUTED_VALUE"""),46189.468935185185)</f>
        <v>46189.46894</v>
      </c>
      <c r="AG389" s="251" t="str">
        <f>IFERROR(__xludf.DUMMYFUNCTION("""COMPUTED_VALUE"""),"credit")</f>
        <v>credit</v>
      </c>
      <c r="AH389" s="251">
        <f>IFERROR(__xludf.DUMMYFUNCTION("""COMPUTED_VALUE"""),42534.92)</f>
        <v>42534.92</v>
      </c>
      <c r="AI389" s="251" t="str">
        <f>IFERROR(__xludf.DUMMYFUNCTION("""COMPUTED_VALUE"""),"cash_isa")</f>
        <v>cash_isa</v>
      </c>
      <c r="AJ389" s="251" t="str">
        <f>IFERROR(__xludf.DUMMYFUNCTION("""COMPUTED_VALUE"""),"9bc00e6b-ce5f-48c5-ae3a-1baabe00f337")</f>
        <v>9bc00e6b-ce5f-48c5-ae3a-1baabe00f337</v>
      </c>
      <c r="AK389" s="251" t="str">
        <f>IFERROR(__xludf.DUMMYFUNCTION("""COMPUTED_VALUE"""),"a50f2b4e-4ed2-48c6-ae8b-f3052f76d926")</f>
        <v>a50f2b4e-4ed2-48c6-ae8b-f3052f76d926</v>
      </c>
      <c r="AL389" s="251" t="str">
        <f>IFERROR(__xludf.DUMMYFUNCTION("""COMPUTED_VALUE"""),"a50f2b4e-4ed2-48c6-ae8b-f3052f76d926")</f>
        <v>a50f2b4e-4ed2-48c6-ae8b-f3052f76d926</v>
      </c>
      <c r="AM389" s="251" t="str">
        <f>IFERROR(__xludf.DUMMYFUNCTION("""COMPUTED_VALUE"""),"YM189882D-95846103")</f>
        <v>YM189882D-95846103</v>
      </c>
      <c r="AN389" s="251">
        <f>IFERROR(__xludf.DUMMYFUNCTION("""COMPUTED_VALUE"""),42534.92)</f>
        <v>42534.92</v>
      </c>
      <c r="AO389" s="251" t="str">
        <f>IFERROR(__xludf.DUMMYFUNCTION("""COMPUTED_VALUE"""),"payin")</f>
        <v>payin</v>
      </c>
      <c r="AP389" s="261">
        <f>IFERROR(__xludf.DUMMYFUNCTION("""COMPUTED_VALUE"""),46188.6688425926)</f>
        <v>46188.66884</v>
      </c>
      <c r="AR389" s="251" t="str">
        <f t="shared" si="1"/>
        <v>42534.92_credit</v>
      </c>
      <c r="AS389" s="251" t="str">
        <f t="shared" si="2"/>
        <v>KEEP</v>
      </c>
      <c r="AT389" s="247"/>
    </row>
    <row r="390">
      <c r="A390" s="255" t="s">
        <v>165</v>
      </c>
      <c r="B390" s="255" t="s">
        <v>196</v>
      </c>
      <c r="C390" s="256">
        <v>46189.468935185185</v>
      </c>
      <c r="D390" s="255" t="s">
        <v>167</v>
      </c>
      <c r="E390" s="257">
        <v>250.0</v>
      </c>
      <c r="F390" s="255" t="s">
        <v>169</v>
      </c>
      <c r="G390" s="255" t="s">
        <v>170</v>
      </c>
      <c r="H390" s="255" t="s">
        <v>197</v>
      </c>
      <c r="I390" s="255" t="s">
        <v>197</v>
      </c>
      <c r="J390" s="255" t="s">
        <v>198</v>
      </c>
      <c r="K390" s="257">
        <v>250.0</v>
      </c>
      <c r="L390" s="255" t="s">
        <v>173</v>
      </c>
      <c r="M390" s="256">
        <v>46188.66883101852</v>
      </c>
      <c r="O390" s="247"/>
      <c r="AC390" s="247"/>
      <c r="AD390" s="251" t="str">
        <f>IFERROR(__xludf.DUMMYFUNCTION("""COMPUTED_VALUE"""),"73df5aae-f42a-49a0-9d8f-616ca6dbebaa")</f>
        <v>73df5aae-f42a-49a0-9d8f-616ca6dbebaa</v>
      </c>
      <c r="AE390" s="251" t="str">
        <f>IFERROR(__xludf.DUMMYFUNCTION("""COMPUTED_VALUE"""),"019ed024-873d-7252-be6e-6e408eb5a4cb")</f>
        <v>019ed024-873d-7252-be6e-6e408eb5a4cb</v>
      </c>
      <c r="AF390" s="261">
        <f>IFERROR(__xludf.DUMMYFUNCTION("""COMPUTED_VALUE"""),46189.468923611115)</f>
        <v>46189.46892</v>
      </c>
      <c r="AG390" s="251" t="str">
        <f>IFERROR(__xludf.DUMMYFUNCTION("""COMPUTED_VALUE"""),"credit")</f>
        <v>credit</v>
      </c>
      <c r="AH390" s="251">
        <f>IFERROR(__xludf.DUMMYFUNCTION("""COMPUTED_VALUE"""),20918.18)</f>
        <v>20918.18</v>
      </c>
      <c r="AI390" s="251" t="str">
        <f>IFERROR(__xludf.DUMMYFUNCTION("""COMPUTED_VALUE"""),"cash_isa")</f>
        <v>cash_isa</v>
      </c>
      <c r="AJ390" s="251" t="str">
        <f>IFERROR(__xludf.DUMMYFUNCTION("""COMPUTED_VALUE"""),"9bc00e6b-ce5f-48c5-ae3a-1baabe00f337")</f>
        <v>9bc00e6b-ce5f-48c5-ae3a-1baabe00f337</v>
      </c>
      <c r="AK390" s="251" t="str">
        <f>IFERROR(__xludf.DUMMYFUNCTION("""COMPUTED_VALUE"""),"a7a2dae7-bd10-44fc-9b1b-25271dcf0442")</f>
        <v>a7a2dae7-bd10-44fc-9b1b-25271dcf0442</v>
      </c>
      <c r="AL390" s="251" t="str">
        <f>IFERROR(__xludf.DUMMYFUNCTION("""COMPUTED_VALUE"""),"a7a2dae7-bd10-44fc-9b1b-25271dcf0442")</f>
        <v>a7a2dae7-bd10-44fc-9b1b-25271dcf0442</v>
      </c>
      <c r="AM390" s="251" t="str">
        <f>IFERROR(__xludf.DUMMYFUNCTION("""COMPUTED_VALUE"""),"JX825895D-940686763")</f>
        <v>JX825895D-940686763</v>
      </c>
      <c r="AN390" s="251">
        <f>IFERROR(__xludf.DUMMYFUNCTION("""COMPUTED_VALUE"""),20918.18)</f>
        <v>20918.18</v>
      </c>
      <c r="AO390" s="251" t="str">
        <f>IFERROR(__xludf.DUMMYFUNCTION("""COMPUTED_VALUE"""),"payin")</f>
        <v>payin</v>
      </c>
      <c r="AP390" s="261">
        <f>IFERROR(__xludf.DUMMYFUNCTION("""COMPUTED_VALUE"""),46188.6688425926)</f>
        <v>46188.66884</v>
      </c>
      <c r="AR390" s="251" t="str">
        <f t="shared" si="1"/>
        <v>20918.18_credit</v>
      </c>
      <c r="AS390" s="251" t="str">
        <f t="shared" si="2"/>
        <v>KEEP</v>
      </c>
      <c r="AT390" s="247"/>
    </row>
    <row r="391">
      <c r="A391" s="262" t="s">
        <v>165</v>
      </c>
      <c r="B391" s="262" t="s">
        <v>199</v>
      </c>
      <c r="C391" s="263">
        <v>46189.468935185185</v>
      </c>
      <c r="D391" s="262" t="s">
        <v>167</v>
      </c>
      <c r="E391" s="264">
        <v>42534.92</v>
      </c>
      <c r="F391" s="262" t="s">
        <v>169</v>
      </c>
      <c r="G391" s="262" t="s">
        <v>170</v>
      </c>
      <c r="H391" s="262" t="s">
        <v>200</v>
      </c>
      <c r="I391" s="262" t="s">
        <v>200</v>
      </c>
      <c r="J391" s="262" t="s">
        <v>201</v>
      </c>
      <c r="K391" s="264">
        <v>42534.92</v>
      </c>
      <c r="L391" s="262" t="s">
        <v>173</v>
      </c>
      <c r="M391" s="263">
        <v>46188.66884259259</v>
      </c>
      <c r="O391" s="247"/>
      <c r="AC391" s="247"/>
      <c r="AR391" s="251" t="str">
        <f t="shared" si="1"/>
        <v>0_</v>
      </c>
      <c r="AS391" s="251" t="str">
        <f t="shared" si="2"/>
        <v/>
      </c>
      <c r="AT391" s="247"/>
    </row>
    <row r="392">
      <c r="A392" s="255" t="s">
        <v>165</v>
      </c>
      <c r="B392" s="255" t="s">
        <v>190</v>
      </c>
      <c r="C392" s="256">
        <v>46189.46892361111</v>
      </c>
      <c r="D392" s="255" t="s">
        <v>167</v>
      </c>
      <c r="E392" s="257">
        <v>20918.18</v>
      </c>
      <c r="F392" s="255" t="s">
        <v>169</v>
      </c>
      <c r="G392" s="255" t="s">
        <v>170</v>
      </c>
      <c r="H392" s="255" t="s">
        <v>191</v>
      </c>
      <c r="I392" s="255" t="s">
        <v>191</v>
      </c>
      <c r="J392" s="255" t="s">
        <v>192</v>
      </c>
      <c r="K392" s="257">
        <v>20918.18</v>
      </c>
      <c r="L392" s="255" t="s">
        <v>173</v>
      </c>
      <c r="M392" s="256">
        <v>46188.66884259259</v>
      </c>
      <c r="O392" s="247"/>
      <c r="AC392" s="247"/>
      <c r="AR392" s="251" t="str">
        <f t="shared" si="1"/>
        <v>0_</v>
      </c>
      <c r="AS392" s="251" t="str">
        <f t="shared" si="2"/>
        <v/>
      </c>
      <c r="AT392" s="247"/>
    </row>
    <row r="393">
      <c r="A393" s="262" t="s">
        <v>165</v>
      </c>
      <c r="B393" s="262" t="s">
        <v>851</v>
      </c>
      <c r="C393" s="263">
        <v>46189.44440972222</v>
      </c>
      <c r="D393" s="262" t="s">
        <v>265</v>
      </c>
      <c r="E393" s="264">
        <v>20798.28</v>
      </c>
      <c r="F393" s="262" t="s">
        <v>213</v>
      </c>
      <c r="G393" s="262" t="s">
        <v>214</v>
      </c>
      <c r="H393" s="262" t="s">
        <v>852</v>
      </c>
      <c r="I393" s="262" t="s">
        <v>852</v>
      </c>
      <c r="J393" s="262" t="s">
        <v>853</v>
      </c>
      <c r="K393" s="264">
        <v>20798.28</v>
      </c>
      <c r="L393" s="262" t="s">
        <v>844</v>
      </c>
      <c r="M393" s="263">
        <v>46189.44422453704</v>
      </c>
      <c r="O393" s="247"/>
      <c r="AC393" s="247"/>
      <c r="AR393" s="251" t="str">
        <f t="shared" si="1"/>
        <v>0_</v>
      </c>
      <c r="AS393" s="251" t="str">
        <f t="shared" si="2"/>
        <v/>
      </c>
      <c r="AT393" s="247"/>
    </row>
    <row r="394">
      <c r="A394" s="255" t="s">
        <v>165</v>
      </c>
      <c r="B394" s="255" t="s">
        <v>854</v>
      </c>
      <c r="C394" s="256">
        <v>46189.453622685185</v>
      </c>
      <c r="D394" s="255" t="s">
        <v>265</v>
      </c>
      <c r="E394" s="257">
        <v>5222.75</v>
      </c>
      <c r="F394" s="255" t="s">
        <v>213</v>
      </c>
      <c r="G394" s="255" t="s">
        <v>214</v>
      </c>
      <c r="H394" s="255" t="s">
        <v>855</v>
      </c>
      <c r="I394" s="255" t="s">
        <v>855</v>
      </c>
      <c r="J394" s="255" t="s">
        <v>856</v>
      </c>
      <c r="K394" s="257">
        <v>5222.75</v>
      </c>
      <c r="L394" s="255" t="s">
        <v>844</v>
      </c>
      <c r="M394" s="256">
        <v>46189.453414351854</v>
      </c>
      <c r="O394" s="247"/>
      <c r="AC394" s="247"/>
      <c r="AR394" s="251" t="str">
        <f t="shared" si="1"/>
        <v>0_</v>
      </c>
      <c r="AS394" s="251" t="str">
        <f t="shared" si="2"/>
        <v/>
      </c>
      <c r="AT394" s="247"/>
    </row>
    <row r="395">
      <c r="A395" s="262" t="s">
        <v>165</v>
      </c>
      <c r="B395" s="262" t="s">
        <v>857</v>
      </c>
      <c r="C395" s="263">
        <v>46189.46591435185</v>
      </c>
      <c r="D395" s="262" t="s">
        <v>265</v>
      </c>
      <c r="E395" s="264">
        <v>15709.88</v>
      </c>
      <c r="F395" s="262" t="s">
        <v>213</v>
      </c>
      <c r="G395" s="262" t="s">
        <v>214</v>
      </c>
      <c r="H395" s="262" t="s">
        <v>858</v>
      </c>
      <c r="I395" s="262" t="s">
        <v>858</v>
      </c>
      <c r="J395" s="262" t="s">
        <v>859</v>
      </c>
      <c r="K395" s="264">
        <v>15709.88</v>
      </c>
      <c r="L395" s="262" t="s">
        <v>844</v>
      </c>
      <c r="M395" s="263">
        <v>46189.46540509259</v>
      </c>
      <c r="O395" s="247"/>
      <c r="AC395" s="247"/>
      <c r="AR395" s="251" t="str">
        <f t="shared" si="1"/>
        <v>0_</v>
      </c>
      <c r="AS395" s="251" t="str">
        <f t="shared" si="2"/>
        <v/>
      </c>
      <c r="AT395" s="247"/>
    </row>
    <row r="396">
      <c r="A396" s="255"/>
      <c r="B396" s="255"/>
      <c r="C396" s="256"/>
      <c r="D396" s="255"/>
      <c r="E396" s="257"/>
      <c r="F396" s="255"/>
      <c r="G396" s="255"/>
      <c r="H396" s="255"/>
      <c r="I396" s="255"/>
      <c r="J396" s="255"/>
      <c r="K396" s="257"/>
      <c r="L396" s="255"/>
      <c r="M396" s="256"/>
      <c r="O396" s="247"/>
      <c r="AC396" s="247"/>
      <c r="AR396" s="251" t="str">
        <f t="shared" si="1"/>
        <v>0_</v>
      </c>
      <c r="AS396" s="251" t="str">
        <f t="shared" si="2"/>
        <v/>
      </c>
      <c r="AT396" s="247"/>
    </row>
    <row r="397">
      <c r="A397" s="262"/>
      <c r="B397" s="262"/>
      <c r="C397" s="263"/>
      <c r="D397" s="262"/>
      <c r="E397" s="264"/>
      <c r="F397" s="262"/>
      <c r="G397" s="262"/>
      <c r="H397" s="262"/>
      <c r="I397" s="262"/>
      <c r="J397" s="262"/>
      <c r="K397" s="264"/>
      <c r="L397" s="262"/>
      <c r="M397" s="263"/>
      <c r="O397" s="247"/>
      <c r="AC397" s="247"/>
      <c r="AR397" s="251" t="str">
        <f t="shared" si="1"/>
        <v>0_</v>
      </c>
      <c r="AS397" s="251" t="str">
        <f t="shared" si="2"/>
        <v/>
      </c>
      <c r="AT397" s="247"/>
    </row>
    <row r="398">
      <c r="C398" s="277"/>
      <c r="M398" s="277"/>
      <c r="O398" s="247"/>
      <c r="AC398" s="247"/>
      <c r="AR398" s="251" t="str">
        <f t="shared" si="1"/>
        <v>0_</v>
      </c>
      <c r="AS398" s="251" t="str">
        <f t="shared" si="2"/>
        <v/>
      </c>
      <c r="AT398" s="247"/>
    </row>
    <row r="399">
      <c r="C399" s="277"/>
      <c r="M399" s="277"/>
      <c r="O399" s="247"/>
      <c r="AC399" s="247"/>
      <c r="AR399" s="251" t="str">
        <f t="shared" si="1"/>
        <v>0_</v>
      </c>
      <c r="AS399" s="251" t="str">
        <f t="shared" si="2"/>
        <v/>
      </c>
      <c r="AT399" s="247"/>
    </row>
    <row r="400">
      <c r="C400" s="277"/>
      <c r="M400" s="277"/>
      <c r="O400" s="247"/>
      <c r="AC400" s="247"/>
      <c r="AR400" s="251" t="str">
        <f t="shared" si="1"/>
        <v>0_</v>
      </c>
      <c r="AS400" s="251" t="str">
        <f t="shared" si="2"/>
        <v/>
      </c>
      <c r="AT400" s="247"/>
    </row>
    <row r="401">
      <c r="C401" s="277"/>
      <c r="M401" s="277"/>
      <c r="O401" s="247"/>
      <c r="AC401" s="247"/>
      <c r="AR401" s="251" t="str">
        <f t="shared" si="1"/>
        <v>0_</v>
      </c>
      <c r="AS401" s="251" t="str">
        <f t="shared" si="2"/>
        <v/>
      </c>
      <c r="AT401" s="247"/>
    </row>
    <row r="402">
      <c r="C402" s="277"/>
      <c r="M402" s="277"/>
      <c r="O402" s="247"/>
      <c r="AC402" s="247"/>
      <c r="AR402" s="251" t="str">
        <f t="shared" si="1"/>
        <v>0_</v>
      </c>
      <c r="AS402" s="251" t="str">
        <f t="shared" si="2"/>
        <v/>
      </c>
      <c r="AT402" s="247"/>
    </row>
    <row r="403">
      <c r="C403" s="277"/>
      <c r="M403" s="277"/>
      <c r="O403" s="247"/>
      <c r="AC403" s="247"/>
      <c r="AR403" s="251" t="str">
        <f t="shared" si="1"/>
        <v>0_</v>
      </c>
      <c r="AS403" s="251" t="str">
        <f t="shared" si="2"/>
        <v/>
      </c>
      <c r="AT403" s="247"/>
    </row>
    <row r="404">
      <c r="C404" s="277"/>
      <c r="M404" s="277"/>
      <c r="O404" s="247"/>
      <c r="AC404" s="247"/>
      <c r="AR404" s="251" t="str">
        <f t="shared" si="1"/>
        <v>0_</v>
      </c>
      <c r="AS404" s="251" t="str">
        <f t="shared" si="2"/>
        <v/>
      </c>
      <c r="AT404" s="247"/>
    </row>
    <row r="405">
      <c r="C405" s="277"/>
      <c r="M405" s="277"/>
      <c r="O405" s="247"/>
      <c r="AC405" s="247"/>
      <c r="AR405" s="251" t="str">
        <f t="shared" si="1"/>
        <v>0_</v>
      </c>
      <c r="AS405" s="251" t="str">
        <f t="shared" si="2"/>
        <v/>
      </c>
      <c r="AT405" s="247"/>
    </row>
    <row r="406">
      <c r="C406" s="277"/>
      <c r="M406" s="277"/>
      <c r="O406" s="247"/>
      <c r="AC406" s="247"/>
      <c r="AR406" s="251" t="str">
        <f t="shared" si="1"/>
        <v>0_</v>
      </c>
      <c r="AS406" s="251" t="str">
        <f t="shared" si="2"/>
        <v/>
      </c>
      <c r="AT406" s="247"/>
    </row>
    <row r="407">
      <c r="C407" s="277"/>
      <c r="M407" s="277"/>
      <c r="O407" s="247"/>
      <c r="AC407" s="247"/>
      <c r="AR407" s="251" t="str">
        <f t="shared" si="1"/>
        <v>0_</v>
      </c>
      <c r="AS407" s="251" t="str">
        <f t="shared" si="2"/>
        <v/>
      </c>
      <c r="AT407" s="247"/>
    </row>
    <row r="408">
      <c r="C408" s="277"/>
      <c r="M408" s="277"/>
      <c r="O408" s="247"/>
      <c r="AC408" s="247"/>
      <c r="AR408" s="251" t="str">
        <f t="shared" si="1"/>
        <v>0_</v>
      </c>
      <c r="AS408" s="251" t="str">
        <f t="shared" si="2"/>
        <v/>
      </c>
      <c r="AT408" s="247"/>
    </row>
    <row r="409">
      <c r="C409" s="277"/>
      <c r="M409" s="277"/>
      <c r="O409" s="247"/>
      <c r="AC409" s="247"/>
      <c r="AR409" s="251" t="str">
        <f t="shared" si="1"/>
        <v>0_</v>
      </c>
      <c r="AS409" s="251" t="str">
        <f t="shared" si="2"/>
        <v/>
      </c>
      <c r="AT409" s="247"/>
    </row>
    <row r="410">
      <c r="C410" s="277"/>
      <c r="M410" s="277"/>
      <c r="O410" s="247"/>
      <c r="AC410" s="247"/>
      <c r="AR410" s="251" t="str">
        <f t="shared" si="1"/>
        <v>0_</v>
      </c>
      <c r="AS410" s="251" t="str">
        <f t="shared" si="2"/>
        <v/>
      </c>
      <c r="AT410" s="247"/>
    </row>
    <row r="411">
      <c r="C411" s="277"/>
      <c r="M411" s="277"/>
      <c r="O411" s="247"/>
      <c r="AC411" s="247"/>
      <c r="AR411" s="251" t="str">
        <f t="shared" si="1"/>
        <v>0_</v>
      </c>
      <c r="AS411" s="251" t="str">
        <f t="shared" si="2"/>
        <v/>
      </c>
      <c r="AT411" s="247"/>
    </row>
    <row r="412">
      <c r="C412" s="277"/>
      <c r="M412" s="277"/>
      <c r="O412" s="247"/>
      <c r="AC412" s="247"/>
      <c r="AR412" s="251" t="str">
        <f t="shared" si="1"/>
        <v>0_</v>
      </c>
      <c r="AS412" s="251" t="str">
        <f t="shared" si="2"/>
        <v/>
      </c>
      <c r="AT412" s="247"/>
    </row>
    <row r="413">
      <c r="C413" s="277"/>
      <c r="M413" s="277"/>
      <c r="O413" s="247"/>
      <c r="AC413" s="247"/>
      <c r="AR413" s="251" t="str">
        <f t="shared" si="1"/>
        <v>0_</v>
      </c>
      <c r="AS413" s="251" t="str">
        <f t="shared" si="2"/>
        <v/>
      </c>
      <c r="AT413" s="247"/>
    </row>
    <row r="414">
      <c r="C414" s="277"/>
      <c r="M414" s="277"/>
      <c r="O414" s="247"/>
      <c r="AC414" s="247"/>
      <c r="AR414" s="251" t="str">
        <f t="shared" si="1"/>
        <v>0_</v>
      </c>
      <c r="AS414" s="251" t="str">
        <f t="shared" si="2"/>
        <v/>
      </c>
      <c r="AT414" s="247"/>
    </row>
    <row r="415">
      <c r="C415" s="277"/>
      <c r="M415" s="277"/>
      <c r="O415" s="247"/>
      <c r="AC415" s="247"/>
      <c r="AR415" s="251" t="str">
        <f t="shared" si="1"/>
        <v>0_</v>
      </c>
      <c r="AS415" s="251" t="str">
        <f t="shared" si="2"/>
        <v/>
      </c>
      <c r="AT415" s="247"/>
    </row>
    <row r="416">
      <c r="C416" s="277"/>
      <c r="M416" s="277"/>
      <c r="O416" s="247"/>
      <c r="AC416" s="247"/>
      <c r="AR416" s="251" t="str">
        <f t="shared" si="1"/>
        <v>0_</v>
      </c>
      <c r="AS416" s="251" t="str">
        <f t="shared" si="2"/>
        <v/>
      </c>
      <c r="AT416" s="247"/>
    </row>
    <row r="417">
      <c r="C417" s="277"/>
      <c r="M417" s="277"/>
      <c r="O417" s="247"/>
      <c r="AC417" s="247"/>
      <c r="AR417" s="251" t="str">
        <f t="shared" si="1"/>
        <v>0_</v>
      </c>
      <c r="AS417" s="251" t="str">
        <f t="shared" si="2"/>
        <v/>
      </c>
      <c r="AT417" s="247"/>
    </row>
    <row r="418">
      <c r="C418" s="277"/>
      <c r="M418" s="277"/>
      <c r="O418" s="247"/>
      <c r="AC418" s="247"/>
      <c r="AR418" s="251" t="str">
        <f t="shared" si="1"/>
        <v>0_</v>
      </c>
      <c r="AS418" s="251" t="str">
        <f t="shared" si="2"/>
        <v/>
      </c>
      <c r="AT418" s="247"/>
    </row>
    <row r="419">
      <c r="C419" s="277"/>
      <c r="M419" s="277"/>
      <c r="O419" s="247"/>
      <c r="AC419" s="247"/>
      <c r="AR419" s="251" t="str">
        <f t="shared" si="1"/>
        <v>0_</v>
      </c>
      <c r="AS419" s="251" t="str">
        <f t="shared" si="2"/>
        <v/>
      </c>
      <c r="AT419" s="247"/>
    </row>
    <row r="420">
      <c r="C420" s="277"/>
      <c r="M420" s="277"/>
      <c r="O420" s="247"/>
      <c r="AC420" s="247"/>
      <c r="AR420" s="251" t="str">
        <f t="shared" si="1"/>
        <v>0_</v>
      </c>
      <c r="AS420" s="251" t="str">
        <f t="shared" si="2"/>
        <v/>
      </c>
      <c r="AT420" s="247"/>
    </row>
    <row r="421">
      <c r="C421" s="277"/>
      <c r="M421" s="277"/>
      <c r="O421" s="247"/>
      <c r="AC421" s="247"/>
      <c r="AR421" s="251" t="str">
        <f t="shared" si="1"/>
        <v>0_</v>
      </c>
      <c r="AS421" s="251" t="str">
        <f t="shared" si="2"/>
        <v/>
      </c>
      <c r="AT421" s="247"/>
    </row>
    <row r="422">
      <c r="C422" s="277"/>
      <c r="M422" s="277"/>
      <c r="O422" s="247"/>
      <c r="AC422" s="247"/>
      <c r="AR422" s="251" t="str">
        <f t="shared" si="1"/>
        <v>0_</v>
      </c>
      <c r="AS422" s="251" t="str">
        <f t="shared" si="2"/>
        <v/>
      </c>
      <c r="AT422" s="247"/>
    </row>
    <row r="423">
      <c r="C423" s="277"/>
      <c r="M423" s="277"/>
      <c r="O423" s="247"/>
      <c r="AC423" s="247"/>
      <c r="AR423" s="251" t="str">
        <f t="shared" si="1"/>
        <v>0_</v>
      </c>
      <c r="AS423" s="251" t="str">
        <f t="shared" si="2"/>
        <v/>
      </c>
      <c r="AT423" s="247"/>
    </row>
    <row r="424">
      <c r="C424" s="277"/>
      <c r="M424" s="277"/>
      <c r="O424" s="247"/>
      <c r="AC424" s="247"/>
      <c r="AR424" s="251" t="str">
        <f t="shared" si="1"/>
        <v>0_</v>
      </c>
      <c r="AS424" s="251" t="str">
        <f t="shared" si="2"/>
        <v/>
      </c>
      <c r="AT424" s="247"/>
    </row>
    <row r="425">
      <c r="C425" s="277"/>
      <c r="M425" s="277"/>
      <c r="O425" s="247"/>
      <c r="AC425" s="247"/>
      <c r="AR425" s="251" t="str">
        <f t="shared" si="1"/>
        <v>0_</v>
      </c>
      <c r="AS425" s="251" t="str">
        <f t="shared" si="2"/>
        <v/>
      </c>
      <c r="AT425" s="247"/>
    </row>
    <row r="426">
      <c r="C426" s="277"/>
      <c r="M426" s="277"/>
      <c r="O426" s="247"/>
      <c r="AC426" s="247"/>
      <c r="AR426" s="251" t="str">
        <f t="shared" si="1"/>
        <v>0_</v>
      </c>
      <c r="AS426" s="251" t="str">
        <f t="shared" si="2"/>
        <v/>
      </c>
      <c r="AT426" s="247"/>
    </row>
    <row r="427">
      <c r="C427" s="277"/>
      <c r="M427" s="277"/>
      <c r="O427" s="247"/>
      <c r="AC427" s="247"/>
      <c r="AR427" s="251" t="str">
        <f t="shared" si="1"/>
        <v>0_</v>
      </c>
      <c r="AS427" s="251" t="str">
        <f t="shared" si="2"/>
        <v/>
      </c>
      <c r="AT427" s="247"/>
    </row>
    <row r="428">
      <c r="C428" s="277"/>
      <c r="M428" s="277"/>
      <c r="O428" s="247"/>
      <c r="AC428" s="247"/>
      <c r="AR428" s="251" t="str">
        <f t="shared" si="1"/>
        <v>0_</v>
      </c>
      <c r="AS428" s="251" t="str">
        <f t="shared" si="2"/>
        <v/>
      </c>
      <c r="AT428" s="247"/>
    </row>
    <row r="429">
      <c r="C429" s="277"/>
      <c r="M429" s="277"/>
      <c r="O429" s="247"/>
      <c r="AC429" s="247"/>
      <c r="AR429" s="251" t="str">
        <f t="shared" si="1"/>
        <v>0_</v>
      </c>
      <c r="AS429" s="251" t="str">
        <f t="shared" si="2"/>
        <v/>
      </c>
      <c r="AT429" s="247"/>
    </row>
    <row r="430">
      <c r="C430" s="277"/>
      <c r="M430" s="277"/>
      <c r="O430" s="247"/>
      <c r="AC430" s="247"/>
      <c r="AR430" s="251" t="str">
        <f t="shared" si="1"/>
        <v>0_</v>
      </c>
      <c r="AS430" s="251" t="str">
        <f t="shared" si="2"/>
        <v/>
      </c>
      <c r="AT430" s="247"/>
    </row>
    <row r="431">
      <c r="C431" s="277"/>
      <c r="M431" s="277"/>
      <c r="O431" s="247"/>
      <c r="AC431" s="247"/>
      <c r="AR431" s="251" t="str">
        <f t="shared" si="1"/>
        <v>0_</v>
      </c>
      <c r="AS431" s="251" t="str">
        <f t="shared" si="2"/>
        <v/>
      </c>
      <c r="AT431" s="247"/>
    </row>
    <row r="432">
      <c r="C432" s="277"/>
      <c r="M432" s="277"/>
      <c r="O432" s="247"/>
      <c r="AC432" s="247"/>
      <c r="AR432" s="251" t="str">
        <f t="shared" si="1"/>
        <v>0_</v>
      </c>
      <c r="AS432" s="251" t="str">
        <f t="shared" si="2"/>
        <v/>
      </c>
      <c r="AT432" s="247"/>
    </row>
    <row r="433">
      <c r="C433" s="277"/>
      <c r="M433" s="277"/>
      <c r="O433" s="247"/>
      <c r="AC433" s="247"/>
      <c r="AR433" s="251" t="str">
        <f t="shared" si="1"/>
        <v>0_</v>
      </c>
      <c r="AS433" s="251" t="str">
        <f t="shared" si="2"/>
        <v/>
      </c>
      <c r="AT433" s="247"/>
    </row>
    <row r="434">
      <c r="C434" s="277"/>
      <c r="M434" s="277"/>
      <c r="O434" s="247"/>
      <c r="AC434" s="247"/>
      <c r="AR434" s="251" t="str">
        <f t="shared" si="1"/>
        <v>0_</v>
      </c>
      <c r="AS434" s="251" t="str">
        <f t="shared" si="2"/>
        <v/>
      </c>
      <c r="AT434" s="247"/>
    </row>
    <row r="435">
      <c r="C435" s="277"/>
      <c r="M435" s="277"/>
      <c r="O435" s="247"/>
      <c r="AC435" s="247"/>
      <c r="AR435" s="251" t="str">
        <f t="shared" si="1"/>
        <v>0_</v>
      </c>
      <c r="AS435" s="251" t="str">
        <f t="shared" si="2"/>
        <v/>
      </c>
      <c r="AT435" s="247"/>
    </row>
    <row r="436">
      <c r="C436" s="277"/>
      <c r="M436" s="277"/>
      <c r="O436" s="247"/>
      <c r="AC436" s="247"/>
      <c r="AR436" s="251" t="str">
        <f t="shared" si="1"/>
        <v>0_</v>
      </c>
      <c r="AS436" s="251" t="str">
        <f t="shared" si="2"/>
        <v/>
      </c>
      <c r="AT436" s="247"/>
    </row>
    <row r="437">
      <c r="C437" s="277"/>
      <c r="M437" s="277"/>
      <c r="O437" s="247"/>
      <c r="AC437" s="247"/>
      <c r="AR437" s="251" t="str">
        <f t="shared" si="1"/>
        <v>0_</v>
      </c>
      <c r="AS437" s="251" t="str">
        <f t="shared" si="2"/>
        <v/>
      </c>
      <c r="AT437" s="247"/>
    </row>
    <row r="438">
      <c r="C438" s="277"/>
      <c r="M438" s="277"/>
      <c r="O438" s="247"/>
      <c r="AC438" s="247"/>
      <c r="AR438" s="251" t="str">
        <f t="shared" si="1"/>
        <v>0_</v>
      </c>
      <c r="AS438" s="251" t="str">
        <f t="shared" si="2"/>
        <v/>
      </c>
      <c r="AT438" s="247"/>
    </row>
    <row r="439">
      <c r="C439" s="277"/>
      <c r="M439" s="277"/>
      <c r="O439" s="247"/>
      <c r="AC439" s="247"/>
      <c r="AR439" s="251" t="str">
        <f t="shared" si="1"/>
        <v>0_</v>
      </c>
      <c r="AS439" s="251" t="str">
        <f t="shared" si="2"/>
        <v/>
      </c>
      <c r="AT439" s="247"/>
    </row>
    <row r="440">
      <c r="C440" s="277"/>
      <c r="M440" s="277"/>
      <c r="O440" s="247"/>
      <c r="AC440" s="247"/>
      <c r="AR440" s="251" t="str">
        <f t="shared" si="1"/>
        <v>0_</v>
      </c>
      <c r="AS440" s="251" t="str">
        <f t="shared" si="2"/>
        <v/>
      </c>
      <c r="AT440" s="247"/>
    </row>
    <row r="441">
      <c r="C441" s="277"/>
      <c r="M441" s="277"/>
      <c r="O441" s="247"/>
      <c r="AC441" s="247"/>
      <c r="AR441" s="251" t="str">
        <f t="shared" si="1"/>
        <v>0_</v>
      </c>
      <c r="AS441" s="251" t="str">
        <f t="shared" si="2"/>
        <v/>
      </c>
      <c r="AT441" s="247"/>
    </row>
    <row r="442">
      <c r="C442" s="277"/>
      <c r="M442" s="277"/>
      <c r="O442" s="247"/>
      <c r="AC442" s="247"/>
      <c r="AR442" s="251" t="str">
        <f t="shared" si="1"/>
        <v>0_</v>
      </c>
      <c r="AS442" s="251" t="str">
        <f t="shared" si="2"/>
        <v/>
      </c>
      <c r="AT442" s="247"/>
    </row>
    <row r="443">
      <c r="C443" s="277"/>
      <c r="M443" s="277"/>
      <c r="O443" s="247"/>
      <c r="AC443" s="247"/>
      <c r="AR443" s="251" t="str">
        <f t="shared" si="1"/>
        <v>0_</v>
      </c>
      <c r="AS443" s="251" t="str">
        <f t="shared" si="2"/>
        <v/>
      </c>
      <c r="AT443" s="247"/>
    </row>
    <row r="444">
      <c r="C444" s="277"/>
      <c r="M444" s="277"/>
      <c r="O444" s="247"/>
      <c r="AC444" s="247"/>
      <c r="AR444" s="251" t="str">
        <f t="shared" si="1"/>
        <v>0_</v>
      </c>
      <c r="AS444" s="251" t="str">
        <f t="shared" si="2"/>
        <v/>
      </c>
      <c r="AT444" s="247"/>
    </row>
    <row r="445">
      <c r="C445" s="277"/>
      <c r="M445" s="277"/>
      <c r="O445" s="247"/>
      <c r="AC445" s="247"/>
      <c r="AR445" s="251" t="str">
        <f t="shared" si="1"/>
        <v>0_</v>
      </c>
      <c r="AS445" s="251" t="str">
        <f t="shared" si="2"/>
        <v/>
      </c>
      <c r="AT445" s="247"/>
    </row>
    <row r="446">
      <c r="C446" s="277"/>
      <c r="M446" s="277"/>
      <c r="O446" s="247"/>
      <c r="AC446" s="247"/>
      <c r="AR446" s="251" t="str">
        <f t="shared" si="1"/>
        <v>0_</v>
      </c>
      <c r="AS446" s="251" t="str">
        <f t="shared" si="2"/>
        <v/>
      </c>
      <c r="AT446" s="247"/>
    </row>
    <row r="447">
      <c r="C447" s="277"/>
      <c r="M447" s="277"/>
      <c r="O447" s="247"/>
      <c r="AC447" s="247"/>
      <c r="AR447" s="251" t="str">
        <f t="shared" si="1"/>
        <v>0_</v>
      </c>
      <c r="AS447" s="251" t="str">
        <f t="shared" si="2"/>
        <v/>
      </c>
      <c r="AT447" s="247"/>
    </row>
    <row r="448">
      <c r="C448" s="277"/>
      <c r="M448" s="277"/>
      <c r="O448" s="247"/>
      <c r="AC448" s="247"/>
      <c r="AR448" s="251" t="str">
        <f t="shared" si="1"/>
        <v>0_</v>
      </c>
      <c r="AS448" s="251" t="str">
        <f t="shared" si="2"/>
        <v/>
      </c>
      <c r="AT448" s="247"/>
    </row>
    <row r="449">
      <c r="C449" s="277"/>
      <c r="M449" s="277"/>
      <c r="O449" s="247"/>
      <c r="AC449" s="247"/>
      <c r="AR449" s="251" t="str">
        <f t="shared" si="1"/>
        <v>0_</v>
      </c>
      <c r="AS449" s="251" t="str">
        <f t="shared" si="2"/>
        <v/>
      </c>
      <c r="AT449" s="247"/>
    </row>
    <row r="450">
      <c r="C450" s="277"/>
      <c r="M450" s="277"/>
      <c r="O450" s="247"/>
      <c r="AC450" s="247"/>
      <c r="AR450" s="251" t="str">
        <f t="shared" si="1"/>
        <v>0_</v>
      </c>
      <c r="AS450" s="251" t="str">
        <f t="shared" si="2"/>
        <v/>
      </c>
      <c r="AT450" s="247"/>
    </row>
    <row r="451">
      <c r="C451" s="277"/>
      <c r="M451" s="277"/>
      <c r="O451" s="247"/>
      <c r="AC451" s="247"/>
      <c r="AR451" s="251" t="str">
        <f t="shared" si="1"/>
        <v>0_</v>
      </c>
      <c r="AS451" s="251" t="str">
        <f t="shared" si="2"/>
        <v/>
      </c>
      <c r="AT451" s="247"/>
    </row>
    <row r="452">
      <c r="C452" s="277"/>
      <c r="M452" s="277"/>
      <c r="O452" s="247"/>
      <c r="AC452" s="247"/>
      <c r="AR452" s="251" t="str">
        <f t="shared" si="1"/>
        <v>0_</v>
      </c>
      <c r="AS452" s="251" t="str">
        <f t="shared" si="2"/>
        <v/>
      </c>
      <c r="AT452" s="247"/>
    </row>
    <row r="453">
      <c r="C453" s="277"/>
      <c r="M453" s="277"/>
      <c r="O453" s="247"/>
      <c r="AC453" s="247"/>
      <c r="AR453" s="251" t="str">
        <f t="shared" si="1"/>
        <v>0_</v>
      </c>
      <c r="AS453" s="251" t="str">
        <f t="shared" si="2"/>
        <v/>
      </c>
      <c r="AT453" s="247"/>
    </row>
    <row r="454">
      <c r="C454" s="277"/>
      <c r="M454" s="277"/>
      <c r="O454" s="247"/>
      <c r="AC454" s="247"/>
      <c r="AR454" s="251" t="str">
        <f t="shared" si="1"/>
        <v>0_</v>
      </c>
      <c r="AS454" s="251" t="str">
        <f t="shared" si="2"/>
        <v/>
      </c>
      <c r="AT454" s="247"/>
    </row>
    <row r="455">
      <c r="C455" s="277"/>
      <c r="M455" s="277"/>
      <c r="O455" s="247"/>
      <c r="AC455" s="247"/>
      <c r="AR455" s="251" t="str">
        <f t="shared" si="1"/>
        <v>0_</v>
      </c>
      <c r="AS455" s="251" t="str">
        <f t="shared" si="2"/>
        <v/>
      </c>
      <c r="AT455" s="247"/>
    </row>
    <row r="456">
      <c r="C456" s="277"/>
      <c r="M456" s="277"/>
      <c r="O456" s="247"/>
      <c r="AC456" s="247"/>
      <c r="AR456" s="251" t="str">
        <f t="shared" si="1"/>
        <v>0_</v>
      </c>
      <c r="AS456" s="251" t="str">
        <f t="shared" si="2"/>
        <v/>
      </c>
      <c r="AT456" s="247"/>
    </row>
    <row r="457">
      <c r="C457" s="277"/>
      <c r="M457" s="277"/>
      <c r="O457" s="247"/>
      <c r="AC457" s="247"/>
      <c r="AR457" s="251" t="str">
        <f t="shared" si="1"/>
        <v>0_</v>
      </c>
      <c r="AS457" s="251" t="str">
        <f t="shared" si="2"/>
        <v/>
      </c>
      <c r="AT457" s="247"/>
    </row>
    <row r="458">
      <c r="C458" s="277"/>
      <c r="M458" s="277"/>
      <c r="O458" s="247"/>
      <c r="AC458" s="247"/>
      <c r="AR458" s="251" t="str">
        <f t="shared" si="1"/>
        <v>0_</v>
      </c>
      <c r="AS458" s="251" t="str">
        <f t="shared" si="2"/>
        <v/>
      </c>
      <c r="AT458" s="247"/>
    </row>
    <row r="459">
      <c r="C459" s="277"/>
      <c r="M459" s="277"/>
      <c r="O459" s="247"/>
      <c r="AC459" s="247"/>
      <c r="AR459" s="251" t="str">
        <f t="shared" si="1"/>
        <v>0_</v>
      </c>
      <c r="AS459" s="251" t="str">
        <f t="shared" si="2"/>
        <v/>
      </c>
      <c r="AT459" s="247"/>
    </row>
    <row r="460">
      <c r="C460" s="277"/>
      <c r="M460" s="277"/>
      <c r="O460" s="247"/>
      <c r="AC460" s="247"/>
      <c r="AR460" s="251" t="str">
        <f t="shared" si="1"/>
        <v>0_</v>
      </c>
      <c r="AS460" s="251" t="str">
        <f t="shared" si="2"/>
        <v/>
      </c>
      <c r="AT460" s="247"/>
    </row>
    <row r="461">
      <c r="C461" s="277"/>
      <c r="M461" s="277"/>
      <c r="O461" s="247"/>
      <c r="AC461" s="247"/>
      <c r="AR461" s="251" t="str">
        <f t="shared" si="1"/>
        <v>0_</v>
      </c>
      <c r="AS461" s="251" t="str">
        <f t="shared" si="2"/>
        <v/>
      </c>
      <c r="AT461" s="247"/>
    </row>
    <row r="462">
      <c r="C462" s="277"/>
      <c r="M462" s="277"/>
      <c r="O462" s="247"/>
      <c r="AC462" s="247"/>
      <c r="AR462" s="251" t="str">
        <f t="shared" si="1"/>
        <v>0_</v>
      </c>
      <c r="AS462" s="251" t="str">
        <f t="shared" si="2"/>
        <v/>
      </c>
      <c r="AT462" s="247"/>
    </row>
    <row r="463">
      <c r="C463" s="277"/>
      <c r="M463" s="277"/>
      <c r="O463" s="247"/>
      <c r="AC463" s="247"/>
      <c r="AR463" s="251" t="str">
        <f t="shared" si="1"/>
        <v>0_</v>
      </c>
      <c r="AS463" s="251" t="str">
        <f t="shared" si="2"/>
        <v/>
      </c>
      <c r="AT463" s="247"/>
    </row>
    <row r="464">
      <c r="C464" s="277"/>
      <c r="M464" s="277"/>
      <c r="O464" s="247"/>
      <c r="AC464" s="247"/>
      <c r="AR464" s="251" t="str">
        <f t="shared" si="1"/>
        <v>0_</v>
      </c>
      <c r="AS464" s="251" t="str">
        <f t="shared" si="2"/>
        <v/>
      </c>
      <c r="AT464" s="247"/>
    </row>
    <row r="465">
      <c r="C465" s="277"/>
      <c r="M465" s="277"/>
      <c r="O465" s="247"/>
      <c r="AC465" s="247"/>
      <c r="AR465" s="251" t="str">
        <f t="shared" si="1"/>
        <v>0_</v>
      </c>
      <c r="AS465" s="251" t="str">
        <f t="shared" si="2"/>
        <v/>
      </c>
      <c r="AT465" s="247"/>
    </row>
    <row r="466">
      <c r="C466" s="277"/>
      <c r="M466" s="277"/>
      <c r="O466" s="247"/>
      <c r="AC466" s="247"/>
      <c r="AR466" s="251" t="str">
        <f t="shared" si="1"/>
        <v>0_</v>
      </c>
      <c r="AS466" s="251" t="str">
        <f t="shared" si="2"/>
        <v/>
      </c>
      <c r="AT466" s="247"/>
    </row>
    <row r="467">
      <c r="C467" s="277"/>
      <c r="M467" s="277"/>
      <c r="O467" s="247"/>
      <c r="AC467" s="247"/>
      <c r="AR467" s="251" t="str">
        <f t="shared" si="1"/>
        <v>0_</v>
      </c>
      <c r="AS467" s="251" t="str">
        <f t="shared" si="2"/>
        <v/>
      </c>
      <c r="AT467" s="247"/>
    </row>
    <row r="468">
      <c r="C468" s="277"/>
      <c r="M468" s="277"/>
      <c r="O468" s="247"/>
      <c r="AC468" s="247"/>
      <c r="AR468" s="251" t="str">
        <f t="shared" si="1"/>
        <v>0_</v>
      </c>
      <c r="AS468" s="251" t="str">
        <f t="shared" si="2"/>
        <v/>
      </c>
      <c r="AT468" s="247"/>
    </row>
    <row r="469">
      <c r="C469" s="277"/>
      <c r="M469" s="277"/>
      <c r="O469" s="247"/>
      <c r="AC469" s="247"/>
      <c r="AR469" s="251" t="str">
        <f t="shared" si="1"/>
        <v>0_</v>
      </c>
      <c r="AS469" s="251" t="str">
        <f t="shared" si="2"/>
        <v/>
      </c>
      <c r="AT469" s="247"/>
    </row>
    <row r="470">
      <c r="C470" s="277"/>
      <c r="M470" s="277"/>
      <c r="O470" s="247"/>
      <c r="AC470" s="247"/>
      <c r="AR470" s="251" t="str">
        <f t="shared" si="1"/>
        <v>0_</v>
      </c>
      <c r="AS470" s="251" t="str">
        <f t="shared" si="2"/>
        <v/>
      </c>
      <c r="AT470" s="247"/>
    </row>
    <row r="471">
      <c r="C471" s="277"/>
      <c r="M471" s="277"/>
      <c r="O471" s="247"/>
      <c r="AC471" s="247"/>
      <c r="AR471" s="251" t="str">
        <f t="shared" si="1"/>
        <v>0_</v>
      </c>
      <c r="AS471" s="251" t="str">
        <f t="shared" si="2"/>
        <v/>
      </c>
      <c r="AT471" s="247"/>
    </row>
    <row r="472">
      <c r="C472" s="277"/>
      <c r="M472" s="277"/>
      <c r="O472" s="247"/>
      <c r="AC472" s="247"/>
      <c r="AR472" s="251" t="str">
        <f t="shared" si="1"/>
        <v>0_</v>
      </c>
      <c r="AS472" s="251" t="str">
        <f t="shared" si="2"/>
        <v/>
      </c>
      <c r="AT472" s="247"/>
    </row>
    <row r="473">
      <c r="C473" s="277"/>
      <c r="M473" s="277"/>
      <c r="O473" s="247"/>
      <c r="AC473" s="247"/>
      <c r="AR473" s="251" t="str">
        <f t="shared" si="1"/>
        <v>0_</v>
      </c>
      <c r="AS473" s="251" t="str">
        <f t="shared" si="2"/>
        <v/>
      </c>
      <c r="AT473" s="247"/>
    </row>
    <row r="474">
      <c r="C474" s="277"/>
      <c r="M474" s="277"/>
      <c r="O474" s="247"/>
      <c r="AC474" s="247"/>
      <c r="AR474" s="251" t="str">
        <f t="shared" si="1"/>
        <v>0_</v>
      </c>
      <c r="AS474" s="251" t="str">
        <f t="shared" si="2"/>
        <v/>
      </c>
      <c r="AT474" s="247"/>
    </row>
    <row r="475">
      <c r="C475" s="277"/>
      <c r="M475" s="277"/>
      <c r="O475" s="247"/>
      <c r="AC475" s="247"/>
      <c r="AR475" s="251" t="str">
        <f t="shared" si="1"/>
        <v>0_</v>
      </c>
      <c r="AS475" s="251" t="str">
        <f t="shared" si="2"/>
        <v/>
      </c>
      <c r="AT475" s="247"/>
    </row>
    <row r="476">
      <c r="C476" s="277"/>
      <c r="M476" s="277"/>
      <c r="O476" s="247"/>
      <c r="AC476" s="247"/>
      <c r="AR476" s="251" t="str">
        <f t="shared" si="1"/>
        <v>0_</v>
      </c>
      <c r="AS476" s="251" t="str">
        <f t="shared" si="2"/>
        <v/>
      </c>
      <c r="AT476" s="247"/>
    </row>
    <row r="477">
      <c r="C477" s="277"/>
      <c r="M477" s="277"/>
      <c r="O477" s="247"/>
      <c r="AC477" s="247"/>
      <c r="AR477" s="251" t="str">
        <f t="shared" si="1"/>
        <v>0_</v>
      </c>
      <c r="AS477" s="251" t="str">
        <f t="shared" si="2"/>
        <v/>
      </c>
      <c r="AT477" s="247"/>
    </row>
    <row r="478">
      <c r="C478" s="277"/>
      <c r="M478" s="277"/>
      <c r="O478" s="247"/>
      <c r="AC478" s="247"/>
      <c r="AR478" s="251" t="str">
        <f t="shared" si="1"/>
        <v>0_</v>
      </c>
      <c r="AS478" s="251" t="str">
        <f t="shared" si="2"/>
        <v/>
      </c>
      <c r="AT478" s="247"/>
    </row>
    <row r="479">
      <c r="C479" s="277"/>
      <c r="M479" s="277"/>
      <c r="O479" s="247"/>
      <c r="AC479" s="247"/>
      <c r="AR479" s="251" t="str">
        <f t="shared" si="1"/>
        <v>0_</v>
      </c>
      <c r="AS479" s="251" t="str">
        <f t="shared" si="2"/>
        <v/>
      </c>
      <c r="AT479" s="247"/>
    </row>
    <row r="480">
      <c r="C480" s="277"/>
      <c r="M480" s="277"/>
      <c r="O480" s="247"/>
      <c r="AC480" s="247"/>
      <c r="AR480" s="251" t="str">
        <f t="shared" si="1"/>
        <v>0_</v>
      </c>
      <c r="AS480" s="251" t="str">
        <f t="shared" si="2"/>
        <v/>
      </c>
      <c r="AT480" s="247"/>
    </row>
    <row r="481">
      <c r="C481" s="277"/>
      <c r="M481" s="277"/>
      <c r="O481" s="247"/>
      <c r="AC481" s="247"/>
      <c r="AR481" s="251" t="str">
        <f t="shared" si="1"/>
        <v>0_</v>
      </c>
      <c r="AS481" s="251" t="str">
        <f t="shared" si="2"/>
        <v/>
      </c>
      <c r="AT481" s="247"/>
    </row>
    <row r="482">
      <c r="C482" s="277"/>
      <c r="M482" s="277"/>
      <c r="O482" s="247"/>
      <c r="AC482" s="247"/>
      <c r="AR482" s="251" t="str">
        <f t="shared" si="1"/>
        <v>0_</v>
      </c>
      <c r="AS482" s="251" t="str">
        <f t="shared" si="2"/>
        <v/>
      </c>
      <c r="AT482" s="247"/>
    </row>
    <row r="483">
      <c r="C483" s="277"/>
      <c r="M483" s="277"/>
      <c r="O483" s="247"/>
      <c r="AC483" s="247"/>
      <c r="AR483" s="251" t="str">
        <f t="shared" si="1"/>
        <v>0_</v>
      </c>
      <c r="AS483" s="251" t="str">
        <f t="shared" si="2"/>
        <v/>
      </c>
      <c r="AT483" s="247"/>
    </row>
    <row r="484">
      <c r="C484" s="277"/>
      <c r="M484" s="277"/>
      <c r="O484" s="247"/>
      <c r="AC484" s="247"/>
      <c r="AR484" s="251" t="str">
        <f t="shared" si="1"/>
        <v>0_</v>
      </c>
      <c r="AS484" s="251" t="str">
        <f t="shared" si="2"/>
        <v/>
      </c>
      <c r="AT484" s="247"/>
    </row>
    <row r="485">
      <c r="C485" s="277"/>
      <c r="M485" s="277"/>
      <c r="O485" s="247"/>
      <c r="AC485" s="247"/>
      <c r="AR485" s="251" t="str">
        <f t="shared" si="1"/>
        <v>0_</v>
      </c>
      <c r="AS485" s="251" t="str">
        <f t="shared" si="2"/>
        <v/>
      </c>
      <c r="AT485" s="247"/>
    </row>
    <row r="486">
      <c r="C486" s="277"/>
      <c r="M486" s="277"/>
      <c r="O486" s="247"/>
      <c r="AC486" s="247"/>
      <c r="AR486" s="251" t="str">
        <f t="shared" si="1"/>
        <v>0_</v>
      </c>
      <c r="AS486" s="251" t="str">
        <f t="shared" si="2"/>
        <v/>
      </c>
      <c r="AT486" s="247"/>
    </row>
    <row r="487">
      <c r="C487" s="277"/>
      <c r="M487" s="277"/>
      <c r="O487" s="247"/>
      <c r="AC487" s="247"/>
      <c r="AR487" s="251" t="str">
        <f t="shared" si="1"/>
        <v>0_</v>
      </c>
      <c r="AS487" s="251" t="str">
        <f t="shared" si="2"/>
        <v/>
      </c>
      <c r="AT487" s="247"/>
    </row>
    <row r="488">
      <c r="C488" s="277"/>
      <c r="M488" s="277"/>
      <c r="O488" s="247"/>
      <c r="AC488" s="247"/>
      <c r="AR488" s="251" t="str">
        <f t="shared" si="1"/>
        <v>0_</v>
      </c>
      <c r="AS488" s="251" t="str">
        <f t="shared" si="2"/>
        <v/>
      </c>
      <c r="AT488" s="247"/>
    </row>
    <row r="489">
      <c r="C489" s="277"/>
      <c r="M489" s="277"/>
      <c r="O489" s="247"/>
      <c r="AC489" s="247"/>
      <c r="AR489" s="251" t="str">
        <f t="shared" si="1"/>
        <v>0_</v>
      </c>
      <c r="AS489" s="251" t="str">
        <f t="shared" si="2"/>
        <v/>
      </c>
      <c r="AT489" s="247"/>
    </row>
    <row r="490">
      <c r="C490" s="277"/>
      <c r="M490" s="277"/>
      <c r="O490" s="247"/>
      <c r="AC490" s="247"/>
      <c r="AR490" s="251" t="str">
        <f t="shared" si="1"/>
        <v>0_</v>
      </c>
      <c r="AS490" s="251" t="str">
        <f t="shared" si="2"/>
        <v/>
      </c>
      <c r="AT490" s="247"/>
    </row>
    <row r="491">
      <c r="C491" s="277"/>
      <c r="M491" s="277"/>
      <c r="O491" s="247"/>
      <c r="AC491" s="247"/>
      <c r="AR491" s="251" t="str">
        <f t="shared" si="1"/>
        <v>0_</v>
      </c>
      <c r="AS491" s="251" t="str">
        <f t="shared" si="2"/>
        <v/>
      </c>
      <c r="AT491" s="247"/>
    </row>
    <row r="492">
      <c r="C492" s="277"/>
      <c r="M492" s="277"/>
      <c r="O492" s="247"/>
      <c r="AC492" s="247"/>
      <c r="AR492" s="251" t="str">
        <f t="shared" si="1"/>
        <v>0_</v>
      </c>
      <c r="AS492" s="251" t="str">
        <f t="shared" si="2"/>
        <v/>
      </c>
      <c r="AT492" s="247"/>
    </row>
    <row r="493">
      <c r="C493" s="277"/>
      <c r="M493" s="277"/>
      <c r="O493" s="247"/>
      <c r="AC493" s="247"/>
      <c r="AR493" s="251" t="str">
        <f t="shared" si="1"/>
        <v>0_</v>
      </c>
      <c r="AS493" s="251" t="str">
        <f t="shared" si="2"/>
        <v/>
      </c>
      <c r="AT493" s="247"/>
    </row>
    <row r="494">
      <c r="C494" s="277"/>
      <c r="M494" s="277"/>
      <c r="O494" s="247"/>
      <c r="AC494" s="247"/>
      <c r="AR494" s="251" t="str">
        <f t="shared" si="1"/>
        <v>0_</v>
      </c>
      <c r="AS494" s="251" t="str">
        <f t="shared" si="2"/>
        <v/>
      </c>
      <c r="AT494" s="247"/>
    </row>
    <row r="495">
      <c r="C495" s="277"/>
      <c r="M495" s="277"/>
      <c r="O495" s="247"/>
      <c r="AC495" s="247"/>
      <c r="AR495" s="251" t="str">
        <f t="shared" si="1"/>
        <v>0_</v>
      </c>
      <c r="AS495" s="251" t="str">
        <f t="shared" si="2"/>
        <v/>
      </c>
      <c r="AT495" s="247"/>
    </row>
    <row r="496">
      <c r="C496" s="277"/>
      <c r="M496" s="277"/>
      <c r="O496" s="247"/>
      <c r="AC496" s="247"/>
      <c r="AR496" s="251" t="str">
        <f t="shared" si="1"/>
        <v>0_</v>
      </c>
      <c r="AS496" s="251" t="str">
        <f t="shared" si="2"/>
        <v/>
      </c>
      <c r="AT496" s="247"/>
    </row>
    <row r="497">
      <c r="C497" s="277"/>
      <c r="M497" s="277"/>
      <c r="O497" s="247"/>
      <c r="AC497" s="247"/>
      <c r="AR497" s="251" t="str">
        <f t="shared" si="1"/>
        <v>0_</v>
      </c>
      <c r="AS497" s="251" t="str">
        <f t="shared" si="2"/>
        <v/>
      </c>
      <c r="AT497" s="247"/>
    </row>
    <row r="498">
      <c r="C498" s="277"/>
      <c r="M498" s="277"/>
      <c r="O498" s="247"/>
      <c r="AC498" s="247"/>
      <c r="AR498" s="251" t="str">
        <f t="shared" si="1"/>
        <v>0_</v>
      </c>
      <c r="AS498" s="251" t="str">
        <f t="shared" si="2"/>
        <v/>
      </c>
      <c r="AT498" s="247"/>
    </row>
    <row r="499">
      <c r="C499" s="277"/>
      <c r="M499" s="277"/>
      <c r="O499" s="247"/>
      <c r="AC499" s="247"/>
      <c r="AR499" s="251" t="str">
        <f t="shared" si="1"/>
        <v>0_</v>
      </c>
      <c r="AS499" s="251" t="str">
        <f t="shared" si="2"/>
        <v/>
      </c>
      <c r="AT499" s="247"/>
    </row>
    <row r="500">
      <c r="C500" s="277"/>
      <c r="M500" s="277"/>
      <c r="O500" s="247"/>
      <c r="AC500" s="247"/>
      <c r="AR500" s="251" t="str">
        <f t="shared" si="1"/>
        <v>0_</v>
      </c>
      <c r="AS500" s="251" t="str">
        <f t="shared" si="2"/>
        <v/>
      </c>
      <c r="AT500" s="247"/>
    </row>
    <row r="501">
      <c r="C501" s="277"/>
      <c r="M501" s="277"/>
      <c r="O501" s="247"/>
      <c r="AC501" s="247"/>
      <c r="AR501" s="251" t="str">
        <f t="shared" si="1"/>
        <v>0_</v>
      </c>
      <c r="AS501" s="251" t="str">
        <f t="shared" si="2"/>
        <v/>
      </c>
      <c r="AT501" s="247"/>
    </row>
    <row r="502">
      <c r="C502" s="277"/>
      <c r="M502" s="277"/>
      <c r="O502" s="247"/>
      <c r="AC502" s="247"/>
      <c r="AR502" s="251" t="str">
        <f t="shared" si="1"/>
        <v>0_</v>
      </c>
      <c r="AS502" s="251" t="str">
        <f t="shared" si="2"/>
        <v/>
      </c>
      <c r="AT502" s="247"/>
    </row>
    <row r="503">
      <c r="C503" s="277"/>
      <c r="M503" s="277"/>
      <c r="O503" s="247"/>
      <c r="AC503" s="247"/>
      <c r="AR503" s="251" t="str">
        <f t="shared" si="1"/>
        <v>0_</v>
      </c>
      <c r="AS503" s="251" t="str">
        <f t="shared" si="2"/>
        <v/>
      </c>
      <c r="AT503" s="247"/>
    </row>
    <row r="504">
      <c r="C504" s="277"/>
      <c r="M504" s="277"/>
      <c r="O504" s="247"/>
      <c r="AC504" s="247"/>
      <c r="AR504" s="251" t="str">
        <f t="shared" si="1"/>
        <v>0_</v>
      </c>
      <c r="AS504" s="251" t="str">
        <f t="shared" si="2"/>
        <v/>
      </c>
      <c r="AT504" s="247"/>
    </row>
    <row r="505">
      <c r="C505" s="277"/>
      <c r="M505" s="277"/>
      <c r="O505" s="247"/>
      <c r="AC505" s="247"/>
      <c r="AR505" s="251" t="str">
        <f t="shared" si="1"/>
        <v>0_</v>
      </c>
      <c r="AS505" s="251" t="str">
        <f t="shared" si="2"/>
        <v/>
      </c>
      <c r="AT505" s="247"/>
    </row>
    <row r="506">
      <c r="C506" s="277"/>
      <c r="M506" s="277"/>
      <c r="O506" s="247"/>
      <c r="AC506" s="247"/>
      <c r="AR506" s="251" t="str">
        <f t="shared" si="1"/>
        <v>0_</v>
      </c>
      <c r="AS506" s="251" t="str">
        <f t="shared" si="2"/>
        <v/>
      </c>
      <c r="AT506" s="247"/>
    </row>
    <row r="507">
      <c r="C507" s="277"/>
      <c r="M507" s="277"/>
      <c r="O507" s="247"/>
      <c r="AC507" s="247"/>
      <c r="AR507" s="251" t="str">
        <f t="shared" si="1"/>
        <v>0_</v>
      </c>
      <c r="AS507" s="251" t="str">
        <f t="shared" si="2"/>
        <v/>
      </c>
      <c r="AT507" s="247"/>
    </row>
    <row r="508">
      <c r="C508" s="277"/>
      <c r="M508" s="277"/>
      <c r="O508" s="247"/>
      <c r="AC508" s="247"/>
      <c r="AR508" s="251" t="str">
        <f t="shared" si="1"/>
        <v>0_</v>
      </c>
      <c r="AS508" s="251" t="str">
        <f t="shared" si="2"/>
        <v/>
      </c>
      <c r="AT508" s="247"/>
    </row>
    <row r="509">
      <c r="C509" s="277"/>
      <c r="M509" s="277"/>
      <c r="O509" s="247"/>
      <c r="AC509" s="247"/>
      <c r="AR509" s="251" t="str">
        <f t="shared" si="1"/>
        <v>0_</v>
      </c>
      <c r="AS509" s="251" t="str">
        <f t="shared" si="2"/>
        <v/>
      </c>
      <c r="AT509" s="247"/>
    </row>
    <row r="510">
      <c r="C510" s="277"/>
      <c r="M510" s="277"/>
      <c r="O510" s="247"/>
      <c r="AC510" s="247"/>
      <c r="AR510" s="251" t="str">
        <f t="shared" si="1"/>
        <v>0_</v>
      </c>
      <c r="AS510" s="251" t="str">
        <f t="shared" si="2"/>
        <v/>
      </c>
      <c r="AT510" s="247"/>
    </row>
    <row r="511">
      <c r="C511" s="277"/>
      <c r="M511" s="277"/>
      <c r="O511" s="247"/>
      <c r="AC511" s="247"/>
      <c r="AR511" s="251" t="str">
        <f t="shared" si="1"/>
        <v>0_</v>
      </c>
      <c r="AS511" s="251" t="str">
        <f t="shared" si="2"/>
        <v/>
      </c>
      <c r="AT511" s="247"/>
    </row>
    <row r="512">
      <c r="C512" s="277"/>
      <c r="M512" s="277"/>
      <c r="O512" s="247"/>
      <c r="AC512" s="247"/>
      <c r="AR512" s="251" t="str">
        <f t="shared" si="1"/>
        <v>0_</v>
      </c>
      <c r="AS512" s="251" t="str">
        <f t="shared" si="2"/>
        <v/>
      </c>
      <c r="AT512" s="247"/>
    </row>
    <row r="513">
      <c r="C513" s="277"/>
      <c r="M513" s="277"/>
      <c r="O513" s="247"/>
      <c r="AC513" s="247"/>
      <c r="AR513" s="251" t="str">
        <f t="shared" si="1"/>
        <v>0_</v>
      </c>
      <c r="AS513" s="251" t="str">
        <f t="shared" si="2"/>
        <v/>
      </c>
      <c r="AT513" s="247"/>
    </row>
    <row r="514">
      <c r="C514" s="277"/>
      <c r="M514" s="277"/>
      <c r="O514" s="247"/>
      <c r="AC514" s="247"/>
      <c r="AR514" s="251" t="str">
        <f t="shared" si="1"/>
        <v>0_</v>
      </c>
      <c r="AS514" s="251" t="str">
        <f t="shared" si="2"/>
        <v/>
      </c>
      <c r="AT514" s="247"/>
    </row>
    <row r="515">
      <c r="C515" s="277"/>
      <c r="M515" s="277"/>
      <c r="O515" s="247"/>
      <c r="AC515" s="247"/>
      <c r="AR515" s="251" t="str">
        <f t="shared" si="1"/>
        <v>0_</v>
      </c>
      <c r="AS515" s="251" t="str">
        <f t="shared" si="2"/>
        <v/>
      </c>
      <c r="AT515" s="247"/>
    </row>
    <row r="516">
      <c r="C516" s="277"/>
      <c r="M516" s="277"/>
      <c r="O516" s="247"/>
      <c r="AC516" s="247"/>
      <c r="AR516" s="251" t="str">
        <f t="shared" si="1"/>
        <v>0_</v>
      </c>
      <c r="AS516" s="251" t="str">
        <f t="shared" si="2"/>
        <v/>
      </c>
      <c r="AT516" s="247"/>
    </row>
    <row r="517">
      <c r="C517" s="277"/>
      <c r="M517" s="277"/>
      <c r="O517" s="247"/>
      <c r="AC517" s="247"/>
      <c r="AR517" s="251" t="str">
        <f t="shared" si="1"/>
        <v>0_</v>
      </c>
      <c r="AS517" s="251" t="str">
        <f t="shared" si="2"/>
        <v/>
      </c>
      <c r="AT517" s="247"/>
    </row>
    <row r="518">
      <c r="C518" s="277"/>
      <c r="M518" s="277"/>
      <c r="O518" s="247"/>
      <c r="AC518" s="247"/>
      <c r="AR518" s="251" t="str">
        <f t="shared" si="1"/>
        <v>0_</v>
      </c>
      <c r="AS518" s="251" t="str">
        <f t="shared" si="2"/>
        <v/>
      </c>
      <c r="AT518" s="247"/>
    </row>
    <row r="519">
      <c r="C519" s="277"/>
      <c r="M519" s="277"/>
      <c r="O519" s="247"/>
      <c r="AC519" s="247"/>
      <c r="AR519" s="251" t="str">
        <f t="shared" si="1"/>
        <v>0_</v>
      </c>
      <c r="AS519" s="251" t="str">
        <f t="shared" si="2"/>
        <v/>
      </c>
      <c r="AT519" s="247"/>
    </row>
    <row r="520">
      <c r="C520" s="277"/>
      <c r="M520" s="277"/>
      <c r="O520" s="247"/>
      <c r="AC520" s="247"/>
      <c r="AR520" s="251" t="str">
        <f t="shared" si="1"/>
        <v>0_</v>
      </c>
      <c r="AS520" s="251" t="str">
        <f t="shared" si="2"/>
        <v/>
      </c>
      <c r="AT520" s="247"/>
    </row>
    <row r="521">
      <c r="C521" s="277"/>
      <c r="M521" s="277"/>
      <c r="O521" s="247"/>
      <c r="AC521" s="247"/>
      <c r="AR521" s="251" t="str">
        <f t="shared" si="1"/>
        <v>0_</v>
      </c>
      <c r="AS521" s="251" t="str">
        <f t="shared" si="2"/>
        <v/>
      </c>
      <c r="AT521" s="247"/>
    </row>
    <row r="522">
      <c r="C522" s="277"/>
      <c r="M522" s="277"/>
      <c r="O522" s="247"/>
      <c r="AC522" s="247"/>
      <c r="AR522" s="251" t="str">
        <f t="shared" si="1"/>
        <v>0_</v>
      </c>
      <c r="AS522" s="251" t="str">
        <f t="shared" si="2"/>
        <v/>
      </c>
      <c r="AT522" s="247"/>
    </row>
    <row r="523">
      <c r="C523" s="277"/>
      <c r="M523" s="277"/>
      <c r="O523" s="247"/>
      <c r="AC523" s="247"/>
      <c r="AR523" s="251" t="str">
        <f t="shared" si="1"/>
        <v>0_</v>
      </c>
      <c r="AS523" s="251" t="str">
        <f t="shared" si="2"/>
        <v/>
      </c>
      <c r="AT523" s="247"/>
    </row>
    <row r="524">
      <c r="C524" s="277"/>
      <c r="M524" s="277"/>
      <c r="O524" s="247"/>
      <c r="AC524" s="247"/>
      <c r="AR524" s="251" t="str">
        <f t="shared" si="1"/>
        <v>0_</v>
      </c>
      <c r="AS524" s="251" t="str">
        <f t="shared" si="2"/>
        <v/>
      </c>
      <c r="AT524" s="247"/>
    </row>
    <row r="525">
      <c r="C525" s="277"/>
      <c r="M525" s="277"/>
      <c r="O525" s="247"/>
      <c r="AC525" s="247"/>
      <c r="AR525" s="251" t="str">
        <f t="shared" si="1"/>
        <v>0_</v>
      </c>
      <c r="AS525" s="251" t="str">
        <f t="shared" si="2"/>
        <v/>
      </c>
      <c r="AT525" s="247"/>
    </row>
    <row r="526">
      <c r="C526" s="277"/>
      <c r="M526" s="277"/>
      <c r="O526" s="247"/>
      <c r="AC526" s="247"/>
      <c r="AR526" s="251" t="str">
        <f t="shared" si="1"/>
        <v>0_</v>
      </c>
      <c r="AS526" s="251" t="str">
        <f t="shared" si="2"/>
        <v/>
      </c>
      <c r="AT526" s="247"/>
    </row>
    <row r="527">
      <c r="C527" s="277"/>
      <c r="M527" s="277"/>
      <c r="O527" s="247"/>
      <c r="AC527" s="247"/>
      <c r="AR527" s="251" t="str">
        <f t="shared" si="1"/>
        <v>0_</v>
      </c>
      <c r="AS527" s="251" t="str">
        <f t="shared" si="2"/>
        <v/>
      </c>
      <c r="AT527" s="247"/>
    </row>
    <row r="528">
      <c r="C528" s="277"/>
      <c r="M528" s="277"/>
      <c r="O528" s="247"/>
      <c r="AC528" s="247"/>
      <c r="AR528" s="251" t="str">
        <f t="shared" si="1"/>
        <v>0_</v>
      </c>
      <c r="AS528" s="251" t="str">
        <f t="shared" si="2"/>
        <v/>
      </c>
      <c r="AT528" s="247"/>
    </row>
    <row r="529">
      <c r="C529" s="277"/>
      <c r="M529" s="277"/>
      <c r="O529" s="247"/>
      <c r="AC529" s="247"/>
      <c r="AR529" s="251" t="str">
        <f t="shared" si="1"/>
        <v>0_</v>
      </c>
      <c r="AS529" s="251" t="str">
        <f t="shared" si="2"/>
        <v/>
      </c>
      <c r="AT529" s="247"/>
    </row>
    <row r="530">
      <c r="C530" s="277"/>
      <c r="M530" s="277"/>
      <c r="O530" s="247"/>
      <c r="AC530" s="247"/>
      <c r="AR530" s="251" t="str">
        <f t="shared" si="1"/>
        <v>0_</v>
      </c>
      <c r="AS530" s="251" t="str">
        <f t="shared" si="2"/>
        <v/>
      </c>
      <c r="AT530" s="247"/>
    </row>
    <row r="531">
      <c r="C531" s="277"/>
      <c r="M531" s="277"/>
      <c r="O531" s="247"/>
      <c r="AC531" s="247"/>
      <c r="AR531" s="251" t="str">
        <f t="shared" si="1"/>
        <v>0_</v>
      </c>
      <c r="AS531" s="251" t="str">
        <f t="shared" si="2"/>
        <v/>
      </c>
      <c r="AT531" s="247"/>
    </row>
    <row r="532">
      <c r="C532" s="277"/>
      <c r="M532" s="277"/>
      <c r="O532" s="247"/>
      <c r="AC532" s="247"/>
      <c r="AR532" s="251" t="str">
        <f t="shared" si="1"/>
        <v>0_</v>
      </c>
      <c r="AS532" s="251" t="str">
        <f t="shared" si="2"/>
        <v/>
      </c>
      <c r="AT532" s="247"/>
    </row>
    <row r="533">
      <c r="C533" s="277"/>
      <c r="M533" s="277"/>
      <c r="O533" s="247"/>
      <c r="AC533" s="247"/>
      <c r="AR533" s="251" t="str">
        <f t="shared" si="1"/>
        <v>0_</v>
      </c>
      <c r="AS533" s="251" t="str">
        <f t="shared" si="2"/>
        <v/>
      </c>
      <c r="AT533" s="247"/>
    </row>
    <row r="534">
      <c r="C534" s="277"/>
      <c r="M534" s="277"/>
      <c r="O534" s="247"/>
      <c r="AC534" s="247"/>
      <c r="AR534" s="251" t="str">
        <f t="shared" si="1"/>
        <v>0_</v>
      </c>
      <c r="AS534" s="251" t="str">
        <f t="shared" si="2"/>
        <v/>
      </c>
      <c r="AT534" s="247"/>
    </row>
    <row r="535">
      <c r="C535" s="277"/>
      <c r="M535" s="277"/>
      <c r="O535" s="247"/>
      <c r="AC535" s="247"/>
      <c r="AR535" s="251" t="str">
        <f t="shared" si="1"/>
        <v>0_</v>
      </c>
      <c r="AS535" s="251" t="str">
        <f t="shared" si="2"/>
        <v/>
      </c>
      <c r="AT535" s="247"/>
    </row>
    <row r="536">
      <c r="C536" s="277"/>
      <c r="M536" s="277"/>
      <c r="O536" s="247"/>
      <c r="AC536" s="247"/>
      <c r="AR536" s="251" t="str">
        <f t="shared" si="1"/>
        <v>0_</v>
      </c>
      <c r="AS536" s="251" t="str">
        <f t="shared" si="2"/>
        <v/>
      </c>
      <c r="AT536" s="247"/>
    </row>
    <row r="537">
      <c r="C537" s="277"/>
      <c r="M537" s="277"/>
      <c r="O537" s="247"/>
      <c r="AC537" s="247"/>
      <c r="AR537" s="251" t="str">
        <f t="shared" si="1"/>
        <v>0_</v>
      </c>
      <c r="AS537" s="251" t="str">
        <f t="shared" si="2"/>
        <v/>
      </c>
      <c r="AT537" s="247"/>
    </row>
    <row r="538">
      <c r="C538" s="277"/>
      <c r="M538" s="277"/>
      <c r="O538" s="247"/>
      <c r="AC538" s="247"/>
      <c r="AR538" s="251" t="str">
        <f t="shared" si="1"/>
        <v>0_</v>
      </c>
      <c r="AS538" s="251" t="str">
        <f t="shared" si="2"/>
        <v/>
      </c>
      <c r="AT538" s="247"/>
    </row>
    <row r="539">
      <c r="C539" s="277"/>
      <c r="M539" s="277"/>
      <c r="O539" s="247"/>
      <c r="AC539" s="247"/>
      <c r="AR539" s="251" t="str">
        <f t="shared" si="1"/>
        <v>0_</v>
      </c>
      <c r="AS539" s="251" t="str">
        <f t="shared" si="2"/>
        <v/>
      </c>
      <c r="AT539" s="247"/>
    </row>
    <row r="540">
      <c r="C540" s="277"/>
      <c r="M540" s="277"/>
      <c r="O540" s="247"/>
      <c r="AC540" s="247"/>
      <c r="AR540" s="251" t="str">
        <f t="shared" si="1"/>
        <v>0_</v>
      </c>
      <c r="AS540" s="251" t="str">
        <f t="shared" si="2"/>
        <v/>
      </c>
      <c r="AT540" s="247"/>
    </row>
    <row r="541">
      <c r="C541" s="277"/>
      <c r="M541" s="277"/>
      <c r="O541" s="247"/>
      <c r="AC541" s="247"/>
      <c r="AR541" s="251" t="str">
        <f t="shared" si="1"/>
        <v>0_</v>
      </c>
      <c r="AS541" s="251" t="str">
        <f t="shared" si="2"/>
        <v/>
      </c>
      <c r="AT541" s="247"/>
    </row>
    <row r="542">
      <c r="C542" s="277"/>
      <c r="M542" s="277"/>
      <c r="O542" s="247"/>
      <c r="AC542" s="247"/>
      <c r="AR542" s="251" t="str">
        <f t="shared" si="1"/>
        <v>0_</v>
      </c>
      <c r="AS542" s="251" t="str">
        <f t="shared" si="2"/>
        <v/>
      </c>
      <c r="AT542" s="247"/>
    </row>
    <row r="543">
      <c r="C543" s="277"/>
      <c r="M543" s="277"/>
      <c r="O543" s="247"/>
      <c r="AC543" s="247"/>
      <c r="AR543" s="251" t="str">
        <f t="shared" si="1"/>
        <v>0_</v>
      </c>
      <c r="AS543" s="251" t="str">
        <f t="shared" si="2"/>
        <v/>
      </c>
      <c r="AT543" s="247"/>
    </row>
    <row r="544">
      <c r="C544" s="277"/>
      <c r="M544" s="277"/>
      <c r="O544" s="247"/>
      <c r="AC544" s="247"/>
      <c r="AR544" s="251" t="str">
        <f t="shared" si="1"/>
        <v>0_</v>
      </c>
      <c r="AS544" s="251" t="str">
        <f t="shared" si="2"/>
        <v/>
      </c>
      <c r="AT544" s="247"/>
    </row>
    <row r="545">
      <c r="C545" s="277"/>
      <c r="M545" s="277"/>
      <c r="O545" s="247"/>
      <c r="AC545" s="247"/>
      <c r="AR545" s="251" t="str">
        <f t="shared" si="1"/>
        <v>0_</v>
      </c>
      <c r="AS545" s="251" t="str">
        <f t="shared" si="2"/>
        <v/>
      </c>
      <c r="AT545" s="247"/>
    </row>
    <row r="546">
      <c r="C546" s="277"/>
      <c r="M546" s="277"/>
      <c r="O546" s="247"/>
      <c r="AC546" s="247"/>
      <c r="AR546" s="251" t="str">
        <f t="shared" si="1"/>
        <v>0_</v>
      </c>
      <c r="AS546" s="251" t="str">
        <f t="shared" si="2"/>
        <v/>
      </c>
      <c r="AT546" s="247"/>
    </row>
    <row r="547">
      <c r="C547" s="277"/>
      <c r="M547" s="277"/>
      <c r="O547" s="247"/>
      <c r="AC547" s="247"/>
      <c r="AR547" s="251" t="str">
        <f t="shared" si="1"/>
        <v>0_</v>
      </c>
      <c r="AS547" s="251" t="str">
        <f t="shared" si="2"/>
        <v/>
      </c>
      <c r="AT547" s="247"/>
    </row>
    <row r="548">
      <c r="C548" s="277"/>
      <c r="M548" s="277"/>
      <c r="O548" s="247"/>
      <c r="AC548" s="247"/>
      <c r="AR548" s="251" t="str">
        <f t="shared" si="1"/>
        <v>0_</v>
      </c>
      <c r="AS548" s="251" t="str">
        <f t="shared" si="2"/>
        <v/>
      </c>
      <c r="AT548" s="247"/>
    </row>
    <row r="549">
      <c r="C549" s="277"/>
      <c r="M549" s="277"/>
      <c r="O549" s="247"/>
      <c r="AC549" s="247"/>
      <c r="AR549" s="251" t="str">
        <f t="shared" si="1"/>
        <v>0_</v>
      </c>
      <c r="AS549" s="251" t="str">
        <f t="shared" si="2"/>
        <v/>
      </c>
      <c r="AT549" s="247"/>
    </row>
    <row r="550">
      <c r="C550" s="277"/>
      <c r="M550" s="277"/>
      <c r="O550" s="247"/>
      <c r="AC550" s="247"/>
      <c r="AR550" s="251" t="str">
        <f t="shared" si="1"/>
        <v>0_</v>
      </c>
      <c r="AS550" s="251" t="str">
        <f t="shared" si="2"/>
        <v/>
      </c>
      <c r="AT550" s="247"/>
    </row>
    <row r="551">
      <c r="C551" s="277"/>
      <c r="M551" s="277"/>
      <c r="O551" s="247"/>
      <c r="AC551" s="247"/>
      <c r="AR551" s="251" t="str">
        <f t="shared" si="1"/>
        <v>0_</v>
      </c>
      <c r="AS551" s="251" t="str">
        <f t="shared" si="2"/>
        <v/>
      </c>
      <c r="AT551" s="247"/>
    </row>
    <row r="552">
      <c r="C552" s="277"/>
      <c r="M552" s="277"/>
      <c r="O552" s="247"/>
      <c r="AC552" s="247"/>
      <c r="AR552" s="251" t="str">
        <f t="shared" si="1"/>
        <v>0_</v>
      </c>
      <c r="AS552" s="251" t="str">
        <f t="shared" si="2"/>
        <v/>
      </c>
      <c r="AT552" s="247"/>
    </row>
    <row r="553">
      <c r="C553" s="277"/>
      <c r="M553" s="277"/>
      <c r="O553" s="247"/>
      <c r="AC553" s="247"/>
      <c r="AR553" s="251" t="str">
        <f t="shared" si="1"/>
        <v>0_</v>
      </c>
      <c r="AS553" s="251" t="str">
        <f t="shared" si="2"/>
        <v/>
      </c>
      <c r="AT553" s="247"/>
    </row>
    <row r="554">
      <c r="C554" s="277"/>
      <c r="M554" s="277"/>
      <c r="O554" s="247"/>
      <c r="AC554" s="247"/>
      <c r="AR554" s="251" t="str">
        <f t="shared" si="1"/>
        <v>0_</v>
      </c>
      <c r="AS554" s="251" t="str">
        <f t="shared" si="2"/>
        <v/>
      </c>
      <c r="AT554" s="247"/>
    </row>
    <row r="555">
      <c r="C555" s="277"/>
      <c r="M555" s="277"/>
      <c r="O555" s="247"/>
      <c r="AC555" s="247"/>
      <c r="AR555" s="251" t="str">
        <f t="shared" si="1"/>
        <v>0_</v>
      </c>
      <c r="AS555" s="251" t="str">
        <f t="shared" si="2"/>
        <v/>
      </c>
      <c r="AT555" s="247"/>
    </row>
    <row r="556">
      <c r="C556" s="277"/>
      <c r="M556" s="277"/>
      <c r="O556" s="247"/>
      <c r="AC556" s="247"/>
      <c r="AR556" s="251" t="str">
        <f t="shared" si="1"/>
        <v>0_</v>
      </c>
      <c r="AS556" s="251" t="str">
        <f t="shared" si="2"/>
        <v/>
      </c>
      <c r="AT556" s="247"/>
    </row>
    <row r="557">
      <c r="C557" s="277"/>
      <c r="M557" s="277"/>
      <c r="O557" s="247"/>
      <c r="AC557" s="247"/>
      <c r="AR557" s="251" t="str">
        <f t="shared" si="1"/>
        <v>0_</v>
      </c>
      <c r="AS557" s="251" t="str">
        <f t="shared" si="2"/>
        <v/>
      </c>
      <c r="AT557" s="247"/>
    </row>
    <row r="558">
      <c r="C558" s="277"/>
      <c r="M558" s="277"/>
      <c r="O558" s="247"/>
      <c r="AC558" s="247"/>
      <c r="AR558" s="251" t="str">
        <f t="shared" si="1"/>
        <v>0_</v>
      </c>
      <c r="AS558" s="251" t="str">
        <f t="shared" si="2"/>
        <v/>
      </c>
      <c r="AT558" s="247"/>
    </row>
    <row r="559">
      <c r="C559" s="277"/>
      <c r="M559" s="277"/>
      <c r="O559" s="247"/>
      <c r="AC559" s="247"/>
      <c r="AR559" s="251" t="str">
        <f t="shared" si="1"/>
        <v>0_</v>
      </c>
      <c r="AS559" s="251" t="str">
        <f t="shared" si="2"/>
        <v/>
      </c>
      <c r="AT559" s="247"/>
    </row>
    <row r="560">
      <c r="C560" s="277"/>
      <c r="M560" s="277"/>
      <c r="O560" s="247"/>
      <c r="AC560" s="247"/>
      <c r="AR560" s="251" t="str">
        <f t="shared" si="1"/>
        <v>0_</v>
      </c>
      <c r="AS560" s="251" t="str">
        <f t="shared" si="2"/>
        <v/>
      </c>
      <c r="AT560" s="247"/>
    </row>
    <row r="561">
      <c r="C561" s="277"/>
      <c r="M561" s="277"/>
      <c r="O561" s="247"/>
      <c r="AC561" s="247"/>
      <c r="AR561" s="251" t="str">
        <f t="shared" si="1"/>
        <v>0_</v>
      </c>
      <c r="AS561" s="251" t="str">
        <f t="shared" si="2"/>
        <v/>
      </c>
      <c r="AT561" s="247"/>
    </row>
    <row r="562">
      <c r="C562" s="277"/>
      <c r="M562" s="277"/>
      <c r="O562" s="247"/>
      <c r="AC562" s="247"/>
      <c r="AR562" s="251" t="str">
        <f t="shared" si="1"/>
        <v>0_</v>
      </c>
      <c r="AS562" s="251" t="str">
        <f t="shared" si="2"/>
        <v/>
      </c>
      <c r="AT562" s="247"/>
    </row>
    <row r="563">
      <c r="C563" s="277"/>
      <c r="M563" s="277"/>
      <c r="O563" s="247"/>
      <c r="AC563" s="247"/>
      <c r="AR563" s="251" t="str">
        <f t="shared" si="1"/>
        <v>0_</v>
      </c>
      <c r="AS563" s="251" t="str">
        <f t="shared" si="2"/>
        <v/>
      </c>
      <c r="AT563" s="247"/>
    </row>
    <row r="564">
      <c r="C564" s="277"/>
      <c r="M564" s="277"/>
      <c r="O564" s="247"/>
      <c r="AC564" s="247"/>
      <c r="AR564" s="251" t="str">
        <f t="shared" si="1"/>
        <v>0_</v>
      </c>
      <c r="AS564" s="251" t="str">
        <f t="shared" si="2"/>
        <v/>
      </c>
      <c r="AT564" s="247"/>
    </row>
    <row r="565">
      <c r="C565" s="277"/>
      <c r="M565" s="277"/>
      <c r="O565" s="247"/>
      <c r="AC565" s="247"/>
      <c r="AR565" s="251" t="str">
        <f t="shared" si="1"/>
        <v>0_</v>
      </c>
      <c r="AS565" s="251" t="str">
        <f t="shared" si="2"/>
        <v/>
      </c>
      <c r="AT565" s="247"/>
    </row>
    <row r="566">
      <c r="C566" s="277"/>
      <c r="M566" s="277"/>
      <c r="O566" s="247"/>
      <c r="AC566" s="247"/>
      <c r="AR566" s="251" t="str">
        <f t="shared" si="1"/>
        <v>0_</v>
      </c>
      <c r="AS566" s="251" t="str">
        <f t="shared" si="2"/>
        <v/>
      </c>
      <c r="AT566" s="247"/>
    </row>
    <row r="567">
      <c r="C567" s="277"/>
      <c r="M567" s="277"/>
      <c r="O567" s="247"/>
      <c r="AC567" s="247"/>
      <c r="AR567" s="251" t="str">
        <f t="shared" si="1"/>
        <v>0_</v>
      </c>
      <c r="AS567" s="251" t="str">
        <f t="shared" si="2"/>
        <v/>
      </c>
      <c r="AT567" s="247"/>
    </row>
    <row r="568">
      <c r="C568" s="277"/>
      <c r="M568" s="277"/>
      <c r="O568" s="247"/>
      <c r="AC568" s="247"/>
      <c r="AR568" s="251" t="str">
        <f t="shared" si="1"/>
        <v>0_</v>
      </c>
      <c r="AS568" s="251" t="str">
        <f t="shared" si="2"/>
        <v/>
      </c>
      <c r="AT568" s="247"/>
    </row>
    <row r="569">
      <c r="C569" s="277"/>
      <c r="M569" s="277"/>
      <c r="O569" s="247"/>
      <c r="AC569" s="247"/>
      <c r="AR569" s="251" t="str">
        <f t="shared" si="1"/>
        <v>0_</v>
      </c>
      <c r="AS569" s="251" t="str">
        <f t="shared" si="2"/>
        <v/>
      </c>
      <c r="AT569" s="247"/>
    </row>
    <row r="570">
      <c r="C570" s="277"/>
      <c r="M570" s="277"/>
      <c r="O570" s="247"/>
      <c r="AC570" s="247"/>
      <c r="AR570" s="251" t="str">
        <f t="shared" si="1"/>
        <v>0_</v>
      </c>
      <c r="AS570" s="251" t="str">
        <f t="shared" si="2"/>
        <v/>
      </c>
      <c r="AT570" s="247"/>
    </row>
    <row r="571">
      <c r="C571" s="277"/>
      <c r="M571" s="277"/>
      <c r="O571" s="247"/>
      <c r="AC571" s="247"/>
      <c r="AR571" s="251" t="str">
        <f t="shared" si="1"/>
        <v>0_</v>
      </c>
      <c r="AS571" s="251" t="str">
        <f t="shared" si="2"/>
        <v/>
      </c>
      <c r="AT571" s="247"/>
    </row>
    <row r="572">
      <c r="C572" s="277"/>
      <c r="M572" s="277"/>
      <c r="O572" s="247"/>
      <c r="AC572" s="247"/>
      <c r="AR572" s="251" t="str">
        <f t="shared" si="1"/>
        <v>0_</v>
      </c>
      <c r="AS572" s="251" t="str">
        <f t="shared" si="2"/>
        <v/>
      </c>
      <c r="AT572" s="247"/>
    </row>
    <row r="573">
      <c r="C573" s="277"/>
      <c r="M573" s="277"/>
      <c r="O573" s="247"/>
      <c r="AC573" s="247"/>
      <c r="AR573" s="251" t="str">
        <f t="shared" si="1"/>
        <v>0_</v>
      </c>
      <c r="AS573" s="251" t="str">
        <f t="shared" si="2"/>
        <v/>
      </c>
      <c r="AT573" s="247"/>
    </row>
    <row r="574">
      <c r="C574" s="277"/>
      <c r="M574" s="277"/>
      <c r="O574" s="247"/>
      <c r="AC574" s="247"/>
      <c r="AR574" s="251" t="str">
        <f t="shared" si="1"/>
        <v>0_</v>
      </c>
      <c r="AS574" s="251" t="str">
        <f t="shared" si="2"/>
        <v/>
      </c>
      <c r="AT574" s="247"/>
    </row>
    <row r="575">
      <c r="C575" s="277"/>
      <c r="M575" s="277"/>
      <c r="O575" s="247"/>
      <c r="AC575" s="247"/>
      <c r="AR575" s="251" t="str">
        <f t="shared" si="1"/>
        <v>0_</v>
      </c>
      <c r="AS575" s="251" t="str">
        <f t="shared" si="2"/>
        <v/>
      </c>
      <c r="AT575" s="247"/>
    </row>
    <row r="576">
      <c r="C576" s="277"/>
      <c r="M576" s="277"/>
      <c r="O576" s="247"/>
      <c r="AC576" s="247"/>
      <c r="AR576" s="251" t="str">
        <f t="shared" si="1"/>
        <v>0_</v>
      </c>
      <c r="AS576" s="251" t="str">
        <f t="shared" si="2"/>
        <v/>
      </c>
      <c r="AT576" s="247"/>
    </row>
    <row r="577">
      <c r="C577" s="277"/>
      <c r="M577" s="277"/>
      <c r="O577" s="247"/>
      <c r="AC577" s="247"/>
      <c r="AR577" s="251" t="str">
        <f t="shared" si="1"/>
        <v>0_</v>
      </c>
      <c r="AS577" s="251" t="str">
        <f t="shared" si="2"/>
        <v/>
      </c>
      <c r="AT577" s="247"/>
    </row>
    <row r="578">
      <c r="C578" s="277"/>
      <c r="M578" s="277"/>
      <c r="O578" s="247"/>
      <c r="AC578" s="247"/>
      <c r="AR578" s="251" t="str">
        <f t="shared" si="1"/>
        <v>0_</v>
      </c>
      <c r="AS578" s="251" t="str">
        <f t="shared" si="2"/>
        <v/>
      </c>
      <c r="AT578" s="247"/>
    </row>
    <row r="579">
      <c r="C579" s="277"/>
      <c r="M579" s="277"/>
      <c r="O579" s="247"/>
      <c r="AC579" s="247"/>
      <c r="AR579" s="251" t="str">
        <f t="shared" si="1"/>
        <v>0_</v>
      </c>
      <c r="AS579" s="251" t="str">
        <f t="shared" si="2"/>
        <v/>
      </c>
      <c r="AT579" s="247"/>
    </row>
    <row r="580">
      <c r="C580" s="277"/>
      <c r="M580" s="277"/>
      <c r="O580" s="247"/>
      <c r="AC580" s="247"/>
      <c r="AR580" s="251" t="str">
        <f t="shared" si="1"/>
        <v>0_</v>
      </c>
      <c r="AS580" s="251" t="str">
        <f t="shared" si="2"/>
        <v/>
      </c>
      <c r="AT580" s="247"/>
    </row>
    <row r="581">
      <c r="C581" s="277"/>
      <c r="M581" s="277"/>
      <c r="O581" s="247"/>
      <c r="AC581" s="247"/>
      <c r="AR581" s="251" t="str">
        <f t="shared" si="1"/>
        <v>0_</v>
      </c>
      <c r="AS581" s="251" t="str">
        <f t="shared" si="2"/>
        <v/>
      </c>
      <c r="AT581" s="247"/>
    </row>
    <row r="582">
      <c r="C582" s="277"/>
      <c r="M582" s="277"/>
      <c r="O582" s="247"/>
      <c r="AC582" s="247"/>
      <c r="AR582" s="251" t="str">
        <f t="shared" si="1"/>
        <v>0_</v>
      </c>
      <c r="AS582" s="251" t="str">
        <f t="shared" si="2"/>
        <v/>
      </c>
      <c r="AT582" s="247"/>
    </row>
    <row r="583">
      <c r="C583" s="277"/>
      <c r="M583" s="277"/>
      <c r="O583" s="247"/>
      <c r="AC583" s="247"/>
      <c r="AR583" s="251" t="str">
        <f t="shared" si="1"/>
        <v>0_</v>
      </c>
      <c r="AS583" s="251" t="str">
        <f t="shared" si="2"/>
        <v/>
      </c>
      <c r="AT583" s="247"/>
    </row>
    <row r="584">
      <c r="C584" s="277"/>
      <c r="M584" s="277"/>
      <c r="O584" s="247"/>
      <c r="AC584" s="247"/>
      <c r="AR584" s="251" t="str">
        <f t="shared" si="1"/>
        <v>0_</v>
      </c>
      <c r="AS584" s="251" t="str">
        <f t="shared" si="2"/>
        <v/>
      </c>
      <c r="AT584" s="247"/>
    </row>
    <row r="585">
      <c r="C585" s="277"/>
      <c r="M585" s="277"/>
      <c r="O585" s="247"/>
      <c r="AC585" s="247"/>
      <c r="AR585" s="251" t="str">
        <f t="shared" si="1"/>
        <v>0_</v>
      </c>
      <c r="AS585" s="251" t="str">
        <f t="shared" si="2"/>
        <v/>
      </c>
      <c r="AT585" s="247"/>
    </row>
    <row r="586">
      <c r="C586" s="277"/>
      <c r="M586" s="277"/>
      <c r="O586" s="247"/>
      <c r="AC586" s="247"/>
      <c r="AR586" s="251" t="str">
        <f t="shared" si="1"/>
        <v>0_</v>
      </c>
      <c r="AS586" s="251" t="str">
        <f t="shared" si="2"/>
        <v/>
      </c>
      <c r="AT586" s="247"/>
    </row>
    <row r="587">
      <c r="C587" s="277"/>
      <c r="M587" s="277"/>
      <c r="O587" s="247"/>
      <c r="AC587" s="247"/>
      <c r="AR587" s="251" t="str">
        <f t="shared" si="1"/>
        <v>0_</v>
      </c>
      <c r="AS587" s="251" t="str">
        <f t="shared" si="2"/>
        <v/>
      </c>
      <c r="AT587" s="247"/>
    </row>
    <row r="588">
      <c r="C588" s="277"/>
      <c r="M588" s="277"/>
      <c r="O588" s="247"/>
      <c r="AC588" s="247"/>
      <c r="AR588" s="251" t="str">
        <f t="shared" si="1"/>
        <v>0_</v>
      </c>
      <c r="AS588" s="251" t="str">
        <f t="shared" si="2"/>
        <v/>
      </c>
      <c r="AT588" s="247"/>
    </row>
    <row r="589">
      <c r="C589" s="277"/>
      <c r="M589" s="277"/>
      <c r="O589" s="247"/>
      <c r="AC589" s="247"/>
      <c r="AR589" s="251" t="str">
        <f t="shared" si="1"/>
        <v>0_</v>
      </c>
      <c r="AS589" s="251" t="str">
        <f t="shared" si="2"/>
        <v/>
      </c>
      <c r="AT589" s="247"/>
    </row>
    <row r="590">
      <c r="C590" s="277"/>
      <c r="M590" s="277"/>
      <c r="O590" s="247"/>
      <c r="AC590" s="247"/>
      <c r="AR590" s="251" t="str">
        <f t="shared" si="1"/>
        <v>0_</v>
      </c>
      <c r="AS590" s="251" t="str">
        <f t="shared" si="2"/>
        <v/>
      </c>
      <c r="AT590" s="247"/>
    </row>
    <row r="591">
      <c r="C591" s="277"/>
      <c r="M591" s="277"/>
      <c r="O591" s="247"/>
      <c r="AC591" s="247"/>
      <c r="AR591" s="251" t="str">
        <f t="shared" si="1"/>
        <v>0_</v>
      </c>
      <c r="AS591" s="251" t="str">
        <f t="shared" si="2"/>
        <v/>
      </c>
      <c r="AT591" s="247"/>
    </row>
    <row r="592">
      <c r="C592" s="277"/>
      <c r="M592" s="277"/>
      <c r="O592" s="247"/>
      <c r="AC592" s="247"/>
      <c r="AR592" s="251" t="str">
        <f t="shared" si="1"/>
        <v>0_</v>
      </c>
      <c r="AS592" s="251" t="str">
        <f t="shared" si="2"/>
        <v/>
      </c>
      <c r="AT592" s="247"/>
    </row>
    <row r="593">
      <c r="C593" s="277"/>
      <c r="M593" s="277"/>
      <c r="O593" s="247"/>
      <c r="AC593" s="247"/>
      <c r="AR593" s="251" t="str">
        <f t="shared" si="1"/>
        <v>0_</v>
      </c>
      <c r="AS593" s="251" t="str">
        <f t="shared" si="2"/>
        <v/>
      </c>
      <c r="AT593" s="247"/>
    </row>
    <row r="594">
      <c r="C594" s="277"/>
      <c r="M594" s="277"/>
      <c r="O594" s="247"/>
      <c r="AC594" s="247"/>
      <c r="AR594" s="251" t="str">
        <f t="shared" si="1"/>
        <v>0_</v>
      </c>
      <c r="AS594" s="251" t="str">
        <f t="shared" si="2"/>
        <v/>
      </c>
      <c r="AT594" s="247"/>
    </row>
    <row r="595">
      <c r="C595" s="277"/>
      <c r="M595" s="277"/>
      <c r="O595" s="247"/>
      <c r="AC595" s="247"/>
      <c r="AR595" s="251" t="str">
        <f t="shared" si="1"/>
        <v>0_</v>
      </c>
      <c r="AS595" s="251" t="str">
        <f t="shared" si="2"/>
        <v/>
      </c>
      <c r="AT595" s="247"/>
    </row>
    <row r="596">
      <c r="C596" s="277"/>
      <c r="M596" s="277"/>
      <c r="O596" s="247"/>
      <c r="AC596" s="247"/>
      <c r="AR596" s="251" t="str">
        <f t="shared" si="1"/>
        <v>0_</v>
      </c>
      <c r="AS596" s="251" t="str">
        <f t="shared" si="2"/>
        <v/>
      </c>
      <c r="AT596" s="247"/>
    </row>
    <row r="597">
      <c r="C597" s="277"/>
      <c r="M597" s="277"/>
      <c r="O597" s="247"/>
      <c r="AC597" s="247"/>
      <c r="AR597" s="251" t="str">
        <f t="shared" si="1"/>
        <v>0_</v>
      </c>
      <c r="AS597" s="251" t="str">
        <f t="shared" si="2"/>
        <v/>
      </c>
      <c r="AT597" s="247"/>
    </row>
    <row r="598">
      <c r="C598" s="277"/>
      <c r="M598" s="277"/>
      <c r="O598" s="247"/>
      <c r="AC598" s="247"/>
      <c r="AR598" s="251" t="str">
        <f t="shared" si="1"/>
        <v>0_</v>
      </c>
      <c r="AS598" s="251" t="str">
        <f t="shared" si="2"/>
        <v/>
      </c>
      <c r="AT598" s="247"/>
    </row>
    <row r="599">
      <c r="C599" s="277"/>
      <c r="M599" s="277"/>
      <c r="O599" s="247"/>
      <c r="AC599" s="247"/>
      <c r="AR599" s="251" t="str">
        <f t="shared" si="1"/>
        <v>0_</v>
      </c>
      <c r="AS599" s="251" t="str">
        <f t="shared" si="2"/>
        <v/>
      </c>
      <c r="AT599" s="247"/>
    </row>
    <row r="600">
      <c r="C600" s="277"/>
      <c r="M600" s="277"/>
      <c r="O600" s="247"/>
      <c r="AC600" s="247"/>
      <c r="AR600" s="251" t="str">
        <f t="shared" si="1"/>
        <v>0_</v>
      </c>
      <c r="AS600" s="251" t="str">
        <f t="shared" si="2"/>
        <v/>
      </c>
      <c r="AT600" s="247"/>
    </row>
    <row r="601">
      <c r="C601" s="277"/>
      <c r="M601" s="277"/>
      <c r="O601" s="247"/>
      <c r="AC601" s="247"/>
      <c r="AR601" s="251" t="str">
        <f t="shared" si="1"/>
        <v>0_</v>
      </c>
      <c r="AS601" s="251" t="str">
        <f t="shared" si="2"/>
        <v/>
      </c>
      <c r="AT601" s="247"/>
    </row>
    <row r="602">
      <c r="C602" s="277"/>
      <c r="M602" s="277"/>
      <c r="O602" s="247"/>
      <c r="AC602" s="247"/>
      <c r="AR602" s="251" t="str">
        <f t="shared" si="1"/>
        <v>0_</v>
      </c>
      <c r="AS602" s="251" t="str">
        <f t="shared" si="2"/>
        <v/>
      </c>
      <c r="AT602" s="247"/>
    </row>
    <row r="603">
      <c r="C603" s="277"/>
      <c r="M603" s="277"/>
      <c r="O603" s="247"/>
      <c r="AC603" s="247"/>
      <c r="AR603" s="251" t="str">
        <f t="shared" si="1"/>
        <v>0_</v>
      </c>
      <c r="AS603" s="251" t="str">
        <f t="shared" si="2"/>
        <v/>
      </c>
      <c r="AT603" s="247"/>
    </row>
    <row r="604">
      <c r="C604" s="277"/>
      <c r="M604" s="277"/>
      <c r="O604" s="247"/>
      <c r="AC604" s="247"/>
      <c r="AR604" s="251" t="str">
        <f t="shared" si="1"/>
        <v>0_</v>
      </c>
      <c r="AS604" s="251" t="str">
        <f t="shared" si="2"/>
        <v/>
      </c>
      <c r="AT604" s="247"/>
    </row>
    <row r="605">
      <c r="C605" s="277"/>
      <c r="M605" s="277"/>
      <c r="O605" s="247"/>
      <c r="AC605" s="247"/>
      <c r="AR605" s="251" t="str">
        <f t="shared" si="1"/>
        <v>0_</v>
      </c>
      <c r="AS605" s="251" t="str">
        <f t="shared" si="2"/>
        <v/>
      </c>
      <c r="AT605" s="247"/>
    </row>
    <row r="606">
      <c r="C606" s="277"/>
      <c r="M606" s="277"/>
      <c r="O606" s="247"/>
      <c r="AC606" s="247"/>
      <c r="AR606" s="251" t="str">
        <f t="shared" si="1"/>
        <v>0_</v>
      </c>
      <c r="AS606" s="251" t="str">
        <f t="shared" si="2"/>
        <v/>
      </c>
      <c r="AT606" s="247"/>
    </row>
    <row r="607">
      <c r="C607" s="277"/>
      <c r="M607" s="277"/>
      <c r="O607" s="247"/>
      <c r="AC607" s="247"/>
      <c r="AR607" s="251" t="str">
        <f t="shared" si="1"/>
        <v>0_</v>
      </c>
      <c r="AS607" s="251" t="str">
        <f t="shared" si="2"/>
        <v/>
      </c>
      <c r="AT607" s="247"/>
    </row>
    <row r="608">
      <c r="C608" s="277"/>
      <c r="M608" s="277"/>
      <c r="O608" s="247"/>
      <c r="AC608" s="247"/>
      <c r="AR608" s="251" t="str">
        <f t="shared" si="1"/>
        <v>0_</v>
      </c>
      <c r="AS608" s="251" t="str">
        <f t="shared" si="2"/>
        <v/>
      </c>
      <c r="AT608" s="247"/>
    </row>
    <row r="609">
      <c r="C609" s="277"/>
      <c r="M609" s="277"/>
      <c r="O609" s="247"/>
      <c r="AC609" s="247"/>
      <c r="AR609" s="251" t="str">
        <f t="shared" si="1"/>
        <v>0_</v>
      </c>
      <c r="AS609" s="251" t="str">
        <f t="shared" si="2"/>
        <v/>
      </c>
      <c r="AT609" s="247"/>
    </row>
    <row r="610">
      <c r="C610" s="277"/>
      <c r="M610" s="277"/>
      <c r="O610" s="247"/>
      <c r="AC610" s="247"/>
      <c r="AR610" s="251" t="str">
        <f t="shared" si="1"/>
        <v>0_</v>
      </c>
      <c r="AS610" s="251" t="str">
        <f t="shared" si="2"/>
        <v/>
      </c>
      <c r="AT610" s="247"/>
    </row>
    <row r="611">
      <c r="C611" s="277"/>
      <c r="M611" s="277"/>
      <c r="O611" s="247"/>
      <c r="AC611" s="247"/>
      <c r="AR611" s="251" t="str">
        <f t="shared" si="1"/>
        <v>0_</v>
      </c>
      <c r="AS611" s="251" t="str">
        <f t="shared" si="2"/>
        <v/>
      </c>
      <c r="AT611" s="247"/>
    </row>
    <row r="612">
      <c r="C612" s="277"/>
      <c r="M612" s="277"/>
      <c r="O612" s="247"/>
      <c r="AC612" s="247"/>
      <c r="AR612" s="251" t="str">
        <f t="shared" si="1"/>
        <v>0_</v>
      </c>
      <c r="AS612" s="251" t="str">
        <f t="shared" si="2"/>
        <v/>
      </c>
      <c r="AT612" s="247"/>
    </row>
    <row r="613">
      <c r="C613" s="277"/>
      <c r="M613" s="277"/>
      <c r="O613" s="247"/>
      <c r="AC613" s="247"/>
      <c r="AR613" s="251" t="str">
        <f t="shared" si="1"/>
        <v>0_</v>
      </c>
      <c r="AS613" s="251" t="str">
        <f t="shared" si="2"/>
        <v/>
      </c>
      <c r="AT613" s="247"/>
    </row>
    <row r="614">
      <c r="C614" s="277"/>
      <c r="M614" s="277"/>
      <c r="O614" s="247"/>
      <c r="AC614" s="247"/>
      <c r="AR614" s="251" t="str">
        <f t="shared" si="1"/>
        <v>0_</v>
      </c>
      <c r="AS614" s="251" t="str">
        <f t="shared" si="2"/>
        <v/>
      </c>
      <c r="AT614" s="247"/>
    </row>
    <row r="615">
      <c r="C615" s="277"/>
      <c r="M615" s="277"/>
      <c r="O615" s="247"/>
      <c r="AC615" s="247"/>
      <c r="AR615" s="251" t="str">
        <f t="shared" si="1"/>
        <v>0_</v>
      </c>
      <c r="AS615" s="251" t="str">
        <f t="shared" si="2"/>
        <v/>
      </c>
      <c r="AT615" s="247"/>
    </row>
    <row r="616">
      <c r="C616" s="277"/>
      <c r="M616" s="277"/>
      <c r="O616" s="247"/>
      <c r="AC616" s="247"/>
      <c r="AR616" s="251" t="str">
        <f t="shared" si="1"/>
        <v>0_</v>
      </c>
      <c r="AS616" s="251" t="str">
        <f t="shared" si="2"/>
        <v/>
      </c>
      <c r="AT616" s="247"/>
    </row>
    <row r="617">
      <c r="C617" s="277"/>
      <c r="M617" s="277"/>
      <c r="O617" s="247"/>
      <c r="AC617" s="247"/>
      <c r="AR617" s="251" t="str">
        <f t="shared" si="1"/>
        <v>0_</v>
      </c>
      <c r="AS617" s="251" t="str">
        <f t="shared" si="2"/>
        <v/>
      </c>
      <c r="AT617" s="247"/>
    </row>
    <row r="618">
      <c r="C618" s="277"/>
      <c r="M618" s="277"/>
      <c r="O618" s="247"/>
      <c r="AC618" s="247"/>
      <c r="AR618" s="251" t="str">
        <f t="shared" si="1"/>
        <v>0_</v>
      </c>
      <c r="AS618" s="251" t="str">
        <f t="shared" si="2"/>
        <v/>
      </c>
      <c r="AT618" s="247"/>
    </row>
    <row r="619">
      <c r="C619" s="277"/>
      <c r="M619" s="277"/>
      <c r="O619" s="247"/>
      <c r="AC619" s="247"/>
      <c r="AR619" s="251" t="str">
        <f t="shared" si="1"/>
        <v>0_</v>
      </c>
      <c r="AS619" s="251" t="str">
        <f t="shared" si="2"/>
        <v/>
      </c>
      <c r="AT619" s="247"/>
    </row>
    <row r="620">
      <c r="C620" s="277"/>
      <c r="M620" s="277"/>
      <c r="O620" s="247"/>
      <c r="AC620" s="247"/>
      <c r="AR620" s="251" t="str">
        <f t="shared" si="1"/>
        <v>0_</v>
      </c>
      <c r="AS620" s="251" t="str">
        <f t="shared" si="2"/>
        <v/>
      </c>
      <c r="AT620" s="247"/>
    </row>
    <row r="621">
      <c r="C621" s="277"/>
      <c r="M621" s="277"/>
      <c r="O621" s="247"/>
      <c r="AC621" s="247"/>
      <c r="AR621" s="251" t="str">
        <f t="shared" si="1"/>
        <v>0_</v>
      </c>
      <c r="AS621" s="251" t="str">
        <f t="shared" si="2"/>
        <v/>
      </c>
      <c r="AT621" s="247"/>
    </row>
    <row r="622">
      <c r="C622" s="277"/>
      <c r="M622" s="277"/>
      <c r="O622" s="247"/>
      <c r="AC622" s="247"/>
      <c r="AR622" s="251" t="str">
        <f t="shared" si="1"/>
        <v>0_</v>
      </c>
      <c r="AS622" s="251" t="str">
        <f t="shared" si="2"/>
        <v/>
      </c>
      <c r="AT622" s="247"/>
    </row>
    <row r="623">
      <c r="C623" s="277"/>
      <c r="M623" s="277"/>
      <c r="O623" s="247"/>
      <c r="AC623" s="247"/>
      <c r="AR623" s="251" t="str">
        <f t="shared" si="1"/>
        <v>0_</v>
      </c>
      <c r="AS623" s="251" t="str">
        <f t="shared" si="2"/>
        <v/>
      </c>
      <c r="AT623" s="247"/>
    </row>
    <row r="624">
      <c r="C624" s="277"/>
      <c r="M624" s="277"/>
      <c r="O624" s="247"/>
      <c r="AC624" s="247"/>
      <c r="AR624" s="251" t="str">
        <f t="shared" si="1"/>
        <v>0_</v>
      </c>
      <c r="AS624" s="251" t="str">
        <f t="shared" si="2"/>
        <v/>
      </c>
      <c r="AT624" s="247"/>
    </row>
    <row r="625">
      <c r="C625" s="277"/>
      <c r="M625" s="277"/>
      <c r="O625" s="247"/>
      <c r="AC625" s="247"/>
      <c r="AR625" s="251" t="str">
        <f t="shared" si="1"/>
        <v>0_</v>
      </c>
      <c r="AS625" s="251" t="str">
        <f t="shared" si="2"/>
        <v/>
      </c>
      <c r="AT625" s="247"/>
    </row>
    <row r="626">
      <c r="C626" s="277"/>
      <c r="M626" s="277"/>
      <c r="O626" s="247"/>
      <c r="AC626" s="247"/>
      <c r="AR626" s="251" t="str">
        <f t="shared" si="1"/>
        <v>0_</v>
      </c>
      <c r="AS626" s="251" t="str">
        <f t="shared" si="2"/>
        <v/>
      </c>
      <c r="AT626" s="247"/>
    </row>
    <row r="627">
      <c r="C627" s="277"/>
      <c r="M627" s="277"/>
      <c r="O627" s="247"/>
      <c r="AC627" s="247"/>
      <c r="AR627" s="251" t="str">
        <f t="shared" si="1"/>
        <v>0_</v>
      </c>
      <c r="AS627" s="251" t="str">
        <f t="shared" si="2"/>
        <v/>
      </c>
      <c r="AT627" s="247"/>
    </row>
    <row r="628">
      <c r="C628" s="277"/>
      <c r="M628" s="277"/>
      <c r="O628" s="247"/>
      <c r="AC628" s="247"/>
      <c r="AR628" s="251" t="str">
        <f t="shared" si="1"/>
        <v>0_</v>
      </c>
      <c r="AS628" s="251" t="str">
        <f t="shared" si="2"/>
        <v/>
      </c>
      <c r="AT628" s="247"/>
    </row>
    <row r="629">
      <c r="C629" s="277"/>
      <c r="M629" s="277"/>
      <c r="O629" s="247"/>
      <c r="AC629" s="247"/>
      <c r="AR629" s="251" t="str">
        <f t="shared" si="1"/>
        <v>0_</v>
      </c>
      <c r="AS629" s="251" t="str">
        <f t="shared" si="2"/>
        <v/>
      </c>
      <c r="AT629" s="247"/>
    </row>
    <row r="630">
      <c r="C630" s="277"/>
      <c r="M630" s="277"/>
      <c r="O630" s="247"/>
      <c r="AC630" s="247"/>
      <c r="AR630" s="251" t="str">
        <f t="shared" si="1"/>
        <v>0_</v>
      </c>
      <c r="AS630" s="251" t="str">
        <f t="shared" si="2"/>
        <v/>
      </c>
      <c r="AT630" s="247"/>
    </row>
    <row r="631">
      <c r="C631" s="277"/>
      <c r="M631" s="277"/>
      <c r="O631" s="247"/>
      <c r="AC631" s="247"/>
      <c r="AR631" s="251" t="str">
        <f t="shared" si="1"/>
        <v>0_</v>
      </c>
      <c r="AS631" s="251" t="str">
        <f t="shared" si="2"/>
        <v/>
      </c>
      <c r="AT631" s="247"/>
    </row>
    <row r="632">
      <c r="C632" s="277"/>
      <c r="M632" s="277"/>
      <c r="O632" s="247"/>
      <c r="AC632" s="247"/>
      <c r="AR632" s="251" t="str">
        <f t="shared" si="1"/>
        <v>0_</v>
      </c>
      <c r="AS632" s="251" t="str">
        <f t="shared" si="2"/>
        <v/>
      </c>
      <c r="AT632" s="247"/>
    </row>
    <row r="633">
      <c r="C633" s="277"/>
      <c r="M633" s="277"/>
      <c r="O633" s="247"/>
      <c r="AC633" s="247"/>
      <c r="AR633" s="251" t="str">
        <f t="shared" si="1"/>
        <v>0_</v>
      </c>
      <c r="AS633" s="251" t="str">
        <f t="shared" si="2"/>
        <v/>
      </c>
      <c r="AT633" s="247"/>
    </row>
    <row r="634">
      <c r="C634" s="277"/>
      <c r="M634" s="277"/>
      <c r="O634" s="247"/>
      <c r="AC634" s="247"/>
      <c r="AR634" s="251" t="str">
        <f t="shared" si="1"/>
        <v>0_</v>
      </c>
      <c r="AS634" s="251" t="str">
        <f t="shared" si="2"/>
        <v/>
      </c>
      <c r="AT634" s="247"/>
    </row>
    <row r="635">
      <c r="C635" s="277"/>
      <c r="M635" s="277"/>
      <c r="O635" s="247"/>
      <c r="AC635" s="247"/>
      <c r="AR635" s="251" t="str">
        <f t="shared" si="1"/>
        <v>0_</v>
      </c>
      <c r="AS635" s="251" t="str">
        <f t="shared" si="2"/>
        <v/>
      </c>
      <c r="AT635" s="247"/>
    </row>
    <row r="636">
      <c r="C636" s="277"/>
      <c r="M636" s="277"/>
      <c r="O636" s="247"/>
      <c r="AC636" s="247"/>
      <c r="AR636" s="251" t="str">
        <f t="shared" si="1"/>
        <v>0_</v>
      </c>
      <c r="AS636" s="251" t="str">
        <f t="shared" si="2"/>
        <v/>
      </c>
      <c r="AT636" s="247"/>
    </row>
    <row r="637">
      <c r="C637" s="277"/>
      <c r="M637" s="277"/>
      <c r="O637" s="247"/>
      <c r="AC637" s="247"/>
      <c r="AR637" s="251" t="str">
        <f t="shared" si="1"/>
        <v>0_</v>
      </c>
      <c r="AS637" s="251" t="str">
        <f t="shared" si="2"/>
        <v/>
      </c>
      <c r="AT637" s="247"/>
    </row>
    <row r="638">
      <c r="C638" s="277"/>
      <c r="M638" s="277"/>
      <c r="O638" s="247"/>
      <c r="AC638" s="247"/>
      <c r="AR638" s="251" t="str">
        <f t="shared" si="1"/>
        <v>0_</v>
      </c>
      <c r="AS638" s="251" t="str">
        <f t="shared" si="2"/>
        <v/>
      </c>
      <c r="AT638" s="247"/>
    </row>
    <row r="639">
      <c r="C639" s="277"/>
      <c r="M639" s="277"/>
      <c r="O639" s="247"/>
      <c r="AC639" s="247"/>
      <c r="AR639" s="251" t="str">
        <f t="shared" si="1"/>
        <v>0_</v>
      </c>
      <c r="AS639" s="251" t="str">
        <f t="shared" si="2"/>
        <v/>
      </c>
      <c r="AT639" s="247"/>
    </row>
    <row r="640">
      <c r="C640" s="277"/>
      <c r="M640" s="277"/>
      <c r="O640" s="247"/>
      <c r="AC640" s="247"/>
      <c r="AR640" s="251" t="str">
        <f t="shared" si="1"/>
        <v>0_</v>
      </c>
      <c r="AS640" s="251" t="str">
        <f t="shared" si="2"/>
        <v/>
      </c>
      <c r="AT640" s="247"/>
    </row>
    <row r="641">
      <c r="C641" s="277"/>
      <c r="M641" s="277"/>
      <c r="O641" s="247"/>
      <c r="AC641" s="247"/>
      <c r="AR641" s="251" t="str">
        <f t="shared" si="1"/>
        <v>0_</v>
      </c>
      <c r="AS641" s="251" t="str">
        <f t="shared" si="2"/>
        <v/>
      </c>
      <c r="AT641" s="247"/>
    </row>
    <row r="642">
      <c r="C642" s="277"/>
      <c r="M642" s="277"/>
      <c r="O642" s="247"/>
      <c r="AC642" s="247"/>
      <c r="AR642" s="251" t="str">
        <f t="shared" si="1"/>
        <v>0_</v>
      </c>
      <c r="AS642" s="251" t="str">
        <f t="shared" si="2"/>
        <v/>
      </c>
      <c r="AT642" s="247"/>
    </row>
    <row r="643">
      <c r="C643" s="277"/>
      <c r="M643" s="277"/>
      <c r="O643" s="247"/>
      <c r="AC643" s="247"/>
      <c r="AR643" s="251" t="str">
        <f t="shared" si="1"/>
        <v>0_</v>
      </c>
      <c r="AS643" s="251" t="str">
        <f t="shared" si="2"/>
        <v/>
      </c>
      <c r="AT643" s="247"/>
    </row>
    <row r="644">
      <c r="C644" s="277"/>
      <c r="M644" s="277"/>
      <c r="O644" s="247"/>
      <c r="AC644" s="247"/>
      <c r="AR644" s="251" t="str">
        <f t="shared" si="1"/>
        <v>0_</v>
      </c>
      <c r="AS644" s="251" t="str">
        <f t="shared" si="2"/>
        <v/>
      </c>
      <c r="AT644" s="247"/>
    </row>
    <row r="645">
      <c r="C645" s="277"/>
      <c r="M645" s="277"/>
      <c r="O645" s="247"/>
      <c r="AC645" s="247"/>
      <c r="AR645" s="251" t="str">
        <f t="shared" si="1"/>
        <v>0_</v>
      </c>
      <c r="AS645" s="251" t="str">
        <f t="shared" si="2"/>
        <v/>
      </c>
      <c r="AT645" s="247"/>
    </row>
    <row r="646">
      <c r="C646" s="277"/>
      <c r="M646" s="277"/>
      <c r="O646" s="247"/>
      <c r="AC646" s="247"/>
      <c r="AR646" s="251" t="str">
        <f t="shared" si="1"/>
        <v>0_</v>
      </c>
      <c r="AS646" s="251" t="str">
        <f t="shared" si="2"/>
        <v/>
      </c>
      <c r="AT646" s="247"/>
    </row>
    <row r="647">
      <c r="C647" s="277"/>
      <c r="M647" s="277"/>
      <c r="O647" s="247"/>
      <c r="AC647" s="247"/>
      <c r="AR647" s="251" t="str">
        <f t="shared" si="1"/>
        <v>0_</v>
      </c>
      <c r="AS647" s="251" t="str">
        <f t="shared" si="2"/>
        <v/>
      </c>
      <c r="AT647" s="247"/>
    </row>
    <row r="648">
      <c r="C648" s="277"/>
      <c r="M648" s="277"/>
      <c r="O648" s="247"/>
      <c r="AC648" s="247"/>
      <c r="AR648" s="251" t="str">
        <f t="shared" si="1"/>
        <v>0_</v>
      </c>
      <c r="AS648" s="251" t="str">
        <f t="shared" si="2"/>
        <v/>
      </c>
      <c r="AT648" s="247"/>
    </row>
    <row r="649">
      <c r="C649" s="277"/>
      <c r="M649" s="277"/>
      <c r="O649" s="247"/>
      <c r="AC649" s="247"/>
      <c r="AR649" s="251" t="str">
        <f t="shared" si="1"/>
        <v>0_</v>
      </c>
      <c r="AS649" s="251" t="str">
        <f t="shared" si="2"/>
        <v/>
      </c>
      <c r="AT649" s="247"/>
    </row>
    <row r="650">
      <c r="C650" s="277"/>
      <c r="M650" s="277"/>
      <c r="O650" s="247"/>
      <c r="AC650" s="247"/>
      <c r="AR650" s="251" t="str">
        <f t="shared" si="1"/>
        <v>0_</v>
      </c>
      <c r="AS650" s="251" t="str">
        <f t="shared" si="2"/>
        <v/>
      </c>
      <c r="AT650" s="247"/>
    </row>
    <row r="651">
      <c r="C651" s="277"/>
      <c r="M651" s="277"/>
      <c r="O651" s="247"/>
      <c r="AC651" s="247"/>
      <c r="AR651" s="251" t="str">
        <f t="shared" si="1"/>
        <v>0_</v>
      </c>
      <c r="AS651" s="251" t="str">
        <f t="shared" si="2"/>
        <v/>
      </c>
      <c r="AT651" s="247"/>
    </row>
    <row r="652">
      <c r="C652" s="277"/>
      <c r="M652" s="277"/>
      <c r="O652" s="247"/>
      <c r="AC652" s="247"/>
      <c r="AR652" s="251" t="str">
        <f t="shared" si="1"/>
        <v>0_</v>
      </c>
      <c r="AS652" s="251" t="str">
        <f t="shared" si="2"/>
        <v/>
      </c>
      <c r="AT652" s="247"/>
    </row>
    <row r="653">
      <c r="C653" s="277"/>
      <c r="M653" s="277"/>
      <c r="O653" s="247"/>
      <c r="AC653" s="247"/>
      <c r="AR653" s="251" t="str">
        <f t="shared" si="1"/>
        <v>0_</v>
      </c>
      <c r="AS653" s="251" t="str">
        <f t="shared" si="2"/>
        <v/>
      </c>
      <c r="AT653" s="247"/>
    </row>
    <row r="654">
      <c r="C654" s="277"/>
      <c r="M654" s="277"/>
      <c r="O654" s="247"/>
      <c r="AC654" s="247"/>
      <c r="AR654" s="251" t="str">
        <f t="shared" si="1"/>
        <v>0_</v>
      </c>
      <c r="AS654" s="251" t="str">
        <f t="shared" si="2"/>
        <v/>
      </c>
      <c r="AT654" s="247"/>
    </row>
    <row r="655">
      <c r="C655" s="277"/>
      <c r="M655" s="277"/>
      <c r="O655" s="247"/>
      <c r="AC655" s="247"/>
      <c r="AR655" s="251" t="str">
        <f t="shared" si="1"/>
        <v>0_</v>
      </c>
      <c r="AS655" s="251" t="str">
        <f t="shared" si="2"/>
        <v/>
      </c>
      <c r="AT655" s="247"/>
    </row>
    <row r="656">
      <c r="C656" s="277"/>
      <c r="M656" s="277"/>
      <c r="O656" s="247"/>
      <c r="AC656" s="247"/>
      <c r="AR656" s="251" t="str">
        <f t="shared" si="1"/>
        <v>0_</v>
      </c>
      <c r="AS656" s="251" t="str">
        <f t="shared" si="2"/>
        <v/>
      </c>
      <c r="AT656" s="247"/>
    </row>
    <row r="657">
      <c r="C657" s="277"/>
      <c r="M657" s="277"/>
      <c r="O657" s="247"/>
      <c r="AC657" s="247"/>
      <c r="AR657" s="251" t="str">
        <f t="shared" si="1"/>
        <v>0_</v>
      </c>
      <c r="AS657" s="251" t="str">
        <f t="shared" si="2"/>
        <v/>
      </c>
      <c r="AT657" s="247"/>
    </row>
    <row r="658">
      <c r="C658" s="277"/>
      <c r="M658" s="277"/>
      <c r="O658" s="247"/>
      <c r="AC658" s="247"/>
      <c r="AR658" s="251" t="str">
        <f t="shared" si="1"/>
        <v>0_</v>
      </c>
      <c r="AS658" s="251" t="str">
        <f t="shared" si="2"/>
        <v/>
      </c>
      <c r="AT658" s="247"/>
    </row>
    <row r="659">
      <c r="C659" s="277"/>
      <c r="M659" s="277"/>
      <c r="O659" s="247"/>
      <c r="AC659" s="247"/>
      <c r="AR659" s="251" t="str">
        <f t="shared" si="1"/>
        <v>0_</v>
      </c>
      <c r="AS659" s="251" t="str">
        <f t="shared" si="2"/>
        <v/>
      </c>
      <c r="AT659" s="247"/>
    </row>
    <row r="660">
      <c r="C660" s="277"/>
      <c r="M660" s="277"/>
      <c r="O660" s="247"/>
      <c r="AC660" s="247"/>
      <c r="AR660" s="251" t="str">
        <f t="shared" si="1"/>
        <v>0_</v>
      </c>
      <c r="AS660" s="251" t="str">
        <f t="shared" si="2"/>
        <v/>
      </c>
      <c r="AT660" s="247"/>
    </row>
    <row r="661">
      <c r="C661" s="277"/>
      <c r="M661" s="277"/>
      <c r="O661" s="247"/>
      <c r="AC661" s="247"/>
      <c r="AR661" s="251" t="str">
        <f t="shared" si="1"/>
        <v>0_</v>
      </c>
      <c r="AS661" s="251" t="str">
        <f t="shared" si="2"/>
        <v/>
      </c>
      <c r="AT661" s="247"/>
    </row>
    <row r="662">
      <c r="C662" s="277"/>
      <c r="M662" s="277"/>
      <c r="O662" s="247"/>
      <c r="AC662" s="247"/>
      <c r="AR662" s="251" t="str">
        <f t="shared" si="1"/>
        <v>0_</v>
      </c>
      <c r="AS662" s="251" t="str">
        <f t="shared" si="2"/>
        <v/>
      </c>
      <c r="AT662" s="247"/>
    </row>
    <row r="663">
      <c r="C663" s="277"/>
      <c r="M663" s="277"/>
      <c r="O663" s="247"/>
      <c r="AC663" s="247"/>
      <c r="AR663" s="251" t="str">
        <f t="shared" si="1"/>
        <v>0_</v>
      </c>
      <c r="AS663" s="251" t="str">
        <f t="shared" si="2"/>
        <v/>
      </c>
      <c r="AT663" s="247"/>
    </row>
    <row r="664">
      <c r="C664" s="277"/>
      <c r="M664" s="277"/>
      <c r="O664" s="247"/>
      <c r="AC664" s="247"/>
      <c r="AR664" s="251" t="str">
        <f t="shared" si="1"/>
        <v>0_</v>
      </c>
      <c r="AS664" s="251" t="str">
        <f t="shared" si="2"/>
        <v/>
      </c>
      <c r="AT664" s="247"/>
    </row>
    <row r="665">
      <c r="C665" s="277"/>
      <c r="M665" s="277"/>
      <c r="O665" s="247"/>
      <c r="AC665" s="247"/>
      <c r="AR665" s="251" t="str">
        <f t="shared" si="1"/>
        <v>0_</v>
      </c>
      <c r="AS665" s="251" t="str">
        <f t="shared" si="2"/>
        <v/>
      </c>
      <c r="AT665" s="247"/>
    </row>
    <row r="666">
      <c r="C666" s="277"/>
      <c r="M666" s="277"/>
      <c r="O666" s="247"/>
      <c r="AC666" s="247"/>
      <c r="AR666" s="251" t="str">
        <f t="shared" si="1"/>
        <v>0_</v>
      </c>
      <c r="AS666" s="251" t="str">
        <f t="shared" si="2"/>
        <v/>
      </c>
      <c r="AT666" s="247"/>
    </row>
    <row r="667">
      <c r="C667" s="277"/>
      <c r="M667" s="277"/>
      <c r="O667" s="247"/>
      <c r="AC667" s="247"/>
      <c r="AR667" s="251" t="str">
        <f t="shared" si="1"/>
        <v>0_</v>
      </c>
      <c r="AS667" s="251" t="str">
        <f t="shared" si="2"/>
        <v/>
      </c>
      <c r="AT667" s="247"/>
    </row>
    <row r="668">
      <c r="C668" s="277"/>
      <c r="M668" s="277"/>
      <c r="O668" s="247"/>
      <c r="AC668" s="247"/>
      <c r="AR668" s="251" t="str">
        <f t="shared" si="1"/>
        <v>0_</v>
      </c>
      <c r="AS668" s="251" t="str">
        <f t="shared" si="2"/>
        <v/>
      </c>
      <c r="AT668" s="247"/>
    </row>
    <row r="669">
      <c r="C669" s="277"/>
      <c r="M669" s="277"/>
      <c r="O669" s="247"/>
      <c r="AC669" s="247"/>
      <c r="AR669" s="251" t="str">
        <f t="shared" si="1"/>
        <v>0_</v>
      </c>
      <c r="AS669" s="251" t="str">
        <f t="shared" si="2"/>
        <v/>
      </c>
      <c r="AT669" s="247"/>
    </row>
    <row r="670">
      <c r="C670" s="277"/>
      <c r="M670" s="277"/>
      <c r="O670" s="247"/>
      <c r="AC670" s="247"/>
      <c r="AR670" s="251" t="str">
        <f t="shared" si="1"/>
        <v>0_</v>
      </c>
      <c r="AS670" s="251" t="str">
        <f t="shared" si="2"/>
        <v/>
      </c>
      <c r="AT670" s="247"/>
    </row>
    <row r="671">
      <c r="C671" s="277"/>
      <c r="M671" s="277"/>
      <c r="O671" s="247"/>
      <c r="AC671" s="247"/>
      <c r="AR671" s="251" t="str">
        <f t="shared" si="1"/>
        <v>0_</v>
      </c>
      <c r="AS671" s="251" t="str">
        <f t="shared" si="2"/>
        <v/>
      </c>
      <c r="AT671" s="247"/>
    </row>
    <row r="672">
      <c r="C672" s="277"/>
      <c r="M672" s="277"/>
      <c r="O672" s="247"/>
      <c r="AC672" s="247"/>
      <c r="AR672" s="251" t="str">
        <f t="shared" si="1"/>
        <v>0_</v>
      </c>
      <c r="AS672" s="251" t="str">
        <f t="shared" si="2"/>
        <v/>
      </c>
      <c r="AT672" s="247"/>
    </row>
    <row r="673">
      <c r="C673" s="277"/>
      <c r="M673" s="277"/>
      <c r="O673" s="247"/>
      <c r="AC673" s="247"/>
      <c r="AR673" s="251" t="str">
        <f t="shared" si="1"/>
        <v>0_</v>
      </c>
      <c r="AS673" s="251" t="str">
        <f t="shared" si="2"/>
        <v/>
      </c>
      <c r="AT673" s="247"/>
    </row>
    <row r="674">
      <c r="C674" s="277"/>
      <c r="M674" s="277"/>
      <c r="O674" s="247"/>
      <c r="AC674" s="247"/>
      <c r="AR674" s="251" t="str">
        <f t="shared" si="1"/>
        <v>0_</v>
      </c>
      <c r="AS674" s="251" t="str">
        <f t="shared" si="2"/>
        <v/>
      </c>
      <c r="AT674" s="247"/>
    </row>
    <row r="675">
      <c r="C675" s="277"/>
      <c r="M675" s="277"/>
      <c r="O675" s="247"/>
      <c r="AC675" s="247"/>
      <c r="AR675" s="251" t="str">
        <f t="shared" si="1"/>
        <v>0_</v>
      </c>
      <c r="AS675" s="251" t="str">
        <f t="shared" si="2"/>
        <v/>
      </c>
      <c r="AT675" s="247"/>
    </row>
    <row r="676">
      <c r="C676" s="277"/>
      <c r="M676" s="277"/>
      <c r="O676" s="247"/>
      <c r="AC676" s="247"/>
      <c r="AR676" s="251" t="str">
        <f t="shared" si="1"/>
        <v>0_</v>
      </c>
      <c r="AS676" s="251" t="str">
        <f t="shared" si="2"/>
        <v/>
      </c>
      <c r="AT676" s="247"/>
    </row>
    <row r="677">
      <c r="C677" s="277"/>
      <c r="M677" s="277"/>
      <c r="O677" s="247"/>
      <c r="AC677" s="247"/>
      <c r="AR677" s="251" t="str">
        <f t="shared" si="1"/>
        <v>0_</v>
      </c>
      <c r="AS677" s="251" t="str">
        <f t="shared" si="2"/>
        <v/>
      </c>
      <c r="AT677" s="247"/>
    </row>
    <row r="678">
      <c r="C678" s="277"/>
      <c r="M678" s="277"/>
      <c r="O678" s="247"/>
      <c r="AC678" s="247"/>
      <c r="AR678" s="251" t="str">
        <f t="shared" si="1"/>
        <v>0_</v>
      </c>
      <c r="AS678" s="251" t="str">
        <f t="shared" si="2"/>
        <v/>
      </c>
      <c r="AT678" s="247"/>
    </row>
    <row r="679">
      <c r="C679" s="277"/>
      <c r="M679" s="277"/>
      <c r="O679" s="247"/>
      <c r="AC679" s="247"/>
      <c r="AR679" s="251" t="str">
        <f t="shared" si="1"/>
        <v>0_</v>
      </c>
      <c r="AS679" s="251" t="str">
        <f t="shared" si="2"/>
        <v/>
      </c>
      <c r="AT679" s="247"/>
    </row>
    <row r="680">
      <c r="C680" s="277"/>
      <c r="M680" s="277"/>
      <c r="O680" s="247"/>
      <c r="AC680" s="247"/>
      <c r="AR680" s="251" t="str">
        <f t="shared" si="1"/>
        <v>0_</v>
      </c>
      <c r="AS680" s="251" t="str">
        <f t="shared" si="2"/>
        <v/>
      </c>
      <c r="AT680" s="247"/>
    </row>
    <row r="681">
      <c r="C681" s="277"/>
      <c r="M681" s="277"/>
      <c r="O681" s="247"/>
      <c r="AC681" s="247"/>
      <c r="AT681" s="247"/>
    </row>
    <row r="682">
      <c r="C682" s="277"/>
      <c r="M682" s="277"/>
      <c r="O682" s="247"/>
      <c r="AC682" s="247"/>
      <c r="AT682" s="247"/>
    </row>
    <row r="683">
      <c r="C683" s="277"/>
      <c r="M683" s="277"/>
      <c r="O683" s="247"/>
      <c r="AC683" s="247"/>
      <c r="AT683" s="247"/>
    </row>
    <row r="684">
      <c r="C684" s="277"/>
      <c r="M684" s="277"/>
      <c r="O684" s="247"/>
      <c r="AC684" s="247"/>
      <c r="AT684" s="247"/>
    </row>
    <row r="685">
      <c r="C685" s="277"/>
      <c r="M685" s="277"/>
      <c r="O685" s="247"/>
      <c r="AC685" s="247"/>
      <c r="AT685" s="247"/>
    </row>
    <row r="686">
      <c r="C686" s="277"/>
      <c r="M686" s="277"/>
      <c r="O686" s="247"/>
      <c r="AC686" s="247"/>
      <c r="AT686" s="247"/>
    </row>
    <row r="687">
      <c r="C687" s="277"/>
      <c r="M687" s="277"/>
      <c r="O687" s="247"/>
      <c r="AC687" s="247"/>
      <c r="AT687" s="247"/>
    </row>
    <row r="688">
      <c r="C688" s="277"/>
      <c r="M688" s="277"/>
      <c r="O688" s="247"/>
      <c r="AC688" s="247"/>
      <c r="AT688" s="247"/>
    </row>
    <row r="689">
      <c r="C689" s="277"/>
      <c r="M689" s="277"/>
      <c r="O689" s="247"/>
      <c r="AC689" s="247"/>
      <c r="AT689" s="247"/>
    </row>
    <row r="690">
      <c r="C690" s="277"/>
      <c r="M690" s="277"/>
      <c r="O690" s="247"/>
      <c r="AC690" s="247"/>
      <c r="AT690" s="247"/>
    </row>
    <row r="691">
      <c r="C691" s="277"/>
      <c r="M691" s="277"/>
      <c r="O691" s="247"/>
      <c r="AC691" s="247"/>
      <c r="AT691" s="247"/>
    </row>
    <row r="692">
      <c r="C692" s="277"/>
      <c r="M692" s="277"/>
      <c r="O692" s="247"/>
      <c r="AC692" s="247"/>
      <c r="AT692" s="247"/>
    </row>
    <row r="693">
      <c r="C693" s="277"/>
      <c r="M693" s="277"/>
      <c r="O693" s="247"/>
      <c r="AC693" s="247"/>
      <c r="AT693" s="247"/>
    </row>
    <row r="694">
      <c r="C694" s="277"/>
      <c r="M694" s="277"/>
      <c r="O694" s="247"/>
      <c r="AC694" s="247"/>
      <c r="AT694" s="247"/>
    </row>
    <row r="695">
      <c r="C695" s="277"/>
      <c r="M695" s="277"/>
      <c r="O695" s="247"/>
      <c r="AC695" s="247"/>
      <c r="AT695" s="247"/>
    </row>
    <row r="696">
      <c r="C696" s="277"/>
      <c r="M696" s="277"/>
      <c r="O696" s="247"/>
      <c r="AC696" s="247"/>
      <c r="AT696" s="247"/>
    </row>
    <row r="697">
      <c r="C697" s="277"/>
      <c r="M697" s="277"/>
      <c r="O697" s="247"/>
      <c r="AC697" s="247"/>
      <c r="AT697" s="247"/>
    </row>
    <row r="698">
      <c r="C698" s="277"/>
      <c r="M698" s="277"/>
      <c r="O698" s="247"/>
      <c r="AC698" s="247"/>
      <c r="AT698" s="247"/>
    </row>
    <row r="699">
      <c r="C699" s="277"/>
      <c r="M699" s="277"/>
      <c r="O699" s="247"/>
      <c r="AC699" s="247"/>
      <c r="AT699" s="247"/>
    </row>
    <row r="700">
      <c r="C700" s="277"/>
      <c r="M700" s="277"/>
      <c r="O700" s="247"/>
      <c r="AC700" s="247"/>
      <c r="AT700" s="247"/>
    </row>
    <row r="701">
      <c r="C701" s="277"/>
      <c r="M701" s="277"/>
      <c r="O701" s="247"/>
      <c r="AC701" s="247"/>
      <c r="AT701" s="247"/>
    </row>
    <row r="702">
      <c r="C702" s="277"/>
      <c r="M702" s="277"/>
      <c r="O702" s="247"/>
      <c r="AC702" s="247"/>
      <c r="AT702" s="247"/>
    </row>
    <row r="703">
      <c r="C703" s="277"/>
      <c r="M703" s="277"/>
      <c r="O703" s="247"/>
      <c r="AC703" s="247"/>
      <c r="AT703" s="247"/>
    </row>
    <row r="704">
      <c r="C704" s="277"/>
      <c r="M704" s="277"/>
      <c r="O704" s="247"/>
      <c r="AC704" s="247"/>
      <c r="AT704" s="247"/>
    </row>
    <row r="705">
      <c r="C705" s="277"/>
      <c r="M705" s="277"/>
      <c r="O705" s="247"/>
      <c r="AC705" s="247"/>
      <c r="AT705" s="247"/>
    </row>
    <row r="706">
      <c r="C706" s="277"/>
      <c r="M706" s="277"/>
      <c r="O706" s="247"/>
      <c r="AC706" s="247"/>
      <c r="AT706" s="247"/>
    </row>
    <row r="707">
      <c r="C707" s="277"/>
      <c r="M707" s="277"/>
      <c r="O707" s="247"/>
      <c r="AC707" s="247"/>
      <c r="AT707" s="247"/>
    </row>
    <row r="708">
      <c r="C708" s="277"/>
      <c r="M708" s="277"/>
      <c r="O708" s="247"/>
      <c r="AC708" s="247"/>
      <c r="AT708" s="247"/>
    </row>
    <row r="709">
      <c r="C709" s="277"/>
      <c r="M709" s="277"/>
      <c r="O709" s="247"/>
      <c r="AC709" s="247"/>
      <c r="AT709" s="247"/>
    </row>
    <row r="710">
      <c r="C710" s="277"/>
      <c r="M710" s="277"/>
      <c r="O710" s="247"/>
      <c r="AC710" s="247"/>
      <c r="AT710" s="247"/>
    </row>
    <row r="711">
      <c r="C711" s="277"/>
      <c r="M711" s="277"/>
      <c r="O711" s="247"/>
      <c r="AC711" s="247"/>
      <c r="AT711" s="247"/>
    </row>
    <row r="712">
      <c r="C712" s="277"/>
      <c r="M712" s="277"/>
      <c r="O712" s="247"/>
      <c r="AC712" s="247"/>
      <c r="AT712" s="247"/>
    </row>
    <row r="713">
      <c r="C713" s="277"/>
      <c r="M713" s="277"/>
      <c r="O713" s="247"/>
      <c r="AC713" s="247"/>
      <c r="AT713" s="247"/>
    </row>
    <row r="714">
      <c r="C714" s="277"/>
      <c r="M714" s="277"/>
      <c r="O714" s="247"/>
      <c r="AC714" s="247"/>
      <c r="AT714" s="247"/>
    </row>
    <row r="715">
      <c r="C715" s="277"/>
      <c r="M715" s="277"/>
      <c r="O715" s="247"/>
      <c r="AC715" s="247"/>
      <c r="AT715" s="247"/>
    </row>
    <row r="716">
      <c r="C716" s="277"/>
      <c r="M716" s="277"/>
      <c r="O716" s="247"/>
      <c r="AC716" s="247"/>
      <c r="AT716" s="247"/>
    </row>
    <row r="717">
      <c r="C717" s="277"/>
      <c r="M717" s="277"/>
      <c r="O717" s="247"/>
      <c r="AC717" s="247"/>
      <c r="AT717" s="247"/>
    </row>
    <row r="718">
      <c r="C718" s="277"/>
      <c r="M718" s="277"/>
      <c r="O718" s="247"/>
      <c r="AC718" s="247"/>
      <c r="AT718" s="247"/>
    </row>
    <row r="719">
      <c r="C719" s="277"/>
      <c r="M719" s="277"/>
      <c r="O719" s="247"/>
      <c r="AC719" s="247"/>
      <c r="AT719" s="247"/>
    </row>
    <row r="720">
      <c r="C720" s="277"/>
      <c r="M720" s="277"/>
      <c r="O720" s="247"/>
      <c r="AC720" s="247"/>
      <c r="AT720" s="247"/>
    </row>
    <row r="721">
      <c r="C721" s="277"/>
      <c r="M721" s="277"/>
      <c r="O721" s="247"/>
      <c r="AC721" s="247"/>
      <c r="AT721" s="247"/>
    </row>
    <row r="722">
      <c r="C722" s="277"/>
      <c r="M722" s="277"/>
      <c r="O722" s="247"/>
      <c r="AC722" s="247"/>
      <c r="AT722" s="247"/>
    </row>
    <row r="723">
      <c r="C723" s="277"/>
      <c r="M723" s="277"/>
      <c r="O723" s="247"/>
      <c r="AC723" s="247"/>
      <c r="AT723" s="247"/>
    </row>
    <row r="724">
      <c r="C724" s="277"/>
      <c r="M724" s="277"/>
      <c r="O724" s="247"/>
      <c r="AC724" s="247"/>
      <c r="AT724" s="247"/>
    </row>
    <row r="725">
      <c r="C725" s="277"/>
      <c r="M725" s="277"/>
      <c r="O725" s="247"/>
      <c r="AC725" s="247"/>
      <c r="AT725" s="247"/>
    </row>
    <row r="726">
      <c r="C726" s="277"/>
      <c r="M726" s="277"/>
      <c r="O726" s="247"/>
      <c r="AC726" s="247"/>
      <c r="AT726" s="247"/>
    </row>
    <row r="727">
      <c r="C727" s="277"/>
      <c r="M727" s="277"/>
      <c r="O727" s="247"/>
      <c r="AC727" s="247"/>
      <c r="AT727" s="247"/>
    </row>
    <row r="728">
      <c r="C728" s="277"/>
      <c r="M728" s="277"/>
      <c r="O728" s="247"/>
      <c r="AC728" s="247"/>
      <c r="AT728" s="247"/>
    </row>
    <row r="729">
      <c r="C729" s="277"/>
      <c r="M729" s="277"/>
      <c r="O729" s="247"/>
      <c r="AC729" s="247"/>
      <c r="AT729" s="247"/>
    </row>
    <row r="730">
      <c r="C730" s="277"/>
      <c r="M730" s="277"/>
      <c r="O730" s="247"/>
      <c r="AC730" s="247"/>
      <c r="AT730" s="247"/>
    </row>
    <row r="731">
      <c r="C731" s="277"/>
      <c r="M731" s="277"/>
      <c r="O731" s="247"/>
      <c r="AC731" s="247"/>
      <c r="AT731" s="247"/>
    </row>
    <row r="732">
      <c r="C732" s="277"/>
      <c r="M732" s="277"/>
      <c r="O732" s="247"/>
      <c r="AC732" s="247"/>
      <c r="AT732" s="247"/>
    </row>
    <row r="733">
      <c r="C733" s="277"/>
      <c r="M733" s="277"/>
      <c r="O733" s="247"/>
      <c r="AC733" s="247"/>
      <c r="AT733" s="247"/>
    </row>
    <row r="734">
      <c r="C734" s="277"/>
      <c r="M734" s="277"/>
      <c r="O734" s="247"/>
      <c r="AC734" s="247"/>
      <c r="AT734" s="247"/>
    </row>
    <row r="735">
      <c r="C735" s="277"/>
      <c r="M735" s="277"/>
      <c r="O735" s="247"/>
      <c r="AC735" s="247"/>
      <c r="AT735" s="247"/>
    </row>
    <row r="736">
      <c r="C736" s="277"/>
      <c r="M736" s="277"/>
      <c r="O736" s="247"/>
      <c r="AC736" s="247"/>
      <c r="AT736" s="247"/>
    </row>
    <row r="737">
      <c r="C737" s="277"/>
      <c r="M737" s="277"/>
      <c r="O737" s="247"/>
      <c r="AC737" s="247"/>
      <c r="AT737" s="247"/>
    </row>
    <row r="738">
      <c r="C738" s="277"/>
      <c r="M738" s="277"/>
      <c r="O738" s="247"/>
      <c r="AC738" s="247"/>
      <c r="AT738" s="247"/>
    </row>
    <row r="739">
      <c r="C739" s="277"/>
      <c r="M739" s="277"/>
      <c r="O739" s="247"/>
      <c r="AC739" s="247"/>
      <c r="AT739" s="247"/>
    </row>
    <row r="740">
      <c r="C740" s="277"/>
      <c r="M740" s="277"/>
      <c r="O740" s="247"/>
      <c r="AC740" s="247"/>
      <c r="AT740" s="247"/>
    </row>
    <row r="741">
      <c r="C741" s="277"/>
      <c r="M741" s="277"/>
      <c r="O741" s="247"/>
      <c r="AC741" s="247"/>
      <c r="AT741" s="247"/>
    </row>
    <row r="742">
      <c r="C742" s="277"/>
      <c r="M742" s="277"/>
      <c r="O742" s="247"/>
      <c r="AC742" s="247"/>
      <c r="AT742" s="247"/>
    </row>
    <row r="743">
      <c r="C743" s="277"/>
      <c r="M743" s="277"/>
      <c r="O743" s="247"/>
      <c r="AC743" s="247"/>
      <c r="AT743" s="247"/>
    </row>
    <row r="744">
      <c r="C744" s="277"/>
      <c r="M744" s="277"/>
      <c r="O744" s="247"/>
      <c r="AC744" s="247"/>
      <c r="AT744" s="247"/>
    </row>
    <row r="745">
      <c r="C745" s="277"/>
      <c r="M745" s="277"/>
      <c r="O745" s="247"/>
      <c r="AC745" s="247"/>
      <c r="AT745" s="247"/>
    </row>
    <row r="746">
      <c r="C746" s="277"/>
      <c r="M746" s="277"/>
      <c r="O746" s="247"/>
      <c r="AC746" s="247"/>
      <c r="AT746" s="247"/>
    </row>
    <row r="747">
      <c r="C747" s="277"/>
      <c r="M747" s="277"/>
      <c r="O747" s="247"/>
      <c r="AC747" s="247"/>
      <c r="AT747" s="247"/>
    </row>
    <row r="748">
      <c r="C748" s="277"/>
      <c r="M748" s="277"/>
      <c r="O748" s="247"/>
      <c r="AC748" s="247"/>
      <c r="AT748" s="247"/>
    </row>
    <row r="749">
      <c r="C749" s="277"/>
      <c r="M749" s="277"/>
      <c r="O749" s="247"/>
      <c r="AC749" s="247"/>
      <c r="AT749" s="247"/>
    </row>
    <row r="750">
      <c r="C750" s="277"/>
      <c r="M750" s="277"/>
      <c r="O750" s="247"/>
      <c r="AC750" s="247"/>
      <c r="AT750" s="247"/>
    </row>
    <row r="751">
      <c r="C751" s="277"/>
      <c r="M751" s="277"/>
      <c r="O751" s="247"/>
      <c r="AC751" s="247"/>
      <c r="AT751" s="247"/>
    </row>
    <row r="752">
      <c r="C752" s="277"/>
      <c r="M752" s="277"/>
      <c r="O752" s="247"/>
      <c r="AC752" s="247"/>
      <c r="AT752" s="247"/>
    </row>
    <row r="753">
      <c r="C753" s="277"/>
      <c r="M753" s="277"/>
      <c r="O753" s="247"/>
      <c r="AC753" s="247"/>
      <c r="AT753" s="247"/>
    </row>
    <row r="754">
      <c r="C754" s="277"/>
      <c r="M754" s="277"/>
      <c r="O754" s="247"/>
      <c r="AC754" s="247"/>
      <c r="AT754" s="247"/>
    </row>
    <row r="755">
      <c r="C755" s="277"/>
      <c r="M755" s="277"/>
      <c r="O755" s="247"/>
      <c r="AC755" s="247"/>
      <c r="AT755" s="247"/>
    </row>
    <row r="756">
      <c r="C756" s="277"/>
      <c r="M756" s="277"/>
      <c r="O756" s="247"/>
      <c r="AC756" s="247"/>
      <c r="AT756" s="247"/>
    </row>
    <row r="757">
      <c r="C757" s="277"/>
      <c r="M757" s="277"/>
      <c r="O757" s="247"/>
      <c r="AC757" s="247"/>
      <c r="AT757" s="247"/>
    </row>
    <row r="758">
      <c r="C758" s="277"/>
      <c r="M758" s="277"/>
      <c r="O758" s="247"/>
      <c r="AC758" s="247"/>
      <c r="AT758" s="247"/>
    </row>
    <row r="759">
      <c r="C759" s="277"/>
      <c r="M759" s="277"/>
      <c r="O759" s="247"/>
      <c r="AC759" s="247"/>
      <c r="AT759" s="247"/>
    </row>
    <row r="760">
      <c r="C760" s="277"/>
      <c r="M760" s="277"/>
      <c r="O760" s="247"/>
      <c r="AC760" s="247"/>
      <c r="AT760" s="247"/>
    </row>
    <row r="761">
      <c r="C761" s="277"/>
      <c r="M761" s="277"/>
      <c r="O761" s="247"/>
      <c r="AC761" s="247"/>
      <c r="AT761" s="247"/>
    </row>
    <row r="762">
      <c r="C762" s="277"/>
      <c r="M762" s="277"/>
      <c r="O762" s="247"/>
      <c r="AC762" s="247"/>
      <c r="AT762" s="247"/>
    </row>
    <row r="763">
      <c r="C763" s="277"/>
      <c r="M763" s="277"/>
      <c r="O763" s="247"/>
      <c r="AC763" s="247"/>
      <c r="AT763" s="247"/>
    </row>
    <row r="764">
      <c r="C764" s="277"/>
      <c r="M764" s="277"/>
      <c r="O764" s="247"/>
      <c r="AC764" s="247"/>
      <c r="AT764" s="247"/>
    </row>
    <row r="765">
      <c r="C765" s="277"/>
      <c r="M765" s="277"/>
      <c r="O765" s="247"/>
      <c r="AC765" s="247"/>
      <c r="AT765" s="247"/>
    </row>
    <row r="766">
      <c r="C766" s="277"/>
      <c r="M766" s="277"/>
      <c r="O766" s="247"/>
      <c r="AC766" s="247"/>
      <c r="AT766" s="247"/>
    </row>
    <row r="767">
      <c r="C767" s="277"/>
      <c r="M767" s="277"/>
      <c r="O767" s="247"/>
      <c r="AC767" s="247"/>
      <c r="AT767" s="247"/>
    </row>
    <row r="768">
      <c r="C768" s="277"/>
      <c r="M768" s="277"/>
      <c r="O768" s="247"/>
      <c r="AC768" s="247"/>
      <c r="AT768" s="247"/>
    </row>
    <row r="769">
      <c r="C769" s="277"/>
      <c r="M769" s="277"/>
      <c r="O769" s="247"/>
      <c r="AC769" s="247"/>
      <c r="AT769" s="247"/>
    </row>
    <row r="770">
      <c r="C770" s="277"/>
      <c r="M770" s="277"/>
      <c r="O770" s="247"/>
      <c r="AC770" s="247"/>
      <c r="AT770" s="247"/>
    </row>
    <row r="771">
      <c r="C771" s="277"/>
      <c r="M771" s="277"/>
      <c r="O771" s="247"/>
      <c r="AC771" s="247"/>
      <c r="AT771" s="247"/>
    </row>
    <row r="772">
      <c r="C772" s="277"/>
      <c r="M772" s="277"/>
      <c r="O772" s="247"/>
      <c r="AC772" s="247"/>
      <c r="AT772" s="247"/>
    </row>
    <row r="773">
      <c r="C773" s="277"/>
      <c r="M773" s="277"/>
      <c r="O773" s="247"/>
      <c r="AC773" s="247"/>
      <c r="AT773" s="247"/>
    </row>
    <row r="774">
      <c r="C774" s="277"/>
      <c r="M774" s="277"/>
      <c r="O774" s="247"/>
      <c r="AC774" s="247"/>
      <c r="AT774" s="247"/>
    </row>
    <row r="775">
      <c r="C775" s="277"/>
      <c r="M775" s="277"/>
      <c r="O775" s="247"/>
      <c r="AC775" s="247"/>
      <c r="AT775" s="247"/>
    </row>
    <row r="776">
      <c r="C776" s="277"/>
      <c r="M776" s="277"/>
      <c r="O776" s="247"/>
      <c r="AC776" s="247"/>
      <c r="AT776" s="247"/>
    </row>
    <row r="777">
      <c r="C777" s="277"/>
      <c r="M777" s="277"/>
      <c r="O777" s="247"/>
      <c r="AC777" s="247"/>
      <c r="AT777" s="247"/>
    </row>
    <row r="778">
      <c r="C778" s="277"/>
      <c r="M778" s="277"/>
      <c r="O778" s="247"/>
      <c r="AC778" s="247"/>
      <c r="AT778" s="247"/>
    </row>
    <row r="779">
      <c r="C779" s="277"/>
      <c r="M779" s="277"/>
      <c r="O779" s="247"/>
      <c r="AC779" s="247"/>
      <c r="AT779" s="247"/>
    </row>
    <row r="780">
      <c r="C780" s="277"/>
      <c r="M780" s="277"/>
      <c r="O780" s="247"/>
      <c r="AC780" s="247"/>
      <c r="AT780" s="247"/>
    </row>
    <row r="781">
      <c r="C781" s="277"/>
      <c r="M781" s="277"/>
      <c r="O781" s="247"/>
      <c r="AC781" s="247"/>
      <c r="AT781" s="247"/>
    </row>
    <row r="782">
      <c r="C782" s="277"/>
      <c r="M782" s="277"/>
      <c r="O782" s="247"/>
      <c r="AC782" s="247"/>
      <c r="AT782" s="247"/>
    </row>
    <row r="783">
      <c r="C783" s="277"/>
      <c r="M783" s="277"/>
      <c r="O783" s="247"/>
      <c r="AC783" s="247"/>
      <c r="AT783" s="247"/>
    </row>
    <row r="784">
      <c r="C784" s="277"/>
      <c r="M784" s="277"/>
      <c r="O784" s="247"/>
      <c r="AC784" s="247"/>
      <c r="AT784" s="247"/>
    </row>
    <row r="785">
      <c r="C785" s="277"/>
      <c r="M785" s="277"/>
      <c r="O785" s="247"/>
      <c r="AC785" s="247"/>
      <c r="AT785" s="247"/>
    </row>
    <row r="786">
      <c r="C786" s="277"/>
      <c r="M786" s="277"/>
      <c r="O786" s="247"/>
      <c r="AC786" s="247"/>
      <c r="AT786" s="247"/>
    </row>
    <row r="787">
      <c r="C787" s="277"/>
      <c r="M787" s="277"/>
      <c r="O787" s="247"/>
      <c r="AC787" s="247"/>
      <c r="AT787" s="247"/>
    </row>
    <row r="788">
      <c r="C788" s="277"/>
      <c r="M788" s="277"/>
      <c r="O788" s="247"/>
      <c r="AC788" s="247"/>
      <c r="AT788" s="247"/>
    </row>
    <row r="789">
      <c r="C789" s="277"/>
      <c r="M789" s="277"/>
      <c r="O789" s="247"/>
      <c r="AC789" s="247"/>
      <c r="AT789" s="247"/>
    </row>
    <row r="790">
      <c r="C790" s="277"/>
      <c r="M790" s="277"/>
      <c r="O790" s="247"/>
      <c r="AC790" s="247"/>
      <c r="AT790" s="247"/>
    </row>
    <row r="791">
      <c r="C791" s="277"/>
      <c r="M791" s="277"/>
      <c r="O791" s="247"/>
      <c r="AC791" s="247"/>
      <c r="AT791" s="247"/>
    </row>
    <row r="792">
      <c r="C792" s="277"/>
      <c r="M792" s="277"/>
      <c r="O792" s="247"/>
      <c r="AC792" s="247"/>
      <c r="AT792" s="247"/>
    </row>
    <row r="793">
      <c r="C793" s="277"/>
      <c r="M793" s="277"/>
      <c r="O793" s="247"/>
      <c r="AC793" s="247"/>
      <c r="AT793" s="247"/>
    </row>
    <row r="794">
      <c r="C794" s="277"/>
      <c r="M794" s="277"/>
      <c r="O794" s="247"/>
      <c r="AC794" s="247"/>
      <c r="AT794" s="247"/>
    </row>
    <row r="795">
      <c r="C795" s="277"/>
      <c r="M795" s="277"/>
      <c r="O795" s="247"/>
      <c r="AC795" s="247"/>
      <c r="AT795" s="247"/>
    </row>
    <row r="796">
      <c r="C796" s="277"/>
      <c r="M796" s="277"/>
      <c r="O796" s="247"/>
      <c r="AC796" s="247"/>
      <c r="AT796" s="247"/>
    </row>
    <row r="797">
      <c r="C797" s="277"/>
      <c r="M797" s="277"/>
      <c r="O797" s="247"/>
      <c r="AC797" s="247"/>
      <c r="AT797" s="247"/>
    </row>
    <row r="798">
      <c r="C798" s="277"/>
      <c r="M798" s="277"/>
      <c r="O798" s="247"/>
      <c r="AC798" s="247"/>
      <c r="AT798" s="247"/>
    </row>
    <row r="799">
      <c r="C799" s="277"/>
      <c r="M799" s="277"/>
      <c r="O799" s="247"/>
      <c r="AC799" s="247"/>
      <c r="AT799" s="247"/>
    </row>
    <row r="800">
      <c r="C800" s="277"/>
      <c r="M800" s="277"/>
      <c r="O800" s="247"/>
      <c r="AC800" s="247"/>
      <c r="AT800" s="247"/>
    </row>
    <row r="801">
      <c r="C801" s="277"/>
      <c r="M801" s="277"/>
      <c r="O801" s="247"/>
      <c r="AC801" s="247"/>
      <c r="AT801" s="247"/>
    </row>
    <row r="802">
      <c r="C802" s="277"/>
      <c r="M802" s="277"/>
      <c r="O802" s="247"/>
      <c r="AC802" s="247"/>
      <c r="AT802" s="247"/>
    </row>
    <row r="803">
      <c r="C803" s="277"/>
      <c r="M803" s="277"/>
      <c r="O803" s="247"/>
      <c r="AC803" s="247"/>
      <c r="AT803" s="247"/>
    </row>
    <row r="804">
      <c r="C804" s="277"/>
      <c r="M804" s="277"/>
      <c r="O804" s="247"/>
      <c r="AC804" s="247"/>
      <c r="AT804" s="247"/>
    </row>
    <row r="805">
      <c r="C805" s="277"/>
      <c r="M805" s="277"/>
      <c r="O805" s="247"/>
      <c r="AC805" s="247"/>
      <c r="AT805" s="247"/>
    </row>
    <row r="806">
      <c r="C806" s="277"/>
      <c r="M806" s="277"/>
      <c r="O806" s="247"/>
      <c r="AC806" s="247"/>
      <c r="AT806" s="247"/>
    </row>
    <row r="807">
      <c r="C807" s="277"/>
      <c r="M807" s="277"/>
      <c r="O807" s="247"/>
      <c r="AC807" s="247"/>
      <c r="AT807" s="247"/>
    </row>
    <row r="808">
      <c r="C808" s="277"/>
      <c r="M808" s="277"/>
      <c r="O808" s="247"/>
      <c r="AC808" s="247"/>
      <c r="AT808" s="247"/>
    </row>
    <row r="809">
      <c r="C809" s="277"/>
      <c r="M809" s="277"/>
      <c r="O809" s="247"/>
      <c r="AC809" s="247"/>
      <c r="AT809" s="247"/>
    </row>
    <row r="810">
      <c r="C810" s="277"/>
      <c r="O810" s="247"/>
      <c r="AC810" s="247"/>
      <c r="AT810" s="247"/>
    </row>
    <row r="811">
      <c r="C811" s="277"/>
      <c r="O811" s="247"/>
      <c r="AC811" s="247"/>
      <c r="AT811" s="247"/>
    </row>
    <row r="812">
      <c r="C812" s="277"/>
      <c r="O812" s="247"/>
      <c r="AC812" s="247"/>
      <c r="AT812" s="247"/>
    </row>
    <row r="813">
      <c r="C813" s="277"/>
      <c r="O813" s="247"/>
      <c r="AC813" s="247"/>
      <c r="AT813" s="247"/>
    </row>
    <row r="814">
      <c r="C814" s="277"/>
      <c r="O814" s="247"/>
      <c r="AC814" s="247"/>
      <c r="AT814" s="247"/>
    </row>
    <row r="815">
      <c r="C815" s="277"/>
      <c r="O815" s="247"/>
      <c r="AC815" s="247"/>
      <c r="AT815" s="247"/>
    </row>
    <row r="816">
      <c r="C816" s="277"/>
      <c r="O816" s="247"/>
      <c r="AC816" s="247"/>
      <c r="AT816" s="247"/>
    </row>
    <row r="817">
      <c r="C817" s="277"/>
      <c r="O817" s="247"/>
      <c r="AC817" s="247"/>
      <c r="AT817" s="247"/>
    </row>
    <row r="818">
      <c r="C818" s="277"/>
      <c r="O818" s="247"/>
      <c r="AC818" s="247"/>
      <c r="AT818" s="247"/>
    </row>
    <row r="819">
      <c r="C819" s="277"/>
      <c r="O819" s="247"/>
      <c r="AC819" s="247"/>
      <c r="AT819" s="247"/>
    </row>
    <row r="820">
      <c r="C820" s="277"/>
      <c r="O820" s="247"/>
      <c r="AC820" s="247"/>
      <c r="AT820" s="247"/>
    </row>
    <row r="821">
      <c r="C821" s="277"/>
      <c r="O821" s="247"/>
      <c r="AC821" s="247"/>
      <c r="AT821" s="247"/>
    </row>
    <row r="822">
      <c r="C822" s="277"/>
      <c r="O822" s="247"/>
      <c r="AC822" s="247"/>
      <c r="AT822" s="247"/>
    </row>
    <row r="823">
      <c r="C823" s="277"/>
      <c r="O823" s="247"/>
      <c r="AC823" s="247"/>
      <c r="AT823" s="247"/>
    </row>
    <row r="824">
      <c r="C824" s="277"/>
      <c r="O824" s="247"/>
      <c r="AC824" s="247"/>
      <c r="AT824" s="247"/>
    </row>
    <row r="825">
      <c r="C825" s="277"/>
      <c r="O825" s="247"/>
      <c r="AC825" s="247"/>
      <c r="AT825" s="247"/>
    </row>
    <row r="826">
      <c r="C826" s="277"/>
      <c r="O826" s="247"/>
      <c r="AC826" s="247"/>
      <c r="AT826" s="247"/>
    </row>
    <row r="827">
      <c r="C827" s="277"/>
      <c r="O827" s="247"/>
      <c r="AC827" s="247"/>
      <c r="AT827" s="247"/>
    </row>
    <row r="828">
      <c r="C828" s="277"/>
      <c r="O828" s="247"/>
      <c r="AC828" s="247"/>
      <c r="AT828" s="247"/>
    </row>
    <row r="829">
      <c r="C829" s="277"/>
      <c r="O829" s="247"/>
      <c r="AC829" s="247"/>
      <c r="AT829" s="247"/>
    </row>
    <row r="830">
      <c r="C830" s="277"/>
      <c r="O830" s="247"/>
      <c r="AC830" s="247"/>
      <c r="AT830" s="247"/>
    </row>
    <row r="831">
      <c r="C831" s="277"/>
      <c r="O831" s="247"/>
      <c r="AC831" s="247"/>
      <c r="AT831" s="247"/>
    </row>
    <row r="832">
      <c r="C832" s="277"/>
      <c r="O832" s="247"/>
      <c r="AC832" s="247"/>
      <c r="AT832" s="247"/>
    </row>
    <row r="833">
      <c r="C833" s="277"/>
      <c r="O833" s="247"/>
      <c r="AC833" s="247"/>
      <c r="AT833" s="247"/>
    </row>
    <row r="834">
      <c r="C834" s="277"/>
      <c r="O834" s="247"/>
      <c r="AC834" s="247"/>
      <c r="AT834" s="247"/>
    </row>
    <row r="835">
      <c r="C835" s="277"/>
      <c r="O835" s="247"/>
      <c r="AC835" s="247"/>
      <c r="AT835" s="247"/>
    </row>
    <row r="836">
      <c r="C836" s="277"/>
      <c r="O836" s="247"/>
      <c r="AC836" s="247"/>
      <c r="AT836" s="247"/>
    </row>
    <row r="837">
      <c r="C837" s="277"/>
      <c r="O837" s="247"/>
      <c r="AC837" s="247"/>
      <c r="AT837" s="247"/>
    </row>
    <row r="838">
      <c r="C838" s="277"/>
      <c r="O838" s="247"/>
      <c r="AC838" s="247"/>
      <c r="AT838" s="247"/>
    </row>
    <row r="839">
      <c r="C839" s="277"/>
      <c r="O839" s="247"/>
      <c r="AC839" s="247"/>
      <c r="AT839" s="247"/>
    </row>
    <row r="840">
      <c r="C840" s="277"/>
      <c r="O840" s="247"/>
      <c r="AC840" s="247"/>
      <c r="AT840" s="247"/>
    </row>
    <row r="841">
      <c r="C841" s="277"/>
      <c r="O841" s="247"/>
      <c r="AC841" s="247"/>
      <c r="AT841" s="247"/>
    </row>
    <row r="842">
      <c r="C842" s="277"/>
      <c r="O842" s="247"/>
      <c r="AC842" s="247"/>
      <c r="AT842" s="247"/>
    </row>
    <row r="843">
      <c r="C843" s="277"/>
      <c r="O843" s="247"/>
      <c r="AC843" s="247"/>
      <c r="AT843" s="247"/>
    </row>
    <row r="844">
      <c r="C844" s="277"/>
      <c r="O844" s="247"/>
      <c r="AC844" s="247"/>
      <c r="AT844" s="247"/>
    </row>
    <row r="845">
      <c r="C845" s="277"/>
      <c r="O845" s="247"/>
      <c r="AC845" s="247"/>
      <c r="AT845" s="247"/>
    </row>
    <row r="846">
      <c r="C846" s="277"/>
      <c r="O846" s="247"/>
      <c r="AC846" s="247"/>
      <c r="AT846" s="247"/>
    </row>
    <row r="847">
      <c r="C847" s="277"/>
      <c r="O847" s="247"/>
      <c r="AC847" s="247"/>
      <c r="AT847" s="247"/>
    </row>
    <row r="848">
      <c r="C848" s="277"/>
      <c r="O848" s="247"/>
      <c r="AC848" s="247"/>
      <c r="AT848" s="247"/>
    </row>
    <row r="849">
      <c r="C849" s="277"/>
      <c r="O849" s="247"/>
      <c r="AC849" s="247"/>
      <c r="AT849" s="247"/>
    </row>
    <row r="850">
      <c r="C850" s="277"/>
      <c r="O850" s="247"/>
      <c r="AC850" s="247"/>
      <c r="AT850" s="247"/>
    </row>
    <row r="851">
      <c r="C851" s="277"/>
      <c r="O851" s="247"/>
      <c r="AC851" s="247"/>
      <c r="AT851" s="247"/>
    </row>
    <row r="852">
      <c r="C852" s="277"/>
      <c r="O852" s="247"/>
      <c r="AC852" s="247"/>
      <c r="AT852" s="247"/>
    </row>
    <row r="853">
      <c r="C853" s="277"/>
      <c r="O853" s="247"/>
      <c r="AC853" s="247"/>
      <c r="AT853" s="247"/>
    </row>
    <row r="854">
      <c r="C854" s="277"/>
      <c r="O854" s="247"/>
      <c r="AC854" s="247"/>
      <c r="AT854" s="247"/>
    </row>
    <row r="855">
      <c r="C855" s="277"/>
      <c r="O855" s="247"/>
      <c r="AC855" s="247"/>
      <c r="AT855" s="247"/>
    </row>
    <row r="856">
      <c r="C856" s="277"/>
      <c r="O856" s="247"/>
      <c r="AC856" s="247"/>
      <c r="AT856" s="247"/>
    </row>
    <row r="857">
      <c r="C857" s="277"/>
      <c r="O857" s="247"/>
      <c r="AC857" s="247"/>
      <c r="AT857" s="247"/>
    </row>
    <row r="858">
      <c r="C858" s="277"/>
      <c r="O858" s="247"/>
      <c r="AC858" s="247"/>
      <c r="AT858" s="247"/>
    </row>
    <row r="859">
      <c r="C859" s="277"/>
      <c r="O859" s="247"/>
      <c r="AC859" s="247"/>
      <c r="AT859" s="247"/>
    </row>
    <row r="860">
      <c r="C860" s="277"/>
      <c r="O860" s="247"/>
      <c r="AC860" s="247"/>
      <c r="AT860" s="247"/>
    </row>
    <row r="861">
      <c r="C861" s="277"/>
      <c r="O861" s="247"/>
      <c r="AC861" s="247"/>
      <c r="AT861" s="247"/>
    </row>
    <row r="862">
      <c r="C862" s="277"/>
      <c r="O862" s="247"/>
      <c r="AC862" s="247"/>
      <c r="AT862" s="247"/>
    </row>
    <row r="863">
      <c r="C863" s="277"/>
      <c r="O863" s="247"/>
      <c r="AC863" s="247"/>
      <c r="AT863" s="247"/>
    </row>
    <row r="864">
      <c r="C864" s="277"/>
      <c r="O864" s="247"/>
      <c r="AC864" s="247"/>
      <c r="AT864" s="247"/>
    </row>
    <row r="865">
      <c r="C865" s="277"/>
      <c r="O865" s="247"/>
      <c r="AC865" s="247"/>
      <c r="AT865" s="247"/>
    </row>
    <row r="866">
      <c r="C866" s="277"/>
      <c r="O866" s="247"/>
      <c r="AC866" s="247"/>
      <c r="AT866" s="247"/>
    </row>
    <row r="867">
      <c r="C867" s="277"/>
      <c r="O867" s="247"/>
      <c r="AC867" s="247"/>
      <c r="AT867" s="247"/>
    </row>
    <row r="868">
      <c r="C868" s="277"/>
      <c r="O868" s="247"/>
      <c r="AC868" s="247"/>
      <c r="AT868" s="247"/>
    </row>
    <row r="869">
      <c r="C869" s="277"/>
      <c r="O869" s="247"/>
      <c r="AC869" s="247"/>
      <c r="AT869" s="247"/>
    </row>
    <row r="870">
      <c r="C870" s="277"/>
      <c r="O870" s="247"/>
      <c r="AC870" s="247"/>
      <c r="AT870" s="247"/>
    </row>
    <row r="871">
      <c r="C871" s="277"/>
      <c r="O871" s="247"/>
      <c r="AC871" s="247"/>
      <c r="AT871" s="247"/>
    </row>
    <row r="872">
      <c r="C872" s="277"/>
      <c r="O872" s="247"/>
      <c r="AC872" s="247"/>
      <c r="AT872" s="247"/>
    </row>
    <row r="873">
      <c r="C873" s="277"/>
      <c r="O873" s="247"/>
      <c r="AC873" s="247"/>
      <c r="AT873" s="247"/>
    </row>
    <row r="874">
      <c r="C874" s="277"/>
      <c r="O874" s="247"/>
      <c r="AC874" s="247"/>
      <c r="AT874" s="247"/>
    </row>
    <row r="875">
      <c r="C875" s="277"/>
      <c r="O875" s="247"/>
      <c r="AC875" s="247"/>
      <c r="AT875" s="247"/>
    </row>
    <row r="876">
      <c r="C876" s="277"/>
      <c r="O876" s="247"/>
      <c r="AC876" s="247"/>
      <c r="AT876" s="247"/>
    </row>
    <row r="877">
      <c r="C877" s="277"/>
      <c r="O877" s="247"/>
      <c r="AC877" s="247"/>
      <c r="AT877" s="247"/>
    </row>
    <row r="878">
      <c r="C878" s="277"/>
      <c r="O878" s="247"/>
      <c r="AC878" s="247"/>
      <c r="AT878" s="247"/>
    </row>
    <row r="879">
      <c r="C879" s="277"/>
      <c r="O879" s="247"/>
      <c r="AC879" s="247"/>
      <c r="AT879" s="247"/>
    </row>
    <row r="880">
      <c r="C880" s="277"/>
      <c r="O880" s="247"/>
      <c r="AC880" s="247"/>
      <c r="AT880" s="247"/>
    </row>
    <row r="881">
      <c r="C881" s="277"/>
      <c r="O881" s="247"/>
      <c r="AC881" s="247"/>
      <c r="AT881" s="247"/>
    </row>
    <row r="882">
      <c r="C882" s="277"/>
      <c r="O882" s="247"/>
      <c r="AC882" s="247"/>
      <c r="AT882" s="247"/>
    </row>
    <row r="883">
      <c r="C883" s="277"/>
      <c r="O883" s="247"/>
      <c r="AC883" s="247"/>
      <c r="AT883" s="247"/>
    </row>
    <row r="884">
      <c r="C884" s="277"/>
      <c r="O884" s="247"/>
      <c r="AC884" s="247"/>
      <c r="AT884" s="247"/>
    </row>
    <row r="885">
      <c r="C885" s="277"/>
      <c r="O885" s="247"/>
      <c r="AC885" s="247"/>
      <c r="AT885" s="247"/>
    </row>
    <row r="886">
      <c r="C886" s="277"/>
      <c r="O886" s="247"/>
      <c r="AC886" s="247"/>
      <c r="AT886" s="247"/>
    </row>
    <row r="887">
      <c r="C887" s="277"/>
      <c r="O887" s="247"/>
      <c r="AC887" s="247"/>
      <c r="AT887" s="247"/>
    </row>
    <row r="888">
      <c r="C888" s="277"/>
      <c r="O888" s="247"/>
      <c r="AC888" s="247"/>
      <c r="AT888" s="247"/>
    </row>
    <row r="889">
      <c r="C889" s="277"/>
      <c r="O889" s="247"/>
      <c r="AC889" s="247"/>
      <c r="AT889" s="247"/>
    </row>
    <row r="890">
      <c r="C890" s="277"/>
      <c r="O890" s="247"/>
      <c r="AC890" s="247"/>
      <c r="AT890" s="247"/>
    </row>
    <row r="891">
      <c r="C891" s="277"/>
      <c r="O891" s="247"/>
      <c r="AC891" s="247"/>
      <c r="AT891" s="247"/>
    </row>
    <row r="892">
      <c r="C892" s="277"/>
      <c r="O892" s="247"/>
      <c r="AC892" s="247"/>
      <c r="AT892" s="247"/>
    </row>
    <row r="893">
      <c r="C893" s="277"/>
      <c r="O893" s="247"/>
      <c r="AC893" s="247"/>
      <c r="AT893" s="247"/>
    </row>
    <row r="894">
      <c r="C894" s="277"/>
      <c r="O894" s="247"/>
      <c r="AC894" s="247"/>
      <c r="AT894" s="247"/>
    </row>
    <row r="895">
      <c r="C895" s="277"/>
      <c r="O895" s="247"/>
      <c r="AC895" s="247"/>
      <c r="AT895" s="247"/>
    </row>
    <row r="896">
      <c r="C896" s="277"/>
      <c r="O896" s="247"/>
      <c r="AC896" s="247"/>
      <c r="AT896" s="247"/>
    </row>
    <row r="897">
      <c r="C897" s="277"/>
      <c r="O897" s="247"/>
      <c r="AC897" s="247"/>
      <c r="AT897" s="247"/>
    </row>
    <row r="898">
      <c r="C898" s="277"/>
      <c r="O898" s="247"/>
      <c r="AC898" s="247"/>
      <c r="AT898" s="247"/>
    </row>
    <row r="899">
      <c r="C899" s="277"/>
      <c r="O899" s="247"/>
      <c r="AC899" s="247"/>
      <c r="AT899" s="247"/>
    </row>
    <row r="900">
      <c r="C900" s="277"/>
      <c r="O900" s="247"/>
      <c r="AC900" s="247"/>
      <c r="AT900" s="247"/>
    </row>
    <row r="901">
      <c r="C901" s="277"/>
      <c r="O901" s="247"/>
      <c r="AC901" s="247"/>
      <c r="AT901" s="247"/>
    </row>
    <row r="902">
      <c r="C902" s="277"/>
      <c r="O902" s="247"/>
      <c r="AC902" s="247"/>
      <c r="AT902" s="247"/>
    </row>
    <row r="903">
      <c r="C903" s="277"/>
      <c r="O903" s="247"/>
      <c r="AC903" s="247"/>
      <c r="AT903" s="247"/>
    </row>
    <row r="904">
      <c r="C904" s="277"/>
      <c r="O904" s="247"/>
      <c r="AC904" s="247"/>
      <c r="AT904" s="247"/>
    </row>
    <row r="905">
      <c r="C905" s="277"/>
      <c r="O905" s="247"/>
      <c r="AC905" s="247"/>
      <c r="AT905" s="247"/>
    </row>
    <row r="906">
      <c r="C906" s="277"/>
      <c r="O906" s="247"/>
      <c r="AC906" s="247"/>
      <c r="AT906" s="247"/>
    </row>
    <row r="907">
      <c r="C907" s="277"/>
      <c r="O907" s="247"/>
      <c r="AC907" s="247"/>
      <c r="AT907" s="247"/>
    </row>
    <row r="908">
      <c r="C908" s="277"/>
      <c r="O908" s="247"/>
      <c r="AC908" s="247"/>
      <c r="AT908" s="247"/>
    </row>
    <row r="909">
      <c r="C909" s="277"/>
      <c r="O909" s="247"/>
      <c r="AC909" s="247"/>
      <c r="AT909" s="247"/>
    </row>
    <row r="910">
      <c r="C910" s="277"/>
      <c r="O910" s="247"/>
      <c r="AC910" s="247"/>
      <c r="AT910" s="247"/>
    </row>
    <row r="911">
      <c r="C911" s="277"/>
      <c r="O911" s="247"/>
      <c r="AC911" s="247"/>
      <c r="AT911" s="247"/>
    </row>
    <row r="912">
      <c r="C912" s="277"/>
      <c r="O912" s="247"/>
      <c r="AC912" s="247"/>
      <c r="AT912" s="247"/>
    </row>
    <row r="913">
      <c r="C913" s="277"/>
      <c r="O913" s="247"/>
      <c r="AC913" s="247"/>
      <c r="AT913" s="247"/>
    </row>
    <row r="914">
      <c r="C914" s="277"/>
      <c r="O914" s="247"/>
      <c r="AC914" s="247"/>
      <c r="AT914" s="247"/>
    </row>
    <row r="915">
      <c r="C915" s="277"/>
      <c r="O915" s="247"/>
      <c r="AC915" s="247"/>
      <c r="AT915" s="247"/>
    </row>
    <row r="916">
      <c r="C916" s="277"/>
      <c r="O916" s="247"/>
      <c r="AC916" s="247"/>
      <c r="AT916" s="247"/>
    </row>
    <row r="917">
      <c r="C917" s="277"/>
      <c r="O917" s="247"/>
      <c r="AC917" s="247"/>
      <c r="AT917" s="247"/>
    </row>
    <row r="918">
      <c r="C918" s="277"/>
      <c r="O918" s="247"/>
      <c r="AC918" s="247"/>
      <c r="AT918" s="247"/>
    </row>
    <row r="919">
      <c r="C919" s="277"/>
      <c r="O919" s="247"/>
      <c r="AC919" s="247"/>
      <c r="AT919" s="247"/>
    </row>
    <row r="920">
      <c r="C920" s="277"/>
      <c r="O920" s="247"/>
      <c r="AC920" s="247"/>
      <c r="AT920" s="247"/>
    </row>
    <row r="921">
      <c r="C921" s="277"/>
      <c r="O921" s="247"/>
      <c r="AC921" s="247"/>
      <c r="AT921" s="247"/>
    </row>
    <row r="922">
      <c r="C922" s="277"/>
      <c r="O922" s="247"/>
      <c r="AC922" s="247"/>
      <c r="AT922" s="247"/>
    </row>
    <row r="923">
      <c r="C923" s="277"/>
      <c r="O923" s="247"/>
      <c r="AC923" s="247"/>
      <c r="AT923" s="247"/>
    </row>
    <row r="924">
      <c r="C924" s="277"/>
      <c r="O924" s="247"/>
      <c r="AC924" s="247"/>
      <c r="AT924" s="247"/>
    </row>
    <row r="925">
      <c r="C925" s="277"/>
      <c r="O925" s="247"/>
      <c r="AC925" s="247"/>
      <c r="AT925" s="247"/>
    </row>
    <row r="926">
      <c r="C926" s="277"/>
      <c r="O926" s="247"/>
      <c r="AC926" s="247"/>
      <c r="AT926" s="247"/>
    </row>
    <row r="927">
      <c r="C927" s="277"/>
      <c r="O927" s="247"/>
      <c r="AC927" s="247"/>
      <c r="AT927" s="247"/>
    </row>
    <row r="928">
      <c r="C928" s="277"/>
      <c r="O928" s="247"/>
      <c r="AC928" s="247"/>
      <c r="AT928" s="247"/>
    </row>
    <row r="929">
      <c r="C929" s="277"/>
      <c r="O929" s="247"/>
      <c r="AC929" s="247"/>
      <c r="AT929" s="247"/>
    </row>
    <row r="930">
      <c r="C930" s="277"/>
      <c r="O930" s="247"/>
      <c r="AC930" s="247"/>
      <c r="AT930" s="247"/>
    </row>
    <row r="931">
      <c r="C931" s="277"/>
      <c r="O931" s="247"/>
      <c r="AC931" s="247"/>
      <c r="AT931" s="247"/>
    </row>
    <row r="932">
      <c r="C932" s="277"/>
      <c r="O932" s="247"/>
      <c r="AC932" s="247"/>
      <c r="AT932" s="247"/>
    </row>
    <row r="933">
      <c r="C933" s="277"/>
      <c r="O933" s="247"/>
      <c r="AC933" s="247"/>
      <c r="AT933" s="247"/>
    </row>
    <row r="934">
      <c r="C934" s="277"/>
      <c r="O934" s="247"/>
      <c r="AC934" s="247"/>
      <c r="AT934" s="247"/>
    </row>
    <row r="935">
      <c r="C935" s="277"/>
      <c r="O935" s="247"/>
      <c r="AC935" s="247"/>
      <c r="AT935" s="247"/>
    </row>
    <row r="936">
      <c r="C936" s="277"/>
      <c r="O936" s="247"/>
      <c r="AC936" s="247"/>
      <c r="AT936" s="247"/>
    </row>
    <row r="937">
      <c r="C937" s="277"/>
      <c r="O937" s="247"/>
      <c r="AC937" s="247"/>
      <c r="AT937" s="247"/>
    </row>
    <row r="938">
      <c r="C938" s="277"/>
      <c r="O938" s="247"/>
      <c r="AC938" s="247"/>
      <c r="AT938" s="247"/>
    </row>
    <row r="939">
      <c r="C939" s="277"/>
      <c r="O939" s="247"/>
      <c r="AC939" s="247"/>
      <c r="AT939" s="247"/>
    </row>
    <row r="940">
      <c r="C940" s="277"/>
      <c r="O940" s="247"/>
      <c r="AC940" s="247"/>
      <c r="AT940" s="247"/>
    </row>
    <row r="941">
      <c r="C941" s="277"/>
      <c r="O941" s="247"/>
      <c r="AC941" s="247"/>
      <c r="AT941" s="247"/>
    </row>
    <row r="942">
      <c r="C942" s="277"/>
      <c r="O942" s="247"/>
      <c r="AC942" s="247"/>
      <c r="AT942" s="247"/>
    </row>
    <row r="943">
      <c r="C943" s="277"/>
      <c r="O943" s="247"/>
      <c r="AC943" s="247"/>
      <c r="AT943" s="247"/>
    </row>
    <row r="944">
      <c r="C944" s="277"/>
      <c r="O944" s="247"/>
      <c r="AC944" s="247"/>
      <c r="AT944" s="247"/>
    </row>
    <row r="945">
      <c r="C945" s="277"/>
      <c r="O945" s="247"/>
      <c r="AC945" s="247"/>
      <c r="AT945" s="247"/>
    </row>
    <row r="946">
      <c r="C946" s="277"/>
      <c r="O946" s="247"/>
      <c r="AC946" s="247"/>
      <c r="AT946" s="247"/>
    </row>
    <row r="947">
      <c r="C947" s="277"/>
      <c r="O947" s="247"/>
      <c r="AC947" s="247"/>
      <c r="AT947" s="247"/>
    </row>
    <row r="948">
      <c r="C948" s="277"/>
      <c r="O948" s="247"/>
      <c r="AC948" s="247"/>
      <c r="AT948" s="247"/>
    </row>
    <row r="949">
      <c r="C949" s="277"/>
      <c r="O949" s="247"/>
      <c r="AC949" s="247"/>
      <c r="AT949" s="247"/>
    </row>
    <row r="950">
      <c r="C950" s="277"/>
      <c r="O950" s="247"/>
      <c r="AC950" s="247"/>
      <c r="AT950" s="247"/>
    </row>
    <row r="951">
      <c r="C951" s="277"/>
      <c r="O951" s="247"/>
      <c r="AC951" s="247"/>
      <c r="AT951" s="247"/>
    </row>
    <row r="952">
      <c r="C952" s="277"/>
      <c r="O952" s="247"/>
      <c r="AC952" s="247"/>
      <c r="AT952" s="247"/>
    </row>
    <row r="953">
      <c r="C953" s="277"/>
      <c r="O953" s="247"/>
      <c r="AC953" s="247"/>
      <c r="AT953" s="247"/>
    </row>
    <row r="954">
      <c r="C954" s="277"/>
      <c r="O954" s="247"/>
      <c r="AC954" s="247"/>
      <c r="AT954" s="247"/>
    </row>
    <row r="955">
      <c r="C955" s="277"/>
      <c r="O955" s="247"/>
      <c r="AC955" s="247"/>
      <c r="AT955" s="247"/>
    </row>
    <row r="956">
      <c r="C956" s="277"/>
      <c r="O956" s="247"/>
      <c r="AC956" s="247"/>
      <c r="AT956" s="247"/>
    </row>
    <row r="957">
      <c r="C957" s="277"/>
      <c r="O957" s="247"/>
      <c r="AC957" s="247"/>
      <c r="AT957" s="247"/>
    </row>
    <row r="958">
      <c r="C958" s="277"/>
      <c r="O958" s="247"/>
      <c r="AC958" s="247"/>
      <c r="AT958" s="247"/>
    </row>
    <row r="959">
      <c r="C959" s="277"/>
      <c r="O959" s="247"/>
      <c r="AC959" s="247"/>
      <c r="AT959" s="247"/>
    </row>
    <row r="960">
      <c r="C960" s="277"/>
      <c r="O960" s="247"/>
      <c r="AC960" s="247"/>
      <c r="AT960" s="247"/>
    </row>
    <row r="961">
      <c r="C961" s="277"/>
      <c r="O961" s="247"/>
      <c r="AC961" s="247"/>
      <c r="AT961" s="247"/>
    </row>
    <row r="962">
      <c r="C962" s="277"/>
      <c r="O962" s="247"/>
      <c r="AC962" s="247"/>
      <c r="AT962" s="247"/>
    </row>
    <row r="963">
      <c r="C963" s="277"/>
      <c r="O963" s="247"/>
      <c r="AC963" s="247"/>
      <c r="AT963" s="247"/>
    </row>
    <row r="964">
      <c r="C964" s="277"/>
      <c r="O964" s="247"/>
      <c r="AC964" s="247"/>
      <c r="AT964" s="247"/>
    </row>
    <row r="965">
      <c r="C965" s="277"/>
      <c r="O965" s="247"/>
      <c r="AC965" s="247"/>
      <c r="AT965" s="247"/>
    </row>
    <row r="966">
      <c r="C966" s="277"/>
      <c r="O966" s="247"/>
      <c r="AC966" s="247"/>
      <c r="AT966" s="247"/>
    </row>
    <row r="967">
      <c r="C967" s="277"/>
      <c r="O967" s="247"/>
      <c r="AC967" s="247"/>
      <c r="AT967" s="247"/>
    </row>
    <row r="968">
      <c r="C968" s="277"/>
      <c r="O968" s="247"/>
      <c r="AC968" s="247"/>
      <c r="AT968" s="247"/>
    </row>
    <row r="969">
      <c r="C969" s="277"/>
      <c r="O969" s="247"/>
      <c r="AC969" s="247"/>
      <c r="AT969" s="247"/>
    </row>
    <row r="970">
      <c r="C970" s="277"/>
      <c r="O970" s="247"/>
      <c r="AC970" s="247"/>
      <c r="AT970" s="247"/>
    </row>
    <row r="971">
      <c r="C971" s="277"/>
      <c r="O971" s="247"/>
      <c r="AC971" s="247"/>
      <c r="AT971" s="247"/>
    </row>
    <row r="972">
      <c r="C972" s="277"/>
      <c r="O972" s="247"/>
      <c r="AC972" s="247"/>
      <c r="AT972" s="247"/>
    </row>
    <row r="973">
      <c r="C973" s="277"/>
      <c r="O973" s="247"/>
      <c r="AC973" s="247"/>
      <c r="AT973" s="247"/>
    </row>
    <row r="974">
      <c r="C974" s="277"/>
      <c r="O974" s="247"/>
      <c r="AC974" s="247"/>
      <c r="AT974" s="247"/>
    </row>
    <row r="975">
      <c r="C975" s="277"/>
      <c r="O975" s="247"/>
      <c r="AC975" s="247"/>
      <c r="AT975" s="247"/>
    </row>
    <row r="976">
      <c r="C976" s="277"/>
      <c r="O976" s="247"/>
      <c r="AC976" s="247"/>
      <c r="AT976" s="247"/>
    </row>
    <row r="977">
      <c r="C977" s="277"/>
      <c r="O977" s="247"/>
      <c r="AC977" s="247"/>
      <c r="AT977" s="247"/>
    </row>
    <row r="978">
      <c r="C978" s="277"/>
      <c r="O978" s="247"/>
      <c r="AC978" s="247"/>
      <c r="AT978" s="247"/>
    </row>
    <row r="979">
      <c r="C979" s="277"/>
      <c r="O979" s="247"/>
      <c r="AC979" s="247"/>
      <c r="AT979" s="247"/>
    </row>
    <row r="980">
      <c r="C980" s="277"/>
      <c r="O980" s="247"/>
      <c r="AC980" s="247"/>
      <c r="AT980" s="247"/>
    </row>
    <row r="981">
      <c r="C981" s="277"/>
      <c r="O981" s="247"/>
      <c r="AC981" s="247"/>
      <c r="AT981" s="247"/>
    </row>
    <row r="982">
      <c r="C982" s="277"/>
      <c r="O982" s="247"/>
      <c r="AC982" s="247"/>
      <c r="AT982" s="247"/>
    </row>
    <row r="983">
      <c r="C983" s="277"/>
      <c r="O983" s="247"/>
      <c r="AC983" s="247"/>
      <c r="AT983" s="247"/>
    </row>
    <row r="984">
      <c r="C984" s="277"/>
      <c r="O984" s="247"/>
      <c r="AC984" s="247"/>
      <c r="AT984" s="247"/>
    </row>
    <row r="985">
      <c r="C985" s="277"/>
      <c r="O985" s="247"/>
      <c r="AC985" s="247"/>
      <c r="AT985" s="247"/>
    </row>
    <row r="986">
      <c r="C986" s="277"/>
      <c r="O986" s="247"/>
      <c r="AC986" s="247"/>
      <c r="AT986" s="247"/>
    </row>
    <row r="987">
      <c r="C987" s="277"/>
      <c r="O987" s="247"/>
      <c r="AC987" s="247"/>
      <c r="AT987" s="247"/>
    </row>
    <row r="988">
      <c r="C988" s="277"/>
      <c r="O988" s="247"/>
      <c r="AC988" s="247"/>
      <c r="AT988" s="247"/>
    </row>
    <row r="989">
      <c r="C989" s="277"/>
      <c r="O989" s="247"/>
      <c r="AC989" s="247"/>
      <c r="AT989" s="247"/>
    </row>
    <row r="990">
      <c r="C990" s="277"/>
      <c r="O990" s="247"/>
      <c r="AC990" s="247"/>
      <c r="AT990" s="247"/>
    </row>
    <row r="991">
      <c r="C991" s="277"/>
      <c r="O991" s="247"/>
      <c r="AC991" s="247"/>
      <c r="AT991" s="247"/>
    </row>
    <row r="992">
      <c r="C992" s="277"/>
      <c r="O992" s="247"/>
      <c r="AC992" s="247"/>
      <c r="AT992" s="247"/>
    </row>
    <row r="993">
      <c r="C993" s="277"/>
      <c r="O993" s="247"/>
      <c r="AC993" s="247"/>
      <c r="AT993" s="247"/>
    </row>
    <row r="994">
      <c r="C994" s="277"/>
      <c r="O994" s="247"/>
      <c r="AC994" s="247"/>
      <c r="AT994" s="247"/>
    </row>
    <row r="995">
      <c r="C995" s="277"/>
      <c r="O995" s="247"/>
      <c r="AC995" s="247"/>
      <c r="AT995" s="247"/>
    </row>
    <row r="996">
      <c r="C996" s="277"/>
      <c r="O996" s="247"/>
      <c r="AC996" s="247"/>
      <c r="AT996" s="247"/>
    </row>
    <row r="997">
      <c r="C997" s="277"/>
      <c r="O997" s="247"/>
      <c r="AC997" s="247"/>
      <c r="AT997" s="247"/>
    </row>
    <row r="998">
      <c r="C998" s="277"/>
      <c r="O998" s="247"/>
      <c r="AC998" s="247"/>
      <c r="AT998" s="247"/>
    </row>
    <row r="999">
      <c r="C999" s="277"/>
      <c r="O999" s="247"/>
      <c r="AC999" s="247"/>
      <c r="AT999" s="247"/>
    </row>
    <row r="1000">
      <c r="C1000" s="277"/>
      <c r="O1000" s="247"/>
      <c r="AC1000" s="247"/>
      <c r="AT1000" s="247"/>
    </row>
    <row r="1001">
      <c r="C1001" s="277"/>
      <c r="O1001" s="247"/>
      <c r="AC1001" s="247"/>
      <c r="AT1001" s="247"/>
    </row>
    <row r="1002">
      <c r="C1002" s="277"/>
      <c r="O1002" s="247"/>
      <c r="AC1002" s="247"/>
      <c r="AT1002" s="247"/>
    </row>
    <row r="1003">
      <c r="C1003" s="277"/>
      <c r="O1003" s="247"/>
      <c r="AC1003" s="247"/>
      <c r="AT1003" s="247"/>
    </row>
    <row r="1004">
      <c r="C1004" s="277"/>
      <c r="O1004" s="247"/>
      <c r="AC1004" s="247"/>
      <c r="AT1004" s="247"/>
    </row>
    <row r="1005">
      <c r="C1005" s="277"/>
      <c r="O1005" s="247"/>
      <c r="AC1005" s="247"/>
      <c r="AT1005" s="247"/>
    </row>
    <row r="1006">
      <c r="C1006" s="277"/>
      <c r="O1006" s="247"/>
      <c r="AC1006" s="247"/>
      <c r="AT1006" s="247"/>
    </row>
    <row r="1007">
      <c r="C1007" s="277"/>
      <c r="O1007" s="247"/>
      <c r="AC1007" s="247"/>
      <c r="AT1007" s="247"/>
    </row>
    <row r="1008">
      <c r="C1008" s="277"/>
      <c r="O1008" s="247"/>
      <c r="AC1008" s="247"/>
      <c r="AT1008" s="247"/>
    </row>
    <row r="1009">
      <c r="C1009" s="277"/>
      <c r="O1009" s="247"/>
      <c r="AC1009" s="247"/>
      <c r="AT1009" s="247"/>
    </row>
    <row r="1010">
      <c r="C1010" s="277"/>
      <c r="O1010" s="247"/>
      <c r="AC1010" s="247"/>
      <c r="AT1010" s="247"/>
    </row>
    <row r="1011">
      <c r="C1011" s="277"/>
      <c r="O1011" s="247"/>
      <c r="AC1011" s="247"/>
      <c r="AT1011" s="247"/>
    </row>
    <row r="1012">
      <c r="C1012" s="277"/>
      <c r="O1012" s="247"/>
      <c r="AC1012" s="247"/>
      <c r="AT1012" s="247"/>
    </row>
    <row r="1013">
      <c r="C1013" s="277"/>
      <c r="O1013" s="247"/>
      <c r="AC1013" s="247"/>
      <c r="AT1013" s="247"/>
    </row>
    <row r="1014">
      <c r="C1014" s="277"/>
      <c r="O1014" s="247"/>
      <c r="AC1014" s="247"/>
      <c r="AT1014" s="247"/>
    </row>
    <row r="1015">
      <c r="C1015" s="277"/>
      <c r="O1015" s="247"/>
      <c r="AC1015" s="247"/>
      <c r="AT1015" s="247"/>
    </row>
    <row r="1016">
      <c r="C1016" s="277"/>
      <c r="O1016" s="247"/>
      <c r="AC1016" s="247"/>
      <c r="AT1016" s="247"/>
    </row>
    <row r="1017">
      <c r="C1017" s="277"/>
      <c r="O1017" s="247"/>
      <c r="AC1017" s="247"/>
      <c r="AT1017" s="247"/>
    </row>
    <row r="1018">
      <c r="C1018" s="277"/>
      <c r="O1018" s="247"/>
      <c r="AC1018" s="247"/>
      <c r="AT1018" s="247"/>
    </row>
    <row r="1019">
      <c r="C1019" s="277"/>
      <c r="O1019" s="247"/>
      <c r="AC1019" s="247"/>
      <c r="AT1019" s="247"/>
    </row>
    <row r="1020">
      <c r="C1020" s="277"/>
      <c r="O1020" s="247"/>
      <c r="AC1020" s="247"/>
      <c r="AT1020" s="247"/>
    </row>
    <row r="1021">
      <c r="C1021" s="277"/>
      <c r="O1021" s="247"/>
      <c r="AC1021" s="247"/>
      <c r="AT1021" s="247"/>
    </row>
    <row r="1022">
      <c r="C1022" s="277"/>
      <c r="O1022" s="247"/>
      <c r="AC1022" s="247"/>
      <c r="AT1022" s="247"/>
    </row>
    <row r="1023">
      <c r="C1023" s="277"/>
      <c r="O1023" s="247"/>
      <c r="AC1023" s="247"/>
      <c r="AT1023" s="247"/>
    </row>
    <row r="1024">
      <c r="C1024" s="277"/>
      <c r="O1024" s="247"/>
      <c r="AC1024" s="247"/>
      <c r="AT1024" s="247"/>
    </row>
    <row r="1025">
      <c r="C1025" s="277"/>
      <c r="O1025" s="247"/>
      <c r="AC1025" s="247"/>
      <c r="AT1025" s="247"/>
    </row>
    <row r="1026">
      <c r="C1026" s="277"/>
      <c r="O1026" s="247"/>
      <c r="AC1026" s="247"/>
      <c r="AT1026" s="247"/>
    </row>
    <row r="1027">
      <c r="C1027" s="277"/>
      <c r="O1027" s="247"/>
      <c r="AC1027" s="247"/>
      <c r="AT1027" s="247"/>
    </row>
    <row r="1028">
      <c r="C1028" s="277"/>
      <c r="O1028" s="247"/>
      <c r="AC1028" s="247"/>
      <c r="AT1028" s="247"/>
    </row>
    <row r="1029">
      <c r="C1029" s="277"/>
      <c r="O1029" s="247"/>
      <c r="AC1029" s="247"/>
      <c r="AT1029" s="247"/>
    </row>
    <row r="1030">
      <c r="C1030" s="277"/>
      <c r="O1030" s="247"/>
      <c r="AC1030" s="247"/>
      <c r="AT1030" s="247"/>
    </row>
    <row r="1031">
      <c r="C1031" s="277"/>
      <c r="O1031" s="247"/>
      <c r="AC1031" s="247"/>
      <c r="AT1031" s="247"/>
    </row>
    <row r="1032">
      <c r="C1032" s="277"/>
      <c r="O1032" s="247"/>
      <c r="AC1032" s="247"/>
      <c r="AT1032" s="247"/>
    </row>
    <row r="1033">
      <c r="C1033" s="277"/>
      <c r="O1033" s="247"/>
      <c r="AC1033" s="247"/>
      <c r="AT1033" s="247"/>
    </row>
    <row r="1034">
      <c r="C1034" s="277"/>
      <c r="O1034" s="247"/>
      <c r="AC1034" s="247"/>
      <c r="AT1034" s="247"/>
    </row>
    <row r="1035">
      <c r="C1035" s="277"/>
      <c r="O1035" s="247"/>
      <c r="AC1035" s="247"/>
      <c r="AT1035" s="247"/>
    </row>
    <row r="1036">
      <c r="C1036" s="277"/>
      <c r="O1036" s="247"/>
      <c r="AC1036" s="247"/>
      <c r="AT1036" s="247"/>
    </row>
    <row r="1037">
      <c r="C1037" s="277"/>
      <c r="O1037" s="247"/>
      <c r="AC1037" s="247"/>
      <c r="AT1037" s="247"/>
    </row>
    <row r="1038">
      <c r="C1038" s="277"/>
      <c r="O1038" s="247"/>
      <c r="AC1038" s="247"/>
      <c r="AT1038" s="247"/>
    </row>
    <row r="1039">
      <c r="C1039" s="277"/>
      <c r="O1039" s="247"/>
      <c r="AC1039" s="247"/>
      <c r="AT1039" s="247"/>
    </row>
    <row r="1040">
      <c r="C1040" s="277"/>
      <c r="O1040" s="247"/>
      <c r="AC1040" s="247"/>
      <c r="AT1040" s="247"/>
    </row>
    <row r="1041">
      <c r="C1041" s="277"/>
      <c r="O1041" s="247"/>
      <c r="AC1041" s="247"/>
      <c r="AT1041" s="247"/>
    </row>
    <row r="1042">
      <c r="C1042" s="277"/>
      <c r="O1042" s="247"/>
      <c r="AC1042" s="247"/>
      <c r="AT1042" s="247"/>
    </row>
    <row r="1043">
      <c r="C1043" s="277"/>
      <c r="O1043" s="247"/>
      <c r="AC1043" s="247"/>
      <c r="AT1043" s="247"/>
    </row>
    <row r="1044">
      <c r="C1044" s="277"/>
      <c r="O1044" s="247"/>
      <c r="AC1044" s="247"/>
      <c r="AT1044" s="247"/>
    </row>
    <row r="1045">
      <c r="C1045" s="277"/>
      <c r="O1045" s="247"/>
      <c r="AC1045" s="247"/>
      <c r="AT1045" s="247"/>
    </row>
    <row r="1046">
      <c r="C1046" s="277"/>
      <c r="O1046" s="247"/>
      <c r="AC1046" s="247"/>
      <c r="AT1046" s="247"/>
    </row>
    <row r="1047">
      <c r="C1047" s="277"/>
      <c r="O1047" s="247"/>
      <c r="AC1047" s="247"/>
      <c r="AT1047" s="247"/>
    </row>
    <row r="1048">
      <c r="C1048" s="277"/>
      <c r="O1048" s="247"/>
      <c r="AC1048" s="247"/>
      <c r="AT1048" s="247"/>
    </row>
    <row r="1049">
      <c r="C1049" s="277"/>
      <c r="O1049" s="247"/>
      <c r="AC1049" s="247"/>
      <c r="AT1049" s="247"/>
    </row>
    <row r="1050">
      <c r="C1050" s="277"/>
      <c r="O1050" s="247"/>
      <c r="AC1050" s="247"/>
      <c r="AT1050" s="247"/>
    </row>
    <row r="1051">
      <c r="C1051" s="277"/>
      <c r="O1051" s="247"/>
      <c r="AC1051" s="247"/>
      <c r="AT1051" s="247"/>
    </row>
    <row r="1052">
      <c r="C1052" s="277"/>
      <c r="O1052" s="247"/>
      <c r="AC1052" s="247"/>
      <c r="AT1052" s="247"/>
    </row>
    <row r="1053">
      <c r="C1053" s="277"/>
      <c r="O1053" s="247"/>
      <c r="AC1053" s="247"/>
      <c r="AT1053" s="247"/>
    </row>
    <row r="1054">
      <c r="C1054" s="277"/>
      <c r="O1054" s="247"/>
      <c r="AC1054" s="247"/>
      <c r="AT1054" s="247"/>
    </row>
    <row r="1055">
      <c r="C1055" s="277"/>
      <c r="O1055" s="247"/>
      <c r="AC1055" s="247"/>
      <c r="AT1055" s="247"/>
    </row>
    <row r="1056">
      <c r="C1056" s="277"/>
      <c r="O1056" s="247"/>
      <c r="AC1056" s="247"/>
      <c r="AT1056" s="247"/>
    </row>
    <row r="1057">
      <c r="C1057" s="277"/>
      <c r="O1057" s="247"/>
      <c r="AC1057" s="247"/>
      <c r="AT1057" s="247"/>
    </row>
    <row r="1058">
      <c r="C1058" s="277"/>
      <c r="O1058" s="247"/>
      <c r="AC1058" s="247"/>
      <c r="AT1058" s="247"/>
    </row>
    <row r="1059">
      <c r="C1059" s="277"/>
      <c r="O1059" s="247"/>
      <c r="AC1059" s="247"/>
      <c r="AT1059" s="247"/>
    </row>
    <row r="1060">
      <c r="C1060" s="277"/>
      <c r="O1060" s="247"/>
      <c r="AC1060" s="247"/>
      <c r="AT1060" s="247"/>
    </row>
    <row r="1061">
      <c r="C1061" s="277"/>
      <c r="O1061" s="247"/>
      <c r="AC1061" s="247"/>
      <c r="AT1061" s="247"/>
    </row>
    <row r="1062">
      <c r="C1062" s="277"/>
      <c r="O1062" s="247"/>
      <c r="AC1062" s="247"/>
      <c r="AT1062" s="247"/>
    </row>
    <row r="1063">
      <c r="C1063" s="277"/>
      <c r="O1063" s="247"/>
      <c r="AC1063" s="247"/>
      <c r="AT1063" s="247"/>
    </row>
    <row r="1064">
      <c r="C1064" s="277"/>
      <c r="O1064" s="247"/>
      <c r="AC1064" s="247"/>
      <c r="AT1064" s="247"/>
    </row>
    <row r="1065">
      <c r="C1065" s="277"/>
      <c r="O1065" s="247"/>
      <c r="AC1065" s="247"/>
      <c r="AT1065" s="247"/>
    </row>
    <row r="1066">
      <c r="C1066" s="277"/>
      <c r="O1066" s="247"/>
      <c r="AC1066" s="247"/>
      <c r="AT1066" s="247"/>
    </row>
    <row r="1067">
      <c r="C1067" s="277"/>
      <c r="O1067" s="247"/>
      <c r="AC1067" s="247"/>
      <c r="AT1067" s="247"/>
    </row>
    <row r="1068">
      <c r="C1068" s="277"/>
      <c r="O1068" s="247"/>
      <c r="AC1068" s="247"/>
      <c r="AT1068" s="247"/>
    </row>
    <row r="1069">
      <c r="C1069" s="277"/>
      <c r="O1069" s="247"/>
      <c r="AC1069" s="247"/>
      <c r="AT1069" s="247"/>
    </row>
    <row r="1070">
      <c r="C1070" s="277"/>
      <c r="O1070" s="247"/>
      <c r="AC1070" s="247"/>
      <c r="AT1070" s="247"/>
    </row>
    <row r="1071">
      <c r="C1071" s="277"/>
      <c r="O1071" s="247"/>
      <c r="AC1071" s="247"/>
      <c r="AT1071" s="247"/>
    </row>
    <row r="1072">
      <c r="C1072" s="277"/>
      <c r="O1072" s="247"/>
      <c r="AC1072" s="247"/>
      <c r="AT1072" s="247"/>
    </row>
    <row r="1073">
      <c r="C1073" s="277"/>
      <c r="O1073" s="247"/>
      <c r="AC1073" s="247"/>
      <c r="AT1073" s="247"/>
    </row>
    <row r="1074">
      <c r="C1074" s="277"/>
      <c r="O1074" s="247"/>
      <c r="AC1074" s="247"/>
      <c r="AT1074" s="247"/>
    </row>
    <row r="1075">
      <c r="C1075" s="277"/>
      <c r="O1075" s="247"/>
      <c r="AC1075" s="247"/>
      <c r="AT1075" s="247"/>
    </row>
    <row r="1076">
      <c r="C1076" s="277"/>
      <c r="O1076" s="247"/>
      <c r="AC1076" s="247"/>
      <c r="AT1076" s="247"/>
    </row>
    <row r="1077">
      <c r="C1077" s="277"/>
      <c r="O1077" s="247"/>
      <c r="AC1077" s="247"/>
      <c r="AT1077" s="247"/>
    </row>
    <row r="1078">
      <c r="C1078" s="277"/>
      <c r="O1078" s="247"/>
      <c r="AC1078" s="247"/>
      <c r="AT1078" s="247"/>
    </row>
    <row r="1079">
      <c r="C1079" s="277"/>
      <c r="O1079" s="247"/>
      <c r="AC1079" s="247"/>
      <c r="AT1079" s="247"/>
    </row>
    <row r="1080">
      <c r="C1080" s="277"/>
      <c r="O1080" s="247"/>
      <c r="AC1080" s="247"/>
      <c r="AT1080" s="247"/>
    </row>
    <row r="1081">
      <c r="C1081" s="277"/>
      <c r="O1081" s="247"/>
      <c r="AC1081" s="247"/>
      <c r="AT1081" s="247"/>
    </row>
    <row r="1082">
      <c r="C1082" s="277"/>
      <c r="O1082" s="247"/>
      <c r="AC1082" s="247"/>
      <c r="AT1082" s="247"/>
    </row>
    <row r="1083">
      <c r="C1083" s="277"/>
      <c r="O1083" s="247"/>
      <c r="AC1083" s="247"/>
      <c r="AT1083" s="247"/>
    </row>
    <row r="1084">
      <c r="C1084" s="277"/>
      <c r="O1084" s="247"/>
      <c r="AC1084" s="247"/>
      <c r="AT1084" s="247"/>
    </row>
    <row r="1085">
      <c r="C1085" s="277"/>
      <c r="O1085" s="247"/>
      <c r="AC1085" s="247"/>
      <c r="AT1085" s="247"/>
    </row>
    <row r="1086">
      <c r="C1086" s="277"/>
      <c r="O1086" s="247"/>
      <c r="AC1086" s="247"/>
      <c r="AT1086" s="247"/>
    </row>
    <row r="1087">
      <c r="C1087" s="277"/>
      <c r="O1087" s="247"/>
      <c r="AC1087" s="247"/>
      <c r="AT1087" s="247"/>
    </row>
    <row r="1088">
      <c r="C1088" s="277"/>
      <c r="O1088" s="247"/>
      <c r="AC1088" s="247"/>
      <c r="AT1088" s="247"/>
    </row>
    <row r="1089">
      <c r="C1089" s="277"/>
      <c r="O1089" s="247"/>
      <c r="AC1089" s="247"/>
      <c r="AT1089" s="247"/>
    </row>
    <row r="1090">
      <c r="C1090" s="277"/>
      <c r="O1090" s="247"/>
      <c r="AC1090" s="247"/>
      <c r="AT1090" s="247"/>
    </row>
    <row r="1091">
      <c r="C1091" s="277"/>
      <c r="O1091" s="247"/>
      <c r="AC1091" s="247"/>
      <c r="AT1091" s="247"/>
    </row>
    <row r="1092">
      <c r="C1092" s="277"/>
      <c r="O1092" s="247"/>
      <c r="AC1092" s="247"/>
      <c r="AT1092" s="247"/>
    </row>
    <row r="1093">
      <c r="C1093" s="277"/>
      <c r="O1093" s="247"/>
      <c r="AC1093" s="247"/>
      <c r="AT1093" s="247"/>
    </row>
    <row r="1094">
      <c r="C1094" s="277"/>
      <c r="O1094" s="247"/>
      <c r="AC1094" s="247"/>
      <c r="AT1094" s="247"/>
    </row>
    <row r="1095">
      <c r="C1095" s="277"/>
      <c r="O1095" s="247"/>
      <c r="AC1095" s="247"/>
      <c r="AT1095" s="247"/>
    </row>
    <row r="1096">
      <c r="C1096" s="277"/>
      <c r="O1096" s="247"/>
      <c r="AC1096" s="247"/>
      <c r="AT1096" s="247"/>
    </row>
    <row r="1097">
      <c r="C1097" s="277"/>
      <c r="O1097" s="247"/>
      <c r="AC1097" s="247"/>
      <c r="AT1097" s="247"/>
    </row>
    <row r="1098">
      <c r="C1098" s="277"/>
      <c r="O1098" s="247"/>
      <c r="AC1098" s="247"/>
      <c r="AT1098" s="247"/>
    </row>
    <row r="1099">
      <c r="C1099" s="277"/>
      <c r="O1099" s="247"/>
      <c r="AC1099" s="247"/>
      <c r="AT1099" s="247"/>
    </row>
    <row r="1100">
      <c r="C1100" s="277"/>
      <c r="O1100" s="247"/>
      <c r="AC1100" s="247"/>
      <c r="AT1100" s="247"/>
    </row>
    <row r="1101">
      <c r="C1101" s="277"/>
      <c r="O1101" s="247"/>
      <c r="AC1101" s="247"/>
      <c r="AT1101" s="247"/>
    </row>
    <row r="1102">
      <c r="C1102" s="277"/>
      <c r="O1102" s="247"/>
      <c r="AC1102" s="247"/>
      <c r="AT1102" s="247"/>
    </row>
    <row r="1103">
      <c r="C1103" s="277"/>
      <c r="O1103" s="247"/>
      <c r="AC1103" s="247"/>
      <c r="AT1103" s="247"/>
    </row>
    <row r="1104">
      <c r="C1104" s="277"/>
      <c r="O1104" s="247"/>
      <c r="AC1104" s="247"/>
      <c r="AT1104" s="247"/>
    </row>
    <row r="1105">
      <c r="C1105" s="277"/>
      <c r="O1105" s="247"/>
      <c r="AC1105" s="247"/>
      <c r="AT1105" s="247"/>
    </row>
    <row r="1106">
      <c r="C1106" s="277"/>
      <c r="O1106" s="247"/>
      <c r="AC1106" s="247"/>
      <c r="AT1106" s="247"/>
    </row>
    <row r="1107">
      <c r="C1107" s="277"/>
      <c r="O1107" s="247"/>
      <c r="AC1107" s="247"/>
      <c r="AT1107" s="247"/>
    </row>
    <row r="1108">
      <c r="C1108" s="277"/>
      <c r="O1108" s="247"/>
      <c r="AC1108" s="247"/>
      <c r="AT1108" s="247"/>
    </row>
    <row r="1109">
      <c r="C1109" s="277"/>
      <c r="O1109" s="247"/>
      <c r="AC1109" s="247"/>
      <c r="AT1109" s="247"/>
    </row>
    <row r="1110">
      <c r="C1110" s="277"/>
      <c r="O1110" s="247"/>
      <c r="AC1110" s="247"/>
      <c r="AT1110" s="247"/>
    </row>
    <row r="1111">
      <c r="C1111" s="277"/>
      <c r="O1111" s="247"/>
      <c r="AC1111" s="247"/>
      <c r="AT1111" s="247"/>
    </row>
    <row r="1112">
      <c r="C1112" s="277"/>
      <c r="O1112" s="247"/>
      <c r="AC1112" s="247"/>
      <c r="AT1112" s="247"/>
    </row>
    <row r="1113">
      <c r="C1113" s="277"/>
      <c r="O1113" s="247"/>
      <c r="AC1113" s="247"/>
      <c r="AT1113" s="247"/>
    </row>
    <row r="1114">
      <c r="C1114" s="277"/>
      <c r="O1114" s="247"/>
      <c r="AC1114" s="247"/>
      <c r="AT1114" s="247"/>
    </row>
    <row r="1115">
      <c r="C1115" s="277"/>
      <c r="O1115" s="247"/>
      <c r="AC1115" s="247"/>
      <c r="AT1115" s="247"/>
    </row>
    <row r="1116">
      <c r="C1116" s="277"/>
      <c r="O1116" s="247"/>
      <c r="AC1116" s="247"/>
      <c r="AT1116" s="247"/>
    </row>
    <row r="1117">
      <c r="C1117" s="277"/>
      <c r="O1117" s="247"/>
      <c r="AC1117" s="247"/>
      <c r="AT1117" s="247"/>
    </row>
    <row r="1118">
      <c r="C1118" s="277"/>
      <c r="O1118" s="247"/>
      <c r="AC1118" s="247"/>
      <c r="AT1118" s="247"/>
    </row>
    <row r="1119">
      <c r="C1119" s="277"/>
      <c r="O1119" s="247"/>
      <c r="AC1119" s="247"/>
      <c r="AT1119" s="247"/>
    </row>
    <row r="1120">
      <c r="C1120" s="277"/>
      <c r="O1120" s="247"/>
      <c r="AC1120" s="247"/>
      <c r="AT1120" s="247"/>
    </row>
    <row r="1121">
      <c r="C1121" s="277"/>
      <c r="O1121" s="247"/>
      <c r="AC1121" s="247"/>
      <c r="AT1121" s="247"/>
    </row>
    <row r="1122">
      <c r="C1122" s="277"/>
      <c r="O1122" s="247"/>
      <c r="AC1122" s="247"/>
      <c r="AT1122" s="247"/>
    </row>
    <row r="1123">
      <c r="C1123" s="277"/>
      <c r="O1123" s="247"/>
      <c r="AC1123" s="247"/>
      <c r="AT1123" s="247"/>
    </row>
    <row r="1124">
      <c r="C1124" s="277"/>
      <c r="O1124" s="247"/>
      <c r="AC1124" s="247"/>
      <c r="AT1124" s="247"/>
    </row>
    <row r="1125">
      <c r="C1125" s="277"/>
      <c r="O1125" s="247"/>
      <c r="AC1125" s="247"/>
      <c r="AT1125" s="247"/>
    </row>
    <row r="1126">
      <c r="C1126" s="277"/>
      <c r="O1126" s="247"/>
      <c r="AC1126" s="247"/>
      <c r="AT1126" s="247"/>
    </row>
    <row r="1127">
      <c r="C1127" s="277"/>
      <c r="O1127" s="247"/>
      <c r="AC1127" s="247"/>
      <c r="AT1127" s="247"/>
    </row>
    <row r="1128">
      <c r="C1128" s="277"/>
      <c r="O1128" s="247"/>
      <c r="AC1128" s="247"/>
      <c r="AT1128" s="247"/>
    </row>
    <row r="1129">
      <c r="C1129" s="277"/>
      <c r="O1129" s="247"/>
      <c r="AC1129" s="247"/>
      <c r="AT1129" s="247"/>
    </row>
    <row r="1130">
      <c r="C1130" s="277"/>
      <c r="O1130" s="247"/>
      <c r="AC1130" s="247"/>
      <c r="AT1130" s="247"/>
    </row>
    <row r="1131">
      <c r="C1131" s="277"/>
      <c r="O1131" s="247"/>
      <c r="AC1131" s="247"/>
      <c r="AT1131" s="247"/>
    </row>
    <row r="1132">
      <c r="C1132" s="277"/>
      <c r="O1132" s="247"/>
      <c r="AC1132" s="247"/>
      <c r="AT1132" s="247"/>
    </row>
    <row r="1133">
      <c r="C1133" s="277"/>
      <c r="O1133" s="247"/>
      <c r="AC1133" s="247"/>
      <c r="AT1133" s="247"/>
    </row>
    <row r="1134">
      <c r="C1134" s="277"/>
      <c r="O1134" s="247"/>
      <c r="AC1134" s="247"/>
      <c r="AT1134" s="247"/>
    </row>
    <row r="1135">
      <c r="C1135" s="277"/>
      <c r="O1135" s="247"/>
      <c r="AC1135" s="247"/>
      <c r="AT1135" s="247"/>
    </row>
    <row r="1136">
      <c r="C1136" s="277"/>
      <c r="O1136" s="247"/>
      <c r="AC1136" s="247"/>
      <c r="AT1136" s="247"/>
    </row>
    <row r="1137">
      <c r="C1137" s="277"/>
      <c r="O1137" s="247"/>
      <c r="AC1137" s="247"/>
      <c r="AT1137" s="247"/>
    </row>
    <row r="1138">
      <c r="C1138" s="277"/>
      <c r="O1138" s="247"/>
      <c r="AC1138" s="247"/>
      <c r="AT1138" s="247"/>
    </row>
    <row r="1139">
      <c r="C1139" s="277"/>
      <c r="O1139" s="247"/>
      <c r="AC1139" s="247"/>
      <c r="AT1139" s="247"/>
    </row>
    <row r="1140">
      <c r="C1140" s="277"/>
      <c r="O1140" s="247"/>
      <c r="AC1140" s="247"/>
      <c r="AT1140" s="247"/>
    </row>
    <row r="1141">
      <c r="C1141" s="277"/>
      <c r="O1141" s="247"/>
      <c r="AC1141" s="247"/>
      <c r="AT1141" s="247"/>
    </row>
    <row r="1142">
      <c r="C1142" s="277"/>
      <c r="O1142" s="247"/>
      <c r="AC1142" s="247"/>
      <c r="AT1142" s="247"/>
    </row>
    <row r="1143">
      <c r="C1143" s="277"/>
      <c r="O1143" s="247"/>
      <c r="AC1143" s="247"/>
      <c r="AT1143" s="247"/>
    </row>
    <row r="1144">
      <c r="C1144" s="277"/>
      <c r="O1144" s="247"/>
      <c r="AC1144" s="247"/>
      <c r="AT1144" s="247"/>
    </row>
    <row r="1145">
      <c r="C1145" s="277"/>
      <c r="O1145" s="247"/>
      <c r="AC1145" s="247"/>
      <c r="AT1145" s="247"/>
    </row>
    <row r="1146">
      <c r="C1146" s="277"/>
      <c r="O1146" s="247"/>
      <c r="AC1146" s="247"/>
      <c r="AT1146" s="247"/>
    </row>
    <row r="1147">
      <c r="C1147" s="277"/>
      <c r="O1147" s="247"/>
      <c r="AC1147" s="247"/>
      <c r="AT1147" s="247"/>
    </row>
    <row r="1148">
      <c r="C1148" s="277"/>
      <c r="O1148" s="247"/>
      <c r="AC1148" s="247"/>
      <c r="AT1148" s="247"/>
    </row>
    <row r="1149">
      <c r="C1149" s="277"/>
      <c r="O1149" s="247"/>
      <c r="AC1149" s="247"/>
      <c r="AT1149" s="247"/>
    </row>
    <row r="1150">
      <c r="C1150" s="277"/>
      <c r="O1150" s="247"/>
      <c r="AC1150" s="247"/>
      <c r="AT1150" s="247"/>
    </row>
    <row r="1151">
      <c r="C1151" s="277"/>
      <c r="O1151" s="247"/>
      <c r="AC1151" s="247"/>
      <c r="AT1151" s="247"/>
    </row>
    <row r="1152">
      <c r="C1152" s="277"/>
      <c r="O1152" s="247"/>
      <c r="AC1152" s="247"/>
      <c r="AT1152" s="247"/>
    </row>
    <row r="1153">
      <c r="C1153" s="277"/>
      <c r="O1153" s="247"/>
      <c r="AC1153" s="247"/>
      <c r="AT1153" s="247"/>
    </row>
    <row r="1154">
      <c r="C1154" s="277"/>
      <c r="O1154" s="247"/>
      <c r="AC1154" s="247"/>
      <c r="AT1154" s="247"/>
    </row>
    <row r="1155">
      <c r="C1155" s="277"/>
      <c r="O1155" s="247"/>
      <c r="AC1155" s="247"/>
      <c r="AT1155" s="247"/>
    </row>
    <row r="1156">
      <c r="C1156" s="277"/>
      <c r="O1156" s="247"/>
      <c r="AC1156" s="247"/>
      <c r="AT1156" s="247"/>
    </row>
    <row r="1157">
      <c r="C1157" s="277"/>
      <c r="O1157" s="247"/>
      <c r="AC1157" s="247"/>
      <c r="AT1157" s="247"/>
    </row>
    <row r="1158">
      <c r="C1158" s="277"/>
      <c r="O1158" s="247"/>
      <c r="AC1158" s="247"/>
      <c r="AT1158" s="247"/>
    </row>
    <row r="1159">
      <c r="C1159" s="277"/>
      <c r="O1159" s="247"/>
      <c r="AC1159" s="247"/>
      <c r="AT1159" s="247"/>
    </row>
    <row r="1160">
      <c r="C1160" s="277"/>
      <c r="O1160" s="247"/>
      <c r="AC1160" s="247"/>
      <c r="AT1160" s="247"/>
    </row>
    <row r="1161">
      <c r="C1161" s="277"/>
      <c r="O1161" s="247"/>
      <c r="AC1161" s="247"/>
      <c r="AT1161" s="247"/>
    </row>
    <row r="1162">
      <c r="C1162" s="277"/>
      <c r="O1162" s="247"/>
      <c r="AC1162" s="247"/>
      <c r="AT1162" s="247"/>
    </row>
    <row r="1163">
      <c r="C1163" s="277"/>
      <c r="O1163" s="247"/>
      <c r="AC1163" s="247"/>
      <c r="AT1163" s="247"/>
    </row>
    <row r="1164">
      <c r="C1164" s="277"/>
      <c r="O1164" s="247"/>
      <c r="AC1164" s="247"/>
      <c r="AT1164" s="247"/>
    </row>
    <row r="1165">
      <c r="C1165" s="277"/>
      <c r="O1165" s="247"/>
      <c r="AC1165" s="247"/>
      <c r="AT1165" s="247"/>
    </row>
    <row r="1166">
      <c r="C1166" s="277"/>
      <c r="O1166" s="247"/>
      <c r="AC1166" s="247"/>
      <c r="AT1166" s="247"/>
    </row>
    <row r="1167">
      <c r="C1167" s="277"/>
      <c r="O1167" s="247"/>
      <c r="AC1167" s="247"/>
      <c r="AT1167" s="247"/>
    </row>
    <row r="1168">
      <c r="C1168" s="277"/>
      <c r="O1168" s="247"/>
      <c r="AC1168" s="247"/>
      <c r="AT1168" s="247"/>
    </row>
    <row r="1169">
      <c r="C1169" s="277"/>
      <c r="O1169" s="247"/>
      <c r="AC1169" s="247"/>
      <c r="AT1169" s="247"/>
    </row>
    <row r="1170">
      <c r="C1170" s="277"/>
      <c r="O1170" s="247"/>
      <c r="AC1170" s="247"/>
      <c r="AT1170" s="247"/>
    </row>
    <row r="1171">
      <c r="C1171" s="277"/>
      <c r="O1171" s="247"/>
      <c r="AC1171" s="247"/>
      <c r="AT1171" s="247"/>
    </row>
    <row r="1172">
      <c r="C1172" s="277"/>
      <c r="O1172" s="247"/>
      <c r="AC1172" s="247"/>
      <c r="AT1172" s="247"/>
    </row>
    <row r="1173">
      <c r="C1173" s="277"/>
      <c r="O1173" s="247"/>
      <c r="AC1173" s="247"/>
      <c r="AT1173" s="247"/>
    </row>
    <row r="1174">
      <c r="C1174" s="277"/>
      <c r="O1174" s="247"/>
      <c r="AC1174" s="247"/>
      <c r="AT1174" s="247"/>
    </row>
    <row r="1175">
      <c r="C1175" s="277"/>
      <c r="O1175" s="247"/>
      <c r="AC1175" s="247"/>
      <c r="AT1175" s="247"/>
    </row>
    <row r="1176">
      <c r="C1176" s="277"/>
      <c r="O1176" s="247"/>
      <c r="AC1176" s="247"/>
      <c r="AT1176" s="247"/>
    </row>
    <row r="1177">
      <c r="C1177" s="277"/>
      <c r="O1177" s="247"/>
      <c r="AC1177" s="247"/>
      <c r="AT1177" s="247"/>
    </row>
    <row r="1178">
      <c r="C1178" s="277"/>
      <c r="O1178" s="247"/>
      <c r="AC1178" s="247"/>
      <c r="AT1178" s="247"/>
    </row>
    <row r="1179">
      <c r="C1179" s="277"/>
      <c r="O1179" s="247"/>
      <c r="AC1179" s="247"/>
      <c r="AT1179" s="247"/>
    </row>
    <row r="1180">
      <c r="C1180" s="277"/>
      <c r="O1180" s="247"/>
      <c r="AC1180" s="247"/>
      <c r="AT1180" s="247"/>
    </row>
    <row r="1181">
      <c r="C1181" s="277"/>
      <c r="O1181" s="247"/>
      <c r="AC1181" s="247"/>
      <c r="AT1181" s="247"/>
    </row>
    <row r="1182">
      <c r="C1182" s="277"/>
      <c r="O1182" s="247"/>
      <c r="AC1182" s="247"/>
      <c r="AT1182" s="247"/>
    </row>
    <row r="1183">
      <c r="C1183" s="277"/>
      <c r="O1183" s="247"/>
      <c r="AC1183" s="247"/>
      <c r="AT1183" s="247"/>
    </row>
    <row r="1184">
      <c r="C1184" s="277"/>
      <c r="O1184" s="247"/>
      <c r="AC1184" s="247"/>
      <c r="AT1184" s="247"/>
    </row>
    <row r="1185">
      <c r="C1185" s="277"/>
      <c r="O1185" s="247"/>
      <c r="AC1185" s="247"/>
      <c r="AT1185" s="247"/>
    </row>
    <row r="1186">
      <c r="C1186" s="277"/>
      <c r="O1186" s="247"/>
      <c r="AC1186" s="247"/>
      <c r="AT1186" s="247"/>
    </row>
    <row r="1187">
      <c r="C1187" s="277"/>
      <c r="O1187" s="247"/>
      <c r="AC1187" s="247"/>
      <c r="AT1187" s="247"/>
    </row>
    <row r="1188">
      <c r="C1188" s="277"/>
      <c r="O1188" s="247"/>
      <c r="AC1188" s="247"/>
      <c r="AT1188" s="247"/>
    </row>
    <row r="1189">
      <c r="C1189" s="277"/>
      <c r="O1189" s="247"/>
      <c r="AC1189" s="247"/>
      <c r="AT1189" s="247"/>
    </row>
    <row r="1190">
      <c r="C1190" s="277"/>
      <c r="O1190" s="247"/>
      <c r="AC1190" s="247"/>
      <c r="AT1190" s="247"/>
    </row>
    <row r="1191">
      <c r="C1191" s="277"/>
      <c r="O1191" s="247"/>
      <c r="AC1191" s="247"/>
      <c r="AT1191" s="247"/>
    </row>
    <row r="1192">
      <c r="C1192" s="277"/>
      <c r="O1192" s="247"/>
      <c r="AC1192" s="247"/>
      <c r="AT1192" s="247"/>
    </row>
    <row r="1193">
      <c r="C1193" s="277"/>
      <c r="O1193" s="247"/>
      <c r="AC1193" s="247"/>
      <c r="AT1193" s="247"/>
    </row>
    <row r="1194">
      <c r="C1194" s="277"/>
      <c r="O1194" s="247"/>
      <c r="AC1194" s="247"/>
      <c r="AT1194" s="247"/>
    </row>
    <row r="1195">
      <c r="C1195" s="277"/>
      <c r="O1195" s="247"/>
      <c r="AC1195" s="247"/>
      <c r="AT1195" s="247"/>
    </row>
    <row r="1196">
      <c r="C1196" s="277"/>
      <c r="O1196" s="247"/>
      <c r="AC1196" s="247"/>
      <c r="AT1196" s="247"/>
    </row>
    <row r="1197">
      <c r="C1197" s="277"/>
      <c r="O1197" s="247"/>
      <c r="AC1197" s="247"/>
      <c r="AT1197" s="247"/>
    </row>
    <row r="1198">
      <c r="C1198" s="277"/>
      <c r="O1198" s="247"/>
      <c r="AC1198" s="247"/>
      <c r="AT1198" s="247"/>
    </row>
    <row r="1199">
      <c r="C1199" s="277"/>
      <c r="O1199" s="247"/>
      <c r="AC1199" s="247"/>
      <c r="AT1199" s="247"/>
    </row>
    <row r="1200">
      <c r="C1200" s="277"/>
      <c r="O1200" s="247"/>
      <c r="AC1200" s="247"/>
      <c r="AT1200" s="247"/>
    </row>
    <row r="1201">
      <c r="C1201" s="277"/>
      <c r="O1201" s="247"/>
      <c r="AC1201" s="247"/>
      <c r="AT1201" s="247"/>
    </row>
    <row r="1202">
      <c r="C1202" s="277"/>
      <c r="O1202" s="247"/>
      <c r="AC1202" s="247"/>
      <c r="AT1202" s="247"/>
    </row>
    <row r="1203">
      <c r="C1203" s="277"/>
      <c r="O1203" s="247"/>
      <c r="AC1203" s="247"/>
      <c r="AT1203" s="247"/>
    </row>
    <row r="1204">
      <c r="C1204" s="277"/>
      <c r="O1204" s="247"/>
      <c r="AC1204" s="247"/>
      <c r="AT1204" s="247"/>
    </row>
    <row r="1205">
      <c r="C1205" s="277"/>
      <c r="O1205" s="247"/>
      <c r="AC1205" s="247"/>
      <c r="AT1205" s="247"/>
    </row>
    <row r="1206">
      <c r="C1206" s="277"/>
      <c r="O1206" s="247"/>
      <c r="AC1206" s="247"/>
      <c r="AT1206" s="247"/>
    </row>
    <row r="1207">
      <c r="C1207" s="277"/>
      <c r="O1207" s="247"/>
      <c r="AC1207" s="247"/>
      <c r="AT1207" s="247"/>
    </row>
    <row r="1208">
      <c r="C1208" s="277"/>
      <c r="O1208" s="247"/>
      <c r="AC1208" s="247"/>
      <c r="AT1208" s="247"/>
    </row>
    <row r="1209">
      <c r="C1209" s="277"/>
      <c r="O1209" s="247"/>
      <c r="AC1209" s="247"/>
      <c r="AT1209" s="247"/>
    </row>
    <row r="1210">
      <c r="C1210" s="277"/>
      <c r="O1210" s="247"/>
      <c r="AC1210" s="247"/>
      <c r="AT1210" s="247"/>
    </row>
    <row r="1211">
      <c r="C1211" s="277"/>
      <c r="O1211" s="247"/>
      <c r="AC1211" s="247"/>
      <c r="AT1211" s="247"/>
    </row>
    <row r="1212">
      <c r="C1212" s="277"/>
      <c r="O1212" s="247"/>
      <c r="AC1212" s="247"/>
      <c r="AT1212" s="247"/>
    </row>
    <row r="1213">
      <c r="C1213" s="277"/>
      <c r="O1213" s="247"/>
      <c r="AC1213" s="247"/>
      <c r="AT1213" s="247"/>
    </row>
    <row r="1214">
      <c r="C1214" s="277"/>
      <c r="O1214" s="247"/>
      <c r="AC1214" s="247"/>
      <c r="AT1214" s="247"/>
    </row>
    <row r="1215">
      <c r="C1215" s="277"/>
      <c r="O1215" s="247"/>
      <c r="AC1215" s="247"/>
      <c r="AT1215" s="247"/>
    </row>
    <row r="1216">
      <c r="C1216" s="277"/>
      <c r="O1216" s="247"/>
      <c r="AC1216" s="247"/>
      <c r="AT1216" s="247"/>
    </row>
    <row r="1217">
      <c r="C1217" s="277"/>
      <c r="O1217" s="247"/>
      <c r="AC1217" s="247"/>
      <c r="AT1217" s="247"/>
    </row>
    <row r="1218">
      <c r="C1218" s="277"/>
      <c r="O1218" s="247"/>
      <c r="AC1218" s="247"/>
      <c r="AT1218" s="247"/>
    </row>
    <row r="1219">
      <c r="C1219" s="277"/>
      <c r="O1219" s="247"/>
      <c r="AC1219" s="247"/>
      <c r="AT1219" s="247"/>
    </row>
    <row r="1220">
      <c r="C1220" s="277"/>
      <c r="O1220" s="247"/>
      <c r="AC1220" s="247"/>
      <c r="AT1220" s="247"/>
    </row>
    <row r="1221">
      <c r="C1221" s="277"/>
      <c r="O1221" s="247"/>
      <c r="AC1221" s="247"/>
      <c r="AT1221" s="247"/>
    </row>
    <row r="1222">
      <c r="C1222" s="277"/>
      <c r="O1222" s="247"/>
      <c r="AC1222" s="247"/>
      <c r="AT1222" s="247"/>
    </row>
    <row r="1223">
      <c r="C1223" s="277"/>
      <c r="O1223" s="247"/>
      <c r="AC1223" s="247"/>
      <c r="AT1223" s="247"/>
    </row>
    <row r="1224">
      <c r="C1224" s="277"/>
      <c r="O1224" s="247"/>
      <c r="AC1224" s="247"/>
      <c r="AT1224" s="247"/>
    </row>
    <row r="1225">
      <c r="C1225" s="277"/>
      <c r="O1225" s="247"/>
      <c r="AC1225" s="247"/>
      <c r="AT1225" s="247"/>
    </row>
    <row r="1226">
      <c r="C1226" s="277"/>
      <c r="O1226" s="247"/>
      <c r="AC1226" s="247"/>
      <c r="AT1226" s="247"/>
    </row>
    <row r="1227">
      <c r="C1227" s="277"/>
      <c r="O1227" s="247"/>
      <c r="AC1227" s="247"/>
      <c r="AT1227" s="247"/>
    </row>
    <row r="1228">
      <c r="C1228" s="277"/>
      <c r="O1228" s="247"/>
      <c r="AC1228" s="247"/>
      <c r="AT1228" s="247"/>
    </row>
    <row r="1229">
      <c r="C1229" s="277"/>
      <c r="O1229" s="247"/>
      <c r="AC1229" s="247"/>
      <c r="AT1229" s="247"/>
    </row>
    <row r="1230">
      <c r="C1230" s="277"/>
      <c r="O1230" s="247"/>
      <c r="AC1230" s="247"/>
      <c r="AT1230" s="247"/>
    </row>
    <row r="1231">
      <c r="C1231" s="277"/>
      <c r="O1231" s="247"/>
      <c r="AC1231" s="247"/>
      <c r="AT1231" s="247"/>
    </row>
    <row r="1232">
      <c r="C1232" s="277"/>
      <c r="O1232" s="247"/>
      <c r="AC1232" s="247"/>
      <c r="AT1232" s="247"/>
    </row>
    <row r="1233">
      <c r="C1233" s="277"/>
      <c r="O1233" s="247"/>
      <c r="AC1233" s="247"/>
      <c r="AT1233" s="247"/>
    </row>
    <row r="1234">
      <c r="C1234" s="277"/>
      <c r="O1234" s="247"/>
      <c r="AC1234" s="247"/>
      <c r="AT1234" s="247"/>
    </row>
    <row r="1235">
      <c r="C1235" s="277"/>
      <c r="O1235" s="247"/>
      <c r="AC1235" s="247"/>
      <c r="AT1235" s="247"/>
    </row>
    <row r="1236">
      <c r="C1236" s="277"/>
      <c r="O1236" s="247"/>
      <c r="AC1236" s="247"/>
      <c r="AT1236" s="247"/>
    </row>
    <row r="1237">
      <c r="C1237" s="277"/>
      <c r="O1237" s="247"/>
      <c r="AC1237" s="247"/>
      <c r="AT1237" s="247"/>
    </row>
    <row r="1238">
      <c r="C1238" s="277"/>
      <c r="O1238" s="247"/>
      <c r="AC1238" s="247"/>
      <c r="AT1238" s="247"/>
    </row>
    <row r="1239">
      <c r="C1239" s="277"/>
      <c r="O1239" s="247"/>
      <c r="AC1239" s="247"/>
      <c r="AT1239" s="247"/>
    </row>
    <row r="1240">
      <c r="C1240" s="277"/>
      <c r="O1240" s="247"/>
      <c r="AC1240" s="247"/>
      <c r="AT1240" s="247"/>
    </row>
    <row r="1241">
      <c r="C1241" s="277"/>
      <c r="O1241" s="247"/>
      <c r="AC1241" s="247"/>
      <c r="AT1241" s="247"/>
    </row>
    <row r="1242">
      <c r="C1242" s="277"/>
      <c r="O1242" s="247"/>
      <c r="AC1242" s="247"/>
      <c r="AT1242" s="247"/>
    </row>
    <row r="1243">
      <c r="C1243" s="277"/>
      <c r="O1243" s="247"/>
      <c r="AC1243" s="247"/>
      <c r="AT1243" s="247"/>
    </row>
    <row r="1244">
      <c r="C1244" s="277"/>
      <c r="O1244" s="247"/>
      <c r="AC1244" s="247"/>
      <c r="AT1244" s="247"/>
    </row>
    <row r="1245">
      <c r="C1245" s="277"/>
      <c r="O1245" s="247"/>
      <c r="AC1245" s="247"/>
      <c r="AT1245" s="247"/>
    </row>
    <row r="1246">
      <c r="C1246" s="277"/>
      <c r="O1246" s="247"/>
      <c r="AC1246" s="247"/>
      <c r="AT1246" s="247"/>
    </row>
    <row r="1247">
      <c r="C1247" s="277"/>
      <c r="O1247" s="247"/>
      <c r="AC1247" s="247"/>
      <c r="AT1247" s="247"/>
    </row>
    <row r="1248">
      <c r="C1248" s="277"/>
      <c r="O1248" s="247"/>
      <c r="AC1248" s="247"/>
      <c r="AT1248" s="247"/>
    </row>
    <row r="1249">
      <c r="C1249" s="277"/>
      <c r="O1249" s="247"/>
      <c r="AC1249" s="247"/>
      <c r="AT1249" s="247"/>
    </row>
    <row r="1250">
      <c r="C1250" s="277"/>
      <c r="O1250" s="247"/>
      <c r="AC1250" s="247"/>
      <c r="AT1250" s="247"/>
    </row>
    <row r="1251">
      <c r="C1251" s="277"/>
      <c r="O1251" s="247"/>
      <c r="AC1251" s="247"/>
      <c r="AT1251" s="247"/>
    </row>
    <row r="1252">
      <c r="C1252" s="277"/>
      <c r="O1252" s="247"/>
      <c r="AC1252" s="247"/>
      <c r="AT1252" s="247"/>
    </row>
    <row r="1253">
      <c r="C1253" s="277"/>
      <c r="O1253" s="247"/>
      <c r="AC1253" s="247"/>
      <c r="AT1253" s="247"/>
    </row>
    <row r="1254">
      <c r="C1254" s="277"/>
      <c r="O1254" s="247"/>
      <c r="AC1254" s="247"/>
      <c r="AT1254" s="247"/>
    </row>
    <row r="1255">
      <c r="C1255" s="277"/>
      <c r="O1255" s="247"/>
      <c r="AC1255" s="247"/>
      <c r="AT1255" s="247"/>
    </row>
    <row r="1256">
      <c r="C1256" s="277"/>
      <c r="O1256" s="247"/>
      <c r="AC1256" s="247"/>
      <c r="AT1256" s="247"/>
    </row>
    <row r="1257">
      <c r="C1257" s="277"/>
      <c r="O1257" s="247"/>
      <c r="AC1257" s="247"/>
      <c r="AT1257" s="247"/>
    </row>
    <row r="1258">
      <c r="C1258" s="277"/>
      <c r="O1258" s="247"/>
      <c r="AC1258" s="247"/>
      <c r="AT1258" s="247"/>
    </row>
    <row r="1259">
      <c r="C1259" s="277"/>
      <c r="O1259" s="247"/>
      <c r="AC1259" s="247"/>
      <c r="AT1259" s="247"/>
    </row>
    <row r="1260">
      <c r="C1260" s="277"/>
      <c r="O1260" s="247"/>
      <c r="AC1260" s="247"/>
      <c r="AT1260" s="247"/>
    </row>
    <row r="1261">
      <c r="C1261" s="277"/>
      <c r="O1261" s="247"/>
      <c r="AC1261" s="247"/>
      <c r="AT1261" s="247"/>
    </row>
    <row r="1262">
      <c r="C1262" s="277"/>
      <c r="O1262" s="247"/>
      <c r="AC1262" s="247"/>
      <c r="AT1262" s="247"/>
    </row>
    <row r="1263">
      <c r="C1263" s="277"/>
      <c r="O1263" s="247"/>
      <c r="AC1263" s="247"/>
      <c r="AT1263" s="247"/>
    </row>
    <row r="1264">
      <c r="C1264" s="277"/>
      <c r="O1264" s="247"/>
      <c r="AC1264" s="247"/>
      <c r="AT1264" s="247"/>
    </row>
    <row r="1265">
      <c r="C1265" s="277"/>
      <c r="O1265" s="247"/>
      <c r="AC1265" s="247"/>
      <c r="AT1265" s="247"/>
    </row>
    <row r="1266">
      <c r="C1266" s="277"/>
      <c r="O1266" s="247"/>
      <c r="AC1266" s="247"/>
      <c r="AT1266" s="247"/>
    </row>
    <row r="1267">
      <c r="C1267" s="277"/>
      <c r="O1267" s="247"/>
      <c r="AC1267" s="247"/>
      <c r="AT1267" s="247"/>
    </row>
    <row r="1268">
      <c r="C1268" s="277"/>
      <c r="O1268" s="247"/>
      <c r="AC1268" s="247"/>
      <c r="AT1268" s="247"/>
    </row>
    <row r="1269">
      <c r="C1269" s="277"/>
      <c r="O1269" s="247"/>
      <c r="AC1269" s="247"/>
      <c r="AT1269" s="247"/>
    </row>
    <row r="1270">
      <c r="C1270" s="277"/>
      <c r="O1270" s="247"/>
      <c r="AC1270" s="247"/>
      <c r="AT1270" s="247"/>
    </row>
    <row r="1271">
      <c r="C1271" s="277"/>
      <c r="O1271" s="247"/>
      <c r="AC1271" s="247"/>
      <c r="AT1271" s="247"/>
    </row>
    <row r="1272">
      <c r="C1272" s="277"/>
      <c r="O1272" s="247"/>
      <c r="AC1272" s="247"/>
      <c r="AT1272" s="247"/>
    </row>
    <row r="1273">
      <c r="C1273" s="277"/>
      <c r="O1273" s="247"/>
      <c r="AC1273" s="247"/>
      <c r="AT1273" s="247"/>
    </row>
    <row r="1274">
      <c r="C1274" s="277"/>
      <c r="O1274" s="247"/>
      <c r="AC1274" s="247"/>
      <c r="AT1274" s="247"/>
    </row>
    <row r="1275">
      <c r="C1275" s="277"/>
      <c r="O1275" s="247"/>
      <c r="AC1275" s="247"/>
      <c r="AT1275" s="247"/>
    </row>
    <row r="1276">
      <c r="C1276" s="277"/>
      <c r="O1276" s="247"/>
      <c r="AC1276" s="247"/>
      <c r="AT1276" s="247"/>
    </row>
    <row r="1277">
      <c r="C1277" s="277"/>
      <c r="O1277" s="247"/>
      <c r="AC1277" s="247"/>
      <c r="AT1277" s="247"/>
    </row>
    <row r="1278">
      <c r="C1278" s="277"/>
      <c r="O1278" s="247"/>
      <c r="AC1278" s="247"/>
      <c r="AT1278" s="247"/>
    </row>
    <row r="1279">
      <c r="C1279" s="277"/>
      <c r="O1279" s="247"/>
      <c r="AC1279" s="247"/>
      <c r="AT1279" s="247"/>
    </row>
    <row r="1280">
      <c r="C1280" s="277"/>
      <c r="O1280" s="247"/>
      <c r="AC1280" s="247"/>
      <c r="AT1280" s="247"/>
    </row>
    <row r="1281">
      <c r="C1281" s="277"/>
      <c r="O1281" s="247"/>
      <c r="AC1281" s="247"/>
      <c r="AT1281" s="247"/>
    </row>
    <row r="1282">
      <c r="C1282" s="277"/>
      <c r="O1282" s="247"/>
      <c r="AC1282" s="247"/>
      <c r="AT1282" s="247"/>
    </row>
    <row r="1283">
      <c r="C1283" s="277"/>
      <c r="O1283" s="247"/>
      <c r="AC1283" s="247"/>
      <c r="AT1283" s="247"/>
    </row>
    <row r="1284">
      <c r="C1284" s="277"/>
      <c r="O1284" s="247"/>
      <c r="AC1284" s="247"/>
      <c r="AT1284" s="247"/>
    </row>
    <row r="1285">
      <c r="C1285" s="277"/>
      <c r="O1285" s="247"/>
      <c r="AC1285" s="247"/>
      <c r="AT1285" s="247"/>
    </row>
    <row r="1286">
      <c r="C1286" s="277"/>
      <c r="O1286" s="247"/>
      <c r="AC1286" s="247"/>
      <c r="AT1286" s="247"/>
    </row>
    <row r="1287">
      <c r="C1287" s="277"/>
      <c r="O1287" s="247"/>
      <c r="AC1287" s="247"/>
      <c r="AT1287" s="247"/>
    </row>
    <row r="1288">
      <c r="C1288" s="277"/>
      <c r="O1288" s="247"/>
      <c r="AC1288" s="247"/>
      <c r="AT1288" s="247"/>
    </row>
    <row r="1289">
      <c r="C1289" s="277"/>
      <c r="O1289" s="247"/>
      <c r="AC1289" s="247"/>
      <c r="AT1289" s="247"/>
    </row>
    <row r="1290">
      <c r="C1290" s="277"/>
      <c r="O1290" s="247"/>
      <c r="AC1290" s="247"/>
      <c r="AT1290" s="247"/>
    </row>
    <row r="1291">
      <c r="C1291" s="277"/>
      <c r="O1291" s="247"/>
      <c r="AC1291" s="247"/>
      <c r="AT1291" s="247"/>
    </row>
    <row r="1292">
      <c r="C1292" s="277"/>
      <c r="O1292" s="247"/>
      <c r="AC1292" s="247"/>
      <c r="AT1292" s="247"/>
    </row>
    <row r="1293">
      <c r="C1293" s="277"/>
      <c r="O1293" s="247"/>
      <c r="AC1293" s="247"/>
      <c r="AT1293" s="247"/>
    </row>
    <row r="1294">
      <c r="C1294" s="277"/>
      <c r="O1294" s="247"/>
      <c r="AC1294" s="247"/>
      <c r="AT1294" s="247"/>
    </row>
    <row r="1295">
      <c r="C1295" s="277"/>
      <c r="O1295" s="247"/>
      <c r="AC1295" s="247"/>
      <c r="AT1295" s="247"/>
    </row>
    <row r="1296">
      <c r="C1296" s="277"/>
      <c r="O1296" s="247"/>
      <c r="AC1296" s="247"/>
      <c r="AT1296" s="247"/>
    </row>
    <row r="1297">
      <c r="C1297" s="277"/>
      <c r="O1297" s="247"/>
      <c r="AC1297" s="247"/>
      <c r="AT1297" s="247"/>
    </row>
    <row r="1298">
      <c r="C1298" s="277"/>
      <c r="O1298" s="247"/>
      <c r="AC1298" s="247"/>
      <c r="AT1298" s="247"/>
    </row>
    <row r="1299">
      <c r="C1299" s="277"/>
      <c r="O1299" s="247"/>
      <c r="AC1299" s="247"/>
      <c r="AT1299" s="247"/>
    </row>
    <row r="1300">
      <c r="C1300" s="277"/>
      <c r="O1300" s="247"/>
      <c r="AC1300" s="247"/>
      <c r="AT1300" s="247"/>
    </row>
    <row r="1301">
      <c r="C1301" s="277"/>
      <c r="O1301" s="247"/>
      <c r="AC1301" s="247"/>
      <c r="AT1301" s="247"/>
    </row>
    <row r="1302">
      <c r="C1302" s="277"/>
      <c r="O1302" s="247"/>
      <c r="AC1302" s="247"/>
      <c r="AT1302" s="247"/>
    </row>
    <row r="1303">
      <c r="C1303" s="277"/>
      <c r="O1303" s="247"/>
      <c r="AC1303" s="247"/>
      <c r="AT1303" s="247"/>
    </row>
    <row r="1304">
      <c r="C1304" s="277"/>
      <c r="O1304" s="247"/>
      <c r="AC1304" s="247"/>
      <c r="AT1304" s="247"/>
    </row>
    <row r="1305">
      <c r="C1305" s="277"/>
      <c r="O1305" s="247"/>
      <c r="AC1305" s="247"/>
      <c r="AT1305" s="247"/>
    </row>
    <row r="1306">
      <c r="C1306" s="277"/>
      <c r="O1306" s="247"/>
      <c r="AC1306" s="247"/>
      <c r="AT1306" s="247"/>
    </row>
    <row r="1307">
      <c r="C1307" s="277"/>
      <c r="O1307" s="247"/>
      <c r="AC1307" s="247"/>
      <c r="AT1307" s="247"/>
    </row>
    <row r="1308">
      <c r="C1308" s="277"/>
      <c r="O1308" s="247"/>
      <c r="AC1308" s="247"/>
      <c r="AT1308" s="247"/>
    </row>
    <row r="1309">
      <c r="C1309" s="277"/>
      <c r="O1309" s="247"/>
      <c r="AC1309" s="247"/>
      <c r="AT1309" s="247"/>
    </row>
    <row r="1310">
      <c r="C1310" s="277"/>
      <c r="O1310" s="247"/>
      <c r="AC1310" s="247"/>
      <c r="AT1310" s="247"/>
    </row>
    <row r="1311">
      <c r="C1311" s="277"/>
      <c r="O1311" s="247"/>
      <c r="AC1311" s="247"/>
      <c r="AT1311" s="247"/>
    </row>
    <row r="1312">
      <c r="C1312" s="277"/>
      <c r="O1312" s="247"/>
      <c r="AC1312" s="247"/>
      <c r="AT1312" s="247"/>
    </row>
    <row r="1313">
      <c r="C1313" s="277"/>
      <c r="O1313" s="247"/>
      <c r="AC1313" s="247"/>
      <c r="AT1313" s="247"/>
    </row>
    <row r="1314">
      <c r="C1314" s="277"/>
      <c r="O1314" s="247"/>
      <c r="AC1314" s="247"/>
      <c r="AT1314" s="247"/>
    </row>
    <row r="1315">
      <c r="C1315" s="277"/>
      <c r="O1315" s="247"/>
      <c r="AC1315" s="247"/>
      <c r="AT1315" s="247"/>
    </row>
    <row r="1316">
      <c r="C1316" s="277"/>
      <c r="O1316" s="247"/>
      <c r="AC1316" s="247"/>
      <c r="AT1316" s="247"/>
    </row>
    <row r="1317">
      <c r="C1317" s="277"/>
      <c r="O1317" s="247"/>
      <c r="AC1317" s="247"/>
      <c r="AT1317" s="247"/>
    </row>
    <row r="1318">
      <c r="C1318" s="277"/>
      <c r="O1318" s="247"/>
      <c r="AC1318" s="247"/>
      <c r="AT1318" s="247"/>
    </row>
    <row r="1319">
      <c r="C1319" s="277"/>
      <c r="O1319" s="247"/>
      <c r="AC1319" s="247"/>
      <c r="AT1319" s="247"/>
    </row>
    <row r="1320">
      <c r="C1320" s="277"/>
      <c r="O1320" s="247"/>
      <c r="AC1320" s="247"/>
      <c r="AT1320" s="247"/>
    </row>
    <row r="1321">
      <c r="C1321" s="277"/>
      <c r="O1321" s="247"/>
      <c r="AC1321" s="247"/>
      <c r="AT1321" s="247"/>
    </row>
    <row r="1322">
      <c r="C1322" s="277"/>
      <c r="O1322" s="247"/>
      <c r="AC1322" s="247"/>
      <c r="AT1322" s="247"/>
    </row>
    <row r="1323">
      <c r="C1323" s="277"/>
      <c r="O1323" s="247"/>
      <c r="AC1323" s="247"/>
      <c r="AT1323" s="247"/>
    </row>
    <row r="1324">
      <c r="C1324" s="277"/>
      <c r="O1324" s="247"/>
      <c r="AC1324" s="247"/>
      <c r="AT1324" s="247"/>
    </row>
    <row r="1325">
      <c r="C1325" s="277"/>
      <c r="O1325" s="247"/>
      <c r="AC1325" s="247"/>
      <c r="AT1325" s="247"/>
    </row>
    <row r="1326">
      <c r="C1326" s="277"/>
      <c r="O1326" s="247"/>
      <c r="AC1326" s="247"/>
      <c r="AT1326" s="247"/>
    </row>
    <row r="1327">
      <c r="C1327" s="277"/>
      <c r="O1327" s="247"/>
      <c r="AC1327" s="247"/>
      <c r="AT1327" s="247"/>
    </row>
    <row r="1328">
      <c r="C1328" s="277"/>
      <c r="O1328" s="247"/>
      <c r="AC1328" s="247"/>
      <c r="AT1328" s="247"/>
    </row>
    <row r="1329">
      <c r="C1329" s="277"/>
      <c r="O1329" s="247"/>
      <c r="AC1329" s="247"/>
      <c r="AT1329" s="247"/>
    </row>
    <row r="1330">
      <c r="C1330" s="277"/>
      <c r="O1330" s="247"/>
      <c r="AC1330" s="247"/>
      <c r="AT1330" s="247"/>
    </row>
    <row r="1331">
      <c r="C1331" s="277"/>
      <c r="O1331" s="247"/>
      <c r="AC1331" s="247"/>
      <c r="AT1331" s="247"/>
    </row>
    <row r="1332">
      <c r="C1332" s="277"/>
      <c r="O1332" s="247"/>
      <c r="AC1332" s="247"/>
      <c r="AT1332" s="247"/>
    </row>
    <row r="1333">
      <c r="C1333" s="277"/>
      <c r="O1333" s="247"/>
      <c r="AC1333" s="247"/>
      <c r="AT1333" s="247"/>
    </row>
    <row r="1334">
      <c r="C1334" s="277"/>
      <c r="O1334" s="247"/>
      <c r="AC1334" s="247"/>
      <c r="AT1334" s="247"/>
    </row>
    <row r="1335">
      <c r="C1335" s="277"/>
      <c r="O1335" s="247"/>
      <c r="AC1335" s="247"/>
      <c r="AT1335" s="247"/>
    </row>
    <row r="1336">
      <c r="C1336" s="277"/>
      <c r="O1336" s="247"/>
      <c r="AC1336" s="247"/>
      <c r="AT1336" s="247"/>
    </row>
    <row r="1337">
      <c r="C1337" s="277"/>
      <c r="O1337" s="247"/>
      <c r="AC1337" s="247"/>
      <c r="AT1337" s="247"/>
    </row>
    <row r="1338">
      <c r="C1338" s="277"/>
      <c r="O1338" s="247"/>
      <c r="AC1338" s="247"/>
      <c r="AT1338" s="247"/>
    </row>
    <row r="1339">
      <c r="C1339" s="277"/>
      <c r="O1339" s="247"/>
      <c r="AC1339" s="247"/>
      <c r="AT1339" s="247"/>
    </row>
    <row r="1340">
      <c r="C1340" s="277"/>
      <c r="O1340" s="247"/>
      <c r="AC1340" s="247"/>
      <c r="AT1340" s="247"/>
    </row>
    <row r="1341">
      <c r="C1341" s="277"/>
      <c r="O1341" s="247"/>
      <c r="AC1341" s="247"/>
      <c r="AT1341" s="247"/>
    </row>
    <row r="1342">
      <c r="C1342" s="277"/>
      <c r="O1342" s="247"/>
      <c r="AC1342" s="247"/>
      <c r="AT1342" s="247"/>
    </row>
    <row r="1343">
      <c r="C1343" s="277"/>
      <c r="O1343" s="247"/>
      <c r="AC1343" s="247"/>
      <c r="AT1343" s="247"/>
    </row>
    <row r="1344">
      <c r="C1344" s="277"/>
      <c r="O1344" s="247"/>
      <c r="AC1344" s="247"/>
      <c r="AT1344" s="247"/>
    </row>
    <row r="1345">
      <c r="C1345" s="277"/>
      <c r="O1345" s="247"/>
      <c r="AC1345" s="247"/>
      <c r="AT1345" s="247"/>
    </row>
    <row r="1346">
      <c r="C1346" s="277"/>
      <c r="O1346" s="247"/>
      <c r="AC1346" s="247"/>
      <c r="AT1346" s="247"/>
    </row>
    <row r="1347">
      <c r="C1347" s="277"/>
      <c r="O1347" s="247"/>
      <c r="AC1347" s="247"/>
      <c r="AT1347" s="247"/>
    </row>
    <row r="1348">
      <c r="C1348" s="277"/>
      <c r="O1348" s="247"/>
      <c r="AC1348" s="247"/>
      <c r="AT1348" s="247"/>
    </row>
    <row r="1349">
      <c r="C1349" s="277"/>
      <c r="O1349" s="247"/>
      <c r="AC1349" s="247"/>
      <c r="AT1349" s="247"/>
    </row>
    <row r="1350">
      <c r="C1350" s="277"/>
      <c r="O1350" s="247"/>
      <c r="AC1350" s="247"/>
      <c r="AT1350" s="247"/>
    </row>
    <row r="1351">
      <c r="C1351" s="277"/>
      <c r="O1351" s="247"/>
      <c r="AC1351" s="247"/>
      <c r="AT1351" s="247"/>
    </row>
    <row r="1352">
      <c r="C1352" s="277"/>
      <c r="O1352" s="247"/>
      <c r="AC1352" s="247"/>
      <c r="AT1352" s="247"/>
    </row>
    <row r="1353">
      <c r="C1353" s="277"/>
      <c r="O1353" s="247"/>
      <c r="AC1353" s="247"/>
      <c r="AT1353" s="247"/>
    </row>
    <row r="1354">
      <c r="C1354" s="277"/>
      <c r="O1354" s="247"/>
      <c r="AC1354" s="247"/>
      <c r="AT1354" s="247"/>
    </row>
    <row r="1355">
      <c r="C1355" s="277"/>
      <c r="O1355" s="247"/>
      <c r="AC1355" s="247"/>
      <c r="AT1355" s="247"/>
    </row>
    <row r="1356">
      <c r="C1356" s="277"/>
      <c r="O1356" s="247"/>
      <c r="AC1356" s="247"/>
      <c r="AT1356" s="247"/>
    </row>
    <row r="1357">
      <c r="C1357" s="277"/>
      <c r="O1357" s="247"/>
      <c r="AC1357" s="247"/>
      <c r="AT1357" s="247"/>
    </row>
    <row r="1358">
      <c r="C1358" s="277"/>
      <c r="O1358" s="247"/>
      <c r="AC1358" s="247"/>
      <c r="AT1358" s="247"/>
    </row>
    <row r="1359">
      <c r="C1359" s="277"/>
      <c r="O1359" s="247"/>
      <c r="AC1359" s="247"/>
      <c r="AT1359" s="247"/>
    </row>
    <row r="1360">
      <c r="C1360" s="277"/>
      <c r="O1360" s="247"/>
      <c r="AC1360" s="247"/>
      <c r="AT1360" s="247"/>
    </row>
    <row r="1361">
      <c r="C1361" s="277"/>
      <c r="O1361" s="247"/>
      <c r="AC1361" s="247"/>
      <c r="AT1361" s="247"/>
    </row>
    <row r="1362">
      <c r="C1362" s="277"/>
      <c r="O1362" s="247"/>
      <c r="AC1362" s="247"/>
      <c r="AT1362" s="247"/>
    </row>
    <row r="1363">
      <c r="C1363" s="277"/>
      <c r="O1363" s="247"/>
      <c r="AC1363" s="247"/>
      <c r="AT1363" s="247"/>
    </row>
    <row r="1364">
      <c r="C1364" s="277"/>
      <c r="O1364" s="247"/>
      <c r="AC1364" s="247"/>
      <c r="AT1364" s="247"/>
    </row>
    <row r="1365">
      <c r="C1365" s="277"/>
      <c r="O1365" s="247"/>
      <c r="AC1365" s="247"/>
      <c r="AT1365" s="247"/>
    </row>
    <row r="1366">
      <c r="C1366" s="277"/>
      <c r="O1366" s="247"/>
      <c r="AC1366" s="247"/>
      <c r="AT1366" s="247"/>
    </row>
    <row r="1367">
      <c r="C1367" s="277"/>
      <c r="O1367" s="247"/>
      <c r="AC1367" s="247"/>
      <c r="AT1367" s="247"/>
    </row>
    <row r="1368">
      <c r="C1368" s="277"/>
      <c r="O1368" s="247"/>
      <c r="AC1368" s="247"/>
      <c r="AT1368" s="247"/>
    </row>
    <row r="1369">
      <c r="C1369" s="277"/>
      <c r="O1369" s="247"/>
      <c r="AC1369" s="247"/>
      <c r="AT1369" s="247"/>
    </row>
    <row r="1370">
      <c r="C1370" s="277"/>
      <c r="O1370" s="247"/>
      <c r="AC1370" s="247"/>
      <c r="AT1370" s="247"/>
    </row>
    <row r="1371">
      <c r="C1371" s="277"/>
      <c r="O1371" s="247"/>
      <c r="AC1371" s="247"/>
      <c r="AT1371" s="247"/>
    </row>
    <row r="1372">
      <c r="C1372" s="277"/>
      <c r="O1372" s="247"/>
      <c r="AC1372" s="247"/>
      <c r="AT1372" s="247"/>
    </row>
    <row r="1373">
      <c r="C1373" s="277"/>
      <c r="O1373" s="247"/>
      <c r="AC1373" s="247"/>
      <c r="AT1373" s="247"/>
    </row>
    <row r="1374">
      <c r="C1374" s="277"/>
      <c r="O1374" s="247"/>
      <c r="AC1374" s="247"/>
      <c r="AT1374" s="247"/>
    </row>
    <row r="1375">
      <c r="C1375" s="277"/>
      <c r="O1375" s="247"/>
      <c r="AC1375" s="247"/>
      <c r="AT1375" s="247"/>
    </row>
    <row r="1376">
      <c r="C1376" s="277"/>
      <c r="O1376" s="247"/>
      <c r="AC1376" s="247"/>
      <c r="AT1376" s="247"/>
    </row>
    <row r="1377">
      <c r="C1377" s="277"/>
      <c r="O1377" s="247"/>
      <c r="AC1377" s="247"/>
      <c r="AT1377" s="247"/>
    </row>
    <row r="1378">
      <c r="C1378" s="277"/>
      <c r="O1378" s="247"/>
      <c r="AC1378" s="247"/>
      <c r="AT1378" s="247"/>
    </row>
    <row r="1379">
      <c r="C1379" s="277"/>
      <c r="O1379" s="247"/>
      <c r="AC1379" s="247"/>
      <c r="AT1379" s="247"/>
    </row>
    <row r="1380">
      <c r="C1380" s="277"/>
      <c r="O1380" s="247"/>
      <c r="AC1380" s="247"/>
      <c r="AT1380" s="247"/>
    </row>
    <row r="1381">
      <c r="C1381" s="277"/>
      <c r="O1381" s="247"/>
      <c r="AC1381" s="247"/>
      <c r="AT1381" s="247"/>
    </row>
    <row r="1382">
      <c r="C1382" s="277"/>
      <c r="O1382" s="247"/>
      <c r="AC1382" s="247"/>
      <c r="AT1382" s="247"/>
    </row>
    <row r="1383">
      <c r="C1383" s="277"/>
      <c r="O1383" s="247"/>
      <c r="AC1383" s="247"/>
      <c r="AT1383" s="247"/>
    </row>
    <row r="1384">
      <c r="C1384" s="277"/>
      <c r="O1384" s="247"/>
      <c r="AC1384" s="247"/>
      <c r="AT1384" s="247"/>
    </row>
    <row r="1385">
      <c r="C1385" s="277"/>
      <c r="O1385" s="247"/>
      <c r="AC1385" s="247"/>
      <c r="AT1385" s="247"/>
    </row>
    <row r="1386">
      <c r="C1386" s="277"/>
      <c r="O1386" s="247"/>
      <c r="AC1386" s="247"/>
      <c r="AT1386" s="247"/>
    </row>
    <row r="1387">
      <c r="C1387" s="277"/>
      <c r="O1387" s="247"/>
      <c r="AC1387" s="247"/>
      <c r="AT1387" s="247"/>
    </row>
    <row r="1388">
      <c r="C1388" s="277"/>
      <c r="O1388" s="247"/>
      <c r="AC1388" s="247"/>
      <c r="AT1388" s="247"/>
    </row>
    <row r="1389">
      <c r="C1389" s="277"/>
      <c r="O1389" s="247"/>
      <c r="AC1389" s="247"/>
      <c r="AT1389" s="247"/>
    </row>
    <row r="1390">
      <c r="C1390" s="277"/>
      <c r="O1390" s="247"/>
      <c r="AC1390" s="247"/>
      <c r="AT1390" s="247"/>
    </row>
    <row r="1391">
      <c r="C1391" s="277"/>
      <c r="O1391" s="247"/>
      <c r="AC1391" s="247"/>
      <c r="AT1391" s="247"/>
    </row>
    <row r="1392">
      <c r="C1392" s="277"/>
      <c r="O1392" s="247"/>
      <c r="AC1392" s="247"/>
      <c r="AT1392" s="247"/>
    </row>
    <row r="1393">
      <c r="C1393" s="277"/>
      <c r="O1393" s="247"/>
      <c r="AC1393" s="247"/>
      <c r="AT1393" s="247"/>
    </row>
    <row r="1394">
      <c r="C1394" s="277"/>
      <c r="O1394" s="247"/>
      <c r="AC1394" s="247"/>
      <c r="AT1394" s="247"/>
    </row>
    <row r="1395">
      <c r="C1395" s="277"/>
      <c r="O1395" s="247"/>
      <c r="AC1395" s="247"/>
      <c r="AT1395" s="247"/>
    </row>
    <row r="1396">
      <c r="C1396" s="277"/>
      <c r="O1396" s="247"/>
      <c r="AC1396" s="247"/>
      <c r="AT1396" s="247"/>
    </row>
    <row r="1397">
      <c r="C1397" s="277"/>
      <c r="O1397" s="247"/>
      <c r="AC1397" s="247"/>
      <c r="AT1397" s="247"/>
    </row>
    <row r="1398">
      <c r="C1398" s="277"/>
      <c r="O1398" s="247"/>
      <c r="AC1398" s="247"/>
      <c r="AT1398" s="247"/>
    </row>
    <row r="1399">
      <c r="C1399" s="277"/>
      <c r="O1399" s="247"/>
      <c r="AC1399" s="247"/>
      <c r="AT1399" s="247"/>
    </row>
    <row r="1400">
      <c r="C1400" s="277"/>
      <c r="O1400" s="247"/>
      <c r="AC1400" s="247"/>
      <c r="AT1400" s="247"/>
    </row>
    <row r="1401">
      <c r="C1401" s="277"/>
      <c r="O1401" s="247"/>
      <c r="AC1401" s="247"/>
      <c r="AT1401" s="247"/>
    </row>
    <row r="1402">
      <c r="C1402" s="277"/>
      <c r="O1402" s="247"/>
      <c r="AC1402" s="247"/>
      <c r="AT1402" s="247"/>
    </row>
    <row r="1403">
      <c r="C1403" s="277"/>
      <c r="O1403" s="247"/>
      <c r="AC1403" s="247"/>
      <c r="AT1403" s="247"/>
    </row>
    <row r="1404">
      <c r="C1404" s="277"/>
      <c r="O1404" s="247"/>
      <c r="AC1404" s="247"/>
      <c r="AT1404" s="247"/>
    </row>
    <row r="1405">
      <c r="C1405" s="277"/>
      <c r="O1405" s="247"/>
      <c r="AC1405" s="247"/>
      <c r="AT1405" s="247"/>
    </row>
    <row r="1406">
      <c r="C1406" s="277"/>
      <c r="O1406" s="247"/>
      <c r="AC1406" s="247"/>
      <c r="AT1406" s="247"/>
    </row>
    <row r="1407">
      <c r="C1407" s="277"/>
      <c r="O1407" s="247"/>
      <c r="AC1407" s="247"/>
      <c r="AT1407" s="247"/>
    </row>
    <row r="1408">
      <c r="C1408" s="277"/>
      <c r="O1408" s="247"/>
      <c r="AC1408" s="247"/>
      <c r="AT1408" s="247"/>
    </row>
    <row r="1409">
      <c r="C1409" s="277"/>
      <c r="O1409" s="247"/>
      <c r="AC1409" s="247"/>
      <c r="AT1409" s="247"/>
    </row>
    <row r="1410">
      <c r="C1410" s="277"/>
      <c r="O1410" s="247"/>
      <c r="AC1410" s="247"/>
      <c r="AT1410" s="247"/>
    </row>
    <row r="1411">
      <c r="C1411" s="277"/>
      <c r="O1411" s="247"/>
      <c r="AC1411" s="247"/>
      <c r="AT1411" s="247"/>
    </row>
    <row r="1412">
      <c r="C1412" s="277"/>
      <c r="O1412" s="247"/>
      <c r="AC1412" s="247"/>
      <c r="AT1412" s="247"/>
    </row>
    <row r="1413">
      <c r="C1413" s="277"/>
      <c r="O1413" s="247"/>
      <c r="AC1413" s="247"/>
      <c r="AT1413" s="247"/>
    </row>
    <row r="1414">
      <c r="C1414" s="277"/>
      <c r="O1414" s="247"/>
      <c r="AC1414" s="247"/>
      <c r="AT1414" s="247"/>
    </row>
    <row r="1415">
      <c r="C1415" s="277"/>
      <c r="O1415" s="247"/>
      <c r="AC1415" s="247"/>
      <c r="AT1415" s="247"/>
    </row>
    <row r="1416">
      <c r="C1416" s="277"/>
      <c r="O1416" s="247"/>
      <c r="AC1416" s="247"/>
      <c r="AT1416" s="247"/>
    </row>
    <row r="1417">
      <c r="C1417" s="277"/>
      <c r="O1417" s="247"/>
      <c r="AC1417" s="247"/>
      <c r="AT1417" s="247"/>
    </row>
    <row r="1418">
      <c r="C1418" s="277"/>
      <c r="O1418" s="247"/>
      <c r="AC1418" s="247"/>
      <c r="AT1418" s="247"/>
    </row>
    <row r="1419">
      <c r="C1419" s="277"/>
      <c r="O1419" s="247"/>
      <c r="AC1419" s="247"/>
      <c r="AT1419" s="247"/>
    </row>
    <row r="1420">
      <c r="C1420" s="277"/>
      <c r="O1420" s="247"/>
      <c r="AC1420" s="247"/>
      <c r="AT1420" s="247"/>
    </row>
    <row r="1421">
      <c r="C1421" s="277"/>
      <c r="O1421" s="247"/>
      <c r="AC1421" s="247"/>
      <c r="AT1421" s="247"/>
    </row>
    <row r="1422">
      <c r="C1422" s="277"/>
      <c r="O1422" s="247"/>
      <c r="AC1422" s="247"/>
      <c r="AT1422" s="247"/>
    </row>
    <row r="1423">
      <c r="C1423" s="277"/>
      <c r="O1423" s="247"/>
      <c r="AC1423" s="247"/>
      <c r="AT1423" s="247"/>
    </row>
    <row r="1424">
      <c r="C1424" s="277"/>
      <c r="O1424" s="247"/>
      <c r="AC1424" s="247"/>
      <c r="AT1424" s="247"/>
    </row>
    <row r="1425">
      <c r="C1425" s="277"/>
      <c r="O1425" s="247"/>
      <c r="AC1425" s="247"/>
      <c r="AT1425" s="247"/>
    </row>
    <row r="1426">
      <c r="C1426" s="277"/>
      <c r="O1426" s="247"/>
      <c r="AC1426" s="247"/>
      <c r="AT1426" s="247"/>
    </row>
    <row r="1427">
      <c r="C1427" s="277"/>
      <c r="O1427" s="247"/>
      <c r="AC1427" s="247"/>
      <c r="AT1427" s="247"/>
    </row>
    <row r="1428">
      <c r="C1428" s="277"/>
      <c r="O1428" s="247"/>
      <c r="AC1428" s="247"/>
      <c r="AT1428" s="247"/>
    </row>
    <row r="1429">
      <c r="C1429" s="277"/>
      <c r="O1429" s="247"/>
      <c r="AC1429" s="247"/>
      <c r="AT1429" s="247"/>
    </row>
    <row r="1430">
      <c r="C1430" s="277"/>
      <c r="O1430" s="247"/>
      <c r="AC1430" s="247"/>
      <c r="AT1430" s="247"/>
    </row>
    <row r="1431">
      <c r="C1431" s="277"/>
      <c r="O1431" s="247"/>
      <c r="AC1431" s="247"/>
      <c r="AT1431" s="247"/>
    </row>
    <row r="1432">
      <c r="C1432" s="277"/>
      <c r="O1432" s="247"/>
      <c r="AC1432" s="247"/>
      <c r="AT1432" s="247"/>
    </row>
    <row r="1433">
      <c r="C1433" s="277"/>
      <c r="O1433" s="247"/>
      <c r="AC1433" s="247"/>
      <c r="AT1433" s="247"/>
    </row>
    <row r="1434">
      <c r="C1434" s="277"/>
      <c r="O1434" s="247"/>
      <c r="AC1434" s="247"/>
      <c r="AT1434" s="247"/>
    </row>
    <row r="1435">
      <c r="C1435" s="277"/>
      <c r="O1435" s="247"/>
      <c r="AC1435" s="247"/>
      <c r="AT1435" s="247"/>
    </row>
    <row r="1436">
      <c r="C1436" s="277"/>
      <c r="O1436" s="247"/>
      <c r="AC1436" s="247"/>
      <c r="AT1436" s="247"/>
    </row>
    <row r="1437">
      <c r="C1437" s="277"/>
      <c r="O1437" s="247"/>
      <c r="AC1437" s="247"/>
      <c r="AT1437" s="247"/>
    </row>
    <row r="1438">
      <c r="C1438" s="277"/>
      <c r="O1438" s="247"/>
      <c r="AC1438" s="247"/>
      <c r="AT1438" s="247"/>
    </row>
    <row r="1439">
      <c r="C1439" s="277"/>
      <c r="O1439" s="247"/>
      <c r="AC1439" s="247"/>
      <c r="AT1439" s="247"/>
    </row>
    <row r="1440">
      <c r="C1440" s="277"/>
      <c r="O1440" s="247"/>
      <c r="AC1440" s="247"/>
      <c r="AT1440" s="247"/>
    </row>
    <row r="1441">
      <c r="C1441" s="277"/>
      <c r="O1441" s="247"/>
      <c r="AC1441" s="247"/>
      <c r="AT1441" s="247"/>
    </row>
    <row r="1442">
      <c r="C1442" s="277"/>
      <c r="O1442" s="247"/>
      <c r="AC1442" s="247"/>
      <c r="AT1442" s="247"/>
    </row>
    <row r="1443">
      <c r="C1443" s="277"/>
      <c r="O1443" s="247"/>
      <c r="AC1443" s="247"/>
      <c r="AT1443" s="247"/>
    </row>
    <row r="1444">
      <c r="C1444" s="277"/>
      <c r="O1444" s="247"/>
      <c r="AC1444" s="247"/>
      <c r="AT1444" s="247"/>
    </row>
    <row r="1445">
      <c r="C1445" s="277"/>
      <c r="O1445" s="247"/>
      <c r="AC1445" s="247"/>
      <c r="AT1445" s="247"/>
    </row>
    <row r="1446">
      <c r="C1446" s="277"/>
      <c r="O1446" s="247"/>
      <c r="AC1446" s="247"/>
      <c r="AT1446" s="247"/>
    </row>
    <row r="1447">
      <c r="C1447" s="277"/>
      <c r="O1447" s="247"/>
      <c r="AC1447" s="247"/>
      <c r="AT1447" s="247"/>
    </row>
    <row r="1448">
      <c r="C1448" s="277"/>
      <c r="O1448" s="247"/>
      <c r="AC1448" s="247"/>
      <c r="AT1448" s="247"/>
    </row>
    <row r="1449">
      <c r="C1449" s="277"/>
      <c r="O1449" s="247"/>
      <c r="AC1449" s="247"/>
      <c r="AT1449" s="247"/>
    </row>
    <row r="1450">
      <c r="C1450" s="277"/>
      <c r="O1450" s="247"/>
      <c r="AC1450" s="247"/>
      <c r="AT1450" s="247"/>
    </row>
    <row r="1451">
      <c r="C1451" s="277"/>
      <c r="O1451" s="247"/>
      <c r="AC1451" s="247"/>
      <c r="AT1451" s="247"/>
    </row>
    <row r="1452">
      <c r="C1452" s="277"/>
      <c r="O1452" s="247"/>
      <c r="AC1452" s="247"/>
      <c r="AT1452" s="247"/>
    </row>
    <row r="1453">
      <c r="C1453" s="277"/>
      <c r="O1453" s="247"/>
      <c r="AC1453" s="247"/>
      <c r="AT1453" s="247"/>
    </row>
    <row r="1454">
      <c r="C1454" s="277"/>
      <c r="O1454" s="247"/>
      <c r="AC1454" s="247"/>
      <c r="AT1454" s="247"/>
    </row>
    <row r="1455">
      <c r="C1455" s="277"/>
      <c r="O1455" s="247"/>
      <c r="AC1455" s="247"/>
      <c r="AT1455" s="247"/>
    </row>
    <row r="1456">
      <c r="C1456" s="277"/>
      <c r="O1456" s="247"/>
      <c r="AC1456" s="247"/>
      <c r="AT1456" s="247"/>
    </row>
    <row r="1457">
      <c r="C1457" s="277"/>
      <c r="O1457" s="247"/>
      <c r="AC1457" s="247"/>
      <c r="AT1457" s="247"/>
    </row>
    <row r="1458">
      <c r="C1458" s="277"/>
      <c r="O1458" s="247"/>
      <c r="AC1458" s="247"/>
      <c r="AT1458" s="247"/>
    </row>
    <row r="1459">
      <c r="C1459" s="277"/>
      <c r="O1459" s="247"/>
      <c r="AC1459" s="247"/>
      <c r="AT1459" s="247"/>
    </row>
    <row r="1460">
      <c r="C1460" s="277"/>
      <c r="O1460" s="247"/>
      <c r="AC1460" s="247"/>
      <c r="AT1460" s="247"/>
    </row>
    <row r="1461">
      <c r="C1461" s="277"/>
      <c r="O1461" s="247"/>
      <c r="AC1461" s="247"/>
      <c r="AT1461" s="247"/>
    </row>
    <row r="1462">
      <c r="C1462" s="277"/>
      <c r="O1462" s="247"/>
      <c r="AC1462" s="247"/>
      <c r="AT1462" s="247"/>
    </row>
    <row r="1463">
      <c r="C1463" s="277"/>
      <c r="O1463" s="247"/>
      <c r="AC1463" s="247"/>
      <c r="AT1463" s="247"/>
    </row>
    <row r="1464">
      <c r="C1464" s="277"/>
      <c r="O1464" s="247"/>
      <c r="AC1464" s="247"/>
      <c r="AT1464" s="247"/>
    </row>
    <row r="1465">
      <c r="C1465" s="277"/>
      <c r="O1465" s="247"/>
      <c r="AC1465" s="247"/>
      <c r="AT1465" s="247"/>
    </row>
    <row r="1466">
      <c r="C1466" s="277"/>
      <c r="O1466" s="247"/>
      <c r="AC1466" s="247"/>
      <c r="AT1466" s="247"/>
    </row>
    <row r="1467">
      <c r="C1467" s="277"/>
      <c r="O1467" s="247"/>
      <c r="AC1467" s="247"/>
      <c r="AT1467" s="247"/>
    </row>
    <row r="1468">
      <c r="C1468" s="277"/>
      <c r="O1468" s="247"/>
      <c r="AC1468" s="247"/>
      <c r="AT1468" s="247"/>
    </row>
    <row r="1469">
      <c r="C1469" s="277"/>
      <c r="O1469" s="247"/>
      <c r="AC1469" s="247"/>
      <c r="AT1469" s="247"/>
    </row>
    <row r="1470">
      <c r="C1470" s="277"/>
      <c r="O1470" s="247"/>
      <c r="AC1470" s="247"/>
      <c r="AT1470" s="247"/>
    </row>
    <row r="1471">
      <c r="C1471" s="277"/>
      <c r="O1471" s="247"/>
      <c r="AC1471" s="247"/>
      <c r="AT1471" s="247"/>
    </row>
    <row r="1472">
      <c r="C1472" s="277"/>
      <c r="O1472" s="247"/>
      <c r="AC1472" s="247"/>
      <c r="AT1472" s="247"/>
    </row>
    <row r="1473">
      <c r="C1473" s="277"/>
      <c r="O1473" s="247"/>
      <c r="AC1473" s="247"/>
      <c r="AT1473" s="247"/>
    </row>
    <row r="1474">
      <c r="C1474" s="277"/>
      <c r="O1474" s="247"/>
      <c r="AC1474" s="247"/>
      <c r="AT1474" s="247"/>
    </row>
    <row r="1475">
      <c r="C1475" s="277"/>
      <c r="O1475" s="247"/>
      <c r="AC1475" s="247"/>
      <c r="AT1475" s="247"/>
    </row>
    <row r="1476">
      <c r="C1476" s="277"/>
      <c r="O1476" s="247"/>
      <c r="AC1476" s="247"/>
      <c r="AT1476" s="247"/>
    </row>
    <row r="1477">
      <c r="C1477" s="277"/>
      <c r="O1477" s="247"/>
      <c r="AC1477" s="247"/>
      <c r="AT1477" s="247"/>
    </row>
    <row r="1478">
      <c r="C1478" s="277"/>
      <c r="O1478" s="247"/>
      <c r="AC1478" s="247"/>
      <c r="AT1478" s="247"/>
    </row>
    <row r="1479">
      <c r="C1479" s="277"/>
      <c r="O1479" s="247"/>
      <c r="AC1479" s="247"/>
      <c r="AT1479" s="247"/>
    </row>
    <row r="1480">
      <c r="C1480" s="277"/>
      <c r="O1480" s="247"/>
      <c r="AC1480" s="247"/>
      <c r="AT1480" s="247"/>
    </row>
    <row r="1481">
      <c r="C1481" s="277"/>
      <c r="O1481" s="247"/>
      <c r="AC1481" s="247"/>
      <c r="AT1481" s="247"/>
    </row>
    <row r="1482">
      <c r="C1482" s="277"/>
      <c r="O1482" s="247"/>
      <c r="AC1482" s="247"/>
      <c r="AT1482" s="247"/>
    </row>
    <row r="1483">
      <c r="C1483" s="277"/>
      <c r="O1483" s="247"/>
      <c r="AC1483" s="247"/>
      <c r="AT1483" s="247"/>
    </row>
    <row r="1484">
      <c r="C1484" s="277"/>
      <c r="O1484" s="247"/>
      <c r="AC1484" s="247"/>
      <c r="AT1484" s="247"/>
    </row>
    <row r="1485">
      <c r="C1485" s="277"/>
      <c r="O1485" s="247"/>
      <c r="AC1485" s="247"/>
      <c r="AT1485" s="247"/>
    </row>
    <row r="1486">
      <c r="C1486" s="277"/>
      <c r="O1486" s="247"/>
      <c r="AC1486" s="247"/>
      <c r="AT1486" s="247"/>
    </row>
    <row r="1487">
      <c r="C1487" s="277"/>
      <c r="O1487" s="247"/>
      <c r="AC1487" s="247"/>
      <c r="AT1487" s="247"/>
    </row>
    <row r="1488">
      <c r="C1488" s="277"/>
      <c r="O1488" s="247"/>
      <c r="AC1488" s="247"/>
      <c r="AT1488" s="247"/>
    </row>
    <row r="1489">
      <c r="C1489" s="277"/>
      <c r="O1489" s="247"/>
      <c r="AC1489" s="247"/>
      <c r="AT1489" s="247"/>
    </row>
    <row r="1490">
      <c r="C1490" s="277"/>
      <c r="O1490" s="247"/>
      <c r="AC1490" s="247"/>
      <c r="AT1490" s="247"/>
    </row>
    <row r="1491">
      <c r="C1491" s="277"/>
      <c r="O1491" s="247"/>
      <c r="AC1491" s="247"/>
      <c r="AT1491" s="247"/>
    </row>
    <row r="1492">
      <c r="C1492" s="277"/>
      <c r="O1492" s="247"/>
      <c r="AC1492" s="247"/>
      <c r="AT1492" s="247"/>
    </row>
    <row r="1493">
      <c r="C1493" s="277"/>
      <c r="O1493" s="247"/>
      <c r="AC1493" s="247"/>
      <c r="AT1493" s="247"/>
    </row>
    <row r="1494">
      <c r="C1494" s="277"/>
      <c r="O1494" s="247"/>
      <c r="AC1494" s="247"/>
      <c r="AT1494" s="247"/>
    </row>
    <row r="1495">
      <c r="C1495" s="277"/>
      <c r="O1495" s="247"/>
      <c r="AC1495" s="247"/>
      <c r="AT1495" s="247"/>
    </row>
    <row r="1496">
      <c r="C1496" s="277"/>
      <c r="O1496" s="247"/>
      <c r="AC1496" s="247"/>
      <c r="AT1496" s="247"/>
    </row>
    <row r="1497">
      <c r="C1497" s="277"/>
      <c r="O1497" s="247"/>
      <c r="AC1497" s="247"/>
      <c r="AT1497" s="247"/>
    </row>
    <row r="1498">
      <c r="C1498" s="277"/>
      <c r="O1498" s="247"/>
      <c r="AC1498" s="247"/>
      <c r="AT1498" s="247"/>
    </row>
    <row r="1499">
      <c r="C1499" s="277"/>
      <c r="O1499" s="247"/>
      <c r="AC1499" s="247"/>
      <c r="AT1499" s="247"/>
    </row>
    <row r="1500">
      <c r="C1500" s="277"/>
      <c r="O1500" s="247"/>
      <c r="AC1500" s="247"/>
      <c r="AT1500" s="247"/>
    </row>
    <row r="1501">
      <c r="C1501" s="277"/>
      <c r="O1501" s="247"/>
      <c r="AC1501" s="247"/>
      <c r="AT1501" s="247"/>
    </row>
    <row r="1502">
      <c r="C1502" s="277"/>
      <c r="O1502" s="247"/>
      <c r="AC1502" s="247"/>
      <c r="AT1502" s="247"/>
    </row>
    <row r="1503">
      <c r="C1503" s="277"/>
      <c r="O1503" s="247"/>
      <c r="AC1503" s="247"/>
      <c r="AT1503" s="247"/>
    </row>
    <row r="1504">
      <c r="C1504" s="277"/>
      <c r="O1504" s="247"/>
      <c r="AC1504" s="247"/>
      <c r="AT1504" s="247"/>
    </row>
    <row r="1505">
      <c r="C1505" s="277"/>
      <c r="O1505" s="247"/>
      <c r="AC1505" s="247"/>
      <c r="AT1505" s="247"/>
    </row>
    <row r="1506">
      <c r="C1506" s="277"/>
      <c r="O1506" s="247"/>
      <c r="AC1506" s="247"/>
      <c r="AT1506" s="247"/>
    </row>
    <row r="1507">
      <c r="C1507" s="277"/>
      <c r="O1507" s="247"/>
      <c r="AC1507" s="247"/>
      <c r="AT1507" s="247"/>
    </row>
    <row r="1508">
      <c r="C1508" s="277"/>
      <c r="O1508" s="247"/>
      <c r="AC1508" s="247"/>
      <c r="AT1508" s="247"/>
    </row>
    <row r="1509">
      <c r="C1509" s="277"/>
      <c r="O1509" s="247"/>
      <c r="AC1509" s="247"/>
      <c r="AT1509" s="247"/>
    </row>
    <row r="1510">
      <c r="C1510" s="277"/>
      <c r="O1510" s="247"/>
      <c r="AC1510" s="247"/>
      <c r="AT1510" s="247"/>
    </row>
    <row r="1511">
      <c r="C1511" s="277"/>
      <c r="O1511" s="247"/>
      <c r="AC1511" s="247"/>
      <c r="AT1511" s="247"/>
    </row>
    <row r="1512">
      <c r="C1512" s="277"/>
      <c r="O1512" s="247"/>
      <c r="AC1512" s="247"/>
      <c r="AT1512" s="247"/>
    </row>
    <row r="1513">
      <c r="C1513" s="277"/>
      <c r="O1513" s="247"/>
      <c r="AC1513" s="247"/>
      <c r="AT1513" s="247"/>
    </row>
    <row r="1514">
      <c r="C1514" s="277"/>
      <c r="O1514" s="247"/>
      <c r="AC1514" s="247"/>
      <c r="AT1514" s="247"/>
    </row>
    <row r="1515">
      <c r="C1515" s="277"/>
      <c r="O1515" s="247"/>
      <c r="AC1515" s="247"/>
      <c r="AT1515" s="247"/>
    </row>
    <row r="1516">
      <c r="C1516" s="277"/>
      <c r="O1516" s="247"/>
      <c r="AC1516" s="247"/>
      <c r="AT1516" s="247"/>
    </row>
    <row r="1517">
      <c r="C1517" s="277"/>
      <c r="O1517" s="247"/>
      <c r="AC1517" s="247"/>
      <c r="AT1517" s="247"/>
    </row>
    <row r="1518">
      <c r="C1518" s="277"/>
      <c r="O1518" s="247"/>
      <c r="AC1518" s="247"/>
      <c r="AT1518" s="247"/>
    </row>
    <row r="1519">
      <c r="C1519" s="277"/>
      <c r="O1519" s="247"/>
      <c r="AC1519" s="247"/>
      <c r="AT1519" s="247"/>
    </row>
    <row r="1520">
      <c r="C1520" s="277"/>
      <c r="O1520" s="247"/>
      <c r="AC1520" s="247"/>
      <c r="AT1520" s="247"/>
    </row>
    <row r="1521">
      <c r="C1521" s="277"/>
      <c r="O1521" s="247"/>
      <c r="AC1521" s="247"/>
      <c r="AT1521" s="247"/>
    </row>
    <row r="1522">
      <c r="C1522" s="277"/>
      <c r="O1522" s="247"/>
      <c r="AC1522" s="247"/>
      <c r="AT1522" s="247"/>
    </row>
    <row r="1523">
      <c r="C1523" s="277"/>
      <c r="O1523" s="247"/>
      <c r="AC1523" s="247"/>
      <c r="AT1523" s="247"/>
    </row>
    <row r="1524">
      <c r="C1524" s="277"/>
      <c r="O1524" s="247"/>
      <c r="AC1524" s="247"/>
      <c r="AT1524" s="247"/>
    </row>
    <row r="1525">
      <c r="C1525" s="277"/>
      <c r="O1525" s="247"/>
      <c r="AC1525" s="247"/>
      <c r="AT1525" s="247"/>
    </row>
    <row r="1526">
      <c r="C1526" s="277"/>
      <c r="O1526" s="247"/>
      <c r="AC1526" s="247"/>
      <c r="AT1526" s="247"/>
    </row>
    <row r="1527">
      <c r="C1527" s="277"/>
      <c r="O1527" s="247"/>
      <c r="AC1527" s="247"/>
      <c r="AT1527" s="247"/>
    </row>
    <row r="1528">
      <c r="C1528" s="277"/>
      <c r="O1528" s="247"/>
      <c r="AC1528" s="247"/>
      <c r="AT1528" s="247"/>
    </row>
    <row r="1529">
      <c r="C1529" s="277"/>
      <c r="O1529" s="247"/>
      <c r="AC1529" s="247"/>
      <c r="AT1529" s="247"/>
    </row>
    <row r="1530">
      <c r="C1530" s="277"/>
      <c r="O1530" s="247"/>
      <c r="AC1530" s="247"/>
      <c r="AT1530" s="247"/>
    </row>
    <row r="1531">
      <c r="C1531" s="277"/>
      <c r="O1531" s="247"/>
      <c r="AC1531" s="247"/>
      <c r="AT1531" s="247"/>
    </row>
    <row r="1532">
      <c r="C1532" s="277"/>
      <c r="O1532" s="247"/>
      <c r="AC1532" s="247"/>
      <c r="AT1532" s="247"/>
    </row>
    <row r="1533">
      <c r="C1533" s="277"/>
      <c r="O1533" s="247"/>
      <c r="AC1533" s="247"/>
      <c r="AT1533" s="247"/>
    </row>
    <row r="1534">
      <c r="C1534" s="277"/>
      <c r="O1534" s="247"/>
      <c r="AC1534" s="247"/>
      <c r="AT1534" s="247"/>
    </row>
    <row r="1535">
      <c r="C1535" s="277"/>
      <c r="O1535" s="247"/>
      <c r="AC1535" s="247"/>
      <c r="AT1535" s="247"/>
    </row>
    <row r="1536">
      <c r="C1536" s="277"/>
      <c r="O1536" s="247"/>
      <c r="AC1536" s="247"/>
      <c r="AT1536" s="247"/>
    </row>
    <row r="1537">
      <c r="C1537" s="277"/>
      <c r="O1537" s="247"/>
      <c r="AC1537" s="247"/>
      <c r="AT1537" s="247"/>
    </row>
    <row r="1538">
      <c r="C1538" s="277"/>
      <c r="O1538" s="247"/>
      <c r="AC1538" s="247"/>
      <c r="AT1538" s="247"/>
    </row>
    <row r="1539">
      <c r="C1539" s="277"/>
      <c r="O1539" s="247"/>
      <c r="AC1539" s="247"/>
      <c r="AT1539" s="247"/>
    </row>
    <row r="1540">
      <c r="C1540" s="277"/>
      <c r="O1540" s="247"/>
      <c r="AC1540" s="247"/>
      <c r="AT1540" s="247"/>
    </row>
    <row r="1541">
      <c r="C1541" s="277"/>
      <c r="O1541" s="247"/>
      <c r="AC1541" s="247"/>
      <c r="AT1541" s="247"/>
    </row>
    <row r="1542">
      <c r="C1542" s="277"/>
      <c r="O1542" s="247"/>
      <c r="AC1542" s="247"/>
      <c r="AT1542" s="247"/>
    </row>
    <row r="1543">
      <c r="C1543" s="277"/>
      <c r="O1543" s="247"/>
      <c r="AC1543" s="247"/>
      <c r="AT1543" s="247"/>
    </row>
    <row r="1544">
      <c r="C1544" s="277"/>
      <c r="O1544" s="247"/>
      <c r="AC1544" s="247"/>
      <c r="AT1544" s="247"/>
    </row>
    <row r="1545">
      <c r="C1545" s="277"/>
      <c r="O1545" s="247"/>
      <c r="AC1545" s="247"/>
      <c r="AT1545" s="247"/>
    </row>
    <row r="1546">
      <c r="C1546" s="277"/>
      <c r="O1546" s="247"/>
      <c r="AC1546" s="247"/>
      <c r="AT1546" s="247"/>
    </row>
    <row r="1547">
      <c r="C1547" s="277"/>
      <c r="O1547" s="247"/>
      <c r="AC1547" s="247"/>
      <c r="AT1547" s="247"/>
    </row>
    <row r="1548">
      <c r="C1548" s="277"/>
      <c r="O1548" s="247"/>
      <c r="AC1548" s="247"/>
      <c r="AT1548" s="247"/>
    </row>
    <row r="1549">
      <c r="C1549" s="277"/>
      <c r="O1549" s="247"/>
      <c r="AC1549" s="247"/>
      <c r="AT1549" s="247"/>
    </row>
    <row r="1550">
      <c r="C1550" s="277"/>
      <c r="O1550" s="247"/>
      <c r="AC1550" s="247"/>
      <c r="AT1550" s="247"/>
    </row>
    <row r="1551">
      <c r="C1551" s="277"/>
      <c r="O1551" s="247"/>
      <c r="AC1551" s="247"/>
      <c r="AT1551" s="247"/>
    </row>
    <row r="1552">
      <c r="C1552" s="277"/>
      <c r="O1552" s="247"/>
      <c r="AC1552" s="247"/>
      <c r="AT1552" s="247"/>
    </row>
    <row r="1553">
      <c r="C1553" s="277"/>
      <c r="O1553" s="247"/>
      <c r="AC1553" s="247"/>
      <c r="AT1553" s="247"/>
    </row>
    <row r="1554">
      <c r="C1554" s="277"/>
      <c r="O1554" s="247"/>
      <c r="AC1554" s="247"/>
      <c r="AT1554" s="247"/>
    </row>
    <row r="1555">
      <c r="C1555" s="277"/>
      <c r="O1555" s="247"/>
      <c r="AC1555" s="247"/>
      <c r="AD1555" s="248" t="s">
        <v>208</v>
      </c>
      <c r="AT1555" s="247"/>
    </row>
    <row r="1556">
      <c r="C1556" s="277"/>
      <c r="O1556" s="247"/>
      <c r="AC1556" s="247"/>
      <c r="AD1556" s="246" t="s">
        <v>260</v>
      </c>
      <c r="AT1556" s="247"/>
    </row>
    <row r="1557">
      <c r="C1557" s="277"/>
      <c r="O1557" s="247"/>
      <c r="AC1557" s="247"/>
      <c r="AD1557" s="251" t="str">
        <f>IFERROR(__xludf.DUMMYFUNCTION("{FILTER('3. Unalloc Rec'!C3:O983, '3. Unalloc Rec'!H3:H983 = ""lisa""); QUERY(A3:M1000, ""select * where F = 'lisa'"", 0)}"),"73df5aae-f42a-49a0-9d8f-616ca6dbebaa")</f>
        <v>73df5aae-f42a-49a0-9d8f-616ca6dbebaa</v>
      </c>
      <c r="AE1557" s="251" t="str">
        <f>IFERROR(__xludf.DUMMYFUNCTION("""COMPUTED_VALUE"""),"0199816b-0e35-745a-bffb-2eb385b18f78")</f>
        <v>0199816b-0e35-745a-bffb-2eb385b18f78</v>
      </c>
      <c r="AF1557" s="252">
        <f>IFERROR(__xludf.DUMMYFUNCTION("""COMPUTED_VALUE"""),45925.63055555556)</f>
        <v>45925.63056</v>
      </c>
      <c r="AG1557" s="251" t="str">
        <f>IFERROR(__xludf.DUMMYFUNCTION("""COMPUTED_VALUE"""),"credit")</f>
        <v>credit</v>
      </c>
      <c r="AH1557" s="253" t="str">
        <f>IFERROR(__xludf.DUMMYFUNCTION("""COMPUTED_VALUE"""),"25.82")</f>
        <v>25.82</v>
      </c>
      <c r="AI1557" s="251" t="str">
        <f>IFERROR(__xludf.DUMMYFUNCTION("""COMPUTED_VALUE"""),"lisa")</f>
        <v>lisa</v>
      </c>
      <c r="AJ1557" s="251" t="str">
        <f>IFERROR(__xludf.DUMMYFUNCTION("""COMPUTED_VALUE"""),"b7a59586-5d10-4989-91c2-f2376c7a6ab2")</f>
        <v>b7a59586-5d10-4989-91c2-f2376c7a6ab2</v>
      </c>
      <c r="AK1557" s="251" t="str">
        <f>IFERROR(__xludf.DUMMYFUNCTION("""COMPUTED_VALUE"""),"8ecd675b-d3b5-4b51-9aee-fc2c558679b5")</f>
        <v>8ecd675b-d3b5-4b51-9aee-fc2c558679b5</v>
      </c>
      <c r="AL1557" s="251"/>
      <c r="AM1557" s="254"/>
      <c r="AN1557" s="211">
        <f>IFERROR(__xludf.DUMMYFUNCTION("""COMPUTED_VALUE"""),25.82)</f>
        <v>25.82</v>
      </c>
      <c r="AO1557" s="251"/>
      <c r="AP1557" s="252"/>
      <c r="AR1557" s="251" t="str">
        <f t="shared" ref="AR1557:AR1909" si="3">ROUND(VALUE(AH1557),2)&amp;"_"&amp;TRIM(LOWER(AG1557))</f>
        <v>25.82_credit</v>
      </c>
      <c r="AS1557" s="251" t="str">
        <f t="shared" ref="AS1557:AS1909" si="4">IF(AH1557="", "", LET(current_amt, ROUND(VALUE(AH1557), 2), current_dir, TRIM(LOWER(AG1557)), opposite_dir, IF(current_dir="credit", "debit", "credit"), occ, COUNTIFS($AH$3:AH1557, AH1557, $AG$3:AG1557, AG1557), opp_total, COUNTIFS($AH$3:$AH$5000, AH1557, $AG$3:$AG$5000, opposite_dir), IF(opp_total &gt;= occ, "DROP", "KEEP")))</f>
        <v>KEEP</v>
      </c>
      <c r="AT1557" s="247"/>
    </row>
    <row r="1558">
      <c r="C1558" s="277"/>
      <c r="O1558" s="247"/>
      <c r="AC1558" s="247"/>
      <c r="AD1558" s="251" t="str">
        <f>IFERROR(__xludf.DUMMYFUNCTION("""COMPUTED_VALUE"""),"73df5aae-f42a-49a0-9d8f-616ca6dbebaa")</f>
        <v>73df5aae-f42a-49a0-9d8f-616ca6dbebaa</v>
      </c>
      <c r="AE1558" s="251" t="str">
        <f>IFERROR(__xludf.DUMMYFUNCTION("""COMPUTED_VALUE"""),"019a265f-0027-7d29-8ff1-8f39f64358c1")</f>
        <v>019a265f-0027-7d29-8ff1-8f39f64358c1</v>
      </c>
      <c r="AF1558" s="252">
        <f>IFERROR(__xludf.DUMMYFUNCTION("""COMPUTED_VALUE"""),45957.66111111111)</f>
        <v>45957.66111</v>
      </c>
      <c r="AG1558" s="251" t="str">
        <f>IFERROR(__xludf.DUMMYFUNCTION("""COMPUTED_VALUE"""),"credit")</f>
        <v>credit</v>
      </c>
      <c r="AH1558" s="253" t="str">
        <f>IFERROR(__xludf.DUMMYFUNCTION("""COMPUTED_VALUE"""),"39.36")</f>
        <v>39.36</v>
      </c>
      <c r="AI1558" s="251" t="str">
        <f>IFERROR(__xludf.DUMMYFUNCTION("""COMPUTED_VALUE"""),"lisa")</f>
        <v>lisa</v>
      </c>
      <c r="AJ1558" s="251" t="str">
        <f>IFERROR(__xludf.DUMMYFUNCTION("""COMPUTED_VALUE"""),"b7a59586-5d10-4989-91c2-f2376c7a6ab2")</f>
        <v>b7a59586-5d10-4989-91c2-f2376c7a6ab2</v>
      </c>
      <c r="AK1558" s="251" t="str">
        <f>IFERROR(__xludf.DUMMYFUNCTION("""COMPUTED_VALUE"""),"7464d141-4aaa-46a8-ae96-c3c7997dfc03")</f>
        <v>7464d141-4aaa-46a8-ae96-c3c7997dfc03</v>
      </c>
      <c r="AL1558" s="251"/>
      <c r="AM1558" s="254"/>
      <c r="AN1558" s="211">
        <f>IFERROR(__xludf.DUMMYFUNCTION("""COMPUTED_VALUE"""),39.36)</f>
        <v>39.36</v>
      </c>
      <c r="AO1558" s="251"/>
      <c r="AP1558" s="252"/>
      <c r="AR1558" s="251" t="str">
        <f t="shared" si="3"/>
        <v>39.36_credit</v>
      </c>
      <c r="AS1558" s="251" t="str">
        <f t="shared" si="4"/>
        <v>KEEP</v>
      </c>
      <c r="AT1558" s="247"/>
    </row>
    <row r="1559">
      <c r="C1559" s="277"/>
      <c r="O1559" s="247"/>
      <c r="AC1559" s="247"/>
      <c r="AD1559" s="251" t="str">
        <f>IFERROR(__xludf.DUMMYFUNCTION("""COMPUTED_VALUE"""),"73df5aae-f42a-49a0-9d8f-616ca6dbebaa")</f>
        <v>73df5aae-f42a-49a0-9d8f-616ca6dbebaa</v>
      </c>
      <c r="AE1559" s="251" t="str">
        <f>IFERROR(__xludf.DUMMYFUNCTION("""COMPUTED_VALUE"""),"019c0522-3a07-719b-bcbd-b2f0eb14e013")</f>
        <v>019c0522-3a07-719b-bcbd-b2f0eb14e013</v>
      </c>
      <c r="AF1559" s="252">
        <f>IFERROR(__xludf.DUMMYFUNCTION("""COMPUTED_VALUE"""),46050.62777777778)</f>
        <v>46050.62778</v>
      </c>
      <c r="AG1559" s="251" t="str">
        <f>IFERROR(__xludf.DUMMYFUNCTION("""COMPUTED_VALUE"""),"credit")</f>
        <v>credit</v>
      </c>
      <c r="AH1559" s="253" t="str">
        <f>IFERROR(__xludf.DUMMYFUNCTION("""COMPUTED_VALUE"""),"1250.5")</f>
        <v>1250.5</v>
      </c>
      <c r="AI1559" s="251" t="str">
        <f>IFERROR(__xludf.DUMMYFUNCTION("""COMPUTED_VALUE"""),"lisa")</f>
        <v>lisa</v>
      </c>
      <c r="AJ1559" s="251" t="str">
        <f>IFERROR(__xludf.DUMMYFUNCTION("""COMPUTED_VALUE"""),"b7a59586-5d10-4989-91c2-f2376c7a6ab2")</f>
        <v>b7a59586-5d10-4989-91c2-f2376c7a6ab2</v>
      </c>
      <c r="AK1559" s="251" t="str">
        <f>IFERROR(__xludf.DUMMYFUNCTION("""COMPUTED_VALUE"""),"7464d141-4aaa-46a8-ae96-c3c7997dfc03")</f>
        <v>7464d141-4aaa-46a8-ae96-c3c7997dfc03</v>
      </c>
      <c r="AL1559" s="251"/>
      <c r="AM1559" s="254"/>
      <c r="AN1559" s="211">
        <f>IFERROR(__xludf.DUMMYFUNCTION("""COMPUTED_VALUE"""),1250.5)</f>
        <v>1250.5</v>
      </c>
      <c r="AO1559" s="251"/>
      <c r="AP1559" s="252"/>
      <c r="AR1559" s="251" t="str">
        <f t="shared" si="3"/>
        <v>1250.5_credit</v>
      </c>
      <c r="AS1559" s="251" t="str">
        <f t="shared" si="4"/>
        <v>KEEP</v>
      </c>
      <c r="AT1559" s="247"/>
    </row>
    <row r="1560">
      <c r="C1560" s="277"/>
      <c r="O1560" s="247"/>
      <c r="AC1560" s="247"/>
      <c r="AD1560" s="251" t="str">
        <f>IFERROR(__xludf.DUMMYFUNCTION("""COMPUTED_VALUE"""),"73df5aae-f42a-49a0-9d8f-616ca6dbebaa")</f>
        <v>73df5aae-f42a-49a0-9d8f-616ca6dbebaa</v>
      </c>
      <c r="AE1560" s="251" t="str">
        <f>IFERROR(__xludf.DUMMYFUNCTION("""COMPUTED_VALUE"""),"019c9e6e-9ac8-7b3e-a27b-af919f6932b8")</f>
        <v>019c9e6e-9ac8-7b3e-a27b-af919f6932b8</v>
      </c>
      <c r="AF1560" s="252">
        <f>IFERROR(__xludf.DUMMYFUNCTION("""COMPUTED_VALUE"""),46080.39513888889)</f>
        <v>46080.39514</v>
      </c>
      <c r="AG1560" s="251" t="str">
        <f>IFERROR(__xludf.DUMMYFUNCTION("""COMPUTED_VALUE"""),"credit")</f>
        <v>credit</v>
      </c>
      <c r="AH1560" s="253" t="str">
        <f>IFERROR(__xludf.DUMMYFUNCTION("""COMPUTED_VALUE"""),"2509.51")</f>
        <v>2509.51</v>
      </c>
      <c r="AI1560" s="251" t="str">
        <f>IFERROR(__xludf.DUMMYFUNCTION("""COMPUTED_VALUE"""),"lisa")</f>
        <v>lisa</v>
      </c>
      <c r="AJ1560" s="251" t="str">
        <f>IFERROR(__xludf.DUMMYFUNCTION("""COMPUTED_VALUE"""),"b7a59586-5d10-4989-91c2-f2376c7a6ab2")</f>
        <v>b7a59586-5d10-4989-91c2-f2376c7a6ab2</v>
      </c>
      <c r="AK1560" s="251" t="str">
        <f>IFERROR(__xludf.DUMMYFUNCTION("""COMPUTED_VALUE"""),"7464d141-4aaa-46a8-ae96-c3c7997dfc03")</f>
        <v>7464d141-4aaa-46a8-ae96-c3c7997dfc03</v>
      </c>
      <c r="AL1560" s="251"/>
      <c r="AM1560" s="254"/>
      <c r="AN1560" s="211">
        <f>IFERROR(__xludf.DUMMYFUNCTION("""COMPUTED_VALUE"""),2168.01)</f>
        <v>2168.01</v>
      </c>
      <c r="AO1560" s="251"/>
      <c r="AP1560" s="252"/>
      <c r="AR1560" s="251" t="str">
        <f t="shared" si="3"/>
        <v>2509.51_credit</v>
      </c>
      <c r="AS1560" s="251" t="str">
        <f t="shared" si="4"/>
        <v>KEEP</v>
      </c>
      <c r="AT1560" s="247"/>
    </row>
    <row r="1561">
      <c r="C1561" s="277"/>
      <c r="O1561" s="247"/>
      <c r="AC1561" s="247"/>
      <c r="AD1561" s="251" t="str">
        <f>IFERROR(__xludf.DUMMYFUNCTION("""COMPUTED_VALUE"""),"73df5aae-f42a-49a0-9d8f-616ca6dbebaa")</f>
        <v>73df5aae-f42a-49a0-9d8f-616ca6dbebaa</v>
      </c>
      <c r="AE1561" s="251" t="str">
        <f>IFERROR(__xludf.DUMMYFUNCTION("""COMPUTED_VALUE"""),"019e986b-6909-779a-852a-fdf77fb1f880")</f>
        <v>019e986b-6909-779a-852a-fdf77fb1f880</v>
      </c>
      <c r="AF1561" s="261">
        <f>IFERROR(__xludf.DUMMYFUNCTION("""COMPUTED_VALUE"""),46178.64857638889)</f>
        <v>46178.64858</v>
      </c>
      <c r="AG1561" s="251" t="str">
        <f>IFERROR(__xludf.DUMMYFUNCTION("""COMPUTED_VALUE"""),"credit")</f>
        <v>credit</v>
      </c>
      <c r="AH1561" s="251">
        <f>IFERROR(__xludf.DUMMYFUNCTION("""COMPUTED_VALUE"""),13.99)</f>
        <v>13.99</v>
      </c>
      <c r="AI1561" s="251" t="str">
        <f>IFERROR(__xludf.DUMMYFUNCTION("""COMPUTED_VALUE"""),"lisa")</f>
        <v>lisa</v>
      </c>
      <c r="AJ1561" s="251" t="str">
        <f>IFERROR(__xludf.DUMMYFUNCTION("""COMPUTED_VALUE"""),"b7a59586-5d10-4989-91c2-f2376c7a6ab2")</f>
        <v>b7a59586-5d10-4989-91c2-f2376c7a6ab2</v>
      </c>
      <c r="AK1561" s="251" t="str">
        <f>IFERROR(__xludf.DUMMYFUNCTION("""COMPUTED_VALUE"""),"6e288a26-6f54-4606-af76-43cc91f9103c")</f>
        <v>6e288a26-6f54-4606-af76-43cc91f9103c</v>
      </c>
      <c r="AL1561" s="251" t="str">
        <f>IFERROR(__xludf.DUMMYFUNCTION("""COMPUTED_VALUE"""),"6e288a26-6f54-4606-af76-43cc91f9103c")</f>
        <v>6e288a26-6f54-4606-af76-43cc91f9103c</v>
      </c>
      <c r="AM1561" s="251" t="str">
        <f>IFERROR(__xludf.DUMMYFUNCTION("""COMPUTED_VALUE"""),"NOREF-190470356")</f>
        <v>NOREF-190470356</v>
      </c>
      <c r="AN1561" s="251">
        <f>IFERROR(__xludf.DUMMYFUNCTION("""COMPUTED_VALUE"""),13.99)</f>
        <v>13.99</v>
      </c>
      <c r="AO1561" s="251" t="str">
        <f>IFERROR(__xludf.DUMMYFUNCTION("""COMPUTED_VALUE"""),"payin")</f>
        <v>payin</v>
      </c>
      <c r="AP1561" s="261">
        <f>IFERROR(__xludf.DUMMYFUNCTION("""COMPUTED_VALUE"""),46177.47902777778)</f>
        <v>46177.47903</v>
      </c>
      <c r="AR1561" s="251" t="str">
        <f t="shared" si="3"/>
        <v>13.99_credit</v>
      </c>
      <c r="AS1561" s="251" t="str">
        <f t="shared" si="4"/>
        <v>KEEP</v>
      </c>
      <c r="AT1561" s="247"/>
    </row>
    <row r="1562">
      <c r="C1562" s="277"/>
      <c r="O1562" s="247"/>
      <c r="AC1562" s="247"/>
      <c r="AD1562" s="251" t="str">
        <f>IFERROR(__xludf.DUMMYFUNCTION("""COMPUTED_VALUE"""),"73df5aae-f42a-49a0-9d8f-616ca6dbebaa")</f>
        <v>73df5aae-f42a-49a0-9d8f-616ca6dbebaa</v>
      </c>
      <c r="AE1562" s="251" t="str">
        <f>IFERROR(__xludf.DUMMYFUNCTION("""COMPUTED_VALUE"""),"019ead2b-a847-7e9b-9cf2-ad8d1ba559ad")</f>
        <v>019ead2b-a847-7e9b-9cf2-ad8d1ba559ad</v>
      </c>
      <c r="AF1562" s="261">
        <f>IFERROR(__xludf.DUMMYFUNCTION("""COMPUTED_VALUE"""),46182.67800925926)</f>
        <v>46182.67801</v>
      </c>
      <c r="AG1562" s="251" t="str">
        <f>IFERROR(__xludf.DUMMYFUNCTION("""COMPUTED_VALUE"""),"credit")</f>
        <v>credit</v>
      </c>
      <c r="AH1562" s="251">
        <f>IFERROR(__xludf.DUMMYFUNCTION("""COMPUTED_VALUE"""),26032.55)</f>
        <v>26032.55</v>
      </c>
      <c r="AI1562" s="251" t="str">
        <f>IFERROR(__xludf.DUMMYFUNCTION("""COMPUTED_VALUE"""),"lisa")</f>
        <v>lisa</v>
      </c>
      <c r="AJ1562" s="251" t="str">
        <f>IFERROR(__xludf.DUMMYFUNCTION("""COMPUTED_VALUE"""),"b7a59586-5d10-4989-91c2-f2376c7a6ab2")</f>
        <v>b7a59586-5d10-4989-91c2-f2376c7a6ab2</v>
      </c>
      <c r="AK1562" s="251" t="str">
        <f>IFERROR(__xludf.DUMMYFUNCTION("""COMPUTED_VALUE"""),"ffe80a3e-ca2c-49f7-99e0-1fea99be39b5")</f>
        <v>ffe80a3e-ca2c-49f7-99e0-1fea99be39b5</v>
      </c>
      <c r="AL1562" s="251" t="str">
        <f>IFERROR(__xludf.DUMMYFUNCTION("""COMPUTED_VALUE"""),"ffe80a3e-ca2c-49f7-99e0-1fea99be39b5")</f>
        <v>ffe80a3e-ca2c-49f7-99e0-1fea99be39b5</v>
      </c>
      <c r="AM1562" s="251" t="str">
        <f>IFERROR(__xludf.DUMMYFUNCTION("""COMPUTED_VALUE"""),"RETURN-810653200")</f>
        <v>RETURN-810653200</v>
      </c>
      <c r="AN1562" s="251">
        <f>IFERROR(__xludf.DUMMYFUNCTION("""COMPUTED_VALUE"""),26032.55)</f>
        <v>26032.55</v>
      </c>
      <c r="AO1562" s="251" t="str">
        <f>IFERROR(__xludf.DUMMYFUNCTION("""COMPUTED_VALUE"""),"payin")</f>
        <v>payin</v>
      </c>
      <c r="AP1562" s="261">
        <f>IFERROR(__xludf.DUMMYFUNCTION("""COMPUTED_VALUE"""),46181.65377314815)</f>
        <v>46181.65377</v>
      </c>
      <c r="AR1562" s="251" t="str">
        <f t="shared" si="3"/>
        <v>26032.55_credit</v>
      </c>
      <c r="AS1562" s="251" t="str">
        <f t="shared" si="4"/>
        <v>KEEP</v>
      </c>
      <c r="AT1562" s="247"/>
    </row>
    <row r="1563">
      <c r="C1563" s="277"/>
      <c r="O1563" s="247"/>
      <c r="AC1563" s="247"/>
      <c r="AD1563" s="251" t="str">
        <f>IFERROR(__xludf.DUMMYFUNCTION("""COMPUTED_VALUE"""),"73df5aae-f42a-49a0-9d8f-616ca6dbebaa")</f>
        <v>73df5aae-f42a-49a0-9d8f-616ca6dbebaa</v>
      </c>
      <c r="AE1563" s="251" t="str">
        <f>IFERROR(__xludf.DUMMYFUNCTION("""COMPUTED_VALUE"""),"019eb0ad-e1f7-7848-a2f9-cb38e5c86b1d")</f>
        <v>019eb0ad-e1f7-7848-a2f9-cb38e5c86b1d</v>
      </c>
      <c r="AF1563" s="252">
        <f>IFERROR(__xludf.DUMMYFUNCTION("""COMPUTED_VALUE"""),46183.35932870371)</f>
        <v>46183.35933</v>
      </c>
      <c r="AG1563" s="251" t="str">
        <f>IFERROR(__xludf.DUMMYFUNCTION("""COMPUTED_VALUE"""),"credit")</f>
        <v>credit</v>
      </c>
      <c r="AH1563" s="251">
        <f>IFERROR(__xludf.DUMMYFUNCTION("""COMPUTED_VALUE"""),15963.49)</f>
        <v>15963.49</v>
      </c>
      <c r="AI1563" s="251" t="str">
        <f>IFERROR(__xludf.DUMMYFUNCTION("""COMPUTED_VALUE"""),"lisa")</f>
        <v>lisa</v>
      </c>
      <c r="AJ1563" s="251" t="str">
        <f>IFERROR(__xludf.DUMMYFUNCTION("""COMPUTED_VALUE"""),"b7a59586-5d10-4989-91c2-f2376c7a6ab2")</f>
        <v>b7a59586-5d10-4989-91c2-f2376c7a6ab2</v>
      </c>
      <c r="AK1563" s="251" t="str">
        <f>IFERROR(__xludf.DUMMYFUNCTION("""COMPUTED_VALUE"""),"429d3d03-20ce-4949-97bc-52dd443bc473")</f>
        <v>429d3d03-20ce-4949-97bc-52dd443bc473</v>
      </c>
      <c r="AL1563" s="251" t="str">
        <f>IFERROR(__xludf.DUMMYFUNCTION("""COMPUTED_VALUE"""),"429d3d03-20ce-4949-97bc-52dd443bc473")</f>
        <v>429d3d03-20ce-4949-97bc-52dd443bc473</v>
      </c>
      <c r="AM1563" s="251" t="str">
        <f>IFERROR(__xludf.DUMMYFUNCTION("""COMPUTED_VALUE"""),"NOREF-905760162")</f>
        <v>NOREF-905760162</v>
      </c>
      <c r="AN1563" s="251">
        <f>IFERROR(__xludf.DUMMYFUNCTION("""COMPUTED_VALUE"""),15963.49)</f>
        <v>15963.49</v>
      </c>
      <c r="AO1563" s="251" t="str">
        <f>IFERROR(__xludf.DUMMYFUNCTION("""COMPUTED_VALUE"""),"payin")</f>
        <v>payin</v>
      </c>
      <c r="AP1563" s="252">
        <f>IFERROR(__xludf.DUMMYFUNCTION("""COMPUTED_VALUE"""),46181.49357638889)</f>
        <v>46181.49358</v>
      </c>
      <c r="AR1563" s="251" t="str">
        <f t="shared" si="3"/>
        <v>15963.49_credit</v>
      </c>
      <c r="AS1563" s="251" t="str">
        <f t="shared" si="4"/>
        <v>KEEP</v>
      </c>
      <c r="AT1563" s="247"/>
    </row>
    <row r="1564">
      <c r="C1564" s="277"/>
      <c r="O1564" s="247"/>
      <c r="AC1564" s="247"/>
      <c r="AD1564" s="251" t="str">
        <f>IFERROR(__xludf.DUMMYFUNCTION("""COMPUTED_VALUE"""),"73df5aae-f42a-49a0-9d8f-616ca6dbebaa")</f>
        <v>73df5aae-f42a-49a0-9d8f-616ca6dbebaa</v>
      </c>
      <c r="AE1564" s="251" t="str">
        <f>IFERROR(__xludf.DUMMYFUNCTION("""COMPUTED_VALUE"""),"019eb2b6-0f93-7b2a-8031-39c79ca623c7")</f>
        <v>019eb2b6-0f93-7b2a-8031-39c79ca623c7</v>
      </c>
      <c r="AF1564" s="252">
        <f>IFERROR(__xludf.DUMMYFUNCTION("""COMPUTED_VALUE"""),46183.753900462965)</f>
        <v>46183.7539</v>
      </c>
      <c r="AG1564" s="251" t="str">
        <f>IFERROR(__xludf.DUMMYFUNCTION("""COMPUTED_VALUE"""),"credit")</f>
        <v>credit</v>
      </c>
      <c r="AH1564" s="251">
        <f>IFERROR(__xludf.DUMMYFUNCTION("""COMPUTED_VALUE"""),703.22)</f>
        <v>703.22</v>
      </c>
      <c r="AI1564" s="251" t="str">
        <f>IFERROR(__xludf.DUMMYFUNCTION("""COMPUTED_VALUE"""),"lisa")</f>
        <v>lisa</v>
      </c>
      <c r="AJ1564" s="251" t="str">
        <f>IFERROR(__xludf.DUMMYFUNCTION("""COMPUTED_VALUE"""),"b7a59586-5d10-4989-91c2-f2376c7a6ab2")</f>
        <v>b7a59586-5d10-4989-91c2-f2376c7a6ab2</v>
      </c>
      <c r="AK1564" s="251" t="str">
        <f>IFERROR(__xludf.DUMMYFUNCTION("""COMPUTED_VALUE"""),"04016f15-a048-4e2f-ab88-ad6abdf6ed72")</f>
        <v>04016f15-a048-4e2f-ab88-ad6abdf6ed72</v>
      </c>
      <c r="AL1564" s="251" t="str">
        <f>IFERROR(__xludf.DUMMYFUNCTION("""COMPUTED_VALUE"""),"04016f15-a048-4e2f-ab88-ad6abdf6ed72")</f>
        <v>04016f15-a048-4e2f-ab88-ad6abdf6ed72</v>
      </c>
      <c r="AM1564" s="251" t="str">
        <f>IFERROR(__xludf.DUMMYFUNCTION("""COMPUTED_VALUE"""),"FRESCO.21302.GFX.20-45732139")</f>
        <v>FRESCO.21302.GFX.20-45732139</v>
      </c>
      <c r="AN1564" s="251">
        <f>IFERROR(__xludf.DUMMYFUNCTION("""COMPUTED_VALUE"""),703.22)</f>
        <v>703.22</v>
      </c>
      <c r="AO1564" s="251" t="str">
        <f>IFERROR(__xludf.DUMMYFUNCTION("""COMPUTED_VALUE"""),"payin")</f>
        <v>payin</v>
      </c>
      <c r="AP1564" s="252">
        <f>IFERROR(__xludf.DUMMYFUNCTION("""COMPUTED_VALUE"""),46182.584872685184)</f>
        <v>46182.58487</v>
      </c>
      <c r="AR1564" s="251" t="str">
        <f t="shared" si="3"/>
        <v>703.22_credit</v>
      </c>
      <c r="AS1564" s="251" t="str">
        <f t="shared" si="4"/>
        <v>KEEP</v>
      </c>
      <c r="AT1564" s="247"/>
    </row>
    <row r="1565">
      <c r="C1565" s="277"/>
      <c r="O1565" s="247"/>
      <c r="AC1565" s="247"/>
      <c r="AD1565" s="251" t="str">
        <f>IFERROR(__xludf.DUMMYFUNCTION("""COMPUTED_VALUE"""),"73df5aae-f42a-49a0-9d8f-616ca6dbebaa")</f>
        <v>73df5aae-f42a-49a0-9d8f-616ca6dbebaa</v>
      </c>
      <c r="AE1565" s="251" t="str">
        <f>IFERROR(__xludf.DUMMYFUNCTION("""COMPUTED_VALUE"""),"019eb6b9-6a8d-73ef-87dc-cb539797754d")</f>
        <v>019eb6b9-6a8d-73ef-87dc-cb539797754d</v>
      </c>
      <c r="AF1565" s="261">
        <f>IFERROR(__xludf.DUMMYFUNCTION("""COMPUTED_VALUE"""),46184.533159722225)</f>
        <v>46184.53316</v>
      </c>
      <c r="AG1565" s="251" t="str">
        <f>IFERROR(__xludf.DUMMYFUNCTION("""COMPUTED_VALUE"""),"credit")</f>
        <v>credit</v>
      </c>
      <c r="AH1565" s="251">
        <f>IFERROR(__xludf.DUMMYFUNCTION("""COMPUTED_VALUE"""),108.26)</f>
        <v>108.26</v>
      </c>
      <c r="AI1565" s="251" t="str">
        <f>IFERROR(__xludf.DUMMYFUNCTION("""COMPUTED_VALUE"""),"lisa")</f>
        <v>lisa</v>
      </c>
      <c r="AJ1565" s="251" t="str">
        <f>IFERROR(__xludf.DUMMYFUNCTION("""COMPUTED_VALUE"""),"b7a59586-5d10-4989-91c2-f2376c7a6ab2")</f>
        <v>b7a59586-5d10-4989-91c2-f2376c7a6ab2</v>
      </c>
      <c r="AK1565" s="251" t="str">
        <f>IFERROR(__xludf.DUMMYFUNCTION("""COMPUTED_VALUE"""),"11ab5e3b-6091-443a-9edf-dd35b41adeb6")</f>
        <v>11ab5e3b-6091-443a-9edf-dd35b41adeb6</v>
      </c>
      <c r="AL1565" s="251" t="str">
        <f>IFERROR(__xludf.DUMMYFUNCTION("""COMPUTED_VALUE"""),"11ab5e3b-6091-443a-9edf-dd35b41adeb6")</f>
        <v>11ab5e3b-6091-443a-9edf-dd35b41adeb6</v>
      </c>
      <c r="AM1565" s="251" t="str">
        <f>IFERROR(__xludf.DUMMYFUNCTION("""COMPUTED_VALUE"""),"72FEE306a-571949853")</f>
        <v>72FEE306a-571949853</v>
      </c>
      <c r="AN1565" s="251">
        <f>IFERROR(__xludf.DUMMYFUNCTION("""COMPUTED_VALUE"""),108.26)</f>
        <v>108.26</v>
      </c>
      <c r="AO1565" s="251" t="str">
        <f>IFERROR(__xludf.DUMMYFUNCTION("""COMPUTED_VALUE"""),"payin")</f>
        <v>payin</v>
      </c>
      <c r="AP1565" s="261">
        <f>IFERROR(__xludf.DUMMYFUNCTION("""COMPUTED_VALUE"""),46183.39266203703)</f>
        <v>46183.39266</v>
      </c>
      <c r="AR1565" s="251" t="str">
        <f t="shared" si="3"/>
        <v>108.26_credit</v>
      </c>
      <c r="AS1565" s="251" t="str">
        <f t="shared" si="4"/>
        <v>KEEP</v>
      </c>
      <c r="AT1565" s="247"/>
    </row>
    <row r="1566">
      <c r="C1566" s="277"/>
      <c r="O1566" s="247"/>
      <c r="AC1566" s="247"/>
      <c r="AD1566" s="251" t="str">
        <f>IFERROR(__xludf.DUMMYFUNCTION("""COMPUTED_VALUE"""),"73df5aae-f42a-49a0-9d8f-616ca6dbebaa")</f>
        <v>73df5aae-f42a-49a0-9d8f-616ca6dbebaa</v>
      </c>
      <c r="AE1566" s="251" t="str">
        <f>IFERROR(__xludf.DUMMYFUNCTION("""COMPUTED_VALUE"""),"019ebcb7-d5e1-7bf7-b141-b8a6e63065d4")</f>
        <v>019ebcb7-d5e1-7bf7-b141-b8a6e63065d4</v>
      </c>
      <c r="AF1566" s="261">
        <f>IFERROR(__xludf.DUMMYFUNCTION("""COMPUTED_VALUE"""),46185.69704861111)</f>
        <v>46185.69705</v>
      </c>
      <c r="AG1566" s="251" t="str">
        <f>IFERROR(__xludf.DUMMYFUNCTION("""COMPUTED_VALUE"""),"credit")</f>
        <v>credit</v>
      </c>
      <c r="AH1566" s="251">
        <f>IFERROR(__xludf.DUMMYFUNCTION("""COMPUTED_VALUE"""),12949.42)</f>
        <v>12949.42</v>
      </c>
      <c r="AI1566" s="251" t="str">
        <f>IFERROR(__xludf.DUMMYFUNCTION("""COMPUTED_VALUE"""),"lisa")</f>
        <v>lisa</v>
      </c>
      <c r="AJ1566" s="251" t="str">
        <f>IFERROR(__xludf.DUMMYFUNCTION("""COMPUTED_VALUE"""),"b7a59586-5d10-4989-91c2-f2376c7a6ab2")</f>
        <v>b7a59586-5d10-4989-91c2-f2376c7a6ab2</v>
      </c>
      <c r="AK1566" s="251" t="str">
        <f>IFERROR(__xludf.DUMMYFUNCTION("""COMPUTED_VALUE"""),"70f1e299-11ac-4280-a6e2-1dc1137e001b")</f>
        <v>70f1e299-11ac-4280-a6e2-1dc1137e001b</v>
      </c>
      <c r="AL1566" s="251" t="str">
        <f>IFERROR(__xludf.DUMMYFUNCTION("""COMPUTED_VALUE"""),"70f1e299-11ac-4280-a6e2-1dc1137e001b")</f>
        <v>70f1e299-11ac-4280-a6e2-1dc1137e001b</v>
      </c>
      <c r="AM1566" s="251" t="str">
        <f>IFERROR(__xludf.DUMMYFUNCTION("""COMPUTED_VALUE"""),"NOREF-838618946")</f>
        <v>NOREF-838618946</v>
      </c>
      <c r="AN1566" s="251">
        <f>IFERROR(__xludf.DUMMYFUNCTION("""COMPUTED_VALUE"""),12949.42)</f>
        <v>12949.42</v>
      </c>
      <c r="AO1566" s="251" t="str">
        <f>IFERROR(__xludf.DUMMYFUNCTION("""COMPUTED_VALUE"""),"payin")</f>
        <v>payin</v>
      </c>
      <c r="AP1566" s="261">
        <f>IFERROR(__xludf.DUMMYFUNCTION("""COMPUTED_VALUE"""),46184.635046296295)</f>
        <v>46184.63505</v>
      </c>
      <c r="AR1566" s="251" t="str">
        <f t="shared" si="3"/>
        <v>12949.42_credit</v>
      </c>
      <c r="AS1566" s="251" t="str">
        <f t="shared" si="4"/>
        <v>KEEP</v>
      </c>
      <c r="AT1566" s="247"/>
    </row>
    <row r="1567">
      <c r="C1567" s="277"/>
      <c r="O1567" s="247"/>
      <c r="AC1567" s="247"/>
      <c r="AD1567" s="251" t="str">
        <f>IFERROR(__xludf.DUMMYFUNCTION("""COMPUTED_VALUE"""),"73df5aae-f42a-49a0-9d8f-616ca6dbebaa")</f>
        <v>73df5aae-f42a-49a0-9d8f-616ca6dbebaa</v>
      </c>
      <c r="AE1567" s="251" t="str">
        <f>IFERROR(__xludf.DUMMYFUNCTION("""COMPUTED_VALUE"""),"019ecc1e-fb7b-7adf-a1b5-209ce9f1e444")</f>
        <v>019ecc1e-fb7b-7adf-a1b5-209ce9f1e444</v>
      </c>
      <c r="AF1567" s="261">
        <f>IFERROR(__xludf.DUMMYFUNCTION("""COMPUTED_VALUE"""),46188.687997685185)</f>
        <v>46188.688</v>
      </c>
      <c r="AG1567" s="251" t="str">
        <f>IFERROR(__xludf.DUMMYFUNCTION("""COMPUTED_VALUE"""),"credit")</f>
        <v>credit</v>
      </c>
      <c r="AH1567" s="251">
        <f>IFERROR(__xludf.DUMMYFUNCTION("""COMPUTED_VALUE"""),56199.56)</f>
        <v>56199.56</v>
      </c>
      <c r="AI1567" s="251" t="str">
        <f>IFERROR(__xludf.DUMMYFUNCTION("""COMPUTED_VALUE"""),"lisa")</f>
        <v>lisa</v>
      </c>
      <c r="AJ1567" s="251" t="str">
        <f>IFERROR(__xludf.DUMMYFUNCTION("""COMPUTED_VALUE"""),"b7a59586-5d10-4989-91c2-f2376c7a6ab2")</f>
        <v>b7a59586-5d10-4989-91c2-f2376c7a6ab2</v>
      </c>
      <c r="AK1567" s="251" t="str">
        <f>IFERROR(__xludf.DUMMYFUNCTION("""COMPUTED_VALUE"""),"cc9da595-2186-4ffd-b8d8-6ec93cfb525a")</f>
        <v>cc9da595-2186-4ffd-b8d8-6ec93cfb525a</v>
      </c>
      <c r="AL1567" s="251" t="str">
        <f>IFERROR(__xludf.DUMMYFUNCTION("""COMPUTED_VALUE"""),"cc9da595-2186-4ffd-b8d8-6ec93cfb525a")</f>
        <v>cc9da595-2186-4ffd-b8d8-6ec93cfb525a</v>
      </c>
      <c r="AM1567" s="251" t="str">
        <f>IFERROR(__xludf.DUMMYFUNCTION("""COMPUTED_VALUE"""),"b413ebba-1125098511")</f>
        <v>b413ebba-1125098511</v>
      </c>
      <c r="AN1567" s="251">
        <f>IFERROR(__xludf.DUMMYFUNCTION("""COMPUTED_VALUE"""),56199.56)</f>
        <v>56199.56</v>
      </c>
      <c r="AO1567" s="251" t="str">
        <f>IFERROR(__xludf.DUMMYFUNCTION("""COMPUTED_VALUE"""),"payin")</f>
        <v>payin</v>
      </c>
      <c r="AP1567" s="261">
        <f>IFERROR(__xludf.DUMMYFUNCTION("""COMPUTED_VALUE"""),46185.09993055556)</f>
        <v>46185.09993</v>
      </c>
      <c r="AR1567" s="251" t="str">
        <f t="shared" si="3"/>
        <v>56199.56_credit</v>
      </c>
      <c r="AS1567" s="251" t="str">
        <f t="shared" si="4"/>
        <v>KEEP</v>
      </c>
      <c r="AT1567" s="247"/>
    </row>
    <row r="1568">
      <c r="C1568" s="277"/>
      <c r="O1568" s="247"/>
      <c r="AC1568" s="247"/>
      <c r="AD1568" s="251" t="str">
        <f>IFERROR(__xludf.DUMMYFUNCTION("""COMPUTED_VALUE"""),"73df5aae-f42a-49a0-9d8f-616ca6dbebaa")</f>
        <v>73df5aae-f42a-49a0-9d8f-616ca6dbebaa</v>
      </c>
      <c r="AE1568" s="251" t="str">
        <f>IFERROR(__xludf.DUMMYFUNCTION("""COMPUTED_VALUE"""),"019ecc1e-f9c0-7af4-98a2-f8ee6e2cc3bc")</f>
        <v>019ecc1e-f9c0-7af4-98a2-f8ee6e2cc3bc</v>
      </c>
      <c r="AF1568" s="261">
        <f>IFERROR(__xludf.DUMMYFUNCTION("""COMPUTED_VALUE"""),46188.687997685185)</f>
        <v>46188.688</v>
      </c>
      <c r="AG1568" s="251" t="str">
        <f>IFERROR(__xludf.DUMMYFUNCTION("""COMPUTED_VALUE"""),"credit")</f>
        <v>credit</v>
      </c>
      <c r="AH1568" s="251">
        <f>IFERROR(__xludf.DUMMYFUNCTION("""COMPUTED_VALUE"""),26992.22)</f>
        <v>26992.22</v>
      </c>
      <c r="AI1568" s="251" t="str">
        <f>IFERROR(__xludf.DUMMYFUNCTION("""COMPUTED_VALUE"""),"lisa")</f>
        <v>lisa</v>
      </c>
      <c r="AJ1568" s="251" t="str">
        <f>IFERROR(__xludf.DUMMYFUNCTION("""COMPUTED_VALUE"""),"b7a59586-5d10-4989-91c2-f2376c7a6ab2")</f>
        <v>b7a59586-5d10-4989-91c2-f2376c7a6ab2</v>
      </c>
      <c r="AK1568" s="251" t="str">
        <f>IFERROR(__xludf.DUMMYFUNCTION("""COMPUTED_VALUE"""),"ac9ac199-2324-4ca2-a5db-61b4463bb5e1")</f>
        <v>ac9ac199-2324-4ca2-a5db-61b4463bb5e1</v>
      </c>
      <c r="AL1568" s="251" t="str">
        <f>IFERROR(__xludf.DUMMYFUNCTION("""COMPUTED_VALUE"""),"ac9ac199-2324-4ca2-a5db-61b4463bb5e1")</f>
        <v>ac9ac199-2324-4ca2-a5db-61b4463bb5e1</v>
      </c>
      <c r="AM1568" s="251" t="str">
        <f>IFERROR(__xludf.DUMMYFUNCTION("""COMPUTED_VALUE"""),"5520f7fd-1754025676")</f>
        <v>5520f7fd-1754025676</v>
      </c>
      <c r="AN1568" s="251">
        <f>IFERROR(__xludf.DUMMYFUNCTION("""COMPUTED_VALUE"""),26992.22)</f>
        <v>26992.22</v>
      </c>
      <c r="AO1568" s="251" t="str">
        <f>IFERROR(__xludf.DUMMYFUNCTION("""COMPUTED_VALUE"""),"payin")</f>
        <v>payin</v>
      </c>
      <c r="AP1568" s="261">
        <f>IFERROR(__xludf.DUMMYFUNCTION("""COMPUTED_VALUE"""),46185.104837962965)</f>
        <v>46185.10484</v>
      </c>
      <c r="AR1568" s="251" t="str">
        <f t="shared" si="3"/>
        <v>26992.22_credit</v>
      </c>
      <c r="AS1568" s="251" t="str">
        <f t="shared" si="4"/>
        <v>KEEP</v>
      </c>
      <c r="AT1568" s="247"/>
    </row>
    <row r="1569">
      <c r="C1569" s="277"/>
      <c r="O1569" s="247"/>
      <c r="AC1569" s="247"/>
      <c r="AD1569" s="251" t="str">
        <f>IFERROR(__xludf.DUMMYFUNCTION("""COMPUTED_VALUE"""),"73df5aae-f42a-49a0-9d8f-616ca6dbebaa")</f>
        <v>73df5aae-f42a-49a0-9d8f-616ca6dbebaa</v>
      </c>
      <c r="AE1569" s="251" t="str">
        <f>IFERROR(__xludf.DUMMYFUNCTION("""COMPUTED_VALUE"""),"019ecc1e-fc07-76a6-ae0d-2b27455a3529")</f>
        <v>019ecc1e-fc07-76a6-ae0d-2b27455a3529</v>
      </c>
      <c r="AF1569" s="261">
        <f>IFERROR(__xludf.DUMMYFUNCTION("""COMPUTED_VALUE"""),46188.687997685185)</f>
        <v>46188.688</v>
      </c>
      <c r="AG1569" s="251" t="str">
        <f>IFERROR(__xludf.DUMMYFUNCTION("""COMPUTED_VALUE"""),"credit")</f>
        <v>credit</v>
      </c>
      <c r="AH1569" s="251">
        <f>IFERROR(__xludf.DUMMYFUNCTION("""COMPUTED_VALUE"""),5412.33)</f>
        <v>5412.33</v>
      </c>
      <c r="AI1569" s="251" t="str">
        <f>IFERROR(__xludf.DUMMYFUNCTION("""COMPUTED_VALUE"""),"lisa")</f>
        <v>lisa</v>
      </c>
      <c r="AJ1569" s="251" t="str">
        <f>IFERROR(__xludf.DUMMYFUNCTION("""COMPUTED_VALUE"""),"b7a59586-5d10-4989-91c2-f2376c7a6ab2")</f>
        <v>b7a59586-5d10-4989-91c2-f2376c7a6ab2</v>
      </c>
      <c r="AK1569" s="251" t="str">
        <f>IFERROR(__xludf.DUMMYFUNCTION("""COMPUTED_VALUE"""),"e3ede257-3bac-4de0-b9e1-bdf3a2e4663b")</f>
        <v>e3ede257-3bac-4de0-b9e1-bdf3a2e4663b</v>
      </c>
      <c r="AL1569" s="251" t="str">
        <f>IFERROR(__xludf.DUMMYFUNCTION("""COMPUTED_VALUE"""),"e3ede257-3bac-4de0-b9e1-bdf3a2e4663b")</f>
        <v>e3ede257-3bac-4de0-b9e1-bdf3a2e4663b</v>
      </c>
      <c r="AM1569" s="251" t="str">
        <f>IFERROR(__xludf.DUMMYFUNCTION("""COMPUTED_VALUE"""),"65FA81EB-1878983804")</f>
        <v>65FA81EB-1878983804</v>
      </c>
      <c r="AN1569" s="251">
        <f>IFERROR(__xludf.DUMMYFUNCTION("""COMPUTED_VALUE"""),5412.33)</f>
        <v>5412.33</v>
      </c>
      <c r="AO1569" s="251" t="str">
        <f>IFERROR(__xludf.DUMMYFUNCTION("""COMPUTED_VALUE"""),"payin")</f>
        <v>payin</v>
      </c>
      <c r="AP1569" s="261">
        <f>IFERROR(__xludf.DUMMYFUNCTION("""COMPUTED_VALUE"""),46185.54)</f>
        <v>46185.54</v>
      </c>
      <c r="AR1569" s="251" t="str">
        <f t="shared" si="3"/>
        <v>5412.33_credit</v>
      </c>
      <c r="AS1569" s="251" t="str">
        <f t="shared" si="4"/>
        <v>KEEP</v>
      </c>
      <c r="AT1569" s="247"/>
    </row>
    <row r="1570">
      <c r="C1570" s="277"/>
      <c r="O1570" s="247"/>
      <c r="AC1570" s="247"/>
      <c r="AD1570" s="251" t="str">
        <f>IFERROR(__xludf.DUMMYFUNCTION("""COMPUTED_VALUE"""),"73df5aae-f42a-49a0-9d8f-616ca6dbebaa")</f>
        <v>73df5aae-f42a-49a0-9d8f-616ca6dbebaa</v>
      </c>
      <c r="AE1570" s="251" t="str">
        <f>IFERROR(__xludf.DUMMYFUNCTION("""COMPUTED_VALUE"""),"019ed124-a6d9-770c-a0e0-67d2a0908bde")</f>
        <v>019ed124-a6d9-770c-a0e0-67d2a0908bde</v>
      </c>
      <c r="AF1570" s="261">
        <f>IFERROR(__xludf.DUMMYFUNCTION("""COMPUTED_VALUE"""),46189.66320601852)</f>
        <v>46189.66321</v>
      </c>
      <c r="AG1570" s="251" t="str">
        <f>IFERROR(__xludf.DUMMYFUNCTION("""COMPUTED_VALUE"""),"credit")</f>
        <v>credit</v>
      </c>
      <c r="AH1570" s="251">
        <f>IFERROR(__xludf.DUMMYFUNCTION("""COMPUTED_VALUE"""),15800.69)</f>
        <v>15800.69</v>
      </c>
      <c r="AI1570" s="251" t="str">
        <f>IFERROR(__xludf.DUMMYFUNCTION("""COMPUTED_VALUE"""),"lisa")</f>
        <v>lisa</v>
      </c>
      <c r="AJ1570" s="251" t="str">
        <f>IFERROR(__xludf.DUMMYFUNCTION("""COMPUTED_VALUE"""),"b7a59586-5d10-4989-91c2-f2376c7a6ab2")</f>
        <v>b7a59586-5d10-4989-91c2-f2376c7a6ab2</v>
      </c>
      <c r="AK1570" s="251" t="str">
        <f>IFERROR(__xludf.DUMMYFUNCTION("""COMPUTED_VALUE"""),"6c7ca4f4-7fef-4b08-8ff8-2f8d2c79a1e2")</f>
        <v>6c7ca4f4-7fef-4b08-8ff8-2f8d2c79a1e2</v>
      </c>
      <c r="AL1570" s="251" t="str">
        <f>IFERROR(__xludf.DUMMYFUNCTION("""COMPUTED_VALUE"""),"6c7ca4f4-7fef-4b08-8ff8-2f8d2c79a1e2")</f>
        <v>6c7ca4f4-7fef-4b08-8ff8-2f8d2c79a1e2</v>
      </c>
      <c r="AM1570" s="251" t="str">
        <f>IFERROR(__xludf.DUMMYFUNCTION("""COMPUTED_VALUE"""),"CDF50426-712770789")</f>
        <v>CDF50426-712770789</v>
      </c>
      <c r="AN1570" s="251">
        <f>IFERROR(__xludf.DUMMYFUNCTION("""COMPUTED_VALUE"""),15800.69)</f>
        <v>15800.69</v>
      </c>
      <c r="AO1570" s="251" t="str">
        <f>IFERROR(__xludf.DUMMYFUNCTION("""COMPUTED_VALUE"""),"payin")</f>
        <v>payin</v>
      </c>
      <c r="AP1570" s="261">
        <f>IFERROR(__xludf.DUMMYFUNCTION("""COMPUTED_VALUE"""),46188.56484953704)</f>
        <v>46188.56485</v>
      </c>
      <c r="AR1570" s="251" t="str">
        <f t="shared" si="3"/>
        <v>15800.69_credit</v>
      </c>
      <c r="AS1570" s="251" t="str">
        <f t="shared" si="4"/>
        <v>KEEP</v>
      </c>
      <c r="AT1570" s="247"/>
    </row>
    <row r="1571">
      <c r="C1571" s="277"/>
      <c r="O1571" s="247"/>
      <c r="AC1571" s="247"/>
      <c r="AD1571" s="251" t="str">
        <f>IFERROR(__xludf.DUMMYFUNCTION("""COMPUTED_VALUE"""),"73df5aae-f42a-49a0-9d8f-616ca6dbebaa")</f>
        <v>73df5aae-f42a-49a0-9d8f-616ca6dbebaa</v>
      </c>
      <c r="AE1571" s="251" t="str">
        <f>IFERROR(__xludf.DUMMYFUNCTION("""COMPUTED_VALUE"""),"019ed002-2e30-7730-be6a-f4f2ac4c6149")</f>
        <v>019ed002-2e30-7730-be6a-f4f2ac4c6149</v>
      </c>
      <c r="AF1571" s="261">
        <f>IFERROR(__xludf.DUMMYFUNCTION("""COMPUTED_VALUE"""),46189.442870370374)</f>
        <v>46189.44287</v>
      </c>
      <c r="AG1571" s="251" t="str">
        <f>IFERROR(__xludf.DUMMYFUNCTION("""COMPUTED_VALUE"""),"credit")</f>
        <v>credit</v>
      </c>
      <c r="AH1571" s="251">
        <f>IFERROR(__xludf.DUMMYFUNCTION("""COMPUTED_VALUE"""),20798.28)</f>
        <v>20798.28</v>
      </c>
      <c r="AI1571" s="251" t="str">
        <f>IFERROR(__xludf.DUMMYFUNCTION("""COMPUTED_VALUE"""),"lisa")</f>
        <v>lisa</v>
      </c>
      <c r="AJ1571" s="251" t="str">
        <f>IFERROR(__xludf.DUMMYFUNCTION("""COMPUTED_VALUE"""),"b7a59586-5d10-4989-91c2-f2376c7a6ab2")</f>
        <v>b7a59586-5d10-4989-91c2-f2376c7a6ab2</v>
      </c>
      <c r="AK1571" s="251" t="str">
        <f>IFERROR(__xludf.DUMMYFUNCTION("""COMPUTED_VALUE"""),"81d14da7-c519-452d-958c-849afc37607f")</f>
        <v>81d14da7-c519-452d-958c-849afc37607f</v>
      </c>
      <c r="AL1571" s="251"/>
      <c r="AM1571" s="251"/>
      <c r="AN1571" s="251"/>
      <c r="AO1571" s="251"/>
      <c r="AP1571" s="261"/>
      <c r="AR1571" s="251" t="str">
        <f t="shared" si="3"/>
        <v>20798.28_credit</v>
      </c>
      <c r="AS1571" s="251" t="str">
        <f t="shared" si="4"/>
        <v>DROP</v>
      </c>
      <c r="AT1571" s="247"/>
    </row>
    <row r="1572">
      <c r="C1572" s="277"/>
      <c r="O1572" s="247"/>
      <c r="AC1572" s="247"/>
      <c r="AD1572" s="251" t="str">
        <f>IFERROR(__xludf.DUMMYFUNCTION("""COMPUTED_VALUE"""),"73df5aae-f42a-49a0-9d8f-616ca6dbebaa")</f>
        <v>73df5aae-f42a-49a0-9d8f-616ca6dbebaa</v>
      </c>
      <c r="AE1572" s="251" t="str">
        <f>IFERROR(__xludf.DUMMYFUNCTION("""COMPUTED_VALUE"""),"019ed00d-9cf1-7e12-9e1c-882e5e1f15fc")</f>
        <v>019ed00d-9cf1-7e12-9e1c-882e5e1f15fc</v>
      </c>
      <c r="AF1572" s="261">
        <f>IFERROR(__xludf.DUMMYFUNCTION("""COMPUTED_VALUE"""),46189.45155092592)</f>
        <v>46189.45155</v>
      </c>
      <c r="AG1572" s="251" t="str">
        <f>IFERROR(__xludf.DUMMYFUNCTION("""COMPUTED_VALUE"""),"credit")</f>
        <v>credit</v>
      </c>
      <c r="AH1572" s="251">
        <f>IFERROR(__xludf.DUMMYFUNCTION("""COMPUTED_VALUE"""),5222.75)</f>
        <v>5222.75</v>
      </c>
      <c r="AI1572" s="251" t="str">
        <f>IFERROR(__xludf.DUMMYFUNCTION("""COMPUTED_VALUE"""),"lisa")</f>
        <v>lisa</v>
      </c>
      <c r="AJ1572" s="251" t="str">
        <f>IFERROR(__xludf.DUMMYFUNCTION("""COMPUTED_VALUE"""),"b7a59586-5d10-4989-91c2-f2376c7a6ab2")</f>
        <v>b7a59586-5d10-4989-91c2-f2376c7a6ab2</v>
      </c>
      <c r="AK1572" s="251" t="str">
        <f>IFERROR(__xludf.DUMMYFUNCTION("""COMPUTED_VALUE"""),"5ae634e8-9b7c-42a9-8377-a9328425b0d8")</f>
        <v>5ae634e8-9b7c-42a9-8377-a9328425b0d8</v>
      </c>
      <c r="AL1572" s="251"/>
      <c r="AM1572" s="251"/>
      <c r="AN1572" s="251"/>
      <c r="AO1572" s="251"/>
      <c r="AP1572" s="261"/>
      <c r="AR1572" s="251" t="str">
        <f t="shared" si="3"/>
        <v>5222.75_credit</v>
      </c>
      <c r="AS1572" s="251" t="str">
        <f t="shared" si="4"/>
        <v>DROP</v>
      </c>
      <c r="AT1572" s="247"/>
    </row>
    <row r="1573">
      <c r="C1573" s="277"/>
      <c r="O1573" s="247"/>
      <c r="AC1573" s="247"/>
      <c r="AD1573" s="251" t="str">
        <f>IFERROR(__xludf.DUMMYFUNCTION("""COMPUTED_VALUE"""),"73df5aae-f42a-49a0-9d8f-616ca6dbebaa")</f>
        <v>73df5aae-f42a-49a0-9d8f-616ca6dbebaa</v>
      </c>
      <c r="AE1573" s="251" t="str">
        <f>IFERROR(__xludf.DUMMYFUNCTION("""COMPUTED_VALUE"""),"019ed01c-4924-7670-b88f-261779886156")</f>
        <v>019ed01c-4924-7670-b88f-261779886156</v>
      </c>
      <c r="AF1573" s="261">
        <f>IFERROR(__xludf.DUMMYFUNCTION("""COMPUTED_VALUE"""),46189.46267361111)</f>
        <v>46189.46267</v>
      </c>
      <c r="AG1573" s="251" t="str">
        <f>IFERROR(__xludf.DUMMYFUNCTION("""COMPUTED_VALUE"""),"credit")</f>
        <v>credit</v>
      </c>
      <c r="AH1573" s="251">
        <f>IFERROR(__xludf.DUMMYFUNCTION("""COMPUTED_VALUE"""),15709.88)</f>
        <v>15709.88</v>
      </c>
      <c r="AI1573" s="251" t="str">
        <f>IFERROR(__xludf.DUMMYFUNCTION("""COMPUTED_VALUE"""),"lisa")</f>
        <v>lisa</v>
      </c>
      <c r="AJ1573" s="251" t="str">
        <f>IFERROR(__xludf.DUMMYFUNCTION("""COMPUTED_VALUE"""),"b7a59586-5d10-4989-91c2-f2376c7a6ab2")</f>
        <v>b7a59586-5d10-4989-91c2-f2376c7a6ab2</v>
      </c>
      <c r="AK1573" s="251" t="str">
        <f>IFERROR(__xludf.DUMMYFUNCTION("""COMPUTED_VALUE"""),"f730ff9f-6ac9-4ca3-9602-52abdefb2b75")</f>
        <v>f730ff9f-6ac9-4ca3-9602-52abdefb2b75</v>
      </c>
      <c r="AL1573" s="251"/>
      <c r="AM1573" s="251"/>
      <c r="AN1573" s="251"/>
      <c r="AO1573" s="251"/>
      <c r="AP1573" s="261"/>
      <c r="AR1573" s="251" t="str">
        <f t="shared" si="3"/>
        <v>15709.88_credit</v>
      </c>
      <c r="AS1573" s="251" t="str">
        <f t="shared" si="4"/>
        <v>DROP</v>
      </c>
      <c r="AT1573" s="247"/>
    </row>
    <row r="1574">
      <c r="C1574" s="277"/>
      <c r="O1574" s="247"/>
      <c r="AC1574" s="247"/>
      <c r="AD1574" s="251" t="str">
        <f>IFERROR(__xludf.DUMMYFUNCTION("""COMPUTED_VALUE"""),"73df5aae-f42a-49a0-9d8f-616ca6dbebaa")</f>
        <v>73df5aae-f42a-49a0-9d8f-616ca6dbebaa</v>
      </c>
      <c r="AE1574" s="251" t="str">
        <f>IFERROR(__xludf.DUMMYFUNCTION("""COMPUTED_VALUE"""),"019ed106-8d18-738d-8a7e-5bc8a77ccb6c")</f>
        <v>019ed106-8d18-738d-8a7e-5bc8a77ccb6c</v>
      </c>
      <c r="AF1574" s="261">
        <f>IFERROR(__xludf.DUMMYFUNCTION("""COMPUTED_VALUE"""),46189.64037037037)</f>
        <v>46189.64037</v>
      </c>
      <c r="AG1574" s="251" t="str">
        <f>IFERROR(__xludf.DUMMYFUNCTION("""COMPUTED_VALUE"""),"debit")</f>
        <v>debit</v>
      </c>
      <c r="AH1574" s="251">
        <f>IFERROR(__xludf.DUMMYFUNCTION("""COMPUTED_VALUE"""),21205.46)</f>
        <v>21205.46</v>
      </c>
      <c r="AI1574" s="251" t="str">
        <f>IFERROR(__xludf.DUMMYFUNCTION("""COMPUTED_VALUE"""),"lisa")</f>
        <v>lisa</v>
      </c>
      <c r="AJ1574" s="251" t="str">
        <f>IFERROR(__xludf.DUMMYFUNCTION("""COMPUTED_VALUE"""),"b7a59586-5d10-4989-91c2-f2376c7a6ab2")</f>
        <v>b7a59586-5d10-4989-91c2-f2376c7a6ab2</v>
      </c>
      <c r="AK1574" s="251" t="str">
        <f>IFERROR(__xludf.DUMMYFUNCTION("""COMPUTED_VALUE"""),"629fffa4-8403-483e-bfcf-bd8f562531f6")</f>
        <v>629fffa4-8403-483e-bfcf-bd8f562531f6</v>
      </c>
      <c r="AL1574" s="251"/>
      <c r="AM1574" s="251"/>
      <c r="AN1574" s="251"/>
      <c r="AO1574" s="251"/>
      <c r="AP1574" s="261"/>
      <c r="AR1574" s="251" t="str">
        <f t="shared" si="3"/>
        <v>21205.46_debit</v>
      </c>
      <c r="AS1574" s="251" t="str">
        <f t="shared" si="4"/>
        <v>KEEP</v>
      </c>
      <c r="AT1574" s="247"/>
    </row>
    <row r="1575">
      <c r="C1575" s="277"/>
      <c r="O1575" s="247"/>
      <c r="AC1575" s="247"/>
      <c r="AD1575" s="251" t="str">
        <f>IFERROR(__xludf.DUMMYFUNCTION("""COMPUTED_VALUE"""),"73df5aae-f42a-49a0-9d8f-616ca6dbebaa")</f>
        <v>73df5aae-f42a-49a0-9d8f-616ca6dbebaa</v>
      </c>
      <c r="AE1575" s="251" t="str">
        <f>IFERROR(__xludf.DUMMYFUNCTION("""COMPUTED_VALUE"""),"019ed10b-87fe-7bfe-9ab3-43b1831a7655")</f>
        <v>019ed10b-87fe-7bfe-9ab3-43b1831a7655</v>
      </c>
      <c r="AF1575" s="261">
        <f>IFERROR(__xludf.DUMMYFUNCTION("""COMPUTED_VALUE"""),46189.64414351852)</f>
        <v>46189.64414</v>
      </c>
      <c r="AG1575" s="251" t="str">
        <f>IFERROR(__xludf.DUMMYFUNCTION("""COMPUTED_VALUE"""),"debit")</f>
        <v>debit</v>
      </c>
      <c r="AH1575" s="251">
        <f>IFERROR(__xludf.DUMMYFUNCTION("""COMPUTED_VALUE"""),26943.49)</f>
        <v>26943.49</v>
      </c>
      <c r="AI1575" s="251" t="str">
        <f>IFERROR(__xludf.DUMMYFUNCTION("""COMPUTED_VALUE"""),"lisa")</f>
        <v>lisa</v>
      </c>
      <c r="AJ1575" s="251" t="str">
        <f>IFERROR(__xludf.DUMMYFUNCTION("""COMPUTED_VALUE"""),"b7a59586-5d10-4989-91c2-f2376c7a6ab2")</f>
        <v>b7a59586-5d10-4989-91c2-f2376c7a6ab2</v>
      </c>
      <c r="AK1575" s="251" t="str">
        <f>IFERROR(__xludf.DUMMYFUNCTION("""COMPUTED_VALUE"""),"abd21e39-3692-4dad-953e-1ce78659b0dc")</f>
        <v>abd21e39-3692-4dad-953e-1ce78659b0dc</v>
      </c>
      <c r="AL1575" s="251"/>
      <c r="AM1575" s="251"/>
      <c r="AN1575" s="251"/>
      <c r="AO1575" s="251"/>
      <c r="AP1575" s="261"/>
      <c r="AR1575" s="251" t="str">
        <f t="shared" si="3"/>
        <v>26943.49_debit</v>
      </c>
      <c r="AS1575" s="251" t="str">
        <f t="shared" si="4"/>
        <v>KEEP</v>
      </c>
      <c r="AT1575" s="247"/>
    </row>
    <row r="1576">
      <c r="C1576" s="277"/>
      <c r="O1576" s="247"/>
      <c r="AC1576" s="247"/>
      <c r="AD1576" s="251" t="str">
        <f>IFERROR(__xludf.DUMMYFUNCTION("""COMPUTED_VALUE"""),"73df5aae-f42a-49a0-9d8f-616ca6dbebaa")</f>
        <v>73df5aae-f42a-49a0-9d8f-616ca6dbebaa</v>
      </c>
      <c r="AE1576" s="251" t="str">
        <f>IFERROR(__xludf.DUMMYFUNCTION("""COMPUTED_VALUE"""),"019ed10e-c95e-7385-85da-4610da8ec41d")</f>
        <v>019ed10e-c95e-7385-85da-4610da8ec41d</v>
      </c>
      <c r="AF1576" s="261">
        <f>IFERROR(__xludf.DUMMYFUNCTION("""COMPUTED_VALUE"""),46189.646620370375)</f>
        <v>46189.64662</v>
      </c>
      <c r="AG1576" s="251" t="str">
        <f>IFERROR(__xludf.DUMMYFUNCTION("""COMPUTED_VALUE"""),"debit")</f>
        <v>debit</v>
      </c>
      <c r="AH1576" s="251">
        <f>IFERROR(__xludf.DUMMYFUNCTION("""COMPUTED_VALUE"""),17528.76)</f>
        <v>17528.76</v>
      </c>
      <c r="AI1576" s="251" t="str">
        <f>IFERROR(__xludf.DUMMYFUNCTION("""COMPUTED_VALUE"""),"lisa")</f>
        <v>lisa</v>
      </c>
      <c r="AJ1576" s="251" t="str">
        <f>IFERROR(__xludf.DUMMYFUNCTION("""COMPUTED_VALUE"""),"b7a59586-5d10-4989-91c2-f2376c7a6ab2")</f>
        <v>b7a59586-5d10-4989-91c2-f2376c7a6ab2</v>
      </c>
      <c r="AK1576" s="251" t="str">
        <f>IFERROR(__xludf.DUMMYFUNCTION("""COMPUTED_VALUE"""),"422fddac-6442-4981-a853-f69f70a6b24e")</f>
        <v>422fddac-6442-4981-a853-f69f70a6b24e</v>
      </c>
      <c r="AL1576" s="251"/>
      <c r="AM1576" s="251"/>
      <c r="AN1576" s="251"/>
      <c r="AO1576" s="251"/>
      <c r="AP1576" s="261"/>
      <c r="AR1576" s="251" t="str">
        <f t="shared" si="3"/>
        <v>17528.76_debit</v>
      </c>
      <c r="AS1576" s="251" t="str">
        <f t="shared" si="4"/>
        <v>KEEP</v>
      </c>
      <c r="AT1576" s="247"/>
    </row>
    <row r="1577">
      <c r="C1577" s="277"/>
      <c r="O1577" s="247"/>
      <c r="AC1577" s="247"/>
      <c r="AD1577" s="251" t="str">
        <f>IFERROR(__xludf.DUMMYFUNCTION("""COMPUTED_VALUE"""),"73df5aae-f42a-49a0-9d8f-616ca6dbebaa")</f>
        <v>73df5aae-f42a-49a0-9d8f-616ca6dbebaa</v>
      </c>
      <c r="AE1577" s="251" t="str">
        <f>IFERROR(__xludf.DUMMYFUNCTION("""COMPUTED_VALUE"""),"019ed111-80c9-71c2-80c7-3a0950730587")</f>
        <v>019ed111-80c9-71c2-80c7-3a0950730587</v>
      </c>
      <c r="AF1577" s="261">
        <f>IFERROR(__xludf.DUMMYFUNCTION("""COMPUTED_VALUE"""),46189.648680555554)</f>
        <v>46189.64868</v>
      </c>
      <c r="AG1577" s="251" t="str">
        <f>IFERROR(__xludf.DUMMYFUNCTION("""COMPUTED_VALUE"""),"debit")</f>
        <v>debit</v>
      </c>
      <c r="AH1577" s="251">
        <f>IFERROR(__xludf.DUMMYFUNCTION("""COMPUTED_VALUE"""),1000.42)</f>
        <v>1000.42</v>
      </c>
      <c r="AI1577" s="251" t="str">
        <f>IFERROR(__xludf.DUMMYFUNCTION("""COMPUTED_VALUE"""),"lisa")</f>
        <v>lisa</v>
      </c>
      <c r="AJ1577" s="251" t="str">
        <f>IFERROR(__xludf.DUMMYFUNCTION("""COMPUTED_VALUE"""),"b7a59586-5d10-4989-91c2-f2376c7a6ab2")</f>
        <v>b7a59586-5d10-4989-91c2-f2376c7a6ab2</v>
      </c>
      <c r="AK1577" s="251" t="str">
        <f>IFERROR(__xludf.DUMMYFUNCTION("""COMPUTED_VALUE"""),"4e841ef5-73e4-4848-91ba-916bf1dd82de")</f>
        <v>4e841ef5-73e4-4848-91ba-916bf1dd82de</v>
      </c>
      <c r="AL1577" s="251" t="str">
        <f>IFERROR(__xludf.DUMMYFUNCTION("""COMPUTED_VALUE"""),"4e841ef5-73e4-4848-91ba-916bf1dd82de")</f>
        <v>4e841ef5-73e4-4848-91ba-916bf1dd82de</v>
      </c>
      <c r="AM1577" s="251" t="str">
        <f>IFERROR(__xludf.DUMMYFUNCTION("""COMPUTED_VALUE"""),"6362d774-321174183")</f>
        <v>6362d774-321174183</v>
      </c>
      <c r="AN1577" s="251">
        <f>IFERROR(__xludf.DUMMYFUNCTION("""COMPUTED_VALUE"""),1000.42)</f>
        <v>1000.42</v>
      </c>
      <c r="AO1577" s="251" t="str">
        <f>IFERROR(__xludf.DUMMYFUNCTION("""COMPUTED_VALUE"""),"payin")</f>
        <v>payin</v>
      </c>
      <c r="AP1577" s="261">
        <f>IFERROR(__xludf.DUMMYFUNCTION("""COMPUTED_VALUE"""),46175.11004629629)</f>
        <v>46175.11005</v>
      </c>
      <c r="AR1577" s="251" t="str">
        <f t="shared" si="3"/>
        <v>1000.42_debit</v>
      </c>
      <c r="AS1577" s="251" t="str">
        <f t="shared" si="4"/>
        <v>KEEP</v>
      </c>
      <c r="AT1577" s="247"/>
    </row>
    <row r="1578">
      <c r="C1578" s="277"/>
      <c r="O1578" s="247"/>
      <c r="AC1578" s="247"/>
      <c r="AD1578" s="251" t="str">
        <f>IFERROR(__xludf.DUMMYFUNCTION("""COMPUTED_VALUE"""),"73df5aae-f42a-49a0-9d8f-616ca6dbebaa")</f>
        <v>73df5aae-f42a-49a0-9d8f-616ca6dbebaa</v>
      </c>
      <c r="AE1578" s="251" t="str">
        <f>IFERROR(__xludf.DUMMYFUNCTION("""COMPUTED_VALUE"""),"019ed112-f8af-78aa-8996-cea5aa226d4d")</f>
        <v>019ed112-f8af-78aa-8996-cea5aa226d4d</v>
      </c>
      <c r="AF1578" s="261">
        <f>IFERROR(__xludf.DUMMYFUNCTION("""COMPUTED_VALUE"""),46189.64979166667)</f>
        <v>46189.64979</v>
      </c>
      <c r="AG1578" s="251" t="str">
        <f>IFERROR(__xludf.DUMMYFUNCTION("""COMPUTED_VALUE"""),"debit")</f>
        <v>debit</v>
      </c>
      <c r="AH1578" s="251">
        <f>IFERROR(__xludf.DUMMYFUNCTION("""COMPUTED_VALUE"""),287.51)</f>
        <v>287.51</v>
      </c>
      <c r="AI1578" s="251" t="str">
        <f>IFERROR(__xludf.DUMMYFUNCTION("""COMPUTED_VALUE"""),"lisa")</f>
        <v>lisa</v>
      </c>
      <c r="AJ1578" s="251" t="str">
        <f>IFERROR(__xludf.DUMMYFUNCTION("""COMPUTED_VALUE"""),"b7a59586-5d10-4989-91c2-f2376c7a6ab2")</f>
        <v>b7a59586-5d10-4989-91c2-f2376c7a6ab2</v>
      </c>
      <c r="AK1578" s="251" t="str">
        <f>IFERROR(__xludf.DUMMYFUNCTION("""COMPUTED_VALUE"""),"269f467b-4dc9-4274-b31d-aced2ae027f2")</f>
        <v>269f467b-4dc9-4274-b31d-aced2ae027f2</v>
      </c>
      <c r="AL1578" s="251" t="str">
        <f>IFERROR(__xludf.DUMMYFUNCTION("""COMPUTED_VALUE"""),"269f467b-4dc9-4274-b31d-aced2ae027f2")</f>
        <v>269f467b-4dc9-4274-b31d-aced2ae027f2</v>
      </c>
      <c r="AM1578" s="251" t="str">
        <f>IFERROR(__xludf.DUMMYFUNCTION("""COMPUTED_VALUE"""),"OPF620134950-422241025")</f>
        <v>OPF620134950-422241025</v>
      </c>
      <c r="AN1578" s="251">
        <f>IFERROR(__xludf.DUMMYFUNCTION("""COMPUTED_VALUE"""),287.51)</f>
        <v>287.51</v>
      </c>
      <c r="AO1578" s="251" t="str">
        <f>IFERROR(__xludf.DUMMYFUNCTION("""COMPUTED_VALUE"""),"payin")</f>
        <v>payin</v>
      </c>
      <c r="AP1578" s="261">
        <f>IFERROR(__xludf.DUMMYFUNCTION("""COMPUTED_VALUE"""),46175.39371527778)</f>
        <v>46175.39372</v>
      </c>
      <c r="AR1578" s="251" t="str">
        <f t="shared" si="3"/>
        <v>287.51_debit</v>
      </c>
      <c r="AS1578" s="251" t="str">
        <f t="shared" si="4"/>
        <v>KEEP</v>
      </c>
      <c r="AT1578" s="247"/>
    </row>
    <row r="1579">
      <c r="C1579" s="277"/>
      <c r="O1579" s="247"/>
      <c r="AC1579" s="247"/>
      <c r="AD1579" s="251" t="str">
        <f>IFERROR(__xludf.DUMMYFUNCTION("""COMPUTED_VALUE"""),"73df5aae-f42a-49a0-9d8f-616ca6dbebaa")</f>
        <v>73df5aae-f42a-49a0-9d8f-616ca6dbebaa</v>
      </c>
      <c r="AE1579" s="251" t="str">
        <f>IFERROR(__xludf.DUMMYFUNCTION("""COMPUTED_VALUE"""),"019ed112-f7af-7caa-9686-de7b4e8d9dfb")</f>
        <v>019ed112-f7af-7caa-9686-de7b4e8d9dfb</v>
      </c>
      <c r="AF1579" s="261">
        <f>IFERROR(__xludf.DUMMYFUNCTION("""COMPUTED_VALUE"""),46189.64979166667)</f>
        <v>46189.64979</v>
      </c>
      <c r="AG1579" s="251" t="str">
        <f>IFERROR(__xludf.DUMMYFUNCTION("""COMPUTED_VALUE"""),"debit")</f>
        <v>debit</v>
      </c>
      <c r="AH1579" s="251">
        <f>IFERROR(__xludf.DUMMYFUNCTION("""COMPUTED_VALUE"""),14249.6)</f>
        <v>14249.6</v>
      </c>
      <c r="AI1579" s="251" t="str">
        <f>IFERROR(__xludf.DUMMYFUNCTION("""COMPUTED_VALUE"""),"lisa")</f>
        <v>lisa</v>
      </c>
      <c r="AJ1579" s="251" t="str">
        <f>IFERROR(__xludf.DUMMYFUNCTION("""COMPUTED_VALUE"""),"b7a59586-5d10-4989-91c2-f2376c7a6ab2")</f>
        <v>b7a59586-5d10-4989-91c2-f2376c7a6ab2</v>
      </c>
      <c r="AK1579" s="251" t="str">
        <f>IFERROR(__xludf.DUMMYFUNCTION("""COMPUTED_VALUE"""),"3bcaf2ad-dac4-40c4-9479-a43fde56f84f")</f>
        <v>3bcaf2ad-dac4-40c4-9479-a43fde56f84f</v>
      </c>
      <c r="AL1579" s="251" t="str">
        <f>IFERROR(__xludf.DUMMYFUNCTION("""COMPUTED_VALUE"""),"3bcaf2ad-dac4-40c4-9479-a43fde56f84f")</f>
        <v>3bcaf2ad-dac4-40c4-9479-a43fde56f84f</v>
      </c>
      <c r="AM1579" s="251" t="str">
        <f>IFERROR(__xludf.DUMMYFUNCTION("""COMPUTED_VALUE"""),"NOREF-1340928121")</f>
        <v>NOREF-1340928121</v>
      </c>
      <c r="AN1579" s="251">
        <f>IFERROR(__xludf.DUMMYFUNCTION("""COMPUTED_VALUE"""),14249.6)</f>
        <v>14249.6</v>
      </c>
      <c r="AO1579" s="251" t="str">
        <f>IFERROR(__xludf.DUMMYFUNCTION("""COMPUTED_VALUE"""),"payin")</f>
        <v>payin</v>
      </c>
      <c r="AP1579" s="261">
        <f>IFERROR(__xludf.DUMMYFUNCTION("""COMPUTED_VALUE"""),46175.46650462963)</f>
        <v>46175.4665</v>
      </c>
      <c r="AR1579" s="251" t="str">
        <f t="shared" si="3"/>
        <v>14249.6_debit</v>
      </c>
      <c r="AS1579" s="251" t="str">
        <f t="shared" si="4"/>
        <v>KEEP</v>
      </c>
      <c r="AT1579" s="247"/>
    </row>
    <row r="1580">
      <c r="C1580" s="277"/>
      <c r="O1580" s="247"/>
      <c r="AC1580" s="247"/>
      <c r="AD1580" s="251" t="str">
        <f>IFERROR(__xludf.DUMMYFUNCTION("""COMPUTED_VALUE"""),"73df5aae-f42a-49a0-9d8f-616ca6dbebaa")</f>
        <v>73df5aae-f42a-49a0-9d8f-616ca6dbebaa</v>
      </c>
      <c r="AE1580" s="251" t="str">
        <f>IFERROR(__xludf.DUMMYFUNCTION("""COMPUTED_VALUE"""),"019ecfa0-3f18-7e31-adfb-8ce2d8bdb8ee")</f>
        <v>019ecfa0-3f18-7e31-adfb-8ce2d8bdb8ee</v>
      </c>
      <c r="AF1580" s="261">
        <f>IFERROR(__xludf.DUMMYFUNCTION("""COMPUTED_VALUE"""),46189.36858796296)</f>
        <v>46189.36859</v>
      </c>
      <c r="AG1580" s="251" t="str">
        <f>IFERROR(__xludf.DUMMYFUNCTION("""COMPUTED_VALUE"""),"debit")</f>
        <v>debit</v>
      </c>
      <c r="AH1580" s="251">
        <f>IFERROR(__xludf.DUMMYFUNCTION("""COMPUTED_VALUE"""),2947.19)</f>
        <v>2947.19</v>
      </c>
      <c r="AI1580" s="251" t="str">
        <f>IFERROR(__xludf.DUMMYFUNCTION("""COMPUTED_VALUE"""),"lisa")</f>
        <v>lisa</v>
      </c>
      <c r="AJ1580" s="251" t="str">
        <f>IFERROR(__xludf.DUMMYFUNCTION("""COMPUTED_VALUE"""),"b7a59586-5d10-4989-91c2-f2376c7a6ab2")</f>
        <v>b7a59586-5d10-4989-91c2-f2376c7a6ab2</v>
      </c>
      <c r="AK1580" s="251" t="str">
        <f>IFERROR(__xludf.DUMMYFUNCTION("""COMPUTED_VALUE"""),"1935cc33-9511-4da6-9e60-9efd3b40b01f")</f>
        <v>1935cc33-9511-4da6-9e60-9efd3b40b01f</v>
      </c>
      <c r="AL1580" s="251" t="str">
        <f>IFERROR(__xludf.DUMMYFUNCTION("""COMPUTED_VALUE"""),"1935cc33-9511-4da6-9e60-9efd3b40b01f")</f>
        <v>1935cc33-9511-4da6-9e60-9efd3b40b01f</v>
      </c>
      <c r="AM1580" s="251" t="str">
        <f>IFERROR(__xludf.DUMMYFUNCTION("""COMPUTED_VALUE"""),"2B5BA2F8-2009140117")</f>
        <v>2B5BA2F8-2009140117</v>
      </c>
      <c r="AN1580" s="251">
        <f>IFERROR(__xludf.DUMMYFUNCTION("""COMPUTED_VALUE"""),2947.19)</f>
        <v>2947.19</v>
      </c>
      <c r="AO1580" s="251" t="str">
        <f>IFERROR(__xludf.DUMMYFUNCTION("""COMPUTED_VALUE"""),"payin")</f>
        <v>payin</v>
      </c>
      <c r="AP1580" s="261">
        <f>IFERROR(__xludf.DUMMYFUNCTION("""COMPUTED_VALUE"""),46175.52678240741)</f>
        <v>46175.52678</v>
      </c>
      <c r="AR1580" s="251" t="str">
        <f t="shared" si="3"/>
        <v>2947.19_debit</v>
      </c>
      <c r="AS1580" s="251" t="str">
        <f t="shared" si="4"/>
        <v>KEEP</v>
      </c>
      <c r="AT1580" s="247"/>
    </row>
    <row r="1581">
      <c r="C1581" s="277"/>
      <c r="O1581" s="247"/>
      <c r="AC1581" s="247"/>
      <c r="AD1581" s="251" t="str">
        <f>IFERROR(__xludf.DUMMYFUNCTION("""COMPUTED_VALUE"""),"73df5aae-f42a-49a0-9d8f-616ca6dbebaa")</f>
        <v>73df5aae-f42a-49a0-9d8f-616ca6dbebaa</v>
      </c>
      <c r="AE1581" s="251" t="str">
        <f>IFERROR(__xludf.DUMMYFUNCTION("""COMPUTED_VALUE"""),"019ed129-5b0c-7dce-adaa-6bdb0e9e7e19")</f>
        <v>019ed129-5b0c-7dce-adaa-6bdb0e9e7e19</v>
      </c>
      <c r="AF1581" s="261">
        <f>IFERROR(__xludf.DUMMYFUNCTION("""COMPUTED_VALUE"""),46189.66677083333)</f>
        <v>46189.66677</v>
      </c>
      <c r="AG1581" s="251" t="str">
        <f>IFERROR(__xludf.DUMMYFUNCTION("""COMPUTED_VALUE"""),"debit")</f>
        <v>debit</v>
      </c>
      <c r="AH1581" s="251">
        <f>IFERROR(__xludf.DUMMYFUNCTION("""COMPUTED_VALUE"""),1000.44)</f>
        <v>1000.44</v>
      </c>
      <c r="AI1581" s="251" t="str">
        <f>IFERROR(__xludf.DUMMYFUNCTION("""COMPUTED_VALUE"""),"lisa")</f>
        <v>lisa</v>
      </c>
      <c r="AJ1581" s="251" t="str">
        <f>IFERROR(__xludf.DUMMYFUNCTION("""COMPUTED_VALUE"""),"b7a59586-5d10-4989-91c2-f2376c7a6ab2")</f>
        <v>b7a59586-5d10-4989-91c2-f2376c7a6ab2</v>
      </c>
      <c r="AK1581" s="251" t="str">
        <f>IFERROR(__xludf.DUMMYFUNCTION("""COMPUTED_VALUE"""),"0007e97e-74a0-43ac-b3f7-38fcfed1342d")</f>
        <v>0007e97e-74a0-43ac-b3f7-38fcfed1342d</v>
      </c>
      <c r="AL1581" s="251" t="str">
        <f>IFERROR(__xludf.DUMMYFUNCTION("""COMPUTED_VALUE"""),"0007e97e-74a0-43ac-b3f7-38fcfed1342d")</f>
        <v>0007e97e-74a0-43ac-b3f7-38fcfed1342d</v>
      </c>
      <c r="AM1581" s="251" t="str">
        <f>IFERROR(__xludf.DUMMYFUNCTION("""COMPUTED_VALUE"""),"NOREF-1430831478")</f>
        <v>NOREF-1430831478</v>
      </c>
      <c r="AN1581" s="251">
        <f>IFERROR(__xludf.DUMMYFUNCTION("""COMPUTED_VALUE"""),1000.44)</f>
        <v>1000.44</v>
      </c>
      <c r="AO1581" s="251" t="str">
        <f>IFERROR(__xludf.DUMMYFUNCTION("""COMPUTED_VALUE"""),"payin")</f>
        <v>payin</v>
      </c>
      <c r="AP1581" s="261">
        <f>IFERROR(__xludf.DUMMYFUNCTION("""COMPUTED_VALUE"""),46183.41357638889)</f>
        <v>46183.41358</v>
      </c>
      <c r="AR1581" s="251" t="str">
        <f t="shared" si="3"/>
        <v>1000.44_debit</v>
      </c>
      <c r="AS1581" s="251" t="str">
        <f t="shared" si="4"/>
        <v>KEEP</v>
      </c>
      <c r="AT1581" s="247"/>
    </row>
    <row r="1582">
      <c r="C1582" s="277"/>
      <c r="O1582" s="247"/>
      <c r="AC1582" s="247"/>
      <c r="AD1582" s="251" t="str">
        <f>IFERROR(__xludf.DUMMYFUNCTION("""COMPUTED_VALUE"""),"73df5aae-f42a-49a0-9d8f-616ca6dbebaa")</f>
        <v>73df5aae-f42a-49a0-9d8f-616ca6dbebaa</v>
      </c>
      <c r="AE1582" s="251" t="str">
        <f>IFERROR(__xludf.DUMMYFUNCTION("""COMPUTED_VALUE"""),"019ed119-0d06-7305-887b-bea851e02e7c")</f>
        <v>019ed119-0d06-7305-887b-bea851e02e7c</v>
      </c>
      <c r="AF1582" s="261">
        <f>IFERROR(__xludf.DUMMYFUNCTION("""COMPUTED_VALUE"""),46189.65439814815)</f>
        <v>46189.6544</v>
      </c>
      <c r="AG1582" s="251" t="str">
        <f>IFERROR(__xludf.DUMMYFUNCTION("""COMPUTED_VALUE"""),"debit")</f>
        <v>debit</v>
      </c>
      <c r="AH1582" s="251">
        <f>IFERROR(__xludf.DUMMYFUNCTION("""COMPUTED_VALUE"""),21409.16)</f>
        <v>21409.16</v>
      </c>
      <c r="AI1582" s="251" t="str">
        <f>IFERROR(__xludf.DUMMYFUNCTION("""COMPUTED_VALUE"""),"lisa")</f>
        <v>lisa</v>
      </c>
      <c r="AJ1582" s="251" t="str">
        <f>IFERROR(__xludf.DUMMYFUNCTION("""COMPUTED_VALUE"""),"b7a59586-5d10-4989-91c2-f2376c7a6ab2")</f>
        <v>b7a59586-5d10-4989-91c2-f2376c7a6ab2</v>
      </c>
      <c r="AK1582" s="251" t="str">
        <f>IFERROR(__xludf.DUMMYFUNCTION("""COMPUTED_VALUE"""),"c3704b90-6ee3-4441-a76b-af7641bd865e")</f>
        <v>c3704b90-6ee3-4441-a76b-af7641bd865e</v>
      </c>
      <c r="AL1582" s="251" t="str">
        <f>IFERROR(__xludf.DUMMYFUNCTION("""COMPUTED_VALUE"""),"c3704b90-6ee3-4441-a76b-af7641bd865e")</f>
        <v>c3704b90-6ee3-4441-a76b-af7641bd865e</v>
      </c>
      <c r="AM1582" s="251" t="str">
        <f>IFERROR(__xludf.DUMMYFUNCTION("""COMPUTED_VALUE"""),"28f40f33-1429865569")</f>
        <v>28f40f33-1429865569</v>
      </c>
      <c r="AN1582" s="251">
        <f>IFERROR(__xludf.DUMMYFUNCTION("""COMPUTED_VALUE"""),21409.16)</f>
        <v>21409.16</v>
      </c>
      <c r="AO1582" s="251" t="str">
        <f>IFERROR(__xludf.DUMMYFUNCTION("""COMPUTED_VALUE"""),"payin")</f>
        <v>payin</v>
      </c>
      <c r="AP1582" s="261">
        <f>IFERROR(__xludf.DUMMYFUNCTION("""COMPUTED_VALUE"""),46185.09847222222)</f>
        <v>46185.09847</v>
      </c>
      <c r="AR1582" s="251" t="str">
        <f t="shared" si="3"/>
        <v>21409.16_debit</v>
      </c>
      <c r="AS1582" s="251" t="str">
        <f t="shared" si="4"/>
        <v>KEEP</v>
      </c>
      <c r="AT1582" s="247"/>
    </row>
    <row r="1583">
      <c r="C1583" s="277"/>
      <c r="O1583" s="247"/>
      <c r="AC1583" s="247"/>
      <c r="AD1583" s="251" t="str">
        <f>IFERROR(__xludf.DUMMYFUNCTION("""COMPUTED_VALUE"""),"73df5aae-f42a-49a0-9d8f-616ca6dbebaa")</f>
        <v>73df5aae-f42a-49a0-9d8f-616ca6dbebaa</v>
      </c>
      <c r="AE1583" s="251" t="str">
        <f>IFERROR(__xludf.DUMMYFUNCTION("""COMPUTED_VALUE"""),"019ed124-a6d9-770c-a0e0-67d2a0908bde")</f>
        <v>019ed124-a6d9-770c-a0e0-67d2a0908bde</v>
      </c>
      <c r="AF1583" s="261">
        <f>IFERROR(__xludf.DUMMYFUNCTION("""COMPUTED_VALUE"""),46189.66320601852)</f>
        <v>46189.66321</v>
      </c>
      <c r="AG1583" s="251" t="str">
        <f>IFERROR(__xludf.DUMMYFUNCTION("""COMPUTED_VALUE"""),"credit")</f>
        <v>credit</v>
      </c>
      <c r="AH1583" s="251">
        <f>IFERROR(__xludf.DUMMYFUNCTION("""COMPUTED_VALUE"""),15800.69)</f>
        <v>15800.69</v>
      </c>
      <c r="AI1583" s="251" t="str">
        <f>IFERROR(__xludf.DUMMYFUNCTION("""COMPUTED_VALUE"""),"lisa")</f>
        <v>lisa</v>
      </c>
      <c r="AJ1583" s="251" t="str">
        <f>IFERROR(__xludf.DUMMYFUNCTION("""COMPUTED_VALUE"""),"b7a59586-5d10-4989-91c2-f2376c7a6ab2")</f>
        <v>b7a59586-5d10-4989-91c2-f2376c7a6ab2</v>
      </c>
      <c r="AK1583" s="251" t="str">
        <f>IFERROR(__xludf.DUMMYFUNCTION("""COMPUTED_VALUE"""),"6c7ca4f4-7fef-4b08-8ff8-2f8d2c79a1e2")</f>
        <v>6c7ca4f4-7fef-4b08-8ff8-2f8d2c79a1e2</v>
      </c>
      <c r="AL1583" s="251" t="str">
        <f>IFERROR(__xludf.DUMMYFUNCTION("""COMPUTED_VALUE"""),"6c7ca4f4-7fef-4b08-8ff8-2f8d2c79a1e2")</f>
        <v>6c7ca4f4-7fef-4b08-8ff8-2f8d2c79a1e2</v>
      </c>
      <c r="AM1583" s="251" t="str">
        <f>IFERROR(__xludf.DUMMYFUNCTION("""COMPUTED_VALUE"""),"CDF50426-712770789")</f>
        <v>CDF50426-712770789</v>
      </c>
      <c r="AN1583" s="251">
        <f>IFERROR(__xludf.DUMMYFUNCTION("""COMPUTED_VALUE"""),15800.69)</f>
        <v>15800.69</v>
      </c>
      <c r="AO1583" s="251" t="str">
        <f>IFERROR(__xludf.DUMMYFUNCTION("""COMPUTED_VALUE"""),"payin")</f>
        <v>payin</v>
      </c>
      <c r="AP1583" s="261">
        <f>IFERROR(__xludf.DUMMYFUNCTION("""COMPUTED_VALUE"""),46188.56484953704)</f>
        <v>46188.56485</v>
      </c>
      <c r="AR1583" s="251" t="str">
        <f t="shared" si="3"/>
        <v>15800.69_credit</v>
      </c>
      <c r="AS1583" s="251" t="str">
        <f t="shared" si="4"/>
        <v>KEEP</v>
      </c>
      <c r="AT1583" s="247"/>
    </row>
    <row r="1584">
      <c r="C1584" s="277"/>
      <c r="O1584" s="247"/>
      <c r="AC1584" s="247"/>
      <c r="AD1584" s="251" t="str">
        <f>IFERROR(__xludf.DUMMYFUNCTION("""COMPUTED_VALUE"""),"73df5aae-f42a-49a0-9d8f-616ca6dbebaa")</f>
        <v>73df5aae-f42a-49a0-9d8f-616ca6dbebaa</v>
      </c>
      <c r="AE1584" s="251" t="str">
        <f>IFERROR(__xludf.DUMMYFUNCTION("""COMPUTED_VALUE"""),"019ed004-33d3-7742-9856-f2de8d6a4baa")</f>
        <v>019ed004-33d3-7742-9856-f2de8d6a4baa</v>
      </c>
      <c r="AF1584" s="261">
        <f>IFERROR(__xludf.DUMMYFUNCTION("""COMPUTED_VALUE"""),46189.44440972222)</f>
        <v>46189.44441</v>
      </c>
      <c r="AG1584" s="251" t="str">
        <f>IFERROR(__xludf.DUMMYFUNCTION("""COMPUTED_VALUE"""),"debit")</f>
        <v>debit</v>
      </c>
      <c r="AH1584" s="251">
        <f>IFERROR(__xludf.DUMMYFUNCTION("""COMPUTED_VALUE"""),20798.28)</f>
        <v>20798.28</v>
      </c>
      <c r="AI1584" s="251" t="str">
        <f>IFERROR(__xludf.DUMMYFUNCTION("""COMPUTED_VALUE"""),"lisa")</f>
        <v>lisa</v>
      </c>
      <c r="AJ1584" s="251" t="str">
        <f>IFERROR(__xludf.DUMMYFUNCTION("""COMPUTED_VALUE"""),"b7a59586-5d10-4989-91c2-f2376c7a6ab2")</f>
        <v>b7a59586-5d10-4989-91c2-f2376c7a6ab2</v>
      </c>
      <c r="AK1584" s="251" t="str">
        <f>IFERROR(__xludf.DUMMYFUNCTION("""COMPUTED_VALUE"""),"7461ad1c-1a4e-4e1c-830a-653cba72c89b")</f>
        <v>7461ad1c-1a4e-4e1c-830a-653cba72c89b</v>
      </c>
      <c r="AL1584" s="251" t="str">
        <f>IFERROR(__xludf.DUMMYFUNCTION("""COMPUTED_VALUE"""),"7461ad1c-1a4e-4e1c-830a-653cba72c89b")</f>
        <v>7461ad1c-1a4e-4e1c-830a-653cba72c89b</v>
      </c>
      <c r="AM1584" s="251" t="str">
        <f>IFERROR(__xludf.DUMMYFUNCTION("""COMPUTED_VALUE"""),"ELI-0015-000001")</f>
        <v>ELI-0015-000001</v>
      </c>
      <c r="AN1584" s="251">
        <f>IFERROR(__xludf.DUMMYFUNCTION("""COMPUTED_VALUE"""),20798.28)</f>
        <v>20798.28</v>
      </c>
      <c r="AO1584" s="251" t="str">
        <f>IFERROR(__xludf.DUMMYFUNCTION("""COMPUTED_VALUE"""),"payout")</f>
        <v>payout</v>
      </c>
      <c r="AP1584" s="261">
        <f>IFERROR(__xludf.DUMMYFUNCTION("""COMPUTED_VALUE"""),46189.44422453704)</f>
        <v>46189.44422</v>
      </c>
      <c r="AR1584" s="251" t="str">
        <f t="shared" si="3"/>
        <v>20798.28_debit</v>
      </c>
      <c r="AS1584" s="251" t="str">
        <f t="shared" si="4"/>
        <v>DROP</v>
      </c>
      <c r="AT1584" s="247"/>
    </row>
    <row r="1585">
      <c r="C1585" s="277"/>
      <c r="O1585" s="247"/>
      <c r="AC1585" s="247"/>
      <c r="AD1585" s="251" t="str">
        <f>IFERROR(__xludf.DUMMYFUNCTION("""COMPUTED_VALUE"""),"73df5aae-f42a-49a0-9d8f-616ca6dbebaa")</f>
        <v>73df5aae-f42a-49a0-9d8f-616ca6dbebaa</v>
      </c>
      <c r="AE1585" s="251" t="str">
        <f>IFERROR(__xludf.DUMMYFUNCTION("""COMPUTED_VALUE"""),"019ed010-5928-738e-8e35-96967bd5512d")</f>
        <v>019ed010-5928-738e-8e35-96967bd5512d</v>
      </c>
      <c r="AF1585" s="261">
        <f>IFERROR(__xludf.DUMMYFUNCTION("""COMPUTED_VALUE"""),46189.453622685185)</f>
        <v>46189.45362</v>
      </c>
      <c r="AG1585" s="251" t="str">
        <f>IFERROR(__xludf.DUMMYFUNCTION("""COMPUTED_VALUE"""),"debit")</f>
        <v>debit</v>
      </c>
      <c r="AH1585" s="251">
        <f>IFERROR(__xludf.DUMMYFUNCTION("""COMPUTED_VALUE"""),5222.75)</f>
        <v>5222.75</v>
      </c>
      <c r="AI1585" s="251" t="str">
        <f>IFERROR(__xludf.DUMMYFUNCTION("""COMPUTED_VALUE"""),"lisa")</f>
        <v>lisa</v>
      </c>
      <c r="AJ1585" s="251" t="str">
        <f>IFERROR(__xludf.DUMMYFUNCTION("""COMPUTED_VALUE"""),"b7a59586-5d10-4989-91c2-f2376c7a6ab2")</f>
        <v>b7a59586-5d10-4989-91c2-f2376c7a6ab2</v>
      </c>
      <c r="AK1585" s="251" t="str">
        <f>IFERROR(__xludf.DUMMYFUNCTION("""COMPUTED_VALUE"""),"9ef5c6cd-07e0-46bc-8c36-a1ac11b3d92f")</f>
        <v>9ef5c6cd-07e0-46bc-8c36-a1ac11b3d92f</v>
      </c>
      <c r="AL1585" s="251" t="str">
        <f>IFERROR(__xludf.DUMMYFUNCTION("""COMPUTED_VALUE"""),"9ef5c6cd-07e0-46bc-8c36-a1ac11b3d92f")</f>
        <v>9ef5c6cd-07e0-46bc-8c36-a1ac11b3d92f</v>
      </c>
      <c r="AM1585" s="251" t="str">
        <f>IFERROR(__xludf.DUMMYFUNCTION("""COMPUTED_VALUE"""),"CMT-14424")</f>
        <v>CMT-14424</v>
      </c>
      <c r="AN1585" s="251">
        <f>IFERROR(__xludf.DUMMYFUNCTION("""COMPUTED_VALUE"""),5222.75)</f>
        <v>5222.75</v>
      </c>
      <c r="AO1585" s="251" t="str">
        <f>IFERROR(__xludf.DUMMYFUNCTION("""COMPUTED_VALUE"""),"payout")</f>
        <v>payout</v>
      </c>
      <c r="AP1585" s="261">
        <f>IFERROR(__xludf.DUMMYFUNCTION("""COMPUTED_VALUE"""),46189.453414351854)</f>
        <v>46189.45341</v>
      </c>
      <c r="AR1585" s="251" t="str">
        <f t="shared" si="3"/>
        <v>5222.75_debit</v>
      </c>
      <c r="AS1585" s="251" t="str">
        <f t="shared" si="4"/>
        <v>DROP</v>
      </c>
      <c r="AT1585" s="247"/>
    </row>
    <row r="1586">
      <c r="C1586" s="277"/>
      <c r="O1586" s="247"/>
      <c r="AC1586" s="247"/>
      <c r="AD1586" s="251" t="str">
        <f>IFERROR(__xludf.DUMMYFUNCTION("""COMPUTED_VALUE"""),"73df5aae-f42a-49a0-9d8f-616ca6dbebaa")</f>
        <v>73df5aae-f42a-49a0-9d8f-616ca6dbebaa</v>
      </c>
      <c r="AE1586" s="251" t="str">
        <f>IFERROR(__xludf.DUMMYFUNCTION("""COMPUTED_VALUE"""),"019ed020-8c9b-7575-905b-530cc76ddc4a")</f>
        <v>019ed020-8c9b-7575-905b-530cc76ddc4a</v>
      </c>
      <c r="AF1586" s="261">
        <f>IFERROR(__xludf.DUMMYFUNCTION("""COMPUTED_VALUE"""),46189.46591435185)</f>
        <v>46189.46591</v>
      </c>
      <c r="AG1586" s="251" t="str">
        <f>IFERROR(__xludf.DUMMYFUNCTION("""COMPUTED_VALUE"""),"debit")</f>
        <v>debit</v>
      </c>
      <c r="AH1586" s="251">
        <f>IFERROR(__xludf.DUMMYFUNCTION("""COMPUTED_VALUE"""),15709.88)</f>
        <v>15709.88</v>
      </c>
      <c r="AI1586" s="251" t="str">
        <f>IFERROR(__xludf.DUMMYFUNCTION("""COMPUTED_VALUE"""),"lisa")</f>
        <v>lisa</v>
      </c>
      <c r="AJ1586" s="251" t="str">
        <f>IFERROR(__xludf.DUMMYFUNCTION("""COMPUTED_VALUE"""),"b7a59586-5d10-4989-91c2-f2376c7a6ab2")</f>
        <v>b7a59586-5d10-4989-91c2-f2376c7a6ab2</v>
      </c>
      <c r="AK1586" s="251" t="str">
        <f>IFERROR(__xludf.DUMMYFUNCTION("""COMPUTED_VALUE"""),"16417ef8-cb14-46e6-9fd0-dd166accab80")</f>
        <v>16417ef8-cb14-46e6-9fd0-dd166accab80</v>
      </c>
      <c r="AL1586" s="251" t="str">
        <f>IFERROR(__xludf.DUMMYFUNCTION("""COMPUTED_VALUE"""),"16417ef8-cb14-46e6-9fd0-dd166accab80")</f>
        <v>16417ef8-cb14-46e6-9fd0-dd166accab80</v>
      </c>
      <c r="AM1586" s="251" t="str">
        <f>IFERROR(__xludf.DUMMYFUNCTION("""COMPUTED_VALUE"""),"6989Monks")</f>
        <v>6989Monks</v>
      </c>
      <c r="AN1586" s="251">
        <f>IFERROR(__xludf.DUMMYFUNCTION("""COMPUTED_VALUE"""),15709.88)</f>
        <v>15709.88</v>
      </c>
      <c r="AO1586" s="251" t="str">
        <f>IFERROR(__xludf.DUMMYFUNCTION("""COMPUTED_VALUE"""),"payout")</f>
        <v>payout</v>
      </c>
      <c r="AP1586" s="261">
        <f>IFERROR(__xludf.DUMMYFUNCTION("""COMPUTED_VALUE"""),46189.46540509259)</f>
        <v>46189.46541</v>
      </c>
      <c r="AR1586" s="251" t="str">
        <f t="shared" si="3"/>
        <v>15709.88_debit</v>
      </c>
      <c r="AS1586" s="251" t="str">
        <f t="shared" si="4"/>
        <v>DROP</v>
      </c>
      <c r="AT1586" s="247"/>
    </row>
    <row r="1587">
      <c r="C1587" s="277"/>
      <c r="O1587" s="247"/>
      <c r="AC1587" s="247"/>
      <c r="AR1587" s="251" t="str">
        <f t="shared" si="3"/>
        <v>0_</v>
      </c>
      <c r="AS1587" s="251" t="str">
        <f t="shared" si="4"/>
        <v/>
      </c>
      <c r="AT1587" s="247"/>
    </row>
    <row r="1588">
      <c r="C1588" s="277"/>
      <c r="O1588" s="247"/>
      <c r="AC1588" s="247"/>
      <c r="AR1588" s="251" t="str">
        <f t="shared" si="3"/>
        <v>0_</v>
      </c>
      <c r="AS1588" s="251" t="str">
        <f t="shared" si="4"/>
        <v/>
      </c>
      <c r="AT1588" s="247"/>
    </row>
    <row r="1589">
      <c r="C1589" s="277"/>
      <c r="O1589" s="247"/>
      <c r="AC1589" s="247"/>
      <c r="AR1589" s="251" t="str">
        <f t="shared" si="3"/>
        <v>0_</v>
      </c>
      <c r="AS1589" s="251" t="str">
        <f t="shared" si="4"/>
        <v/>
      </c>
      <c r="AT1589" s="247"/>
    </row>
    <row r="1590">
      <c r="C1590" s="277"/>
      <c r="O1590" s="247"/>
      <c r="AC1590" s="247"/>
      <c r="AR1590" s="251" t="str">
        <f t="shared" si="3"/>
        <v>0_</v>
      </c>
      <c r="AS1590" s="251" t="str">
        <f t="shared" si="4"/>
        <v/>
      </c>
      <c r="AT1590" s="247"/>
    </row>
    <row r="1591">
      <c r="C1591" s="277"/>
      <c r="O1591" s="247"/>
      <c r="AC1591" s="247"/>
      <c r="AR1591" s="251" t="str">
        <f t="shared" si="3"/>
        <v>0_</v>
      </c>
      <c r="AS1591" s="251" t="str">
        <f t="shared" si="4"/>
        <v/>
      </c>
      <c r="AT1591" s="247"/>
    </row>
    <row r="1592">
      <c r="C1592" s="277"/>
      <c r="O1592" s="247"/>
      <c r="AC1592" s="247"/>
      <c r="AR1592" s="251" t="str">
        <f t="shared" si="3"/>
        <v>0_</v>
      </c>
      <c r="AS1592" s="251" t="str">
        <f t="shared" si="4"/>
        <v/>
      </c>
      <c r="AT1592" s="247"/>
    </row>
    <row r="1593">
      <c r="C1593" s="277"/>
      <c r="O1593" s="247"/>
      <c r="AC1593" s="247"/>
      <c r="AR1593" s="251" t="str">
        <f t="shared" si="3"/>
        <v>0_</v>
      </c>
      <c r="AS1593" s="251" t="str">
        <f t="shared" si="4"/>
        <v/>
      </c>
      <c r="AT1593" s="247"/>
    </row>
    <row r="1594">
      <c r="C1594" s="277"/>
      <c r="O1594" s="247"/>
      <c r="AC1594" s="247"/>
      <c r="AR1594" s="251" t="str">
        <f t="shared" si="3"/>
        <v>0_</v>
      </c>
      <c r="AS1594" s="251" t="str">
        <f t="shared" si="4"/>
        <v/>
      </c>
      <c r="AT1594" s="247"/>
    </row>
    <row r="1595">
      <c r="C1595" s="277"/>
      <c r="O1595" s="247"/>
      <c r="AC1595" s="247"/>
      <c r="AR1595" s="251" t="str">
        <f t="shared" si="3"/>
        <v>0_</v>
      </c>
      <c r="AS1595" s="251" t="str">
        <f t="shared" si="4"/>
        <v/>
      </c>
      <c r="AT1595" s="247"/>
    </row>
    <row r="1596">
      <c r="C1596" s="277"/>
      <c r="O1596" s="247"/>
      <c r="AC1596" s="247"/>
      <c r="AR1596" s="251" t="str">
        <f t="shared" si="3"/>
        <v>0_</v>
      </c>
      <c r="AS1596" s="251" t="str">
        <f t="shared" si="4"/>
        <v/>
      </c>
      <c r="AT1596" s="247"/>
    </row>
    <row r="1597">
      <c r="C1597" s="277"/>
      <c r="O1597" s="247"/>
      <c r="AC1597" s="247"/>
      <c r="AR1597" s="251" t="str">
        <f t="shared" si="3"/>
        <v>0_</v>
      </c>
      <c r="AS1597" s="251" t="str">
        <f t="shared" si="4"/>
        <v/>
      </c>
      <c r="AT1597" s="247"/>
    </row>
    <row r="1598">
      <c r="C1598" s="277"/>
      <c r="O1598" s="247"/>
      <c r="AC1598" s="247"/>
      <c r="AR1598" s="251" t="str">
        <f t="shared" si="3"/>
        <v>0_</v>
      </c>
      <c r="AS1598" s="251" t="str">
        <f t="shared" si="4"/>
        <v/>
      </c>
      <c r="AT1598" s="247"/>
    </row>
    <row r="1599">
      <c r="C1599" s="277"/>
      <c r="O1599" s="247"/>
      <c r="AC1599" s="247"/>
      <c r="AR1599" s="251" t="str">
        <f t="shared" si="3"/>
        <v>0_</v>
      </c>
      <c r="AS1599" s="251" t="str">
        <f t="shared" si="4"/>
        <v/>
      </c>
      <c r="AT1599" s="247"/>
    </row>
    <row r="1600">
      <c r="C1600" s="277"/>
      <c r="O1600" s="247"/>
      <c r="AC1600" s="247"/>
      <c r="AR1600" s="251" t="str">
        <f t="shared" si="3"/>
        <v>0_</v>
      </c>
      <c r="AS1600" s="251" t="str">
        <f t="shared" si="4"/>
        <v/>
      </c>
      <c r="AT1600" s="247"/>
    </row>
    <row r="1601">
      <c r="C1601" s="277"/>
      <c r="O1601" s="247"/>
      <c r="AC1601" s="247"/>
      <c r="AR1601" s="251" t="str">
        <f t="shared" si="3"/>
        <v>0_</v>
      </c>
      <c r="AS1601" s="251" t="str">
        <f t="shared" si="4"/>
        <v/>
      </c>
      <c r="AT1601" s="247"/>
    </row>
    <row r="1602">
      <c r="C1602" s="277"/>
      <c r="O1602" s="247"/>
      <c r="AC1602" s="247"/>
      <c r="AR1602" s="251" t="str">
        <f t="shared" si="3"/>
        <v>0_</v>
      </c>
      <c r="AS1602" s="251" t="str">
        <f t="shared" si="4"/>
        <v/>
      </c>
      <c r="AT1602" s="247"/>
    </row>
    <row r="1603">
      <c r="C1603" s="277"/>
      <c r="O1603" s="247"/>
      <c r="AC1603" s="247"/>
      <c r="AR1603" s="251" t="str">
        <f t="shared" si="3"/>
        <v>0_</v>
      </c>
      <c r="AS1603" s="251" t="str">
        <f t="shared" si="4"/>
        <v/>
      </c>
      <c r="AT1603" s="247"/>
    </row>
    <row r="1604">
      <c r="C1604" s="277"/>
      <c r="O1604" s="247"/>
      <c r="AC1604" s="247"/>
      <c r="AR1604" s="251" t="str">
        <f t="shared" si="3"/>
        <v>0_</v>
      </c>
      <c r="AS1604" s="251" t="str">
        <f t="shared" si="4"/>
        <v/>
      </c>
      <c r="AT1604" s="247"/>
    </row>
    <row r="1605">
      <c r="C1605" s="277"/>
      <c r="O1605" s="247"/>
      <c r="AC1605" s="247"/>
      <c r="AR1605" s="251" t="str">
        <f t="shared" si="3"/>
        <v>0_</v>
      </c>
      <c r="AS1605" s="251" t="str">
        <f t="shared" si="4"/>
        <v/>
      </c>
      <c r="AT1605" s="247"/>
    </row>
    <row r="1606">
      <c r="C1606" s="277"/>
      <c r="O1606" s="247"/>
      <c r="AC1606" s="247"/>
      <c r="AR1606" s="251" t="str">
        <f t="shared" si="3"/>
        <v>0_</v>
      </c>
      <c r="AS1606" s="251" t="str">
        <f t="shared" si="4"/>
        <v/>
      </c>
      <c r="AT1606" s="247"/>
    </row>
    <row r="1607">
      <c r="C1607" s="277"/>
      <c r="O1607" s="247"/>
      <c r="AC1607" s="247"/>
      <c r="AR1607" s="251" t="str">
        <f t="shared" si="3"/>
        <v>0_</v>
      </c>
      <c r="AS1607" s="251" t="str">
        <f t="shared" si="4"/>
        <v/>
      </c>
      <c r="AT1607" s="247"/>
    </row>
    <row r="1608">
      <c r="C1608" s="277"/>
      <c r="O1608" s="247"/>
      <c r="AC1608" s="247"/>
      <c r="AR1608" s="251" t="str">
        <f t="shared" si="3"/>
        <v>0_</v>
      </c>
      <c r="AS1608" s="251" t="str">
        <f t="shared" si="4"/>
        <v/>
      </c>
      <c r="AT1608" s="247"/>
    </row>
    <row r="1609">
      <c r="C1609" s="277"/>
      <c r="O1609" s="247"/>
      <c r="AC1609" s="247"/>
      <c r="AR1609" s="251" t="str">
        <f t="shared" si="3"/>
        <v>0_</v>
      </c>
      <c r="AS1609" s="251" t="str">
        <f t="shared" si="4"/>
        <v/>
      </c>
      <c r="AT1609" s="247"/>
    </row>
    <row r="1610">
      <c r="C1610" s="277"/>
      <c r="O1610" s="247"/>
      <c r="AC1610" s="247"/>
      <c r="AR1610" s="251" t="str">
        <f t="shared" si="3"/>
        <v>0_</v>
      </c>
      <c r="AS1610" s="251" t="str">
        <f t="shared" si="4"/>
        <v/>
      </c>
      <c r="AT1610" s="247"/>
    </row>
    <row r="1611">
      <c r="C1611" s="277"/>
      <c r="O1611" s="247"/>
      <c r="AC1611" s="247"/>
      <c r="AR1611" s="251" t="str">
        <f t="shared" si="3"/>
        <v>0_</v>
      </c>
      <c r="AS1611" s="251" t="str">
        <f t="shared" si="4"/>
        <v/>
      </c>
      <c r="AT1611" s="247"/>
    </row>
    <row r="1612">
      <c r="C1612" s="277"/>
      <c r="O1612" s="247"/>
      <c r="AC1612" s="247"/>
      <c r="AR1612" s="251" t="str">
        <f t="shared" si="3"/>
        <v>0_</v>
      </c>
      <c r="AS1612" s="251" t="str">
        <f t="shared" si="4"/>
        <v/>
      </c>
      <c r="AT1612" s="247"/>
    </row>
    <row r="1613">
      <c r="C1613" s="277"/>
      <c r="O1613" s="247"/>
      <c r="AC1613" s="247"/>
      <c r="AR1613" s="251" t="str">
        <f t="shared" si="3"/>
        <v>0_</v>
      </c>
      <c r="AS1613" s="251" t="str">
        <f t="shared" si="4"/>
        <v/>
      </c>
      <c r="AT1613" s="247"/>
    </row>
    <row r="1614">
      <c r="C1614" s="277"/>
      <c r="O1614" s="247"/>
      <c r="AC1614" s="247"/>
      <c r="AR1614" s="251" t="str">
        <f t="shared" si="3"/>
        <v>0_</v>
      </c>
      <c r="AS1614" s="251" t="str">
        <f t="shared" si="4"/>
        <v/>
      </c>
      <c r="AT1614" s="247"/>
    </row>
    <row r="1615">
      <c r="C1615" s="277"/>
      <c r="O1615" s="247"/>
      <c r="AC1615" s="247"/>
      <c r="AR1615" s="251" t="str">
        <f t="shared" si="3"/>
        <v>0_</v>
      </c>
      <c r="AS1615" s="251" t="str">
        <f t="shared" si="4"/>
        <v/>
      </c>
      <c r="AT1615" s="247"/>
    </row>
    <row r="1616">
      <c r="C1616" s="277"/>
      <c r="O1616" s="247"/>
      <c r="AC1616" s="247"/>
      <c r="AR1616" s="251" t="str">
        <f t="shared" si="3"/>
        <v>0_</v>
      </c>
      <c r="AS1616" s="251" t="str">
        <f t="shared" si="4"/>
        <v/>
      </c>
      <c r="AT1616" s="247"/>
    </row>
    <row r="1617">
      <c r="C1617" s="277"/>
      <c r="O1617" s="247"/>
      <c r="AC1617" s="247"/>
      <c r="AR1617" s="251" t="str">
        <f t="shared" si="3"/>
        <v>0_</v>
      </c>
      <c r="AS1617" s="251" t="str">
        <f t="shared" si="4"/>
        <v/>
      </c>
      <c r="AT1617" s="247"/>
    </row>
    <row r="1618">
      <c r="C1618" s="277"/>
      <c r="O1618" s="247"/>
      <c r="AC1618" s="247"/>
      <c r="AR1618" s="251" t="str">
        <f t="shared" si="3"/>
        <v>0_</v>
      </c>
      <c r="AS1618" s="251" t="str">
        <f t="shared" si="4"/>
        <v/>
      </c>
      <c r="AT1618" s="247"/>
    </row>
    <row r="1619">
      <c r="C1619" s="277"/>
      <c r="O1619" s="247"/>
      <c r="AC1619" s="247"/>
      <c r="AR1619" s="251" t="str">
        <f t="shared" si="3"/>
        <v>0_</v>
      </c>
      <c r="AS1619" s="251" t="str">
        <f t="shared" si="4"/>
        <v/>
      </c>
      <c r="AT1619" s="247"/>
    </row>
    <row r="1620">
      <c r="C1620" s="277"/>
      <c r="O1620" s="247"/>
      <c r="AC1620" s="247"/>
      <c r="AR1620" s="251" t="str">
        <f t="shared" si="3"/>
        <v>0_</v>
      </c>
      <c r="AS1620" s="251" t="str">
        <f t="shared" si="4"/>
        <v/>
      </c>
      <c r="AT1620" s="247"/>
    </row>
    <row r="1621">
      <c r="C1621" s="277"/>
      <c r="O1621" s="247"/>
      <c r="AC1621" s="247"/>
      <c r="AR1621" s="251" t="str">
        <f t="shared" si="3"/>
        <v>0_</v>
      </c>
      <c r="AS1621" s="251" t="str">
        <f t="shared" si="4"/>
        <v/>
      </c>
      <c r="AT1621" s="247"/>
    </row>
    <row r="1622">
      <c r="C1622" s="277"/>
      <c r="O1622" s="247"/>
      <c r="AC1622" s="247"/>
      <c r="AR1622" s="251" t="str">
        <f t="shared" si="3"/>
        <v>0_</v>
      </c>
      <c r="AS1622" s="251" t="str">
        <f t="shared" si="4"/>
        <v/>
      </c>
      <c r="AT1622" s="247"/>
    </row>
    <row r="1623">
      <c r="C1623" s="277"/>
      <c r="O1623" s="247"/>
      <c r="AC1623" s="247"/>
      <c r="AR1623" s="251" t="str">
        <f t="shared" si="3"/>
        <v>0_</v>
      </c>
      <c r="AS1623" s="251" t="str">
        <f t="shared" si="4"/>
        <v/>
      </c>
      <c r="AT1623" s="247"/>
    </row>
    <row r="1624">
      <c r="C1624" s="277"/>
      <c r="O1624" s="247"/>
      <c r="AC1624" s="247"/>
      <c r="AR1624" s="251" t="str">
        <f t="shared" si="3"/>
        <v>0_</v>
      </c>
      <c r="AS1624" s="251" t="str">
        <f t="shared" si="4"/>
        <v/>
      </c>
      <c r="AT1624" s="247"/>
    </row>
    <row r="1625">
      <c r="C1625" s="277"/>
      <c r="O1625" s="247"/>
      <c r="AC1625" s="247"/>
      <c r="AR1625" s="251" t="str">
        <f t="shared" si="3"/>
        <v>0_</v>
      </c>
      <c r="AS1625" s="251" t="str">
        <f t="shared" si="4"/>
        <v/>
      </c>
      <c r="AT1625" s="247"/>
    </row>
    <row r="1626">
      <c r="C1626" s="277"/>
      <c r="O1626" s="247"/>
      <c r="AC1626" s="247"/>
      <c r="AR1626" s="251" t="str">
        <f t="shared" si="3"/>
        <v>0_</v>
      </c>
      <c r="AS1626" s="251" t="str">
        <f t="shared" si="4"/>
        <v/>
      </c>
      <c r="AT1626" s="247"/>
    </row>
    <row r="1627">
      <c r="C1627" s="277"/>
      <c r="O1627" s="247"/>
      <c r="AC1627" s="247"/>
      <c r="AR1627" s="251" t="str">
        <f t="shared" si="3"/>
        <v>0_</v>
      </c>
      <c r="AS1627" s="251" t="str">
        <f t="shared" si="4"/>
        <v/>
      </c>
      <c r="AT1627" s="247"/>
    </row>
    <row r="1628">
      <c r="C1628" s="277"/>
      <c r="O1628" s="247"/>
      <c r="AC1628" s="247"/>
      <c r="AR1628" s="251" t="str">
        <f t="shared" si="3"/>
        <v>0_</v>
      </c>
      <c r="AS1628" s="251" t="str">
        <f t="shared" si="4"/>
        <v/>
      </c>
      <c r="AT1628" s="247"/>
    </row>
    <row r="1629">
      <c r="C1629" s="277"/>
      <c r="O1629" s="247"/>
      <c r="AC1629" s="247"/>
      <c r="AR1629" s="251" t="str">
        <f t="shared" si="3"/>
        <v>0_</v>
      </c>
      <c r="AS1629" s="251" t="str">
        <f t="shared" si="4"/>
        <v/>
      </c>
      <c r="AT1629" s="247"/>
    </row>
    <row r="1630">
      <c r="C1630" s="277"/>
      <c r="O1630" s="247"/>
      <c r="AC1630" s="247"/>
      <c r="AR1630" s="251" t="str">
        <f t="shared" si="3"/>
        <v>0_</v>
      </c>
      <c r="AS1630" s="251" t="str">
        <f t="shared" si="4"/>
        <v/>
      </c>
      <c r="AT1630" s="247"/>
    </row>
    <row r="1631">
      <c r="C1631" s="277"/>
      <c r="O1631" s="247"/>
      <c r="AC1631" s="247"/>
      <c r="AR1631" s="251" t="str">
        <f t="shared" si="3"/>
        <v>0_</v>
      </c>
      <c r="AS1631" s="251" t="str">
        <f t="shared" si="4"/>
        <v/>
      </c>
      <c r="AT1631" s="247"/>
    </row>
    <row r="1632">
      <c r="C1632" s="277"/>
      <c r="O1632" s="247"/>
      <c r="AC1632" s="247"/>
      <c r="AR1632" s="251" t="str">
        <f t="shared" si="3"/>
        <v>0_</v>
      </c>
      <c r="AS1632" s="251" t="str">
        <f t="shared" si="4"/>
        <v/>
      </c>
      <c r="AT1632" s="247"/>
    </row>
    <row r="1633">
      <c r="C1633" s="277"/>
      <c r="O1633" s="247"/>
      <c r="AC1633" s="247"/>
      <c r="AR1633" s="251" t="str">
        <f t="shared" si="3"/>
        <v>0_</v>
      </c>
      <c r="AS1633" s="251" t="str">
        <f t="shared" si="4"/>
        <v/>
      </c>
      <c r="AT1633" s="247"/>
    </row>
    <row r="1634">
      <c r="C1634" s="277"/>
      <c r="O1634" s="247"/>
      <c r="AC1634" s="247"/>
      <c r="AR1634" s="251" t="str">
        <f t="shared" si="3"/>
        <v>0_</v>
      </c>
      <c r="AS1634" s="251" t="str">
        <f t="shared" si="4"/>
        <v/>
      </c>
      <c r="AT1634" s="247"/>
    </row>
    <row r="1635">
      <c r="C1635" s="277"/>
      <c r="O1635" s="247"/>
      <c r="AC1635" s="247"/>
      <c r="AR1635" s="251" t="str">
        <f t="shared" si="3"/>
        <v>0_</v>
      </c>
      <c r="AS1635" s="251" t="str">
        <f t="shared" si="4"/>
        <v/>
      </c>
      <c r="AT1635" s="247"/>
    </row>
    <row r="1636">
      <c r="C1636" s="277"/>
      <c r="O1636" s="247"/>
      <c r="AC1636" s="247"/>
      <c r="AR1636" s="251" t="str">
        <f t="shared" si="3"/>
        <v>0_</v>
      </c>
      <c r="AS1636" s="251" t="str">
        <f t="shared" si="4"/>
        <v/>
      </c>
      <c r="AT1636" s="247"/>
    </row>
    <row r="1637">
      <c r="C1637" s="277"/>
      <c r="O1637" s="247"/>
      <c r="AC1637" s="247"/>
      <c r="AR1637" s="251" t="str">
        <f t="shared" si="3"/>
        <v>0_</v>
      </c>
      <c r="AS1637" s="251" t="str">
        <f t="shared" si="4"/>
        <v/>
      </c>
      <c r="AT1637" s="247"/>
    </row>
    <row r="1638">
      <c r="C1638" s="277"/>
      <c r="O1638" s="247"/>
      <c r="AC1638" s="247"/>
      <c r="AR1638" s="251" t="str">
        <f t="shared" si="3"/>
        <v>0_</v>
      </c>
      <c r="AS1638" s="251" t="str">
        <f t="shared" si="4"/>
        <v/>
      </c>
      <c r="AT1638" s="247"/>
    </row>
    <row r="1639">
      <c r="C1639" s="277"/>
      <c r="O1639" s="247"/>
      <c r="AC1639" s="247"/>
      <c r="AR1639" s="251" t="str">
        <f t="shared" si="3"/>
        <v>0_</v>
      </c>
      <c r="AS1639" s="251" t="str">
        <f t="shared" si="4"/>
        <v/>
      </c>
      <c r="AT1639" s="247"/>
    </row>
    <row r="1640">
      <c r="C1640" s="277"/>
      <c r="O1640" s="247"/>
      <c r="AC1640" s="247"/>
      <c r="AR1640" s="251" t="str">
        <f t="shared" si="3"/>
        <v>0_</v>
      </c>
      <c r="AS1640" s="251" t="str">
        <f t="shared" si="4"/>
        <v/>
      </c>
      <c r="AT1640" s="247"/>
    </row>
    <row r="1641">
      <c r="C1641" s="277"/>
      <c r="O1641" s="247"/>
      <c r="AC1641" s="247"/>
      <c r="AR1641" s="251" t="str">
        <f t="shared" si="3"/>
        <v>0_</v>
      </c>
      <c r="AS1641" s="251" t="str">
        <f t="shared" si="4"/>
        <v/>
      </c>
      <c r="AT1641" s="247"/>
    </row>
    <row r="1642">
      <c r="C1642" s="277"/>
      <c r="O1642" s="247"/>
      <c r="AC1642" s="247"/>
      <c r="AR1642" s="251" t="str">
        <f t="shared" si="3"/>
        <v>0_</v>
      </c>
      <c r="AS1642" s="251" t="str">
        <f t="shared" si="4"/>
        <v/>
      </c>
      <c r="AT1642" s="247"/>
    </row>
    <row r="1643">
      <c r="C1643" s="277"/>
      <c r="O1643" s="247"/>
      <c r="AC1643" s="247"/>
      <c r="AR1643" s="251" t="str">
        <f t="shared" si="3"/>
        <v>0_</v>
      </c>
      <c r="AS1643" s="251" t="str">
        <f t="shared" si="4"/>
        <v/>
      </c>
      <c r="AT1643" s="247"/>
    </row>
    <row r="1644">
      <c r="C1644" s="277"/>
      <c r="O1644" s="247"/>
      <c r="AC1644" s="247"/>
      <c r="AR1644" s="251" t="str">
        <f t="shared" si="3"/>
        <v>0_</v>
      </c>
      <c r="AS1644" s="251" t="str">
        <f t="shared" si="4"/>
        <v/>
      </c>
      <c r="AT1644" s="247"/>
    </row>
    <row r="1645">
      <c r="C1645" s="277"/>
      <c r="O1645" s="247"/>
      <c r="AC1645" s="247"/>
      <c r="AR1645" s="251" t="str">
        <f t="shared" si="3"/>
        <v>0_</v>
      </c>
      <c r="AS1645" s="251" t="str">
        <f t="shared" si="4"/>
        <v/>
      </c>
      <c r="AT1645" s="247"/>
    </row>
    <row r="1646">
      <c r="C1646" s="277"/>
      <c r="O1646" s="247"/>
      <c r="AC1646" s="247"/>
      <c r="AR1646" s="251" t="str">
        <f t="shared" si="3"/>
        <v>0_</v>
      </c>
      <c r="AS1646" s="251" t="str">
        <f t="shared" si="4"/>
        <v/>
      </c>
      <c r="AT1646" s="247"/>
    </row>
    <row r="1647">
      <c r="C1647" s="277"/>
      <c r="O1647" s="247"/>
      <c r="AC1647" s="247"/>
      <c r="AR1647" s="251" t="str">
        <f t="shared" si="3"/>
        <v>0_</v>
      </c>
      <c r="AS1647" s="251" t="str">
        <f t="shared" si="4"/>
        <v/>
      </c>
      <c r="AT1647" s="247"/>
    </row>
    <row r="1648">
      <c r="C1648" s="277"/>
      <c r="O1648" s="247"/>
      <c r="AC1648" s="247"/>
      <c r="AR1648" s="251" t="str">
        <f t="shared" si="3"/>
        <v>0_</v>
      </c>
      <c r="AS1648" s="251" t="str">
        <f t="shared" si="4"/>
        <v/>
      </c>
      <c r="AT1648" s="247"/>
    </row>
    <row r="1649">
      <c r="C1649" s="277"/>
      <c r="O1649" s="247"/>
      <c r="AC1649" s="247"/>
      <c r="AR1649" s="251" t="str">
        <f t="shared" si="3"/>
        <v>0_</v>
      </c>
      <c r="AS1649" s="251" t="str">
        <f t="shared" si="4"/>
        <v/>
      </c>
      <c r="AT1649" s="247"/>
    </row>
    <row r="1650">
      <c r="C1650" s="277"/>
      <c r="O1650" s="247"/>
      <c r="AC1650" s="247"/>
      <c r="AR1650" s="251" t="str">
        <f t="shared" si="3"/>
        <v>0_</v>
      </c>
      <c r="AS1650" s="251" t="str">
        <f t="shared" si="4"/>
        <v/>
      </c>
      <c r="AT1650" s="247"/>
    </row>
    <row r="1651">
      <c r="C1651" s="277"/>
      <c r="O1651" s="247"/>
      <c r="AC1651" s="247"/>
      <c r="AR1651" s="251" t="str">
        <f t="shared" si="3"/>
        <v>0_</v>
      </c>
      <c r="AS1651" s="251" t="str">
        <f t="shared" si="4"/>
        <v/>
      </c>
      <c r="AT1651" s="247"/>
    </row>
    <row r="1652">
      <c r="C1652" s="277"/>
      <c r="O1652" s="247"/>
      <c r="AC1652" s="247"/>
      <c r="AR1652" s="251" t="str">
        <f t="shared" si="3"/>
        <v>0_</v>
      </c>
      <c r="AS1652" s="251" t="str">
        <f t="shared" si="4"/>
        <v/>
      </c>
      <c r="AT1652" s="247"/>
    </row>
    <row r="1653">
      <c r="C1653" s="277"/>
      <c r="O1653" s="247"/>
      <c r="AC1653" s="247"/>
      <c r="AR1653" s="251" t="str">
        <f t="shared" si="3"/>
        <v>0_</v>
      </c>
      <c r="AS1653" s="251" t="str">
        <f t="shared" si="4"/>
        <v/>
      </c>
      <c r="AT1653" s="247"/>
    </row>
    <row r="1654">
      <c r="C1654" s="277"/>
      <c r="O1654" s="247"/>
      <c r="AC1654" s="247"/>
      <c r="AR1654" s="251" t="str">
        <f t="shared" si="3"/>
        <v>0_</v>
      </c>
      <c r="AS1654" s="251" t="str">
        <f t="shared" si="4"/>
        <v/>
      </c>
      <c r="AT1654" s="247"/>
    </row>
    <row r="1655">
      <c r="C1655" s="277"/>
      <c r="O1655" s="247"/>
      <c r="AC1655" s="247"/>
      <c r="AR1655" s="251" t="str">
        <f t="shared" si="3"/>
        <v>0_</v>
      </c>
      <c r="AS1655" s="251" t="str">
        <f t="shared" si="4"/>
        <v/>
      </c>
      <c r="AT1655" s="247"/>
    </row>
    <row r="1656">
      <c r="C1656" s="277"/>
      <c r="O1656" s="247"/>
      <c r="AC1656" s="247"/>
      <c r="AR1656" s="251" t="str">
        <f t="shared" si="3"/>
        <v>0_</v>
      </c>
      <c r="AS1656" s="251" t="str">
        <f t="shared" si="4"/>
        <v/>
      </c>
      <c r="AT1656" s="247"/>
    </row>
    <row r="1657">
      <c r="C1657" s="277"/>
      <c r="O1657" s="247"/>
      <c r="AC1657" s="247"/>
      <c r="AR1657" s="251" t="str">
        <f t="shared" si="3"/>
        <v>0_</v>
      </c>
      <c r="AS1657" s="251" t="str">
        <f t="shared" si="4"/>
        <v/>
      </c>
      <c r="AT1657" s="247"/>
    </row>
    <row r="1658">
      <c r="C1658" s="277"/>
      <c r="O1658" s="247"/>
      <c r="AC1658" s="247"/>
      <c r="AR1658" s="251" t="str">
        <f t="shared" si="3"/>
        <v>0_</v>
      </c>
      <c r="AS1658" s="251" t="str">
        <f t="shared" si="4"/>
        <v/>
      </c>
      <c r="AT1658" s="247"/>
    </row>
    <row r="1659">
      <c r="C1659" s="277"/>
      <c r="O1659" s="247"/>
      <c r="AC1659" s="247"/>
      <c r="AR1659" s="251" t="str">
        <f t="shared" si="3"/>
        <v>0_</v>
      </c>
      <c r="AS1659" s="251" t="str">
        <f t="shared" si="4"/>
        <v/>
      </c>
      <c r="AT1659" s="247"/>
    </row>
    <row r="1660">
      <c r="C1660" s="277"/>
      <c r="O1660" s="247"/>
      <c r="AC1660" s="247"/>
      <c r="AR1660" s="251" t="str">
        <f t="shared" si="3"/>
        <v>0_</v>
      </c>
      <c r="AS1660" s="251" t="str">
        <f t="shared" si="4"/>
        <v/>
      </c>
      <c r="AT1660" s="247"/>
    </row>
    <row r="1661">
      <c r="C1661" s="277"/>
      <c r="O1661" s="247"/>
      <c r="AC1661" s="247"/>
      <c r="AR1661" s="251" t="str">
        <f t="shared" si="3"/>
        <v>0_</v>
      </c>
      <c r="AS1661" s="251" t="str">
        <f t="shared" si="4"/>
        <v/>
      </c>
      <c r="AT1661" s="247"/>
    </row>
    <row r="1662">
      <c r="C1662" s="277"/>
      <c r="O1662" s="247"/>
      <c r="AC1662" s="247"/>
      <c r="AR1662" s="251" t="str">
        <f t="shared" si="3"/>
        <v>0_</v>
      </c>
      <c r="AS1662" s="251" t="str">
        <f t="shared" si="4"/>
        <v/>
      </c>
      <c r="AT1662" s="247"/>
    </row>
    <row r="1663">
      <c r="C1663" s="277"/>
      <c r="O1663" s="247"/>
      <c r="AC1663" s="247"/>
      <c r="AR1663" s="251" t="str">
        <f t="shared" si="3"/>
        <v>0_</v>
      </c>
      <c r="AS1663" s="251" t="str">
        <f t="shared" si="4"/>
        <v/>
      </c>
      <c r="AT1663" s="247"/>
    </row>
    <row r="1664">
      <c r="C1664" s="277"/>
      <c r="O1664" s="247"/>
      <c r="AC1664" s="247"/>
      <c r="AR1664" s="251" t="str">
        <f t="shared" si="3"/>
        <v>0_</v>
      </c>
      <c r="AS1664" s="251" t="str">
        <f t="shared" si="4"/>
        <v/>
      </c>
      <c r="AT1664" s="247"/>
    </row>
    <row r="1665">
      <c r="C1665" s="277"/>
      <c r="O1665" s="247"/>
      <c r="AC1665" s="247"/>
      <c r="AR1665" s="251" t="str">
        <f t="shared" si="3"/>
        <v>0_</v>
      </c>
      <c r="AS1665" s="251" t="str">
        <f t="shared" si="4"/>
        <v/>
      </c>
      <c r="AT1665" s="247"/>
    </row>
    <row r="1666">
      <c r="C1666" s="277"/>
      <c r="O1666" s="247"/>
      <c r="AC1666" s="247"/>
      <c r="AR1666" s="251" t="str">
        <f t="shared" si="3"/>
        <v>0_</v>
      </c>
      <c r="AS1666" s="251" t="str">
        <f t="shared" si="4"/>
        <v/>
      </c>
      <c r="AT1666" s="247"/>
    </row>
    <row r="1667">
      <c r="C1667" s="277"/>
      <c r="O1667" s="247"/>
      <c r="AC1667" s="247"/>
      <c r="AR1667" s="251" t="str">
        <f t="shared" si="3"/>
        <v>0_</v>
      </c>
      <c r="AS1667" s="251" t="str">
        <f t="shared" si="4"/>
        <v/>
      </c>
      <c r="AT1667" s="247"/>
    </row>
    <row r="1668">
      <c r="C1668" s="277"/>
      <c r="O1668" s="247"/>
      <c r="AC1668" s="247"/>
      <c r="AR1668" s="251" t="str">
        <f t="shared" si="3"/>
        <v>0_</v>
      </c>
      <c r="AS1668" s="251" t="str">
        <f t="shared" si="4"/>
        <v/>
      </c>
      <c r="AT1668" s="247"/>
    </row>
    <row r="1669">
      <c r="C1669" s="277"/>
      <c r="O1669" s="247"/>
      <c r="AC1669" s="247"/>
      <c r="AR1669" s="251" t="str">
        <f t="shared" si="3"/>
        <v>0_</v>
      </c>
      <c r="AS1669" s="251" t="str">
        <f t="shared" si="4"/>
        <v/>
      </c>
      <c r="AT1669" s="247"/>
    </row>
    <row r="1670">
      <c r="C1670" s="277"/>
      <c r="O1670" s="247"/>
      <c r="AC1670" s="247"/>
      <c r="AR1670" s="251" t="str">
        <f t="shared" si="3"/>
        <v>0_</v>
      </c>
      <c r="AS1670" s="251" t="str">
        <f t="shared" si="4"/>
        <v/>
      </c>
      <c r="AT1670" s="247"/>
    </row>
    <row r="1671">
      <c r="C1671" s="277"/>
      <c r="O1671" s="247"/>
      <c r="AC1671" s="247"/>
      <c r="AR1671" s="251" t="str">
        <f t="shared" si="3"/>
        <v>0_</v>
      </c>
      <c r="AS1671" s="251" t="str">
        <f t="shared" si="4"/>
        <v/>
      </c>
      <c r="AT1671" s="247"/>
    </row>
    <row r="1672">
      <c r="C1672" s="277"/>
      <c r="O1672" s="247"/>
      <c r="AC1672" s="247"/>
      <c r="AR1672" s="251" t="str">
        <f t="shared" si="3"/>
        <v>0_</v>
      </c>
      <c r="AS1672" s="251" t="str">
        <f t="shared" si="4"/>
        <v/>
      </c>
      <c r="AT1672" s="247"/>
    </row>
    <row r="1673">
      <c r="C1673" s="277"/>
      <c r="O1673" s="247"/>
      <c r="AC1673" s="247"/>
      <c r="AR1673" s="251" t="str">
        <f t="shared" si="3"/>
        <v>0_</v>
      </c>
      <c r="AS1673" s="251" t="str">
        <f t="shared" si="4"/>
        <v/>
      </c>
      <c r="AT1673" s="247"/>
    </row>
    <row r="1674">
      <c r="C1674" s="277"/>
      <c r="O1674" s="247"/>
      <c r="AC1674" s="247"/>
      <c r="AR1674" s="251" t="str">
        <f t="shared" si="3"/>
        <v>0_</v>
      </c>
      <c r="AS1674" s="251" t="str">
        <f t="shared" si="4"/>
        <v/>
      </c>
      <c r="AT1674" s="247"/>
    </row>
    <row r="1675">
      <c r="C1675" s="277"/>
      <c r="O1675" s="247"/>
      <c r="AC1675" s="247"/>
      <c r="AR1675" s="251" t="str">
        <f t="shared" si="3"/>
        <v>0_</v>
      </c>
      <c r="AS1675" s="251" t="str">
        <f t="shared" si="4"/>
        <v/>
      </c>
      <c r="AT1675" s="247"/>
    </row>
    <row r="1676">
      <c r="C1676" s="277"/>
      <c r="O1676" s="247"/>
      <c r="AC1676" s="247"/>
      <c r="AR1676" s="251" t="str">
        <f t="shared" si="3"/>
        <v>0_</v>
      </c>
      <c r="AS1676" s="251" t="str">
        <f t="shared" si="4"/>
        <v/>
      </c>
      <c r="AT1676" s="247"/>
    </row>
    <row r="1677">
      <c r="C1677" s="277"/>
      <c r="O1677" s="247"/>
      <c r="AC1677" s="247"/>
      <c r="AR1677" s="251" t="str">
        <f t="shared" si="3"/>
        <v>0_</v>
      </c>
      <c r="AS1677" s="251" t="str">
        <f t="shared" si="4"/>
        <v/>
      </c>
      <c r="AT1677" s="247"/>
    </row>
    <row r="1678">
      <c r="C1678" s="277"/>
      <c r="O1678" s="247"/>
      <c r="AC1678" s="247"/>
      <c r="AR1678" s="251" t="str">
        <f t="shared" si="3"/>
        <v>0_</v>
      </c>
      <c r="AS1678" s="251" t="str">
        <f t="shared" si="4"/>
        <v/>
      </c>
      <c r="AT1678" s="247"/>
    </row>
    <row r="1679">
      <c r="C1679" s="277"/>
      <c r="O1679" s="247"/>
      <c r="AC1679" s="247"/>
      <c r="AR1679" s="251" t="str">
        <f t="shared" si="3"/>
        <v>0_</v>
      </c>
      <c r="AS1679" s="251" t="str">
        <f t="shared" si="4"/>
        <v/>
      </c>
      <c r="AT1679" s="247"/>
    </row>
    <row r="1680">
      <c r="C1680" s="277"/>
      <c r="O1680" s="247"/>
      <c r="AC1680" s="247"/>
      <c r="AR1680" s="251" t="str">
        <f t="shared" si="3"/>
        <v>0_</v>
      </c>
      <c r="AS1680" s="251" t="str">
        <f t="shared" si="4"/>
        <v/>
      </c>
      <c r="AT1680" s="247"/>
    </row>
    <row r="1681">
      <c r="C1681" s="277"/>
      <c r="O1681" s="247"/>
      <c r="AC1681" s="247"/>
      <c r="AR1681" s="251" t="str">
        <f t="shared" si="3"/>
        <v>0_</v>
      </c>
      <c r="AS1681" s="251" t="str">
        <f t="shared" si="4"/>
        <v/>
      </c>
      <c r="AT1681" s="247"/>
    </row>
    <row r="1682">
      <c r="C1682" s="277"/>
      <c r="O1682" s="247"/>
      <c r="AC1682" s="247"/>
      <c r="AR1682" s="251" t="str">
        <f t="shared" si="3"/>
        <v>0_</v>
      </c>
      <c r="AS1682" s="251" t="str">
        <f t="shared" si="4"/>
        <v/>
      </c>
      <c r="AT1682" s="247"/>
    </row>
    <row r="1683">
      <c r="C1683" s="277"/>
      <c r="O1683" s="247"/>
      <c r="AC1683" s="247"/>
      <c r="AR1683" s="251" t="str">
        <f t="shared" si="3"/>
        <v>0_</v>
      </c>
      <c r="AS1683" s="251" t="str">
        <f t="shared" si="4"/>
        <v/>
      </c>
      <c r="AT1683" s="247"/>
    </row>
    <row r="1684">
      <c r="C1684" s="277"/>
      <c r="O1684" s="247"/>
      <c r="AC1684" s="247"/>
      <c r="AR1684" s="251" t="str">
        <f t="shared" si="3"/>
        <v>0_</v>
      </c>
      <c r="AS1684" s="251" t="str">
        <f t="shared" si="4"/>
        <v/>
      </c>
      <c r="AT1684" s="247"/>
    </row>
    <row r="1685">
      <c r="C1685" s="277"/>
      <c r="O1685" s="247"/>
      <c r="AC1685" s="247"/>
      <c r="AR1685" s="251" t="str">
        <f t="shared" si="3"/>
        <v>0_</v>
      </c>
      <c r="AS1685" s="251" t="str">
        <f t="shared" si="4"/>
        <v/>
      </c>
      <c r="AT1685" s="247"/>
    </row>
    <row r="1686">
      <c r="C1686" s="277"/>
      <c r="O1686" s="247"/>
      <c r="AC1686" s="247"/>
      <c r="AR1686" s="251" t="str">
        <f t="shared" si="3"/>
        <v>0_</v>
      </c>
      <c r="AS1686" s="251" t="str">
        <f t="shared" si="4"/>
        <v/>
      </c>
      <c r="AT1686" s="247"/>
    </row>
    <row r="1687">
      <c r="C1687" s="277"/>
      <c r="O1687" s="247"/>
      <c r="AC1687" s="247"/>
      <c r="AR1687" s="251" t="str">
        <f t="shared" si="3"/>
        <v>0_</v>
      </c>
      <c r="AS1687" s="251" t="str">
        <f t="shared" si="4"/>
        <v/>
      </c>
      <c r="AT1687" s="247"/>
    </row>
    <row r="1688">
      <c r="C1688" s="277"/>
      <c r="O1688" s="247"/>
      <c r="AC1688" s="247"/>
      <c r="AR1688" s="251" t="str">
        <f t="shared" si="3"/>
        <v>0_</v>
      </c>
      <c r="AS1688" s="251" t="str">
        <f t="shared" si="4"/>
        <v/>
      </c>
      <c r="AT1688" s="247"/>
    </row>
    <row r="1689">
      <c r="C1689" s="277"/>
      <c r="O1689" s="247"/>
      <c r="AC1689" s="247"/>
      <c r="AR1689" s="251" t="str">
        <f t="shared" si="3"/>
        <v>0_</v>
      </c>
      <c r="AS1689" s="251" t="str">
        <f t="shared" si="4"/>
        <v/>
      </c>
      <c r="AT1689" s="247"/>
    </row>
    <row r="1690">
      <c r="C1690" s="277"/>
      <c r="O1690" s="247"/>
      <c r="AC1690" s="247"/>
      <c r="AR1690" s="251" t="str">
        <f t="shared" si="3"/>
        <v>0_</v>
      </c>
      <c r="AS1690" s="251" t="str">
        <f t="shared" si="4"/>
        <v/>
      </c>
      <c r="AT1690" s="247"/>
    </row>
    <row r="1691">
      <c r="C1691" s="277"/>
      <c r="O1691" s="247"/>
      <c r="AC1691" s="247"/>
      <c r="AR1691" s="251" t="str">
        <f t="shared" si="3"/>
        <v>0_</v>
      </c>
      <c r="AS1691" s="251" t="str">
        <f t="shared" si="4"/>
        <v/>
      </c>
      <c r="AT1691" s="247"/>
    </row>
    <row r="1692">
      <c r="C1692" s="277"/>
      <c r="O1692" s="247"/>
      <c r="AC1692" s="247"/>
      <c r="AR1692" s="251" t="str">
        <f t="shared" si="3"/>
        <v>0_</v>
      </c>
      <c r="AS1692" s="251" t="str">
        <f t="shared" si="4"/>
        <v/>
      </c>
      <c r="AT1692" s="247"/>
    </row>
    <row r="1693">
      <c r="C1693" s="277"/>
      <c r="O1693" s="247"/>
      <c r="AC1693" s="247"/>
      <c r="AR1693" s="251" t="str">
        <f t="shared" si="3"/>
        <v>0_</v>
      </c>
      <c r="AS1693" s="251" t="str">
        <f t="shared" si="4"/>
        <v/>
      </c>
      <c r="AT1693" s="247"/>
    </row>
    <row r="1694">
      <c r="C1694" s="277"/>
      <c r="O1694" s="247"/>
      <c r="AC1694" s="247"/>
      <c r="AR1694" s="251" t="str">
        <f t="shared" si="3"/>
        <v>0_</v>
      </c>
      <c r="AS1694" s="251" t="str">
        <f t="shared" si="4"/>
        <v/>
      </c>
      <c r="AT1694" s="247"/>
    </row>
    <row r="1695">
      <c r="C1695" s="277"/>
      <c r="O1695" s="247"/>
      <c r="AC1695" s="247"/>
      <c r="AR1695" s="251" t="str">
        <f t="shared" si="3"/>
        <v>0_</v>
      </c>
      <c r="AS1695" s="251" t="str">
        <f t="shared" si="4"/>
        <v/>
      </c>
      <c r="AT1695" s="247"/>
    </row>
    <row r="1696">
      <c r="C1696" s="277"/>
      <c r="O1696" s="247"/>
      <c r="AC1696" s="247"/>
      <c r="AR1696" s="251" t="str">
        <f t="shared" si="3"/>
        <v>0_</v>
      </c>
      <c r="AS1696" s="251" t="str">
        <f t="shared" si="4"/>
        <v/>
      </c>
      <c r="AT1696" s="247"/>
    </row>
    <row r="1697">
      <c r="C1697" s="277"/>
      <c r="O1697" s="247"/>
      <c r="AC1697" s="247"/>
      <c r="AR1697" s="251" t="str">
        <f t="shared" si="3"/>
        <v>0_</v>
      </c>
      <c r="AS1697" s="251" t="str">
        <f t="shared" si="4"/>
        <v/>
      </c>
      <c r="AT1697" s="247"/>
    </row>
    <row r="1698">
      <c r="C1698" s="277"/>
      <c r="O1698" s="247"/>
      <c r="AC1698" s="247"/>
      <c r="AR1698" s="251" t="str">
        <f t="shared" si="3"/>
        <v>0_</v>
      </c>
      <c r="AS1698" s="251" t="str">
        <f t="shared" si="4"/>
        <v/>
      </c>
      <c r="AT1698" s="247"/>
    </row>
    <row r="1699">
      <c r="C1699" s="277"/>
      <c r="O1699" s="247"/>
      <c r="AC1699" s="247"/>
      <c r="AR1699" s="251" t="str">
        <f t="shared" si="3"/>
        <v>0_</v>
      </c>
      <c r="AS1699" s="251" t="str">
        <f t="shared" si="4"/>
        <v/>
      </c>
      <c r="AT1699" s="247"/>
    </row>
    <row r="1700">
      <c r="C1700" s="277"/>
      <c r="O1700" s="247"/>
      <c r="AC1700" s="247"/>
      <c r="AR1700" s="251" t="str">
        <f t="shared" si="3"/>
        <v>0_</v>
      </c>
      <c r="AS1700" s="251" t="str">
        <f t="shared" si="4"/>
        <v/>
      </c>
      <c r="AT1700" s="247"/>
    </row>
    <row r="1701">
      <c r="C1701" s="277"/>
      <c r="O1701" s="247"/>
      <c r="AC1701" s="247"/>
      <c r="AR1701" s="251" t="str">
        <f t="shared" si="3"/>
        <v>0_</v>
      </c>
      <c r="AS1701" s="251" t="str">
        <f t="shared" si="4"/>
        <v/>
      </c>
      <c r="AT1701" s="247"/>
    </row>
    <row r="1702">
      <c r="C1702" s="277"/>
      <c r="O1702" s="247"/>
      <c r="AC1702" s="247"/>
      <c r="AR1702" s="251" t="str">
        <f t="shared" si="3"/>
        <v>0_</v>
      </c>
      <c r="AS1702" s="251" t="str">
        <f t="shared" si="4"/>
        <v/>
      </c>
      <c r="AT1702" s="247"/>
    </row>
    <row r="1703">
      <c r="C1703" s="277"/>
      <c r="O1703" s="247"/>
      <c r="AC1703" s="247"/>
      <c r="AR1703" s="251" t="str">
        <f t="shared" si="3"/>
        <v>0_</v>
      </c>
      <c r="AS1703" s="251" t="str">
        <f t="shared" si="4"/>
        <v/>
      </c>
      <c r="AT1703" s="247"/>
    </row>
    <row r="1704">
      <c r="C1704" s="277"/>
      <c r="O1704" s="247"/>
      <c r="AC1704" s="247"/>
      <c r="AR1704" s="251" t="str">
        <f t="shared" si="3"/>
        <v>0_</v>
      </c>
      <c r="AS1704" s="251" t="str">
        <f t="shared" si="4"/>
        <v/>
      </c>
      <c r="AT1704" s="247"/>
    </row>
    <row r="1705">
      <c r="C1705" s="277"/>
      <c r="O1705" s="247"/>
      <c r="AC1705" s="247"/>
      <c r="AR1705" s="251" t="str">
        <f t="shared" si="3"/>
        <v>0_</v>
      </c>
      <c r="AS1705" s="251" t="str">
        <f t="shared" si="4"/>
        <v/>
      </c>
      <c r="AT1705" s="247"/>
    </row>
    <row r="1706">
      <c r="C1706" s="277"/>
      <c r="O1706" s="247"/>
      <c r="AC1706" s="247"/>
      <c r="AR1706" s="251" t="str">
        <f t="shared" si="3"/>
        <v>0_</v>
      </c>
      <c r="AS1706" s="251" t="str">
        <f t="shared" si="4"/>
        <v/>
      </c>
      <c r="AT1706" s="247"/>
    </row>
    <row r="1707">
      <c r="C1707" s="277"/>
      <c r="O1707" s="247"/>
      <c r="AC1707" s="247"/>
      <c r="AR1707" s="251" t="str">
        <f t="shared" si="3"/>
        <v>0_</v>
      </c>
      <c r="AS1707" s="251" t="str">
        <f t="shared" si="4"/>
        <v/>
      </c>
      <c r="AT1707" s="247"/>
    </row>
    <row r="1708">
      <c r="C1708" s="277"/>
      <c r="O1708" s="247"/>
      <c r="AC1708" s="247"/>
      <c r="AR1708" s="251" t="str">
        <f t="shared" si="3"/>
        <v>0_</v>
      </c>
      <c r="AS1708" s="251" t="str">
        <f t="shared" si="4"/>
        <v/>
      </c>
      <c r="AT1708" s="247"/>
    </row>
    <row r="1709">
      <c r="C1709" s="277"/>
      <c r="O1709" s="247"/>
      <c r="AC1709" s="247"/>
      <c r="AR1709" s="251" t="str">
        <f t="shared" si="3"/>
        <v>0_</v>
      </c>
      <c r="AS1709" s="251" t="str">
        <f t="shared" si="4"/>
        <v/>
      </c>
      <c r="AT1709" s="247"/>
    </row>
    <row r="1710">
      <c r="C1710" s="277"/>
      <c r="O1710" s="247"/>
      <c r="AC1710" s="247"/>
      <c r="AR1710" s="251" t="str">
        <f t="shared" si="3"/>
        <v>0_</v>
      </c>
      <c r="AS1710" s="251" t="str">
        <f t="shared" si="4"/>
        <v/>
      </c>
      <c r="AT1710" s="247"/>
    </row>
    <row r="1711">
      <c r="C1711" s="277"/>
      <c r="O1711" s="247"/>
      <c r="AC1711" s="247"/>
      <c r="AR1711" s="251" t="str">
        <f t="shared" si="3"/>
        <v>0_</v>
      </c>
      <c r="AS1711" s="251" t="str">
        <f t="shared" si="4"/>
        <v/>
      </c>
      <c r="AT1711" s="247"/>
    </row>
    <row r="1712">
      <c r="C1712" s="277"/>
      <c r="O1712" s="247"/>
      <c r="AC1712" s="247"/>
      <c r="AR1712" s="251" t="str">
        <f t="shared" si="3"/>
        <v>0_</v>
      </c>
      <c r="AS1712" s="251" t="str">
        <f t="shared" si="4"/>
        <v/>
      </c>
      <c r="AT1712" s="247"/>
    </row>
    <row r="1713">
      <c r="C1713" s="277"/>
      <c r="O1713" s="247"/>
      <c r="AC1713" s="247"/>
      <c r="AR1713" s="251" t="str">
        <f t="shared" si="3"/>
        <v>0_</v>
      </c>
      <c r="AS1713" s="251" t="str">
        <f t="shared" si="4"/>
        <v/>
      </c>
      <c r="AT1713" s="247"/>
    </row>
    <row r="1714">
      <c r="C1714" s="277"/>
      <c r="O1714" s="247"/>
      <c r="AC1714" s="247"/>
      <c r="AR1714" s="251" t="str">
        <f t="shared" si="3"/>
        <v>0_</v>
      </c>
      <c r="AS1714" s="251" t="str">
        <f t="shared" si="4"/>
        <v/>
      </c>
      <c r="AT1714" s="247"/>
    </row>
    <row r="1715">
      <c r="C1715" s="277"/>
      <c r="O1715" s="247"/>
      <c r="AC1715" s="247"/>
      <c r="AR1715" s="251" t="str">
        <f t="shared" si="3"/>
        <v>0_</v>
      </c>
      <c r="AS1715" s="251" t="str">
        <f t="shared" si="4"/>
        <v/>
      </c>
      <c r="AT1715" s="247"/>
    </row>
    <row r="1716">
      <c r="C1716" s="277"/>
      <c r="O1716" s="247"/>
      <c r="AC1716" s="247"/>
      <c r="AR1716" s="251" t="str">
        <f t="shared" si="3"/>
        <v>0_</v>
      </c>
      <c r="AS1716" s="251" t="str">
        <f t="shared" si="4"/>
        <v/>
      </c>
      <c r="AT1716" s="247"/>
    </row>
    <row r="1717">
      <c r="C1717" s="277"/>
      <c r="O1717" s="247"/>
      <c r="AC1717" s="247"/>
      <c r="AR1717" s="251" t="str">
        <f t="shared" si="3"/>
        <v>0_</v>
      </c>
      <c r="AS1717" s="251" t="str">
        <f t="shared" si="4"/>
        <v/>
      </c>
      <c r="AT1717" s="247"/>
    </row>
    <row r="1718">
      <c r="C1718" s="277"/>
      <c r="O1718" s="247"/>
      <c r="AC1718" s="247"/>
      <c r="AR1718" s="251" t="str">
        <f t="shared" si="3"/>
        <v>0_</v>
      </c>
      <c r="AS1718" s="251" t="str">
        <f t="shared" si="4"/>
        <v/>
      </c>
      <c r="AT1718" s="247"/>
    </row>
    <row r="1719">
      <c r="C1719" s="277"/>
      <c r="O1719" s="247"/>
      <c r="AC1719" s="247"/>
      <c r="AR1719" s="251" t="str">
        <f t="shared" si="3"/>
        <v>0_</v>
      </c>
      <c r="AS1719" s="251" t="str">
        <f t="shared" si="4"/>
        <v/>
      </c>
      <c r="AT1719" s="247"/>
    </row>
    <row r="1720">
      <c r="C1720" s="277"/>
      <c r="O1720" s="247"/>
      <c r="AC1720" s="247"/>
      <c r="AR1720" s="251" t="str">
        <f t="shared" si="3"/>
        <v>0_</v>
      </c>
      <c r="AS1720" s="251" t="str">
        <f t="shared" si="4"/>
        <v/>
      </c>
      <c r="AT1720" s="247"/>
    </row>
    <row r="1721">
      <c r="C1721" s="277"/>
      <c r="O1721" s="247"/>
      <c r="AC1721" s="247"/>
      <c r="AR1721" s="251" t="str">
        <f t="shared" si="3"/>
        <v>0_</v>
      </c>
      <c r="AS1721" s="251" t="str">
        <f t="shared" si="4"/>
        <v/>
      </c>
      <c r="AT1721" s="247"/>
    </row>
    <row r="1722">
      <c r="C1722" s="277"/>
      <c r="O1722" s="247"/>
      <c r="AC1722" s="247"/>
      <c r="AR1722" s="251" t="str">
        <f t="shared" si="3"/>
        <v>0_</v>
      </c>
      <c r="AS1722" s="251" t="str">
        <f t="shared" si="4"/>
        <v/>
      </c>
      <c r="AT1722" s="247"/>
    </row>
    <row r="1723">
      <c r="C1723" s="277"/>
      <c r="O1723" s="247"/>
      <c r="AC1723" s="247"/>
      <c r="AR1723" s="251" t="str">
        <f t="shared" si="3"/>
        <v>0_</v>
      </c>
      <c r="AS1723" s="251" t="str">
        <f t="shared" si="4"/>
        <v/>
      </c>
      <c r="AT1723" s="247"/>
    </row>
    <row r="1724">
      <c r="C1724" s="277"/>
      <c r="O1724" s="247"/>
      <c r="AC1724" s="247"/>
      <c r="AR1724" s="251" t="str">
        <f t="shared" si="3"/>
        <v>0_</v>
      </c>
      <c r="AS1724" s="251" t="str">
        <f t="shared" si="4"/>
        <v/>
      </c>
      <c r="AT1724" s="247"/>
    </row>
    <row r="1725">
      <c r="C1725" s="277"/>
      <c r="O1725" s="247"/>
      <c r="AC1725" s="247"/>
      <c r="AR1725" s="251" t="str">
        <f t="shared" si="3"/>
        <v>0_</v>
      </c>
      <c r="AS1725" s="251" t="str">
        <f t="shared" si="4"/>
        <v/>
      </c>
      <c r="AT1725" s="247"/>
    </row>
    <row r="1726">
      <c r="C1726" s="277"/>
      <c r="O1726" s="247"/>
      <c r="AC1726" s="247"/>
      <c r="AR1726" s="251" t="str">
        <f t="shared" si="3"/>
        <v>0_</v>
      </c>
      <c r="AS1726" s="251" t="str">
        <f t="shared" si="4"/>
        <v/>
      </c>
      <c r="AT1726" s="247"/>
    </row>
    <row r="1727">
      <c r="C1727" s="277"/>
      <c r="O1727" s="247"/>
      <c r="AC1727" s="247"/>
      <c r="AR1727" s="251" t="str">
        <f t="shared" si="3"/>
        <v>0_</v>
      </c>
      <c r="AS1727" s="251" t="str">
        <f t="shared" si="4"/>
        <v/>
      </c>
      <c r="AT1727" s="247"/>
    </row>
    <row r="1728">
      <c r="C1728" s="277"/>
      <c r="O1728" s="247"/>
      <c r="AC1728" s="247"/>
      <c r="AR1728" s="251" t="str">
        <f t="shared" si="3"/>
        <v>0_</v>
      </c>
      <c r="AS1728" s="251" t="str">
        <f t="shared" si="4"/>
        <v/>
      </c>
      <c r="AT1728" s="247"/>
    </row>
    <row r="1729">
      <c r="C1729" s="277"/>
      <c r="O1729" s="247"/>
      <c r="AC1729" s="247"/>
      <c r="AH1729" s="253"/>
      <c r="AR1729" s="251" t="str">
        <f t="shared" si="3"/>
        <v>0_</v>
      </c>
      <c r="AS1729" s="251" t="str">
        <f t="shared" si="4"/>
        <v/>
      </c>
      <c r="AT1729" s="247"/>
    </row>
    <row r="1730">
      <c r="C1730" s="277"/>
      <c r="O1730" s="247"/>
      <c r="AC1730" s="247"/>
      <c r="AH1730" s="253"/>
      <c r="AR1730" s="251" t="str">
        <f t="shared" si="3"/>
        <v>0_</v>
      </c>
      <c r="AS1730" s="251" t="str">
        <f t="shared" si="4"/>
        <v/>
      </c>
      <c r="AT1730" s="247"/>
    </row>
    <row r="1731">
      <c r="C1731" s="277"/>
      <c r="O1731" s="247"/>
      <c r="AC1731" s="247"/>
      <c r="AH1731" s="253"/>
      <c r="AR1731" s="251" t="str">
        <f t="shared" si="3"/>
        <v>0_</v>
      </c>
      <c r="AS1731" s="251" t="str">
        <f t="shared" si="4"/>
        <v/>
      </c>
      <c r="AT1731" s="247"/>
    </row>
    <row r="1732">
      <c r="C1732" s="277"/>
      <c r="O1732" s="247"/>
      <c r="AC1732" s="247"/>
      <c r="AH1732" s="253"/>
      <c r="AR1732" s="251" t="str">
        <f t="shared" si="3"/>
        <v>0_</v>
      </c>
      <c r="AS1732" s="251" t="str">
        <f t="shared" si="4"/>
        <v/>
      </c>
      <c r="AT1732" s="247"/>
    </row>
    <row r="1733">
      <c r="C1733" s="277"/>
      <c r="O1733" s="247"/>
      <c r="AC1733" s="247"/>
      <c r="AH1733" s="253"/>
      <c r="AR1733" s="251" t="str">
        <f t="shared" si="3"/>
        <v>0_</v>
      </c>
      <c r="AS1733" s="251" t="str">
        <f t="shared" si="4"/>
        <v/>
      </c>
      <c r="AT1733" s="247"/>
    </row>
    <row r="1734">
      <c r="C1734" s="277"/>
      <c r="O1734" s="247"/>
      <c r="AC1734" s="247"/>
      <c r="AH1734" s="253"/>
      <c r="AR1734" s="251" t="str">
        <f t="shared" si="3"/>
        <v>0_</v>
      </c>
      <c r="AS1734" s="251" t="str">
        <f t="shared" si="4"/>
        <v/>
      </c>
      <c r="AT1734" s="247"/>
    </row>
    <row r="1735">
      <c r="C1735" s="277"/>
      <c r="O1735" s="247"/>
      <c r="AC1735" s="247"/>
      <c r="AH1735" s="253"/>
      <c r="AR1735" s="251" t="str">
        <f t="shared" si="3"/>
        <v>0_</v>
      </c>
      <c r="AS1735" s="251" t="str">
        <f t="shared" si="4"/>
        <v/>
      </c>
      <c r="AT1735" s="247"/>
    </row>
    <row r="1736">
      <c r="C1736" s="277"/>
      <c r="O1736" s="247"/>
      <c r="AC1736" s="247"/>
      <c r="AH1736" s="253"/>
      <c r="AR1736" s="251" t="str">
        <f t="shared" si="3"/>
        <v>0_</v>
      </c>
      <c r="AS1736" s="251" t="str">
        <f t="shared" si="4"/>
        <v/>
      </c>
      <c r="AT1736" s="247"/>
    </row>
    <row r="1737">
      <c r="C1737" s="277"/>
      <c r="O1737" s="247"/>
      <c r="AC1737" s="247"/>
      <c r="AH1737" s="253"/>
      <c r="AR1737" s="251" t="str">
        <f t="shared" si="3"/>
        <v>0_</v>
      </c>
      <c r="AS1737" s="251" t="str">
        <f t="shared" si="4"/>
        <v/>
      </c>
      <c r="AT1737" s="247"/>
    </row>
    <row r="1738">
      <c r="C1738" s="277"/>
      <c r="O1738" s="247"/>
      <c r="AC1738" s="247"/>
      <c r="AH1738" s="253"/>
      <c r="AR1738" s="251" t="str">
        <f t="shared" si="3"/>
        <v>0_</v>
      </c>
      <c r="AS1738" s="251" t="str">
        <f t="shared" si="4"/>
        <v/>
      </c>
      <c r="AT1738" s="247"/>
    </row>
    <row r="1739">
      <c r="C1739" s="277"/>
      <c r="O1739" s="247"/>
      <c r="AC1739" s="247"/>
      <c r="AH1739" s="253"/>
      <c r="AR1739" s="251" t="str">
        <f t="shared" si="3"/>
        <v>0_</v>
      </c>
      <c r="AS1739" s="251" t="str">
        <f t="shared" si="4"/>
        <v/>
      </c>
      <c r="AT1739" s="247"/>
    </row>
    <row r="1740">
      <c r="C1740" s="277"/>
      <c r="O1740" s="247"/>
      <c r="AC1740" s="247"/>
      <c r="AH1740" s="253"/>
      <c r="AR1740" s="251" t="str">
        <f t="shared" si="3"/>
        <v>0_</v>
      </c>
      <c r="AS1740" s="251" t="str">
        <f t="shared" si="4"/>
        <v/>
      </c>
      <c r="AT1740" s="247"/>
    </row>
    <row r="1741">
      <c r="C1741" s="277"/>
      <c r="O1741" s="247"/>
      <c r="AC1741" s="247"/>
      <c r="AH1741" s="253"/>
      <c r="AR1741" s="251" t="str">
        <f t="shared" si="3"/>
        <v>0_</v>
      </c>
      <c r="AS1741" s="251" t="str">
        <f t="shared" si="4"/>
        <v/>
      </c>
      <c r="AT1741" s="247"/>
    </row>
    <row r="1742">
      <c r="C1742" s="277"/>
      <c r="O1742" s="247"/>
      <c r="AC1742" s="247"/>
      <c r="AH1742" s="253"/>
      <c r="AR1742" s="251" t="str">
        <f t="shared" si="3"/>
        <v>0_</v>
      </c>
      <c r="AS1742" s="251" t="str">
        <f t="shared" si="4"/>
        <v/>
      </c>
      <c r="AT1742" s="247"/>
    </row>
    <row r="1743">
      <c r="C1743" s="277"/>
      <c r="O1743" s="247"/>
      <c r="AC1743" s="247"/>
      <c r="AR1743" s="251" t="str">
        <f t="shared" si="3"/>
        <v>0_</v>
      </c>
      <c r="AS1743" s="251" t="str">
        <f t="shared" si="4"/>
        <v/>
      </c>
      <c r="AT1743" s="247"/>
    </row>
    <row r="1744">
      <c r="C1744" s="277"/>
      <c r="O1744" s="247"/>
      <c r="AC1744" s="247"/>
      <c r="AR1744" s="251" t="str">
        <f t="shared" si="3"/>
        <v>0_</v>
      </c>
      <c r="AS1744" s="251" t="str">
        <f t="shared" si="4"/>
        <v/>
      </c>
      <c r="AT1744" s="247"/>
    </row>
    <row r="1745">
      <c r="C1745" s="277"/>
      <c r="O1745" s="247"/>
      <c r="AC1745" s="247"/>
      <c r="AR1745" s="251" t="str">
        <f t="shared" si="3"/>
        <v>0_</v>
      </c>
      <c r="AS1745" s="251" t="str">
        <f t="shared" si="4"/>
        <v/>
      </c>
      <c r="AT1745" s="247"/>
    </row>
    <row r="1746">
      <c r="C1746" s="277"/>
      <c r="O1746" s="247"/>
      <c r="AC1746" s="247"/>
      <c r="AR1746" s="251" t="str">
        <f t="shared" si="3"/>
        <v>0_</v>
      </c>
      <c r="AS1746" s="251" t="str">
        <f t="shared" si="4"/>
        <v/>
      </c>
      <c r="AT1746" s="247"/>
    </row>
    <row r="1747">
      <c r="C1747" s="277"/>
      <c r="O1747" s="247"/>
      <c r="AC1747" s="247"/>
      <c r="AR1747" s="251" t="str">
        <f t="shared" si="3"/>
        <v>0_</v>
      </c>
      <c r="AS1747" s="251" t="str">
        <f t="shared" si="4"/>
        <v/>
      </c>
      <c r="AT1747" s="247"/>
    </row>
    <row r="1748">
      <c r="C1748" s="277"/>
      <c r="O1748" s="247"/>
      <c r="AC1748" s="247"/>
      <c r="AR1748" s="251" t="str">
        <f t="shared" si="3"/>
        <v>0_</v>
      </c>
      <c r="AS1748" s="251" t="str">
        <f t="shared" si="4"/>
        <v/>
      </c>
      <c r="AT1748" s="247"/>
    </row>
    <row r="1749">
      <c r="C1749" s="277"/>
      <c r="O1749" s="247"/>
      <c r="AC1749" s="247"/>
      <c r="AR1749" s="251" t="str">
        <f t="shared" si="3"/>
        <v>0_</v>
      </c>
      <c r="AS1749" s="251" t="str">
        <f t="shared" si="4"/>
        <v/>
      </c>
      <c r="AT1749" s="247"/>
    </row>
    <row r="1750">
      <c r="C1750" s="277"/>
      <c r="O1750" s="247"/>
      <c r="AC1750" s="247"/>
      <c r="AR1750" s="251" t="str">
        <f t="shared" si="3"/>
        <v>0_</v>
      </c>
      <c r="AS1750" s="251" t="str">
        <f t="shared" si="4"/>
        <v/>
      </c>
      <c r="AT1750" s="247"/>
    </row>
    <row r="1751">
      <c r="C1751" s="277"/>
      <c r="O1751" s="247"/>
      <c r="AC1751" s="247"/>
      <c r="AR1751" s="251" t="str">
        <f t="shared" si="3"/>
        <v>0_</v>
      </c>
      <c r="AS1751" s="251" t="str">
        <f t="shared" si="4"/>
        <v/>
      </c>
      <c r="AT1751" s="247"/>
    </row>
    <row r="1752">
      <c r="C1752" s="277"/>
      <c r="O1752" s="247"/>
      <c r="AC1752" s="247"/>
      <c r="AR1752" s="251" t="str">
        <f t="shared" si="3"/>
        <v>0_</v>
      </c>
      <c r="AS1752" s="251" t="str">
        <f t="shared" si="4"/>
        <v/>
      </c>
      <c r="AT1752" s="247"/>
    </row>
    <row r="1753">
      <c r="C1753" s="277"/>
      <c r="O1753" s="247"/>
      <c r="AC1753" s="247"/>
      <c r="AR1753" s="251" t="str">
        <f t="shared" si="3"/>
        <v>0_</v>
      </c>
      <c r="AS1753" s="251" t="str">
        <f t="shared" si="4"/>
        <v/>
      </c>
      <c r="AT1753" s="247"/>
    </row>
    <row r="1754">
      <c r="C1754" s="277"/>
      <c r="O1754" s="247"/>
      <c r="AC1754" s="247"/>
      <c r="AR1754" s="251" t="str">
        <f t="shared" si="3"/>
        <v>0_</v>
      </c>
      <c r="AS1754" s="251" t="str">
        <f t="shared" si="4"/>
        <v/>
      </c>
      <c r="AT1754" s="247"/>
    </row>
    <row r="1755">
      <c r="C1755" s="277"/>
      <c r="O1755" s="247"/>
      <c r="AC1755" s="247"/>
      <c r="AR1755" s="251" t="str">
        <f t="shared" si="3"/>
        <v>0_</v>
      </c>
      <c r="AS1755" s="251" t="str">
        <f t="shared" si="4"/>
        <v/>
      </c>
      <c r="AT1755" s="247"/>
    </row>
    <row r="1756">
      <c r="C1756" s="277"/>
      <c r="O1756" s="247"/>
      <c r="AC1756" s="247"/>
      <c r="AR1756" s="251" t="str">
        <f t="shared" si="3"/>
        <v>0_</v>
      </c>
      <c r="AS1756" s="251" t="str">
        <f t="shared" si="4"/>
        <v/>
      </c>
      <c r="AT1756" s="247"/>
    </row>
    <row r="1757">
      <c r="C1757" s="277"/>
      <c r="O1757" s="247"/>
      <c r="AC1757" s="247"/>
      <c r="AR1757" s="251" t="str">
        <f t="shared" si="3"/>
        <v>0_</v>
      </c>
      <c r="AS1757" s="251" t="str">
        <f t="shared" si="4"/>
        <v/>
      </c>
      <c r="AT1757" s="247"/>
    </row>
    <row r="1758">
      <c r="C1758" s="277"/>
      <c r="O1758" s="247"/>
      <c r="AC1758" s="247"/>
      <c r="AR1758" s="251" t="str">
        <f t="shared" si="3"/>
        <v>0_</v>
      </c>
      <c r="AS1758" s="251" t="str">
        <f t="shared" si="4"/>
        <v/>
      </c>
      <c r="AT1758" s="247"/>
    </row>
    <row r="1759">
      <c r="C1759" s="277"/>
      <c r="O1759" s="247"/>
      <c r="AC1759" s="247"/>
      <c r="AR1759" s="251" t="str">
        <f t="shared" si="3"/>
        <v>0_</v>
      </c>
      <c r="AS1759" s="251" t="str">
        <f t="shared" si="4"/>
        <v/>
      </c>
      <c r="AT1759" s="247"/>
    </row>
    <row r="1760">
      <c r="C1760" s="277"/>
      <c r="O1760" s="247"/>
      <c r="AC1760" s="247"/>
      <c r="AR1760" s="251" t="str">
        <f t="shared" si="3"/>
        <v>0_</v>
      </c>
      <c r="AS1760" s="251" t="str">
        <f t="shared" si="4"/>
        <v/>
      </c>
      <c r="AT1760" s="247"/>
    </row>
    <row r="1761">
      <c r="C1761" s="277"/>
      <c r="O1761" s="247"/>
      <c r="AC1761" s="247"/>
      <c r="AR1761" s="251" t="str">
        <f t="shared" si="3"/>
        <v>0_</v>
      </c>
      <c r="AS1761" s="251" t="str">
        <f t="shared" si="4"/>
        <v/>
      </c>
      <c r="AT1761" s="247"/>
    </row>
    <row r="1762">
      <c r="C1762" s="277"/>
      <c r="O1762" s="247"/>
      <c r="AC1762" s="247"/>
      <c r="AR1762" s="251" t="str">
        <f t="shared" si="3"/>
        <v>0_</v>
      </c>
      <c r="AS1762" s="251" t="str">
        <f t="shared" si="4"/>
        <v/>
      </c>
      <c r="AT1762" s="247"/>
    </row>
    <row r="1763">
      <c r="C1763" s="277"/>
      <c r="O1763" s="247"/>
      <c r="AC1763" s="247"/>
      <c r="AR1763" s="251" t="str">
        <f t="shared" si="3"/>
        <v>0_</v>
      </c>
      <c r="AS1763" s="251" t="str">
        <f t="shared" si="4"/>
        <v/>
      </c>
      <c r="AT1763" s="247"/>
    </row>
    <row r="1764">
      <c r="C1764" s="277"/>
      <c r="O1764" s="247"/>
      <c r="AC1764" s="247"/>
      <c r="AR1764" s="251" t="str">
        <f t="shared" si="3"/>
        <v>0_</v>
      </c>
      <c r="AS1764" s="251" t="str">
        <f t="shared" si="4"/>
        <v/>
      </c>
      <c r="AT1764" s="247"/>
    </row>
    <row r="1765">
      <c r="C1765" s="277"/>
      <c r="O1765" s="247"/>
      <c r="AC1765" s="247"/>
      <c r="AR1765" s="251" t="str">
        <f t="shared" si="3"/>
        <v>0_</v>
      </c>
      <c r="AS1765" s="251" t="str">
        <f t="shared" si="4"/>
        <v/>
      </c>
      <c r="AT1765" s="247"/>
    </row>
    <row r="1766">
      <c r="C1766" s="277"/>
      <c r="O1766" s="247"/>
      <c r="AC1766" s="247"/>
      <c r="AR1766" s="251" t="str">
        <f t="shared" si="3"/>
        <v>0_</v>
      </c>
      <c r="AS1766" s="251" t="str">
        <f t="shared" si="4"/>
        <v/>
      </c>
      <c r="AT1766" s="247"/>
    </row>
    <row r="1767">
      <c r="C1767" s="277"/>
      <c r="O1767" s="247"/>
      <c r="AC1767" s="247"/>
      <c r="AR1767" s="251" t="str">
        <f t="shared" si="3"/>
        <v>0_</v>
      </c>
      <c r="AS1767" s="251" t="str">
        <f t="shared" si="4"/>
        <v/>
      </c>
      <c r="AT1767" s="247"/>
    </row>
    <row r="1768">
      <c r="C1768" s="277"/>
      <c r="O1768" s="247"/>
      <c r="AC1768" s="247"/>
      <c r="AR1768" s="251" t="str">
        <f t="shared" si="3"/>
        <v>0_</v>
      </c>
      <c r="AS1768" s="251" t="str">
        <f t="shared" si="4"/>
        <v/>
      </c>
      <c r="AT1768" s="247"/>
    </row>
    <row r="1769">
      <c r="C1769" s="277"/>
      <c r="O1769" s="247"/>
      <c r="AC1769" s="247"/>
      <c r="AR1769" s="251" t="str">
        <f t="shared" si="3"/>
        <v>0_</v>
      </c>
      <c r="AS1769" s="251" t="str">
        <f t="shared" si="4"/>
        <v/>
      </c>
      <c r="AT1769" s="247"/>
    </row>
    <row r="1770">
      <c r="C1770" s="277"/>
      <c r="O1770" s="247"/>
      <c r="AC1770" s="247"/>
      <c r="AR1770" s="251" t="str">
        <f t="shared" si="3"/>
        <v>0_</v>
      </c>
      <c r="AS1770" s="251" t="str">
        <f t="shared" si="4"/>
        <v/>
      </c>
      <c r="AT1770" s="247"/>
    </row>
    <row r="1771">
      <c r="C1771" s="277"/>
      <c r="O1771" s="247"/>
      <c r="AC1771" s="247"/>
      <c r="AR1771" s="251" t="str">
        <f t="shared" si="3"/>
        <v>0_</v>
      </c>
      <c r="AS1771" s="251" t="str">
        <f t="shared" si="4"/>
        <v/>
      </c>
      <c r="AT1771" s="247"/>
    </row>
    <row r="1772">
      <c r="C1772" s="277"/>
      <c r="O1772" s="247"/>
      <c r="AC1772" s="247"/>
      <c r="AR1772" s="251" t="str">
        <f t="shared" si="3"/>
        <v>0_</v>
      </c>
      <c r="AS1772" s="251" t="str">
        <f t="shared" si="4"/>
        <v/>
      </c>
      <c r="AT1772" s="247"/>
    </row>
    <row r="1773">
      <c r="C1773" s="277"/>
      <c r="O1773" s="247"/>
      <c r="AC1773" s="247"/>
      <c r="AR1773" s="251" t="str">
        <f t="shared" si="3"/>
        <v>0_</v>
      </c>
      <c r="AS1773" s="251" t="str">
        <f t="shared" si="4"/>
        <v/>
      </c>
      <c r="AT1773" s="247"/>
    </row>
    <row r="1774">
      <c r="C1774" s="277"/>
      <c r="O1774" s="247"/>
      <c r="AC1774" s="247"/>
      <c r="AR1774" s="251" t="str">
        <f t="shared" si="3"/>
        <v>0_</v>
      </c>
      <c r="AS1774" s="251" t="str">
        <f t="shared" si="4"/>
        <v/>
      </c>
      <c r="AT1774" s="247"/>
    </row>
    <row r="1775">
      <c r="C1775" s="277"/>
      <c r="O1775" s="247"/>
      <c r="AC1775" s="247"/>
      <c r="AR1775" s="251" t="str">
        <f t="shared" si="3"/>
        <v>0_</v>
      </c>
      <c r="AS1775" s="251" t="str">
        <f t="shared" si="4"/>
        <v/>
      </c>
      <c r="AT1775" s="247"/>
    </row>
    <row r="1776">
      <c r="C1776" s="277"/>
      <c r="O1776" s="247"/>
      <c r="AC1776" s="247"/>
      <c r="AR1776" s="251" t="str">
        <f t="shared" si="3"/>
        <v>0_</v>
      </c>
      <c r="AS1776" s="251" t="str">
        <f t="shared" si="4"/>
        <v/>
      </c>
      <c r="AT1776" s="247"/>
    </row>
    <row r="1777">
      <c r="C1777" s="277"/>
      <c r="O1777" s="247"/>
      <c r="AC1777" s="247"/>
      <c r="AR1777" s="251" t="str">
        <f t="shared" si="3"/>
        <v>0_</v>
      </c>
      <c r="AS1777" s="251" t="str">
        <f t="shared" si="4"/>
        <v/>
      </c>
      <c r="AT1777" s="247"/>
    </row>
    <row r="1778">
      <c r="C1778" s="277"/>
      <c r="O1778" s="247"/>
      <c r="AC1778" s="247"/>
      <c r="AR1778" s="251" t="str">
        <f t="shared" si="3"/>
        <v>0_</v>
      </c>
      <c r="AS1778" s="251" t="str">
        <f t="shared" si="4"/>
        <v/>
      </c>
      <c r="AT1778" s="247"/>
    </row>
    <row r="1779">
      <c r="C1779" s="277"/>
      <c r="O1779" s="247"/>
      <c r="AC1779" s="247"/>
      <c r="AR1779" s="251" t="str">
        <f t="shared" si="3"/>
        <v>0_</v>
      </c>
      <c r="AS1779" s="251" t="str">
        <f t="shared" si="4"/>
        <v/>
      </c>
      <c r="AT1779" s="247"/>
    </row>
    <row r="1780">
      <c r="C1780" s="277"/>
      <c r="O1780" s="247"/>
      <c r="AC1780" s="247"/>
      <c r="AR1780" s="251" t="str">
        <f t="shared" si="3"/>
        <v>0_</v>
      </c>
      <c r="AS1780" s="251" t="str">
        <f t="shared" si="4"/>
        <v/>
      </c>
      <c r="AT1780" s="247"/>
    </row>
    <row r="1781">
      <c r="C1781" s="277"/>
      <c r="O1781" s="247"/>
      <c r="AC1781" s="247"/>
      <c r="AR1781" s="251" t="str">
        <f t="shared" si="3"/>
        <v>0_</v>
      </c>
      <c r="AS1781" s="251" t="str">
        <f t="shared" si="4"/>
        <v/>
      </c>
      <c r="AT1781" s="247"/>
    </row>
    <row r="1782">
      <c r="C1782" s="277"/>
      <c r="O1782" s="247"/>
      <c r="AC1782" s="247"/>
      <c r="AR1782" s="251" t="str">
        <f t="shared" si="3"/>
        <v>0_</v>
      </c>
      <c r="AS1782" s="251" t="str">
        <f t="shared" si="4"/>
        <v/>
      </c>
      <c r="AT1782" s="247"/>
    </row>
    <row r="1783">
      <c r="C1783" s="277"/>
      <c r="O1783" s="247"/>
      <c r="AC1783" s="247"/>
      <c r="AR1783" s="251" t="str">
        <f t="shared" si="3"/>
        <v>0_</v>
      </c>
      <c r="AS1783" s="251" t="str">
        <f t="shared" si="4"/>
        <v/>
      </c>
      <c r="AT1783" s="247"/>
    </row>
    <row r="1784">
      <c r="C1784" s="277"/>
      <c r="O1784" s="247"/>
      <c r="AC1784" s="247"/>
      <c r="AR1784" s="251" t="str">
        <f t="shared" si="3"/>
        <v>0_</v>
      </c>
      <c r="AS1784" s="251" t="str">
        <f t="shared" si="4"/>
        <v/>
      </c>
      <c r="AT1784" s="247"/>
    </row>
    <row r="1785">
      <c r="C1785" s="277"/>
      <c r="O1785" s="247"/>
      <c r="AC1785" s="247"/>
      <c r="AR1785" s="251" t="str">
        <f t="shared" si="3"/>
        <v>0_</v>
      </c>
      <c r="AS1785" s="251" t="str">
        <f t="shared" si="4"/>
        <v/>
      </c>
      <c r="AT1785" s="247"/>
    </row>
    <row r="1786">
      <c r="C1786" s="277"/>
      <c r="O1786" s="247"/>
      <c r="AC1786" s="247"/>
      <c r="AR1786" s="251" t="str">
        <f t="shared" si="3"/>
        <v>0_</v>
      </c>
      <c r="AS1786" s="251" t="str">
        <f t="shared" si="4"/>
        <v/>
      </c>
      <c r="AT1786" s="247"/>
    </row>
    <row r="1787">
      <c r="C1787" s="277"/>
      <c r="O1787" s="247"/>
      <c r="AC1787" s="247"/>
      <c r="AR1787" s="251" t="str">
        <f t="shared" si="3"/>
        <v>0_</v>
      </c>
      <c r="AS1787" s="251" t="str">
        <f t="shared" si="4"/>
        <v/>
      </c>
      <c r="AT1787" s="247"/>
    </row>
    <row r="1788">
      <c r="C1788" s="277"/>
      <c r="O1788" s="247"/>
      <c r="AC1788" s="247"/>
      <c r="AR1788" s="251" t="str">
        <f t="shared" si="3"/>
        <v>0_</v>
      </c>
      <c r="AS1788" s="251" t="str">
        <f t="shared" si="4"/>
        <v/>
      </c>
      <c r="AT1788" s="247"/>
    </row>
    <row r="1789">
      <c r="C1789" s="277"/>
      <c r="O1789" s="247"/>
      <c r="AC1789" s="247"/>
      <c r="AR1789" s="251" t="str">
        <f t="shared" si="3"/>
        <v>0_</v>
      </c>
      <c r="AS1789" s="251" t="str">
        <f t="shared" si="4"/>
        <v/>
      </c>
      <c r="AT1789" s="247"/>
    </row>
    <row r="1790">
      <c r="C1790" s="277"/>
      <c r="O1790" s="247"/>
      <c r="AC1790" s="247"/>
      <c r="AR1790" s="251" t="str">
        <f t="shared" si="3"/>
        <v>0_</v>
      </c>
      <c r="AS1790" s="251" t="str">
        <f t="shared" si="4"/>
        <v/>
      </c>
      <c r="AT1790" s="247"/>
    </row>
    <row r="1791">
      <c r="C1791" s="277"/>
      <c r="O1791" s="247"/>
      <c r="AC1791" s="247"/>
      <c r="AR1791" s="251" t="str">
        <f t="shared" si="3"/>
        <v>0_</v>
      </c>
      <c r="AS1791" s="251" t="str">
        <f t="shared" si="4"/>
        <v/>
      </c>
      <c r="AT1791" s="247"/>
    </row>
    <row r="1792">
      <c r="C1792" s="277"/>
      <c r="O1792" s="247"/>
      <c r="AC1792" s="247"/>
      <c r="AR1792" s="251" t="str">
        <f t="shared" si="3"/>
        <v>0_</v>
      </c>
      <c r="AS1792" s="251" t="str">
        <f t="shared" si="4"/>
        <v/>
      </c>
      <c r="AT1792" s="247"/>
    </row>
    <row r="1793">
      <c r="C1793" s="277"/>
      <c r="O1793" s="247"/>
      <c r="AC1793" s="247"/>
      <c r="AR1793" s="251" t="str">
        <f t="shared" si="3"/>
        <v>0_</v>
      </c>
      <c r="AS1793" s="251" t="str">
        <f t="shared" si="4"/>
        <v/>
      </c>
      <c r="AT1793" s="247"/>
    </row>
    <row r="1794">
      <c r="C1794" s="277"/>
      <c r="O1794" s="247"/>
      <c r="AC1794" s="247"/>
      <c r="AR1794" s="251" t="str">
        <f t="shared" si="3"/>
        <v>0_</v>
      </c>
      <c r="AS1794" s="251" t="str">
        <f t="shared" si="4"/>
        <v/>
      </c>
      <c r="AT1794" s="247"/>
    </row>
    <row r="1795">
      <c r="C1795" s="277"/>
      <c r="O1795" s="247"/>
      <c r="AC1795" s="247"/>
      <c r="AR1795" s="251" t="str">
        <f t="shared" si="3"/>
        <v>0_</v>
      </c>
      <c r="AS1795" s="251" t="str">
        <f t="shared" si="4"/>
        <v/>
      </c>
      <c r="AT1795" s="247"/>
    </row>
    <row r="1796">
      <c r="C1796" s="277"/>
      <c r="O1796" s="247"/>
      <c r="AC1796" s="247"/>
      <c r="AR1796" s="251" t="str">
        <f t="shared" si="3"/>
        <v>0_</v>
      </c>
      <c r="AS1796" s="251" t="str">
        <f t="shared" si="4"/>
        <v/>
      </c>
      <c r="AT1796" s="247"/>
    </row>
    <row r="1797">
      <c r="C1797" s="277"/>
      <c r="O1797" s="247"/>
      <c r="AC1797" s="247"/>
      <c r="AR1797" s="251" t="str">
        <f t="shared" si="3"/>
        <v>0_</v>
      </c>
      <c r="AS1797" s="251" t="str">
        <f t="shared" si="4"/>
        <v/>
      </c>
      <c r="AT1797" s="247"/>
    </row>
    <row r="1798">
      <c r="C1798" s="277"/>
      <c r="O1798" s="247"/>
      <c r="AC1798" s="247"/>
      <c r="AR1798" s="251" t="str">
        <f t="shared" si="3"/>
        <v>0_</v>
      </c>
      <c r="AS1798" s="251" t="str">
        <f t="shared" si="4"/>
        <v/>
      </c>
      <c r="AT1798" s="247"/>
    </row>
    <row r="1799">
      <c r="C1799" s="277"/>
      <c r="O1799" s="247"/>
      <c r="AC1799" s="247"/>
      <c r="AR1799" s="251" t="str">
        <f t="shared" si="3"/>
        <v>0_</v>
      </c>
      <c r="AS1799" s="251" t="str">
        <f t="shared" si="4"/>
        <v/>
      </c>
      <c r="AT1799" s="247"/>
    </row>
    <row r="1800">
      <c r="C1800" s="277"/>
      <c r="O1800" s="247"/>
      <c r="AC1800" s="247"/>
      <c r="AR1800" s="251" t="str">
        <f t="shared" si="3"/>
        <v>0_</v>
      </c>
      <c r="AS1800" s="251" t="str">
        <f t="shared" si="4"/>
        <v/>
      </c>
      <c r="AT1800" s="247"/>
    </row>
    <row r="1801">
      <c r="C1801" s="277"/>
      <c r="O1801" s="247"/>
      <c r="AC1801" s="247"/>
      <c r="AR1801" s="251" t="str">
        <f t="shared" si="3"/>
        <v>0_</v>
      </c>
      <c r="AS1801" s="251" t="str">
        <f t="shared" si="4"/>
        <v/>
      </c>
      <c r="AT1801" s="247"/>
    </row>
    <row r="1802">
      <c r="C1802" s="277"/>
      <c r="O1802" s="247"/>
      <c r="AC1802" s="247"/>
      <c r="AR1802" s="251" t="str">
        <f t="shared" si="3"/>
        <v>0_</v>
      </c>
      <c r="AS1802" s="251" t="str">
        <f t="shared" si="4"/>
        <v/>
      </c>
      <c r="AT1802" s="247"/>
    </row>
    <row r="1803">
      <c r="C1803" s="277"/>
      <c r="O1803" s="247"/>
      <c r="AC1803" s="247"/>
      <c r="AR1803" s="251" t="str">
        <f t="shared" si="3"/>
        <v>0_</v>
      </c>
      <c r="AS1803" s="251" t="str">
        <f t="shared" si="4"/>
        <v/>
      </c>
      <c r="AT1803" s="247"/>
    </row>
    <row r="1804">
      <c r="C1804" s="277"/>
      <c r="O1804" s="247"/>
      <c r="AC1804" s="247"/>
      <c r="AR1804" s="251" t="str">
        <f t="shared" si="3"/>
        <v>0_</v>
      </c>
      <c r="AS1804" s="251" t="str">
        <f t="shared" si="4"/>
        <v/>
      </c>
      <c r="AT1804" s="247"/>
    </row>
    <row r="1805">
      <c r="C1805" s="277"/>
      <c r="O1805" s="247"/>
      <c r="AC1805" s="247"/>
      <c r="AR1805" s="251" t="str">
        <f t="shared" si="3"/>
        <v>0_</v>
      </c>
      <c r="AS1805" s="251" t="str">
        <f t="shared" si="4"/>
        <v/>
      </c>
      <c r="AT1805" s="247"/>
    </row>
    <row r="1806">
      <c r="C1806" s="277"/>
      <c r="O1806" s="247"/>
      <c r="AC1806" s="247"/>
      <c r="AR1806" s="251" t="str">
        <f t="shared" si="3"/>
        <v>0_</v>
      </c>
      <c r="AS1806" s="251" t="str">
        <f t="shared" si="4"/>
        <v/>
      </c>
      <c r="AT1806" s="247"/>
    </row>
    <row r="1807">
      <c r="C1807" s="277"/>
      <c r="O1807" s="247"/>
      <c r="AC1807" s="247"/>
      <c r="AR1807" s="251" t="str">
        <f t="shared" si="3"/>
        <v>0_</v>
      </c>
      <c r="AS1807" s="251" t="str">
        <f t="shared" si="4"/>
        <v/>
      </c>
      <c r="AT1807" s="247"/>
    </row>
    <row r="1808">
      <c r="C1808" s="277"/>
      <c r="O1808" s="247"/>
      <c r="AC1808" s="247"/>
      <c r="AR1808" s="251" t="str">
        <f t="shared" si="3"/>
        <v>0_</v>
      </c>
      <c r="AS1808" s="251" t="str">
        <f t="shared" si="4"/>
        <v/>
      </c>
      <c r="AT1808" s="247"/>
    </row>
    <row r="1809">
      <c r="C1809" s="277"/>
      <c r="O1809" s="247"/>
      <c r="AC1809" s="247"/>
      <c r="AR1809" s="251" t="str">
        <f t="shared" si="3"/>
        <v>0_</v>
      </c>
      <c r="AS1809" s="251" t="str">
        <f t="shared" si="4"/>
        <v/>
      </c>
      <c r="AT1809" s="247"/>
    </row>
    <row r="1810">
      <c r="C1810" s="277"/>
      <c r="O1810" s="247"/>
      <c r="AC1810" s="247"/>
      <c r="AR1810" s="251" t="str">
        <f t="shared" si="3"/>
        <v>0_</v>
      </c>
      <c r="AS1810" s="251" t="str">
        <f t="shared" si="4"/>
        <v/>
      </c>
      <c r="AT1810" s="247"/>
    </row>
    <row r="1811">
      <c r="C1811" s="277"/>
      <c r="O1811" s="247"/>
      <c r="AC1811" s="247"/>
      <c r="AR1811" s="251" t="str">
        <f t="shared" si="3"/>
        <v>0_</v>
      </c>
      <c r="AS1811" s="251" t="str">
        <f t="shared" si="4"/>
        <v/>
      </c>
      <c r="AT1811" s="247"/>
    </row>
    <row r="1812">
      <c r="C1812" s="277"/>
      <c r="O1812" s="247"/>
      <c r="AC1812" s="247"/>
      <c r="AR1812" s="251" t="str">
        <f t="shared" si="3"/>
        <v>0_</v>
      </c>
      <c r="AS1812" s="251" t="str">
        <f t="shared" si="4"/>
        <v/>
      </c>
      <c r="AT1812" s="247"/>
    </row>
    <row r="1813">
      <c r="C1813" s="277"/>
      <c r="O1813" s="247"/>
      <c r="AC1813" s="247"/>
      <c r="AR1813" s="251" t="str">
        <f t="shared" si="3"/>
        <v>0_</v>
      </c>
      <c r="AS1813" s="251" t="str">
        <f t="shared" si="4"/>
        <v/>
      </c>
      <c r="AT1813" s="247"/>
    </row>
    <row r="1814">
      <c r="C1814" s="277"/>
      <c r="O1814" s="247"/>
      <c r="AC1814" s="247"/>
      <c r="AR1814" s="251" t="str">
        <f t="shared" si="3"/>
        <v>0_</v>
      </c>
      <c r="AS1814" s="251" t="str">
        <f t="shared" si="4"/>
        <v/>
      </c>
      <c r="AT1814" s="247"/>
    </row>
    <row r="1815">
      <c r="C1815" s="277"/>
      <c r="O1815" s="247"/>
      <c r="AC1815" s="247"/>
      <c r="AR1815" s="251" t="str">
        <f t="shared" si="3"/>
        <v>0_</v>
      </c>
      <c r="AS1815" s="251" t="str">
        <f t="shared" si="4"/>
        <v/>
      </c>
      <c r="AT1815" s="247"/>
    </row>
    <row r="1816">
      <c r="C1816" s="277"/>
      <c r="O1816" s="247"/>
      <c r="AC1816" s="247"/>
      <c r="AR1816" s="251" t="str">
        <f t="shared" si="3"/>
        <v>0_</v>
      </c>
      <c r="AS1816" s="251" t="str">
        <f t="shared" si="4"/>
        <v/>
      </c>
      <c r="AT1816" s="247"/>
    </row>
    <row r="1817">
      <c r="C1817" s="277"/>
      <c r="O1817" s="247"/>
      <c r="AC1817" s="247"/>
      <c r="AR1817" s="251" t="str">
        <f t="shared" si="3"/>
        <v>0_</v>
      </c>
      <c r="AS1817" s="251" t="str">
        <f t="shared" si="4"/>
        <v/>
      </c>
      <c r="AT1817" s="247"/>
    </row>
    <row r="1818">
      <c r="C1818" s="277"/>
      <c r="O1818" s="247"/>
      <c r="AC1818" s="247"/>
      <c r="AR1818" s="251" t="str">
        <f t="shared" si="3"/>
        <v>0_</v>
      </c>
      <c r="AS1818" s="251" t="str">
        <f t="shared" si="4"/>
        <v/>
      </c>
      <c r="AT1818" s="247"/>
    </row>
    <row r="1819">
      <c r="C1819" s="277"/>
      <c r="O1819" s="247"/>
      <c r="AC1819" s="247"/>
      <c r="AR1819" s="251" t="str">
        <f t="shared" si="3"/>
        <v>0_</v>
      </c>
      <c r="AS1819" s="251" t="str">
        <f t="shared" si="4"/>
        <v/>
      </c>
      <c r="AT1819" s="247"/>
    </row>
    <row r="1820">
      <c r="C1820" s="277"/>
      <c r="O1820" s="247"/>
      <c r="AC1820" s="247"/>
      <c r="AR1820" s="251" t="str">
        <f t="shared" si="3"/>
        <v>0_</v>
      </c>
      <c r="AS1820" s="251" t="str">
        <f t="shared" si="4"/>
        <v/>
      </c>
      <c r="AT1820" s="247"/>
    </row>
    <row r="1821">
      <c r="C1821" s="277"/>
      <c r="O1821" s="247"/>
      <c r="AC1821" s="247"/>
      <c r="AR1821" s="251" t="str">
        <f t="shared" si="3"/>
        <v>0_</v>
      </c>
      <c r="AS1821" s="251" t="str">
        <f t="shared" si="4"/>
        <v/>
      </c>
      <c r="AT1821" s="247"/>
    </row>
    <row r="1822">
      <c r="C1822" s="277"/>
      <c r="O1822" s="247"/>
      <c r="AC1822" s="247"/>
      <c r="AR1822" s="251" t="str">
        <f t="shared" si="3"/>
        <v>0_</v>
      </c>
      <c r="AS1822" s="251" t="str">
        <f t="shared" si="4"/>
        <v/>
      </c>
      <c r="AT1822" s="247"/>
    </row>
    <row r="1823">
      <c r="C1823" s="277"/>
      <c r="O1823" s="247"/>
      <c r="AC1823" s="247"/>
      <c r="AR1823" s="251" t="str">
        <f t="shared" si="3"/>
        <v>0_</v>
      </c>
      <c r="AS1823" s="251" t="str">
        <f t="shared" si="4"/>
        <v/>
      </c>
      <c r="AT1823" s="247"/>
    </row>
    <row r="1824">
      <c r="C1824" s="277"/>
      <c r="O1824" s="247"/>
      <c r="AC1824" s="247"/>
      <c r="AR1824" s="251" t="str">
        <f t="shared" si="3"/>
        <v>0_</v>
      </c>
      <c r="AS1824" s="251" t="str">
        <f t="shared" si="4"/>
        <v/>
      </c>
      <c r="AT1824" s="247"/>
    </row>
    <row r="1825">
      <c r="C1825" s="277"/>
      <c r="O1825" s="247"/>
      <c r="AC1825" s="247"/>
      <c r="AR1825" s="251" t="str">
        <f t="shared" si="3"/>
        <v>0_</v>
      </c>
      <c r="AS1825" s="251" t="str">
        <f t="shared" si="4"/>
        <v/>
      </c>
      <c r="AT1825" s="247"/>
    </row>
    <row r="1826">
      <c r="C1826" s="277"/>
      <c r="O1826" s="247"/>
      <c r="AC1826" s="247"/>
      <c r="AR1826" s="251" t="str">
        <f t="shared" si="3"/>
        <v>0_</v>
      </c>
      <c r="AS1826" s="251" t="str">
        <f t="shared" si="4"/>
        <v/>
      </c>
      <c r="AT1826" s="247"/>
    </row>
    <row r="1827">
      <c r="C1827" s="277"/>
      <c r="O1827" s="247"/>
      <c r="AC1827" s="247"/>
      <c r="AR1827" s="251" t="str">
        <f t="shared" si="3"/>
        <v>0_</v>
      </c>
      <c r="AS1827" s="251" t="str">
        <f t="shared" si="4"/>
        <v/>
      </c>
      <c r="AT1827" s="247"/>
    </row>
    <row r="1828">
      <c r="C1828" s="277"/>
      <c r="O1828" s="247"/>
      <c r="AC1828" s="247"/>
      <c r="AR1828" s="251" t="str">
        <f t="shared" si="3"/>
        <v>0_</v>
      </c>
      <c r="AS1828" s="251" t="str">
        <f t="shared" si="4"/>
        <v/>
      </c>
      <c r="AT1828" s="247"/>
    </row>
    <row r="1829">
      <c r="C1829" s="277"/>
      <c r="O1829" s="247"/>
      <c r="AC1829" s="247"/>
      <c r="AR1829" s="251" t="str">
        <f t="shared" si="3"/>
        <v>0_</v>
      </c>
      <c r="AS1829" s="251" t="str">
        <f t="shared" si="4"/>
        <v/>
      </c>
      <c r="AT1829" s="247"/>
    </row>
    <row r="1830">
      <c r="C1830" s="277"/>
      <c r="O1830" s="247"/>
      <c r="AC1830" s="247"/>
      <c r="AR1830" s="251" t="str">
        <f t="shared" si="3"/>
        <v>0_</v>
      </c>
      <c r="AS1830" s="251" t="str">
        <f t="shared" si="4"/>
        <v/>
      </c>
      <c r="AT1830" s="247"/>
    </row>
    <row r="1831">
      <c r="C1831" s="277"/>
      <c r="O1831" s="247"/>
      <c r="AC1831" s="247"/>
      <c r="AR1831" s="251" t="str">
        <f t="shared" si="3"/>
        <v>0_</v>
      </c>
      <c r="AS1831" s="251" t="str">
        <f t="shared" si="4"/>
        <v/>
      </c>
      <c r="AT1831" s="247"/>
    </row>
    <row r="1832">
      <c r="C1832" s="277"/>
      <c r="O1832" s="247"/>
      <c r="AC1832" s="247"/>
      <c r="AR1832" s="251" t="str">
        <f t="shared" si="3"/>
        <v>0_</v>
      </c>
      <c r="AS1832" s="251" t="str">
        <f t="shared" si="4"/>
        <v/>
      </c>
      <c r="AT1832" s="247"/>
    </row>
    <row r="1833">
      <c r="C1833" s="277"/>
      <c r="O1833" s="247"/>
      <c r="AC1833" s="247"/>
      <c r="AR1833" s="251" t="str">
        <f t="shared" si="3"/>
        <v>0_</v>
      </c>
      <c r="AS1833" s="251" t="str">
        <f t="shared" si="4"/>
        <v/>
      </c>
      <c r="AT1833" s="247"/>
    </row>
    <row r="1834">
      <c r="C1834" s="277"/>
      <c r="O1834" s="247"/>
      <c r="AC1834" s="247"/>
      <c r="AR1834" s="251" t="str">
        <f t="shared" si="3"/>
        <v>0_</v>
      </c>
      <c r="AS1834" s="251" t="str">
        <f t="shared" si="4"/>
        <v/>
      </c>
      <c r="AT1834" s="247"/>
    </row>
    <row r="1835">
      <c r="C1835" s="277"/>
      <c r="O1835" s="247"/>
      <c r="AC1835" s="247"/>
      <c r="AR1835" s="251" t="str">
        <f t="shared" si="3"/>
        <v>0_</v>
      </c>
      <c r="AS1835" s="251" t="str">
        <f t="shared" si="4"/>
        <v/>
      </c>
      <c r="AT1835" s="247"/>
    </row>
    <row r="1836">
      <c r="C1836" s="277"/>
      <c r="O1836" s="247"/>
      <c r="AC1836" s="247"/>
      <c r="AR1836" s="251" t="str">
        <f t="shared" si="3"/>
        <v>0_</v>
      </c>
      <c r="AS1836" s="251" t="str">
        <f t="shared" si="4"/>
        <v/>
      </c>
      <c r="AT1836" s="247"/>
    </row>
    <row r="1837">
      <c r="C1837" s="277"/>
      <c r="O1837" s="247"/>
      <c r="AC1837" s="247"/>
      <c r="AR1837" s="251" t="str">
        <f t="shared" si="3"/>
        <v>0_</v>
      </c>
      <c r="AS1837" s="251" t="str">
        <f t="shared" si="4"/>
        <v/>
      </c>
      <c r="AT1837" s="247"/>
    </row>
    <row r="1838">
      <c r="C1838" s="277"/>
      <c r="O1838" s="247"/>
      <c r="AC1838" s="247"/>
      <c r="AR1838" s="251" t="str">
        <f t="shared" si="3"/>
        <v>0_</v>
      </c>
      <c r="AS1838" s="251" t="str">
        <f t="shared" si="4"/>
        <v/>
      </c>
      <c r="AT1838" s="247"/>
    </row>
    <row r="1839">
      <c r="C1839" s="277"/>
      <c r="O1839" s="247"/>
      <c r="AC1839" s="247"/>
      <c r="AR1839" s="251" t="str">
        <f t="shared" si="3"/>
        <v>0_</v>
      </c>
      <c r="AS1839" s="251" t="str">
        <f t="shared" si="4"/>
        <v/>
      </c>
      <c r="AT1839" s="247"/>
    </row>
    <row r="1840">
      <c r="C1840" s="277"/>
      <c r="O1840" s="247"/>
      <c r="AC1840" s="247"/>
      <c r="AR1840" s="251" t="str">
        <f t="shared" si="3"/>
        <v>0_</v>
      </c>
      <c r="AS1840" s="251" t="str">
        <f t="shared" si="4"/>
        <v/>
      </c>
      <c r="AT1840" s="247"/>
    </row>
    <row r="1841">
      <c r="C1841" s="277"/>
      <c r="O1841" s="247"/>
      <c r="AC1841" s="247"/>
      <c r="AR1841" s="251" t="str">
        <f t="shared" si="3"/>
        <v>0_</v>
      </c>
      <c r="AS1841" s="251" t="str">
        <f t="shared" si="4"/>
        <v/>
      </c>
      <c r="AT1841" s="247"/>
    </row>
    <row r="1842">
      <c r="C1842" s="277"/>
      <c r="O1842" s="247"/>
      <c r="AC1842" s="247"/>
      <c r="AR1842" s="251" t="str">
        <f t="shared" si="3"/>
        <v>0_</v>
      </c>
      <c r="AS1842" s="251" t="str">
        <f t="shared" si="4"/>
        <v/>
      </c>
      <c r="AT1842" s="247"/>
    </row>
    <row r="1843">
      <c r="C1843" s="277"/>
      <c r="O1843" s="247"/>
      <c r="AC1843" s="247"/>
      <c r="AR1843" s="251" t="str">
        <f t="shared" si="3"/>
        <v>0_</v>
      </c>
      <c r="AS1843" s="251" t="str">
        <f t="shared" si="4"/>
        <v/>
      </c>
      <c r="AT1843" s="247"/>
    </row>
    <row r="1844">
      <c r="C1844" s="277"/>
      <c r="O1844" s="247"/>
      <c r="AC1844" s="247"/>
      <c r="AR1844" s="251" t="str">
        <f t="shared" si="3"/>
        <v>0_</v>
      </c>
      <c r="AS1844" s="251" t="str">
        <f t="shared" si="4"/>
        <v/>
      </c>
      <c r="AT1844" s="247"/>
    </row>
    <row r="1845">
      <c r="C1845" s="277"/>
      <c r="O1845" s="247"/>
      <c r="AC1845" s="247"/>
      <c r="AR1845" s="251" t="str">
        <f t="shared" si="3"/>
        <v>0_</v>
      </c>
      <c r="AS1845" s="251" t="str">
        <f t="shared" si="4"/>
        <v/>
      </c>
      <c r="AT1845" s="247"/>
    </row>
    <row r="1846">
      <c r="C1846" s="277"/>
      <c r="O1846" s="247"/>
      <c r="AC1846" s="247"/>
      <c r="AR1846" s="251" t="str">
        <f t="shared" si="3"/>
        <v>0_</v>
      </c>
      <c r="AS1846" s="251" t="str">
        <f t="shared" si="4"/>
        <v/>
      </c>
      <c r="AT1846" s="247"/>
    </row>
    <row r="1847">
      <c r="C1847" s="277"/>
      <c r="O1847" s="247"/>
      <c r="AC1847" s="247"/>
      <c r="AR1847" s="251" t="str">
        <f t="shared" si="3"/>
        <v>0_</v>
      </c>
      <c r="AS1847" s="251" t="str">
        <f t="shared" si="4"/>
        <v/>
      </c>
      <c r="AT1847" s="247"/>
    </row>
    <row r="1848">
      <c r="C1848" s="277"/>
      <c r="O1848" s="247"/>
      <c r="AC1848" s="247"/>
      <c r="AR1848" s="251" t="str">
        <f t="shared" si="3"/>
        <v>0_</v>
      </c>
      <c r="AS1848" s="251" t="str">
        <f t="shared" si="4"/>
        <v/>
      </c>
      <c r="AT1848" s="247"/>
    </row>
    <row r="1849">
      <c r="C1849" s="277"/>
      <c r="O1849" s="247"/>
      <c r="AC1849" s="247"/>
      <c r="AR1849" s="251" t="str">
        <f t="shared" si="3"/>
        <v>0_</v>
      </c>
      <c r="AS1849" s="251" t="str">
        <f t="shared" si="4"/>
        <v/>
      </c>
      <c r="AT1849" s="247"/>
    </row>
    <row r="1850">
      <c r="C1850" s="277"/>
      <c r="O1850" s="247"/>
      <c r="AC1850" s="247"/>
      <c r="AR1850" s="251" t="str">
        <f t="shared" si="3"/>
        <v>0_</v>
      </c>
      <c r="AS1850" s="251" t="str">
        <f t="shared" si="4"/>
        <v/>
      </c>
      <c r="AT1850" s="247"/>
    </row>
    <row r="1851">
      <c r="C1851" s="277"/>
      <c r="O1851" s="247"/>
      <c r="AC1851" s="247"/>
      <c r="AR1851" s="251" t="str">
        <f t="shared" si="3"/>
        <v>0_</v>
      </c>
      <c r="AS1851" s="251" t="str">
        <f t="shared" si="4"/>
        <v/>
      </c>
      <c r="AT1851" s="247"/>
    </row>
    <row r="1852">
      <c r="C1852" s="277"/>
      <c r="O1852" s="247"/>
      <c r="AC1852" s="247"/>
      <c r="AR1852" s="251" t="str">
        <f t="shared" si="3"/>
        <v>0_</v>
      </c>
      <c r="AS1852" s="251" t="str">
        <f t="shared" si="4"/>
        <v/>
      </c>
      <c r="AT1852" s="247"/>
    </row>
    <row r="1853">
      <c r="C1853" s="277"/>
      <c r="O1853" s="247"/>
      <c r="AC1853" s="247"/>
      <c r="AR1853" s="251" t="str">
        <f t="shared" si="3"/>
        <v>0_</v>
      </c>
      <c r="AS1853" s="251" t="str">
        <f t="shared" si="4"/>
        <v/>
      </c>
      <c r="AT1853" s="247"/>
    </row>
    <row r="1854">
      <c r="C1854" s="277"/>
      <c r="O1854" s="247"/>
      <c r="AC1854" s="247"/>
      <c r="AR1854" s="251" t="str">
        <f t="shared" si="3"/>
        <v>0_</v>
      </c>
      <c r="AS1854" s="251" t="str">
        <f t="shared" si="4"/>
        <v/>
      </c>
      <c r="AT1854" s="247"/>
    </row>
    <row r="1855">
      <c r="C1855" s="277"/>
      <c r="O1855" s="247"/>
      <c r="AC1855" s="247"/>
      <c r="AR1855" s="251" t="str">
        <f t="shared" si="3"/>
        <v>0_</v>
      </c>
      <c r="AS1855" s="251" t="str">
        <f t="shared" si="4"/>
        <v/>
      </c>
      <c r="AT1855" s="247"/>
    </row>
    <row r="1856">
      <c r="C1856" s="277"/>
      <c r="O1856" s="247"/>
      <c r="AC1856" s="247"/>
      <c r="AR1856" s="251" t="str">
        <f t="shared" si="3"/>
        <v>0_</v>
      </c>
      <c r="AS1856" s="251" t="str">
        <f t="shared" si="4"/>
        <v/>
      </c>
      <c r="AT1856" s="247"/>
    </row>
    <row r="1857">
      <c r="C1857" s="277"/>
      <c r="O1857" s="247"/>
      <c r="AC1857" s="247"/>
      <c r="AR1857" s="251" t="str">
        <f t="shared" si="3"/>
        <v>0_</v>
      </c>
      <c r="AS1857" s="251" t="str">
        <f t="shared" si="4"/>
        <v/>
      </c>
      <c r="AT1857" s="247"/>
    </row>
    <row r="1858">
      <c r="C1858" s="277"/>
      <c r="O1858" s="247"/>
      <c r="AC1858" s="247"/>
      <c r="AR1858" s="251" t="str">
        <f t="shared" si="3"/>
        <v>0_</v>
      </c>
      <c r="AS1858" s="251" t="str">
        <f t="shared" si="4"/>
        <v/>
      </c>
      <c r="AT1858" s="247"/>
    </row>
    <row r="1859">
      <c r="C1859" s="277"/>
      <c r="O1859" s="247"/>
      <c r="AC1859" s="247"/>
      <c r="AR1859" s="251" t="str">
        <f t="shared" si="3"/>
        <v>0_</v>
      </c>
      <c r="AS1859" s="251" t="str">
        <f t="shared" si="4"/>
        <v/>
      </c>
      <c r="AT1859" s="247"/>
    </row>
    <row r="1860">
      <c r="C1860" s="277"/>
      <c r="O1860" s="247"/>
      <c r="AC1860" s="247"/>
      <c r="AR1860" s="251" t="str">
        <f t="shared" si="3"/>
        <v>0_</v>
      </c>
      <c r="AS1860" s="251" t="str">
        <f t="shared" si="4"/>
        <v/>
      </c>
      <c r="AT1860" s="247"/>
    </row>
    <row r="1861">
      <c r="C1861" s="277"/>
      <c r="O1861" s="247"/>
      <c r="AC1861" s="247"/>
      <c r="AR1861" s="251" t="str">
        <f t="shared" si="3"/>
        <v>0_</v>
      </c>
      <c r="AS1861" s="251" t="str">
        <f t="shared" si="4"/>
        <v/>
      </c>
      <c r="AT1861" s="247"/>
    </row>
    <row r="1862">
      <c r="C1862" s="277"/>
      <c r="O1862" s="247"/>
      <c r="AC1862" s="247"/>
      <c r="AR1862" s="251" t="str">
        <f t="shared" si="3"/>
        <v>0_</v>
      </c>
      <c r="AS1862" s="251" t="str">
        <f t="shared" si="4"/>
        <v/>
      </c>
      <c r="AT1862" s="247"/>
    </row>
    <row r="1863">
      <c r="C1863" s="277"/>
      <c r="O1863" s="247"/>
      <c r="AC1863" s="247"/>
      <c r="AR1863" s="251" t="str">
        <f t="shared" si="3"/>
        <v>0_</v>
      </c>
      <c r="AS1863" s="251" t="str">
        <f t="shared" si="4"/>
        <v/>
      </c>
      <c r="AT1863" s="247"/>
    </row>
    <row r="1864">
      <c r="C1864" s="277"/>
      <c r="O1864" s="247"/>
      <c r="AC1864" s="247"/>
      <c r="AR1864" s="251" t="str">
        <f t="shared" si="3"/>
        <v>0_</v>
      </c>
      <c r="AS1864" s="251" t="str">
        <f t="shared" si="4"/>
        <v/>
      </c>
      <c r="AT1864" s="247"/>
    </row>
    <row r="1865">
      <c r="C1865" s="277"/>
      <c r="O1865" s="247"/>
      <c r="AC1865" s="247"/>
      <c r="AR1865" s="251" t="str">
        <f t="shared" si="3"/>
        <v>0_</v>
      </c>
      <c r="AS1865" s="251" t="str">
        <f t="shared" si="4"/>
        <v/>
      </c>
      <c r="AT1865" s="247"/>
    </row>
    <row r="1866">
      <c r="C1866" s="277"/>
      <c r="O1866" s="247"/>
      <c r="AC1866" s="247"/>
      <c r="AR1866" s="251" t="str">
        <f t="shared" si="3"/>
        <v>0_</v>
      </c>
      <c r="AS1866" s="251" t="str">
        <f t="shared" si="4"/>
        <v/>
      </c>
      <c r="AT1866" s="247"/>
    </row>
    <row r="1867">
      <c r="C1867" s="277"/>
      <c r="O1867" s="247"/>
      <c r="AC1867" s="247"/>
      <c r="AR1867" s="251" t="str">
        <f t="shared" si="3"/>
        <v>0_</v>
      </c>
      <c r="AS1867" s="251" t="str">
        <f t="shared" si="4"/>
        <v/>
      </c>
      <c r="AT1867" s="247"/>
    </row>
    <row r="1868">
      <c r="C1868" s="277"/>
      <c r="O1868" s="247"/>
      <c r="AC1868" s="247"/>
      <c r="AR1868" s="251" t="str">
        <f t="shared" si="3"/>
        <v>0_</v>
      </c>
      <c r="AS1868" s="251" t="str">
        <f t="shared" si="4"/>
        <v/>
      </c>
      <c r="AT1868" s="247"/>
    </row>
    <row r="1869">
      <c r="C1869" s="277"/>
      <c r="O1869" s="247"/>
      <c r="AC1869" s="247"/>
      <c r="AR1869" s="251" t="str">
        <f t="shared" si="3"/>
        <v>0_</v>
      </c>
      <c r="AS1869" s="251" t="str">
        <f t="shared" si="4"/>
        <v/>
      </c>
      <c r="AT1869" s="247"/>
    </row>
    <row r="1870">
      <c r="C1870" s="277"/>
      <c r="O1870" s="247"/>
      <c r="AC1870" s="247"/>
      <c r="AR1870" s="251" t="str">
        <f t="shared" si="3"/>
        <v>0_</v>
      </c>
      <c r="AS1870" s="251" t="str">
        <f t="shared" si="4"/>
        <v/>
      </c>
      <c r="AT1870" s="247"/>
    </row>
    <row r="1871">
      <c r="C1871" s="277"/>
      <c r="O1871" s="247"/>
      <c r="AC1871" s="247"/>
      <c r="AR1871" s="251" t="str">
        <f t="shared" si="3"/>
        <v>0_</v>
      </c>
      <c r="AS1871" s="251" t="str">
        <f t="shared" si="4"/>
        <v/>
      </c>
      <c r="AT1871" s="247"/>
    </row>
    <row r="1872">
      <c r="C1872" s="277"/>
      <c r="O1872" s="247"/>
      <c r="AC1872" s="247"/>
      <c r="AR1872" s="251" t="str">
        <f t="shared" si="3"/>
        <v>0_</v>
      </c>
      <c r="AS1872" s="251" t="str">
        <f t="shared" si="4"/>
        <v/>
      </c>
      <c r="AT1872" s="247"/>
    </row>
    <row r="1873">
      <c r="C1873" s="277"/>
      <c r="O1873" s="247"/>
      <c r="AC1873" s="247"/>
      <c r="AR1873" s="251" t="str">
        <f t="shared" si="3"/>
        <v>0_</v>
      </c>
      <c r="AS1873" s="251" t="str">
        <f t="shared" si="4"/>
        <v/>
      </c>
      <c r="AT1873" s="247"/>
    </row>
    <row r="1874">
      <c r="C1874" s="277"/>
      <c r="O1874" s="247"/>
      <c r="AC1874" s="247"/>
      <c r="AR1874" s="251" t="str">
        <f t="shared" si="3"/>
        <v>0_</v>
      </c>
      <c r="AS1874" s="251" t="str">
        <f t="shared" si="4"/>
        <v/>
      </c>
      <c r="AT1874" s="247"/>
    </row>
    <row r="1875">
      <c r="C1875" s="277"/>
      <c r="O1875" s="247"/>
      <c r="AC1875" s="247"/>
      <c r="AR1875" s="251" t="str">
        <f t="shared" si="3"/>
        <v>0_</v>
      </c>
      <c r="AS1875" s="251" t="str">
        <f t="shared" si="4"/>
        <v/>
      </c>
      <c r="AT1875" s="247"/>
    </row>
    <row r="1876">
      <c r="C1876" s="277"/>
      <c r="O1876" s="247"/>
      <c r="AC1876" s="247"/>
      <c r="AR1876" s="251" t="str">
        <f t="shared" si="3"/>
        <v>0_</v>
      </c>
      <c r="AS1876" s="251" t="str">
        <f t="shared" si="4"/>
        <v/>
      </c>
      <c r="AT1876" s="247"/>
    </row>
    <row r="1877">
      <c r="C1877" s="277"/>
      <c r="O1877" s="247"/>
      <c r="AC1877" s="247"/>
      <c r="AR1877" s="251" t="str">
        <f t="shared" si="3"/>
        <v>0_</v>
      </c>
      <c r="AS1877" s="251" t="str">
        <f t="shared" si="4"/>
        <v/>
      </c>
      <c r="AT1877" s="247"/>
    </row>
    <row r="1878">
      <c r="C1878" s="277"/>
      <c r="O1878" s="247"/>
      <c r="AC1878" s="247"/>
      <c r="AR1878" s="251" t="str">
        <f t="shared" si="3"/>
        <v>0_</v>
      </c>
      <c r="AS1878" s="251" t="str">
        <f t="shared" si="4"/>
        <v/>
      </c>
      <c r="AT1878" s="247"/>
    </row>
    <row r="1879">
      <c r="C1879" s="277"/>
      <c r="O1879" s="247"/>
      <c r="AC1879" s="247"/>
      <c r="AR1879" s="251" t="str">
        <f t="shared" si="3"/>
        <v>0_</v>
      </c>
      <c r="AS1879" s="251" t="str">
        <f t="shared" si="4"/>
        <v/>
      </c>
      <c r="AT1879" s="247"/>
    </row>
    <row r="1880">
      <c r="C1880" s="277"/>
      <c r="O1880" s="247"/>
      <c r="AC1880" s="247"/>
      <c r="AR1880" s="251" t="str">
        <f t="shared" si="3"/>
        <v>0_</v>
      </c>
      <c r="AS1880" s="251" t="str">
        <f t="shared" si="4"/>
        <v/>
      </c>
      <c r="AT1880" s="247"/>
    </row>
    <row r="1881">
      <c r="C1881" s="277"/>
      <c r="O1881" s="247"/>
      <c r="AC1881" s="247"/>
      <c r="AR1881" s="251" t="str">
        <f t="shared" si="3"/>
        <v>0_</v>
      </c>
      <c r="AS1881" s="251" t="str">
        <f t="shared" si="4"/>
        <v/>
      </c>
      <c r="AT1881" s="247"/>
    </row>
    <row r="1882">
      <c r="C1882" s="277"/>
      <c r="O1882" s="247"/>
      <c r="AC1882" s="247"/>
      <c r="AR1882" s="251" t="str">
        <f t="shared" si="3"/>
        <v>0_</v>
      </c>
      <c r="AS1882" s="251" t="str">
        <f t="shared" si="4"/>
        <v/>
      </c>
      <c r="AT1882" s="247"/>
    </row>
    <row r="1883">
      <c r="C1883" s="277"/>
      <c r="O1883" s="247"/>
      <c r="AC1883" s="247"/>
      <c r="AR1883" s="251" t="str">
        <f t="shared" si="3"/>
        <v>0_</v>
      </c>
      <c r="AS1883" s="251" t="str">
        <f t="shared" si="4"/>
        <v/>
      </c>
      <c r="AT1883" s="247"/>
    </row>
    <row r="1884">
      <c r="C1884" s="277"/>
      <c r="O1884" s="247"/>
      <c r="AC1884" s="247"/>
      <c r="AR1884" s="251" t="str">
        <f t="shared" si="3"/>
        <v>0_</v>
      </c>
      <c r="AS1884" s="251" t="str">
        <f t="shared" si="4"/>
        <v/>
      </c>
      <c r="AT1884" s="247"/>
    </row>
    <row r="1885">
      <c r="C1885" s="277"/>
      <c r="O1885" s="247"/>
      <c r="AC1885" s="247"/>
      <c r="AR1885" s="251" t="str">
        <f t="shared" si="3"/>
        <v>0_</v>
      </c>
      <c r="AS1885" s="251" t="str">
        <f t="shared" si="4"/>
        <v/>
      </c>
      <c r="AT1885" s="247"/>
    </row>
    <row r="1886">
      <c r="C1886" s="277"/>
      <c r="O1886" s="247"/>
      <c r="AC1886" s="247"/>
      <c r="AR1886" s="251" t="str">
        <f t="shared" si="3"/>
        <v>0_</v>
      </c>
      <c r="AS1886" s="251" t="str">
        <f t="shared" si="4"/>
        <v/>
      </c>
      <c r="AT1886" s="247"/>
    </row>
    <row r="1887">
      <c r="C1887" s="277"/>
      <c r="O1887" s="247"/>
      <c r="AC1887" s="247"/>
      <c r="AR1887" s="251" t="str">
        <f t="shared" si="3"/>
        <v>0_</v>
      </c>
      <c r="AS1887" s="251" t="str">
        <f t="shared" si="4"/>
        <v/>
      </c>
      <c r="AT1887" s="247"/>
    </row>
    <row r="1888">
      <c r="C1888" s="277"/>
      <c r="O1888" s="247"/>
      <c r="AC1888" s="247"/>
      <c r="AR1888" s="251" t="str">
        <f t="shared" si="3"/>
        <v>0_</v>
      </c>
      <c r="AS1888" s="251" t="str">
        <f t="shared" si="4"/>
        <v/>
      </c>
      <c r="AT1888" s="247"/>
    </row>
    <row r="1889">
      <c r="C1889" s="277"/>
      <c r="O1889" s="247"/>
      <c r="AC1889" s="247"/>
      <c r="AR1889" s="251" t="str">
        <f t="shared" si="3"/>
        <v>0_</v>
      </c>
      <c r="AS1889" s="251" t="str">
        <f t="shared" si="4"/>
        <v/>
      </c>
      <c r="AT1889" s="247"/>
    </row>
    <row r="1890">
      <c r="C1890" s="277"/>
      <c r="O1890" s="247"/>
      <c r="AC1890" s="247"/>
      <c r="AR1890" s="251" t="str">
        <f t="shared" si="3"/>
        <v>0_</v>
      </c>
      <c r="AS1890" s="251" t="str">
        <f t="shared" si="4"/>
        <v/>
      </c>
      <c r="AT1890" s="247"/>
    </row>
    <row r="1891">
      <c r="C1891" s="277"/>
      <c r="O1891" s="247"/>
      <c r="AC1891" s="247"/>
      <c r="AR1891" s="251" t="str">
        <f t="shared" si="3"/>
        <v>0_</v>
      </c>
      <c r="AS1891" s="251" t="str">
        <f t="shared" si="4"/>
        <v/>
      </c>
      <c r="AT1891" s="247"/>
    </row>
    <row r="1892">
      <c r="C1892" s="277"/>
      <c r="O1892" s="247"/>
      <c r="AC1892" s="247"/>
      <c r="AR1892" s="251" t="str">
        <f t="shared" si="3"/>
        <v>0_</v>
      </c>
      <c r="AS1892" s="251" t="str">
        <f t="shared" si="4"/>
        <v/>
      </c>
      <c r="AT1892" s="247"/>
    </row>
    <row r="1893">
      <c r="C1893" s="277"/>
      <c r="O1893" s="247"/>
      <c r="AC1893" s="247"/>
      <c r="AR1893" s="251" t="str">
        <f t="shared" si="3"/>
        <v>0_</v>
      </c>
      <c r="AS1893" s="251" t="str">
        <f t="shared" si="4"/>
        <v/>
      </c>
      <c r="AT1893" s="247"/>
    </row>
    <row r="1894">
      <c r="C1894" s="277"/>
      <c r="O1894" s="247"/>
      <c r="AC1894" s="247"/>
      <c r="AR1894" s="251" t="str">
        <f t="shared" si="3"/>
        <v>0_</v>
      </c>
      <c r="AS1894" s="251" t="str">
        <f t="shared" si="4"/>
        <v/>
      </c>
      <c r="AT1894" s="247"/>
    </row>
    <row r="1895">
      <c r="C1895" s="277"/>
      <c r="O1895" s="247"/>
      <c r="AC1895" s="247"/>
      <c r="AR1895" s="251" t="str">
        <f t="shared" si="3"/>
        <v>0_</v>
      </c>
      <c r="AS1895" s="251" t="str">
        <f t="shared" si="4"/>
        <v/>
      </c>
      <c r="AT1895" s="247"/>
    </row>
    <row r="1896">
      <c r="C1896" s="277"/>
      <c r="O1896" s="247"/>
      <c r="AC1896" s="247"/>
      <c r="AR1896" s="251" t="str">
        <f t="shared" si="3"/>
        <v>0_</v>
      </c>
      <c r="AS1896" s="251" t="str">
        <f t="shared" si="4"/>
        <v/>
      </c>
      <c r="AT1896" s="247"/>
    </row>
    <row r="1897">
      <c r="C1897" s="277"/>
      <c r="O1897" s="247"/>
      <c r="AC1897" s="247"/>
      <c r="AR1897" s="251" t="str">
        <f t="shared" si="3"/>
        <v>0_</v>
      </c>
      <c r="AS1897" s="251" t="str">
        <f t="shared" si="4"/>
        <v/>
      </c>
      <c r="AT1897" s="247"/>
    </row>
    <row r="1898">
      <c r="C1898" s="277"/>
      <c r="O1898" s="247"/>
      <c r="AC1898" s="247"/>
      <c r="AR1898" s="251" t="str">
        <f t="shared" si="3"/>
        <v>0_</v>
      </c>
      <c r="AS1898" s="251" t="str">
        <f t="shared" si="4"/>
        <v/>
      </c>
      <c r="AT1898" s="247"/>
    </row>
    <row r="1899">
      <c r="C1899" s="277"/>
      <c r="O1899" s="247"/>
      <c r="AC1899" s="247"/>
      <c r="AR1899" s="251" t="str">
        <f t="shared" si="3"/>
        <v>0_</v>
      </c>
      <c r="AS1899" s="251" t="str">
        <f t="shared" si="4"/>
        <v/>
      </c>
      <c r="AT1899" s="247"/>
    </row>
    <row r="1900">
      <c r="C1900" s="277"/>
      <c r="O1900" s="247"/>
      <c r="AC1900" s="247"/>
      <c r="AR1900" s="251" t="str">
        <f t="shared" si="3"/>
        <v>0_</v>
      </c>
      <c r="AS1900" s="251" t="str">
        <f t="shared" si="4"/>
        <v/>
      </c>
      <c r="AT1900" s="247"/>
    </row>
    <row r="1901">
      <c r="C1901" s="277"/>
      <c r="O1901" s="247"/>
      <c r="AC1901" s="247"/>
      <c r="AR1901" s="251" t="str">
        <f t="shared" si="3"/>
        <v>0_</v>
      </c>
      <c r="AS1901" s="251" t="str">
        <f t="shared" si="4"/>
        <v/>
      </c>
      <c r="AT1901" s="247"/>
    </row>
    <row r="1902">
      <c r="C1902" s="277"/>
      <c r="O1902" s="247"/>
      <c r="AC1902" s="247"/>
      <c r="AR1902" s="251" t="str">
        <f t="shared" si="3"/>
        <v>0_</v>
      </c>
      <c r="AS1902" s="251" t="str">
        <f t="shared" si="4"/>
        <v/>
      </c>
      <c r="AT1902" s="247"/>
    </row>
    <row r="1903">
      <c r="C1903" s="277"/>
      <c r="O1903" s="247"/>
      <c r="AC1903" s="247"/>
      <c r="AR1903" s="251" t="str">
        <f t="shared" si="3"/>
        <v>0_</v>
      </c>
      <c r="AS1903" s="251" t="str">
        <f t="shared" si="4"/>
        <v/>
      </c>
      <c r="AT1903" s="247"/>
    </row>
    <row r="1904">
      <c r="C1904" s="277"/>
      <c r="O1904" s="247"/>
      <c r="AC1904" s="247"/>
      <c r="AR1904" s="251" t="str">
        <f t="shared" si="3"/>
        <v>0_</v>
      </c>
      <c r="AS1904" s="251" t="str">
        <f t="shared" si="4"/>
        <v/>
      </c>
      <c r="AT1904" s="247"/>
    </row>
    <row r="1905">
      <c r="C1905" s="277"/>
      <c r="O1905" s="247"/>
      <c r="AC1905" s="247"/>
      <c r="AR1905" s="251" t="str">
        <f t="shared" si="3"/>
        <v>0_</v>
      </c>
      <c r="AS1905" s="251" t="str">
        <f t="shared" si="4"/>
        <v/>
      </c>
      <c r="AT1905" s="247"/>
    </row>
    <row r="1906">
      <c r="C1906" s="277"/>
      <c r="O1906" s="247"/>
      <c r="AC1906" s="247"/>
      <c r="AR1906" s="251" t="str">
        <f t="shared" si="3"/>
        <v>0_</v>
      </c>
      <c r="AS1906" s="251" t="str">
        <f t="shared" si="4"/>
        <v/>
      </c>
      <c r="AT1906" s="247"/>
    </row>
    <row r="1907">
      <c r="C1907" s="277"/>
      <c r="O1907" s="247"/>
      <c r="AC1907" s="247"/>
      <c r="AR1907" s="251" t="str">
        <f t="shared" si="3"/>
        <v>0_</v>
      </c>
      <c r="AS1907" s="251" t="str">
        <f t="shared" si="4"/>
        <v/>
      </c>
      <c r="AT1907" s="247"/>
    </row>
    <row r="1908">
      <c r="C1908" s="277"/>
      <c r="O1908" s="247"/>
      <c r="AC1908" s="247"/>
      <c r="AR1908" s="251" t="str">
        <f t="shared" si="3"/>
        <v>0_</v>
      </c>
      <c r="AS1908" s="251" t="str">
        <f t="shared" si="4"/>
        <v/>
      </c>
      <c r="AT1908" s="247"/>
    </row>
    <row r="1909">
      <c r="C1909" s="277"/>
      <c r="O1909" s="247"/>
      <c r="AC1909" s="247"/>
      <c r="AR1909" s="251" t="str">
        <f t="shared" si="3"/>
        <v>0_</v>
      </c>
      <c r="AS1909" s="251" t="str">
        <f t="shared" si="4"/>
        <v/>
      </c>
      <c r="AT1909" s="247"/>
    </row>
    <row r="1910">
      <c r="C1910" s="277"/>
      <c r="O1910" s="247"/>
      <c r="AC1910" s="247"/>
      <c r="AT1910" s="247"/>
    </row>
    <row r="1911">
      <c r="C1911" s="277"/>
      <c r="O1911" s="247"/>
      <c r="AC1911" s="247"/>
      <c r="AT1911" s="247"/>
    </row>
    <row r="1912">
      <c r="C1912" s="277"/>
      <c r="O1912" s="247"/>
      <c r="AC1912" s="247"/>
      <c r="AT1912" s="247"/>
    </row>
    <row r="1913">
      <c r="C1913" s="277"/>
      <c r="O1913" s="247"/>
      <c r="AC1913" s="247"/>
      <c r="AT1913" s="247"/>
    </row>
    <row r="1914">
      <c r="C1914" s="277"/>
      <c r="O1914" s="247"/>
      <c r="AC1914" s="247"/>
      <c r="AT1914" s="247"/>
    </row>
    <row r="1915">
      <c r="C1915" s="277"/>
      <c r="O1915" s="247"/>
      <c r="AC1915" s="247"/>
      <c r="AT1915" s="247"/>
    </row>
    <row r="1916">
      <c r="C1916" s="277"/>
      <c r="O1916" s="247"/>
      <c r="AC1916" s="247"/>
      <c r="AT1916" s="247"/>
    </row>
    <row r="1917">
      <c r="C1917" s="277"/>
      <c r="O1917" s="247"/>
      <c r="AC1917" s="247"/>
      <c r="AT1917" s="247"/>
    </row>
    <row r="1918">
      <c r="C1918" s="277"/>
      <c r="O1918" s="247"/>
      <c r="AC1918" s="247"/>
      <c r="AT1918" s="247"/>
    </row>
    <row r="1919">
      <c r="C1919" s="277"/>
      <c r="O1919" s="247"/>
      <c r="AC1919" s="247"/>
      <c r="AT1919" s="247"/>
    </row>
    <row r="1920">
      <c r="C1920" s="277"/>
      <c r="O1920" s="247"/>
      <c r="AC1920" s="247"/>
      <c r="AT1920" s="247"/>
    </row>
    <row r="1921">
      <c r="C1921" s="277"/>
      <c r="O1921" s="247"/>
      <c r="AC1921" s="247"/>
      <c r="AT1921" s="247"/>
    </row>
    <row r="1922">
      <c r="C1922" s="277"/>
      <c r="O1922" s="247"/>
      <c r="AC1922" s="247"/>
      <c r="AT1922" s="247"/>
    </row>
    <row r="1923">
      <c r="C1923" s="277"/>
      <c r="O1923" s="247"/>
      <c r="AC1923" s="247"/>
      <c r="AT1923" s="247"/>
    </row>
    <row r="1924">
      <c r="C1924" s="277"/>
      <c r="O1924" s="247"/>
      <c r="AC1924" s="247"/>
      <c r="AT1924" s="247"/>
    </row>
    <row r="1925">
      <c r="C1925" s="277"/>
      <c r="O1925" s="247"/>
      <c r="AC1925" s="247"/>
      <c r="AT1925" s="247"/>
    </row>
    <row r="1926">
      <c r="C1926" s="277"/>
      <c r="O1926" s="247"/>
      <c r="AC1926" s="247"/>
      <c r="AT1926" s="247"/>
    </row>
    <row r="1927">
      <c r="C1927" s="277"/>
      <c r="O1927" s="247"/>
      <c r="AC1927" s="247"/>
      <c r="AT1927" s="247"/>
    </row>
    <row r="1928">
      <c r="C1928" s="277"/>
      <c r="O1928" s="247"/>
      <c r="AC1928" s="247"/>
      <c r="AT1928" s="247"/>
    </row>
    <row r="1929">
      <c r="C1929" s="277"/>
      <c r="O1929" s="247"/>
      <c r="AC1929" s="247"/>
      <c r="AT1929" s="247"/>
    </row>
    <row r="1930">
      <c r="C1930" s="277"/>
      <c r="O1930" s="247"/>
      <c r="AC1930" s="247"/>
      <c r="AT1930" s="247"/>
    </row>
    <row r="1931">
      <c r="C1931" s="277"/>
      <c r="O1931" s="247"/>
      <c r="AC1931" s="247"/>
      <c r="AT1931" s="247"/>
    </row>
    <row r="1932">
      <c r="C1932" s="277"/>
      <c r="O1932" s="247"/>
      <c r="AC1932" s="247"/>
      <c r="AT1932" s="247"/>
    </row>
    <row r="1933">
      <c r="C1933" s="277"/>
      <c r="O1933" s="247"/>
      <c r="AC1933" s="247"/>
      <c r="AT1933" s="247"/>
    </row>
    <row r="1934">
      <c r="C1934" s="277"/>
      <c r="O1934" s="247"/>
      <c r="AC1934" s="247"/>
      <c r="AT1934" s="247"/>
    </row>
    <row r="1935">
      <c r="C1935" s="277"/>
      <c r="O1935" s="247"/>
      <c r="AC1935" s="247"/>
      <c r="AT1935" s="247"/>
    </row>
    <row r="1936">
      <c r="C1936" s="277"/>
      <c r="O1936" s="247"/>
      <c r="AC1936" s="247"/>
      <c r="AT1936" s="247"/>
    </row>
    <row r="1937">
      <c r="C1937" s="277"/>
      <c r="O1937" s="247"/>
      <c r="AC1937" s="247"/>
      <c r="AT1937" s="247"/>
    </row>
    <row r="1938">
      <c r="C1938" s="277"/>
      <c r="O1938" s="247"/>
      <c r="AC1938" s="247"/>
      <c r="AT1938" s="247"/>
    </row>
    <row r="1939">
      <c r="C1939" s="277"/>
      <c r="O1939" s="247"/>
      <c r="AC1939" s="247"/>
      <c r="AT1939" s="247"/>
    </row>
    <row r="1940">
      <c r="C1940" s="277"/>
      <c r="O1940" s="247"/>
      <c r="AC1940" s="247"/>
      <c r="AT1940" s="247"/>
    </row>
    <row r="1941">
      <c r="C1941" s="277"/>
      <c r="O1941" s="247"/>
      <c r="AC1941" s="247"/>
      <c r="AT1941" s="247"/>
    </row>
    <row r="1942">
      <c r="C1942" s="277"/>
      <c r="O1942" s="247"/>
      <c r="AC1942" s="247"/>
      <c r="AT1942" s="247"/>
    </row>
    <row r="1943">
      <c r="C1943" s="277"/>
      <c r="O1943" s="247"/>
      <c r="AC1943" s="247"/>
      <c r="AT1943" s="247"/>
    </row>
    <row r="1944">
      <c r="C1944" s="277"/>
      <c r="O1944" s="247"/>
      <c r="AC1944" s="247"/>
      <c r="AT1944" s="247"/>
    </row>
    <row r="1945">
      <c r="C1945" s="277"/>
      <c r="O1945" s="247"/>
      <c r="AC1945" s="247"/>
      <c r="AT1945" s="247"/>
    </row>
    <row r="1946">
      <c r="C1946" s="277"/>
      <c r="O1946" s="247"/>
      <c r="AC1946" s="247"/>
      <c r="AT1946" s="247"/>
    </row>
    <row r="1947">
      <c r="C1947" s="277"/>
      <c r="O1947" s="247"/>
      <c r="AC1947" s="247"/>
      <c r="AT1947" s="247"/>
    </row>
    <row r="1948">
      <c r="C1948" s="277"/>
      <c r="O1948" s="247"/>
      <c r="AC1948" s="247"/>
      <c r="AT1948" s="247"/>
    </row>
    <row r="1949">
      <c r="C1949" s="277"/>
      <c r="O1949" s="247"/>
      <c r="AC1949" s="247"/>
      <c r="AT1949" s="247"/>
    </row>
    <row r="1950">
      <c r="C1950" s="277"/>
      <c r="O1950" s="247"/>
      <c r="AC1950" s="247"/>
      <c r="AT1950" s="247"/>
    </row>
    <row r="1951">
      <c r="C1951" s="277"/>
      <c r="O1951" s="247"/>
      <c r="AC1951" s="247"/>
      <c r="AT1951" s="247"/>
    </row>
    <row r="1952">
      <c r="C1952" s="277"/>
      <c r="O1952" s="247"/>
      <c r="AC1952" s="247"/>
      <c r="AT1952" s="247"/>
    </row>
    <row r="1953">
      <c r="C1953" s="277"/>
      <c r="O1953" s="247"/>
      <c r="AC1953" s="247"/>
      <c r="AT1953" s="247"/>
    </row>
    <row r="1954">
      <c r="C1954" s="277"/>
      <c r="O1954" s="247"/>
      <c r="AC1954" s="247"/>
      <c r="AT1954" s="247"/>
    </row>
    <row r="1955">
      <c r="C1955" s="277"/>
      <c r="O1955" s="247"/>
      <c r="AC1955" s="247"/>
      <c r="AT1955" s="247"/>
    </row>
    <row r="1956">
      <c r="C1956" s="277"/>
      <c r="O1956" s="247"/>
      <c r="AC1956" s="247"/>
      <c r="AT1956" s="247"/>
    </row>
    <row r="1957">
      <c r="C1957" s="277"/>
      <c r="O1957" s="247"/>
      <c r="AC1957" s="247"/>
      <c r="AT1957" s="247"/>
    </row>
    <row r="1958">
      <c r="C1958" s="277"/>
      <c r="O1958" s="247"/>
      <c r="AC1958" s="247"/>
      <c r="AT1958" s="247"/>
    </row>
    <row r="1959">
      <c r="C1959" s="277"/>
      <c r="O1959" s="247"/>
      <c r="AC1959" s="247"/>
      <c r="AT1959" s="247"/>
    </row>
    <row r="1960">
      <c r="C1960" s="277"/>
      <c r="O1960" s="247"/>
      <c r="AC1960" s="247"/>
      <c r="AT1960" s="247"/>
    </row>
    <row r="1961">
      <c r="C1961" s="277"/>
      <c r="O1961" s="247"/>
      <c r="AC1961" s="247"/>
      <c r="AT1961" s="247"/>
    </row>
    <row r="1962">
      <c r="C1962" s="277"/>
      <c r="O1962" s="247"/>
      <c r="AC1962" s="247"/>
      <c r="AT1962" s="247"/>
    </row>
    <row r="1963">
      <c r="C1963" s="277"/>
      <c r="O1963" s="247"/>
      <c r="AC1963" s="247"/>
      <c r="AT1963" s="247"/>
    </row>
    <row r="1964">
      <c r="C1964" s="277"/>
      <c r="O1964" s="247"/>
      <c r="AC1964" s="247"/>
      <c r="AT1964" s="247"/>
    </row>
    <row r="1965">
      <c r="C1965" s="277"/>
      <c r="O1965" s="247"/>
      <c r="AC1965" s="247"/>
      <c r="AT1965" s="247"/>
    </row>
    <row r="1966">
      <c r="C1966" s="277"/>
      <c r="O1966" s="247"/>
      <c r="AC1966" s="247"/>
      <c r="AT1966" s="247"/>
    </row>
    <row r="1967">
      <c r="C1967" s="277"/>
      <c r="O1967" s="247"/>
      <c r="AC1967" s="247"/>
      <c r="AT1967" s="247"/>
    </row>
    <row r="1968">
      <c r="C1968" s="277"/>
      <c r="O1968" s="247"/>
      <c r="AC1968" s="247"/>
      <c r="AT1968" s="247"/>
    </row>
    <row r="1969">
      <c r="C1969" s="277"/>
      <c r="O1969" s="247"/>
      <c r="AC1969" s="247"/>
      <c r="AT1969" s="247"/>
    </row>
    <row r="1970">
      <c r="C1970" s="277"/>
      <c r="O1970" s="247"/>
      <c r="AC1970" s="247"/>
      <c r="AT1970" s="247"/>
    </row>
    <row r="1971">
      <c r="C1971" s="277"/>
      <c r="O1971" s="247"/>
      <c r="AC1971" s="247"/>
      <c r="AT1971" s="247"/>
    </row>
    <row r="1972">
      <c r="C1972" s="277"/>
      <c r="O1972" s="247"/>
      <c r="AC1972" s="247"/>
      <c r="AT1972" s="247"/>
    </row>
    <row r="1973">
      <c r="C1973" s="277"/>
      <c r="O1973" s="247"/>
      <c r="AC1973" s="247"/>
      <c r="AT1973" s="247"/>
    </row>
    <row r="1974">
      <c r="C1974" s="277"/>
      <c r="O1974" s="247"/>
      <c r="AC1974" s="247"/>
      <c r="AT1974" s="247"/>
    </row>
    <row r="1975">
      <c r="C1975" s="277"/>
      <c r="O1975" s="247"/>
      <c r="AC1975" s="247"/>
      <c r="AT1975" s="247"/>
    </row>
    <row r="1976">
      <c r="C1976" s="277"/>
      <c r="O1976" s="247"/>
      <c r="AC1976" s="247"/>
      <c r="AT1976" s="247"/>
    </row>
    <row r="1977">
      <c r="C1977" s="277"/>
      <c r="O1977" s="247"/>
      <c r="AC1977" s="247"/>
      <c r="AT1977" s="247"/>
    </row>
    <row r="1978">
      <c r="C1978" s="277"/>
      <c r="O1978" s="247"/>
      <c r="AC1978" s="247"/>
      <c r="AT1978" s="247"/>
    </row>
    <row r="1979">
      <c r="C1979" s="277"/>
      <c r="O1979" s="247"/>
      <c r="AC1979" s="247"/>
      <c r="AT1979" s="247"/>
    </row>
    <row r="1980">
      <c r="C1980" s="277"/>
      <c r="O1980" s="247"/>
      <c r="AC1980" s="247"/>
      <c r="AT1980" s="247"/>
    </row>
    <row r="1981">
      <c r="C1981" s="277"/>
      <c r="O1981" s="247"/>
      <c r="AC1981" s="247"/>
      <c r="AT1981" s="247"/>
    </row>
    <row r="1982">
      <c r="C1982" s="277"/>
      <c r="O1982" s="247"/>
      <c r="AC1982" s="247"/>
      <c r="AT1982" s="247"/>
    </row>
    <row r="1983">
      <c r="C1983" s="277"/>
      <c r="O1983" s="247"/>
      <c r="AC1983" s="247"/>
      <c r="AT1983" s="247"/>
    </row>
    <row r="1984">
      <c r="C1984" s="277"/>
      <c r="O1984" s="247"/>
      <c r="AC1984" s="247"/>
      <c r="AT1984" s="247"/>
    </row>
    <row r="1985">
      <c r="C1985" s="277"/>
      <c r="O1985" s="247"/>
      <c r="AC1985" s="247"/>
      <c r="AT1985" s="247"/>
    </row>
    <row r="1986">
      <c r="C1986" s="277"/>
      <c r="O1986" s="247"/>
      <c r="AC1986" s="247"/>
      <c r="AT1986" s="247"/>
    </row>
    <row r="1987">
      <c r="C1987" s="277"/>
      <c r="O1987" s="247"/>
      <c r="AC1987" s="247"/>
      <c r="AT1987" s="247"/>
    </row>
    <row r="1988">
      <c r="C1988" s="277"/>
      <c r="O1988" s="247"/>
      <c r="AC1988" s="247"/>
      <c r="AT1988" s="247"/>
    </row>
    <row r="1989">
      <c r="C1989" s="277"/>
      <c r="O1989" s="247"/>
      <c r="AC1989" s="247"/>
      <c r="AT1989" s="247"/>
    </row>
    <row r="1990">
      <c r="C1990" s="277"/>
      <c r="O1990" s="247"/>
      <c r="AC1990" s="247"/>
      <c r="AT1990" s="247"/>
    </row>
    <row r="1991">
      <c r="C1991" s="277"/>
      <c r="O1991" s="247"/>
      <c r="AC1991" s="247"/>
      <c r="AT1991" s="247"/>
    </row>
    <row r="1992">
      <c r="C1992" s="277"/>
      <c r="O1992" s="247"/>
      <c r="AC1992" s="247"/>
      <c r="AT1992" s="247"/>
    </row>
    <row r="1993">
      <c r="C1993" s="277"/>
      <c r="O1993" s="247"/>
      <c r="AC1993" s="247"/>
      <c r="AT1993" s="247"/>
    </row>
    <row r="1994">
      <c r="C1994" s="277"/>
      <c r="O1994" s="247"/>
      <c r="AC1994" s="247"/>
      <c r="AT1994" s="247"/>
    </row>
    <row r="1995">
      <c r="C1995" s="277"/>
      <c r="O1995" s="247"/>
      <c r="AC1995" s="247"/>
      <c r="AT1995" s="247"/>
    </row>
    <row r="1996">
      <c r="C1996" s="277"/>
      <c r="O1996" s="247"/>
      <c r="AC1996" s="247"/>
      <c r="AT1996" s="247"/>
    </row>
    <row r="1997">
      <c r="C1997" s="277"/>
      <c r="O1997" s="247"/>
      <c r="AC1997" s="247"/>
      <c r="AT1997" s="247"/>
    </row>
    <row r="1998">
      <c r="C1998" s="277"/>
      <c r="O1998" s="247"/>
      <c r="AC1998" s="247"/>
      <c r="AT1998" s="247"/>
    </row>
    <row r="1999">
      <c r="C1999" s="277"/>
      <c r="O1999" s="247"/>
      <c r="AC1999" s="247"/>
      <c r="AT1999" s="247"/>
    </row>
    <row r="2000">
      <c r="C2000" s="277"/>
      <c r="O2000" s="247"/>
      <c r="AC2000" s="247"/>
      <c r="AT2000" s="247"/>
    </row>
    <row r="2001">
      <c r="C2001" s="277"/>
      <c r="O2001" s="247"/>
      <c r="AC2001" s="247"/>
      <c r="AT2001" s="247"/>
    </row>
    <row r="2002">
      <c r="C2002" s="277"/>
      <c r="O2002" s="247"/>
      <c r="AC2002" s="247"/>
      <c r="AT2002" s="247"/>
    </row>
    <row r="2003">
      <c r="C2003" s="277"/>
      <c r="O2003" s="247"/>
      <c r="AC2003" s="247"/>
      <c r="AT2003" s="247"/>
    </row>
    <row r="2004">
      <c r="C2004" s="277"/>
      <c r="O2004" s="247"/>
      <c r="AC2004" s="247"/>
      <c r="AT2004" s="247"/>
    </row>
    <row r="2005">
      <c r="C2005" s="277"/>
      <c r="O2005" s="247"/>
      <c r="AC2005" s="247"/>
      <c r="AT2005" s="247"/>
    </row>
    <row r="2006">
      <c r="C2006" s="277"/>
      <c r="O2006" s="247"/>
      <c r="AC2006" s="247"/>
      <c r="AT2006" s="247"/>
    </row>
    <row r="2007">
      <c r="C2007" s="277"/>
      <c r="O2007" s="247"/>
      <c r="AC2007" s="247"/>
      <c r="AT2007" s="247"/>
    </row>
    <row r="2008">
      <c r="C2008" s="277"/>
      <c r="O2008" s="247"/>
      <c r="AC2008" s="247"/>
      <c r="AT2008" s="247"/>
    </row>
    <row r="2009">
      <c r="C2009" s="277"/>
      <c r="O2009" s="247"/>
      <c r="AC2009" s="247"/>
      <c r="AT2009" s="247"/>
    </row>
    <row r="2010">
      <c r="C2010" s="277"/>
      <c r="O2010" s="247"/>
      <c r="AC2010" s="247"/>
      <c r="AT2010" s="247"/>
    </row>
    <row r="2011">
      <c r="C2011" s="277"/>
      <c r="O2011" s="247"/>
      <c r="AC2011" s="247"/>
      <c r="AT2011" s="247"/>
    </row>
    <row r="2012">
      <c r="C2012" s="277"/>
      <c r="O2012" s="247"/>
      <c r="AC2012" s="247"/>
      <c r="AT2012" s="247"/>
    </row>
    <row r="2013">
      <c r="C2013" s="277"/>
      <c r="O2013" s="247"/>
      <c r="AC2013" s="247"/>
      <c r="AT2013" s="247"/>
    </row>
    <row r="2014">
      <c r="C2014" s="277"/>
      <c r="O2014" s="247"/>
      <c r="AC2014" s="247"/>
      <c r="AT2014" s="247"/>
    </row>
    <row r="2015">
      <c r="C2015" s="277"/>
      <c r="O2015" s="247"/>
      <c r="AC2015" s="247"/>
      <c r="AT2015" s="247"/>
    </row>
    <row r="2016">
      <c r="C2016" s="277"/>
      <c r="O2016" s="247"/>
      <c r="AC2016" s="247"/>
      <c r="AT2016" s="247"/>
    </row>
    <row r="2017">
      <c r="C2017" s="277"/>
      <c r="O2017" s="247"/>
      <c r="AC2017" s="247"/>
      <c r="AT2017" s="247"/>
    </row>
    <row r="2018">
      <c r="C2018" s="277"/>
      <c r="O2018" s="247"/>
      <c r="AC2018" s="247"/>
      <c r="AT2018" s="247"/>
    </row>
    <row r="2019">
      <c r="C2019" s="277"/>
      <c r="O2019" s="247"/>
      <c r="AC2019" s="247"/>
      <c r="AT2019" s="247"/>
    </row>
    <row r="2020">
      <c r="C2020" s="277"/>
      <c r="O2020" s="247"/>
      <c r="AC2020" s="247"/>
      <c r="AT2020" s="247"/>
    </row>
    <row r="2021">
      <c r="C2021" s="277"/>
      <c r="O2021" s="247"/>
      <c r="AC2021" s="247"/>
      <c r="AT2021" s="247"/>
    </row>
    <row r="2022">
      <c r="C2022" s="277"/>
      <c r="O2022" s="247"/>
      <c r="AC2022" s="247"/>
      <c r="AT2022" s="247"/>
    </row>
    <row r="2023">
      <c r="C2023" s="277"/>
      <c r="O2023" s="247"/>
      <c r="AC2023" s="247"/>
      <c r="AT2023" s="247"/>
    </row>
    <row r="2024">
      <c r="C2024" s="277"/>
      <c r="O2024" s="247"/>
      <c r="AC2024" s="247"/>
      <c r="AT2024" s="247"/>
    </row>
    <row r="2025">
      <c r="C2025" s="277"/>
      <c r="O2025" s="247"/>
      <c r="AC2025" s="247"/>
      <c r="AT2025" s="247"/>
    </row>
    <row r="2026">
      <c r="C2026" s="277"/>
      <c r="O2026" s="247"/>
      <c r="AC2026" s="247"/>
      <c r="AT2026" s="247"/>
    </row>
    <row r="2027">
      <c r="C2027" s="277"/>
      <c r="O2027" s="247"/>
      <c r="AC2027" s="247"/>
      <c r="AT2027" s="247"/>
    </row>
    <row r="2028">
      <c r="C2028" s="277"/>
      <c r="O2028" s="247"/>
      <c r="AC2028" s="247"/>
      <c r="AT2028" s="247"/>
    </row>
    <row r="2029">
      <c r="C2029" s="277"/>
      <c r="O2029" s="247"/>
      <c r="AC2029" s="247"/>
      <c r="AT2029" s="247"/>
    </row>
    <row r="2030">
      <c r="C2030" s="277"/>
      <c r="O2030" s="247"/>
      <c r="AC2030" s="247"/>
      <c r="AT2030" s="247"/>
    </row>
    <row r="2031">
      <c r="C2031" s="277"/>
      <c r="O2031" s="247"/>
      <c r="AC2031" s="247"/>
      <c r="AT2031" s="247"/>
    </row>
    <row r="2032">
      <c r="C2032" s="277"/>
      <c r="O2032" s="247"/>
      <c r="AC2032" s="247"/>
      <c r="AT2032" s="247"/>
    </row>
    <row r="2033">
      <c r="C2033" s="277"/>
      <c r="O2033" s="247"/>
      <c r="AC2033" s="247"/>
      <c r="AT2033" s="247"/>
    </row>
    <row r="2034">
      <c r="C2034" s="277"/>
      <c r="O2034" s="247"/>
      <c r="AC2034" s="247"/>
      <c r="AT2034" s="247"/>
    </row>
    <row r="2035">
      <c r="C2035" s="277"/>
      <c r="O2035" s="247"/>
      <c r="AC2035" s="247"/>
      <c r="AT2035" s="247"/>
    </row>
    <row r="2036">
      <c r="C2036" s="277"/>
      <c r="O2036" s="247"/>
      <c r="AC2036" s="247"/>
      <c r="AT2036" s="247"/>
    </row>
    <row r="2037">
      <c r="C2037" s="277"/>
      <c r="O2037" s="247"/>
      <c r="AC2037" s="247"/>
      <c r="AT2037" s="247"/>
    </row>
    <row r="2038">
      <c r="C2038" s="277"/>
      <c r="O2038" s="247"/>
      <c r="AC2038" s="247"/>
      <c r="AT2038" s="247"/>
    </row>
    <row r="2039">
      <c r="C2039" s="277"/>
      <c r="O2039" s="247"/>
      <c r="AC2039" s="247"/>
      <c r="AT2039" s="247"/>
    </row>
    <row r="2040">
      <c r="C2040" s="277"/>
      <c r="O2040" s="247"/>
      <c r="AC2040" s="247"/>
      <c r="AT2040" s="247"/>
    </row>
    <row r="2041">
      <c r="C2041" s="277"/>
      <c r="O2041" s="247"/>
      <c r="AC2041" s="247"/>
      <c r="AT2041" s="247"/>
    </row>
    <row r="2042">
      <c r="C2042" s="277"/>
      <c r="O2042" s="247"/>
      <c r="AC2042" s="247"/>
      <c r="AT2042" s="247"/>
    </row>
    <row r="2043">
      <c r="C2043" s="277"/>
      <c r="O2043" s="247"/>
      <c r="AC2043" s="247"/>
      <c r="AT2043" s="247"/>
    </row>
    <row r="2044">
      <c r="C2044" s="277"/>
      <c r="O2044" s="247"/>
      <c r="AC2044" s="247"/>
      <c r="AT2044" s="247"/>
    </row>
    <row r="2045">
      <c r="C2045" s="277"/>
      <c r="O2045" s="247"/>
      <c r="AC2045" s="247"/>
      <c r="AT2045" s="247"/>
    </row>
    <row r="2046">
      <c r="C2046" s="277"/>
      <c r="O2046" s="247"/>
      <c r="AC2046" s="247"/>
      <c r="AT2046" s="247"/>
    </row>
    <row r="2047">
      <c r="C2047" s="277"/>
      <c r="O2047" s="247"/>
      <c r="AC2047" s="247"/>
      <c r="AT2047" s="247"/>
    </row>
    <row r="2048">
      <c r="C2048" s="277"/>
      <c r="O2048" s="247"/>
      <c r="AC2048" s="247"/>
      <c r="AT2048" s="247"/>
    </row>
    <row r="2049">
      <c r="C2049" s="277"/>
      <c r="O2049" s="247"/>
      <c r="AC2049" s="247"/>
      <c r="AT2049" s="247"/>
    </row>
    <row r="2050">
      <c r="C2050" s="277"/>
      <c r="O2050" s="247"/>
      <c r="AC2050" s="247"/>
      <c r="AT2050" s="247"/>
    </row>
    <row r="2051">
      <c r="C2051" s="277"/>
      <c r="O2051" s="247"/>
      <c r="AC2051" s="247"/>
      <c r="AT2051" s="247"/>
    </row>
    <row r="2052">
      <c r="C2052" s="277"/>
      <c r="O2052" s="247"/>
      <c r="AC2052" s="247"/>
      <c r="AT2052" s="247"/>
    </row>
    <row r="2053">
      <c r="C2053" s="277"/>
      <c r="O2053" s="247"/>
      <c r="AC2053" s="247"/>
      <c r="AT2053" s="247"/>
    </row>
    <row r="2054">
      <c r="C2054" s="277"/>
      <c r="O2054" s="247"/>
      <c r="AC2054" s="247"/>
      <c r="AT2054" s="247"/>
    </row>
    <row r="2055">
      <c r="C2055" s="277"/>
      <c r="O2055" s="247"/>
      <c r="AC2055" s="247"/>
      <c r="AT2055" s="247"/>
    </row>
    <row r="2056">
      <c r="C2056" s="277"/>
      <c r="O2056" s="247"/>
      <c r="AC2056" s="247"/>
      <c r="AT2056" s="247"/>
    </row>
    <row r="2057">
      <c r="C2057" s="277"/>
      <c r="O2057" s="247"/>
      <c r="AC2057" s="247"/>
      <c r="AT2057" s="247"/>
    </row>
    <row r="2058">
      <c r="C2058" s="277"/>
      <c r="O2058" s="247"/>
      <c r="AC2058" s="247"/>
      <c r="AT2058" s="247"/>
    </row>
    <row r="2059">
      <c r="C2059" s="277"/>
      <c r="O2059" s="247"/>
      <c r="AC2059" s="247"/>
      <c r="AT2059" s="247"/>
    </row>
    <row r="2060">
      <c r="C2060" s="277"/>
      <c r="O2060" s="247"/>
      <c r="AC2060" s="247"/>
      <c r="AT2060" s="247"/>
    </row>
    <row r="2061">
      <c r="C2061" s="277"/>
      <c r="O2061" s="247"/>
      <c r="AC2061" s="247"/>
      <c r="AT2061" s="247"/>
    </row>
    <row r="2062">
      <c r="C2062" s="277"/>
      <c r="O2062" s="247"/>
      <c r="AC2062" s="247"/>
      <c r="AT2062" s="247"/>
    </row>
    <row r="2063">
      <c r="C2063" s="277"/>
      <c r="O2063" s="247"/>
      <c r="AC2063" s="247"/>
      <c r="AT2063" s="247"/>
    </row>
    <row r="2064">
      <c r="C2064" s="277"/>
      <c r="O2064" s="247"/>
      <c r="AC2064" s="247"/>
      <c r="AT2064" s="247"/>
    </row>
    <row r="2065">
      <c r="C2065" s="277"/>
      <c r="O2065" s="247"/>
      <c r="AC2065" s="247"/>
      <c r="AT2065" s="247"/>
    </row>
    <row r="2066">
      <c r="C2066" s="277"/>
      <c r="O2066" s="247"/>
      <c r="AC2066" s="247"/>
      <c r="AT2066" s="247"/>
    </row>
    <row r="2067">
      <c r="C2067" s="277"/>
      <c r="O2067" s="247"/>
      <c r="AC2067" s="247"/>
      <c r="AT2067" s="247"/>
    </row>
    <row r="2068">
      <c r="C2068" s="277"/>
      <c r="O2068" s="247"/>
      <c r="AC2068" s="247"/>
      <c r="AT2068" s="247"/>
    </row>
    <row r="2069">
      <c r="C2069" s="277"/>
      <c r="O2069" s="247"/>
      <c r="AC2069" s="247"/>
      <c r="AT2069" s="247"/>
    </row>
    <row r="2070">
      <c r="C2070" s="277"/>
      <c r="O2070" s="247"/>
      <c r="AC2070" s="247"/>
      <c r="AT2070" s="247"/>
    </row>
    <row r="2071">
      <c r="C2071" s="277"/>
      <c r="O2071" s="247"/>
      <c r="AC2071" s="247"/>
      <c r="AT2071" s="247"/>
    </row>
    <row r="2072">
      <c r="C2072" s="277"/>
      <c r="O2072" s="247"/>
      <c r="AC2072" s="247"/>
      <c r="AT2072" s="247"/>
    </row>
    <row r="2073">
      <c r="C2073" s="277"/>
      <c r="O2073" s="247"/>
      <c r="AC2073" s="247"/>
      <c r="AT2073" s="247"/>
    </row>
    <row r="2074">
      <c r="C2074" s="277"/>
      <c r="O2074" s="247"/>
      <c r="AC2074" s="247"/>
      <c r="AT2074" s="247"/>
    </row>
    <row r="2075">
      <c r="C2075" s="277"/>
      <c r="O2075" s="247"/>
      <c r="AC2075" s="247"/>
      <c r="AT2075" s="247"/>
    </row>
    <row r="2076">
      <c r="C2076" s="277"/>
      <c r="O2076" s="247"/>
      <c r="AC2076" s="247"/>
      <c r="AT2076" s="247"/>
    </row>
    <row r="2077">
      <c r="C2077" s="277"/>
      <c r="O2077" s="247"/>
      <c r="AC2077" s="247"/>
      <c r="AT2077" s="247"/>
    </row>
    <row r="2078">
      <c r="C2078" s="277"/>
      <c r="O2078" s="247"/>
      <c r="AC2078" s="247"/>
      <c r="AT2078" s="247"/>
    </row>
    <row r="2079">
      <c r="C2079" s="277"/>
      <c r="O2079" s="247"/>
      <c r="AC2079" s="247"/>
      <c r="AT2079" s="247"/>
    </row>
    <row r="2080">
      <c r="C2080" s="277"/>
      <c r="O2080" s="247"/>
      <c r="AC2080" s="247"/>
      <c r="AT2080" s="247"/>
    </row>
    <row r="2081">
      <c r="C2081" s="277"/>
      <c r="O2081" s="247"/>
      <c r="AC2081" s="247"/>
      <c r="AT2081" s="247"/>
    </row>
    <row r="2082">
      <c r="C2082" s="277"/>
      <c r="O2082" s="247"/>
      <c r="AC2082" s="247"/>
      <c r="AT2082" s="247"/>
    </row>
    <row r="2083">
      <c r="C2083" s="277"/>
      <c r="O2083" s="247"/>
      <c r="AC2083" s="247"/>
      <c r="AT2083" s="247"/>
    </row>
    <row r="2084">
      <c r="C2084" s="277"/>
      <c r="O2084" s="247"/>
      <c r="AC2084" s="247"/>
      <c r="AT2084" s="247"/>
    </row>
    <row r="2085">
      <c r="C2085" s="277"/>
      <c r="O2085" s="247"/>
      <c r="AC2085" s="247"/>
      <c r="AT2085" s="247"/>
    </row>
    <row r="2086">
      <c r="C2086" s="277"/>
      <c r="O2086" s="247"/>
      <c r="AC2086" s="247"/>
      <c r="AT2086" s="247"/>
    </row>
    <row r="2087">
      <c r="C2087" s="277"/>
      <c r="O2087" s="247"/>
      <c r="AC2087" s="247"/>
      <c r="AT2087" s="247"/>
    </row>
    <row r="2088">
      <c r="C2088" s="277"/>
      <c r="O2088" s="247"/>
      <c r="AC2088" s="247"/>
      <c r="AT2088" s="247"/>
    </row>
    <row r="2089">
      <c r="C2089" s="277"/>
      <c r="O2089" s="247"/>
      <c r="AC2089" s="247"/>
      <c r="AT2089" s="247"/>
    </row>
    <row r="2090">
      <c r="C2090" s="277"/>
      <c r="O2090" s="247"/>
      <c r="AC2090" s="247"/>
      <c r="AT2090" s="247"/>
    </row>
    <row r="2091">
      <c r="C2091" s="277"/>
      <c r="O2091" s="247"/>
      <c r="AC2091" s="247"/>
      <c r="AT2091" s="247"/>
    </row>
    <row r="2092">
      <c r="C2092" s="277"/>
      <c r="O2092" s="247"/>
      <c r="AC2092" s="247"/>
      <c r="AT2092" s="247"/>
    </row>
    <row r="2093">
      <c r="C2093" s="277"/>
      <c r="O2093" s="247"/>
      <c r="AC2093" s="247"/>
      <c r="AT2093" s="247"/>
    </row>
    <row r="2094">
      <c r="C2094" s="277"/>
      <c r="O2094" s="247"/>
      <c r="AC2094" s="247"/>
      <c r="AT2094" s="247"/>
    </row>
    <row r="2095">
      <c r="C2095" s="277"/>
      <c r="O2095" s="247"/>
      <c r="AC2095" s="247"/>
      <c r="AT2095" s="247"/>
    </row>
    <row r="2096">
      <c r="C2096" s="277"/>
      <c r="O2096" s="247"/>
      <c r="AC2096" s="247"/>
      <c r="AT2096" s="247"/>
    </row>
    <row r="2097">
      <c r="C2097" s="277"/>
      <c r="O2097" s="247"/>
      <c r="AC2097" s="247"/>
      <c r="AT2097" s="247"/>
    </row>
    <row r="2098">
      <c r="C2098" s="277"/>
      <c r="O2098" s="247"/>
      <c r="AC2098" s="247"/>
      <c r="AT2098" s="247"/>
    </row>
    <row r="2099">
      <c r="C2099" s="277"/>
      <c r="O2099" s="247"/>
      <c r="AC2099" s="247"/>
      <c r="AT2099" s="247"/>
    </row>
    <row r="2100">
      <c r="C2100" s="277"/>
      <c r="O2100" s="247"/>
      <c r="AC2100" s="247"/>
      <c r="AT2100" s="247"/>
    </row>
    <row r="2101">
      <c r="C2101" s="277"/>
      <c r="O2101" s="247"/>
      <c r="AC2101" s="247"/>
      <c r="AT2101" s="247"/>
    </row>
    <row r="2102">
      <c r="C2102" s="277"/>
      <c r="O2102" s="247"/>
      <c r="AC2102" s="247"/>
      <c r="AT2102" s="247"/>
    </row>
    <row r="2103">
      <c r="C2103" s="277"/>
      <c r="O2103" s="247"/>
      <c r="AC2103" s="247"/>
      <c r="AT2103" s="247"/>
    </row>
    <row r="2104">
      <c r="C2104" s="277"/>
      <c r="O2104" s="247"/>
      <c r="AC2104" s="247"/>
      <c r="AT2104" s="247"/>
    </row>
    <row r="2105">
      <c r="C2105" s="277"/>
      <c r="O2105" s="247"/>
      <c r="AC2105" s="247"/>
      <c r="AT2105" s="247"/>
    </row>
    <row r="2106">
      <c r="C2106" s="277"/>
      <c r="O2106" s="247"/>
      <c r="AC2106" s="247"/>
      <c r="AT2106" s="247"/>
    </row>
    <row r="2107">
      <c r="C2107" s="277"/>
      <c r="O2107" s="247"/>
      <c r="AC2107" s="247"/>
      <c r="AT2107" s="247"/>
    </row>
    <row r="2108">
      <c r="C2108" s="277"/>
      <c r="O2108" s="247"/>
      <c r="AC2108" s="247"/>
      <c r="AT2108" s="247"/>
    </row>
    <row r="2109">
      <c r="C2109" s="277"/>
      <c r="O2109" s="247"/>
      <c r="AC2109" s="247"/>
      <c r="AT2109" s="247"/>
    </row>
    <row r="2110">
      <c r="C2110" s="277"/>
      <c r="O2110" s="247"/>
      <c r="AC2110" s="247"/>
      <c r="AT2110" s="247"/>
    </row>
    <row r="2111">
      <c r="C2111" s="277"/>
      <c r="O2111" s="247"/>
      <c r="AC2111" s="247"/>
      <c r="AT2111" s="247"/>
    </row>
    <row r="2112">
      <c r="C2112" s="277"/>
      <c r="O2112" s="247"/>
      <c r="AC2112" s="247"/>
      <c r="AT2112" s="247"/>
    </row>
    <row r="2113">
      <c r="C2113" s="277"/>
      <c r="O2113" s="247"/>
      <c r="AC2113" s="247"/>
      <c r="AT2113" s="247"/>
    </row>
    <row r="2114">
      <c r="C2114" s="277"/>
      <c r="O2114" s="247"/>
      <c r="AC2114" s="247"/>
      <c r="AT2114" s="247"/>
    </row>
    <row r="2115">
      <c r="C2115" s="277"/>
      <c r="O2115" s="247"/>
      <c r="AC2115" s="247"/>
      <c r="AT2115" s="247"/>
    </row>
    <row r="2116">
      <c r="C2116" s="277"/>
      <c r="O2116" s="247"/>
      <c r="AC2116" s="247"/>
      <c r="AT2116" s="247"/>
    </row>
    <row r="2117">
      <c r="C2117" s="277"/>
      <c r="O2117" s="247"/>
      <c r="AC2117" s="247"/>
      <c r="AT2117" s="247"/>
    </row>
    <row r="2118">
      <c r="C2118" s="277"/>
      <c r="O2118" s="247"/>
      <c r="AC2118" s="247"/>
      <c r="AT2118" s="247"/>
    </row>
    <row r="2119">
      <c r="C2119" s="277"/>
      <c r="O2119" s="247"/>
      <c r="AC2119" s="247"/>
      <c r="AT2119" s="247"/>
    </row>
    <row r="2120">
      <c r="C2120" s="277"/>
      <c r="O2120" s="247"/>
      <c r="AC2120" s="247"/>
      <c r="AT2120" s="247"/>
    </row>
    <row r="2121">
      <c r="C2121" s="277"/>
      <c r="O2121" s="247"/>
      <c r="AC2121" s="247"/>
      <c r="AT2121" s="247"/>
    </row>
    <row r="2122">
      <c r="C2122" s="277"/>
      <c r="O2122" s="247"/>
      <c r="AC2122" s="247"/>
      <c r="AT2122" s="247"/>
    </row>
    <row r="2123">
      <c r="C2123" s="277"/>
      <c r="O2123" s="247"/>
      <c r="AC2123" s="247"/>
      <c r="AT2123" s="247"/>
    </row>
    <row r="2124">
      <c r="C2124" s="277"/>
      <c r="O2124" s="247"/>
      <c r="AC2124" s="247"/>
      <c r="AT2124" s="247"/>
    </row>
    <row r="2125">
      <c r="C2125" s="277"/>
      <c r="O2125" s="247"/>
      <c r="AC2125" s="247"/>
      <c r="AT2125" s="247"/>
    </row>
    <row r="2126">
      <c r="C2126" s="277"/>
      <c r="O2126" s="247"/>
      <c r="AC2126" s="247"/>
      <c r="AT2126" s="247"/>
    </row>
    <row r="2127">
      <c r="C2127" s="277"/>
      <c r="O2127" s="247"/>
      <c r="AC2127" s="247"/>
      <c r="AT2127" s="247"/>
    </row>
    <row r="2128">
      <c r="C2128" s="277"/>
      <c r="O2128" s="247"/>
      <c r="AC2128" s="247"/>
      <c r="AT2128" s="247"/>
    </row>
    <row r="2129">
      <c r="C2129" s="277"/>
      <c r="O2129" s="247"/>
      <c r="AC2129" s="247"/>
      <c r="AT2129" s="247"/>
    </row>
    <row r="2130">
      <c r="C2130" s="277"/>
      <c r="O2130" s="247"/>
      <c r="AC2130" s="247"/>
      <c r="AT2130" s="247"/>
    </row>
    <row r="2131">
      <c r="C2131" s="277"/>
      <c r="O2131" s="247"/>
      <c r="AC2131" s="247"/>
      <c r="AT2131" s="247"/>
    </row>
    <row r="2132">
      <c r="C2132" s="277"/>
      <c r="O2132" s="247"/>
      <c r="AC2132" s="247"/>
      <c r="AT2132" s="247"/>
    </row>
    <row r="2133">
      <c r="C2133" s="277"/>
      <c r="O2133" s="247"/>
      <c r="AC2133" s="247"/>
      <c r="AT2133" s="247"/>
    </row>
    <row r="2134">
      <c r="C2134" s="277"/>
      <c r="O2134" s="247"/>
      <c r="AC2134" s="247"/>
      <c r="AT2134" s="247"/>
    </row>
    <row r="2135">
      <c r="C2135" s="277"/>
      <c r="O2135" s="247"/>
      <c r="AC2135" s="247"/>
      <c r="AT2135" s="247"/>
    </row>
    <row r="2136">
      <c r="C2136" s="277"/>
      <c r="O2136" s="247"/>
      <c r="AC2136" s="247"/>
      <c r="AT2136" s="247"/>
    </row>
    <row r="2137">
      <c r="C2137" s="277"/>
      <c r="O2137" s="247"/>
      <c r="AC2137" s="247"/>
      <c r="AT2137" s="247"/>
    </row>
    <row r="2138">
      <c r="C2138" s="277"/>
      <c r="O2138" s="247"/>
      <c r="AC2138" s="247"/>
      <c r="AT2138" s="247"/>
    </row>
    <row r="2139">
      <c r="C2139" s="277"/>
      <c r="O2139" s="247"/>
      <c r="AC2139" s="247"/>
      <c r="AT2139" s="247"/>
    </row>
    <row r="2140">
      <c r="C2140" s="277"/>
      <c r="O2140" s="247"/>
      <c r="AC2140" s="247"/>
      <c r="AT2140" s="247"/>
    </row>
    <row r="2141">
      <c r="C2141" s="277"/>
      <c r="O2141" s="247"/>
      <c r="AC2141" s="247"/>
      <c r="AT2141" s="247"/>
    </row>
    <row r="2142">
      <c r="C2142" s="277"/>
      <c r="O2142" s="247"/>
      <c r="AC2142" s="247"/>
      <c r="AT2142" s="247"/>
    </row>
    <row r="2143">
      <c r="C2143" s="277"/>
      <c r="O2143" s="247"/>
      <c r="AC2143" s="247"/>
      <c r="AT2143" s="247"/>
    </row>
    <row r="2144">
      <c r="C2144" s="277"/>
      <c r="O2144" s="247"/>
      <c r="AC2144" s="247"/>
      <c r="AT2144" s="247"/>
    </row>
    <row r="2145">
      <c r="C2145" s="277"/>
      <c r="O2145" s="247"/>
      <c r="AC2145" s="247"/>
      <c r="AT2145" s="247"/>
    </row>
    <row r="2146">
      <c r="C2146" s="277"/>
      <c r="O2146" s="247"/>
      <c r="AC2146" s="247"/>
      <c r="AT2146" s="247"/>
    </row>
    <row r="2147">
      <c r="C2147" s="277"/>
      <c r="O2147" s="247"/>
      <c r="AC2147" s="247"/>
      <c r="AT2147" s="247"/>
    </row>
    <row r="2148">
      <c r="C2148" s="277"/>
      <c r="O2148" s="247"/>
      <c r="AC2148" s="247"/>
      <c r="AT2148" s="247"/>
    </row>
    <row r="2149">
      <c r="C2149" s="277"/>
      <c r="O2149" s="247"/>
      <c r="AC2149" s="247"/>
      <c r="AT2149" s="247"/>
    </row>
    <row r="2150">
      <c r="C2150" s="277"/>
      <c r="O2150" s="247"/>
      <c r="AC2150" s="247"/>
      <c r="AT2150" s="247"/>
    </row>
    <row r="2151">
      <c r="C2151" s="277"/>
      <c r="O2151" s="247"/>
      <c r="AC2151" s="247"/>
      <c r="AT2151" s="247"/>
    </row>
    <row r="2152">
      <c r="C2152" s="277"/>
      <c r="O2152" s="247"/>
      <c r="AC2152" s="247"/>
      <c r="AT2152" s="247"/>
    </row>
    <row r="2153">
      <c r="C2153" s="277"/>
      <c r="O2153" s="247"/>
      <c r="AC2153" s="247"/>
      <c r="AT2153" s="247"/>
    </row>
    <row r="2154">
      <c r="C2154" s="277"/>
      <c r="O2154" s="247"/>
      <c r="AC2154" s="247"/>
      <c r="AT2154" s="247"/>
    </row>
    <row r="2155">
      <c r="C2155" s="277"/>
      <c r="O2155" s="247"/>
      <c r="AC2155" s="247"/>
      <c r="AT2155" s="247"/>
    </row>
    <row r="2156">
      <c r="C2156" s="277"/>
      <c r="O2156" s="247"/>
      <c r="AC2156" s="247"/>
      <c r="AT2156" s="247"/>
    </row>
    <row r="2157">
      <c r="C2157" s="277"/>
      <c r="O2157" s="247"/>
      <c r="AC2157" s="247"/>
      <c r="AT2157" s="247"/>
    </row>
    <row r="2158">
      <c r="C2158" s="277"/>
      <c r="O2158" s="247"/>
      <c r="AC2158" s="247"/>
      <c r="AT2158" s="247"/>
    </row>
    <row r="2159">
      <c r="C2159" s="277"/>
      <c r="O2159" s="247"/>
      <c r="AC2159" s="247"/>
      <c r="AT2159" s="247"/>
    </row>
    <row r="2160">
      <c r="C2160" s="277"/>
      <c r="O2160" s="247"/>
      <c r="AC2160" s="247"/>
      <c r="AT2160" s="247"/>
    </row>
    <row r="2161">
      <c r="C2161" s="277"/>
      <c r="O2161" s="247"/>
      <c r="AC2161" s="247"/>
      <c r="AT2161" s="247"/>
    </row>
    <row r="2162">
      <c r="C2162" s="277"/>
      <c r="O2162" s="247"/>
      <c r="AC2162" s="247"/>
      <c r="AT2162" s="247"/>
    </row>
    <row r="2163">
      <c r="C2163" s="277"/>
      <c r="O2163" s="247"/>
      <c r="AC2163" s="247"/>
      <c r="AT2163" s="247"/>
    </row>
    <row r="2164">
      <c r="C2164" s="277"/>
      <c r="O2164" s="247"/>
      <c r="AC2164" s="247"/>
      <c r="AT2164" s="247"/>
    </row>
    <row r="2165">
      <c r="C2165" s="277"/>
      <c r="O2165" s="247"/>
      <c r="AC2165" s="247"/>
      <c r="AT2165" s="247"/>
    </row>
    <row r="2166">
      <c r="C2166" s="277"/>
      <c r="O2166" s="247"/>
      <c r="AC2166" s="247"/>
      <c r="AT2166" s="247"/>
    </row>
    <row r="2167">
      <c r="C2167" s="277"/>
      <c r="O2167" s="247"/>
      <c r="AC2167" s="247"/>
      <c r="AT2167" s="247"/>
    </row>
    <row r="2168">
      <c r="C2168" s="277"/>
      <c r="O2168" s="247"/>
      <c r="AC2168" s="247"/>
      <c r="AT2168" s="247"/>
    </row>
    <row r="2169">
      <c r="C2169" s="277"/>
      <c r="O2169" s="247"/>
      <c r="AC2169" s="247"/>
      <c r="AT2169" s="247"/>
    </row>
    <row r="2170">
      <c r="C2170" s="277"/>
      <c r="O2170" s="247"/>
      <c r="AC2170" s="247"/>
      <c r="AT2170" s="247"/>
    </row>
    <row r="2171">
      <c r="C2171" s="277"/>
      <c r="O2171" s="247"/>
      <c r="AC2171" s="247"/>
      <c r="AT2171" s="247"/>
    </row>
    <row r="2172">
      <c r="C2172" s="277"/>
      <c r="O2172" s="247"/>
      <c r="AC2172" s="247"/>
      <c r="AT2172" s="247"/>
    </row>
    <row r="2173">
      <c r="C2173" s="277"/>
      <c r="O2173" s="247"/>
      <c r="AC2173" s="247"/>
      <c r="AT2173" s="247"/>
    </row>
    <row r="2174">
      <c r="C2174" s="277"/>
      <c r="O2174" s="247"/>
      <c r="AC2174" s="247"/>
      <c r="AT2174" s="247"/>
    </row>
    <row r="2175">
      <c r="C2175" s="277"/>
      <c r="O2175" s="247"/>
      <c r="AC2175" s="247"/>
      <c r="AT2175" s="247"/>
    </row>
    <row r="2176">
      <c r="C2176" s="277"/>
      <c r="O2176" s="247"/>
      <c r="AC2176" s="247"/>
      <c r="AT2176" s="247"/>
    </row>
    <row r="2177">
      <c r="C2177" s="277"/>
      <c r="O2177" s="247"/>
      <c r="AC2177" s="247"/>
      <c r="AT2177" s="247"/>
    </row>
    <row r="2178">
      <c r="C2178" s="277"/>
      <c r="O2178" s="247"/>
      <c r="AC2178" s="247"/>
      <c r="AT2178" s="247"/>
    </row>
    <row r="2179">
      <c r="C2179" s="277"/>
      <c r="O2179" s="247"/>
      <c r="AC2179" s="247"/>
      <c r="AT2179" s="247"/>
    </row>
    <row r="2180">
      <c r="C2180" s="277"/>
      <c r="O2180" s="247"/>
      <c r="AC2180" s="247"/>
      <c r="AT2180" s="247"/>
    </row>
    <row r="2181">
      <c r="C2181" s="277"/>
      <c r="O2181" s="247"/>
      <c r="AC2181" s="247"/>
      <c r="AT2181" s="247"/>
    </row>
    <row r="2182">
      <c r="C2182" s="277"/>
      <c r="O2182" s="247"/>
      <c r="AC2182" s="247"/>
      <c r="AT2182" s="247"/>
    </row>
    <row r="2183">
      <c r="C2183" s="277"/>
      <c r="O2183" s="247"/>
      <c r="AC2183" s="247"/>
      <c r="AT2183" s="247"/>
    </row>
    <row r="2184">
      <c r="C2184" s="277"/>
      <c r="O2184" s="247"/>
      <c r="AC2184" s="247"/>
      <c r="AT2184" s="247"/>
    </row>
    <row r="2185">
      <c r="C2185" s="277"/>
      <c r="O2185" s="247"/>
      <c r="AC2185" s="247"/>
      <c r="AT2185" s="247"/>
    </row>
    <row r="2186">
      <c r="C2186" s="277"/>
      <c r="O2186" s="247"/>
      <c r="AC2186" s="247"/>
      <c r="AT2186" s="247"/>
    </row>
    <row r="2187">
      <c r="C2187" s="277"/>
      <c r="O2187" s="247"/>
      <c r="AC2187" s="247"/>
      <c r="AT2187" s="247"/>
    </row>
    <row r="2188">
      <c r="C2188" s="277"/>
      <c r="O2188" s="247"/>
      <c r="AC2188" s="247"/>
      <c r="AT2188" s="247"/>
    </row>
    <row r="2189">
      <c r="C2189" s="277"/>
      <c r="O2189" s="247"/>
      <c r="AC2189" s="247"/>
      <c r="AT2189" s="247"/>
    </row>
    <row r="2190">
      <c r="C2190" s="277"/>
      <c r="O2190" s="247"/>
      <c r="AC2190" s="247"/>
      <c r="AT2190" s="247"/>
    </row>
    <row r="2191">
      <c r="C2191" s="277"/>
      <c r="O2191" s="247"/>
      <c r="AC2191" s="247"/>
      <c r="AT2191" s="247"/>
    </row>
    <row r="2192">
      <c r="C2192" s="277"/>
      <c r="O2192" s="247"/>
      <c r="AC2192" s="247"/>
      <c r="AT2192" s="247"/>
    </row>
    <row r="2193">
      <c r="C2193" s="277"/>
      <c r="O2193" s="247"/>
      <c r="AC2193" s="247"/>
      <c r="AT2193" s="247"/>
    </row>
    <row r="2194">
      <c r="C2194" s="277"/>
      <c r="O2194" s="247"/>
      <c r="AC2194" s="247"/>
      <c r="AT2194" s="247"/>
    </row>
    <row r="2195">
      <c r="C2195" s="277"/>
      <c r="O2195" s="247"/>
      <c r="AC2195" s="247"/>
      <c r="AT2195" s="247"/>
    </row>
    <row r="2196">
      <c r="C2196" s="277"/>
      <c r="O2196" s="247"/>
      <c r="AC2196" s="247"/>
      <c r="AT2196" s="247"/>
    </row>
    <row r="2197">
      <c r="C2197" s="277"/>
      <c r="O2197" s="247"/>
      <c r="AC2197" s="247"/>
      <c r="AT2197" s="247"/>
    </row>
    <row r="2198">
      <c r="C2198" s="277"/>
      <c r="O2198" s="247"/>
      <c r="AC2198" s="247"/>
      <c r="AT2198" s="247"/>
    </row>
    <row r="2199">
      <c r="C2199" s="277"/>
      <c r="O2199" s="247"/>
      <c r="AC2199" s="247"/>
      <c r="AT2199" s="247"/>
    </row>
    <row r="2200">
      <c r="C2200" s="277"/>
      <c r="O2200" s="247"/>
      <c r="AC2200" s="247"/>
      <c r="AT2200" s="247"/>
    </row>
    <row r="2201">
      <c r="C2201" s="277"/>
      <c r="O2201" s="247"/>
      <c r="AC2201" s="247"/>
      <c r="AT2201" s="247"/>
    </row>
    <row r="2202">
      <c r="C2202" s="277"/>
      <c r="O2202" s="247"/>
      <c r="AC2202" s="247"/>
      <c r="AT2202" s="247"/>
    </row>
    <row r="2203">
      <c r="C2203" s="277"/>
      <c r="O2203" s="247"/>
      <c r="AC2203" s="247"/>
      <c r="AT2203" s="247"/>
    </row>
    <row r="2204">
      <c r="C2204" s="277"/>
      <c r="O2204" s="247"/>
      <c r="AC2204" s="247"/>
      <c r="AT2204" s="247"/>
    </row>
    <row r="2205">
      <c r="C2205" s="277"/>
      <c r="O2205" s="247"/>
      <c r="AC2205" s="247"/>
      <c r="AT2205" s="247"/>
    </row>
    <row r="2206">
      <c r="C2206" s="277"/>
      <c r="O2206" s="247"/>
      <c r="AC2206" s="247"/>
      <c r="AT2206" s="247"/>
    </row>
    <row r="2207">
      <c r="C2207" s="277"/>
      <c r="O2207" s="247"/>
      <c r="AC2207" s="247"/>
      <c r="AT2207" s="247"/>
    </row>
    <row r="2208">
      <c r="C2208" s="277"/>
      <c r="O2208" s="247"/>
      <c r="AC2208" s="247"/>
      <c r="AT2208" s="247"/>
    </row>
    <row r="2209">
      <c r="C2209" s="277"/>
      <c r="O2209" s="247"/>
      <c r="AC2209" s="247"/>
      <c r="AT2209" s="247"/>
    </row>
    <row r="2210">
      <c r="C2210" s="277"/>
      <c r="O2210" s="247"/>
      <c r="AC2210" s="247"/>
      <c r="AT2210" s="247"/>
    </row>
    <row r="2211">
      <c r="C2211" s="277"/>
      <c r="O2211" s="247"/>
      <c r="AC2211" s="247"/>
      <c r="AT2211" s="247"/>
    </row>
    <row r="2212">
      <c r="C2212" s="277"/>
      <c r="O2212" s="247"/>
      <c r="AC2212" s="247"/>
      <c r="AT2212" s="247"/>
    </row>
    <row r="2213">
      <c r="C2213" s="277"/>
      <c r="O2213" s="247"/>
      <c r="AC2213" s="247"/>
      <c r="AT2213" s="247"/>
    </row>
    <row r="2214">
      <c r="C2214" s="277"/>
      <c r="O2214" s="247"/>
      <c r="AC2214" s="247"/>
      <c r="AT2214" s="247"/>
    </row>
    <row r="2215">
      <c r="C2215" s="277"/>
      <c r="O2215" s="247"/>
      <c r="AC2215" s="247"/>
      <c r="AT2215" s="247"/>
    </row>
    <row r="2216">
      <c r="C2216" s="277"/>
      <c r="O2216" s="247"/>
      <c r="AC2216" s="247"/>
      <c r="AT2216" s="247"/>
    </row>
    <row r="2217">
      <c r="C2217" s="277"/>
      <c r="O2217" s="247"/>
      <c r="AC2217" s="247"/>
      <c r="AT2217" s="247"/>
    </row>
    <row r="2218">
      <c r="C2218" s="277"/>
      <c r="O2218" s="247"/>
      <c r="AC2218" s="247"/>
      <c r="AT2218" s="247"/>
    </row>
    <row r="2219">
      <c r="C2219" s="277"/>
      <c r="O2219" s="247"/>
      <c r="AC2219" s="247"/>
      <c r="AT2219" s="247"/>
    </row>
    <row r="2220">
      <c r="C2220" s="277"/>
      <c r="O2220" s="247"/>
      <c r="AC2220" s="247"/>
      <c r="AT2220" s="247"/>
    </row>
    <row r="2221">
      <c r="C2221" s="277"/>
      <c r="O2221" s="247"/>
      <c r="AC2221" s="247"/>
      <c r="AT2221" s="247"/>
    </row>
    <row r="2222">
      <c r="C2222" s="277"/>
      <c r="O2222" s="247"/>
      <c r="AC2222" s="247"/>
      <c r="AT2222" s="247"/>
    </row>
    <row r="2223">
      <c r="C2223" s="277"/>
      <c r="O2223" s="247"/>
      <c r="AC2223" s="247"/>
      <c r="AT2223" s="247"/>
    </row>
    <row r="2224">
      <c r="C2224" s="277"/>
      <c r="O2224" s="247"/>
      <c r="AC2224" s="247"/>
      <c r="AT2224" s="247"/>
    </row>
    <row r="2225">
      <c r="C2225" s="277"/>
      <c r="O2225" s="247"/>
      <c r="AC2225" s="247"/>
      <c r="AT2225" s="247"/>
    </row>
    <row r="2226">
      <c r="C2226" s="277"/>
      <c r="O2226" s="247"/>
      <c r="AC2226" s="247"/>
      <c r="AT2226" s="247"/>
    </row>
    <row r="2227">
      <c r="C2227" s="277"/>
      <c r="O2227" s="247"/>
      <c r="AC2227" s="247"/>
      <c r="AT2227" s="247"/>
    </row>
    <row r="2228">
      <c r="C2228" s="277"/>
      <c r="O2228" s="247"/>
      <c r="AC2228" s="247"/>
      <c r="AT2228" s="247"/>
    </row>
    <row r="2229">
      <c r="C2229" s="277"/>
      <c r="O2229" s="247"/>
      <c r="AC2229" s="247"/>
      <c r="AT2229" s="247"/>
    </row>
    <row r="2230">
      <c r="C2230" s="277"/>
      <c r="O2230" s="247"/>
      <c r="AC2230" s="247"/>
      <c r="AT2230" s="247"/>
    </row>
    <row r="2231">
      <c r="C2231" s="277"/>
      <c r="O2231" s="247"/>
      <c r="AC2231" s="247"/>
      <c r="AT2231" s="247"/>
    </row>
    <row r="2232">
      <c r="C2232" s="277"/>
      <c r="O2232" s="247"/>
      <c r="AC2232" s="247"/>
      <c r="AT2232" s="247"/>
    </row>
    <row r="2233">
      <c r="C2233" s="277"/>
      <c r="O2233" s="247"/>
      <c r="AC2233" s="247"/>
      <c r="AT2233" s="247"/>
    </row>
    <row r="2234">
      <c r="C2234" s="277"/>
      <c r="O2234" s="247"/>
      <c r="AC2234" s="247"/>
      <c r="AT2234" s="247"/>
    </row>
    <row r="2235">
      <c r="C2235" s="277"/>
      <c r="O2235" s="247"/>
      <c r="AC2235" s="247"/>
      <c r="AT2235" s="247"/>
    </row>
    <row r="2236">
      <c r="C2236" s="277"/>
      <c r="O2236" s="247"/>
      <c r="AC2236" s="247"/>
      <c r="AT2236" s="247"/>
    </row>
    <row r="2237">
      <c r="C2237" s="277"/>
      <c r="O2237" s="247"/>
      <c r="AC2237" s="247"/>
      <c r="AT2237" s="247"/>
    </row>
    <row r="2238">
      <c r="C2238" s="277"/>
      <c r="O2238" s="247"/>
      <c r="AC2238" s="247"/>
      <c r="AT2238" s="247"/>
    </row>
    <row r="2239">
      <c r="C2239" s="277"/>
      <c r="O2239" s="247"/>
      <c r="AC2239" s="247"/>
      <c r="AT2239" s="247"/>
    </row>
    <row r="2240">
      <c r="C2240" s="277"/>
      <c r="O2240" s="247"/>
      <c r="AC2240" s="247"/>
      <c r="AT2240" s="247"/>
    </row>
    <row r="2241">
      <c r="C2241" s="277"/>
      <c r="O2241" s="247"/>
      <c r="AC2241" s="247"/>
      <c r="AT2241" s="247"/>
    </row>
    <row r="2242">
      <c r="C2242" s="277"/>
      <c r="O2242" s="247"/>
      <c r="AC2242" s="247"/>
      <c r="AT2242" s="247"/>
    </row>
    <row r="2243">
      <c r="C2243" s="277"/>
      <c r="O2243" s="247"/>
      <c r="AC2243" s="247"/>
      <c r="AT2243" s="247"/>
    </row>
    <row r="2244">
      <c r="C2244" s="277"/>
      <c r="O2244" s="247"/>
      <c r="AC2244" s="247"/>
      <c r="AT2244" s="247"/>
    </row>
    <row r="2245">
      <c r="C2245" s="277"/>
      <c r="O2245" s="247"/>
      <c r="AC2245" s="247"/>
      <c r="AT2245" s="247"/>
    </row>
    <row r="2246">
      <c r="C2246" s="277"/>
      <c r="O2246" s="247"/>
      <c r="AC2246" s="247"/>
      <c r="AT2246" s="247"/>
    </row>
    <row r="2247">
      <c r="C2247" s="277"/>
      <c r="O2247" s="247"/>
      <c r="AC2247" s="247"/>
      <c r="AT2247" s="247"/>
    </row>
    <row r="2248">
      <c r="C2248" s="277"/>
      <c r="O2248" s="247"/>
      <c r="AC2248" s="247"/>
      <c r="AT2248" s="247"/>
    </row>
    <row r="2249">
      <c r="C2249" s="277"/>
      <c r="O2249" s="247"/>
      <c r="AC2249" s="247"/>
      <c r="AT2249" s="247"/>
    </row>
    <row r="2250">
      <c r="C2250" s="277"/>
      <c r="O2250" s="247"/>
      <c r="AC2250" s="247"/>
      <c r="AT2250" s="247"/>
    </row>
    <row r="2251">
      <c r="C2251" s="277"/>
      <c r="O2251" s="247"/>
      <c r="AC2251" s="247"/>
      <c r="AT2251" s="247"/>
    </row>
    <row r="2252">
      <c r="C2252" s="277"/>
      <c r="O2252" s="247"/>
      <c r="AC2252" s="247"/>
      <c r="AT2252" s="247"/>
    </row>
    <row r="2253">
      <c r="C2253" s="277"/>
      <c r="O2253" s="247"/>
      <c r="AC2253" s="247"/>
      <c r="AT2253" s="247"/>
    </row>
    <row r="2254">
      <c r="C2254" s="277"/>
      <c r="O2254" s="247"/>
      <c r="AC2254" s="247"/>
      <c r="AT2254" s="247"/>
    </row>
    <row r="2255">
      <c r="C2255" s="277"/>
      <c r="O2255" s="247"/>
      <c r="AC2255" s="247"/>
      <c r="AT2255" s="247"/>
    </row>
    <row r="2256">
      <c r="C2256" s="277"/>
      <c r="O2256" s="247"/>
      <c r="AC2256" s="247"/>
      <c r="AT2256" s="247"/>
    </row>
    <row r="2257">
      <c r="C2257" s="277"/>
      <c r="O2257" s="247"/>
      <c r="AC2257" s="247"/>
      <c r="AT2257" s="247"/>
    </row>
    <row r="2258">
      <c r="C2258" s="277"/>
      <c r="O2258" s="247"/>
      <c r="AC2258" s="247"/>
      <c r="AT2258" s="247"/>
    </row>
    <row r="2259">
      <c r="C2259" s="277"/>
      <c r="O2259" s="247"/>
      <c r="AC2259" s="247"/>
      <c r="AT2259" s="247"/>
    </row>
    <row r="2260">
      <c r="C2260" s="277"/>
      <c r="O2260" s="247"/>
      <c r="AC2260" s="247"/>
      <c r="AT2260" s="247"/>
    </row>
    <row r="2261">
      <c r="C2261" s="277"/>
      <c r="O2261" s="247"/>
      <c r="AC2261" s="247"/>
      <c r="AT2261" s="247"/>
    </row>
    <row r="2262">
      <c r="C2262" s="277"/>
      <c r="O2262" s="247"/>
      <c r="AC2262" s="247"/>
      <c r="AT2262" s="247"/>
    </row>
    <row r="2263">
      <c r="C2263" s="277"/>
      <c r="O2263" s="247"/>
      <c r="AC2263" s="247"/>
      <c r="AT2263" s="247"/>
    </row>
    <row r="2264">
      <c r="C2264" s="277"/>
      <c r="O2264" s="247"/>
      <c r="AC2264" s="247"/>
      <c r="AT2264" s="247"/>
    </row>
    <row r="2265">
      <c r="C2265" s="277"/>
      <c r="O2265" s="247"/>
      <c r="AC2265" s="247"/>
      <c r="AT2265" s="247"/>
    </row>
    <row r="2266">
      <c r="C2266" s="277"/>
      <c r="O2266" s="247"/>
      <c r="AC2266" s="247"/>
      <c r="AT2266" s="247"/>
    </row>
    <row r="2267">
      <c r="C2267" s="277"/>
      <c r="O2267" s="247"/>
      <c r="AC2267" s="247"/>
      <c r="AT2267" s="247"/>
    </row>
    <row r="2268">
      <c r="C2268" s="277"/>
      <c r="O2268" s="247"/>
      <c r="AC2268" s="247"/>
      <c r="AT2268" s="247"/>
    </row>
    <row r="2269">
      <c r="C2269" s="277"/>
      <c r="O2269" s="247"/>
      <c r="AC2269" s="247"/>
      <c r="AT2269" s="247"/>
    </row>
    <row r="2270">
      <c r="C2270" s="277"/>
      <c r="O2270" s="247"/>
      <c r="AC2270" s="247"/>
      <c r="AT2270" s="247"/>
    </row>
    <row r="2271">
      <c r="C2271" s="277"/>
      <c r="O2271" s="247"/>
      <c r="AC2271" s="247"/>
      <c r="AT2271" s="247"/>
    </row>
    <row r="2272">
      <c r="C2272" s="277"/>
      <c r="O2272" s="247"/>
      <c r="AC2272" s="247"/>
      <c r="AT2272" s="247"/>
    </row>
    <row r="2273">
      <c r="C2273" s="277"/>
      <c r="O2273" s="247"/>
      <c r="AC2273" s="247"/>
      <c r="AT2273" s="247"/>
    </row>
    <row r="2274">
      <c r="C2274" s="277"/>
      <c r="O2274" s="247"/>
      <c r="AC2274" s="247"/>
      <c r="AT2274" s="247"/>
    </row>
    <row r="2275">
      <c r="C2275" s="277"/>
      <c r="O2275" s="247"/>
      <c r="AC2275" s="247"/>
      <c r="AT2275" s="247"/>
    </row>
    <row r="2276">
      <c r="C2276" s="277"/>
      <c r="O2276" s="247"/>
      <c r="AC2276" s="247"/>
      <c r="AT2276" s="247"/>
    </row>
    <row r="2277">
      <c r="C2277" s="277"/>
      <c r="O2277" s="247"/>
      <c r="AC2277" s="247"/>
      <c r="AT2277" s="247"/>
    </row>
    <row r="2278">
      <c r="C2278" s="277"/>
      <c r="O2278" s="247"/>
      <c r="AC2278" s="247"/>
      <c r="AT2278" s="247"/>
    </row>
    <row r="2279">
      <c r="C2279" s="277"/>
      <c r="O2279" s="247"/>
      <c r="AC2279" s="247"/>
      <c r="AT2279" s="247"/>
    </row>
    <row r="2280">
      <c r="C2280" s="277"/>
      <c r="O2280" s="247"/>
      <c r="AC2280" s="247"/>
      <c r="AT2280" s="247"/>
    </row>
    <row r="2281">
      <c r="C2281" s="277"/>
      <c r="O2281" s="247"/>
      <c r="AC2281" s="247"/>
      <c r="AT2281" s="247"/>
    </row>
    <row r="2282">
      <c r="C2282" s="277"/>
      <c r="O2282" s="247"/>
      <c r="AC2282" s="247"/>
      <c r="AT2282" s="247"/>
    </row>
    <row r="2283">
      <c r="C2283" s="277"/>
      <c r="O2283" s="247"/>
      <c r="AC2283" s="247"/>
      <c r="AT2283" s="247"/>
    </row>
    <row r="2284">
      <c r="C2284" s="277"/>
      <c r="O2284" s="247"/>
      <c r="AC2284" s="247"/>
      <c r="AT2284" s="247"/>
    </row>
    <row r="2285">
      <c r="C2285" s="277"/>
      <c r="O2285" s="247"/>
      <c r="AC2285" s="247"/>
      <c r="AT2285" s="247"/>
    </row>
    <row r="2286">
      <c r="C2286" s="277"/>
      <c r="O2286" s="247"/>
      <c r="AC2286" s="247"/>
      <c r="AT2286" s="247"/>
    </row>
    <row r="2287">
      <c r="C2287" s="277"/>
      <c r="O2287" s="247"/>
      <c r="AC2287" s="247"/>
      <c r="AT2287" s="247"/>
    </row>
    <row r="2288">
      <c r="C2288" s="277"/>
      <c r="O2288" s="247"/>
      <c r="AC2288" s="247"/>
      <c r="AT2288" s="247"/>
    </row>
    <row r="2289">
      <c r="C2289" s="277"/>
      <c r="O2289" s="247"/>
      <c r="AC2289" s="247"/>
      <c r="AT2289" s="247"/>
    </row>
    <row r="2290">
      <c r="C2290" s="277"/>
      <c r="O2290" s="247"/>
      <c r="AC2290" s="247"/>
      <c r="AT2290" s="247"/>
    </row>
    <row r="2291">
      <c r="C2291" s="277"/>
      <c r="O2291" s="247"/>
      <c r="AC2291" s="247"/>
      <c r="AT2291" s="247"/>
    </row>
    <row r="2292">
      <c r="C2292" s="277"/>
      <c r="O2292" s="247"/>
      <c r="AC2292" s="247"/>
      <c r="AT2292" s="247"/>
    </row>
    <row r="2293">
      <c r="C2293" s="277"/>
      <c r="O2293" s="247"/>
      <c r="AC2293" s="247"/>
      <c r="AT2293" s="247"/>
    </row>
    <row r="2294">
      <c r="C2294" s="277"/>
      <c r="O2294" s="247"/>
      <c r="AC2294" s="247"/>
      <c r="AT2294" s="247"/>
    </row>
    <row r="2295">
      <c r="C2295" s="277"/>
      <c r="O2295" s="247"/>
      <c r="AC2295" s="247"/>
      <c r="AT2295" s="247"/>
    </row>
    <row r="2296">
      <c r="C2296" s="277"/>
      <c r="O2296" s="247"/>
      <c r="AC2296" s="247"/>
      <c r="AT2296" s="247"/>
    </row>
    <row r="2297">
      <c r="C2297" s="277"/>
      <c r="O2297" s="247"/>
      <c r="AC2297" s="247"/>
      <c r="AT2297" s="247"/>
    </row>
    <row r="2298">
      <c r="C2298" s="277"/>
      <c r="O2298" s="247"/>
      <c r="AC2298" s="247"/>
      <c r="AT2298" s="247"/>
    </row>
    <row r="2299">
      <c r="C2299" s="277"/>
      <c r="O2299" s="247"/>
      <c r="AC2299" s="247"/>
      <c r="AT2299" s="247"/>
    </row>
    <row r="2300">
      <c r="C2300" s="277"/>
      <c r="O2300" s="247"/>
      <c r="AC2300" s="247"/>
      <c r="AT2300" s="247"/>
    </row>
    <row r="2301">
      <c r="C2301" s="277"/>
      <c r="O2301" s="247"/>
      <c r="AC2301" s="247"/>
      <c r="AT2301" s="247"/>
    </row>
    <row r="2302">
      <c r="C2302" s="277"/>
      <c r="O2302" s="247"/>
      <c r="AC2302" s="247"/>
      <c r="AT2302" s="247"/>
    </row>
    <row r="2303">
      <c r="C2303" s="277"/>
      <c r="O2303" s="247"/>
      <c r="AC2303" s="247"/>
      <c r="AT2303" s="247"/>
    </row>
    <row r="2304">
      <c r="C2304" s="277"/>
      <c r="O2304" s="247"/>
      <c r="AC2304" s="247"/>
      <c r="AT2304" s="247"/>
    </row>
    <row r="2305">
      <c r="C2305" s="277"/>
      <c r="O2305" s="247"/>
      <c r="AC2305" s="247"/>
      <c r="AT2305" s="247"/>
    </row>
    <row r="2306">
      <c r="C2306" s="277"/>
      <c r="O2306" s="247"/>
      <c r="AC2306" s="247"/>
      <c r="AT2306" s="247"/>
    </row>
    <row r="2307">
      <c r="C2307" s="277"/>
      <c r="O2307" s="247"/>
      <c r="AC2307" s="247"/>
      <c r="AT2307" s="247"/>
    </row>
    <row r="2308">
      <c r="C2308" s="277"/>
      <c r="O2308" s="247"/>
      <c r="AC2308" s="247"/>
      <c r="AT2308" s="247"/>
    </row>
    <row r="2309">
      <c r="C2309" s="277"/>
      <c r="O2309" s="247"/>
      <c r="AC2309" s="247"/>
      <c r="AT2309" s="247"/>
    </row>
    <row r="2310">
      <c r="C2310" s="277"/>
      <c r="O2310" s="247"/>
      <c r="AC2310" s="247"/>
      <c r="AT2310" s="247"/>
    </row>
    <row r="2311">
      <c r="C2311" s="277"/>
      <c r="O2311" s="247"/>
      <c r="AC2311" s="247"/>
      <c r="AT2311" s="247"/>
    </row>
    <row r="2312">
      <c r="C2312" s="277"/>
      <c r="O2312" s="247"/>
      <c r="AC2312" s="247"/>
      <c r="AT2312" s="247"/>
    </row>
    <row r="2313">
      <c r="C2313" s="277"/>
      <c r="O2313" s="247"/>
      <c r="AC2313" s="247"/>
      <c r="AT2313" s="247"/>
    </row>
    <row r="2314">
      <c r="C2314" s="277"/>
      <c r="O2314" s="247"/>
      <c r="AC2314" s="247"/>
      <c r="AT2314" s="247"/>
    </row>
    <row r="2315">
      <c r="C2315" s="277"/>
      <c r="O2315" s="247"/>
      <c r="AC2315" s="247"/>
      <c r="AT2315" s="247"/>
    </row>
    <row r="2316">
      <c r="C2316" s="277"/>
      <c r="O2316" s="247"/>
      <c r="AC2316" s="247"/>
      <c r="AT2316" s="247"/>
    </row>
    <row r="2317">
      <c r="C2317" s="277"/>
      <c r="O2317" s="247"/>
      <c r="AC2317" s="247"/>
      <c r="AT2317" s="247"/>
    </row>
    <row r="2318">
      <c r="C2318" s="277"/>
      <c r="O2318" s="247"/>
      <c r="AC2318" s="247"/>
      <c r="AT2318" s="247"/>
    </row>
    <row r="2319">
      <c r="C2319" s="277"/>
      <c r="O2319" s="247"/>
      <c r="AC2319" s="247"/>
      <c r="AT2319" s="247"/>
    </row>
    <row r="2320">
      <c r="C2320" s="277"/>
      <c r="O2320" s="247"/>
      <c r="AC2320" s="247"/>
      <c r="AT2320" s="247"/>
    </row>
    <row r="2321">
      <c r="C2321" s="277"/>
      <c r="O2321" s="247"/>
      <c r="AC2321" s="247"/>
      <c r="AT2321" s="247"/>
    </row>
    <row r="2322">
      <c r="C2322" s="277"/>
      <c r="O2322" s="247"/>
      <c r="AC2322" s="247"/>
      <c r="AT2322" s="247"/>
    </row>
    <row r="2323">
      <c r="C2323" s="277"/>
      <c r="O2323" s="247"/>
      <c r="AC2323" s="247"/>
      <c r="AT2323" s="247"/>
    </row>
    <row r="2324">
      <c r="C2324" s="277"/>
      <c r="O2324" s="247"/>
      <c r="AC2324" s="247"/>
      <c r="AT2324" s="247"/>
    </row>
    <row r="2325">
      <c r="C2325" s="277"/>
      <c r="O2325" s="247"/>
      <c r="AC2325" s="247"/>
      <c r="AT2325" s="247"/>
    </row>
    <row r="2326">
      <c r="C2326" s="277"/>
      <c r="O2326" s="247"/>
      <c r="AC2326" s="247"/>
      <c r="AT2326" s="247"/>
    </row>
    <row r="2327">
      <c r="C2327" s="277"/>
      <c r="O2327" s="247"/>
      <c r="AC2327" s="247"/>
      <c r="AT2327" s="247"/>
    </row>
    <row r="2328">
      <c r="C2328" s="277"/>
      <c r="O2328" s="247"/>
      <c r="AC2328" s="247"/>
      <c r="AT2328" s="247"/>
    </row>
    <row r="2329">
      <c r="C2329" s="277"/>
      <c r="O2329" s="247"/>
      <c r="AC2329" s="247"/>
      <c r="AT2329" s="247"/>
    </row>
    <row r="2330">
      <c r="C2330" s="277"/>
      <c r="O2330" s="247"/>
      <c r="AC2330" s="247"/>
      <c r="AT2330" s="247"/>
    </row>
    <row r="2331">
      <c r="C2331" s="277"/>
      <c r="O2331" s="247"/>
      <c r="AC2331" s="247"/>
      <c r="AT2331" s="247"/>
    </row>
    <row r="2332">
      <c r="C2332" s="277"/>
      <c r="O2332" s="247"/>
      <c r="AC2332" s="247"/>
      <c r="AT2332" s="247"/>
    </row>
    <row r="2333">
      <c r="C2333" s="277"/>
      <c r="O2333" s="247"/>
      <c r="AC2333" s="247"/>
      <c r="AT2333" s="247"/>
    </row>
    <row r="2334">
      <c r="C2334" s="277"/>
      <c r="O2334" s="247"/>
      <c r="AC2334" s="247"/>
      <c r="AT2334" s="247"/>
    </row>
    <row r="2335">
      <c r="C2335" s="277"/>
      <c r="O2335" s="247"/>
      <c r="AC2335" s="247"/>
      <c r="AT2335" s="247"/>
    </row>
    <row r="2336">
      <c r="C2336" s="277"/>
      <c r="O2336" s="247"/>
      <c r="AC2336" s="247"/>
      <c r="AT2336" s="247"/>
    </row>
    <row r="2337">
      <c r="C2337" s="277"/>
      <c r="O2337" s="247"/>
      <c r="AC2337" s="247"/>
      <c r="AT2337" s="247"/>
    </row>
    <row r="2338">
      <c r="C2338" s="277"/>
      <c r="O2338" s="247"/>
      <c r="AC2338" s="247"/>
      <c r="AT2338" s="247"/>
    </row>
    <row r="2339">
      <c r="C2339" s="277"/>
      <c r="O2339" s="247"/>
      <c r="AC2339" s="247"/>
      <c r="AT2339" s="247"/>
    </row>
    <row r="2340">
      <c r="C2340" s="277"/>
      <c r="O2340" s="247"/>
      <c r="AC2340" s="247"/>
      <c r="AT2340" s="247"/>
    </row>
    <row r="2341">
      <c r="C2341" s="277"/>
      <c r="O2341" s="247"/>
      <c r="AC2341" s="247"/>
      <c r="AT2341" s="247"/>
    </row>
    <row r="2342">
      <c r="C2342" s="277"/>
      <c r="O2342" s="247"/>
      <c r="AC2342" s="247"/>
      <c r="AT2342" s="247"/>
    </row>
    <row r="2343">
      <c r="C2343" s="277"/>
      <c r="O2343" s="247"/>
      <c r="AC2343" s="247"/>
      <c r="AT2343" s="247"/>
    </row>
    <row r="2344">
      <c r="C2344" s="277"/>
      <c r="O2344" s="247"/>
      <c r="AC2344" s="247"/>
      <c r="AT2344" s="247"/>
    </row>
    <row r="2345">
      <c r="C2345" s="277"/>
      <c r="O2345" s="247"/>
      <c r="AC2345" s="247"/>
      <c r="AT2345" s="247"/>
    </row>
    <row r="2346">
      <c r="C2346" s="277"/>
      <c r="O2346" s="247"/>
      <c r="AC2346" s="247"/>
      <c r="AT2346" s="247"/>
    </row>
    <row r="2347">
      <c r="C2347" s="277"/>
      <c r="O2347" s="247"/>
      <c r="AC2347" s="247"/>
      <c r="AT2347" s="247"/>
    </row>
    <row r="2348">
      <c r="C2348" s="277"/>
      <c r="O2348" s="247"/>
      <c r="AC2348" s="247"/>
      <c r="AT2348" s="247"/>
    </row>
    <row r="2349">
      <c r="C2349" s="277"/>
      <c r="O2349" s="247"/>
      <c r="AC2349" s="247"/>
      <c r="AT2349" s="247"/>
    </row>
    <row r="2350">
      <c r="C2350" s="277"/>
      <c r="O2350" s="247"/>
      <c r="AC2350" s="247"/>
      <c r="AT2350" s="247"/>
    </row>
    <row r="2351">
      <c r="C2351" s="277"/>
      <c r="O2351" s="247"/>
      <c r="AC2351" s="247"/>
      <c r="AT2351" s="247"/>
    </row>
    <row r="2352">
      <c r="C2352" s="277"/>
      <c r="O2352" s="247"/>
      <c r="AC2352" s="247"/>
      <c r="AT2352" s="247"/>
    </row>
    <row r="2353">
      <c r="C2353" s="277"/>
      <c r="O2353" s="247"/>
      <c r="AC2353" s="247"/>
      <c r="AT2353" s="247"/>
    </row>
    <row r="2354">
      <c r="C2354" s="277"/>
      <c r="O2354" s="247"/>
      <c r="AC2354" s="247"/>
      <c r="AT2354" s="247"/>
    </row>
    <row r="2355">
      <c r="C2355" s="277"/>
      <c r="O2355" s="247"/>
      <c r="AC2355" s="247"/>
      <c r="AT2355" s="247"/>
    </row>
    <row r="2356">
      <c r="C2356" s="277"/>
      <c r="O2356" s="247"/>
      <c r="AC2356" s="247"/>
      <c r="AT2356" s="247"/>
    </row>
    <row r="2357">
      <c r="C2357" s="277"/>
      <c r="O2357" s="247"/>
      <c r="AC2357" s="247"/>
      <c r="AT2357" s="247"/>
    </row>
    <row r="2358">
      <c r="C2358" s="277"/>
      <c r="O2358" s="247"/>
      <c r="AC2358" s="247"/>
      <c r="AT2358" s="247"/>
    </row>
    <row r="2359">
      <c r="C2359" s="277"/>
      <c r="O2359" s="247"/>
      <c r="AC2359" s="247"/>
      <c r="AT2359" s="247"/>
    </row>
    <row r="2360">
      <c r="C2360" s="277"/>
      <c r="O2360" s="247"/>
      <c r="AC2360" s="247"/>
      <c r="AT2360" s="247"/>
    </row>
    <row r="2361">
      <c r="C2361" s="277"/>
      <c r="O2361" s="247"/>
      <c r="AC2361" s="247"/>
      <c r="AT2361" s="247"/>
    </row>
    <row r="2362">
      <c r="C2362" s="277"/>
      <c r="O2362" s="247"/>
      <c r="AC2362" s="247"/>
      <c r="AT2362" s="247"/>
    </row>
    <row r="2363">
      <c r="C2363" s="277"/>
      <c r="O2363" s="247"/>
      <c r="AC2363" s="247"/>
      <c r="AT2363" s="247"/>
    </row>
    <row r="2364">
      <c r="C2364" s="277"/>
      <c r="O2364" s="247"/>
      <c r="AC2364" s="247"/>
      <c r="AT2364" s="247"/>
    </row>
    <row r="2365">
      <c r="C2365" s="277"/>
      <c r="O2365" s="247"/>
      <c r="AC2365" s="247"/>
      <c r="AT2365" s="247"/>
    </row>
    <row r="2366">
      <c r="C2366" s="277"/>
      <c r="O2366" s="247"/>
      <c r="AC2366" s="247"/>
      <c r="AT2366" s="247"/>
    </row>
    <row r="2367">
      <c r="C2367" s="277"/>
      <c r="O2367" s="247"/>
      <c r="AC2367" s="247"/>
      <c r="AT2367" s="247"/>
    </row>
    <row r="2368">
      <c r="C2368" s="277"/>
      <c r="O2368" s="247"/>
      <c r="AC2368" s="247"/>
      <c r="AT2368" s="247"/>
    </row>
    <row r="2369">
      <c r="C2369" s="277"/>
      <c r="O2369" s="247"/>
      <c r="AC2369" s="247"/>
      <c r="AT2369" s="247"/>
    </row>
    <row r="2370">
      <c r="C2370" s="277"/>
      <c r="O2370" s="247"/>
      <c r="AC2370" s="247"/>
      <c r="AT2370" s="247"/>
    </row>
    <row r="2371">
      <c r="C2371" s="277"/>
      <c r="O2371" s="247"/>
      <c r="AC2371" s="247"/>
      <c r="AT2371" s="247"/>
    </row>
    <row r="2372">
      <c r="C2372" s="277"/>
      <c r="O2372" s="247"/>
      <c r="AC2372" s="247"/>
      <c r="AT2372" s="247"/>
    </row>
    <row r="2373">
      <c r="C2373" s="277"/>
      <c r="O2373" s="247"/>
      <c r="AC2373" s="247"/>
      <c r="AT2373" s="247"/>
    </row>
    <row r="2374">
      <c r="C2374" s="277"/>
      <c r="O2374" s="247"/>
      <c r="AC2374" s="247"/>
      <c r="AT2374" s="247"/>
    </row>
    <row r="2375">
      <c r="C2375" s="277"/>
      <c r="O2375" s="247"/>
      <c r="AC2375" s="247"/>
      <c r="AT2375" s="247"/>
    </row>
    <row r="2376">
      <c r="C2376" s="277"/>
      <c r="O2376" s="247"/>
      <c r="AC2376" s="247"/>
      <c r="AT2376" s="247"/>
    </row>
    <row r="2377">
      <c r="C2377" s="277"/>
      <c r="O2377" s="247"/>
      <c r="AC2377" s="247"/>
      <c r="AT2377" s="247"/>
    </row>
    <row r="2378">
      <c r="C2378" s="277"/>
      <c r="O2378" s="247"/>
      <c r="AC2378" s="247"/>
      <c r="AT2378" s="247"/>
    </row>
    <row r="2379">
      <c r="C2379" s="277"/>
      <c r="O2379" s="247"/>
      <c r="AC2379" s="247"/>
      <c r="AT2379" s="247"/>
    </row>
    <row r="2380">
      <c r="C2380" s="277"/>
      <c r="O2380" s="247"/>
      <c r="AC2380" s="247"/>
      <c r="AT2380" s="247"/>
    </row>
    <row r="2381">
      <c r="C2381" s="277"/>
      <c r="O2381" s="247"/>
      <c r="AC2381" s="247"/>
      <c r="AT2381" s="247"/>
    </row>
    <row r="2382">
      <c r="C2382" s="277"/>
      <c r="O2382" s="247"/>
      <c r="AC2382" s="247"/>
      <c r="AT2382" s="247"/>
    </row>
    <row r="2383">
      <c r="C2383" s="277"/>
      <c r="O2383" s="247"/>
      <c r="AC2383" s="247"/>
      <c r="AT2383" s="247"/>
    </row>
    <row r="2384">
      <c r="C2384" s="277"/>
      <c r="O2384" s="247"/>
      <c r="AC2384" s="247"/>
      <c r="AT2384" s="247"/>
    </row>
    <row r="2385">
      <c r="C2385" s="277"/>
      <c r="O2385" s="247"/>
      <c r="AC2385" s="247"/>
      <c r="AT2385" s="247"/>
    </row>
    <row r="2386">
      <c r="C2386" s="277"/>
      <c r="O2386" s="247"/>
      <c r="AC2386" s="247"/>
      <c r="AT2386" s="247"/>
    </row>
    <row r="2387">
      <c r="C2387" s="277"/>
      <c r="O2387" s="247"/>
      <c r="AC2387" s="247"/>
      <c r="AT2387" s="247"/>
    </row>
    <row r="2388">
      <c r="C2388" s="277"/>
      <c r="O2388" s="247"/>
      <c r="AC2388" s="247"/>
      <c r="AT2388" s="247"/>
    </row>
    <row r="2389">
      <c r="C2389" s="277"/>
      <c r="O2389" s="247"/>
      <c r="AC2389" s="247"/>
      <c r="AT2389" s="247"/>
    </row>
    <row r="2390">
      <c r="C2390" s="277"/>
      <c r="O2390" s="247"/>
      <c r="AC2390" s="247"/>
      <c r="AT2390" s="247"/>
    </row>
    <row r="2391">
      <c r="C2391" s="277"/>
      <c r="O2391" s="247"/>
      <c r="AC2391" s="247"/>
      <c r="AT2391" s="247"/>
    </row>
    <row r="2392">
      <c r="C2392" s="277"/>
      <c r="O2392" s="247"/>
      <c r="AC2392" s="247"/>
      <c r="AT2392" s="247"/>
    </row>
    <row r="2393">
      <c r="C2393" s="277"/>
      <c r="O2393" s="247"/>
      <c r="AC2393" s="247"/>
      <c r="AT2393" s="247"/>
    </row>
    <row r="2394">
      <c r="C2394" s="277"/>
      <c r="O2394" s="247"/>
      <c r="AC2394" s="247"/>
      <c r="AT2394" s="247"/>
    </row>
    <row r="2395">
      <c r="C2395" s="277"/>
      <c r="O2395" s="247"/>
      <c r="AC2395" s="247"/>
      <c r="AT2395" s="247"/>
    </row>
    <row r="2396">
      <c r="C2396" s="277"/>
      <c r="O2396" s="247"/>
      <c r="AC2396" s="247"/>
      <c r="AT2396" s="247"/>
    </row>
    <row r="2397">
      <c r="C2397" s="277"/>
      <c r="O2397" s="247"/>
      <c r="AC2397" s="247"/>
      <c r="AT2397" s="247"/>
    </row>
    <row r="2398">
      <c r="C2398" s="277"/>
      <c r="O2398" s="247"/>
      <c r="AC2398" s="247"/>
      <c r="AT2398" s="247"/>
    </row>
    <row r="2399">
      <c r="C2399" s="277"/>
      <c r="O2399" s="247"/>
      <c r="AC2399" s="247"/>
      <c r="AT2399" s="247"/>
    </row>
    <row r="2400">
      <c r="C2400" s="277"/>
      <c r="O2400" s="247"/>
      <c r="AC2400" s="247"/>
      <c r="AT2400" s="247"/>
    </row>
    <row r="2401">
      <c r="C2401" s="277"/>
      <c r="O2401" s="247"/>
      <c r="AC2401" s="247"/>
      <c r="AT2401" s="247"/>
    </row>
    <row r="2402">
      <c r="C2402" s="277"/>
      <c r="O2402" s="247"/>
      <c r="AC2402" s="247"/>
      <c r="AT2402" s="247"/>
    </row>
    <row r="2403">
      <c r="C2403" s="277"/>
      <c r="O2403" s="247"/>
      <c r="AC2403" s="247"/>
      <c r="AT2403" s="247"/>
    </row>
    <row r="2404">
      <c r="C2404" s="277"/>
      <c r="O2404" s="247"/>
      <c r="AC2404" s="247"/>
      <c r="AT2404" s="247"/>
    </row>
    <row r="2405">
      <c r="C2405" s="277"/>
      <c r="O2405" s="247"/>
      <c r="AC2405" s="247"/>
      <c r="AT2405" s="247"/>
    </row>
    <row r="2406">
      <c r="C2406" s="277"/>
      <c r="O2406" s="247"/>
      <c r="AC2406" s="247"/>
      <c r="AT2406" s="247"/>
    </row>
    <row r="2407">
      <c r="C2407" s="277"/>
      <c r="O2407" s="247"/>
      <c r="AC2407" s="247"/>
      <c r="AT2407" s="247"/>
    </row>
    <row r="2408">
      <c r="C2408" s="277"/>
      <c r="O2408" s="247"/>
      <c r="AC2408" s="247"/>
      <c r="AT2408" s="247"/>
    </row>
    <row r="2409">
      <c r="C2409" s="277"/>
      <c r="O2409" s="247"/>
      <c r="AC2409" s="247"/>
      <c r="AT2409" s="247"/>
    </row>
    <row r="2410">
      <c r="C2410" s="277"/>
      <c r="O2410" s="247"/>
      <c r="AC2410" s="247"/>
      <c r="AT2410" s="247"/>
    </row>
    <row r="2411">
      <c r="C2411" s="277"/>
      <c r="O2411" s="247"/>
      <c r="AC2411" s="247"/>
      <c r="AT2411" s="247"/>
    </row>
    <row r="2412">
      <c r="C2412" s="277"/>
      <c r="O2412" s="247"/>
      <c r="AC2412" s="247"/>
      <c r="AT2412" s="247"/>
    </row>
    <row r="2413">
      <c r="C2413" s="277"/>
      <c r="O2413" s="247"/>
      <c r="AC2413" s="247"/>
      <c r="AT2413" s="247"/>
    </row>
    <row r="2414">
      <c r="C2414" s="277"/>
      <c r="O2414" s="247"/>
      <c r="AC2414" s="247"/>
      <c r="AT2414" s="247"/>
    </row>
    <row r="2415">
      <c r="C2415" s="277"/>
      <c r="O2415" s="247"/>
      <c r="AC2415" s="247"/>
      <c r="AT2415" s="247"/>
    </row>
    <row r="2416">
      <c r="C2416" s="277"/>
      <c r="O2416" s="247"/>
      <c r="AC2416" s="247"/>
      <c r="AT2416" s="247"/>
    </row>
    <row r="2417">
      <c r="C2417" s="277"/>
      <c r="O2417" s="247"/>
      <c r="AC2417" s="247"/>
      <c r="AT2417" s="247"/>
    </row>
    <row r="2418">
      <c r="C2418" s="277"/>
      <c r="O2418" s="247"/>
      <c r="AC2418" s="247"/>
      <c r="AT2418" s="247"/>
    </row>
    <row r="2419">
      <c r="C2419" s="277"/>
      <c r="O2419" s="247"/>
      <c r="AC2419" s="247"/>
      <c r="AT2419" s="247"/>
    </row>
    <row r="2420">
      <c r="C2420" s="277"/>
      <c r="O2420" s="247"/>
      <c r="AC2420" s="247"/>
      <c r="AT2420" s="247"/>
    </row>
    <row r="2421">
      <c r="C2421" s="277"/>
      <c r="O2421" s="247"/>
      <c r="AC2421" s="247"/>
      <c r="AT2421" s="247"/>
    </row>
    <row r="2422">
      <c r="C2422" s="277"/>
      <c r="O2422" s="247"/>
      <c r="AC2422" s="247"/>
      <c r="AT2422" s="247"/>
    </row>
    <row r="2423">
      <c r="C2423" s="277"/>
      <c r="O2423" s="247"/>
      <c r="AC2423" s="247"/>
      <c r="AT2423" s="247"/>
    </row>
    <row r="2424">
      <c r="C2424" s="277"/>
      <c r="O2424" s="247"/>
      <c r="AC2424" s="247"/>
      <c r="AT2424" s="247"/>
    </row>
    <row r="2425">
      <c r="C2425" s="277"/>
      <c r="O2425" s="247"/>
      <c r="AC2425" s="247"/>
      <c r="AT2425" s="247"/>
    </row>
    <row r="2426">
      <c r="C2426" s="277"/>
      <c r="O2426" s="247"/>
      <c r="AC2426" s="247"/>
      <c r="AT2426" s="247"/>
    </row>
    <row r="2427">
      <c r="C2427" s="277"/>
      <c r="O2427" s="247"/>
      <c r="AC2427" s="247"/>
      <c r="AT2427" s="247"/>
    </row>
    <row r="2428">
      <c r="C2428" s="277"/>
      <c r="O2428" s="247"/>
      <c r="AC2428" s="247"/>
      <c r="AT2428" s="247"/>
    </row>
    <row r="2429">
      <c r="C2429" s="277"/>
      <c r="O2429" s="247"/>
      <c r="AC2429" s="247"/>
      <c r="AT2429" s="247"/>
    </row>
    <row r="2430">
      <c r="C2430" s="277"/>
      <c r="O2430" s="247"/>
      <c r="AC2430" s="247"/>
      <c r="AT2430" s="247"/>
    </row>
    <row r="2431">
      <c r="C2431" s="277"/>
      <c r="O2431" s="247"/>
      <c r="AC2431" s="247"/>
      <c r="AT2431" s="247"/>
    </row>
    <row r="2432">
      <c r="C2432" s="277"/>
      <c r="O2432" s="247"/>
      <c r="AC2432" s="247"/>
      <c r="AT2432" s="247"/>
    </row>
    <row r="2433">
      <c r="C2433" s="277"/>
      <c r="O2433" s="247"/>
      <c r="AC2433" s="247"/>
      <c r="AT2433" s="247"/>
    </row>
    <row r="2434">
      <c r="C2434" s="277"/>
      <c r="O2434" s="247"/>
      <c r="AC2434" s="247"/>
      <c r="AT2434" s="247"/>
    </row>
    <row r="2435">
      <c r="C2435" s="277"/>
      <c r="O2435" s="247"/>
      <c r="AC2435" s="247"/>
      <c r="AT2435" s="247"/>
    </row>
    <row r="2436">
      <c r="C2436" s="277"/>
      <c r="O2436" s="247"/>
      <c r="AC2436" s="247"/>
      <c r="AT2436" s="247"/>
    </row>
    <row r="2437">
      <c r="C2437" s="277"/>
      <c r="O2437" s="247"/>
      <c r="AC2437" s="247"/>
      <c r="AT2437" s="247"/>
    </row>
    <row r="2438">
      <c r="C2438" s="277"/>
      <c r="O2438" s="247"/>
      <c r="AC2438" s="247"/>
      <c r="AT2438" s="247"/>
    </row>
    <row r="2439">
      <c r="C2439" s="277"/>
      <c r="O2439" s="247"/>
      <c r="AC2439" s="247"/>
      <c r="AT2439" s="247"/>
    </row>
    <row r="2440">
      <c r="C2440" s="277"/>
      <c r="O2440" s="247"/>
      <c r="AC2440" s="247"/>
      <c r="AT2440" s="247"/>
    </row>
    <row r="2441">
      <c r="C2441" s="277"/>
      <c r="O2441" s="247"/>
      <c r="AC2441" s="247"/>
      <c r="AT2441" s="247"/>
    </row>
    <row r="2442">
      <c r="C2442" s="277"/>
      <c r="O2442" s="247"/>
      <c r="AC2442" s="247"/>
      <c r="AT2442" s="247"/>
    </row>
    <row r="2443">
      <c r="C2443" s="277"/>
      <c r="O2443" s="247"/>
      <c r="AC2443" s="247"/>
      <c r="AT2443" s="247"/>
    </row>
    <row r="2444">
      <c r="C2444" s="277"/>
      <c r="O2444" s="247"/>
      <c r="AC2444" s="247"/>
      <c r="AT2444" s="247"/>
    </row>
    <row r="2445">
      <c r="C2445" s="277"/>
      <c r="O2445" s="247"/>
      <c r="AC2445" s="247"/>
      <c r="AT2445" s="247"/>
    </row>
    <row r="2446">
      <c r="C2446" s="277"/>
      <c r="O2446" s="247"/>
      <c r="AC2446" s="247"/>
      <c r="AT2446" s="247"/>
    </row>
    <row r="2447">
      <c r="C2447" s="277"/>
      <c r="O2447" s="247"/>
      <c r="AC2447" s="247"/>
      <c r="AT2447" s="247"/>
    </row>
    <row r="2448">
      <c r="C2448" s="277"/>
      <c r="O2448" s="247"/>
      <c r="AC2448" s="247"/>
      <c r="AT2448" s="247"/>
    </row>
    <row r="2449">
      <c r="C2449" s="277"/>
      <c r="O2449" s="247"/>
      <c r="AC2449" s="247"/>
      <c r="AT2449" s="247"/>
    </row>
    <row r="2450">
      <c r="C2450" s="277"/>
      <c r="O2450" s="247"/>
      <c r="AC2450" s="247"/>
      <c r="AT2450" s="247"/>
    </row>
    <row r="2451">
      <c r="C2451" s="277"/>
      <c r="O2451" s="247"/>
      <c r="AC2451" s="247"/>
      <c r="AT2451" s="247"/>
    </row>
    <row r="2452">
      <c r="C2452" s="277"/>
      <c r="O2452" s="247"/>
      <c r="AC2452" s="247"/>
      <c r="AT2452" s="247"/>
    </row>
    <row r="2453">
      <c r="C2453" s="277"/>
      <c r="O2453" s="247"/>
      <c r="AC2453" s="247"/>
      <c r="AT2453" s="247"/>
    </row>
    <row r="2454">
      <c r="C2454" s="277"/>
      <c r="O2454" s="247"/>
      <c r="AC2454" s="247"/>
      <c r="AT2454" s="247"/>
    </row>
    <row r="2455">
      <c r="C2455" s="277"/>
      <c r="O2455" s="247"/>
      <c r="AC2455" s="247"/>
      <c r="AT2455" s="247"/>
    </row>
    <row r="2456">
      <c r="C2456" s="277"/>
      <c r="O2456" s="247"/>
      <c r="AC2456" s="247"/>
      <c r="AT2456" s="247"/>
    </row>
    <row r="2457">
      <c r="C2457" s="277"/>
      <c r="O2457" s="247"/>
      <c r="AC2457" s="247"/>
      <c r="AT2457" s="247"/>
    </row>
    <row r="2458">
      <c r="C2458" s="277"/>
      <c r="O2458" s="247"/>
      <c r="AC2458" s="247"/>
      <c r="AT2458" s="247"/>
    </row>
    <row r="2459">
      <c r="C2459" s="277"/>
      <c r="O2459" s="247"/>
      <c r="AC2459" s="247"/>
      <c r="AT2459" s="247"/>
    </row>
    <row r="2460">
      <c r="C2460" s="277"/>
      <c r="O2460" s="247"/>
      <c r="AC2460" s="247"/>
      <c r="AT2460" s="247"/>
    </row>
    <row r="2461">
      <c r="C2461" s="277"/>
      <c r="O2461" s="247"/>
      <c r="AC2461" s="247"/>
      <c r="AT2461" s="247"/>
    </row>
    <row r="2462">
      <c r="C2462" s="277"/>
      <c r="O2462" s="247"/>
      <c r="AC2462" s="247"/>
      <c r="AT2462" s="247"/>
    </row>
    <row r="2463">
      <c r="C2463" s="277"/>
      <c r="O2463" s="247"/>
      <c r="AC2463" s="247"/>
      <c r="AT2463" s="247"/>
    </row>
    <row r="2464">
      <c r="C2464" s="277"/>
      <c r="O2464" s="247"/>
      <c r="AC2464" s="247"/>
      <c r="AT2464" s="247"/>
    </row>
    <row r="2465">
      <c r="C2465" s="277"/>
      <c r="O2465" s="247"/>
      <c r="AC2465" s="247"/>
      <c r="AT2465" s="247"/>
    </row>
    <row r="2466">
      <c r="C2466" s="277"/>
      <c r="O2466" s="247"/>
      <c r="AC2466" s="247"/>
      <c r="AT2466" s="247"/>
    </row>
    <row r="2467">
      <c r="C2467" s="277"/>
      <c r="O2467" s="247"/>
      <c r="AC2467" s="247"/>
      <c r="AT2467" s="247"/>
    </row>
    <row r="2468">
      <c r="C2468" s="277"/>
      <c r="O2468" s="247"/>
      <c r="AC2468" s="247"/>
      <c r="AT2468" s="247"/>
    </row>
    <row r="2469">
      <c r="C2469" s="277"/>
      <c r="O2469" s="247"/>
      <c r="AC2469" s="247"/>
      <c r="AT2469" s="247"/>
    </row>
    <row r="2470">
      <c r="C2470" s="277"/>
      <c r="O2470" s="247"/>
      <c r="AC2470" s="247"/>
      <c r="AT2470" s="247"/>
    </row>
    <row r="2471">
      <c r="C2471" s="277"/>
      <c r="O2471" s="247"/>
      <c r="AC2471" s="247"/>
      <c r="AT2471" s="247"/>
    </row>
    <row r="2472">
      <c r="C2472" s="277"/>
      <c r="O2472" s="247"/>
      <c r="AC2472" s="247"/>
      <c r="AT2472" s="247"/>
    </row>
    <row r="2473">
      <c r="C2473" s="277"/>
      <c r="O2473" s="247"/>
      <c r="AC2473" s="247"/>
      <c r="AT2473" s="247"/>
    </row>
    <row r="2474">
      <c r="C2474" s="277"/>
      <c r="O2474" s="247"/>
      <c r="AC2474" s="247"/>
      <c r="AT2474" s="247"/>
    </row>
    <row r="2475">
      <c r="C2475" s="277"/>
      <c r="O2475" s="247"/>
      <c r="AC2475" s="247"/>
      <c r="AT2475" s="247"/>
    </row>
    <row r="2476">
      <c r="C2476" s="277"/>
      <c r="O2476" s="247"/>
      <c r="AC2476" s="247"/>
      <c r="AT2476" s="247"/>
    </row>
    <row r="2477">
      <c r="C2477" s="277"/>
      <c r="O2477" s="247"/>
      <c r="AC2477" s="247"/>
      <c r="AT2477" s="247"/>
    </row>
    <row r="2478">
      <c r="C2478" s="277"/>
      <c r="O2478" s="247"/>
      <c r="AC2478" s="247"/>
      <c r="AT2478" s="247"/>
    </row>
    <row r="2479">
      <c r="C2479" s="277"/>
      <c r="O2479" s="247"/>
      <c r="AC2479" s="247"/>
      <c r="AT2479" s="247"/>
    </row>
    <row r="2480">
      <c r="C2480" s="277"/>
      <c r="O2480" s="247"/>
      <c r="AC2480" s="247"/>
      <c r="AT2480" s="247"/>
    </row>
    <row r="2481">
      <c r="C2481" s="277"/>
      <c r="O2481" s="247"/>
      <c r="AC2481" s="247"/>
      <c r="AT2481" s="247"/>
    </row>
    <row r="2482">
      <c r="C2482" s="277"/>
      <c r="O2482" s="247"/>
      <c r="AC2482" s="247"/>
      <c r="AT2482" s="247"/>
    </row>
    <row r="2483">
      <c r="C2483" s="277"/>
      <c r="O2483" s="247"/>
      <c r="AC2483" s="247"/>
      <c r="AT2483" s="247"/>
    </row>
    <row r="2484">
      <c r="C2484" s="277"/>
      <c r="O2484" s="247"/>
      <c r="AC2484" s="247"/>
      <c r="AT2484" s="247"/>
    </row>
    <row r="2485">
      <c r="C2485" s="277"/>
      <c r="O2485" s="247"/>
      <c r="AC2485" s="247"/>
      <c r="AT2485" s="247"/>
    </row>
    <row r="2486">
      <c r="C2486" s="277"/>
      <c r="O2486" s="247"/>
      <c r="AC2486" s="247"/>
      <c r="AT2486" s="247"/>
    </row>
    <row r="2487">
      <c r="C2487" s="277"/>
      <c r="O2487" s="247"/>
      <c r="AC2487" s="247"/>
      <c r="AT2487" s="247"/>
    </row>
    <row r="2488">
      <c r="C2488" s="277"/>
      <c r="O2488" s="247"/>
      <c r="AC2488" s="247"/>
      <c r="AT2488" s="247"/>
    </row>
    <row r="2489">
      <c r="C2489" s="277"/>
      <c r="O2489" s="247"/>
      <c r="AC2489" s="247"/>
      <c r="AT2489" s="247"/>
    </row>
    <row r="2490">
      <c r="C2490" s="277"/>
      <c r="O2490" s="247"/>
      <c r="AC2490" s="247"/>
      <c r="AT2490" s="247"/>
    </row>
    <row r="2491">
      <c r="C2491" s="277"/>
      <c r="O2491" s="247"/>
      <c r="AC2491" s="247"/>
      <c r="AT2491" s="247"/>
    </row>
    <row r="2492">
      <c r="C2492" s="277"/>
      <c r="O2492" s="247"/>
      <c r="AC2492" s="247"/>
      <c r="AT2492" s="247"/>
    </row>
    <row r="2493">
      <c r="C2493" s="277"/>
      <c r="O2493" s="247"/>
      <c r="AC2493" s="247"/>
      <c r="AT2493" s="247"/>
    </row>
    <row r="2494">
      <c r="C2494" s="277"/>
      <c r="O2494" s="247"/>
      <c r="AC2494" s="247"/>
      <c r="AT2494" s="247"/>
    </row>
    <row r="2495">
      <c r="C2495" s="277"/>
      <c r="O2495" s="247"/>
      <c r="AC2495" s="247"/>
      <c r="AT2495" s="247"/>
    </row>
    <row r="2496">
      <c r="C2496" s="277"/>
      <c r="O2496" s="247"/>
      <c r="AC2496" s="247"/>
      <c r="AT2496" s="247"/>
    </row>
    <row r="2497">
      <c r="C2497" s="277"/>
      <c r="O2497" s="247"/>
      <c r="AC2497" s="247"/>
      <c r="AT2497" s="247"/>
    </row>
    <row r="2498">
      <c r="C2498" s="277"/>
      <c r="O2498" s="247"/>
      <c r="AC2498" s="247"/>
      <c r="AT2498" s="247"/>
    </row>
    <row r="2499">
      <c r="C2499" s="277"/>
      <c r="O2499" s="247"/>
      <c r="AC2499" s="247"/>
      <c r="AT2499" s="247"/>
    </row>
    <row r="2500">
      <c r="C2500" s="277"/>
      <c r="O2500" s="247"/>
      <c r="AC2500" s="247"/>
      <c r="AT2500" s="247"/>
    </row>
    <row r="2501">
      <c r="C2501" s="277"/>
      <c r="O2501" s="247"/>
      <c r="AC2501" s="247"/>
      <c r="AT2501" s="247"/>
    </row>
    <row r="2502">
      <c r="C2502" s="277"/>
      <c r="O2502" s="247"/>
      <c r="AC2502" s="247"/>
      <c r="AT2502" s="247"/>
    </row>
    <row r="2503">
      <c r="C2503" s="277"/>
      <c r="O2503" s="247"/>
      <c r="AC2503" s="247"/>
      <c r="AT2503" s="247"/>
    </row>
    <row r="2504">
      <c r="C2504" s="277"/>
      <c r="O2504" s="247"/>
      <c r="AC2504" s="247"/>
      <c r="AT2504" s="247"/>
    </row>
    <row r="2505">
      <c r="C2505" s="277"/>
      <c r="O2505" s="247"/>
      <c r="AC2505" s="247"/>
      <c r="AT2505" s="247"/>
    </row>
    <row r="2506">
      <c r="C2506" s="277"/>
      <c r="O2506" s="247"/>
      <c r="AC2506" s="247"/>
      <c r="AT2506" s="247"/>
    </row>
    <row r="2507">
      <c r="C2507" s="277"/>
      <c r="O2507" s="247"/>
      <c r="AC2507" s="247"/>
      <c r="AT2507" s="247"/>
    </row>
    <row r="2508">
      <c r="C2508" s="277"/>
      <c r="O2508" s="247"/>
      <c r="AC2508" s="247"/>
      <c r="AT2508" s="247"/>
    </row>
    <row r="2509">
      <c r="C2509" s="277"/>
      <c r="O2509" s="247"/>
      <c r="AC2509" s="247"/>
      <c r="AT2509" s="247"/>
    </row>
    <row r="2510">
      <c r="C2510" s="277"/>
      <c r="O2510" s="247"/>
      <c r="AC2510" s="247"/>
      <c r="AT2510" s="247"/>
    </row>
    <row r="2511">
      <c r="C2511" s="277"/>
      <c r="O2511" s="247"/>
      <c r="AC2511" s="247"/>
      <c r="AT2511" s="247"/>
    </row>
    <row r="2512">
      <c r="C2512" s="277"/>
      <c r="O2512" s="247"/>
      <c r="AC2512" s="247"/>
      <c r="AT2512" s="247"/>
    </row>
    <row r="2513">
      <c r="C2513" s="277"/>
      <c r="O2513" s="247"/>
      <c r="AC2513" s="247"/>
      <c r="AT2513" s="247"/>
    </row>
    <row r="2514">
      <c r="C2514" s="277"/>
      <c r="O2514" s="247"/>
      <c r="AC2514" s="247"/>
      <c r="AT2514" s="247"/>
    </row>
    <row r="2515">
      <c r="C2515" s="277"/>
      <c r="O2515" s="247"/>
      <c r="AC2515" s="247"/>
      <c r="AT2515" s="247"/>
    </row>
    <row r="2516">
      <c r="C2516" s="277"/>
      <c r="O2516" s="247"/>
      <c r="AC2516" s="247"/>
      <c r="AT2516" s="247"/>
    </row>
    <row r="2517">
      <c r="C2517" s="277"/>
      <c r="O2517" s="247"/>
      <c r="AC2517" s="247"/>
      <c r="AT2517" s="247"/>
    </row>
    <row r="2518">
      <c r="C2518" s="277"/>
      <c r="O2518" s="247"/>
      <c r="AC2518" s="247"/>
      <c r="AT2518" s="247"/>
    </row>
    <row r="2519">
      <c r="C2519" s="277"/>
      <c r="O2519" s="247"/>
      <c r="AC2519" s="247"/>
      <c r="AT2519" s="247"/>
    </row>
    <row r="2520">
      <c r="C2520" s="277"/>
      <c r="O2520" s="247"/>
      <c r="AC2520" s="247"/>
      <c r="AT2520" s="247"/>
    </row>
    <row r="2521">
      <c r="C2521" s="277"/>
      <c r="O2521" s="247"/>
      <c r="AC2521" s="247"/>
      <c r="AT2521" s="247"/>
    </row>
    <row r="2522">
      <c r="C2522" s="277"/>
      <c r="O2522" s="247"/>
      <c r="AC2522" s="247"/>
      <c r="AT2522" s="247"/>
    </row>
    <row r="2523">
      <c r="C2523" s="277"/>
      <c r="O2523" s="247"/>
      <c r="AC2523" s="247"/>
      <c r="AT2523" s="247"/>
    </row>
    <row r="2524">
      <c r="C2524" s="277"/>
      <c r="O2524" s="247"/>
      <c r="AC2524" s="247"/>
      <c r="AT2524" s="247"/>
    </row>
    <row r="2525">
      <c r="C2525" s="277"/>
      <c r="O2525" s="247"/>
      <c r="AC2525" s="247"/>
      <c r="AT2525" s="247"/>
    </row>
    <row r="2526">
      <c r="C2526" s="277"/>
      <c r="O2526" s="247"/>
      <c r="AC2526" s="247"/>
      <c r="AT2526" s="247"/>
    </row>
    <row r="2527">
      <c r="C2527" s="277"/>
      <c r="O2527" s="247"/>
      <c r="AC2527" s="247"/>
      <c r="AT2527" s="247"/>
    </row>
    <row r="2528">
      <c r="C2528" s="277"/>
      <c r="O2528" s="247"/>
      <c r="AC2528" s="247"/>
      <c r="AT2528" s="247"/>
    </row>
    <row r="2529">
      <c r="C2529" s="277"/>
      <c r="O2529" s="247"/>
      <c r="AC2529" s="247"/>
      <c r="AT2529" s="247"/>
    </row>
    <row r="2530">
      <c r="C2530" s="277"/>
      <c r="O2530" s="247"/>
      <c r="AC2530" s="247"/>
      <c r="AT2530" s="247"/>
    </row>
    <row r="2531">
      <c r="C2531" s="277"/>
      <c r="O2531" s="247"/>
      <c r="AC2531" s="247"/>
      <c r="AT2531" s="247"/>
    </row>
    <row r="2532">
      <c r="C2532" s="277"/>
      <c r="O2532" s="247"/>
      <c r="AC2532" s="247"/>
      <c r="AT2532" s="247"/>
    </row>
    <row r="2533">
      <c r="C2533" s="277"/>
      <c r="O2533" s="247"/>
      <c r="AC2533" s="247"/>
      <c r="AT2533" s="247"/>
    </row>
    <row r="2534">
      <c r="C2534" s="277"/>
      <c r="O2534" s="247"/>
      <c r="AC2534" s="247"/>
      <c r="AT2534" s="247"/>
    </row>
    <row r="2535">
      <c r="C2535" s="277"/>
      <c r="O2535" s="247"/>
      <c r="AC2535" s="247"/>
      <c r="AT2535" s="247"/>
    </row>
    <row r="2536">
      <c r="C2536" s="277"/>
      <c r="O2536" s="247"/>
      <c r="AC2536" s="247"/>
      <c r="AT2536" s="247"/>
    </row>
    <row r="2537">
      <c r="C2537" s="277"/>
      <c r="O2537" s="247"/>
      <c r="AC2537" s="247"/>
      <c r="AT2537" s="247"/>
    </row>
    <row r="2538">
      <c r="C2538" s="277"/>
      <c r="O2538" s="247"/>
      <c r="AC2538" s="247"/>
      <c r="AT2538" s="247"/>
    </row>
    <row r="2539">
      <c r="C2539" s="277"/>
      <c r="O2539" s="247"/>
      <c r="AC2539" s="247"/>
      <c r="AT2539" s="247"/>
    </row>
    <row r="2540">
      <c r="C2540" s="277"/>
      <c r="O2540" s="247"/>
      <c r="AC2540" s="247"/>
      <c r="AT2540" s="247"/>
    </row>
    <row r="2541">
      <c r="C2541" s="277"/>
      <c r="O2541" s="247"/>
      <c r="AC2541" s="247"/>
      <c r="AT2541" s="247"/>
    </row>
    <row r="2542">
      <c r="C2542" s="277"/>
      <c r="O2542" s="247"/>
      <c r="AC2542" s="247"/>
      <c r="AT2542" s="247"/>
    </row>
    <row r="2543">
      <c r="C2543" s="277"/>
      <c r="O2543" s="247"/>
      <c r="AC2543" s="247"/>
      <c r="AT2543" s="247"/>
    </row>
    <row r="2544">
      <c r="C2544" s="277"/>
      <c r="O2544" s="247"/>
      <c r="AC2544" s="247"/>
      <c r="AT2544" s="247"/>
    </row>
    <row r="2545">
      <c r="C2545" s="277"/>
      <c r="O2545" s="247"/>
      <c r="AC2545" s="247"/>
      <c r="AT2545" s="247"/>
    </row>
    <row r="2546">
      <c r="C2546" s="277"/>
      <c r="O2546" s="247"/>
      <c r="AC2546" s="247"/>
      <c r="AT2546" s="247"/>
    </row>
    <row r="2547">
      <c r="C2547" s="277"/>
      <c r="O2547" s="247"/>
      <c r="AC2547" s="247"/>
      <c r="AT2547" s="247"/>
    </row>
    <row r="2548">
      <c r="C2548" s="277"/>
      <c r="O2548" s="247"/>
      <c r="AC2548" s="247"/>
      <c r="AT2548" s="247"/>
    </row>
    <row r="2549">
      <c r="C2549" s="277"/>
      <c r="O2549" s="247"/>
      <c r="AC2549" s="247"/>
      <c r="AT2549" s="247"/>
    </row>
    <row r="2550">
      <c r="C2550" s="277"/>
      <c r="O2550" s="247"/>
      <c r="AC2550" s="247"/>
      <c r="AT2550" s="247"/>
    </row>
    <row r="2551">
      <c r="C2551" s="277"/>
      <c r="O2551" s="247"/>
      <c r="AC2551" s="247"/>
      <c r="AT2551" s="247"/>
    </row>
    <row r="2552">
      <c r="C2552" s="277"/>
      <c r="O2552" s="247"/>
      <c r="AC2552" s="247"/>
      <c r="AT2552" s="247"/>
    </row>
    <row r="2553">
      <c r="C2553" s="277"/>
      <c r="O2553" s="247"/>
      <c r="AC2553" s="247"/>
      <c r="AT2553" s="247"/>
    </row>
    <row r="2554">
      <c r="C2554" s="277"/>
      <c r="O2554" s="247"/>
      <c r="AC2554" s="247"/>
      <c r="AT2554" s="247"/>
    </row>
    <row r="2555">
      <c r="C2555" s="277"/>
      <c r="O2555" s="247"/>
      <c r="AC2555" s="247"/>
      <c r="AT2555" s="247"/>
    </row>
    <row r="2556">
      <c r="C2556" s="277"/>
      <c r="O2556" s="247"/>
      <c r="AC2556" s="247"/>
      <c r="AT2556" s="247"/>
    </row>
    <row r="2557">
      <c r="C2557" s="277"/>
      <c r="O2557" s="247"/>
      <c r="AC2557" s="247"/>
      <c r="AT2557" s="247"/>
    </row>
    <row r="2558">
      <c r="C2558" s="277"/>
      <c r="O2558" s="247"/>
      <c r="AC2558" s="247"/>
      <c r="AT2558" s="247"/>
    </row>
    <row r="2559">
      <c r="C2559" s="277"/>
      <c r="O2559" s="247"/>
      <c r="AC2559" s="247"/>
      <c r="AT2559" s="247"/>
    </row>
    <row r="2560">
      <c r="C2560" s="277"/>
      <c r="O2560" s="247"/>
      <c r="AC2560" s="247"/>
      <c r="AT2560" s="247"/>
    </row>
    <row r="2561">
      <c r="C2561" s="277"/>
      <c r="O2561" s="247"/>
      <c r="AC2561" s="247"/>
      <c r="AT2561" s="247"/>
    </row>
    <row r="2562">
      <c r="C2562" s="277"/>
      <c r="O2562" s="247"/>
      <c r="AC2562" s="247"/>
      <c r="AT2562" s="247"/>
    </row>
    <row r="2563">
      <c r="C2563" s="277"/>
      <c r="O2563" s="247"/>
      <c r="AC2563" s="247"/>
      <c r="AT2563" s="247"/>
    </row>
    <row r="2564">
      <c r="C2564" s="277"/>
      <c r="O2564" s="247"/>
      <c r="AC2564" s="247"/>
      <c r="AT2564" s="247"/>
    </row>
    <row r="2565">
      <c r="C2565" s="277"/>
      <c r="O2565" s="247"/>
      <c r="AC2565" s="247"/>
      <c r="AT2565" s="247"/>
    </row>
    <row r="2566">
      <c r="C2566" s="277"/>
      <c r="O2566" s="247"/>
      <c r="AC2566" s="247"/>
      <c r="AT2566" s="247"/>
    </row>
    <row r="2567">
      <c r="C2567" s="277"/>
      <c r="O2567" s="247"/>
      <c r="AC2567" s="247"/>
      <c r="AT2567" s="247"/>
    </row>
    <row r="2568">
      <c r="C2568" s="277"/>
      <c r="O2568" s="247"/>
      <c r="AC2568" s="247"/>
      <c r="AT2568" s="247"/>
    </row>
    <row r="2569">
      <c r="C2569" s="277"/>
      <c r="O2569" s="247"/>
      <c r="AC2569" s="247"/>
      <c r="AT2569" s="247"/>
    </row>
    <row r="2570">
      <c r="C2570" s="277"/>
      <c r="O2570" s="247"/>
      <c r="AC2570" s="247"/>
      <c r="AT2570" s="247"/>
    </row>
    <row r="2571">
      <c r="C2571" s="277"/>
      <c r="O2571" s="247"/>
      <c r="AC2571" s="247"/>
      <c r="AT2571" s="247"/>
    </row>
    <row r="2572">
      <c r="C2572" s="277"/>
      <c r="O2572" s="247"/>
      <c r="AC2572" s="247"/>
      <c r="AT2572" s="247"/>
    </row>
    <row r="2573">
      <c r="C2573" s="277"/>
      <c r="O2573" s="247"/>
      <c r="AC2573" s="247"/>
      <c r="AT2573" s="247"/>
    </row>
    <row r="2574">
      <c r="C2574" s="277"/>
      <c r="O2574" s="247"/>
      <c r="AC2574" s="247"/>
      <c r="AT2574" s="247"/>
    </row>
    <row r="2575">
      <c r="C2575" s="277"/>
      <c r="O2575" s="247"/>
      <c r="AC2575" s="247"/>
      <c r="AT2575" s="247"/>
    </row>
    <row r="2576">
      <c r="C2576" s="277"/>
      <c r="O2576" s="247"/>
      <c r="AC2576" s="247"/>
      <c r="AT2576" s="247"/>
    </row>
    <row r="2577">
      <c r="C2577" s="277"/>
      <c r="O2577" s="247"/>
      <c r="AC2577" s="247"/>
      <c r="AT2577" s="247"/>
    </row>
    <row r="2578">
      <c r="C2578" s="277"/>
      <c r="O2578" s="247"/>
      <c r="AC2578" s="247"/>
      <c r="AT2578" s="247"/>
    </row>
    <row r="2579">
      <c r="C2579" s="277"/>
      <c r="O2579" s="247"/>
      <c r="AC2579" s="247"/>
      <c r="AT2579" s="247"/>
    </row>
    <row r="2580">
      <c r="C2580" s="277"/>
      <c r="O2580" s="247"/>
      <c r="AC2580" s="247"/>
      <c r="AT2580" s="247"/>
    </row>
    <row r="2581">
      <c r="C2581" s="277"/>
      <c r="O2581" s="247"/>
      <c r="AC2581" s="247"/>
      <c r="AT2581" s="247"/>
    </row>
    <row r="2582">
      <c r="C2582" s="277"/>
      <c r="O2582" s="247"/>
      <c r="AC2582" s="247"/>
      <c r="AT2582" s="247"/>
    </row>
    <row r="2583">
      <c r="C2583" s="277"/>
      <c r="O2583" s="247"/>
      <c r="AC2583" s="247"/>
      <c r="AT2583" s="247"/>
    </row>
    <row r="2584">
      <c r="C2584" s="277"/>
      <c r="O2584" s="247"/>
      <c r="AC2584" s="247"/>
      <c r="AT2584" s="247"/>
    </row>
    <row r="2585">
      <c r="C2585" s="277"/>
      <c r="O2585" s="247"/>
      <c r="AC2585" s="247"/>
      <c r="AT2585" s="247"/>
    </row>
    <row r="2586">
      <c r="C2586" s="277"/>
      <c r="O2586" s="247"/>
      <c r="AC2586" s="247"/>
      <c r="AT2586" s="247"/>
    </row>
    <row r="2587">
      <c r="C2587" s="277"/>
      <c r="O2587" s="247"/>
      <c r="AC2587" s="247"/>
      <c r="AT2587" s="247"/>
    </row>
    <row r="2588">
      <c r="C2588" s="277"/>
      <c r="O2588" s="247"/>
      <c r="AC2588" s="247"/>
      <c r="AT2588" s="247"/>
    </row>
    <row r="2589">
      <c r="C2589" s="277"/>
      <c r="O2589" s="247"/>
      <c r="AC2589" s="247"/>
      <c r="AT2589" s="247"/>
    </row>
    <row r="2590">
      <c r="C2590" s="277"/>
      <c r="O2590" s="247"/>
      <c r="AC2590" s="247"/>
      <c r="AT2590" s="247"/>
    </row>
    <row r="2591">
      <c r="C2591" s="277"/>
      <c r="O2591" s="247"/>
      <c r="AC2591" s="247"/>
      <c r="AT2591" s="247"/>
    </row>
    <row r="2592">
      <c r="C2592" s="277"/>
      <c r="O2592" s="247"/>
      <c r="AC2592" s="247"/>
      <c r="AT2592" s="247"/>
    </row>
    <row r="2593">
      <c r="C2593" s="277"/>
      <c r="O2593" s="247"/>
      <c r="AC2593" s="247"/>
      <c r="AT2593" s="247"/>
    </row>
    <row r="2594">
      <c r="C2594" s="277"/>
      <c r="O2594" s="247"/>
      <c r="AC2594" s="247"/>
      <c r="AT2594" s="247"/>
    </row>
    <row r="2595">
      <c r="C2595" s="277"/>
      <c r="O2595" s="247"/>
      <c r="AC2595" s="247"/>
      <c r="AT2595" s="247"/>
    </row>
    <row r="2596">
      <c r="C2596" s="277"/>
      <c r="O2596" s="247"/>
      <c r="AC2596" s="247"/>
      <c r="AT2596" s="247"/>
    </row>
    <row r="2597">
      <c r="C2597" s="277"/>
      <c r="O2597" s="247"/>
      <c r="AC2597" s="247"/>
      <c r="AT2597" s="247"/>
    </row>
    <row r="2598">
      <c r="C2598" s="277"/>
      <c r="O2598" s="247"/>
      <c r="AC2598" s="247"/>
      <c r="AT2598" s="247"/>
    </row>
    <row r="2599">
      <c r="C2599" s="277"/>
      <c r="O2599" s="247"/>
      <c r="AC2599" s="247"/>
      <c r="AT2599" s="247"/>
    </row>
    <row r="2600">
      <c r="C2600" s="277"/>
      <c r="O2600" s="247"/>
      <c r="AC2600" s="247"/>
      <c r="AT2600" s="247"/>
    </row>
    <row r="2601">
      <c r="C2601" s="277"/>
      <c r="O2601" s="247"/>
      <c r="AC2601" s="247"/>
      <c r="AT2601" s="247"/>
    </row>
    <row r="2602">
      <c r="C2602" s="277"/>
      <c r="O2602" s="247"/>
      <c r="AC2602" s="247"/>
      <c r="AT2602" s="247"/>
    </row>
    <row r="2603">
      <c r="C2603" s="277"/>
      <c r="O2603" s="247"/>
      <c r="AC2603" s="247"/>
      <c r="AT2603" s="247"/>
    </row>
    <row r="2604">
      <c r="C2604" s="277"/>
      <c r="O2604" s="247"/>
      <c r="AC2604" s="247"/>
      <c r="AT2604" s="247"/>
    </row>
    <row r="2605">
      <c r="C2605" s="277"/>
      <c r="O2605" s="247"/>
      <c r="AC2605" s="247"/>
      <c r="AT2605" s="247"/>
    </row>
    <row r="2606">
      <c r="C2606" s="277"/>
      <c r="O2606" s="247"/>
      <c r="AC2606" s="247"/>
      <c r="AT2606" s="247"/>
    </row>
    <row r="2607">
      <c r="C2607" s="277"/>
      <c r="O2607" s="247"/>
      <c r="AC2607" s="247"/>
      <c r="AT2607" s="247"/>
    </row>
    <row r="2608">
      <c r="C2608" s="277"/>
      <c r="O2608" s="247"/>
      <c r="AC2608" s="247"/>
      <c r="AT2608" s="247"/>
    </row>
    <row r="2609">
      <c r="C2609" s="277"/>
      <c r="O2609" s="247"/>
      <c r="AC2609" s="247"/>
      <c r="AT2609" s="247"/>
    </row>
    <row r="2610">
      <c r="C2610" s="277"/>
      <c r="O2610" s="247"/>
      <c r="AC2610" s="247"/>
      <c r="AT2610" s="247"/>
    </row>
    <row r="2611">
      <c r="C2611" s="277"/>
      <c r="O2611" s="247"/>
      <c r="AC2611" s="247"/>
      <c r="AT2611" s="247"/>
    </row>
    <row r="2612">
      <c r="C2612" s="277"/>
      <c r="O2612" s="247"/>
      <c r="AC2612" s="247"/>
      <c r="AT2612" s="247"/>
    </row>
    <row r="2613">
      <c r="C2613" s="277"/>
      <c r="O2613" s="247"/>
      <c r="AC2613" s="247"/>
      <c r="AT2613" s="247"/>
    </row>
    <row r="2614">
      <c r="C2614" s="277"/>
      <c r="O2614" s="247"/>
      <c r="AC2614" s="247"/>
      <c r="AT2614" s="247"/>
    </row>
    <row r="2615">
      <c r="C2615" s="277"/>
      <c r="O2615" s="247"/>
      <c r="AC2615" s="247"/>
      <c r="AT2615" s="247"/>
    </row>
    <row r="2616">
      <c r="C2616" s="277"/>
      <c r="O2616" s="247"/>
      <c r="AC2616" s="247"/>
      <c r="AT2616" s="247"/>
    </row>
    <row r="2617">
      <c r="C2617" s="277"/>
      <c r="O2617" s="247"/>
      <c r="AC2617" s="247"/>
      <c r="AT2617" s="247"/>
    </row>
    <row r="2618">
      <c r="C2618" s="277"/>
      <c r="O2618" s="247"/>
      <c r="AC2618" s="247"/>
      <c r="AT2618" s="247"/>
    </row>
    <row r="2619">
      <c r="C2619" s="277"/>
      <c r="O2619" s="247"/>
      <c r="AC2619" s="247"/>
      <c r="AT2619" s="247"/>
    </row>
    <row r="2620">
      <c r="C2620" s="277"/>
      <c r="O2620" s="247"/>
      <c r="AC2620" s="247"/>
      <c r="AT2620" s="247"/>
    </row>
    <row r="2621">
      <c r="C2621" s="277"/>
      <c r="O2621" s="247"/>
      <c r="AC2621" s="247"/>
      <c r="AT2621" s="247"/>
    </row>
    <row r="2622">
      <c r="C2622" s="277"/>
      <c r="O2622" s="247"/>
      <c r="AC2622" s="247"/>
      <c r="AT2622" s="247"/>
    </row>
    <row r="2623">
      <c r="C2623" s="277"/>
      <c r="O2623" s="247"/>
      <c r="AC2623" s="247"/>
      <c r="AT2623" s="247"/>
    </row>
    <row r="2624">
      <c r="C2624" s="277"/>
      <c r="O2624" s="247"/>
      <c r="AC2624" s="247"/>
      <c r="AT2624" s="247"/>
    </row>
    <row r="2625">
      <c r="C2625" s="277"/>
      <c r="O2625" s="247"/>
      <c r="AC2625" s="247"/>
      <c r="AT2625" s="247"/>
    </row>
    <row r="2626">
      <c r="C2626" s="277"/>
      <c r="O2626" s="247"/>
      <c r="AC2626" s="247"/>
      <c r="AT2626" s="247"/>
    </row>
    <row r="2627">
      <c r="C2627" s="277"/>
      <c r="O2627" s="247"/>
      <c r="AC2627" s="247"/>
      <c r="AT2627" s="247"/>
    </row>
    <row r="2628">
      <c r="C2628" s="277"/>
      <c r="O2628" s="247"/>
      <c r="AC2628" s="247"/>
      <c r="AT2628" s="247"/>
    </row>
    <row r="2629">
      <c r="C2629" s="277"/>
      <c r="O2629" s="247"/>
      <c r="AC2629" s="247"/>
      <c r="AT2629" s="247"/>
    </row>
    <row r="2630">
      <c r="C2630" s="277"/>
      <c r="O2630" s="247"/>
      <c r="AC2630" s="247"/>
      <c r="AT2630" s="247"/>
    </row>
    <row r="2631">
      <c r="C2631" s="277"/>
      <c r="O2631" s="247"/>
      <c r="AC2631" s="247"/>
      <c r="AT2631" s="247"/>
    </row>
    <row r="2632">
      <c r="C2632" s="277"/>
      <c r="O2632" s="247"/>
      <c r="AC2632" s="247"/>
      <c r="AT2632" s="247"/>
    </row>
    <row r="2633">
      <c r="C2633" s="277"/>
      <c r="O2633" s="247"/>
      <c r="AC2633" s="247"/>
      <c r="AT2633" s="247"/>
    </row>
    <row r="2634">
      <c r="C2634" s="277"/>
      <c r="O2634" s="247"/>
      <c r="AC2634" s="247"/>
      <c r="AT2634" s="247"/>
    </row>
    <row r="2635">
      <c r="C2635" s="277"/>
      <c r="O2635" s="247"/>
      <c r="AC2635" s="247"/>
      <c r="AT2635" s="247"/>
    </row>
    <row r="2636">
      <c r="C2636" s="277"/>
      <c r="O2636" s="247"/>
      <c r="AC2636" s="247"/>
      <c r="AT2636" s="247"/>
    </row>
    <row r="2637">
      <c r="C2637" s="277"/>
      <c r="O2637" s="247"/>
      <c r="AC2637" s="247"/>
      <c r="AT2637" s="247"/>
    </row>
    <row r="2638">
      <c r="C2638" s="277"/>
      <c r="O2638" s="247"/>
      <c r="AC2638" s="247"/>
      <c r="AT2638" s="247"/>
    </row>
    <row r="2639">
      <c r="C2639" s="277"/>
      <c r="O2639" s="247"/>
      <c r="AC2639" s="247"/>
      <c r="AT2639" s="247"/>
    </row>
    <row r="2640">
      <c r="C2640" s="277"/>
      <c r="O2640" s="247"/>
      <c r="AC2640" s="247"/>
      <c r="AT2640" s="247"/>
    </row>
    <row r="2641">
      <c r="C2641" s="277"/>
      <c r="O2641" s="247"/>
      <c r="AC2641" s="247"/>
      <c r="AT2641" s="247"/>
    </row>
    <row r="2642">
      <c r="C2642" s="277"/>
      <c r="O2642" s="247"/>
      <c r="AC2642" s="247"/>
      <c r="AT2642" s="247"/>
    </row>
    <row r="2643">
      <c r="C2643" s="277"/>
      <c r="O2643" s="247"/>
      <c r="AC2643" s="247"/>
      <c r="AT2643" s="247"/>
    </row>
    <row r="2644">
      <c r="C2644" s="277"/>
      <c r="O2644" s="247"/>
      <c r="AC2644" s="247"/>
      <c r="AT2644" s="247"/>
    </row>
    <row r="2645">
      <c r="C2645" s="277"/>
      <c r="O2645" s="247"/>
      <c r="AC2645" s="247"/>
      <c r="AT2645" s="247"/>
    </row>
    <row r="2646">
      <c r="C2646" s="277"/>
      <c r="O2646" s="247"/>
      <c r="AC2646" s="247"/>
      <c r="AT2646" s="247"/>
    </row>
    <row r="2647">
      <c r="C2647" s="277"/>
      <c r="O2647" s="247"/>
      <c r="AC2647" s="247"/>
      <c r="AT2647" s="247"/>
    </row>
    <row r="2648">
      <c r="C2648" s="277"/>
      <c r="O2648" s="247"/>
      <c r="AC2648" s="247"/>
      <c r="AT2648" s="247"/>
    </row>
    <row r="2649">
      <c r="C2649" s="277"/>
      <c r="O2649" s="247"/>
      <c r="AC2649" s="247"/>
      <c r="AT2649" s="247"/>
    </row>
    <row r="2650">
      <c r="C2650" s="277"/>
      <c r="O2650" s="247"/>
      <c r="AC2650" s="247"/>
      <c r="AT2650" s="247"/>
    </row>
    <row r="2651">
      <c r="C2651" s="277"/>
      <c r="O2651" s="247"/>
      <c r="AC2651" s="247"/>
      <c r="AT2651" s="247"/>
    </row>
    <row r="2652">
      <c r="C2652" s="277"/>
      <c r="O2652" s="247"/>
      <c r="AC2652" s="247"/>
      <c r="AT2652" s="247"/>
    </row>
    <row r="2653">
      <c r="C2653" s="277"/>
      <c r="O2653" s="247"/>
      <c r="AC2653" s="247"/>
      <c r="AT2653" s="247"/>
    </row>
    <row r="2654">
      <c r="C2654" s="277"/>
      <c r="O2654" s="247"/>
      <c r="AC2654" s="247"/>
      <c r="AT2654" s="247"/>
    </row>
    <row r="2655">
      <c r="C2655" s="277"/>
      <c r="O2655" s="247"/>
      <c r="AC2655" s="247"/>
      <c r="AT2655" s="247"/>
    </row>
    <row r="2656">
      <c r="C2656" s="277"/>
      <c r="O2656" s="247"/>
      <c r="AC2656" s="247"/>
      <c r="AT2656" s="247"/>
    </row>
    <row r="2657">
      <c r="C2657" s="277"/>
      <c r="O2657" s="247"/>
      <c r="AC2657" s="247"/>
      <c r="AT2657" s="247"/>
    </row>
    <row r="2658">
      <c r="C2658" s="277"/>
      <c r="O2658" s="247"/>
      <c r="AC2658" s="247"/>
      <c r="AT2658" s="247"/>
    </row>
    <row r="2659">
      <c r="C2659" s="277"/>
      <c r="O2659" s="247"/>
      <c r="AC2659" s="247"/>
      <c r="AT2659" s="247"/>
    </row>
    <row r="2660">
      <c r="C2660" s="277"/>
      <c r="O2660" s="247"/>
      <c r="AC2660" s="247"/>
      <c r="AT2660" s="247"/>
    </row>
    <row r="2661">
      <c r="C2661" s="277"/>
      <c r="O2661" s="247"/>
      <c r="AC2661" s="247"/>
      <c r="AT2661" s="247"/>
    </row>
    <row r="2662">
      <c r="C2662" s="277"/>
      <c r="O2662" s="247"/>
      <c r="AC2662" s="247"/>
      <c r="AT2662" s="247"/>
    </row>
    <row r="2663">
      <c r="C2663" s="277"/>
      <c r="O2663" s="247"/>
      <c r="AC2663" s="247"/>
      <c r="AT2663" s="247"/>
    </row>
    <row r="2664">
      <c r="C2664" s="277"/>
      <c r="O2664" s="247"/>
      <c r="AC2664" s="247"/>
      <c r="AT2664" s="247"/>
    </row>
    <row r="2665">
      <c r="C2665" s="277"/>
      <c r="O2665" s="247"/>
      <c r="AC2665" s="247"/>
      <c r="AT2665" s="247"/>
    </row>
    <row r="2666">
      <c r="C2666" s="277"/>
      <c r="O2666" s="247"/>
      <c r="AC2666" s="247"/>
      <c r="AT2666" s="247"/>
    </row>
    <row r="2667">
      <c r="C2667" s="277"/>
      <c r="O2667" s="247"/>
      <c r="AC2667" s="247"/>
      <c r="AT2667" s="247"/>
    </row>
    <row r="2668">
      <c r="C2668" s="277"/>
      <c r="O2668" s="247"/>
      <c r="AC2668" s="247"/>
      <c r="AT2668" s="247"/>
    </row>
    <row r="2669">
      <c r="C2669" s="277"/>
      <c r="O2669" s="247"/>
      <c r="AC2669" s="247"/>
      <c r="AT2669" s="247"/>
    </row>
    <row r="2670">
      <c r="C2670" s="277"/>
      <c r="O2670" s="247"/>
      <c r="AC2670" s="247"/>
      <c r="AT2670" s="247"/>
    </row>
    <row r="2671">
      <c r="C2671" s="277"/>
      <c r="O2671" s="247"/>
      <c r="AC2671" s="247"/>
      <c r="AT2671" s="247"/>
    </row>
    <row r="2672">
      <c r="C2672" s="277"/>
      <c r="O2672" s="247"/>
      <c r="AC2672" s="247"/>
      <c r="AT2672" s="247"/>
    </row>
    <row r="2673">
      <c r="C2673" s="277"/>
      <c r="O2673" s="247"/>
      <c r="AC2673" s="247"/>
      <c r="AT2673" s="247"/>
    </row>
    <row r="2674">
      <c r="C2674" s="277"/>
      <c r="O2674" s="247"/>
      <c r="AC2674" s="247"/>
      <c r="AT2674" s="247"/>
    </row>
    <row r="2675">
      <c r="C2675" s="277"/>
      <c r="O2675" s="247"/>
      <c r="AC2675" s="247"/>
      <c r="AT2675" s="247"/>
    </row>
    <row r="2676">
      <c r="C2676" s="277"/>
      <c r="O2676" s="247"/>
      <c r="AC2676" s="247"/>
      <c r="AT2676" s="247"/>
    </row>
    <row r="2677">
      <c r="C2677" s="277"/>
      <c r="O2677" s="247"/>
      <c r="AC2677" s="247"/>
      <c r="AT2677" s="247"/>
    </row>
    <row r="2678">
      <c r="C2678" s="277"/>
      <c r="O2678" s="247"/>
      <c r="AC2678" s="247"/>
      <c r="AT2678" s="247"/>
    </row>
    <row r="2679">
      <c r="C2679" s="277"/>
      <c r="O2679" s="247"/>
      <c r="AC2679" s="247"/>
      <c r="AT2679" s="247"/>
    </row>
    <row r="2680">
      <c r="C2680" s="277"/>
      <c r="O2680" s="247"/>
      <c r="AC2680" s="247"/>
      <c r="AT2680" s="247"/>
    </row>
    <row r="2681">
      <c r="C2681" s="277"/>
      <c r="O2681" s="247"/>
      <c r="AC2681" s="247"/>
      <c r="AT2681" s="247"/>
    </row>
    <row r="2682">
      <c r="C2682" s="277"/>
      <c r="O2682" s="247"/>
      <c r="AC2682" s="247"/>
      <c r="AT2682" s="247"/>
    </row>
    <row r="2683">
      <c r="C2683" s="277"/>
      <c r="O2683" s="247"/>
      <c r="AC2683" s="247"/>
      <c r="AT2683" s="247"/>
    </row>
    <row r="2684">
      <c r="C2684" s="277"/>
      <c r="O2684" s="247"/>
      <c r="AC2684" s="247"/>
      <c r="AT2684" s="247"/>
    </row>
    <row r="2685">
      <c r="C2685" s="277"/>
      <c r="O2685" s="247"/>
      <c r="AC2685" s="247"/>
      <c r="AT2685" s="247"/>
    </row>
    <row r="2686">
      <c r="C2686" s="277"/>
      <c r="O2686" s="247"/>
      <c r="AC2686" s="247"/>
      <c r="AT2686" s="247"/>
    </row>
    <row r="2687">
      <c r="C2687" s="277"/>
      <c r="O2687" s="247"/>
      <c r="AC2687" s="247"/>
      <c r="AT2687" s="247"/>
    </row>
    <row r="2688">
      <c r="C2688" s="277"/>
      <c r="O2688" s="247"/>
      <c r="AC2688" s="247"/>
      <c r="AT2688" s="247"/>
    </row>
    <row r="2689">
      <c r="C2689" s="277"/>
      <c r="O2689" s="247"/>
      <c r="AC2689" s="247"/>
      <c r="AT2689" s="247"/>
    </row>
    <row r="2690">
      <c r="C2690" s="277"/>
      <c r="O2690" s="247"/>
      <c r="AC2690" s="247"/>
      <c r="AT2690" s="247"/>
    </row>
    <row r="2691">
      <c r="C2691" s="277"/>
      <c r="O2691" s="247"/>
      <c r="AC2691" s="247"/>
      <c r="AT2691" s="247"/>
    </row>
    <row r="2692">
      <c r="C2692" s="277"/>
      <c r="O2692" s="247"/>
      <c r="AC2692" s="247"/>
      <c r="AT2692" s="247"/>
    </row>
    <row r="2693">
      <c r="C2693" s="277"/>
      <c r="O2693" s="247"/>
      <c r="AC2693" s="247"/>
      <c r="AT2693" s="247"/>
    </row>
    <row r="2694">
      <c r="C2694" s="277"/>
      <c r="O2694" s="247"/>
      <c r="AC2694" s="247"/>
      <c r="AT2694" s="247"/>
    </row>
    <row r="2695">
      <c r="C2695" s="277"/>
      <c r="O2695" s="247"/>
      <c r="AC2695" s="247"/>
      <c r="AT2695" s="247"/>
    </row>
    <row r="2696">
      <c r="C2696" s="277"/>
      <c r="O2696" s="247"/>
      <c r="AC2696" s="247"/>
      <c r="AT2696" s="247"/>
    </row>
    <row r="2697">
      <c r="C2697" s="277"/>
      <c r="O2697" s="247"/>
      <c r="AC2697" s="247"/>
      <c r="AT2697" s="247"/>
    </row>
    <row r="2698">
      <c r="C2698" s="277"/>
      <c r="O2698" s="247"/>
      <c r="AC2698" s="247"/>
      <c r="AT2698" s="247"/>
    </row>
    <row r="2699">
      <c r="C2699" s="277"/>
      <c r="O2699" s="247"/>
      <c r="AC2699" s="247"/>
      <c r="AT2699" s="247"/>
    </row>
    <row r="2700">
      <c r="C2700" s="277"/>
      <c r="O2700" s="247"/>
      <c r="AC2700" s="247"/>
      <c r="AT2700" s="247"/>
    </row>
    <row r="2701">
      <c r="C2701" s="277"/>
      <c r="O2701" s="247"/>
      <c r="AC2701" s="247"/>
      <c r="AT2701" s="247"/>
    </row>
    <row r="2702">
      <c r="C2702" s="277"/>
      <c r="O2702" s="247"/>
      <c r="AC2702" s="247"/>
      <c r="AT2702" s="247"/>
    </row>
    <row r="2703">
      <c r="C2703" s="277"/>
      <c r="O2703" s="247"/>
      <c r="AC2703" s="247"/>
      <c r="AT2703" s="247"/>
    </row>
    <row r="2704">
      <c r="C2704" s="277"/>
      <c r="O2704" s="247"/>
      <c r="AC2704" s="247"/>
      <c r="AT2704" s="247"/>
    </row>
    <row r="2705">
      <c r="C2705" s="277"/>
      <c r="O2705" s="247"/>
      <c r="AC2705" s="247"/>
      <c r="AT2705" s="247"/>
    </row>
    <row r="2706">
      <c r="C2706" s="277"/>
      <c r="O2706" s="247"/>
      <c r="AC2706" s="247"/>
      <c r="AT2706" s="247"/>
    </row>
    <row r="2707">
      <c r="C2707" s="277"/>
      <c r="O2707" s="247"/>
      <c r="AC2707" s="247"/>
      <c r="AT2707" s="247"/>
    </row>
    <row r="2708">
      <c r="C2708" s="277"/>
      <c r="O2708" s="247"/>
      <c r="AC2708" s="247"/>
      <c r="AT2708" s="247"/>
    </row>
    <row r="2709">
      <c r="C2709" s="277"/>
      <c r="O2709" s="247"/>
      <c r="AC2709" s="247"/>
      <c r="AT2709" s="247"/>
    </row>
    <row r="2710">
      <c r="C2710" s="277"/>
      <c r="O2710" s="247"/>
      <c r="AC2710" s="247"/>
      <c r="AT2710" s="247"/>
    </row>
    <row r="2711">
      <c r="C2711" s="277"/>
      <c r="O2711" s="247"/>
      <c r="AC2711" s="247"/>
      <c r="AT2711" s="247"/>
    </row>
    <row r="2712">
      <c r="C2712" s="277"/>
      <c r="O2712" s="247"/>
      <c r="AC2712" s="247"/>
      <c r="AT2712" s="247"/>
    </row>
    <row r="2713">
      <c r="C2713" s="277"/>
      <c r="O2713" s="247"/>
      <c r="AC2713" s="247"/>
      <c r="AT2713" s="247"/>
    </row>
    <row r="2714">
      <c r="C2714" s="277"/>
      <c r="O2714" s="247"/>
      <c r="AC2714" s="247"/>
      <c r="AT2714" s="247"/>
    </row>
    <row r="2715">
      <c r="C2715" s="277"/>
      <c r="O2715" s="247"/>
      <c r="AC2715" s="247"/>
      <c r="AT2715" s="247"/>
    </row>
    <row r="2716">
      <c r="C2716" s="277"/>
      <c r="O2716" s="247"/>
      <c r="AC2716" s="247"/>
      <c r="AT2716" s="247"/>
    </row>
    <row r="2717">
      <c r="C2717" s="277"/>
      <c r="O2717" s="247"/>
      <c r="AC2717" s="247"/>
      <c r="AT2717" s="247"/>
    </row>
    <row r="2718">
      <c r="C2718" s="277"/>
      <c r="O2718" s="247"/>
      <c r="AC2718" s="247"/>
      <c r="AT2718" s="247"/>
    </row>
    <row r="2719">
      <c r="C2719" s="277"/>
      <c r="O2719" s="247"/>
      <c r="AC2719" s="247"/>
      <c r="AT2719" s="247"/>
    </row>
    <row r="2720">
      <c r="C2720" s="277"/>
      <c r="O2720" s="247"/>
      <c r="AC2720" s="247"/>
      <c r="AT2720" s="247"/>
    </row>
    <row r="2721">
      <c r="C2721" s="277"/>
      <c r="O2721" s="247"/>
      <c r="AC2721" s="247"/>
      <c r="AT2721" s="247"/>
    </row>
    <row r="2722">
      <c r="C2722" s="277"/>
      <c r="O2722" s="247"/>
      <c r="AC2722" s="247"/>
      <c r="AT2722" s="247"/>
    </row>
    <row r="2723">
      <c r="C2723" s="277"/>
      <c r="O2723" s="247"/>
      <c r="AC2723" s="247"/>
      <c r="AT2723" s="247"/>
    </row>
    <row r="2724">
      <c r="C2724" s="277"/>
      <c r="O2724" s="247"/>
      <c r="AC2724" s="247"/>
      <c r="AT2724" s="247"/>
    </row>
    <row r="2725">
      <c r="C2725" s="277"/>
      <c r="O2725" s="247"/>
      <c r="AC2725" s="247"/>
      <c r="AT2725" s="247"/>
    </row>
    <row r="2726">
      <c r="C2726" s="277"/>
      <c r="O2726" s="247"/>
      <c r="AC2726" s="247"/>
      <c r="AT2726" s="247"/>
    </row>
    <row r="2727">
      <c r="C2727" s="277"/>
      <c r="O2727" s="247"/>
      <c r="AC2727" s="247"/>
      <c r="AT2727" s="247"/>
    </row>
    <row r="2728">
      <c r="C2728" s="277"/>
      <c r="O2728" s="247"/>
      <c r="AC2728" s="247"/>
      <c r="AT2728" s="247"/>
    </row>
    <row r="2729">
      <c r="C2729" s="277"/>
      <c r="O2729" s="247"/>
      <c r="AC2729" s="247"/>
      <c r="AT2729" s="247"/>
    </row>
    <row r="2730">
      <c r="C2730" s="277"/>
      <c r="O2730" s="247"/>
      <c r="AC2730" s="247"/>
      <c r="AT2730" s="247"/>
    </row>
    <row r="2731">
      <c r="C2731" s="277"/>
      <c r="O2731" s="247"/>
      <c r="AC2731" s="247"/>
      <c r="AT2731" s="247"/>
    </row>
    <row r="2732">
      <c r="C2732" s="277"/>
      <c r="O2732" s="247"/>
      <c r="AC2732" s="247"/>
      <c r="AT2732" s="247"/>
    </row>
    <row r="2733">
      <c r="C2733" s="277"/>
      <c r="O2733" s="247"/>
      <c r="AC2733" s="247"/>
      <c r="AT2733" s="247"/>
    </row>
    <row r="2734">
      <c r="C2734" s="277"/>
      <c r="O2734" s="247"/>
      <c r="AC2734" s="247"/>
      <c r="AT2734" s="247"/>
    </row>
    <row r="2735">
      <c r="C2735" s="277"/>
      <c r="O2735" s="247"/>
      <c r="AC2735" s="247"/>
      <c r="AT2735" s="247"/>
    </row>
    <row r="2736">
      <c r="C2736" s="277"/>
      <c r="O2736" s="247"/>
      <c r="AC2736" s="247"/>
      <c r="AT2736" s="247"/>
    </row>
    <row r="2737">
      <c r="C2737" s="277"/>
      <c r="O2737" s="247"/>
      <c r="AC2737" s="247"/>
      <c r="AT2737" s="247"/>
    </row>
    <row r="2738">
      <c r="C2738" s="277"/>
      <c r="O2738" s="247"/>
      <c r="AC2738" s="247"/>
      <c r="AT2738" s="247"/>
    </row>
    <row r="2739">
      <c r="C2739" s="277"/>
      <c r="O2739" s="247"/>
      <c r="AC2739" s="247"/>
      <c r="AT2739" s="247"/>
    </row>
    <row r="2740">
      <c r="C2740" s="277"/>
      <c r="O2740" s="247"/>
      <c r="AC2740" s="247"/>
      <c r="AT2740" s="247"/>
    </row>
    <row r="2741">
      <c r="C2741" s="277"/>
      <c r="O2741" s="247"/>
      <c r="AC2741" s="247"/>
      <c r="AT2741" s="247"/>
    </row>
    <row r="2742">
      <c r="C2742" s="277"/>
      <c r="O2742" s="247"/>
      <c r="AC2742" s="247"/>
      <c r="AT2742" s="247"/>
    </row>
    <row r="2743">
      <c r="C2743" s="277"/>
      <c r="O2743" s="247"/>
      <c r="AC2743" s="247"/>
      <c r="AT2743" s="247"/>
    </row>
    <row r="2744">
      <c r="C2744" s="277"/>
      <c r="O2744" s="247"/>
      <c r="AC2744" s="247"/>
      <c r="AT2744" s="247"/>
    </row>
    <row r="2745">
      <c r="C2745" s="277"/>
      <c r="O2745" s="247"/>
      <c r="AC2745" s="247"/>
      <c r="AT2745" s="247"/>
    </row>
    <row r="2746">
      <c r="C2746" s="277"/>
      <c r="O2746" s="247"/>
      <c r="AC2746" s="247"/>
      <c r="AT2746" s="247"/>
    </row>
    <row r="2747">
      <c r="C2747" s="277"/>
      <c r="O2747" s="247"/>
      <c r="AC2747" s="247"/>
      <c r="AT2747" s="247"/>
    </row>
    <row r="2748">
      <c r="C2748" s="277"/>
      <c r="O2748" s="247"/>
      <c r="AC2748" s="247"/>
      <c r="AT2748" s="247"/>
    </row>
    <row r="2749">
      <c r="C2749" s="277"/>
      <c r="O2749" s="247"/>
      <c r="AC2749" s="247"/>
      <c r="AT2749" s="247"/>
    </row>
    <row r="2750">
      <c r="C2750" s="277"/>
      <c r="O2750" s="247"/>
      <c r="AC2750" s="247"/>
      <c r="AT2750" s="247"/>
    </row>
    <row r="2751">
      <c r="C2751" s="277"/>
      <c r="O2751" s="247"/>
      <c r="AC2751" s="247"/>
      <c r="AT2751" s="247"/>
    </row>
    <row r="2752">
      <c r="C2752" s="277"/>
      <c r="O2752" s="247"/>
      <c r="AC2752" s="247"/>
      <c r="AT2752" s="247"/>
    </row>
    <row r="2753">
      <c r="C2753" s="277"/>
      <c r="O2753" s="247"/>
      <c r="AC2753" s="247"/>
      <c r="AT2753" s="247"/>
    </row>
    <row r="2754">
      <c r="C2754" s="277"/>
      <c r="O2754" s="247"/>
      <c r="AC2754" s="247"/>
      <c r="AT2754" s="247"/>
    </row>
    <row r="2755">
      <c r="C2755" s="277"/>
      <c r="O2755" s="247"/>
      <c r="AC2755" s="247"/>
      <c r="AT2755" s="247"/>
    </row>
    <row r="2756">
      <c r="C2756" s="277"/>
      <c r="O2756" s="247"/>
      <c r="AC2756" s="247"/>
      <c r="AT2756" s="247"/>
    </row>
    <row r="2757">
      <c r="C2757" s="277"/>
      <c r="O2757" s="247"/>
      <c r="AC2757" s="247"/>
      <c r="AT2757" s="247"/>
    </row>
    <row r="2758">
      <c r="C2758" s="277"/>
      <c r="O2758" s="247"/>
      <c r="AC2758" s="247"/>
      <c r="AT2758" s="247"/>
    </row>
    <row r="2759">
      <c r="C2759" s="277"/>
      <c r="O2759" s="247"/>
      <c r="AC2759" s="247"/>
      <c r="AT2759" s="247"/>
    </row>
    <row r="2760">
      <c r="C2760" s="277"/>
      <c r="O2760" s="247"/>
      <c r="AC2760" s="247"/>
      <c r="AT2760" s="247"/>
    </row>
    <row r="2761">
      <c r="C2761" s="277"/>
      <c r="O2761" s="247"/>
      <c r="AC2761" s="247"/>
      <c r="AT2761" s="247"/>
    </row>
    <row r="2762">
      <c r="C2762" s="277"/>
      <c r="O2762" s="247"/>
      <c r="AC2762" s="247"/>
      <c r="AT2762" s="247"/>
    </row>
    <row r="2763">
      <c r="C2763" s="277"/>
      <c r="O2763" s="247"/>
      <c r="AC2763" s="247"/>
      <c r="AT2763" s="247"/>
    </row>
    <row r="2764">
      <c r="C2764" s="277"/>
      <c r="O2764" s="247"/>
      <c r="AC2764" s="247"/>
      <c r="AT2764" s="247"/>
    </row>
    <row r="2765">
      <c r="C2765" s="277"/>
      <c r="O2765" s="247"/>
      <c r="AC2765" s="247"/>
      <c r="AT2765" s="247"/>
    </row>
    <row r="2766">
      <c r="C2766" s="277"/>
      <c r="O2766" s="247"/>
      <c r="AC2766" s="247"/>
      <c r="AT2766" s="247"/>
    </row>
    <row r="2767">
      <c r="C2767" s="277"/>
      <c r="O2767" s="247"/>
      <c r="AC2767" s="247"/>
      <c r="AT2767" s="247"/>
    </row>
    <row r="2768">
      <c r="C2768" s="277"/>
      <c r="O2768" s="247"/>
      <c r="AC2768" s="247"/>
      <c r="AT2768" s="247"/>
    </row>
    <row r="2769">
      <c r="C2769" s="277"/>
      <c r="O2769" s="247"/>
      <c r="AC2769" s="247"/>
      <c r="AT2769" s="247"/>
    </row>
    <row r="2770">
      <c r="C2770" s="277"/>
      <c r="O2770" s="247"/>
      <c r="AC2770" s="247"/>
      <c r="AT2770" s="247"/>
    </row>
    <row r="2771">
      <c r="C2771" s="277"/>
      <c r="O2771" s="247"/>
      <c r="AC2771" s="247"/>
      <c r="AT2771" s="247"/>
    </row>
    <row r="2772">
      <c r="C2772" s="277"/>
      <c r="O2772" s="247"/>
      <c r="AC2772" s="247"/>
      <c r="AT2772" s="247"/>
    </row>
    <row r="2773">
      <c r="C2773" s="277"/>
      <c r="O2773" s="247"/>
      <c r="AC2773" s="247"/>
      <c r="AT2773" s="247"/>
    </row>
    <row r="2774">
      <c r="C2774" s="277"/>
      <c r="O2774" s="247"/>
      <c r="AC2774" s="247"/>
      <c r="AT2774" s="247"/>
    </row>
    <row r="2775">
      <c r="C2775" s="277"/>
      <c r="O2775" s="247"/>
      <c r="AC2775" s="247"/>
      <c r="AT2775" s="247"/>
    </row>
    <row r="2776">
      <c r="C2776" s="277"/>
      <c r="O2776" s="247"/>
      <c r="AC2776" s="247"/>
      <c r="AT2776" s="247"/>
    </row>
    <row r="2777">
      <c r="C2777" s="277"/>
      <c r="O2777" s="247"/>
      <c r="AC2777" s="247"/>
      <c r="AT2777" s="247"/>
    </row>
    <row r="2778">
      <c r="C2778" s="277"/>
      <c r="O2778" s="247"/>
      <c r="AC2778" s="247"/>
      <c r="AT2778" s="247"/>
    </row>
    <row r="2779">
      <c r="C2779" s="277"/>
      <c r="O2779" s="247"/>
      <c r="AC2779" s="247"/>
      <c r="AT2779" s="247"/>
    </row>
    <row r="2780">
      <c r="C2780" s="277"/>
      <c r="O2780" s="247"/>
      <c r="AC2780" s="247"/>
      <c r="AT2780" s="247"/>
    </row>
    <row r="2781">
      <c r="C2781" s="277"/>
      <c r="O2781" s="247"/>
      <c r="AC2781" s="247"/>
      <c r="AT2781" s="247"/>
    </row>
    <row r="2782">
      <c r="C2782" s="277"/>
      <c r="O2782" s="247"/>
      <c r="AC2782" s="247"/>
      <c r="AT2782" s="247"/>
    </row>
    <row r="2783">
      <c r="C2783" s="277"/>
      <c r="O2783" s="247"/>
      <c r="AC2783" s="247"/>
      <c r="AT2783" s="247"/>
    </row>
    <row r="2784">
      <c r="C2784" s="277"/>
      <c r="O2784" s="247"/>
      <c r="AC2784" s="247"/>
      <c r="AT2784" s="247"/>
    </row>
    <row r="2785">
      <c r="C2785" s="277"/>
      <c r="O2785" s="247"/>
      <c r="AC2785" s="247"/>
      <c r="AT2785" s="247"/>
    </row>
    <row r="2786">
      <c r="C2786" s="277"/>
      <c r="O2786" s="247"/>
      <c r="AC2786" s="247"/>
      <c r="AT2786" s="247"/>
    </row>
    <row r="2787">
      <c r="C2787" s="277"/>
      <c r="O2787" s="247"/>
      <c r="AC2787" s="247"/>
      <c r="AT2787" s="247"/>
    </row>
    <row r="2788">
      <c r="C2788" s="277"/>
      <c r="O2788" s="247"/>
      <c r="AC2788" s="247"/>
      <c r="AT2788" s="247"/>
    </row>
    <row r="2789">
      <c r="C2789" s="277"/>
      <c r="O2789" s="247"/>
      <c r="AC2789" s="247"/>
      <c r="AT2789" s="247"/>
    </row>
    <row r="2790">
      <c r="C2790" s="277"/>
      <c r="O2790" s="247"/>
      <c r="AC2790" s="247"/>
      <c r="AT2790" s="247"/>
    </row>
    <row r="2791">
      <c r="C2791" s="277"/>
      <c r="O2791" s="247"/>
      <c r="AC2791" s="247"/>
      <c r="AT2791" s="247"/>
    </row>
    <row r="2792">
      <c r="C2792" s="277"/>
      <c r="O2792" s="247"/>
      <c r="AC2792" s="247"/>
      <c r="AT2792" s="247"/>
    </row>
    <row r="2793">
      <c r="C2793" s="277"/>
      <c r="O2793" s="247"/>
      <c r="AC2793" s="247"/>
      <c r="AT2793" s="247"/>
    </row>
    <row r="2794">
      <c r="C2794" s="277"/>
      <c r="O2794" s="247"/>
      <c r="AC2794" s="247"/>
      <c r="AT2794" s="247"/>
    </row>
    <row r="2795">
      <c r="C2795" s="277"/>
      <c r="O2795" s="247"/>
      <c r="AC2795" s="247"/>
      <c r="AT2795" s="247"/>
    </row>
    <row r="2796">
      <c r="C2796" s="277"/>
      <c r="O2796" s="247"/>
      <c r="AC2796" s="247"/>
      <c r="AT2796" s="247"/>
    </row>
    <row r="2797">
      <c r="C2797" s="277"/>
      <c r="O2797" s="247"/>
      <c r="AC2797" s="247"/>
      <c r="AT2797" s="247"/>
    </row>
    <row r="2798">
      <c r="C2798" s="277"/>
      <c r="O2798" s="247"/>
      <c r="AC2798" s="247"/>
      <c r="AT2798" s="247"/>
    </row>
    <row r="2799">
      <c r="C2799" s="277"/>
      <c r="O2799" s="247"/>
      <c r="AC2799" s="247"/>
      <c r="AT2799" s="247"/>
    </row>
    <row r="2800">
      <c r="C2800" s="277"/>
      <c r="O2800" s="247"/>
      <c r="AC2800" s="247"/>
      <c r="AT2800" s="247"/>
    </row>
    <row r="2801">
      <c r="C2801" s="277"/>
      <c r="O2801" s="247"/>
      <c r="AC2801" s="247"/>
      <c r="AT2801" s="247"/>
    </row>
    <row r="2802">
      <c r="C2802" s="277"/>
      <c r="O2802" s="247"/>
      <c r="AC2802" s="247"/>
      <c r="AT2802" s="247"/>
    </row>
    <row r="2803">
      <c r="C2803" s="277"/>
      <c r="O2803" s="247"/>
      <c r="AC2803" s="247"/>
      <c r="AT2803" s="247"/>
    </row>
    <row r="2804">
      <c r="C2804" s="277"/>
      <c r="O2804" s="247"/>
      <c r="AC2804" s="247"/>
      <c r="AT2804" s="247"/>
    </row>
    <row r="2805">
      <c r="C2805" s="277"/>
      <c r="O2805" s="247"/>
      <c r="AC2805" s="247"/>
      <c r="AT2805" s="247"/>
    </row>
    <row r="2806">
      <c r="C2806" s="277"/>
      <c r="O2806" s="247"/>
      <c r="AC2806" s="247"/>
      <c r="AT2806" s="247"/>
    </row>
    <row r="2807">
      <c r="C2807" s="277"/>
      <c r="O2807" s="247"/>
      <c r="AC2807" s="247"/>
      <c r="AT2807" s="247"/>
    </row>
    <row r="2808">
      <c r="C2808" s="277"/>
      <c r="O2808" s="247"/>
      <c r="AC2808" s="247"/>
      <c r="AT2808" s="247"/>
    </row>
    <row r="2809">
      <c r="C2809" s="277"/>
      <c r="O2809" s="247"/>
      <c r="AC2809" s="247"/>
      <c r="AT2809" s="247"/>
    </row>
    <row r="2810">
      <c r="C2810" s="277"/>
      <c r="O2810" s="247"/>
      <c r="AC2810" s="247"/>
      <c r="AT2810" s="247"/>
    </row>
    <row r="2811">
      <c r="C2811" s="277"/>
      <c r="O2811" s="247"/>
      <c r="AC2811" s="247"/>
      <c r="AT2811" s="247"/>
    </row>
    <row r="2812">
      <c r="C2812" s="277"/>
      <c r="O2812" s="247"/>
      <c r="AC2812" s="247"/>
      <c r="AT2812" s="247"/>
    </row>
    <row r="2813">
      <c r="C2813" s="277"/>
      <c r="O2813" s="247"/>
      <c r="AC2813" s="247"/>
      <c r="AT2813" s="247"/>
    </row>
    <row r="2814">
      <c r="C2814" s="277"/>
      <c r="O2814" s="247"/>
      <c r="AC2814" s="247"/>
      <c r="AT2814" s="247"/>
    </row>
    <row r="2815">
      <c r="C2815" s="277"/>
      <c r="O2815" s="247"/>
      <c r="AC2815" s="247"/>
      <c r="AT2815" s="247"/>
    </row>
    <row r="2816">
      <c r="C2816" s="277"/>
      <c r="O2816" s="247"/>
      <c r="AC2816" s="247"/>
      <c r="AT2816" s="247"/>
    </row>
    <row r="2817">
      <c r="C2817" s="277"/>
      <c r="O2817" s="247"/>
      <c r="AC2817" s="247"/>
      <c r="AT2817" s="247"/>
    </row>
    <row r="2818">
      <c r="C2818" s="277"/>
      <c r="O2818" s="247"/>
      <c r="AC2818" s="247"/>
      <c r="AT2818" s="247"/>
    </row>
    <row r="2819">
      <c r="C2819" s="277"/>
      <c r="O2819" s="247"/>
      <c r="AC2819" s="247"/>
      <c r="AT2819" s="247"/>
    </row>
    <row r="2820">
      <c r="C2820" s="277"/>
      <c r="O2820" s="247"/>
      <c r="AC2820" s="247"/>
      <c r="AT2820" s="247"/>
    </row>
    <row r="2821">
      <c r="C2821" s="277"/>
      <c r="O2821" s="247"/>
      <c r="AC2821" s="247"/>
      <c r="AT2821" s="247"/>
    </row>
    <row r="2822">
      <c r="C2822" s="277"/>
      <c r="O2822" s="247"/>
      <c r="AC2822" s="247"/>
      <c r="AT2822" s="247"/>
    </row>
    <row r="2823">
      <c r="C2823" s="277"/>
      <c r="O2823" s="247"/>
      <c r="AC2823" s="247"/>
      <c r="AT2823" s="247"/>
    </row>
    <row r="2824">
      <c r="C2824" s="277"/>
      <c r="O2824" s="247"/>
      <c r="AC2824" s="247"/>
      <c r="AT2824" s="247"/>
    </row>
    <row r="2825">
      <c r="C2825" s="277"/>
      <c r="O2825" s="247"/>
      <c r="AC2825" s="247"/>
      <c r="AT2825" s="247"/>
    </row>
    <row r="2826">
      <c r="C2826" s="277"/>
      <c r="O2826" s="247"/>
      <c r="AC2826" s="247"/>
      <c r="AT2826" s="247"/>
    </row>
    <row r="2827">
      <c r="C2827" s="277"/>
      <c r="O2827" s="247"/>
      <c r="AC2827" s="247"/>
      <c r="AT2827" s="247"/>
    </row>
    <row r="2828">
      <c r="C2828" s="277"/>
      <c r="O2828" s="247"/>
      <c r="AC2828" s="247"/>
      <c r="AT2828" s="247"/>
    </row>
    <row r="2829">
      <c r="C2829" s="277"/>
      <c r="O2829" s="247"/>
      <c r="AC2829" s="247"/>
      <c r="AT2829" s="247"/>
    </row>
    <row r="2830">
      <c r="C2830" s="277"/>
      <c r="O2830" s="247"/>
      <c r="AC2830" s="247"/>
      <c r="AT2830" s="247"/>
    </row>
    <row r="2831">
      <c r="C2831" s="277"/>
      <c r="O2831" s="247"/>
      <c r="AC2831" s="247"/>
      <c r="AT2831" s="247"/>
    </row>
    <row r="2832">
      <c r="C2832" s="277"/>
      <c r="O2832" s="247"/>
      <c r="AC2832" s="247"/>
      <c r="AT2832" s="247"/>
    </row>
    <row r="2833">
      <c r="C2833" s="277"/>
      <c r="O2833" s="247"/>
      <c r="AC2833" s="247"/>
      <c r="AT2833" s="247"/>
    </row>
    <row r="2834">
      <c r="C2834" s="277"/>
      <c r="O2834" s="247"/>
      <c r="AC2834" s="247"/>
      <c r="AT2834" s="247"/>
    </row>
    <row r="2835">
      <c r="C2835" s="277"/>
      <c r="O2835" s="247"/>
      <c r="AC2835" s="247"/>
      <c r="AT2835" s="247"/>
    </row>
    <row r="2836">
      <c r="C2836" s="277"/>
      <c r="O2836" s="247"/>
      <c r="AC2836" s="247"/>
      <c r="AT2836" s="247"/>
    </row>
    <row r="2837">
      <c r="C2837" s="277"/>
      <c r="O2837" s="247"/>
      <c r="AC2837" s="247"/>
      <c r="AT2837" s="247"/>
    </row>
    <row r="2838">
      <c r="C2838" s="277"/>
      <c r="O2838" s="247"/>
      <c r="AC2838" s="247"/>
      <c r="AT2838" s="247"/>
    </row>
    <row r="2839">
      <c r="C2839" s="277"/>
      <c r="O2839" s="247"/>
      <c r="AC2839" s="247"/>
      <c r="AT2839" s="247"/>
    </row>
    <row r="2840">
      <c r="C2840" s="277"/>
      <c r="O2840" s="247"/>
      <c r="AC2840" s="247"/>
      <c r="AT2840" s="247"/>
    </row>
    <row r="2841">
      <c r="C2841" s="277"/>
      <c r="O2841" s="247"/>
      <c r="AC2841" s="247"/>
      <c r="AT2841" s="247"/>
    </row>
    <row r="2842">
      <c r="C2842" s="277"/>
      <c r="O2842" s="247"/>
      <c r="AC2842" s="247"/>
      <c r="AT2842" s="247"/>
    </row>
    <row r="2843">
      <c r="C2843" s="277"/>
      <c r="O2843" s="247"/>
      <c r="AC2843" s="247"/>
      <c r="AT2843" s="247"/>
    </row>
    <row r="2844">
      <c r="C2844" s="277"/>
      <c r="O2844" s="247"/>
      <c r="AC2844" s="247"/>
      <c r="AT2844" s="247"/>
    </row>
    <row r="2845">
      <c r="C2845" s="277"/>
      <c r="O2845" s="247"/>
      <c r="AC2845" s="247"/>
      <c r="AT2845" s="247"/>
    </row>
    <row r="2846">
      <c r="C2846" s="277"/>
      <c r="O2846" s="247"/>
      <c r="AC2846" s="247"/>
      <c r="AT2846" s="247"/>
    </row>
    <row r="2847">
      <c r="C2847" s="277"/>
      <c r="O2847" s="247"/>
      <c r="AC2847" s="247"/>
      <c r="AT2847" s="247"/>
    </row>
    <row r="2848">
      <c r="C2848" s="277"/>
      <c r="O2848" s="247"/>
      <c r="AC2848" s="247"/>
      <c r="AT2848" s="247"/>
    </row>
    <row r="2849">
      <c r="C2849" s="277"/>
      <c r="O2849" s="247"/>
      <c r="AC2849" s="247"/>
      <c r="AT2849" s="247"/>
    </row>
    <row r="2850">
      <c r="C2850" s="277"/>
      <c r="O2850" s="247"/>
      <c r="AC2850" s="247"/>
      <c r="AT2850" s="247"/>
    </row>
    <row r="2851">
      <c r="C2851" s="277"/>
      <c r="O2851" s="247"/>
      <c r="AC2851" s="247"/>
      <c r="AT2851" s="247"/>
    </row>
    <row r="2852">
      <c r="C2852" s="277"/>
      <c r="O2852" s="247"/>
      <c r="AC2852" s="247"/>
      <c r="AT2852" s="247"/>
    </row>
    <row r="2853">
      <c r="C2853" s="277"/>
      <c r="O2853" s="247"/>
      <c r="AC2853" s="247"/>
      <c r="AT2853" s="247"/>
    </row>
    <row r="2854">
      <c r="C2854" s="277"/>
      <c r="O2854" s="247"/>
      <c r="AC2854" s="247"/>
      <c r="AT2854" s="247"/>
    </row>
    <row r="2855">
      <c r="C2855" s="277"/>
      <c r="O2855" s="247"/>
      <c r="AC2855" s="247"/>
      <c r="AT2855" s="247"/>
    </row>
    <row r="2856">
      <c r="C2856" s="277"/>
      <c r="O2856" s="247"/>
      <c r="AC2856" s="247"/>
      <c r="AT2856" s="247"/>
    </row>
    <row r="2857">
      <c r="C2857" s="277"/>
      <c r="O2857" s="247"/>
      <c r="AC2857" s="247"/>
      <c r="AT2857" s="247"/>
    </row>
    <row r="2858">
      <c r="C2858" s="277"/>
      <c r="O2858" s="247"/>
      <c r="AC2858" s="247"/>
      <c r="AT2858" s="247"/>
    </row>
    <row r="2859">
      <c r="C2859" s="277"/>
      <c r="O2859" s="247"/>
      <c r="AC2859" s="247"/>
      <c r="AT2859" s="247"/>
    </row>
    <row r="2860">
      <c r="C2860" s="277"/>
      <c r="O2860" s="247"/>
      <c r="AC2860" s="247"/>
      <c r="AT2860" s="247"/>
    </row>
    <row r="2861">
      <c r="C2861" s="277"/>
      <c r="O2861" s="247"/>
      <c r="AC2861" s="247"/>
      <c r="AT2861" s="247"/>
    </row>
    <row r="2862">
      <c r="C2862" s="277"/>
      <c r="O2862" s="247"/>
      <c r="AC2862" s="247"/>
      <c r="AT2862" s="247"/>
    </row>
    <row r="2863">
      <c r="C2863" s="277"/>
      <c r="O2863" s="247"/>
      <c r="AC2863" s="247"/>
      <c r="AT2863" s="247"/>
    </row>
    <row r="2864">
      <c r="C2864" s="277"/>
      <c r="O2864" s="247"/>
      <c r="AC2864" s="247"/>
      <c r="AT2864" s="247"/>
    </row>
    <row r="2865">
      <c r="C2865" s="277"/>
      <c r="O2865" s="247"/>
      <c r="AC2865" s="247"/>
      <c r="AT2865" s="247"/>
    </row>
    <row r="2866">
      <c r="C2866" s="277"/>
      <c r="O2866" s="247"/>
      <c r="AC2866" s="247"/>
      <c r="AT2866" s="247"/>
    </row>
    <row r="2867">
      <c r="C2867" s="277"/>
      <c r="O2867" s="247"/>
      <c r="AC2867" s="247"/>
      <c r="AT2867" s="247"/>
    </row>
    <row r="2868">
      <c r="C2868" s="277"/>
      <c r="O2868" s="247"/>
      <c r="AC2868" s="247"/>
      <c r="AT2868" s="247"/>
    </row>
    <row r="2869">
      <c r="C2869" s="277"/>
      <c r="O2869" s="247"/>
      <c r="AC2869" s="247"/>
      <c r="AT2869" s="247"/>
    </row>
    <row r="2870">
      <c r="C2870" s="277"/>
      <c r="O2870" s="247"/>
      <c r="AC2870" s="247"/>
      <c r="AT2870" s="247"/>
    </row>
    <row r="2871">
      <c r="C2871" s="277"/>
      <c r="O2871" s="247"/>
      <c r="AC2871" s="247"/>
      <c r="AT2871" s="247"/>
    </row>
    <row r="2872">
      <c r="C2872" s="277"/>
      <c r="O2872" s="247"/>
      <c r="AC2872" s="247"/>
      <c r="AT2872" s="247"/>
    </row>
    <row r="2873">
      <c r="C2873" s="277"/>
      <c r="O2873" s="247"/>
      <c r="AC2873" s="247"/>
      <c r="AT2873" s="247"/>
    </row>
    <row r="2874">
      <c r="C2874" s="277"/>
      <c r="O2874" s="247"/>
      <c r="AC2874" s="247"/>
      <c r="AT2874" s="247"/>
    </row>
    <row r="2875">
      <c r="C2875" s="277"/>
      <c r="O2875" s="247"/>
      <c r="AC2875" s="247"/>
      <c r="AT2875" s="247"/>
    </row>
    <row r="2876">
      <c r="C2876" s="277"/>
      <c r="O2876" s="247"/>
      <c r="AC2876" s="247"/>
      <c r="AT2876" s="247"/>
    </row>
    <row r="2877">
      <c r="C2877" s="277"/>
      <c r="O2877" s="247"/>
      <c r="AC2877" s="247"/>
      <c r="AT2877" s="247"/>
    </row>
    <row r="2878">
      <c r="C2878" s="277"/>
      <c r="O2878" s="247"/>
      <c r="AC2878" s="247"/>
      <c r="AT2878" s="247"/>
    </row>
    <row r="2879">
      <c r="C2879" s="277"/>
      <c r="O2879" s="247"/>
      <c r="AC2879" s="247"/>
      <c r="AT2879" s="247"/>
    </row>
    <row r="2880">
      <c r="C2880" s="277"/>
      <c r="O2880" s="247"/>
      <c r="AC2880" s="247"/>
      <c r="AT2880" s="247"/>
    </row>
    <row r="2881">
      <c r="C2881" s="277"/>
      <c r="O2881" s="247"/>
      <c r="AC2881" s="247"/>
      <c r="AT2881" s="247"/>
    </row>
    <row r="2882">
      <c r="C2882" s="277"/>
      <c r="O2882" s="247"/>
      <c r="AC2882" s="247"/>
      <c r="AT2882" s="247"/>
    </row>
    <row r="2883">
      <c r="C2883" s="277"/>
      <c r="O2883" s="247"/>
      <c r="AC2883" s="247"/>
      <c r="AT2883" s="247"/>
    </row>
    <row r="2884">
      <c r="C2884" s="277"/>
      <c r="O2884" s="247"/>
      <c r="AC2884" s="247"/>
      <c r="AT2884" s="247"/>
    </row>
    <row r="2885">
      <c r="C2885" s="277"/>
      <c r="O2885" s="247"/>
      <c r="AC2885" s="247"/>
      <c r="AT2885" s="247"/>
    </row>
    <row r="2886">
      <c r="C2886" s="277"/>
      <c r="O2886" s="247"/>
      <c r="AC2886" s="247"/>
      <c r="AT2886" s="247"/>
    </row>
    <row r="2887">
      <c r="C2887" s="277"/>
      <c r="O2887" s="247"/>
      <c r="AC2887" s="247"/>
      <c r="AT2887" s="247"/>
    </row>
    <row r="2888">
      <c r="C2888" s="277"/>
      <c r="O2888" s="247"/>
      <c r="AC2888" s="247"/>
      <c r="AT2888" s="247"/>
    </row>
    <row r="2889">
      <c r="C2889" s="277"/>
      <c r="O2889" s="247"/>
      <c r="AC2889" s="247"/>
      <c r="AT2889" s="247"/>
    </row>
    <row r="2890">
      <c r="C2890" s="277"/>
      <c r="O2890" s="247"/>
      <c r="AC2890" s="247"/>
      <c r="AT2890" s="247"/>
    </row>
    <row r="2891">
      <c r="C2891" s="277"/>
      <c r="O2891" s="247"/>
      <c r="AC2891" s="247"/>
      <c r="AT2891" s="247"/>
    </row>
    <row r="2892">
      <c r="C2892" s="277"/>
      <c r="O2892" s="247"/>
      <c r="AC2892" s="247"/>
      <c r="AT2892" s="247"/>
    </row>
    <row r="2893">
      <c r="C2893" s="277"/>
      <c r="O2893" s="247"/>
      <c r="AC2893" s="247"/>
      <c r="AT2893" s="247"/>
    </row>
    <row r="2894">
      <c r="C2894" s="277"/>
      <c r="O2894" s="247"/>
      <c r="AC2894" s="247"/>
      <c r="AT2894" s="247"/>
    </row>
    <row r="2895">
      <c r="C2895" s="277"/>
      <c r="O2895" s="247"/>
      <c r="AC2895" s="247"/>
      <c r="AT2895" s="247"/>
    </row>
    <row r="2896">
      <c r="C2896" s="277"/>
      <c r="O2896" s="247"/>
      <c r="AC2896" s="247"/>
      <c r="AT2896" s="247"/>
    </row>
    <row r="2897">
      <c r="C2897" s="277"/>
      <c r="O2897" s="247"/>
      <c r="AC2897" s="247"/>
      <c r="AT2897" s="247"/>
    </row>
    <row r="2898">
      <c r="C2898" s="277"/>
      <c r="O2898" s="247"/>
      <c r="AC2898" s="247"/>
      <c r="AT2898" s="247"/>
    </row>
    <row r="2899">
      <c r="C2899" s="277"/>
      <c r="O2899" s="247"/>
      <c r="AC2899" s="247"/>
      <c r="AT2899" s="247"/>
    </row>
    <row r="2900">
      <c r="C2900" s="277"/>
      <c r="O2900" s="247"/>
      <c r="AC2900" s="247"/>
      <c r="AT2900" s="247"/>
    </row>
    <row r="2901">
      <c r="C2901" s="277"/>
      <c r="O2901" s="247"/>
      <c r="AC2901" s="247"/>
      <c r="AT2901" s="247"/>
    </row>
    <row r="2902">
      <c r="C2902" s="277"/>
      <c r="O2902" s="247"/>
      <c r="AC2902" s="247"/>
      <c r="AT2902" s="247"/>
    </row>
    <row r="2903">
      <c r="C2903" s="277"/>
      <c r="O2903" s="247"/>
      <c r="AC2903" s="247"/>
      <c r="AT2903" s="247"/>
    </row>
    <row r="2904">
      <c r="C2904" s="277"/>
      <c r="O2904" s="247"/>
      <c r="AC2904" s="247"/>
      <c r="AT2904" s="247"/>
    </row>
    <row r="2905">
      <c r="C2905" s="277"/>
      <c r="O2905" s="247"/>
      <c r="AC2905" s="247"/>
      <c r="AT2905" s="247"/>
    </row>
    <row r="2906">
      <c r="C2906" s="277"/>
      <c r="O2906" s="247"/>
      <c r="AC2906" s="247"/>
      <c r="AT2906" s="247"/>
    </row>
    <row r="2907">
      <c r="C2907" s="277"/>
      <c r="O2907" s="247"/>
      <c r="AC2907" s="247"/>
      <c r="AT2907" s="247"/>
    </row>
    <row r="2908">
      <c r="C2908" s="277"/>
      <c r="O2908" s="247"/>
      <c r="AC2908" s="247"/>
      <c r="AT2908" s="247"/>
    </row>
    <row r="2909">
      <c r="C2909" s="277"/>
      <c r="O2909" s="247"/>
      <c r="AC2909" s="247"/>
      <c r="AT2909" s="247"/>
    </row>
    <row r="2910">
      <c r="C2910" s="277"/>
      <c r="O2910" s="247"/>
      <c r="AC2910" s="247"/>
      <c r="AT2910" s="247"/>
    </row>
    <row r="2911">
      <c r="C2911" s="277"/>
      <c r="O2911" s="247"/>
      <c r="AC2911" s="247"/>
      <c r="AT2911" s="247"/>
    </row>
    <row r="2912">
      <c r="C2912" s="277"/>
      <c r="O2912" s="247"/>
      <c r="AC2912" s="247"/>
      <c r="AT2912" s="247"/>
    </row>
    <row r="2913">
      <c r="C2913" s="277"/>
      <c r="O2913" s="247"/>
      <c r="AC2913" s="247"/>
      <c r="AT2913" s="247"/>
    </row>
    <row r="2914">
      <c r="C2914" s="277"/>
      <c r="O2914" s="247"/>
      <c r="AC2914" s="247"/>
      <c r="AT2914" s="247"/>
    </row>
    <row r="2915">
      <c r="C2915" s="277"/>
      <c r="O2915" s="247"/>
      <c r="AC2915" s="247"/>
      <c r="AT2915" s="247"/>
    </row>
    <row r="2916">
      <c r="C2916" s="277"/>
      <c r="O2916" s="247"/>
      <c r="AC2916" s="247"/>
      <c r="AT2916" s="247"/>
    </row>
    <row r="2917">
      <c r="C2917" s="277"/>
      <c r="O2917" s="247"/>
      <c r="AC2917" s="247"/>
      <c r="AT2917" s="247"/>
    </row>
    <row r="2918">
      <c r="C2918" s="277"/>
      <c r="O2918" s="247"/>
      <c r="AC2918" s="247"/>
      <c r="AT2918" s="247"/>
    </row>
    <row r="2919">
      <c r="C2919" s="277"/>
      <c r="O2919" s="247"/>
      <c r="AC2919" s="247"/>
      <c r="AT2919" s="247"/>
    </row>
    <row r="2920">
      <c r="C2920" s="277"/>
      <c r="O2920" s="247"/>
      <c r="AC2920" s="247"/>
      <c r="AT2920" s="247"/>
    </row>
    <row r="2921">
      <c r="C2921" s="277"/>
      <c r="O2921" s="247"/>
      <c r="AC2921" s="247"/>
      <c r="AT2921" s="247"/>
    </row>
    <row r="2922">
      <c r="C2922" s="277"/>
      <c r="O2922" s="247"/>
      <c r="AC2922" s="247"/>
      <c r="AT2922" s="247"/>
    </row>
    <row r="2923">
      <c r="C2923" s="277"/>
      <c r="O2923" s="247"/>
      <c r="AC2923" s="247"/>
      <c r="AT2923" s="247"/>
    </row>
    <row r="2924">
      <c r="C2924" s="277"/>
      <c r="O2924" s="247"/>
      <c r="AC2924" s="247"/>
      <c r="AT2924" s="247"/>
    </row>
    <row r="2925">
      <c r="C2925" s="277"/>
      <c r="O2925" s="247"/>
      <c r="AC2925" s="247"/>
      <c r="AT2925" s="247"/>
    </row>
    <row r="2926">
      <c r="C2926" s="277"/>
      <c r="O2926" s="247"/>
      <c r="AC2926" s="247"/>
      <c r="AT2926" s="247"/>
    </row>
    <row r="2927">
      <c r="C2927" s="277"/>
      <c r="O2927" s="247"/>
      <c r="AC2927" s="247"/>
      <c r="AT2927" s="247"/>
    </row>
    <row r="2928">
      <c r="C2928" s="277"/>
      <c r="O2928" s="247"/>
      <c r="AC2928" s="247"/>
      <c r="AT2928" s="247"/>
    </row>
    <row r="2929">
      <c r="C2929" s="277"/>
      <c r="O2929" s="247"/>
      <c r="AC2929" s="247"/>
      <c r="AT2929" s="247"/>
    </row>
    <row r="2930">
      <c r="C2930" s="277"/>
      <c r="O2930" s="247"/>
      <c r="AC2930" s="247"/>
      <c r="AT2930" s="247"/>
    </row>
    <row r="2931">
      <c r="C2931" s="277"/>
      <c r="O2931" s="247"/>
      <c r="AC2931" s="247"/>
      <c r="AT2931" s="247"/>
    </row>
    <row r="2932">
      <c r="C2932" s="277"/>
      <c r="O2932" s="247"/>
      <c r="AC2932" s="247"/>
      <c r="AT2932" s="247"/>
    </row>
    <row r="2933">
      <c r="C2933" s="277"/>
      <c r="O2933" s="247"/>
      <c r="AC2933" s="247"/>
      <c r="AT2933" s="247"/>
    </row>
    <row r="2934">
      <c r="C2934" s="277"/>
      <c r="O2934" s="247"/>
      <c r="AC2934" s="247"/>
      <c r="AT2934" s="247"/>
    </row>
    <row r="2935">
      <c r="C2935" s="277"/>
      <c r="O2935" s="247"/>
      <c r="AC2935" s="247"/>
      <c r="AT2935" s="247"/>
    </row>
    <row r="2936">
      <c r="C2936" s="277"/>
      <c r="O2936" s="247"/>
      <c r="AC2936" s="247"/>
      <c r="AT2936" s="247"/>
    </row>
    <row r="2937">
      <c r="C2937" s="277"/>
      <c r="O2937" s="247"/>
      <c r="AC2937" s="247"/>
      <c r="AT2937" s="247"/>
    </row>
    <row r="2938">
      <c r="C2938" s="277"/>
      <c r="O2938" s="247"/>
      <c r="AC2938" s="247"/>
      <c r="AT2938" s="247"/>
    </row>
    <row r="2939">
      <c r="C2939" s="277"/>
      <c r="O2939" s="247"/>
      <c r="AC2939" s="247"/>
      <c r="AT2939" s="247"/>
    </row>
    <row r="2940">
      <c r="C2940" s="277"/>
      <c r="O2940" s="247"/>
      <c r="AC2940" s="247"/>
      <c r="AT2940" s="247"/>
    </row>
    <row r="2941">
      <c r="C2941" s="277"/>
      <c r="O2941" s="247"/>
      <c r="AC2941" s="247"/>
      <c r="AT2941" s="247"/>
    </row>
    <row r="2942">
      <c r="C2942" s="277"/>
      <c r="O2942" s="247"/>
      <c r="AC2942" s="247"/>
      <c r="AT2942" s="247"/>
    </row>
    <row r="2943">
      <c r="C2943" s="277"/>
      <c r="O2943" s="247"/>
      <c r="AC2943" s="247"/>
      <c r="AT2943" s="247"/>
    </row>
    <row r="2944">
      <c r="C2944" s="277"/>
      <c r="O2944" s="247"/>
      <c r="AC2944" s="247"/>
      <c r="AT2944" s="247"/>
    </row>
    <row r="2945">
      <c r="C2945" s="277"/>
      <c r="O2945" s="247"/>
      <c r="AC2945" s="247"/>
      <c r="AT2945" s="247"/>
    </row>
    <row r="2946">
      <c r="C2946" s="277"/>
      <c r="O2946" s="247"/>
      <c r="AC2946" s="247"/>
      <c r="AT2946" s="247"/>
    </row>
    <row r="2947">
      <c r="C2947" s="277"/>
      <c r="O2947" s="247"/>
      <c r="AC2947" s="247"/>
      <c r="AT2947" s="247"/>
    </row>
    <row r="2948">
      <c r="C2948" s="277"/>
      <c r="O2948" s="247"/>
      <c r="AC2948" s="247"/>
      <c r="AT2948" s="247"/>
    </row>
    <row r="2949">
      <c r="C2949" s="277"/>
      <c r="O2949" s="247"/>
      <c r="AC2949" s="247"/>
      <c r="AT2949" s="247"/>
    </row>
    <row r="2950">
      <c r="C2950" s="277"/>
      <c r="O2950" s="247"/>
      <c r="AC2950" s="247"/>
      <c r="AT2950" s="247"/>
    </row>
    <row r="2951">
      <c r="C2951" s="277"/>
      <c r="O2951" s="247"/>
      <c r="AC2951" s="247"/>
      <c r="AT2951" s="247"/>
    </row>
    <row r="2952">
      <c r="C2952" s="277"/>
      <c r="O2952" s="247"/>
      <c r="AC2952" s="247"/>
      <c r="AT2952" s="247"/>
    </row>
    <row r="2953">
      <c r="C2953" s="277"/>
      <c r="O2953" s="247"/>
      <c r="AC2953" s="247"/>
      <c r="AT2953" s="247"/>
    </row>
    <row r="2954">
      <c r="C2954" s="277"/>
      <c r="O2954" s="247"/>
      <c r="AC2954" s="247"/>
      <c r="AT2954" s="247"/>
    </row>
    <row r="2955">
      <c r="C2955" s="277"/>
      <c r="O2955" s="247"/>
      <c r="AC2955" s="247"/>
      <c r="AT2955" s="247"/>
    </row>
    <row r="2956">
      <c r="C2956" s="277"/>
      <c r="O2956" s="247"/>
      <c r="AC2956" s="247"/>
      <c r="AT2956" s="247"/>
    </row>
    <row r="2957">
      <c r="C2957" s="277"/>
      <c r="O2957" s="247"/>
      <c r="AC2957" s="247"/>
      <c r="AT2957" s="247"/>
    </row>
    <row r="2958">
      <c r="C2958" s="277"/>
      <c r="O2958" s="247"/>
      <c r="AC2958" s="247"/>
      <c r="AT2958" s="247"/>
    </row>
    <row r="2959">
      <c r="C2959" s="277"/>
      <c r="O2959" s="247"/>
      <c r="AC2959" s="247"/>
      <c r="AT2959" s="247"/>
    </row>
    <row r="2960">
      <c r="C2960" s="277"/>
      <c r="O2960" s="247"/>
      <c r="AC2960" s="247"/>
      <c r="AT2960" s="247"/>
    </row>
    <row r="2961">
      <c r="C2961" s="277"/>
      <c r="O2961" s="247"/>
      <c r="AC2961" s="247"/>
      <c r="AT2961" s="247"/>
    </row>
    <row r="2962">
      <c r="C2962" s="277"/>
      <c r="O2962" s="247"/>
      <c r="AC2962" s="247"/>
      <c r="AT2962" s="247"/>
    </row>
    <row r="2963">
      <c r="C2963" s="277"/>
      <c r="O2963" s="247"/>
      <c r="AC2963" s="247"/>
      <c r="AT2963" s="247"/>
    </row>
    <row r="2964">
      <c r="C2964" s="277"/>
      <c r="O2964" s="247"/>
      <c r="AC2964" s="247"/>
      <c r="AT2964" s="247"/>
    </row>
    <row r="2965">
      <c r="C2965" s="277"/>
      <c r="O2965" s="247"/>
      <c r="AC2965" s="247"/>
      <c r="AT2965" s="247"/>
    </row>
    <row r="2966">
      <c r="C2966" s="277"/>
      <c r="O2966" s="247"/>
      <c r="AC2966" s="247"/>
      <c r="AT2966" s="247"/>
    </row>
    <row r="2967">
      <c r="C2967" s="277"/>
      <c r="O2967" s="247"/>
      <c r="AC2967" s="247"/>
      <c r="AT2967" s="247"/>
    </row>
    <row r="2968">
      <c r="C2968" s="277"/>
      <c r="O2968" s="247"/>
      <c r="AC2968" s="247"/>
      <c r="AT2968" s="247"/>
    </row>
    <row r="2969">
      <c r="C2969" s="277"/>
      <c r="O2969" s="247"/>
      <c r="AC2969" s="247"/>
      <c r="AT2969" s="247"/>
    </row>
    <row r="2970">
      <c r="C2970" s="277"/>
      <c r="O2970" s="247"/>
      <c r="AC2970" s="247"/>
      <c r="AT2970" s="247"/>
    </row>
    <row r="2971">
      <c r="C2971" s="277"/>
      <c r="O2971" s="247"/>
      <c r="AC2971" s="247"/>
      <c r="AT2971" s="247"/>
    </row>
    <row r="2972">
      <c r="C2972" s="277"/>
      <c r="O2972" s="247"/>
      <c r="AC2972" s="247"/>
      <c r="AT2972" s="247"/>
    </row>
    <row r="2973">
      <c r="C2973" s="277"/>
      <c r="O2973" s="247"/>
      <c r="AC2973" s="247"/>
      <c r="AT2973" s="247"/>
    </row>
    <row r="2974">
      <c r="C2974" s="277"/>
      <c r="O2974" s="247"/>
      <c r="AC2974" s="247"/>
      <c r="AT2974" s="247"/>
    </row>
    <row r="2975">
      <c r="C2975" s="277"/>
      <c r="O2975" s="247"/>
      <c r="AC2975" s="247"/>
      <c r="AT2975" s="247"/>
    </row>
    <row r="2976">
      <c r="C2976" s="277"/>
      <c r="O2976" s="247"/>
      <c r="AC2976" s="247"/>
      <c r="AT2976" s="247"/>
    </row>
    <row r="2977">
      <c r="C2977" s="277"/>
      <c r="O2977" s="247"/>
      <c r="AC2977" s="247"/>
      <c r="AT2977" s="247"/>
    </row>
    <row r="2978">
      <c r="C2978" s="277"/>
      <c r="O2978" s="247"/>
      <c r="AC2978" s="247"/>
      <c r="AT2978" s="247"/>
    </row>
    <row r="2979">
      <c r="C2979" s="277"/>
      <c r="O2979" s="247"/>
      <c r="AC2979" s="247"/>
      <c r="AT2979" s="247"/>
    </row>
    <row r="2980">
      <c r="C2980" s="277"/>
      <c r="O2980" s="247"/>
      <c r="AC2980" s="247"/>
      <c r="AT2980" s="247"/>
    </row>
    <row r="2981">
      <c r="C2981" s="277"/>
      <c r="O2981" s="247"/>
      <c r="AC2981" s="247"/>
      <c r="AT2981" s="247"/>
    </row>
    <row r="2982">
      <c r="C2982" s="277"/>
      <c r="O2982" s="247"/>
      <c r="AC2982" s="247"/>
      <c r="AT2982" s="247"/>
    </row>
    <row r="2983">
      <c r="C2983" s="277"/>
      <c r="O2983" s="247"/>
      <c r="AC2983" s="247"/>
      <c r="AT2983" s="247"/>
    </row>
    <row r="2984">
      <c r="C2984" s="277"/>
      <c r="O2984" s="247"/>
      <c r="AC2984" s="247"/>
      <c r="AT2984" s="247"/>
    </row>
    <row r="2985">
      <c r="C2985" s="277"/>
      <c r="O2985" s="247"/>
      <c r="AC2985" s="247"/>
      <c r="AT2985" s="247"/>
    </row>
    <row r="2986">
      <c r="C2986" s="277"/>
      <c r="O2986" s="247"/>
      <c r="AC2986" s="247"/>
      <c r="AT2986" s="247"/>
    </row>
    <row r="2987">
      <c r="C2987" s="277"/>
      <c r="O2987" s="247"/>
      <c r="AC2987" s="247"/>
      <c r="AT2987" s="247"/>
    </row>
    <row r="2988">
      <c r="C2988" s="277"/>
      <c r="O2988" s="247"/>
      <c r="AC2988" s="247"/>
      <c r="AT2988" s="247"/>
    </row>
    <row r="2989">
      <c r="C2989" s="277"/>
      <c r="O2989" s="247"/>
      <c r="AC2989" s="247"/>
      <c r="AT2989" s="247"/>
    </row>
    <row r="2990">
      <c r="C2990" s="277"/>
      <c r="O2990" s="247"/>
      <c r="AC2990" s="247"/>
      <c r="AT2990" s="247"/>
    </row>
    <row r="2991">
      <c r="C2991" s="277"/>
      <c r="O2991" s="247"/>
      <c r="AC2991" s="247"/>
      <c r="AT2991" s="247"/>
    </row>
    <row r="2992">
      <c r="C2992" s="277"/>
      <c r="O2992" s="247"/>
      <c r="AC2992" s="247"/>
      <c r="AT2992" s="247"/>
    </row>
    <row r="2993">
      <c r="C2993" s="277"/>
      <c r="O2993" s="247"/>
      <c r="AC2993" s="247"/>
      <c r="AT2993" s="247"/>
    </row>
    <row r="2994">
      <c r="C2994" s="277"/>
      <c r="O2994" s="247"/>
      <c r="AC2994" s="247"/>
      <c r="AT2994" s="247"/>
    </row>
    <row r="2995">
      <c r="C2995" s="277"/>
      <c r="O2995" s="247"/>
      <c r="AC2995" s="247"/>
      <c r="AT2995" s="247"/>
    </row>
    <row r="2996">
      <c r="C2996" s="277"/>
      <c r="O2996" s="247"/>
      <c r="AC2996" s="247"/>
      <c r="AT2996" s="247"/>
    </row>
    <row r="2997">
      <c r="C2997" s="277"/>
      <c r="O2997" s="247"/>
      <c r="AC2997" s="247"/>
      <c r="AT2997" s="247"/>
    </row>
    <row r="2998">
      <c r="C2998" s="277"/>
      <c r="O2998" s="247"/>
      <c r="AC2998" s="247"/>
      <c r="AT2998" s="247"/>
    </row>
    <row r="2999">
      <c r="C2999" s="277"/>
      <c r="O2999" s="247"/>
      <c r="AC2999" s="247"/>
      <c r="AT2999" s="247"/>
    </row>
    <row r="3000">
      <c r="C3000" s="277"/>
      <c r="O3000" s="247"/>
      <c r="AC3000" s="247"/>
      <c r="AT3000" s="247"/>
    </row>
    <row r="3001">
      <c r="C3001" s="277"/>
      <c r="O3001" s="247"/>
      <c r="AC3001" s="247"/>
      <c r="AT3001" s="247"/>
    </row>
    <row r="3002">
      <c r="C3002" s="277"/>
      <c r="O3002" s="247"/>
      <c r="AC3002" s="247"/>
      <c r="AT3002" s="247"/>
    </row>
    <row r="3003">
      <c r="C3003" s="277"/>
      <c r="O3003" s="247"/>
      <c r="AC3003" s="247"/>
      <c r="AT3003" s="247"/>
    </row>
    <row r="3004">
      <c r="C3004" s="277"/>
      <c r="O3004" s="247"/>
      <c r="AC3004" s="247"/>
      <c r="AT3004" s="247"/>
    </row>
    <row r="3005">
      <c r="C3005" s="277"/>
      <c r="O3005" s="247"/>
      <c r="AC3005" s="247"/>
      <c r="AT3005" s="247"/>
    </row>
    <row r="3006">
      <c r="C3006" s="277"/>
      <c r="O3006" s="247"/>
      <c r="AC3006" s="247"/>
      <c r="AT3006" s="247"/>
    </row>
    <row r="3007">
      <c r="C3007" s="277"/>
      <c r="O3007" s="247"/>
      <c r="AC3007" s="247"/>
      <c r="AT3007" s="247"/>
    </row>
    <row r="3008">
      <c r="C3008" s="277"/>
      <c r="O3008" s="247"/>
      <c r="AC3008" s="247"/>
      <c r="AT3008" s="247"/>
    </row>
    <row r="3009">
      <c r="C3009" s="277"/>
      <c r="O3009" s="247"/>
      <c r="AC3009" s="247"/>
      <c r="AT3009" s="247"/>
    </row>
    <row r="3010">
      <c r="C3010" s="277"/>
      <c r="O3010" s="247"/>
      <c r="AC3010" s="247"/>
      <c r="AT3010" s="247"/>
    </row>
    <row r="3011">
      <c r="C3011" s="277"/>
      <c r="O3011" s="247"/>
      <c r="AC3011" s="247"/>
      <c r="AT3011" s="247"/>
    </row>
    <row r="3012">
      <c r="C3012" s="277"/>
      <c r="O3012" s="247"/>
      <c r="AC3012" s="247"/>
      <c r="AT3012" s="247"/>
    </row>
    <row r="3013">
      <c r="C3013" s="277"/>
      <c r="O3013" s="247"/>
      <c r="AC3013" s="247"/>
      <c r="AT3013" s="247"/>
    </row>
    <row r="3014">
      <c r="C3014" s="277"/>
      <c r="O3014" s="247"/>
      <c r="AC3014" s="247"/>
      <c r="AT3014" s="247"/>
    </row>
    <row r="3015">
      <c r="C3015" s="277"/>
      <c r="O3015" s="247"/>
      <c r="AC3015" s="247"/>
      <c r="AT3015" s="247"/>
    </row>
    <row r="3016">
      <c r="C3016" s="277"/>
      <c r="O3016" s="247"/>
      <c r="AC3016" s="247"/>
      <c r="AT3016" s="247"/>
    </row>
    <row r="3017">
      <c r="C3017" s="277"/>
      <c r="O3017" s="247"/>
      <c r="AC3017" s="247"/>
      <c r="AT3017" s="247"/>
    </row>
    <row r="3018">
      <c r="C3018" s="277"/>
      <c r="O3018" s="247"/>
      <c r="AC3018" s="247"/>
      <c r="AT3018" s="247"/>
    </row>
    <row r="3019">
      <c r="C3019" s="277"/>
      <c r="O3019" s="247"/>
      <c r="AC3019" s="247"/>
      <c r="AT3019" s="247"/>
    </row>
    <row r="3020">
      <c r="C3020" s="277"/>
      <c r="O3020" s="247"/>
      <c r="AC3020" s="247"/>
      <c r="AT3020" s="247"/>
    </row>
    <row r="3021">
      <c r="C3021" s="277"/>
      <c r="O3021" s="247"/>
      <c r="AC3021" s="247"/>
      <c r="AT3021" s="247"/>
    </row>
    <row r="3022">
      <c r="C3022" s="277"/>
      <c r="O3022" s="247"/>
      <c r="AC3022" s="247"/>
      <c r="AT3022" s="247"/>
    </row>
    <row r="3023">
      <c r="C3023" s="277"/>
      <c r="O3023" s="247"/>
      <c r="AC3023" s="247"/>
      <c r="AT3023" s="247"/>
    </row>
    <row r="3024">
      <c r="C3024" s="277"/>
      <c r="O3024" s="247"/>
      <c r="AC3024" s="247"/>
      <c r="AT3024" s="247"/>
    </row>
    <row r="3025">
      <c r="C3025" s="277"/>
      <c r="O3025" s="247"/>
      <c r="AC3025" s="247"/>
      <c r="AT3025" s="247"/>
    </row>
    <row r="3026">
      <c r="C3026" s="277"/>
      <c r="O3026" s="247"/>
      <c r="AC3026" s="247"/>
      <c r="AT3026" s="247"/>
    </row>
    <row r="3027">
      <c r="C3027" s="277"/>
      <c r="O3027" s="247"/>
      <c r="AC3027" s="247"/>
      <c r="AT3027" s="247"/>
    </row>
    <row r="3028">
      <c r="C3028" s="277"/>
      <c r="O3028" s="247"/>
      <c r="AC3028" s="247"/>
      <c r="AT3028" s="247"/>
    </row>
    <row r="3029">
      <c r="C3029" s="277"/>
      <c r="O3029" s="247"/>
      <c r="AC3029" s="247"/>
      <c r="AT3029" s="247"/>
    </row>
    <row r="3030">
      <c r="C3030" s="277"/>
      <c r="O3030" s="247"/>
      <c r="AC3030" s="247"/>
      <c r="AT3030" s="247"/>
    </row>
    <row r="3031">
      <c r="C3031" s="277"/>
      <c r="O3031" s="247"/>
      <c r="AC3031" s="247"/>
      <c r="AT3031" s="247"/>
    </row>
    <row r="3032">
      <c r="C3032" s="277"/>
      <c r="O3032" s="247"/>
      <c r="AC3032" s="247"/>
      <c r="AT3032" s="247"/>
    </row>
    <row r="3033">
      <c r="C3033" s="277"/>
      <c r="O3033" s="247"/>
      <c r="AC3033" s="247"/>
      <c r="AT3033" s="247"/>
    </row>
    <row r="3034">
      <c r="C3034" s="277"/>
      <c r="O3034" s="247"/>
      <c r="AC3034" s="247"/>
      <c r="AT3034" s="247"/>
    </row>
    <row r="3035">
      <c r="C3035" s="277"/>
      <c r="O3035" s="247"/>
      <c r="AC3035" s="247"/>
      <c r="AT3035" s="247"/>
    </row>
    <row r="3036">
      <c r="C3036" s="277"/>
      <c r="O3036" s="247"/>
      <c r="AC3036" s="247"/>
      <c r="AT3036" s="247"/>
    </row>
    <row r="3037">
      <c r="C3037" s="277"/>
      <c r="O3037" s="247"/>
      <c r="AC3037" s="247"/>
      <c r="AT3037" s="247"/>
    </row>
    <row r="3038">
      <c r="C3038" s="277"/>
      <c r="O3038" s="247"/>
      <c r="AC3038" s="247"/>
      <c r="AT3038" s="247"/>
    </row>
    <row r="3039">
      <c r="C3039" s="277"/>
      <c r="O3039" s="247"/>
      <c r="AC3039" s="247"/>
      <c r="AT3039" s="247"/>
    </row>
    <row r="3040">
      <c r="C3040" s="277"/>
      <c r="O3040" s="247"/>
      <c r="AC3040" s="247"/>
      <c r="AT3040" s="247"/>
    </row>
    <row r="3041">
      <c r="C3041" s="277"/>
      <c r="O3041" s="247"/>
      <c r="AC3041" s="247"/>
      <c r="AT3041" s="247"/>
    </row>
    <row r="3042">
      <c r="C3042" s="277"/>
      <c r="O3042" s="247"/>
      <c r="AC3042" s="247"/>
      <c r="AT3042" s="247"/>
    </row>
    <row r="3043">
      <c r="C3043" s="277"/>
      <c r="O3043" s="247"/>
      <c r="AC3043" s="247"/>
      <c r="AT3043" s="247"/>
    </row>
    <row r="3044">
      <c r="C3044" s="277"/>
      <c r="O3044" s="247"/>
      <c r="AC3044" s="247"/>
      <c r="AT3044" s="247"/>
    </row>
    <row r="3045">
      <c r="C3045" s="277"/>
      <c r="O3045" s="247"/>
      <c r="AC3045" s="247"/>
      <c r="AT3045" s="247"/>
    </row>
    <row r="3046">
      <c r="C3046" s="277"/>
      <c r="O3046" s="247"/>
      <c r="AC3046" s="247"/>
      <c r="AT3046" s="247"/>
    </row>
    <row r="3047">
      <c r="C3047" s="277"/>
      <c r="O3047" s="247"/>
      <c r="AC3047" s="247"/>
      <c r="AT3047" s="247"/>
    </row>
    <row r="3048">
      <c r="C3048" s="277"/>
      <c r="O3048" s="247"/>
      <c r="AC3048" s="247"/>
      <c r="AT3048" s="247"/>
    </row>
    <row r="3049">
      <c r="C3049" s="277"/>
      <c r="O3049" s="247"/>
      <c r="AC3049" s="247"/>
      <c r="AT3049" s="247"/>
    </row>
    <row r="3050">
      <c r="C3050" s="277"/>
      <c r="O3050" s="247"/>
      <c r="AC3050" s="247"/>
      <c r="AT3050" s="247"/>
    </row>
    <row r="3051">
      <c r="C3051" s="277"/>
      <c r="O3051" s="247"/>
      <c r="AC3051" s="247"/>
      <c r="AT3051" s="247"/>
    </row>
    <row r="3052">
      <c r="C3052" s="277"/>
      <c r="O3052" s="247"/>
      <c r="AC3052" s="247"/>
      <c r="AT3052" s="247"/>
    </row>
    <row r="3053">
      <c r="C3053" s="277"/>
      <c r="O3053" s="247"/>
      <c r="AC3053" s="247"/>
      <c r="AT3053" s="247"/>
    </row>
    <row r="3054">
      <c r="C3054" s="277"/>
      <c r="O3054" s="247"/>
      <c r="AC3054" s="247"/>
      <c r="AT3054" s="247"/>
    </row>
    <row r="3055">
      <c r="C3055" s="277"/>
      <c r="O3055" s="247"/>
      <c r="AC3055" s="247"/>
      <c r="AT3055" s="247"/>
    </row>
    <row r="3056">
      <c r="C3056" s="277"/>
      <c r="O3056" s="247"/>
      <c r="AC3056" s="247"/>
      <c r="AT3056" s="247"/>
    </row>
    <row r="3057">
      <c r="C3057" s="277"/>
      <c r="O3057" s="247"/>
      <c r="AC3057" s="247"/>
      <c r="AT3057" s="247"/>
    </row>
    <row r="3058">
      <c r="C3058" s="277"/>
      <c r="O3058" s="247"/>
      <c r="AC3058" s="247"/>
      <c r="AT3058" s="247"/>
    </row>
    <row r="3059">
      <c r="C3059" s="277"/>
      <c r="O3059" s="247"/>
      <c r="AC3059" s="247"/>
      <c r="AT3059" s="247"/>
    </row>
    <row r="3060">
      <c r="C3060" s="277"/>
      <c r="O3060" s="247"/>
      <c r="AC3060" s="247"/>
      <c r="AT3060" s="247"/>
    </row>
    <row r="3061">
      <c r="C3061" s="277"/>
      <c r="O3061" s="247"/>
      <c r="AC3061" s="247"/>
      <c r="AT3061" s="247"/>
    </row>
    <row r="3062">
      <c r="C3062" s="277"/>
      <c r="O3062" s="247"/>
      <c r="AC3062" s="247"/>
      <c r="AT3062" s="247"/>
    </row>
    <row r="3063">
      <c r="C3063" s="277"/>
      <c r="O3063" s="247"/>
      <c r="AC3063" s="247"/>
      <c r="AT3063" s="247"/>
    </row>
    <row r="3064">
      <c r="C3064" s="277"/>
      <c r="O3064" s="247"/>
      <c r="AC3064" s="247"/>
      <c r="AT3064" s="247"/>
    </row>
    <row r="3065">
      <c r="C3065" s="277"/>
      <c r="O3065" s="247"/>
      <c r="AC3065" s="247"/>
      <c r="AT3065" s="247"/>
    </row>
    <row r="3066">
      <c r="C3066" s="277"/>
      <c r="O3066" s="247"/>
      <c r="AC3066" s="247"/>
      <c r="AT3066" s="247"/>
    </row>
    <row r="3067">
      <c r="C3067" s="277"/>
      <c r="O3067" s="247"/>
      <c r="AC3067" s="247"/>
      <c r="AT3067" s="247"/>
    </row>
    <row r="3068">
      <c r="C3068" s="277"/>
      <c r="O3068" s="247"/>
      <c r="AC3068" s="247"/>
      <c r="AT3068" s="247"/>
    </row>
    <row r="3069">
      <c r="C3069" s="277"/>
      <c r="O3069" s="247"/>
      <c r="AC3069" s="247"/>
      <c r="AT3069" s="247"/>
    </row>
    <row r="3070">
      <c r="C3070" s="277"/>
      <c r="O3070" s="247"/>
      <c r="AC3070" s="247"/>
      <c r="AT3070" s="247"/>
    </row>
    <row r="3071">
      <c r="C3071" s="277"/>
      <c r="O3071" s="247"/>
      <c r="AC3071" s="247"/>
      <c r="AT3071" s="247"/>
    </row>
    <row r="3072">
      <c r="C3072" s="277"/>
      <c r="O3072" s="247"/>
      <c r="AC3072" s="247"/>
      <c r="AT3072" s="247"/>
    </row>
    <row r="3073">
      <c r="C3073" s="277"/>
      <c r="O3073" s="247"/>
      <c r="AC3073" s="247"/>
      <c r="AT3073" s="247"/>
    </row>
    <row r="3074">
      <c r="C3074" s="277"/>
      <c r="O3074" s="247"/>
      <c r="AC3074" s="247"/>
      <c r="AT3074" s="247"/>
    </row>
    <row r="3075">
      <c r="C3075" s="277"/>
      <c r="O3075" s="247"/>
      <c r="AC3075" s="247"/>
      <c r="AT3075" s="247"/>
    </row>
    <row r="3076">
      <c r="C3076" s="277"/>
      <c r="O3076" s="247"/>
      <c r="AC3076" s="247"/>
      <c r="AT3076" s="247"/>
    </row>
    <row r="3077">
      <c r="C3077" s="277"/>
      <c r="O3077" s="247"/>
      <c r="AC3077" s="247"/>
      <c r="AT3077" s="247"/>
    </row>
    <row r="3078">
      <c r="C3078" s="277"/>
      <c r="O3078" s="247"/>
      <c r="AC3078" s="247"/>
      <c r="AT3078" s="247"/>
    </row>
    <row r="3079">
      <c r="C3079" s="277"/>
      <c r="O3079" s="247"/>
      <c r="AC3079" s="247"/>
      <c r="AT3079" s="247"/>
    </row>
    <row r="3080">
      <c r="C3080" s="277"/>
      <c r="O3080" s="247"/>
      <c r="AC3080" s="247"/>
      <c r="AT3080" s="247"/>
    </row>
    <row r="3081">
      <c r="C3081" s="277"/>
      <c r="O3081" s="247"/>
      <c r="AC3081" s="247"/>
      <c r="AT3081" s="247"/>
    </row>
    <row r="3082">
      <c r="C3082" s="277"/>
      <c r="O3082" s="247"/>
      <c r="AC3082" s="247"/>
      <c r="AT3082" s="247"/>
    </row>
    <row r="3083">
      <c r="C3083" s="277"/>
      <c r="O3083" s="247"/>
      <c r="AC3083" s="247"/>
      <c r="AT3083" s="247"/>
    </row>
    <row r="3084">
      <c r="C3084" s="277"/>
      <c r="O3084" s="247"/>
      <c r="AC3084" s="247"/>
      <c r="AT3084" s="247"/>
    </row>
    <row r="3085">
      <c r="C3085" s="277"/>
      <c r="O3085" s="247"/>
      <c r="AC3085" s="247"/>
      <c r="AT3085" s="247"/>
    </row>
    <row r="3086">
      <c r="C3086" s="277"/>
      <c r="O3086" s="247"/>
      <c r="AC3086" s="247"/>
      <c r="AT3086" s="247"/>
    </row>
    <row r="3087">
      <c r="C3087" s="277"/>
      <c r="O3087" s="247"/>
      <c r="AC3087" s="247"/>
      <c r="AT3087" s="247"/>
    </row>
    <row r="3088">
      <c r="C3088" s="277"/>
      <c r="O3088" s="247"/>
      <c r="AC3088" s="247"/>
      <c r="AT3088" s="247"/>
    </row>
    <row r="3089">
      <c r="C3089" s="277"/>
      <c r="O3089" s="247"/>
      <c r="AC3089" s="247"/>
      <c r="AT3089" s="247"/>
    </row>
    <row r="3090">
      <c r="C3090" s="277"/>
      <c r="O3090" s="247"/>
      <c r="AC3090" s="247"/>
      <c r="AT3090" s="247"/>
    </row>
    <row r="3091">
      <c r="C3091" s="277"/>
      <c r="O3091" s="247"/>
      <c r="AC3091" s="247"/>
      <c r="AT3091" s="247"/>
    </row>
    <row r="3092">
      <c r="C3092" s="277"/>
      <c r="O3092" s="247"/>
      <c r="AC3092" s="247"/>
      <c r="AT3092" s="247"/>
    </row>
    <row r="3093">
      <c r="C3093" s="277"/>
      <c r="O3093" s="247"/>
      <c r="AC3093" s="247"/>
      <c r="AT3093" s="247"/>
    </row>
    <row r="3094">
      <c r="C3094" s="277"/>
      <c r="O3094" s="247"/>
      <c r="AC3094" s="247"/>
      <c r="AT3094" s="247"/>
    </row>
    <row r="3095">
      <c r="C3095" s="277"/>
      <c r="O3095" s="247"/>
      <c r="AC3095" s="247"/>
      <c r="AT3095" s="247"/>
    </row>
    <row r="3096">
      <c r="C3096" s="277"/>
      <c r="O3096" s="247"/>
      <c r="AC3096" s="247"/>
      <c r="AT3096" s="247"/>
    </row>
    <row r="3097">
      <c r="C3097" s="277"/>
      <c r="O3097" s="247"/>
      <c r="AC3097" s="247"/>
      <c r="AT3097" s="247"/>
    </row>
    <row r="3098">
      <c r="C3098" s="277"/>
      <c r="O3098" s="247"/>
      <c r="AC3098" s="247"/>
      <c r="AT3098" s="247"/>
    </row>
    <row r="3099">
      <c r="C3099" s="277"/>
      <c r="O3099" s="247"/>
      <c r="AC3099" s="247"/>
      <c r="AT3099" s="247"/>
    </row>
    <row r="3100">
      <c r="C3100" s="277"/>
      <c r="O3100" s="247"/>
      <c r="AC3100" s="247"/>
      <c r="AT3100" s="247"/>
    </row>
    <row r="3101">
      <c r="C3101" s="277"/>
      <c r="O3101" s="247"/>
      <c r="AC3101" s="247"/>
      <c r="AT3101" s="247"/>
    </row>
    <row r="3102">
      <c r="C3102" s="277"/>
      <c r="O3102" s="247"/>
      <c r="AC3102" s="247"/>
      <c r="AT3102" s="247"/>
    </row>
    <row r="3103">
      <c r="C3103" s="277"/>
      <c r="O3103" s="247"/>
      <c r="AC3103" s="247"/>
      <c r="AT3103" s="247"/>
    </row>
    <row r="3104">
      <c r="C3104" s="277"/>
      <c r="O3104" s="247"/>
      <c r="AC3104" s="247"/>
      <c r="AT3104" s="247"/>
    </row>
    <row r="3105">
      <c r="C3105" s="277"/>
      <c r="O3105" s="247"/>
      <c r="AC3105" s="247"/>
      <c r="AT3105" s="247"/>
    </row>
    <row r="3106">
      <c r="C3106" s="277"/>
      <c r="O3106" s="247"/>
      <c r="AC3106" s="247"/>
      <c r="AT3106" s="247"/>
    </row>
    <row r="3107">
      <c r="C3107" s="277"/>
      <c r="O3107" s="247"/>
      <c r="AC3107" s="247"/>
      <c r="AT3107" s="247"/>
    </row>
    <row r="3108">
      <c r="C3108" s="277"/>
      <c r="O3108" s="247"/>
      <c r="AC3108" s="247"/>
      <c r="AT3108" s="247"/>
    </row>
    <row r="3109">
      <c r="C3109" s="277"/>
      <c r="O3109" s="247"/>
      <c r="AC3109" s="247"/>
      <c r="AT3109" s="247"/>
    </row>
    <row r="3110">
      <c r="C3110" s="277"/>
      <c r="O3110" s="247"/>
      <c r="AC3110" s="247"/>
      <c r="AT3110" s="247"/>
    </row>
    <row r="3111">
      <c r="C3111" s="277"/>
      <c r="O3111" s="247"/>
      <c r="AC3111" s="247"/>
      <c r="AT3111" s="247"/>
    </row>
    <row r="3112">
      <c r="C3112" s="277"/>
      <c r="O3112" s="247"/>
      <c r="AC3112" s="247"/>
      <c r="AT3112" s="247"/>
    </row>
    <row r="3113">
      <c r="C3113" s="277"/>
      <c r="O3113" s="247"/>
      <c r="AC3113" s="247"/>
      <c r="AT3113" s="247"/>
    </row>
    <row r="3114">
      <c r="C3114" s="277"/>
      <c r="O3114" s="247"/>
      <c r="AC3114" s="247"/>
      <c r="AT3114" s="247"/>
    </row>
    <row r="3115">
      <c r="C3115" s="277"/>
      <c r="O3115" s="247"/>
      <c r="AC3115" s="247"/>
      <c r="AT3115" s="247"/>
    </row>
    <row r="3116">
      <c r="C3116" s="277"/>
      <c r="O3116" s="247"/>
      <c r="AC3116" s="247"/>
      <c r="AT3116" s="247"/>
    </row>
    <row r="3117">
      <c r="C3117" s="277"/>
      <c r="O3117" s="247"/>
      <c r="AC3117" s="247"/>
      <c r="AT3117" s="247"/>
    </row>
    <row r="3118">
      <c r="C3118" s="277"/>
      <c r="O3118" s="247"/>
      <c r="AC3118" s="247"/>
      <c r="AT3118" s="247"/>
    </row>
    <row r="3119">
      <c r="C3119" s="277"/>
      <c r="O3119" s="247"/>
      <c r="AC3119" s="247"/>
      <c r="AT3119" s="247"/>
    </row>
    <row r="3120">
      <c r="C3120" s="277"/>
      <c r="O3120" s="247"/>
      <c r="AC3120" s="247"/>
      <c r="AT3120" s="247"/>
    </row>
    <row r="3121">
      <c r="C3121" s="277"/>
      <c r="O3121" s="247"/>
      <c r="AC3121" s="247"/>
      <c r="AT3121" s="247"/>
    </row>
    <row r="3122">
      <c r="C3122" s="277"/>
      <c r="O3122" s="247"/>
      <c r="AC3122" s="247"/>
      <c r="AT3122" s="247"/>
    </row>
    <row r="3123">
      <c r="C3123" s="277"/>
      <c r="O3123" s="247"/>
      <c r="AC3123" s="247"/>
      <c r="AT3123" s="247"/>
    </row>
    <row r="3124">
      <c r="C3124" s="277"/>
      <c r="O3124" s="247"/>
      <c r="AC3124" s="247"/>
      <c r="AT3124" s="247"/>
    </row>
    <row r="3125">
      <c r="C3125" s="277"/>
      <c r="O3125" s="247"/>
      <c r="AC3125" s="247"/>
      <c r="AT3125" s="247"/>
    </row>
    <row r="3126">
      <c r="C3126" s="277"/>
      <c r="O3126" s="247"/>
      <c r="AC3126" s="247"/>
      <c r="AT3126" s="247"/>
    </row>
    <row r="3127">
      <c r="C3127" s="277"/>
      <c r="O3127" s="247"/>
      <c r="AC3127" s="247"/>
      <c r="AT3127" s="247"/>
    </row>
    <row r="3128">
      <c r="C3128" s="277"/>
      <c r="O3128" s="247"/>
      <c r="AC3128" s="247"/>
      <c r="AT3128" s="247"/>
    </row>
    <row r="3129">
      <c r="C3129" s="277"/>
      <c r="O3129" s="247"/>
      <c r="AC3129" s="247"/>
      <c r="AT3129" s="247"/>
    </row>
    <row r="3130">
      <c r="C3130" s="277"/>
      <c r="O3130" s="247"/>
      <c r="AC3130" s="247"/>
      <c r="AT3130" s="247"/>
    </row>
    <row r="3131">
      <c r="C3131" s="277"/>
      <c r="O3131" s="247"/>
      <c r="AC3131" s="247"/>
      <c r="AT3131" s="247"/>
    </row>
    <row r="3132">
      <c r="C3132" s="277"/>
      <c r="O3132" s="247"/>
      <c r="AC3132" s="247"/>
      <c r="AT3132" s="247"/>
    </row>
    <row r="3133">
      <c r="C3133" s="277"/>
      <c r="O3133" s="247"/>
      <c r="AC3133" s="247"/>
      <c r="AT3133" s="247"/>
    </row>
    <row r="3134">
      <c r="C3134" s="277"/>
      <c r="O3134" s="247"/>
      <c r="AC3134" s="247"/>
      <c r="AT3134" s="247"/>
    </row>
    <row r="3135">
      <c r="C3135" s="277"/>
      <c r="O3135" s="247"/>
      <c r="AC3135" s="247"/>
      <c r="AT3135" s="247"/>
    </row>
    <row r="3136">
      <c r="C3136" s="277"/>
      <c r="O3136" s="247"/>
      <c r="AC3136" s="247"/>
      <c r="AT3136" s="247"/>
    </row>
    <row r="3137">
      <c r="C3137" s="277"/>
      <c r="O3137" s="247"/>
      <c r="AC3137" s="247"/>
      <c r="AT3137" s="247"/>
    </row>
    <row r="3138">
      <c r="C3138" s="277"/>
      <c r="O3138" s="247"/>
      <c r="AC3138" s="247"/>
      <c r="AT3138" s="247"/>
    </row>
    <row r="3139">
      <c r="C3139" s="277"/>
      <c r="O3139" s="247"/>
      <c r="AC3139" s="247"/>
      <c r="AT3139" s="247"/>
    </row>
    <row r="3140">
      <c r="C3140" s="277"/>
      <c r="O3140" s="247"/>
      <c r="AC3140" s="247"/>
      <c r="AT3140" s="247"/>
    </row>
    <row r="3141">
      <c r="C3141" s="277"/>
      <c r="O3141" s="247"/>
      <c r="AC3141" s="247"/>
      <c r="AT3141" s="247"/>
    </row>
    <row r="3142">
      <c r="C3142" s="277"/>
      <c r="O3142" s="247"/>
      <c r="AC3142" s="247"/>
      <c r="AT3142" s="247"/>
    </row>
    <row r="3143">
      <c r="C3143" s="277"/>
      <c r="O3143" s="247"/>
      <c r="AC3143" s="247"/>
      <c r="AT3143" s="247"/>
    </row>
    <row r="3144">
      <c r="C3144" s="277"/>
      <c r="O3144" s="247"/>
      <c r="AC3144" s="247"/>
      <c r="AT3144" s="247"/>
    </row>
    <row r="3145">
      <c r="C3145" s="277"/>
      <c r="O3145" s="247"/>
      <c r="AC3145" s="247"/>
      <c r="AT3145" s="247"/>
    </row>
    <row r="3146">
      <c r="C3146" s="277"/>
      <c r="O3146" s="247"/>
      <c r="AC3146" s="247"/>
      <c r="AT3146" s="247"/>
    </row>
    <row r="3147">
      <c r="C3147" s="277"/>
      <c r="O3147" s="247"/>
      <c r="AC3147" s="247"/>
      <c r="AT3147" s="247"/>
    </row>
    <row r="3148">
      <c r="C3148" s="277"/>
      <c r="O3148" s="247"/>
      <c r="AC3148" s="247"/>
      <c r="AT3148" s="247"/>
    </row>
    <row r="3149">
      <c r="C3149" s="277"/>
      <c r="O3149" s="247"/>
      <c r="AC3149" s="247"/>
      <c r="AT3149" s="247"/>
    </row>
    <row r="3150">
      <c r="C3150" s="277"/>
      <c r="O3150" s="247"/>
      <c r="AC3150" s="247"/>
      <c r="AT3150" s="247"/>
    </row>
    <row r="3151">
      <c r="C3151" s="277"/>
      <c r="O3151" s="247"/>
      <c r="AC3151" s="247"/>
      <c r="AT3151" s="247"/>
    </row>
    <row r="3152">
      <c r="C3152" s="277"/>
      <c r="O3152" s="247"/>
      <c r="AC3152" s="247"/>
      <c r="AT3152" s="247"/>
    </row>
    <row r="3153">
      <c r="C3153" s="277"/>
      <c r="O3153" s="247"/>
      <c r="AC3153" s="247"/>
      <c r="AT3153" s="247"/>
    </row>
    <row r="3154">
      <c r="C3154" s="277"/>
      <c r="O3154" s="247"/>
      <c r="AC3154" s="247"/>
      <c r="AT3154" s="247"/>
    </row>
    <row r="3155">
      <c r="C3155" s="277"/>
      <c r="O3155" s="247"/>
      <c r="AC3155" s="247"/>
      <c r="AT3155" s="247"/>
    </row>
    <row r="3156">
      <c r="C3156" s="277"/>
      <c r="O3156" s="247"/>
      <c r="AC3156" s="247"/>
      <c r="AT3156" s="247"/>
    </row>
    <row r="3157">
      <c r="C3157" s="277"/>
      <c r="O3157" s="247"/>
      <c r="AC3157" s="247"/>
      <c r="AT3157" s="247"/>
    </row>
    <row r="3158">
      <c r="C3158" s="277"/>
      <c r="O3158" s="247"/>
      <c r="AC3158" s="247"/>
      <c r="AT3158" s="247"/>
    </row>
    <row r="3159">
      <c r="C3159" s="277"/>
      <c r="O3159" s="247"/>
      <c r="AC3159" s="247"/>
      <c r="AT3159" s="247"/>
    </row>
    <row r="3160">
      <c r="C3160" s="277"/>
      <c r="O3160" s="247"/>
      <c r="AC3160" s="247"/>
      <c r="AT3160" s="247"/>
    </row>
    <row r="3161">
      <c r="C3161" s="277"/>
      <c r="O3161" s="247"/>
      <c r="AC3161" s="247"/>
      <c r="AT3161" s="247"/>
    </row>
    <row r="3162">
      <c r="C3162" s="277"/>
      <c r="O3162" s="247"/>
      <c r="AC3162" s="247"/>
      <c r="AT3162" s="247"/>
    </row>
    <row r="3163">
      <c r="C3163" s="277"/>
      <c r="O3163" s="247"/>
      <c r="AC3163" s="247"/>
      <c r="AT3163" s="247"/>
    </row>
    <row r="3164">
      <c r="C3164" s="277"/>
      <c r="O3164" s="247"/>
      <c r="AC3164" s="247"/>
      <c r="AT3164" s="247"/>
    </row>
    <row r="3165">
      <c r="C3165" s="277"/>
      <c r="O3165" s="247"/>
      <c r="AC3165" s="247"/>
      <c r="AT3165" s="247"/>
    </row>
    <row r="3166">
      <c r="C3166" s="277"/>
      <c r="O3166" s="247"/>
      <c r="AC3166" s="247"/>
      <c r="AT3166" s="247"/>
    </row>
    <row r="3167">
      <c r="C3167" s="277"/>
      <c r="O3167" s="247"/>
      <c r="AC3167" s="247"/>
      <c r="AT3167" s="247"/>
    </row>
    <row r="3168">
      <c r="C3168" s="277"/>
      <c r="O3168" s="247"/>
      <c r="AC3168" s="247"/>
      <c r="AT3168" s="247"/>
    </row>
    <row r="3169">
      <c r="C3169" s="277"/>
      <c r="O3169" s="247"/>
      <c r="AC3169" s="247"/>
      <c r="AT3169" s="247"/>
    </row>
    <row r="3170">
      <c r="C3170" s="277"/>
      <c r="O3170" s="247"/>
      <c r="AC3170" s="247"/>
      <c r="AT3170" s="247"/>
    </row>
    <row r="3171">
      <c r="C3171" s="277"/>
      <c r="O3171" s="247"/>
      <c r="AC3171" s="247"/>
      <c r="AT3171" s="247"/>
    </row>
    <row r="3172">
      <c r="C3172" s="277"/>
      <c r="O3172" s="247"/>
      <c r="AC3172" s="247"/>
      <c r="AT3172" s="247"/>
    </row>
    <row r="3173">
      <c r="C3173" s="277"/>
      <c r="O3173" s="247"/>
      <c r="AC3173" s="247"/>
      <c r="AT3173" s="247"/>
    </row>
    <row r="3174">
      <c r="C3174" s="277"/>
      <c r="O3174" s="247"/>
      <c r="AC3174" s="247"/>
      <c r="AT3174" s="247"/>
    </row>
    <row r="3175">
      <c r="C3175" s="277"/>
      <c r="O3175" s="247"/>
      <c r="AC3175" s="247"/>
      <c r="AT3175" s="247"/>
    </row>
    <row r="3176">
      <c r="C3176" s="277"/>
      <c r="O3176" s="247"/>
      <c r="AC3176" s="247"/>
      <c r="AT3176" s="247"/>
    </row>
    <row r="3177">
      <c r="C3177" s="277"/>
      <c r="O3177" s="247"/>
      <c r="AC3177" s="247"/>
      <c r="AT3177" s="247"/>
    </row>
    <row r="3178">
      <c r="C3178" s="277"/>
      <c r="O3178" s="247"/>
      <c r="AC3178" s="247"/>
      <c r="AT3178" s="247"/>
    </row>
    <row r="3179">
      <c r="C3179" s="277"/>
      <c r="O3179" s="247"/>
      <c r="AC3179" s="247"/>
      <c r="AT3179" s="247"/>
    </row>
    <row r="3180">
      <c r="C3180" s="277"/>
      <c r="O3180" s="247"/>
      <c r="AC3180" s="247"/>
      <c r="AT3180" s="247"/>
    </row>
    <row r="3181">
      <c r="C3181" s="277"/>
      <c r="O3181" s="247"/>
      <c r="AC3181" s="247"/>
      <c r="AT3181" s="247"/>
    </row>
    <row r="3182">
      <c r="C3182" s="277"/>
      <c r="O3182" s="247"/>
      <c r="AC3182" s="247"/>
      <c r="AT3182" s="247"/>
    </row>
    <row r="3183">
      <c r="C3183" s="277"/>
      <c r="O3183" s="247"/>
      <c r="AC3183" s="247"/>
      <c r="AT3183" s="247"/>
    </row>
    <row r="3184">
      <c r="C3184" s="277"/>
      <c r="O3184" s="247"/>
      <c r="AC3184" s="247"/>
      <c r="AT3184" s="247"/>
    </row>
    <row r="3185">
      <c r="C3185" s="277"/>
      <c r="O3185" s="247"/>
      <c r="AC3185" s="247"/>
      <c r="AT3185" s="247"/>
    </row>
    <row r="3186">
      <c r="C3186" s="277"/>
      <c r="O3186" s="247"/>
      <c r="AC3186" s="247"/>
      <c r="AT3186" s="247"/>
    </row>
    <row r="3187">
      <c r="C3187" s="277"/>
      <c r="O3187" s="247"/>
      <c r="AC3187" s="247"/>
      <c r="AT3187" s="247"/>
    </row>
    <row r="3188">
      <c r="C3188" s="277"/>
      <c r="O3188" s="247"/>
      <c r="AC3188" s="247"/>
      <c r="AT3188" s="247"/>
    </row>
    <row r="3189">
      <c r="C3189" s="277"/>
      <c r="O3189" s="247"/>
      <c r="AC3189" s="247"/>
      <c r="AT3189" s="247"/>
    </row>
    <row r="3190">
      <c r="C3190" s="277"/>
      <c r="O3190" s="247"/>
      <c r="AC3190" s="247"/>
      <c r="AT3190" s="247"/>
    </row>
    <row r="3191">
      <c r="C3191" s="277"/>
      <c r="O3191" s="247"/>
      <c r="AC3191" s="247"/>
      <c r="AT3191" s="247"/>
    </row>
    <row r="3192">
      <c r="C3192" s="277"/>
      <c r="O3192" s="247"/>
      <c r="AC3192" s="247"/>
      <c r="AT3192" s="247"/>
    </row>
    <row r="3193">
      <c r="C3193" s="277"/>
      <c r="O3193" s="247"/>
      <c r="AC3193" s="247"/>
      <c r="AT3193" s="247"/>
    </row>
    <row r="3194">
      <c r="C3194" s="277"/>
      <c r="O3194" s="247"/>
      <c r="AC3194" s="247"/>
      <c r="AT3194" s="247"/>
    </row>
    <row r="3195">
      <c r="C3195" s="277"/>
      <c r="O3195" s="247"/>
      <c r="AC3195" s="247"/>
      <c r="AT3195" s="247"/>
    </row>
    <row r="3196">
      <c r="C3196" s="277"/>
      <c r="O3196" s="247"/>
      <c r="AC3196" s="247"/>
      <c r="AT3196" s="247"/>
    </row>
    <row r="3197">
      <c r="C3197" s="277"/>
      <c r="O3197" s="247"/>
      <c r="AC3197" s="247"/>
      <c r="AT3197" s="247"/>
    </row>
    <row r="3198">
      <c r="C3198" s="277"/>
      <c r="O3198" s="247"/>
      <c r="AC3198" s="247"/>
      <c r="AT3198" s="247"/>
    </row>
    <row r="3199">
      <c r="C3199" s="277"/>
      <c r="O3199" s="247"/>
      <c r="AC3199" s="247"/>
      <c r="AT3199" s="247"/>
    </row>
    <row r="3200">
      <c r="C3200" s="277"/>
      <c r="O3200" s="247"/>
      <c r="AC3200" s="247"/>
      <c r="AT3200" s="247"/>
    </row>
    <row r="3201">
      <c r="C3201" s="277"/>
      <c r="O3201" s="247"/>
      <c r="AC3201" s="247"/>
      <c r="AT3201" s="247"/>
    </row>
    <row r="3202">
      <c r="C3202" s="277"/>
      <c r="O3202" s="247"/>
      <c r="AC3202" s="247"/>
      <c r="AT3202" s="247"/>
    </row>
    <row r="3203">
      <c r="C3203" s="277"/>
      <c r="O3203" s="247"/>
      <c r="AC3203" s="247"/>
      <c r="AT3203" s="247"/>
    </row>
    <row r="3204">
      <c r="C3204" s="277"/>
      <c r="O3204" s="247"/>
      <c r="AC3204" s="247"/>
      <c r="AT3204" s="247"/>
    </row>
    <row r="3205">
      <c r="C3205" s="277"/>
      <c r="O3205" s="247"/>
      <c r="AC3205" s="247"/>
      <c r="AT3205" s="247"/>
    </row>
    <row r="3206">
      <c r="C3206" s="277"/>
      <c r="O3206" s="247"/>
      <c r="AC3206" s="247"/>
      <c r="AT3206" s="247"/>
    </row>
    <row r="3207">
      <c r="C3207" s="277"/>
      <c r="O3207" s="247"/>
      <c r="AC3207" s="247"/>
      <c r="AT3207" s="247"/>
    </row>
    <row r="3208">
      <c r="C3208" s="277"/>
      <c r="O3208" s="247"/>
      <c r="AC3208" s="247"/>
      <c r="AT3208" s="247"/>
    </row>
    <row r="3209">
      <c r="C3209" s="277"/>
      <c r="O3209" s="247"/>
      <c r="AC3209" s="247"/>
      <c r="AT3209" s="247"/>
    </row>
    <row r="3210">
      <c r="C3210" s="277"/>
      <c r="O3210" s="247"/>
      <c r="AC3210" s="247"/>
      <c r="AT3210" s="247"/>
    </row>
    <row r="3211">
      <c r="C3211" s="277"/>
      <c r="O3211" s="247"/>
      <c r="AC3211" s="247"/>
      <c r="AT3211" s="247"/>
    </row>
    <row r="3212">
      <c r="C3212" s="277"/>
      <c r="O3212" s="247"/>
      <c r="AC3212" s="247"/>
      <c r="AT3212" s="247"/>
    </row>
    <row r="3213">
      <c r="C3213" s="277"/>
      <c r="O3213" s="247"/>
      <c r="AC3213" s="247"/>
      <c r="AT3213" s="247"/>
    </row>
    <row r="3214">
      <c r="C3214" s="278"/>
      <c r="O3214" s="247"/>
      <c r="AC3214" s="247"/>
      <c r="AT3214" s="247"/>
    </row>
    <row r="3215">
      <c r="C3215" s="278"/>
      <c r="O3215" s="247"/>
      <c r="AC3215" s="247"/>
      <c r="AT3215" s="247"/>
    </row>
    <row r="3216">
      <c r="C3216" s="278"/>
      <c r="O3216" s="247"/>
      <c r="AC3216" s="247"/>
      <c r="AT3216" s="247"/>
    </row>
    <row r="3217">
      <c r="C3217" s="278"/>
      <c r="O3217" s="247"/>
      <c r="AC3217" s="247"/>
      <c r="AT3217" s="247"/>
    </row>
    <row r="3218">
      <c r="C3218" s="278"/>
      <c r="O3218" s="247"/>
      <c r="AC3218" s="247"/>
      <c r="AT3218" s="247"/>
    </row>
    <row r="3219">
      <c r="C3219" s="278"/>
      <c r="O3219" s="247"/>
      <c r="AC3219" s="247"/>
      <c r="AT3219" s="247"/>
    </row>
    <row r="3220">
      <c r="C3220" s="278"/>
      <c r="O3220" s="247"/>
      <c r="AC3220" s="247"/>
      <c r="AT3220" s="247"/>
    </row>
    <row r="3221">
      <c r="C3221" s="278"/>
      <c r="O3221" s="247"/>
      <c r="AC3221" s="247"/>
      <c r="AT3221" s="247"/>
    </row>
    <row r="3222">
      <c r="C3222" s="278"/>
      <c r="O3222" s="247"/>
      <c r="AC3222" s="247"/>
      <c r="AT3222" s="247"/>
    </row>
    <row r="3223">
      <c r="C3223" s="278"/>
      <c r="O3223" s="247"/>
      <c r="AC3223" s="247"/>
      <c r="AT3223" s="247"/>
    </row>
    <row r="3224">
      <c r="C3224" s="278"/>
      <c r="O3224" s="247"/>
      <c r="AC3224" s="247"/>
      <c r="AT3224" s="247"/>
    </row>
    <row r="3225">
      <c r="C3225" s="278"/>
      <c r="O3225" s="247"/>
      <c r="AC3225" s="247"/>
      <c r="AT3225" s="247"/>
    </row>
    <row r="3226">
      <c r="C3226" s="278"/>
      <c r="O3226" s="247"/>
      <c r="AC3226" s="247"/>
      <c r="AT3226" s="247"/>
    </row>
    <row r="3227">
      <c r="C3227" s="278"/>
      <c r="O3227" s="247"/>
      <c r="AC3227" s="247"/>
      <c r="AT3227" s="247"/>
    </row>
    <row r="3228">
      <c r="C3228" s="277"/>
      <c r="O3228" s="247"/>
      <c r="AC3228" s="247"/>
      <c r="AT3228" s="247"/>
    </row>
    <row r="3229">
      <c r="C3229" s="277"/>
      <c r="O3229" s="247"/>
      <c r="AC3229" s="247"/>
      <c r="AT3229" s="247"/>
    </row>
    <row r="3230">
      <c r="C3230" s="277"/>
      <c r="O3230" s="247"/>
      <c r="AC3230" s="247"/>
      <c r="AT3230" s="247"/>
    </row>
    <row r="3231">
      <c r="C3231" s="277"/>
      <c r="O3231" s="247"/>
      <c r="AC3231" s="247"/>
      <c r="AT3231" s="247"/>
    </row>
    <row r="3232">
      <c r="C3232" s="277"/>
      <c r="O3232" s="247"/>
      <c r="AC3232" s="247"/>
      <c r="AT3232" s="247"/>
    </row>
    <row r="3233">
      <c r="C3233" s="277"/>
      <c r="O3233" s="247"/>
      <c r="AC3233" s="247"/>
      <c r="AT3233" s="247"/>
    </row>
    <row r="3234">
      <c r="C3234" s="278"/>
      <c r="O3234" s="247"/>
      <c r="AC3234" s="247"/>
      <c r="AT3234" s="247"/>
    </row>
    <row r="3235">
      <c r="C3235" s="278"/>
      <c r="O3235" s="247"/>
      <c r="AC3235" s="247"/>
      <c r="AT3235" s="247"/>
    </row>
    <row r="3236">
      <c r="C3236" s="278"/>
      <c r="O3236" s="247"/>
      <c r="AC3236" s="247"/>
      <c r="AT3236" s="247"/>
    </row>
    <row r="3237">
      <c r="C3237" s="278"/>
      <c r="O3237" s="247"/>
      <c r="AC3237" s="247"/>
      <c r="AT3237" s="247"/>
    </row>
    <row r="3238">
      <c r="C3238" s="278"/>
      <c r="O3238" s="247"/>
      <c r="AC3238" s="247"/>
      <c r="AT3238" s="247"/>
    </row>
    <row r="3239">
      <c r="C3239" s="278"/>
      <c r="O3239" s="247"/>
      <c r="AC3239" s="247"/>
      <c r="AT3239" s="247"/>
    </row>
    <row r="3240">
      <c r="C3240" s="278"/>
      <c r="O3240" s="247"/>
      <c r="AC3240" s="247"/>
      <c r="AT3240" s="247"/>
    </row>
    <row r="3241">
      <c r="C3241" s="278"/>
      <c r="O3241" s="247"/>
      <c r="AC3241" s="247"/>
      <c r="AT3241" s="247"/>
    </row>
    <row r="3242">
      <c r="C3242" s="278"/>
      <c r="O3242" s="247"/>
      <c r="AC3242" s="247"/>
      <c r="AT3242" s="247"/>
    </row>
    <row r="3243">
      <c r="C3243" s="278"/>
      <c r="O3243" s="247"/>
      <c r="AC3243" s="247"/>
      <c r="AT3243" s="247"/>
    </row>
    <row r="3244">
      <c r="C3244" s="278"/>
      <c r="O3244" s="247"/>
      <c r="AC3244" s="247"/>
      <c r="AT3244" s="247"/>
    </row>
    <row r="3245">
      <c r="C3245" s="278"/>
      <c r="O3245" s="247"/>
      <c r="AC3245" s="247"/>
      <c r="AT3245" s="247"/>
    </row>
    <row r="3246">
      <c r="C3246" s="277"/>
      <c r="O3246" s="247"/>
      <c r="AC3246" s="247"/>
      <c r="AT3246" s="247"/>
    </row>
    <row r="3247">
      <c r="C3247" s="278"/>
      <c r="O3247" s="247"/>
      <c r="AC3247" s="247"/>
      <c r="AT3247" s="247"/>
    </row>
    <row r="3248">
      <c r="C3248" s="278"/>
      <c r="O3248" s="247"/>
      <c r="AC3248" s="247"/>
      <c r="AT3248" s="247"/>
    </row>
    <row r="3249">
      <c r="C3249" s="278"/>
      <c r="O3249" s="247"/>
      <c r="AC3249" s="247"/>
      <c r="AT3249" s="247"/>
    </row>
    <row r="3250">
      <c r="C3250" s="278"/>
      <c r="O3250" s="247"/>
      <c r="AC3250" s="247"/>
      <c r="AT3250" s="247"/>
    </row>
    <row r="3251">
      <c r="C3251" s="278"/>
      <c r="O3251" s="247"/>
      <c r="AC3251" s="247"/>
      <c r="AT3251" s="247"/>
    </row>
    <row r="3252">
      <c r="C3252" s="278"/>
      <c r="O3252" s="247"/>
      <c r="AC3252" s="247"/>
      <c r="AT3252" s="247"/>
    </row>
    <row r="3253">
      <c r="C3253" s="277"/>
      <c r="O3253" s="247"/>
      <c r="AC3253" s="247"/>
      <c r="AT3253" s="247"/>
    </row>
    <row r="3254">
      <c r="C3254" s="277"/>
      <c r="O3254" s="247"/>
      <c r="AC3254" s="247"/>
      <c r="AT3254" s="247"/>
    </row>
    <row r="3255">
      <c r="C3255" s="277"/>
      <c r="O3255" s="247"/>
      <c r="AC3255" s="247"/>
      <c r="AT3255" s="247"/>
    </row>
    <row r="3256">
      <c r="C3256" s="277"/>
      <c r="O3256" s="247"/>
      <c r="AC3256" s="247"/>
      <c r="AT3256" s="247"/>
    </row>
    <row r="3257">
      <c r="C3257" s="277"/>
      <c r="O3257" s="247"/>
      <c r="AC3257" s="247"/>
      <c r="AT3257" s="247"/>
    </row>
    <row r="3258">
      <c r="C3258" s="277"/>
      <c r="O3258" s="247"/>
      <c r="AC3258" s="247"/>
      <c r="AT3258" s="247"/>
    </row>
    <row r="3259">
      <c r="C3259" s="277"/>
      <c r="O3259" s="247"/>
      <c r="AC3259" s="247"/>
      <c r="AT3259" s="247"/>
    </row>
    <row r="3260">
      <c r="C3260" s="277"/>
      <c r="O3260" s="247"/>
      <c r="AC3260" s="247"/>
      <c r="AT3260" s="247"/>
    </row>
    <row r="3261">
      <c r="C3261" s="277"/>
      <c r="O3261" s="247"/>
      <c r="AC3261" s="247"/>
      <c r="AT3261" s="247"/>
    </row>
    <row r="3262">
      <c r="C3262" s="277"/>
      <c r="O3262" s="247"/>
      <c r="AC3262" s="247"/>
      <c r="AT3262" s="247"/>
    </row>
    <row r="3263">
      <c r="C3263" s="277"/>
      <c r="O3263" s="247"/>
      <c r="AC3263" s="247"/>
      <c r="AT3263" s="247"/>
    </row>
    <row r="3264">
      <c r="C3264" s="277"/>
      <c r="O3264" s="247"/>
      <c r="AC3264" s="247"/>
      <c r="AT3264" s="247"/>
    </row>
    <row r="3265">
      <c r="C3265" s="277"/>
      <c r="O3265" s="247"/>
      <c r="AC3265" s="247"/>
      <c r="AT3265" s="247"/>
    </row>
    <row r="3266">
      <c r="C3266" s="277"/>
      <c r="O3266" s="247"/>
      <c r="AC3266" s="247"/>
      <c r="AT3266" s="247"/>
    </row>
    <row r="3267">
      <c r="C3267" s="277"/>
      <c r="O3267" s="247"/>
      <c r="AC3267" s="247"/>
      <c r="AT3267" s="247"/>
    </row>
    <row r="3268">
      <c r="C3268" s="277"/>
      <c r="O3268" s="247"/>
      <c r="AC3268" s="247"/>
      <c r="AT3268" s="247"/>
    </row>
    <row r="3269">
      <c r="C3269" s="277"/>
      <c r="O3269" s="247"/>
      <c r="AC3269" s="247"/>
      <c r="AT3269" s="247"/>
    </row>
    <row r="3270">
      <c r="C3270" s="277"/>
      <c r="O3270" s="247"/>
      <c r="AC3270" s="247"/>
      <c r="AT3270" s="247"/>
    </row>
    <row r="3271">
      <c r="C3271" s="277"/>
      <c r="O3271" s="247"/>
      <c r="AC3271" s="247"/>
      <c r="AT3271" s="247"/>
    </row>
    <row r="3272">
      <c r="C3272" s="277"/>
      <c r="O3272" s="247"/>
      <c r="AC3272" s="247"/>
      <c r="AT3272" s="247"/>
    </row>
    <row r="3273">
      <c r="C3273" s="277"/>
      <c r="O3273" s="247"/>
      <c r="AC3273" s="247"/>
      <c r="AT3273" s="247"/>
    </row>
    <row r="3274">
      <c r="C3274" s="277"/>
      <c r="O3274" s="247"/>
      <c r="AC3274" s="247"/>
      <c r="AT3274" s="247"/>
    </row>
    <row r="3275">
      <c r="C3275" s="277"/>
      <c r="O3275" s="247"/>
      <c r="AC3275" s="247"/>
      <c r="AT3275" s="247"/>
    </row>
    <row r="3276">
      <c r="C3276" s="277"/>
      <c r="O3276" s="247"/>
      <c r="AC3276" s="247"/>
      <c r="AT3276" s="247"/>
    </row>
    <row r="3277">
      <c r="C3277" s="277"/>
      <c r="O3277" s="247"/>
      <c r="AC3277" s="247"/>
      <c r="AT3277" s="247"/>
    </row>
    <row r="3278">
      <c r="C3278" s="277"/>
      <c r="O3278" s="247"/>
      <c r="AC3278" s="247"/>
      <c r="AT3278" s="247"/>
    </row>
    <row r="3279">
      <c r="C3279" s="277"/>
      <c r="O3279" s="247"/>
      <c r="AC3279" s="247"/>
      <c r="AT3279" s="247"/>
    </row>
    <row r="3280">
      <c r="C3280" s="277"/>
      <c r="O3280" s="247"/>
      <c r="AC3280" s="247"/>
      <c r="AT3280" s="247"/>
    </row>
    <row r="3281">
      <c r="C3281" s="277"/>
      <c r="O3281" s="247"/>
      <c r="AC3281" s="247"/>
      <c r="AT3281" s="247"/>
    </row>
    <row r="3282">
      <c r="C3282" s="277"/>
      <c r="O3282" s="247"/>
      <c r="AC3282" s="247"/>
      <c r="AT3282" s="247"/>
    </row>
    <row r="3283">
      <c r="C3283" s="277"/>
      <c r="O3283" s="247"/>
      <c r="AC3283" s="247"/>
      <c r="AT3283" s="247"/>
    </row>
    <row r="3284">
      <c r="C3284" s="277"/>
      <c r="O3284" s="247"/>
      <c r="AC3284" s="247"/>
      <c r="AT3284" s="247"/>
    </row>
    <row r="3285">
      <c r="C3285" s="277"/>
      <c r="O3285" s="247"/>
      <c r="AC3285" s="247"/>
      <c r="AT3285" s="247"/>
    </row>
    <row r="3286">
      <c r="C3286" s="277"/>
      <c r="O3286" s="247"/>
      <c r="AC3286" s="247"/>
      <c r="AT3286" s="247"/>
    </row>
    <row r="3287">
      <c r="C3287" s="277"/>
      <c r="O3287" s="247"/>
      <c r="AC3287" s="247"/>
      <c r="AT3287" s="247"/>
    </row>
    <row r="3288">
      <c r="C3288" s="277"/>
      <c r="O3288" s="247"/>
      <c r="AC3288" s="247"/>
      <c r="AT3288" s="247"/>
    </row>
    <row r="3289">
      <c r="C3289" s="277"/>
      <c r="O3289" s="247"/>
      <c r="AC3289" s="247"/>
      <c r="AT3289" s="247"/>
    </row>
    <row r="3290">
      <c r="C3290" s="277"/>
      <c r="O3290" s="247"/>
      <c r="AC3290" s="247"/>
      <c r="AT3290" s="247"/>
    </row>
    <row r="3291">
      <c r="C3291" s="277"/>
      <c r="O3291" s="247"/>
      <c r="AC3291" s="247"/>
      <c r="AT3291" s="247"/>
    </row>
    <row r="3292">
      <c r="C3292" s="277"/>
      <c r="O3292" s="247"/>
      <c r="AC3292" s="247"/>
      <c r="AT3292" s="247"/>
    </row>
    <row r="3293">
      <c r="C3293" s="277"/>
      <c r="O3293" s="247"/>
      <c r="AC3293" s="247"/>
      <c r="AT3293" s="247"/>
    </row>
    <row r="3294">
      <c r="C3294" s="277"/>
      <c r="O3294" s="247"/>
      <c r="AC3294" s="247"/>
      <c r="AT3294" s="247"/>
    </row>
    <row r="3295">
      <c r="C3295" s="277"/>
      <c r="O3295" s="247"/>
      <c r="AC3295" s="247"/>
      <c r="AT3295" s="247"/>
    </row>
    <row r="3296">
      <c r="C3296" s="277"/>
      <c r="O3296" s="247"/>
      <c r="AC3296" s="247"/>
      <c r="AT3296" s="247"/>
    </row>
    <row r="3297">
      <c r="C3297" s="277"/>
      <c r="O3297" s="247"/>
      <c r="AC3297" s="247"/>
      <c r="AT3297" s="247"/>
    </row>
    <row r="3298">
      <c r="C3298" s="277"/>
      <c r="O3298" s="247"/>
      <c r="AC3298" s="247"/>
      <c r="AT3298" s="247"/>
    </row>
    <row r="3299">
      <c r="C3299" s="277"/>
      <c r="O3299" s="247"/>
      <c r="AC3299" s="247"/>
      <c r="AT3299" s="247"/>
    </row>
    <row r="3300">
      <c r="C3300" s="277"/>
      <c r="O3300" s="247"/>
      <c r="AC3300" s="247"/>
      <c r="AT3300" s="247"/>
    </row>
    <row r="3301">
      <c r="C3301" s="277"/>
      <c r="O3301" s="247"/>
      <c r="AC3301" s="247"/>
      <c r="AT3301" s="247"/>
    </row>
    <row r="3302">
      <c r="C3302" s="277"/>
      <c r="O3302" s="247"/>
      <c r="AC3302" s="247"/>
      <c r="AT3302" s="247"/>
    </row>
    <row r="3303">
      <c r="C3303" s="277"/>
      <c r="O3303" s="247"/>
      <c r="AC3303" s="247"/>
      <c r="AT3303" s="247"/>
    </row>
    <row r="3304">
      <c r="C3304" s="277"/>
      <c r="O3304" s="247"/>
      <c r="AC3304" s="247"/>
      <c r="AT3304" s="247"/>
    </row>
    <row r="3305">
      <c r="C3305" s="277"/>
      <c r="O3305" s="247"/>
      <c r="AC3305" s="247"/>
      <c r="AT3305" s="247"/>
    </row>
    <row r="3306">
      <c r="C3306" s="277"/>
      <c r="O3306" s="247"/>
      <c r="AC3306" s="247"/>
      <c r="AT3306" s="247"/>
    </row>
    <row r="3307">
      <c r="C3307" s="277"/>
      <c r="O3307" s="247"/>
      <c r="AC3307" s="247"/>
      <c r="AT3307" s="247"/>
    </row>
    <row r="3308">
      <c r="C3308" s="277"/>
      <c r="O3308" s="247"/>
      <c r="AC3308" s="247"/>
      <c r="AT3308" s="247"/>
    </row>
    <row r="3309">
      <c r="C3309" s="277"/>
      <c r="O3309" s="247"/>
      <c r="AC3309" s="247"/>
      <c r="AT3309" s="247"/>
    </row>
    <row r="3310">
      <c r="C3310" s="277"/>
      <c r="O3310" s="247"/>
      <c r="AC3310" s="247"/>
      <c r="AT3310" s="247"/>
    </row>
    <row r="3311">
      <c r="C3311" s="277"/>
      <c r="O3311" s="247"/>
      <c r="AC3311" s="247"/>
      <c r="AT3311" s="247"/>
    </row>
    <row r="3312">
      <c r="C3312" s="277"/>
      <c r="O3312" s="247"/>
      <c r="AC3312" s="247"/>
      <c r="AT3312" s="247"/>
    </row>
    <row r="3313">
      <c r="C3313" s="277"/>
      <c r="O3313" s="247"/>
      <c r="AC3313" s="247"/>
      <c r="AT3313" s="247"/>
    </row>
    <row r="3314">
      <c r="C3314" s="277"/>
      <c r="O3314" s="247"/>
      <c r="AC3314" s="247"/>
      <c r="AT3314" s="247"/>
    </row>
    <row r="3315">
      <c r="C3315" s="277"/>
      <c r="O3315" s="247"/>
      <c r="AC3315" s="247"/>
      <c r="AT3315" s="247"/>
    </row>
    <row r="3316">
      <c r="C3316" s="277"/>
      <c r="O3316" s="247"/>
      <c r="AC3316" s="247"/>
      <c r="AT3316" s="247"/>
    </row>
    <row r="3317">
      <c r="C3317" s="277"/>
      <c r="O3317" s="247"/>
      <c r="AC3317" s="247"/>
      <c r="AT3317" s="247"/>
    </row>
    <row r="3318">
      <c r="C3318" s="277"/>
      <c r="O3318" s="247"/>
      <c r="AC3318" s="247"/>
      <c r="AT3318" s="247"/>
    </row>
    <row r="3319">
      <c r="C3319" s="277"/>
      <c r="O3319" s="247"/>
      <c r="AC3319" s="247"/>
      <c r="AT3319" s="247"/>
    </row>
    <row r="3320">
      <c r="C3320" s="277"/>
      <c r="O3320" s="247"/>
      <c r="AC3320" s="247"/>
      <c r="AT3320" s="247"/>
    </row>
    <row r="3321">
      <c r="C3321" s="277"/>
      <c r="O3321" s="247"/>
      <c r="AC3321" s="247"/>
      <c r="AT3321" s="247"/>
    </row>
    <row r="3322">
      <c r="C3322" s="277"/>
      <c r="O3322" s="247"/>
      <c r="AC3322" s="247"/>
      <c r="AT3322" s="247"/>
    </row>
    <row r="3323">
      <c r="C3323" s="277"/>
      <c r="O3323" s="247"/>
      <c r="AC3323" s="247"/>
      <c r="AT3323" s="247"/>
    </row>
    <row r="3324">
      <c r="C3324" s="277"/>
      <c r="O3324" s="247"/>
      <c r="AC3324" s="247"/>
      <c r="AT3324" s="247"/>
    </row>
    <row r="3325">
      <c r="C3325" s="277"/>
      <c r="O3325" s="247"/>
      <c r="AC3325" s="247"/>
      <c r="AT3325" s="247"/>
    </row>
    <row r="3326">
      <c r="C3326" s="277"/>
      <c r="O3326" s="247"/>
      <c r="AC3326" s="247"/>
      <c r="AT3326" s="247"/>
    </row>
    <row r="3327">
      <c r="C3327" s="277"/>
      <c r="O3327" s="247"/>
      <c r="AC3327" s="247"/>
      <c r="AT3327" s="247"/>
    </row>
    <row r="3328">
      <c r="C3328" s="277"/>
      <c r="O3328" s="247"/>
      <c r="AC3328" s="247"/>
      <c r="AT3328" s="247"/>
    </row>
    <row r="3329">
      <c r="C3329" s="277"/>
      <c r="O3329" s="247"/>
      <c r="AC3329" s="247"/>
      <c r="AT3329" s="247"/>
    </row>
    <row r="3330">
      <c r="C3330" s="277"/>
      <c r="O3330" s="247"/>
      <c r="AC3330" s="247"/>
      <c r="AT3330" s="247"/>
    </row>
    <row r="3331">
      <c r="C3331" s="277"/>
      <c r="O3331" s="247"/>
      <c r="AC3331" s="247"/>
      <c r="AT3331" s="247"/>
    </row>
    <row r="3332">
      <c r="C3332" s="277"/>
      <c r="O3332" s="247"/>
      <c r="AC3332" s="247"/>
      <c r="AT3332" s="247"/>
    </row>
    <row r="3333">
      <c r="C3333" s="277"/>
      <c r="O3333" s="247"/>
      <c r="AC3333" s="247"/>
      <c r="AT3333" s="247"/>
    </row>
    <row r="3334">
      <c r="C3334" s="277"/>
      <c r="O3334" s="247"/>
      <c r="AC3334" s="247"/>
      <c r="AT3334" s="247"/>
    </row>
    <row r="3335">
      <c r="C3335" s="277"/>
      <c r="O3335" s="247"/>
      <c r="AC3335" s="247"/>
      <c r="AT3335" s="247"/>
    </row>
    <row r="3336">
      <c r="C3336" s="277"/>
      <c r="O3336" s="247"/>
      <c r="AC3336" s="247"/>
      <c r="AT3336" s="247"/>
    </row>
    <row r="3337">
      <c r="C3337" s="277"/>
      <c r="O3337" s="247"/>
      <c r="AC3337" s="247"/>
      <c r="AT3337" s="247"/>
    </row>
    <row r="3338">
      <c r="C3338" s="277"/>
      <c r="O3338" s="247"/>
      <c r="AC3338" s="247"/>
      <c r="AT3338" s="247"/>
    </row>
    <row r="3339">
      <c r="C3339" s="277"/>
      <c r="O3339" s="247"/>
      <c r="AC3339" s="247"/>
      <c r="AT3339" s="247"/>
    </row>
    <row r="3340">
      <c r="C3340" s="277"/>
      <c r="O3340" s="247"/>
      <c r="AC3340" s="247"/>
      <c r="AT3340" s="247"/>
    </row>
    <row r="3341">
      <c r="C3341" s="277"/>
      <c r="O3341" s="247"/>
      <c r="AC3341" s="247"/>
      <c r="AT3341" s="247"/>
    </row>
    <row r="3342">
      <c r="C3342" s="277"/>
      <c r="O3342" s="247"/>
      <c r="AC3342" s="247"/>
      <c r="AT3342" s="247"/>
    </row>
    <row r="3343">
      <c r="C3343" s="277"/>
      <c r="O3343" s="247"/>
      <c r="AC3343" s="247"/>
      <c r="AT3343" s="247"/>
    </row>
    <row r="3344">
      <c r="C3344" s="277"/>
      <c r="O3344" s="247"/>
      <c r="AC3344" s="247"/>
      <c r="AT3344" s="247"/>
    </row>
    <row r="3345">
      <c r="C3345" s="277"/>
      <c r="O3345" s="247"/>
      <c r="AC3345" s="247"/>
      <c r="AT3345" s="247"/>
    </row>
    <row r="3346">
      <c r="C3346" s="277"/>
      <c r="O3346" s="247"/>
      <c r="AC3346" s="247"/>
      <c r="AT3346" s="247"/>
    </row>
    <row r="3347">
      <c r="C3347" s="277"/>
      <c r="O3347" s="247"/>
      <c r="AC3347" s="247"/>
      <c r="AT3347" s="247"/>
    </row>
    <row r="3348">
      <c r="C3348" s="277"/>
      <c r="O3348" s="247"/>
      <c r="AC3348" s="247"/>
      <c r="AT3348" s="247"/>
    </row>
    <row r="3349">
      <c r="C3349" s="277"/>
      <c r="O3349" s="247"/>
      <c r="AC3349" s="247"/>
      <c r="AT3349" s="247"/>
    </row>
    <row r="3350">
      <c r="C3350" s="277"/>
      <c r="O3350" s="247"/>
      <c r="AC3350" s="247"/>
      <c r="AT3350" s="247"/>
    </row>
    <row r="3351">
      <c r="C3351" s="277"/>
      <c r="O3351" s="247"/>
      <c r="AC3351" s="247"/>
      <c r="AT3351" s="247"/>
    </row>
    <row r="3352">
      <c r="C3352" s="277"/>
      <c r="O3352" s="247"/>
      <c r="AC3352" s="247"/>
      <c r="AT3352" s="247"/>
    </row>
    <row r="3353">
      <c r="C3353" s="277"/>
      <c r="O3353" s="247"/>
      <c r="AC3353" s="247"/>
      <c r="AT3353" s="247"/>
    </row>
    <row r="3354">
      <c r="C3354" s="277"/>
      <c r="O3354" s="247"/>
      <c r="AC3354" s="247"/>
      <c r="AT3354" s="247"/>
    </row>
    <row r="3355">
      <c r="C3355" s="277"/>
      <c r="O3355" s="247"/>
      <c r="AC3355" s="247"/>
      <c r="AT3355" s="247"/>
    </row>
    <row r="3356">
      <c r="C3356" s="277"/>
      <c r="O3356" s="247"/>
      <c r="AC3356" s="247"/>
      <c r="AT3356" s="247"/>
    </row>
    <row r="3357">
      <c r="C3357" s="277"/>
      <c r="O3357" s="247"/>
      <c r="AC3357" s="247"/>
      <c r="AT3357" s="247"/>
    </row>
    <row r="3358">
      <c r="C3358" s="277"/>
      <c r="O3358" s="247"/>
      <c r="AC3358" s="247"/>
      <c r="AT3358" s="247"/>
    </row>
    <row r="3359">
      <c r="C3359" s="277"/>
      <c r="O3359" s="247"/>
      <c r="AC3359" s="247"/>
      <c r="AT3359" s="247"/>
    </row>
    <row r="3360">
      <c r="C3360" s="277"/>
      <c r="O3360" s="247"/>
      <c r="AC3360" s="247"/>
      <c r="AT3360" s="247"/>
    </row>
    <row r="3361">
      <c r="C3361" s="277"/>
      <c r="O3361" s="247"/>
      <c r="AC3361" s="247"/>
      <c r="AT3361" s="247"/>
    </row>
    <row r="3362">
      <c r="C3362" s="277"/>
      <c r="O3362" s="247"/>
      <c r="AC3362" s="247"/>
      <c r="AT3362" s="247"/>
    </row>
    <row r="3363">
      <c r="C3363" s="277"/>
      <c r="O3363" s="247"/>
      <c r="AC3363" s="247"/>
      <c r="AT3363" s="247"/>
    </row>
    <row r="3364">
      <c r="C3364" s="277"/>
      <c r="O3364" s="247"/>
      <c r="AC3364" s="247"/>
      <c r="AT3364" s="247"/>
    </row>
    <row r="3365">
      <c r="C3365" s="277"/>
      <c r="O3365" s="247"/>
      <c r="AC3365" s="247"/>
      <c r="AT3365" s="247"/>
    </row>
    <row r="3366">
      <c r="C3366" s="277"/>
      <c r="O3366" s="247"/>
      <c r="AC3366" s="247"/>
      <c r="AT3366" s="247"/>
    </row>
    <row r="3367">
      <c r="C3367" s="277"/>
      <c r="O3367" s="247"/>
      <c r="AC3367" s="247"/>
      <c r="AT3367" s="247"/>
    </row>
    <row r="3368">
      <c r="C3368" s="277"/>
      <c r="O3368" s="247"/>
      <c r="AC3368" s="247"/>
      <c r="AT3368" s="247"/>
    </row>
    <row r="3369">
      <c r="C3369" s="277"/>
      <c r="O3369" s="247"/>
      <c r="AC3369" s="247"/>
      <c r="AT3369" s="247"/>
    </row>
    <row r="3370">
      <c r="C3370" s="277"/>
      <c r="O3370" s="247"/>
      <c r="AC3370" s="247"/>
      <c r="AT3370" s="247"/>
    </row>
    <row r="3371">
      <c r="C3371" s="277"/>
      <c r="O3371" s="247"/>
      <c r="AC3371" s="247"/>
      <c r="AT3371" s="247"/>
    </row>
    <row r="3372">
      <c r="C3372" s="277"/>
      <c r="O3372" s="247"/>
      <c r="AC3372" s="247"/>
      <c r="AT3372" s="247"/>
    </row>
    <row r="3373">
      <c r="C3373" s="277"/>
      <c r="O3373" s="247"/>
      <c r="AC3373" s="247"/>
      <c r="AT3373" s="247"/>
    </row>
    <row r="3374">
      <c r="C3374" s="277"/>
      <c r="O3374" s="247"/>
      <c r="AC3374" s="247"/>
      <c r="AT3374" s="247"/>
    </row>
    <row r="3375">
      <c r="C3375" s="277"/>
      <c r="O3375" s="247"/>
      <c r="AC3375" s="247"/>
      <c r="AT3375" s="247"/>
    </row>
    <row r="3376">
      <c r="C3376" s="277"/>
      <c r="O3376" s="247"/>
      <c r="AC3376" s="247"/>
      <c r="AT3376" s="247"/>
    </row>
    <row r="3377">
      <c r="C3377" s="277"/>
      <c r="O3377" s="247"/>
      <c r="AC3377" s="247"/>
      <c r="AT3377" s="247"/>
    </row>
    <row r="3378">
      <c r="C3378" s="277"/>
      <c r="O3378" s="247"/>
      <c r="AC3378" s="247"/>
      <c r="AT3378" s="247"/>
    </row>
    <row r="3379">
      <c r="C3379" s="277"/>
      <c r="O3379" s="247"/>
      <c r="AC3379" s="247"/>
      <c r="AT3379" s="247"/>
    </row>
    <row r="3380">
      <c r="C3380" s="277"/>
      <c r="O3380" s="247"/>
      <c r="AC3380" s="247"/>
      <c r="AT3380" s="247"/>
    </row>
    <row r="3381">
      <c r="C3381" s="277"/>
      <c r="O3381" s="247"/>
      <c r="AC3381" s="247"/>
      <c r="AT3381" s="247"/>
    </row>
    <row r="3382">
      <c r="C3382" s="277"/>
      <c r="O3382" s="247"/>
      <c r="AC3382" s="247"/>
      <c r="AT3382" s="247"/>
    </row>
    <row r="3383">
      <c r="C3383" s="277"/>
      <c r="O3383" s="247"/>
      <c r="AC3383" s="247"/>
      <c r="AT3383" s="247"/>
    </row>
    <row r="3384">
      <c r="C3384" s="277"/>
      <c r="O3384" s="247"/>
      <c r="AC3384" s="247"/>
      <c r="AT3384" s="247"/>
    </row>
    <row r="3385">
      <c r="C3385" s="277"/>
      <c r="O3385" s="247"/>
      <c r="AC3385" s="247"/>
      <c r="AT3385" s="247"/>
    </row>
    <row r="3386">
      <c r="C3386" s="277"/>
      <c r="O3386" s="247"/>
      <c r="AC3386" s="247"/>
      <c r="AT3386" s="247"/>
    </row>
    <row r="3387">
      <c r="C3387" s="277"/>
      <c r="O3387" s="247"/>
      <c r="AC3387" s="247"/>
      <c r="AT3387" s="247"/>
    </row>
    <row r="3388">
      <c r="C3388" s="277"/>
      <c r="O3388" s="247"/>
      <c r="AC3388" s="247"/>
      <c r="AT3388" s="247"/>
    </row>
    <row r="3389">
      <c r="C3389" s="277"/>
      <c r="O3389" s="247"/>
      <c r="AC3389" s="247"/>
      <c r="AT3389" s="247"/>
    </row>
    <row r="3390">
      <c r="C3390" s="277"/>
      <c r="O3390" s="247"/>
      <c r="AC3390" s="247"/>
      <c r="AT3390" s="247"/>
    </row>
    <row r="3391">
      <c r="C3391" s="277"/>
      <c r="O3391" s="247"/>
      <c r="AC3391" s="247"/>
      <c r="AT3391" s="247"/>
    </row>
    <row r="3392">
      <c r="C3392" s="277"/>
      <c r="O3392" s="247"/>
      <c r="AC3392" s="247"/>
      <c r="AT3392" s="247"/>
    </row>
    <row r="3393">
      <c r="C3393" s="277"/>
      <c r="O3393" s="247"/>
      <c r="AC3393" s="247"/>
      <c r="AT3393" s="247"/>
    </row>
    <row r="3394">
      <c r="C3394" s="277"/>
      <c r="O3394" s="247"/>
      <c r="AC3394" s="247"/>
      <c r="AT3394" s="247"/>
    </row>
    <row r="3395">
      <c r="C3395" s="277"/>
      <c r="O3395" s="247"/>
      <c r="AC3395" s="247"/>
      <c r="AT3395" s="247"/>
    </row>
    <row r="3396">
      <c r="C3396" s="277"/>
      <c r="O3396" s="247"/>
      <c r="AC3396" s="247"/>
      <c r="AT3396" s="247"/>
    </row>
    <row r="3397">
      <c r="C3397" s="277"/>
      <c r="O3397" s="247"/>
      <c r="AC3397" s="247"/>
      <c r="AT3397" s="247"/>
    </row>
    <row r="3398">
      <c r="C3398" s="277"/>
      <c r="O3398" s="247"/>
      <c r="AC3398" s="247"/>
      <c r="AT3398" s="247"/>
    </row>
    <row r="3399">
      <c r="C3399" s="277"/>
      <c r="O3399" s="247"/>
      <c r="AC3399" s="247"/>
      <c r="AT3399" s="247"/>
    </row>
    <row r="3400">
      <c r="C3400" s="277"/>
      <c r="O3400" s="247"/>
      <c r="AC3400" s="247"/>
      <c r="AT3400" s="247"/>
    </row>
    <row r="3401">
      <c r="C3401" s="277"/>
      <c r="O3401" s="247"/>
      <c r="AC3401" s="247"/>
      <c r="AT3401" s="247"/>
    </row>
    <row r="3402">
      <c r="C3402" s="277"/>
      <c r="O3402" s="247"/>
      <c r="AC3402" s="247"/>
      <c r="AT3402" s="247"/>
    </row>
    <row r="3403">
      <c r="C3403" s="277"/>
      <c r="O3403" s="247"/>
      <c r="AC3403" s="247"/>
      <c r="AT3403" s="247"/>
    </row>
    <row r="3404">
      <c r="C3404" s="277"/>
      <c r="O3404" s="247"/>
      <c r="AC3404" s="247"/>
      <c r="AT3404" s="247"/>
    </row>
    <row r="3405">
      <c r="C3405" s="277"/>
      <c r="O3405" s="247"/>
      <c r="AC3405" s="247"/>
      <c r="AT3405" s="247"/>
    </row>
    <row r="3406">
      <c r="C3406" s="277"/>
      <c r="O3406" s="247"/>
      <c r="AC3406" s="247"/>
      <c r="AT3406" s="247"/>
    </row>
    <row r="3407">
      <c r="C3407" s="277"/>
      <c r="O3407" s="247"/>
      <c r="AC3407" s="247"/>
      <c r="AT3407" s="247"/>
    </row>
    <row r="3408">
      <c r="C3408" s="277"/>
      <c r="O3408" s="247"/>
      <c r="AC3408" s="247"/>
      <c r="AT3408" s="247"/>
    </row>
    <row r="3409">
      <c r="C3409" s="277"/>
      <c r="O3409" s="247"/>
      <c r="AC3409" s="247"/>
      <c r="AT3409" s="247"/>
    </row>
    <row r="3410">
      <c r="C3410" s="277"/>
      <c r="O3410" s="247"/>
      <c r="AC3410" s="247"/>
      <c r="AT3410" s="247"/>
    </row>
    <row r="3411">
      <c r="C3411" s="277"/>
      <c r="O3411" s="247"/>
      <c r="AC3411" s="247"/>
      <c r="AT3411" s="247"/>
    </row>
    <row r="3412">
      <c r="C3412" s="277"/>
      <c r="O3412" s="247"/>
      <c r="AC3412" s="247"/>
      <c r="AT3412" s="247"/>
    </row>
    <row r="3413">
      <c r="C3413" s="277"/>
      <c r="O3413" s="247"/>
      <c r="AC3413" s="247"/>
      <c r="AT3413" s="247"/>
    </row>
    <row r="3414">
      <c r="C3414" s="277"/>
      <c r="O3414" s="247"/>
      <c r="AC3414" s="247"/>
      <c r="AT3414" s="247"/>
    </row>
    <row r="3415">
      <c r="C3415" s="277"/>
      <c r="O3415" s="247"/>
      <c r="AC3415" s="247"/>
      <c r="AT3415" s="247"/>
    </row>
    <row r="3416">
      <c r="C3416" s="277"/>
      <c r="O3416" s="247"/>
      <c r="AC3416" s="247"/>
      <c r="AT3416" s="247"/>
    </row>
    <row r="3417">
      <c r="C3417" s="277"/>
      <c r="O3417" s="247"/>
      <c r="AC3417" s="247"/>
      <c r="AT3417" s="247"/>
    </row>
    <row r="3418">
      <c r="C3418" s="277"/>
      <c r="O3418" s="247"/>
      <c r="AC3418" s="247"/>
      <c r="AT3418" s="247"/>
    </row>
    <row r="3419">
      <c r="C3419" s="277"/>
      <c r="O3419" s="247"/>
      <c r="AC3419" s="247"/>
      <c r="AT3419" s="247"/>
    </row>
    <row r="3420">
      <c r="C3420" s="277"/>
      <c r="O3420" s="247"/>
      <c r="AC3420" s="247"/>
      <c r="AT3420" s="247"/>
    </row>
    <row r="3421">
      <c r="C3421" s="277"/>
      <c r="O3421" s="247"/>
      <c r="AC3421" s="247"/>
      <c r="AT3421" s="247"/>
    </row>
    <row r="3422">
      <c r="C3422" s="277"/>
      <c r="O3422" s="247"/>
      <c r="AC3422" s="247"/>
      <c r="AT3422" s="247"/>
    </row>
    <row r="3423">
      <c r="C3423" s="277"/>
      <c r="O3423" s="247"/>
      <c r="AC3423" s="247"/>
      <c r="AT3423" s="247"/>
    </row>
    <row r="3424">
      <c r="C3424" s="277"/>
      <c r="O3424" s="247"/>
      <c r="AC3424" s="247"/>
      <c r="AT3424" s="247"/>
    </row>
    <row r="3425">
      <c r="C3425" s="277"/>
      <c r="O3425" s="247"/>
      <c r="AC3425" s="247"/>
      <c r="AT3425" s="247"/>
    </row>
    <row r="3426">
      <c r="C3426" s="277"/>
      <c r="O3426" s="247"/>
      <c r="AC3426" s="247"/>
      <c r="AT3426" s="247"/>
    </row>
    <row r="3427">
      <c r="C3427" s="277"/>
      <c r="O3427" s="247"/>
      <c r="AC3427" s="247"/>
      <c r="AT3427" s="247"/>
    </row>
    <row r="3428">
      <c r="C3428" s="277"/>
      <c r="O3428" s="247"/>
      <c r="AC3428" s="247"/>
      <c r="AT3428" s="247"/>
    </row>
    <row r="3429">
      <c r="C3429" s="277"/>
      <c r="O3429" s="247"/>
      <c r="AC3429" s="247"/>
      <c r="AT3429" s="247"/>
    </row>
    <row r="3430">
      <c r="C3430" s="277"/>
      <c r="O3430" s="247"/>
      <c r="AC3430" s="247"/>
      <c r="AT3430" s="247"/>
    </row>
    <row r="3431">
      <c r="C3431" s="277"/>
      <c r="O3431" s="247"/>
      <c r="AC3431" s="247"/>
      <c r="AT3431" s="247"/>
    </row>
    <row r="3432">
      <c r="C3432" s="277"/>
      <c r="O3432" s="247"/>
      <c r="AC3432" s="247"/>
      <c r="AT3432" s="247"/>
    </row>
    <row r="3433">
      <c r="C3433" s="277"/>
      <c r="O3433" s="247"/>
      <c r="AC3433" s="247"/>
      <c r="AT3433" s="247"/>
    </row>
    <row r="3434">
      <c r="C3434" s="277"/>
      <c r="O3434" s="247"/>
      <c r="AC3434" s="247"/>
      <c r="AT3434" s="247"/>
    </row>
    <row r="3435">
      <c r="C3435" s="277"/>
      <c r="O3435" s="247"/>
      <c r="AC3435" s="247"/>
      <c r="AT3435" s="247"/>
    </row>
    <row r="3436">
      <c r="C3436" s="277"/>
      <c r="O3436" s="247"/>
      <c r="AC3436" s="247"/>
      <c r="AT3436" s="247"/>
    </row>
    <row r="3437">
      <c r="C3437" s="277"/>
      <c r="O3437" s="247"/>
      <c r="AC3437" s="247"/>
      <c r="AT3437" s="247"/>
    </row>
    <row r="3438">
      <c r="C3438" s="277"/>
      <c r="O3438" s="247"/>
      <c r="AC3438" s="247"/>
      <c r="AT3438" s="247"/>
    </row>
    <row r="3439">
      <c r="C3439" s="277"/>
      <c r="O3439" s="247"/>
      <c r="AC3439" s="247"/>
      <c r="AT3439" s="247"/>
    </row>
    <row r="3440">
      <c r="C3440" s="277"/>
      <c r="O3440" s="247"/>
      <c r="AC3440" s="247"/>
      <c r="AT3440" s="247"/>
    </row>
    <row r="3441">
      <c r="C3441" s="277"/>
      <c r="O3441" s="247"/>
      <c r="AC3441" s="247"/>
      <c r="AT3441" s="247"/>
    </row>
    <row r="3442">
      <c r="C3442" s="277"/>
      <c r="O3442" s="247"/>
      <c r="AC3442" s="247"/>
      <c r="AT3442" s="247"/>
    </row>
    <row r="3443">
      <c r="C3443" s="277"/>
      <c r="O3443" s="247"/>
      <c r="AC3443" s="247"/>
      <c r="AT3443" s="247"/>
    </row>
    <row r="3444">
      <c r="C3444" s="277"/>
      <c r="O3444" s="247"/>
      <c r="AC3444" s="247"/>
      <c r="AT3444" s="247"/>
    </row>
    <row r="3445">
      <c r="C3445" s="277"/>
      <c r="O3445" s="247"/>
      <c r="AC3445" s="247"/>
      <c r="AT3445" s="247"/>
    </row>
    <row r="3446">
      <c r="C3446" s="277"/>
      <c r="O3446" s="247"/>
      <c r="AC3446" s="247"/>
      <c r="AT3446" s="247"/>
    </row>
    <row r="3447">
      <c r="C3447" s="277"/>
      <c r="O3447" s="247"/>
      <c r="AC3447" s="247"/>
      <c r="AT3447" s="247"/>
    </row>
    <row r="3448">
      <c r="C3448" s="277"/>
      <c r="O3448" s="247"/>
      <c r="AC3448" s="247"/>
      <c r="AT3448" s="247"/>
    </row>
    <row r="3449">
      <c r="C3449" s="277"/>
      <c r="O3449" s="247"/>
      <c r="AC3449" s="247"/>
      <c r="AT3449" s="247"/>
    </row>
    <row r="3450">
      <c r="C3450" s="277"/>
      <c r="O3450" s="247"/>
      <c r="AC3450" s="247"/>
      <c r="AT3450" s="247"/>
    </row>
    <row r="3451">
      <c r="C3451" s="277"/>
      <c r="O3451" s="247"/>
      <c r="AC3451" s="247"/>
      <c r="AT3451" s="247"/>
    </row>
    <row r="3452">
      <c r="C3452" s="277"/>
      <c r="O3452" s="247"/>
      <c r="AC3452" s="247"/>
      <c r="AT3452" s="247"/>
    </row>
    <row r="3453">
      <c r="C3453" s="277"/>
      <c r="O3453" s="247"/>
      <c r="AC3453" s="247"/>
      <c r="AT3453" s="247"/>
    </row>
    <row r="3454">
      <c r="C3454" s="277"/>
      <c r="O3454" s="247"/>
      <c r="AC3454" s="247"/>
      <c r="AT3454" s="247"/>
    </row>
    <row r="3455">
      <c r="C3455" s="277"/>
      <c r="O3455" s="247"/>
      <c r="AC3455" s="247"/>
      <c r="AT3455" s="247"/>
    </row>
    <row r="3456">
      <c r="C3456" s="277"/>
      <c r="O3456" s="247"/>
      <c r="AC3456" s="247"/>
      <c r="AT3456" s="247"/>
    </row>
    <row r="3457">
      <c r="C3457" s="277"/>
      <c r="O3457" s="247"/>
      <c r="AC3457" s="247"/>
      <c r="AT3457" s="247"/>
    </row>
    <row r="3458">
      <c r="C3458" s="277"/>
      <c r="O3458" s="247"/>
      <c r="AC3458" s="247"/>
      <c r="AT3458" s="247"/>
    </row>
    <row r="3459">
      <c r="C3459" s="277"/>
      <c r="O3459" s="247"/>
      <c r="AC3459" s="247"/>
      <c r="AT3459" s="247"/>
    </row>
    <row r="3460">
      <c r="C3460" s="277"/>
      <c r="O3460" s="247"/>
      <c r="AC3460" s="247"/>
      <c r="AT3460" s="247"/>
    </row>
    <row r="3461">
      <c r="C3461" s="277"/>
      <c r="O3461" s="247"/>
      <c r="AC3461" s="247"/>
      <c r="AT3461" s="247"/>
    </row>
    <row r="3462">
      <c r="C3462" s="277"/>
      <c r="O3462" s="247"/>
      <c r="AC3462" s="247"/>
      <c r="AT3462" s="247"/>
    </row>
    <row r="3463">
      <c r="C3463" s="277"/>
      <c r="O3463" s="247"/>
      <c r="AC3463" s="247"/>
      <c r="AT3463" s="247"/>
    </row>
    <row r="3464">
      <c r="C3464" s="277"/>
      <c r="O3464" s="247"/>
      <c r="AC3464" s="247"/>
      <c r="AT3464" s="247"/>
    </row>
    <row r="3465">
      <c r="C3465" s="277"/>
      <c r="O3465" s="247"/>
      <c r="AC3465" s="247"/>
      <c r="AT3465" s="247"/>
    </row>
    <row r="3466">
      <c r="C3466" s="277"/>
      <c r="O3466" s="247"/>
      <c r="AC3466" s="247"/>
      <c r="AT3466" s="247"/>
    </row>
    <row r="3467">
      <c r="C3467" s="277"/>
      <c r="O3467" s="247"/>
      <c r="AC3467" s="247"/>
      <c r="AT3467" s="247"/>
    </row>
    <row r="3468">
      <c r="C3468" s="277"/>
      <c r="O3468" s="247"/>
      <c r="AC3468" s="247"/>
      <c r="AT3468" s="247"/>
    </row>
    <row r="3469">
      <c r="C3469" s="277"/>
      <c r="O3469" s="247"/>
      <c r="AC3469" s="247"/>
      <c r="AT3469" s="247"/>
    </row>
    <row r="3470">
      <c r="C3470" s="277"/>
      <c r="O3470" s="247"/>
      <c r="AC3470" s="247"/>
      <c r="AT3470" s="247"/>
    </row>
    <row r="3471">
      <c r="C3471" s="277"/>
      <c r="O3471" s="247"/>
      <c r="AC3471" s="247"/>
      <c r="AT3471" s="247"/>
    </row>
    <row r="3472">
      <c r="C3472" s="277"/>
      <c r="O3472" s="247"/>
      <c r="AC3472" s="247"/>
      <c r="AT3472" s="247"/>
    </row>
    <row r="3473">
      <c r="C3473" s="277"/>
      <c r="O3473" s="247"/>
      <c r="AC3473" s="247"/>
      <c r="AT3473" s="247"/>
    </row>
    <row r="3474">
      <c r="C3474" s="277"/>
      <c r="O3474" s="247"/>
      <c r="AC3474" s="247"/>
      <c r="AT3474" s="247"/>
    </row>
    <row r="3475">
      <c r="C3475" s="277"/>
      <c r="O3475" s="247"/>
      <c r="AC3475" s="247"/>
      <c r="AT3475" s="247"/>
    </row>
    <row r="3476">
      <c r="C3476" s="277"/>
      <c r="O3476" s="247"/>
      <c r="AC3476" s="247"/>
      <c r="AT3476" s="247"/>
    </row>
    <row r="3477">
      <c r="C3477" s="277"/>
      <c r="O3477" s="247"/>
      <c r="AC3477" s="247"/>
      <c r="AT3477" s="247"/>
    </row>
    <row r="3478">
      <c r="C3478" s="277"/>
      <c r="O3478" s="247"/>
      <c r="AC3478" s="247"/>
      <c r="AT3478" s="247"/>
    </row>
    <row r="3479">
      <c r="C3479" s="277"/>
      <c r="O3479" s="247"/>
      <c r="AC3479" s="247"/>
      <c r="AT3479" s="247"/>
    </row>
    <row r="3480">
      <c r="C3480" s="277"/>
      <c r="O3480" s="247"/>
      <c r="AC3480" s="247"/>
      <c r="AT3480" s="247"/>
    </row>
    <row r="3481">
      <c r="C3481" s="277"/>
      <c r="O3481" s="247"/>
      <c r="AC3481" s="247"/>
      <c r="AT3481" s="247"/>
    </row>
    <row r="3482">
      <c r="C3482" s="277"/>
      <c r="O3482" s="247"/>
      <c r="AC3482" s="247"/>
      <c r="AT3482" s="247"/>
    </row>
    <row r="3483">
      <c r="C3483" s="277"/>
      <c r="O3483" s="247"/>
      <c r="AC3483" s="247"/>
      <c r="AT3483" s="247"/>
    </row>
    <row r="3484">
      <c r="C3484" s="277"/>
      <c r="O3484" s="247"/>
      <c r="AC3484" s="247"/>
      <c r="AT3484" s="247"/>
    </row>
    <row r="3485">
      <c r="C3485" s="277"/>
      <c r="O3485" s="247"/>
      <c r="AC3485" s="247"/>
      <c r="AT3485" s="247"/>
    </row>
    <row r="3486">
      <c r="C3486" s="277"/>
      <c r="O3486" s="247"/>
      <c r="AC3486" s="247"/>
      <c r="AT3486" s="247"/>
    </row>
    <row r="3487">
      <c r="C3487" s="277"/>
      <c r="O3487" s="247"/>
      <c r="AC3487" s="247"/>
      <c r="AT3487" s="247"/>
    </row>
    <row r="3488">
      <c r="C3488" s="277"/>
      <c r="O3488" s="247"/>
      <c r="AC3488" s="247"/>
      <c r="AT3488" s="247"/>
    </row>
    <row r="3489">
      <c r="C3489" s="277"/>
      <c r="O3489" s="247"/>
      <c r="AC3489" s="247"/>
      <c r="AT3489" s="247"/>
    </row>
    <row r="3490">
      <c r="C3490" s="277"/>
      <c r="O3490" s="247"/>
      <c r="AC3490" s="247"/>
      <c r="AT3490" s="247"/>
    </row>
    <row r="3491">
      <c r="C3491" s="277"/>
      <c r="O3491" s="247"/>
      <c r="AC3491" s="247"/>
      <c r="AT3491" s="247"/>
    </row>
    <row r="3492">
      <c r="C3492" s="277"/>
      <c r="O3492" s="247"/>
      <c r="AC3492" s="247"/>
      <c r="AT3492" s="247"/>
    </row>
    <row r="3493">
      <c r="C3493" s="277"/>
      <c r="O3493" s="247"/>
      <c r="AC3493" s="247"/>
      <c r="AT3493" s="247"/>
    </row>
    <row r="3494">
      <c r="C3494" s="277"/>
      <c r="O3494" s="247"/>
      <c r="AC3494" s="247"/>
      <c r="AT3494" s="247"/>
    </row>
    <row r="3495">
      <c r="C3495" s="277"/>
      <c r="O3495" s="247"/>
      <c r="AC3495" s="247"/>
      <c r="AT3495" s="247"/>
    </row>
    <row r="3496">
      <c r="C3496" s="277"/>
      <c r="O3496" s="247"/>
      <c r="AC3496" s="247"/>
      <c r="AT3496" s="247"/>
    </row>
    <row r="3497">
      <c r="C3497" s="277"/>
      <c r="O3497" s="247"/>
      <c r="AC3497" s="247"/>
      <c r="AT3497" s="247"/>
    </row>
    <row r="3498">
      <c r="C3498" s="277"/>
      <c r="O3498" s="247"/>
      <c r="AC3498" s="247"/>
      <c r="AT3498" s="247"/>
    </row>
    <row r="3499">
      <c r="C3499" s="277"/>
      <c r="O3499" s="247"/>
      <c r="AC3499" s="247"/>
      <c r="AT3499" s="247"/>
    </row>
    <row r="3500">
      <c r="C3500" s="277"/>
      <c r="O3500" s="247"/>
      <c r="AC3500" s="247"/>
      <c r="AT3500" s="247"/>
    </row>
    <row r="3501">
      <c r="C3501" s="277"/>
      <c r="O3501" s="247"/>
      <c r="AC3501" s="247"/>
      <c r="AT3501" s="247"/>
    </row>
    <row r="3502">
      <c r="C3502" s="277"/>
      <c r="O3502" s="247"/>
      <c r="AC3502" s="247"/>
      <c r="AT3502" s="247"/>
    </row>
    <row r="3503">
      <c r="C3503" s="277"/>
      <c r="O3503" s="247"/>
      <c r="AC3503" s="247"/>
      <c r="AT3503" s="247"/>
    </row>
    <row r="3504">
      <c r="C3504" s="277"/>
      <c r="O3504" s="247"/>
      <c r="AC3504" s="247"/>
      <c r="AT3504" s="247"/>
    </row>
    <row r="3505">
      <c r="C3505" s="277"/>
      <c r="O3505" s="247"/>
      <c r="AC3505" s="247"/>
      <c r="AT3505" s="247"/>
    </row>
    <row r="3506">
      <c r="C3506" s="277"/>
      <c r="O3506" s="247"/>
      <c r="AC3506" s="247"/>
      <c r="AT3506" s="247"/>
    </row>
    <row r="3507">
      <c r="C3507" s="277"/>
      <c r="O3507" s="247"/>
      <c r="AC3507" s="247"/>
      <c r="AT3507" s="247"/>
    </row>
    <row r="3508">
      <c r="C3508" s="277"/>
      <c r="O3508" s="247"/>
      <c r="AC3508" s="247"/>
      <c r="AT3508" s="247"/>
    </row>
    <row r="3509">
      <c r="C3509" s="277"/>
      <c r="O3509" s="247"/>
      <c r="AC3509" s="247"/>
      <c r="AT3509" s="247"/>
    </row>
    <row r="3510">
      <c r="C3510" s="277"/>
      <c r="O3510" s="247"/>
      <c r="AC3510" s="247"/>
      <c r="AT3510" s="247"/>
    </row>
    <row r="3511">
      <c r="C3511" s="277"/>
      <c r="O3511" s="247"/>
      <c r="AC3511" s="247"/>
      <c r="AT3511" s="247"/>
    </row>
    <row r="3512">
      <c r="C3512" s="277"/>
      <c r="O3512" s="247"/>
      <c r="AC3512" s="247"/>
      <c r="AT3512" s="247"/>
    </row>
    <row r="3513">
      <c r="C3513" s="277"/>
      <c r="O3513" s="247"/>
      <c r="AC3513" s="247"/>
      <c r="AT3513" s="247"/>
    </row>
    <row r="3514">
      <c r="C3514" s="277"/>
      <c r="O3514" s="247"/>
      <c r="AC3514" s="247"/>
      <c r="AT3514" s="247"/>
    </row>
    <row r="3515">
      <c r="C3515" s="277"/>
      <c r="O3515" s="247"/>
      <c r="AC3515" s="247"/>
      <c r="AT3515" s="247"/>
    </row>
    <row r="3516">
      <c r="C3516" s="277"/>
      <c r="O3516" s="247"/>
      <c r="AC3516" s="247"/>
      <c r="AT3516" s="247"/>
    </row>
    <row r="3517">
      <c r="C3517" s="277"/>
      <c r="O3517" s="247"/>
      <c r="AC3517" s="247"/>
      <c r="AT3517" s="247"/>
    </row>
    <row r="3518">
      <c r="C3518" s="277"/>
      <c r="O3518" s="247"/>
      <c r="AC3518" s="247"/>
      <c r="AT3518" s="247"/>
    </row>
    <row r="3519">
      <c r="C3519" s="277"/>
      <c r="O3519" s="247"/>
      <c r="AC3519" s="247"/>
      <c r="AT3519" s="247"/>
    </row>
    <row r="3520">
      <c r="C3520" s="277"/>
      <c r="O3520" s="247"/>
      <c r="AC3520" s="247"/>
      <c r="AT3520" s="247"/>
    </row>
    <row r="3521">
      <c r="C3521" s="277"/>
      <c r="O3521" s="247"/>
      <c r="AC3521" s="247"/>
      <c r="AT3521" s="247"/>
    </row>
    <row r="3522">
      <c r="C3522" s="277"/>
      <c r="O3522" s="247"/>
      <c r="AC3522" s="247"/>
      <c r="AT3522" s="247"/>
    </row>
    <row r="3523">
      <c r="C3523" s="277"/>
      <c r="O3523" s="247"/>
      <c r="AC3523" s="247"/>
      <c r="AT3523" s="247"/>
    </row>
    <row r="3524">
      <c r="C3524" s="277"/>
      <c r="O3524" s="247"/>
      <c r="AC3524" s="247"/>
      <c r="AT3524" s="247"/>
    </row>
    <row r="3525">
      <c r="C3525" s="277"/>
      <c r="O3525" s="247"/>
      <c r="AC3525" s="247"/>
      <c r="AT3525" s="247"/>
    </row>
    <row r="3526">
      <c r="C3526" s="277"/>
      <c r="O3526" s="247"/>
      <c r="AC3526" s="247"/>
      <c r="AT3526" s="247"/>
    </row>
    <row r="3527">
      <c r="C3527" s="277"/>
      <c r="O3527" s="247"/>
      <c r="AC3527" s="247"/>
      <c r="AT3527" s="247"/>
    </row>
    <row r="3528">
      <c r="C3528" s="277"/>
      <c r="O3528" s="247"/>
      <c r="AC3528" s="247"/>
      <c r="AT3528" s="247"/>
    </row>
    <row r="3529">
      <c r="C3529" s="277"/>
      <c r="O3529" s="247"/>
      <c r="AC3529" s="247"/>
      <c r="AT3529" s="247"/>
    </row>
    <row r="3530">
      <c r="C3530" s="277"/>
      <c r="O3530" s="247"/>
      <c r="AC3530" s="247"/>
      <c r="AT3530" s="247"/>
    </row>
    <row r="3531">
      <c r="C3531" s="277"/>
      <c r="O3531" s="247"/>
      <c r="AC3531" s="247"/>
      <c r="AT3531" s="247"/>
    </row>
    <row r="3532">
      <c r="C3532" s="277"/>
      <c r="O3532" s="247"/>
      <c r="AC3532" s="247"/>
      <c r="AT3532" s="247"/>
    </row>
    <row r="3533">
      <c r="C3533" s="277"/>
      <c r="O3533" s="247"/>
      <c r="AC3533" s="247"/>
      <c r="AT3533" s="247"/>
    </row>
    <row r="3534">
      <c r="C3534" s="277"/>
      <c r="O3534" s="247"/>
      <c r="AC3534" s="247"/>
      <c r="AT3534" s="247"/>
    </row>
    <row r="3535">
      <c r="C3535" s="277"/>
      <c r="O3535" s="247"/>
      <c r="AC3535" s="247"/>
      <c r="AT3535" s="247"/>
    </row>
    <row r="3536">
      <c r="C3536" s="277"/>
      <c r="O3536" s="247"/>
      <c r="AC3536" s="247"/>
      <c r="AT3536" s="247"/>
    </row>
    <row r="3537">
      <c r="C3537" s="277"/>
      <c r="O3537" s="247"/>
      <c r="AC3537" s="247"/>
      <c r="AT3537" s="247"/>
    </row>
    <row r="3538">
      <c r="C3538" s="277"/>
      <c r="O3538" s="247"/>
      <c r="AC3538" s="247"/>
      <c r="AT3538" s="247"/>
    </row>
    <row r="3539">
      <c r="C3539" s="277"/>
      <c r="O3539" s="247"/>
      <c r="AC3539" s="247"/>
      <c r="AT3539" s="247"/>
    </row>
    <row r="3540">
      <c r="C3540" s="277"/>
      <c r="O3540" s="247"/>
      <c r="AC3540" s="247"/>
      <c r="AT3540" s="247"/>
    </row>
    <row r="3541">
      <c r="C3541" s="277"/>
      <c r="O3541" s="247"/>
      <c r="AC3541" s="247"/>
      <c r="AT3541" s="247"/>
    </row>
    <row r="3542">
      <c r="C3542" s="277"/>
      <c r="O3542" s="247"/>
      <c r="AC3542" s="247"/>
      <c r="AT3542" s="247"/>
    </row>
    <row r="3543">
      <c r="C3543" s="277"/>
      <c r="O3543" s="247"/>
      <c r="AC3543" s="247"/>
      <c r="AT3543" s="247"/>
    </row>
    <row r="3544">
      <c r="C3544" s="277"/>
      <c r="O3544" s="247"/>
      <c r="AC3544" s="247"/>
      <c r="AT3544" s="247"/>
    </row>
    <row r="3545">
      <c r="C3545" s="277"/>
      <c r="O3545" s="247"/>
      <c r="AC3545" s="247"/>
      <c r="AT3545" s="247"/>
    </row>
    <row r="3546">
      <c r="C3546" s="277"/>
      <c r="O3546" s="247"/>
      <c r="AC3546" s="247"/>
      <c r="AT3546" s="247"/>
    </row>
    <row r="3547">
      <c r="C3547" s="277"/>
      <c r="O3547" s="247"/>
      <c r="AC3547" s="247"/>
      <c r="AT3547" s="247"/>
    </row>
    <row r="3548">
      <c r="C3548" s="277"/>
      <c r="O3548" s="247"/>
      <c r="AC3548" s="247"/>
      <c r="AT3548" s="247"/>
    </row>
    <row r="3549">
      <c r="C3549" s="277"/>
      <c r="O3549" s="247"/>
      <c r="AC3549" s="247"/>
      <c r="AT3549" s="247"/>
    </row>
    <row r="3550">
      <c r="C3550" s="277"/>
      <c r="O3550" s="247"/>
      <c r="AC3550" s="247"/>
      <c r="AT3550" s="247"/>
    </row>
    <row r="3551">
      <c r="C3551" s="277"/>
      <c r="O3551" s="247"/>
      <c r="AC3551" s="247"/>
      <c r="AT3551" s="247"/>
    </row>
    <row r="3552">
      <c r="C3552" s="277"/>
      <c r="O3552" s="247"/>
      <c r="AC3552" s="247"/>
      <c r="AT3552" s="247"/>
    </row>
    <row r="3553">
      <c r="C3553" s="277"/>
      <c r="O3553" s="247"/>
      <c r="AC3553" s="247"/>
      <c r="AT3553" s="247"/>
    </row>
    <row r="3554">
      <c r="C3554" s="277"/>
      <c r="O3554" s="247"/>
      <c r="AC3554" s="247"/>
      <c r="AT3554" s="247"/>
    </row>
    <row r="3555">
      <c r="C3555" s="277"/>
      <c r="O3555" s="247"/>
      <c r="AC3555" s="247"/>
      <c r="AT3555" s="247"/>
    </row>
    <row r="3556">
      <c r="C3556" s="277"/>
      <c r="O3556" s="247"/>
      <c r="AC3556" s="247"/>
      <c r="AT3556" s="247"/>
    </row>
    <row r="3557">
      <c r="C3557" s="277"/>
      <c r="O3557" s="247"/>
      <c r="AC3557" s="247"/>
      <c r="AT3557" s="247"/>
    </row>
    <row r="3558">
      <c r="C3558" s="277"/>
      <c r="O3558" s="247"/>
      <c r="AC3558" s="247"/>
      <c r="AT3558" s="247"/>
    </row>
    <row r="3559">
      <c r="C3559" s="277"/>
      <c r="O3559" s="247"/>
      <c r="AC3559" s="247"/>
      <c r="AT3559" s="247"/>
    </row>
    <row r="3560">
      <c r="C3560" s="277"/>
      <c r="O3560" s="247"/>
      <c r="AC3560" s="247"/>
      <c r="AT3560" s="247"/>
    </row>
    <row r="3561">
      <c r="C3561" s="277"/>
      <c r="O3561" s="247"/>
      <c r="AC3561" s="247"/>
      <c r="AT3561" s="247"/>
    </row>
    <row r="3562">
      <c r="C3562" s="277"/>
      <c r="O3562" s="247"/>
      <c r="AC3562" s="247"/>
      <c r="AT3562" s="247"/>
    </row>
    <row r="3563">
      <c r="C3563" s="277"/>
      <c r="O3563" s="247"/>
      <c r="AC3563" s="247"/>
      <c r="AT3563" s="247"/>
    </row>
    <row r="3564">
      <c r="C3564" s="277"/>
      <c r="O3564" s="247"/>
      <c r="AC3564" s="247"/>
      <c r="AT3564" s="247"/>
    </row>
    <row r="3565">
      <c r="C3565" s="277"/>
      <c r="O3565" s="247"/>
      <c r="AC3565" s="247"/>
      <c r="AT3565" s="247"/>
    </row>
    <row r="3566">
      <c r="C3566" s="277"/>
      <c r="O3566" s="247"/>
      <c r="AC3566" s="247"/>
      <c r="AT3566" s="247"/>
    </row>
    <row r="3567">
      <c r="C3567" s="277"/>
      <c r="O3567" s="247"/>
      <c r="AC3567" s="247"/>
      <c r="AT3567" s="247"/>
    </row>
    <row r="3568">
      <c r="C3568" s="277"/>
      <c r="O3568" s="247"/>
      <c r="AC3568" s="247"/>
      <c r="AT3568" s="247"/>
    </row>
    <row r="3569">
      <c r="C3569" s="277"/>
      <c r="O3569" s="247"/>
      <c r="AC3569" s="247"/>
      <c r="AT3569" s="247"/>
    </row>
    <row r="3570">
      <c r="C3570" s="277"/>
      <c r="O3570" s="247"/>
      <c r="AC3570" s="247"/>
      <c r="AT3570" s="247"/>
    </row>
    <row r="3571">
      <c r="C3571" s="277"/>
      <c r="O3571" s="247"/>
      <c r="AC3571" s="247"/>
      <c r="AT3571" s="247"/>
    </row>
    <row r="3572">
      <c r="C3572" s="277"/>
      <c r="O3572" s="247"/>
      <c r="AC3572" s="247"/>
      <c r="AT3572" s="247"/>
    </row>
    <row r="3573">
      <c r="C3573" s="277"/>
      <c r="O3573" s="247"/>
      <c r="AC3573" s="247"/>
      <c r="AT3573" s="247"/>
    </row>
    <row r="3574">
      <c r="C3574" s="277"/>
      <c r="O3574" s="247"/>
      <c r="AC3574" s="247"/>
      <c r="AT3574" s="247"/>
    </row>
    <row r="3575">
      <c r="C3575" s="277"/>
      <c r="O3575" s="247"/>
      <c r="AC3575" s="247"/>
      <c r="AT3575" s="247"/>
    </row>
    <row r="3576">
      <c r="C3576" s="277"/>
      <c r="O3576" s="247"/>
      <c r="AC3576" s="247"/>
      <c r="AT3576" s="247"/>
    </row>
    <row r="3577">
      <c r="C3577" s="277"/>
      <c r="O3577" s="247"/>
      <c r="AC3577" s="247"/>
      <c r="AT3577" s="247"/>
    </row>
    <row r="3578">
      <c r="C3578" s="277"/>
      <c r="O3578" s="247"/>
      <c r="AC3578" s="247"/>
      <c r="AT3578" s="247"/>
    </row>
    <row r="3579">
      <c r="C3579" s="277"/>
      <c r="O3579" s="247"/>
      <c r="AC3579" s="247"/>
      <c r="AT3579" s="247"/>
    </row>
    <row r="3580">
      <c r="C3580" s="277"/>
      <c r="O3580" s="247"/>
      <c r="AC3580" s="247"/>
      <c r="AT3580" s="247"/>
    </row>
    <row r="3581">
      <c r="C3581" s="277"/>
      <c r="O3581" s="247"/>
      <c r="AC3581" s="247"/>
      <c r="AT3581" s="247"/>
    </row>
    <row r="3582">
      <c r="C3582" s="277"/>
      <c r="O3582" s="247"/>
      <c r="AC3582" s="247"/>
      <c r="AT3582" s="247"/>
    </row>
    <row r="3583">
      <c r="C3583" s="277"/>
      <c r="O3583" s="247"/>
      <c r="AC3583" s="247"/>
      <c r="AT3583" s="247"/>
    </row>
    <row r="3584">
      <c r="C3584" s="277"/>
      <c r="O3584" s="247"/>
      <c r="AC3584" s="247"/>
      <c r="AT3584" s="247"/>
    </row>
    <row r="3585">
      <c r="C3585" s="277"/>
      <c r="O3585" s="247"/>
      <c r="AC3585" s="247"/>
      <c r="AT3585" s="247"/>
    </row>
    <row r="3586">
      <c r="C3586" s="277"/>
      <c r="O3586" s="247"/>
      <c r="AC3586" s="247"/>
      <c r="AT3586" s="247"/>
    </row>
    <row r="3587">
      <c r="C3587" s="277"/>
      <c r="O3587" s="247"/>
      <c r="AC3587" s="247"/>
      <c r="AT3587" s="247"/>
    </row>
    <row r="3588">
      <c r="C3588" s="277"/>
      <c r="O3588" s="247"/>
      <c r="AC3588" s="247"/>
      <c r="AT3588" s="247"/>
    </row>
    <row r="3589">
      <c r="C3589" s="277"/>
      <c r="O3589" s="247"/>
      <c r="AC3589" s="247"/>
      <c r="AT3589" s="247"/>
    </row>
    <row r="3590">
      <c r="C3590" s="277"/>
      <c r="O3590" s="247"/>
      <c r="AC3590" s="247"/>
      <c r="AT3590" s="247"/>
    </row>
    <row r="3591">
      <c r="C3591" s="277"/>
      <c r="O3591" s="247"/>
      <c r="AC3591" s="247"/>
      <c r="AT3591" s="247"/>
    </row>
    <row r="3592">
      <c r="C3592" s="277"/>
      <c r="O3592" s="247"/>
      <c r="AC3592" s="247"/>
      <c r="AT3592" s="247"/>
    </row>
    <row r="3593">
      <c r="C3593" s="277"/>
      <c r="O3593" s="247"/>
      <c r="AC3593" s="247"/>
      <c r="AT3593" s="247"/>
    </row>
    <row r="3594">
      <c r="C3594" s="277"/>
      <c r="O3594" s="247"/>
      <c r="AC3594" s="247"/>
      <c r="AT3594" s="247"/>
    </row>
    <row r="3595">
      <c r="C3595" s="277"/>
      <c r="O3595" s="247"/>
      <c r="AC3595" s="247"/>
      <c r="AT3595" s="247"/>
    </row>
    <row r="3596">
      <c r="C3596" s="277"/>
      <c r="O3596" s="247"/>
      <c r="AC3596" s="247"/>
      <c r="AT3596" s="247"/>
    </row>
    <row r="3597">
      <c r="C3597" s="277"/>
      <c r="O3597" s="247"/>
      <c r="AC3597" s="247"/>
      <c r="AT3597" s="247"/>
    </row>
    <row r="3598">
      <c r="C3598" s="277"/>
      <c r="O3598" s="247"/>
      <c r="AC3598" s="247"/>
      <c r="AT3598" s="247"/>
    </row>
    <row r="3599">
      <c r="C3599" s="277"/>
      <c r="O3599" s="247"/>
      <c r="AC3599" s="247"/>
      <c r="AT3599" s="247"/>
    </row>
    <row r="3600">
      <c r="C3600" s="277"/>
      <c r="O3600" s="247"/>
      <c r="AC3600" s="247"/>
      <c r="AT3600" s="247"/>
    </row>
    <row r="3601">
      <c r="C3601" s="277"/>
      <c r="O3601" s="247"/>
      <c r="AC3601" s="247"/>
      <c r="AT3601" s="247"/>
    </row>
    <row r="3602">
      <c r="C3602" s="277"/>
      <c r="O3602" s="247"/>
      <c r="AC3602" s="247"/>
      <c r="AT3602" s="247"/>
    </row>
    <row r="3603">
      <c r="C3603" s="277"/>
      <c r="O3603" s="247"/>
      <c r="AC3603" s="247"/>
      <c r="AT3603" s="247"/>
    </row>
    <row r="3604">
      <c r="C3604" s="277"/>
      <c r="O3604" s="247"/>
      <c r="AC3604" s="247"/>
      <c r="AT3604" s="247"/>
    </row>
    <row r="3605">
      <c r="C3605" s="277"/>
      <c r="O3605" s="247"/>
      <c r="AC3605" s="247"/>
      <c r="AT3605" s="247"/>
    </row>
    <row r="3606">
      <c r="C3606" s="277"/>
      <c r="O3606" s="247"/>
      <c r="AC3606" s="247"/>
      <c r="AT3606" s="247"/>
    </row>
    <row r="3607">
      <c r="C3607" s="277"/>
      <c r="O3607" s="247"/>
      <c r="AC3607" s="247"/>
      <c r="AT3607" s="247"/>
    </row>
    <row r="3608">
      <c r="C3608" s="277"/>
      <c r="O3608" s="247"/>
      <c r="AC3608" s="247"/>
      <c r="AT3608" s="247"/>
    </row>
    <row r="3609">
      <c r="C3609" s="277"/>
      <c r="O3609" s="247"/>
      <c r="AC3609" s="247"/>
      <c r="AT3609" s="247"/>
    </row>
    <row r="3610">
      <c r="C3610" s="277"/>
      <c r="O3610" s="247"/>
      <c r="AC3610" s="247"/>
      <c r="AT3610" s="247"/>
    </row>
    <row r="3611">
      <c r="C3611" s="277"/>
      <c r="O3611" s="247"/>
      <c r="AC3611" s="247"/>
      <c r="AT3611" s="247"/>
    </row>
    <row r="3612">
      <c r="C3612" s="277"/>
      <c r="O3612" s="247"/>
      <c r="AC3612" s="247"/>
      <c r="AT3612" s="247"/>
    </row>
    <row r="3613">
      <c r="C3613" s="277"/>
      <c r="O3613" s="247"/>
      <c r="AC3613" s="247"/>
      <c r="AT3613" s="247"/>
    </row>
    <row r="3614">
      <c r="C3614" s="277"/>
      <c r="O3614" s="247"/>
      <c r="AC3614" s="247"/>
      <c r="AT3614" s="247"/>
    </row>
    <row r="3615">
      <c r="C3615" s="277"/>
      <c r="O3615" s="247"/>
      <c r="AC3615" s="247"/>
      <c r="AT3615" s="247"/>
    </row>
    <row r="3616">
      <c r="C3616" s="277"/>
      <c r="O3616" s="247"/>
      <c r="AC3616" s="247"/>
      <c r="AT3616" s="247"/>
    </row>
    <row r="3617">
      <c r="C3617" s="277"/>
      <c r="O3617" s="247"/>
      <c r="AC3617" s="247"/>
      <c r="AT3617" s="247"/>
    </row>
    <row r="3618">
      <c r="C3618" s="277"/>
      <c r="O3618" s="247"/>
      <c r="AC3618" s="247"/>
      <c r="AT3618" s="247"/>
    </row>
    <row r="3619">
      <c r="C3619" s="277"/>
      <c r="O3619" s="247"/>
      <c r="AC3619" s="247"/>
      <c r="AT3619" s="247"/>
    </row>
    <row r="3620">
      <c r="C3620" s="277"/>
      <c r="O3620" s="247"/>
      <c r="AC3620" s="247"/>
      <c r="AT3620" s="247"/>
    </row>
    <row r="3621">
      <c r="C3621" s="277"/>
      <c r="O3621" s="247"/>
      <c r="AC3621" s="247"/>
      <c r="AT3621" s="247"/>
    </row>
    <row r="3622">
      <c r="C3622" s="277"/>
      <c r="O3622" s="247"/>
      <c r="AC3622" s="247"/>
      <c r="AT3622" s="247"/>
    </row>
    <row r="3623">
      <c r="C3623" s="277"/>
      <c r="O3623" s="247"/>
      <c r="AC3623" s="247"/>
      <c r="AT3623" s="247"/>
    </row>
    <row r="3624">
      <c r="C3624" s="277"/>
      <c r="O3624" s="247"/>
      <c r="AC3624" s="247"/>
      <c r="AT3624" s="247"/>
    </row>
    <row r="3625">
      <c r="C3625" s="277"/>
      <c r="O3625" s="247"/>
      <c r="AC3625" s="247"/>
      <c r="AT3625" s="247"/>
    </row>
    <row r="3626">
      <c r="C3626" s="277"/>
      <c r="O3626" s="247"/>
      <c r="AC3626" s="247"/>
      <c r="AT3626" s="247"/>
    </row>
    <row r="3627">
      <c r="C3627" s="277"/>
      <c r="O3627" s="247"/>
      <c r="AC3627" s="247"/>
      <c r="AT3627" s="247"/>
    </row>
    <row r="3628">
      <c r="C3628" s="277"/>
      <c r="O3628" s="247"/>
      <c r="AC3628" s="247"/>
      <c r="AT3628" s="247"/>
    </row>
    <row r="3629">
      <c r="C3629" s="277"/>
      <c r="O3629" s="247"/>
      <c r="AC3629" s="247"/>
      <c r="AT3629" s="247"/>
    </row>
    <row r="3630">
      <c r="C3630" s="277"/>
      <c r="O3630" s="247"/>
      <c r="AC3630" s="247"/>
      <c r="AT3630" s="247"/>
    </row>
    <row r="3631">
      <c r="C3631" s="277"/>
      <c r="O3631" s="247"/>
      <c r="AC3631" s="247"/>
      <c r="AT3631" s="247"/>
    </row>
    <row r="3632">
      <c r="C3632" s="277"/>
      <c r="O3632" s="247"/>
      <c r="AC3632" s="247"/>
      <c r="AT3632" s="247"/>
    </row>
    <row r="3633">
      <c r="C3633" s="277"/>
      <c r="O3633" s="247"/>
      <c r="AC3633" s="247"/>
      <c r="AT3633" s="247"/>
    </row>
    <row r="3634">
      <c r="C3634" s="277"/>
      <c r="O3634" s="247"/>
      <c r="AC3634" s="247"/>
      <c r="AT3634" s="247"/>
    </row>
    <row r="3635">
      <c r="C3635" s="277"/>
      <c r="O3635" s="247"/>
      <c r="AC3635" s="247"/>
      <c r="AT3635" s="247"/>
    </row>
    <row r="3636">
      <c r="C3636" s="277"/>
      <c r="O3636" s="247"/>
      <c r="AC3636" s="247"/>
      <c r="AT3636" s="247"/>
    </row>
    <row r="3637">
      <c r="C3637" s="277"/>
      <c r="O3637" s="247"/>
      <c r="AC3637" s="247"/>
      <c r="AT3637" s="247"/>
    </row>
    <row r="3638">
      <c r="C3638" s="277"/>
      <c r="O3638" s="247"/>
      <c r="AC3638" s="247"/>
      <c r="AT3638" s="247"/>
    </row>
    <row r="3639">
      <c r="C3639" s="277"/>
      <c r="O3639" s="247"/>
      <c r="AC3639" s="247"/>
      <c r="AT3639" s="247"/>
    </row>
    <row r="3640">
      <c r="C3640" s="277"/>
      <c r="O3640" s="247"/>
      <c r="AC3640" s="247"/>
      <c r="AT3640" s="247"/>
    </row>
    <row r="3641">
      <c r="C3641" s="277"/>
      <c r="O3641" s="247"/>
      <c r="AC3641" s="247"/>
      <c r="AT3641" s="247"/>
    </row>
    <row r="3642">
      <c r="C3642" s="277"/>
      <c r="O3642" s="247"/>
      <c r="AC3642" s="247"/>
      <c r="AT3642" s="247"/>
    </row>
    <row r="3643">
      <c r="C3643" s="277"/>
      <c r="O3643" s="247"/>
      <c r="AC3643" s="247"/>
      <c r="AT3643" s="247"/>
    </row>
    <row r="3644">
      <c r="C3644" s="277"/>
      <c r="O3644" s="247"/>
      <c r="AC3644" s="247"/>
      <c r="AT3644" s="247"/>
    </row>
    <row r="3645">
      <c r="C3645" s="277"/>
      <c r="O3645" s="247"/>
      <c r="AC3645" s="247"/>
      <c r="AT3645" s="247"/>
    </row>
    <row r="3646">
      <c r="C3646" s="277"/>
      <c r="O3646" s="247"/>
      <c r="AC3646" s="247"/>
      <c r="AT3646" s="247"/>
    </row>
    <row r="3647">
      <c r="C3647" s="277"/>
      <c r="O3647" s="247"/>
      <c r="AC3647" s="247"/>
      <c r="AT3647" s="247"/>
    </row>
    <row r="3648">
      <c r="C3648" s="277"/>
      <c r="O3648" s="247"/>
      <c r="AC3648" s="247"/>
      <c r="AT3648" s="247"/>
    </row>
    <row r="3649">
      <c r="C3649" s="277"/>
      <c r="O3649" s="247"/>
      <c r="AC3649" s="247"/>
      <c r="AT3649" s="247"/>
    </row>
    <row r="3650">
      <c r="C3650" s="277"/>
      <c r="O3650" s="247"/>
      <c r="AC3650" s="247"/>
      <c r="AT3650" s="247"/>
    </row>
    <row r="3651">
      <c r="C3651" s="277"/>
      <c r="O3651" s="247"/>
      <c r="AC3651" s="247"/>
      <c r="AT3651" s="247"/>
    </row>
    <row r="3652">
      <c r="C3652" s="277"/>
      <c r="O3652" s="247"/>
      <c r="AC3652" s="247"/>
      <c r="AT3652" s="247"/>
    </row>
    <row r="3653">
      <c r="C3653" s="277"/>
      <c r="O3653" s="247"/>
      <c r="AC3653" s="247"/>
      <c r="AT3653" s="247"/>
    </row>
    <row r="3654">
      <c r="C3654" s="277"/>
      <c r="O3654" s="247"/>
      <c r="AC3654" s="247"/>
      <c r="AT3654" s="247"/>
    </row>
    <row r="3655">
      <c r="C3655" s="277"/>
      <c r="O3655" s="247"/>
      <c r="AC3655" s="247"/>
      <c r="AT3655" s="247"/>
    </row>
    <row r="3656">
      <c r="C3656" s="277"/>
      <c r="O3656" s="247"/>
      <c r="AC3656" s="247"/>
      <c r="AT3656" s="247"/>
    </row>
    <row r="3657">
      <c r="C3657" s="277"/>
      <c r="O3657" s="247"/>
      <c r="AC3657" s="247"/>
      <c r="AT3657" s="247"/>
    </row>
    <row r="3658">
      <c r="C3658" s="277"/>
      <c r="O3658" s="247"/>
      <c r="AC3658" s="247"/>
      <c r="AT3658" s="247"/>
    </row>
    <row r="3659">
      <c r="C3659" s="277"/>
      <c r="O3659" s="247"/>
      <c r="AC3659" s="247"/>
      <c r="AT3659" s="247"/>
    </row>
    <row r="3660">
      <c r="C3660" s="277"/>
      <c r="O3660" s="247"/>
      <c r="AC3660" s="247"/>
      <c r="AT3660" s="247"/>
    </row>
    <row r="3661">
      <c r="C3661" s="277"/>
      <c r="O3661" s="247"/>
      <c r="AC3661" s="247"/>
      <c r="AT3661" s="247"/>
    </row>
    <row r="3662">
      <c r="C3662" s="277"/>
      <c r="O3662" s="247"/>
      <c r="AC3662" s="247"/>
      <c r="AT3662" s="247"/>
    </row>
    <row r="3663">
      <c r="C3663" s="277"/>
      <c r="O3663" s="247"/>
      <c r="AC3663" s="247"/>
      <c r="AT3663" s="247"/>
    </row>
    <row r="3664">
      <c r="C3664" s="277"/>
      <c r="O3664" s="247"/>
      <c r="AC3664" s="247"/>
      <c r="AT3664" s="247"/>
    </row>
    <row r="3665">
      <c r="C3665" s="277"/>
      <c r="O3665" s="247"/>
      <c r="AC3665" s="247"/>
      <c r="AT3665" s="247"/>
    </row>
    <row r="3666">
      <c r="C3666" s="277"/>
      <c r="O3666" s="247"/>
      <c r="AC3666" s="247"/>
      <c r="AT3666" s="247"/>
    </row>
    <row r="3667">
      <c r="C3667" s="277"/>
      <c r="O3667" s="247"/>
      <c r="AC3667" s="247"/>
      <c r="AT3667" s="247"/>
    </row>
    <row r="3668">
      <c r="C3668" s="277"/>
      <c r="O3668" s="247"/>
      <c r="AC3668" s="247"/>
      <c r="AT3668" s="247"/>
    </row>
    <row r="3669">
      <c r="C3669" s="277"/>
      <c r="O3669" s="247"/>
      <c r="AC3669" s="247"/>
      <c r="AT3669" s="247"/>
    </row>
    <row r="3670">
      <c r="C3670" s="277"/>
      <c r="O3670" s="247"/>
      <c r="AC3670" s="247"/>
      <c r="AT3670" s="247"/>
    </row>
    <row r="3671">
      <c r="C3671" s="277"/>
      <c r="O3671" s="247"/>
      <c r="AC3671" s="247"/>
      <c r="AT3671" s="247"/>
    </row>
    <row r="3672">
      <c r="C3672" s="277"/>
      <c r="O3672" s="247"/>
      <c r="AC3672" s="247"/>
      <c r="AT3672" s="247"/>
    </row>
    <row r="3673">
      <c r="C3673" s="277"/>
      <c r="O3673" s="247"/>
      <c r="AC3673" s="247"/>
      <c r="AT3673" s="247"/>
    </row>
    <row r="3674">
      <c r="C3674" s="277"/>
      <c r="O3674" s="247"/>
      <c r="AC3674" s="247"/>
      <c r="AT3674" s="247"/>
    </row>
    <row r="3675">
      <c r="C3675" s="277"/>
      <c r="O3675" s="247"/>
      <c r="AC3675" s="247"/>
      <c r="AT3675" s="247"/>
    </row>
    <row r="3676">
      <c r="C3676" s="277"/>
      <c r="O3676" s="247"/>
      <c r="AC3676" s="247"/>
      <c r="AT3676" s="247"/>
    </row>
    <row r="3677">
      <c r="C3677" s="277"/>
      <c r="O3677" s="247"/>
      <c r="AC3677" s="247"/>
      <c r="AT3677" s="247"/>
    </row>
    <row r="3678">
      <c r="C3678" s="277"/>
      <c r="O3678" s="247"/>
      <c r="AC3678" s="247"/>
      <c r="AT3678" s="247"/>
    </row>
    <row r="3679">
      <c r="C3679" s="277"/>
      <c r="O3679" s="247"/>
      <c r="AC3679" s="247"/>
      <c r="AT3679" s="247"/>
    </row>
    <row r="3680">
      <c r="C3680" s="277"/>
      <c r="O3680" s="247"/>
      <c r="AC3680" s="247"/>
      <c r="AT3680" s="247"/>
    </row>
    <row r="3681">
      <c r="C3681" s="277"/>
      <c r="O3681" s="247"/>
      <c r="AC3681" s="247"/>
      <c r="AT3681" s="247"/>
    </row>
    <row r="3682">
      <c r="C3682" s="277"/>
      <c r="O3682" s="247"/>
      <c r="AC3682" s="247"/>
      <c r="AT3682" s="247"/>
    </row>
    <row r="3683">
      <c r="C3683" s="277"/>
      <c r="O3683" s="247"/>
      <c r="AC3683" s="247"/>
      <c r="AT3683" s="247"/>
    </row>
    <row r="3684">
      <c r="C3684" s="277"/>
      <c r="O3684" s="247"/>
      <c r="AC3684" s="247"/>
      <c r="AT3684" s="247"/>
    </row>
    <row r="3685">
      <c r="C3685" s="277"/>
      <c r="O3685" s="247"/>
      <c r="AC3685" s="247"/>
      <c r="AT3685" s="247"/>
    </row>
    <row r="3686">
      <c r="C3686" s="277"/>
      <c r="O3686" s="247"/>
      <c r="AC3686" s="247"/>
      <c r="AT3686" s="247"/>
    </row>
    <row r="3687">
      <c r="C3687" s="277"/>
      <c r="O3687" s="247"/>
      <c r="AC3687" s="247"/>
      <c r="AT3687" s="247"/>
    </row>
    <row r="3688">
      <c r="C3688" s="277"/>
      <c r="O3688" s="247"/>
      <c r="AC3688" s="247"/>
      <c r="AT3688" s="247"/>
    </row>
    <row r="3689">
      <c r="C3689" s="277"/>
      <c r="O3689" s="247"/>
      <c r="AC3689" s="247"/>
      <c r="AT3689" s="247"/>
    </row>
    <row r="3690">
      <c r="C3690" s="277"/>
      <c r="O3690" s="247"/>
      <c r="AC3690" s="247"/>
      <c r="AT3690" s="247"/>
    </row>
    <row r="3691">
      <c r="C3691" s="277"/>
      <c r="O3691" s="247"/>
      <c r="AC3691" s="247"/>
      <c r="AT3691" s="247"/>
    </row>
    <row r="3692">
      <c r="C3692" s="277"/>
      <c r="O3692" s="247"/>
      <c r="AC3692" s="247"/>
      <c r="AT3692" s="247"/>
    </row>
    <row r="3693">
      <c r="C3693" s="277"/>
      <c r="O3693" s="247"/>
      <c r="AC3693" s="247"/>
      <c r="AT3693" s="247"/>
    </row>
    <row r="3694">
      <c r="C3694" s="277"/>
      <c r="O3694" s="247"/>
      <c r="AC3694" s="247"/>
      <c r="AT3694" s="247"/>
    </row>
    <row r="3695">
      <c r="C3695" s="277"/>
      <c r="O3695" s="247"/>
      <c r="AC3695" s="247"/>
      <c r="AT3695" s="247"/>
    </row>
    <row r="3696">
      <c r="C3696" s="277"/>
      <c r="O3696" s="247"/>
      <c r="AC3696" s="247"/>
      <c r="AT3696" s="247"/>
    </row>
    <row r="3697">
      <c r="C3697" s="277"/>
      <c r="O3697" s="247"/>
      <c r="AC3697" s="247"/>
      <c r="AT3697" s="247"/>
    </row>
    <row r="3698">
      <c r="C3698" s="277"/>
      <c r="O3698" s="247"/>
      <c r="AC3698" s="247"/>
      <c r="AT3698" s="247"/>
    </row>
    <row r="3699">
      <c r="C3699" s="277"/>
      <c r="O3699" s="247"/>
      <c r="AC3699" s="247"/>
      <c r="AT3699" s="247"/>
    </row>
    <row r="3700">
      <c r="C3700" s="277"/>
      <c r="O3700" s="247"/>
      <c r="AC3700" s="247"/>
      <c r="AT3700" s="247"/>
    </row>
    <row r="3701">
      <c r="C3701" s="277"/>
      <c r="O3701" s="247"/>
      <c r="AC3701" s="247"/>
      <c r="AT3701" s="247"/>
    </row>
    <row r="3702">
      <c r="C3702" s="277"/>
      <c r="O3702" s="247"/>
      <c r="AC3702" s="247"/>
      <c r="AT3702" s="247"/>
    </row>
    <row r="3703">
      <c r="C3703" s="277"/>
      <c r="O3703" s="247"/>
      <c r="AC3703" s="247"/>
      <c r="AT3703" s="247"/>
    </row>
    <row r="3704">
      <c r="C3704" s="277"/>
      <c r="O3704" s="247"/>
      <c r="AC3704" s="247"/>
      <c r="AT3704" s="247"/>
    </row>
    <row r="3705">
      <c r="C3705" s="277"/>
      <c r="O3705" s="247"/>
      <c r="AC3705" s="247"/>
      <c r="AT3705" s="247"/>
    </row>
    <row r="3706">
      <c r="C3706" s="277"/>
      <c r="O3706" s="247"/>
      <c r="AC3706" s="247"/>
      <c r="AT3706" s="247"/>
    </row>
    <row r="3707">
      <c r="C3707" s="277"/>
      <c r="O3707" s="247"/>
      <c r="AC3707" s="247"/>
      <c r="AT3707" s="247"/>
    </row>
    <row r="3708">
      <c r="C3708" s="277"/>
      <c r="O3708" s="247"/>
      <c r="AC3708" s="247"/>
      <c r="AT3708" s="247"/>
    </row>
    <row r="3709">
      <c r="C3709" s="277"/>
      <c r="O3709" s="247"/>
      <c r="AC3709" s="247"/>
      <c r="AT3709" s="247"/>
    </row>
    <row r="3710">
      <c r="C3710" s="277"/>
      <c r="O3710" s="247"/>
      <c r="AC3710" s="247"/>
      <c r="AT3710" s="247"/>
    </row>
    <row r="3711">
      <c r="C3711" s="277"/>
      <c r="O3711" s="247"/>
      <c r="AC3711" s="247"/>
      <c r="AT3711" s="247"/>
    </row>
    <row r="3712">
      <c r="C3712" s="277"/>
      <c r="O3712" s="247"/>
      <c r="AC3712" s="247"/>
      <c r="AT3712" s="247"/>
    </row>
    <row r="3713">
      <c r="C3713" s="277"/>
      <c r="O3713" s="247"/>
      <c r="AC3713" s="247"/>
      <c r="AT3713" s="247"/>
    </row>
    <row r="3714">
      <c r="C3714" s="277"/>
      <c r="O3714" s="247"/>
      <c r="AC3714" s="247"/>
      <c r="AT3714" s="247"/>
    </row>
    <row r="3715">
      <c r="C3715" s="277"/>
      <c r="O3715" s="247"/>
      <c r="AC3715" s="247"/>
      <c r="AT3715" s="247"/>
    </row>
    <row r="3716">
      <c r="C3716" s="277"/>
      <c r="O3716" s="247"/>
      <c r="AC3716" s="247"/>
      <c r="AT3716" s="247"/>
    </row>
    <row r="3717">
      <c r="C3717" s="277"/>
      <c r="O3717" s="247"/>
      <c r="AC3717" s="247"/>
      <c r="AT3717" s="247"/>
    </row>
    <row r="3718">
      <c r="C3718" s="277"/>
      <c r="O3718" s="247"/>
      <c r="AC3718" s="247"/>
      <c r="AT3718" s="247"/>
    </row>
    <row r="3719">
      <c r="C3719" s="277"/>
      <c r="O3719" s="247"/>
      <c r="AC3719" s="247"/>
      <c r="AT3719" s="247"/>
    </row>
    <row r="3720">
      <c r="C3720" s="277"/>
      <c r="O3720" s="247"/>
      <c r="AC3720" s="247"/>
      <c r="AT3720" s="247"/>
    </row>
    <row r="3721">
      <c r="C3721" s="277"/>
      <c r="O3721" s="247"/>
      <c r="AC3721" s="247"/>
      <c r="AT3721" s="247"/>
    </row>
    <row r="3722">
      <c r="C3722" s="277"/>
      <c r="O3722" s="247"/>
      <c r="AC3722" s="247"/>
      <c r="AT3722" s="247"/>
    </row>
    <row r="3723">
      <c r="C3723" s="277"/>
      <c r="O3723" s="247"/>
      <c r="AC3723" s="247"/>
      <c r="AT3723" s="247"/>
    </row>
    <row r="3724">
      <c r="C3724" s="277"/>
      <c r="O3724" s="247"/>
      <c r="AC3724" s="247"/>
      <c r="AT3724" s="247"/>
    </row>
    <row r="3725">
      <c r="C3725" s="277"/>
      <c r="O3725" s="247"/>
      <c r="AC3725" s="247"/>
      <c r="AT3725" s="247"/>
    </row>
    <row r="3726">
      <c r="C3726" s="277"/>
      <c r="O3726" s="247"/>
      <c r="AC3726" s="247"/>
      <c r="AT3726" s="247"/>
    </row>
    <row r="3727">
      <c r="C3727" s="277"/>
      <c r="O3727" s="247"/>
      <c r="AC3727" s="247"/>
      <c r="AT3727" s="247"/>
    </row>
    <row r="3728">
      <c r="C3728" s="277"/>
      <c r="O3728" s="247"/>
      <c r="AC3728" s="247"/>
      <c r="AT3728" s="247"/>
    </row>
    <row r="3729">
      <c r="C3729" s="277"/>
      <c r="O3729" s="247"/>
      <c r="AC3729" s="247"/>
      <c r="AT3729" s="247"/>
    </row>
    <row r="3730">
      <c r="C3730" s="277"/>
      <c r="O3730" s="247"/>
      <c r="AC3730" s="247"/>
      <c r="AT3730" s="247"/>
    </row>
    <row r="3731">
      <c r="C3731" s="277"/>
      <c r="O3731" s="247"/>
      <c r="AC3731" s="247"/>
      <c r="AT3731" s="247"/>
    </row>
    <row r="3732">
      <c r="C3732" s="277"/>
      <c r="O3732" s="247"/>
      <c r="AC3732" s="247"/>
      <c r="AT3732" s="247"/>
    </row>
    <row r="3733">
      <c r="C3733" s="277"/>
      <c r="O3733" s="247"/>
      <c r="AC3733" s="247"/>
      <c r="AT3733" s="247"/>
    </row>
    <row r="3734">
      <c r="C3734" s="277"/>
      <c r="O3734" s="247"/>
      <c r="AC3734" s="247"/>
      <c r="AT3734" s="247"/>
    </row>
    <row r="3735">
      <c r="C3735" s="277"/>
      <c r="O3735" s="247"/>
      <c r="AC3735" s="247"/>
      <c r="AT3735" s="247"/>
    </row>
    <row r="3736">
      <c r="C3736" s="277"/>
      <c r="O3736" s="247"/>
      <c r="AC3736" s="247"/>
      <c r="AT3736" s="247"/>
    </row>
    <row r="3737">
      <c r="C3737" s="277"/>
      <c r="O3737" s="247"/>
      <c r="AC3737" s="247"/>
      <c r="AT3737" s="247"/>
    </row>
    <row r="3738">
      <c r="C3738" s="277"/>
      <c r="O3738" s="247"/>
      <c r="AC3738" s="247"/>
      <c r="AT3738" s="247"/>
    </row>
    <row r="3739">
      <c r="C3739" s="277"/>
      <c r="O3739" s="247"/>
      <c r="AC3739" s="247"/>
      <c r="AT3739" s="247"/>
    </row>
    <row r="3740">
      <c r="C3740" s="277"/>
      <c r="O3740" s="247"/>
      <c r="AC3740" s="247"/>
      <c r="AT3740" s="247"/>
    </row>
    <row r="3741">
      <c r="C3741" s="277"/>
      <c r="O3741" s="247"/>
      <c r="AC3741" s="247"/>
      <c r="AT3741" s="247"/>
    </row>
    <row r="3742">
      <c r="C3742" s="277"/>
      <c r="O3742" s="247"/>
      <c r="AC3742" s="247"/>
      <c r="AT3742" s="247"/>
    </row>
    <row r="3743">
      <c r="C3743" s="277"/>
      <c r="O3743" s="247"/>
      <c r="AC3743" s="247"/>
      <c r="AT3743" s="247"/>
    </row>
    <row r="3744">
      <c r="C3744" s="277"/>
      <c r="O3744" s="247"/>
      <c r="AC3744" s="247"/>
      <c r="AT3744" s="247"/>
    </row>
    <row r="3745">
      <c r="C3745" s="277"/>
      <c r="O3745" s="247"/>
      <c r="AC3745" s="247"/>
      <c r="AT3745" s="247"/>
    </row>
    <row r="3746">
      <c r="C3746" s="277"/>
      <c r="O3746" s="247"/>
      <c r="AC3746" s="247"/>
      <c r="AT3746" s="247"/>
    </row>
    <row r="3747">
      <c r="C3747" s="277"/>
      <c r="O3747" s="247"/>
      <c r="AC3747" s="247"/>
      <c r="AT3747" s="247"/>
    </row>
    <row r="3748">
      <c r="C3748" s="277"/>
      <c r="O3748" s="247"/>
      <c r="AC3748" s="247"/>
      <c r="AT3748" s="247"/>
    </row>
    <row r="3749">
      <c r="C3749" s="277"/>
      <c r="O3749" s="247"/>
      <c r="AC3749" s="247"/>
      <c r="AT3749" s="247"/>
    </row>
    <row r="3750">
      <c r="C3750" s="277"/>
      <c r="O3750" s="247"/>
      <c r="AC3750" s="247"/>
      <c r="AT3750" s="247"/>
    </row>
    <row r="3751">
      <c r="C3751" s="277"/>
      <c r="O3751" s="247"/>
      <c r="AC3751" s="247"/>
      <c r="AT3751" s="247"/>
    </row>
    <row r="3752">
      <c r="C3752" s="277"/>
      <c r="O3752" s="247"/>
      <c r="AC3752" s="247"/>
      <c r="AT3752" s="247"/>
    </row>
    <row r="3753">
      <c r="C3753" s="277"/>
      <c r="O3753" s="247"/>
      <c r="AC3753" s="247"/>
      <c r="AT3753" s="247"/>
    </row>
    <row r="3754">
      <c r="C3754" s="277"/>
      <c r="O3754" s="247"/>
      <c r="AC3754" s="247"/>
      <c r="AT3754" s="247"/>
    </row>
    <row r="3755">
      <c r="C3755" s="277"/>
      <c r="O3755" s="247"/>
      <c r="AC3755" s="247"/>
      <c r="AT3755" s="247"/>
    </row>
    <row r="3756">
      <c r="C3756" s="277"/>
      <c r="O3756" s="247"/>
      <c r="AC3756" s="247"/>
      <c r="AT3756" s="247"/>
    </row>
    <row r="3757">
      <c r="C3757" s="277"/>
      <c r="O3757" s="247"/>
      <c r="AC3757" s="247"/>
      <c r="AT3757" s="247"/>
    </row>
    <row r="3758">
      <c r="C3758" s="277"/>
      <c r="O3758" s="247"/>
      <c r="AC3758" s="247"/>
      <c r="AT3758" s="247"/>
    </row>
    <row r="3759">
      <c r="C3759" s="277"/>
      <c r="O3759" s="247"/>
      <c r="AC3759" s="247"/>
      <c r="AT3759" s="247"/>
    </row>
    <row r="3760">
      <c r="C3760" s="277"/>
      <c r="O3760" s="247"/>
      <c r="AC3760" s="247"/>
      <c r="AT3760" s="247"/>
    </row>
    <row r="3761">
      <c r="C3761" s="277"/>
      <c r="O3761" s="247"/>
      <c r="AC3761" s="247"/>
      <c r="AT3761" s="247"/>
    </row>
    <row r="3762">
      <c r="C3762" s="277"/>
      <c r="O3762" s="247"/>
      <c r="AC3762" s="247"/>
      <c r="AT3762" s="247"/>
    </row>
    <row r="3763">
      <c r="C3763" s="277"/>
      <c r="O3763" s="247"/>
      <c r="AC3763" s="247"/>
      <c r="AT3763" s="247"/>
    </row>
    <row r="3764">
      <c r="C3764" s="277"/>
      <c r="O3764" s="247"/>
      <c r="AC3764" s="247"/>
      <c r="AT3764" s="247"/>
    </row>
    <row r="3765">
      <c r="C3765" s="277"/>
      <c r="O3765" s="247"/>
      <c r="AC3765" s="247"/>
      <c r="AT3765" s="247"/>
    </row>
    <row r="3766">
      <c r="C3766" s="277"/>
      <c r="O3766" s="247"/>
      <c r="AC3766" s="247"/>
      <c r="AT3766" s="247"/>
    </row>
    <row r="3767">
      <c r="C3767" s="277"/>
      <c r="O3767" s="247"/>
      <c r="AC3767" s="247"/>
      <c r="AT3767" s="247"/>
    </row>
    <row r="3768">
      <c r="C3768" s="277"/>
      <c r="O3768" s="247"/>
      <c r="AC3768" s="247"/>
      <c r="AT3768" s="247"/>
    </row>
    <row r="3769">
      <c r="C3769" s="277"/>
      <c r="O3769" s="247"/>
      <c r="AC3769" s="247"/>
      <c r="AT3769" s="247"/>
    </row>
    <row r="3770">
      <c r="C3770" s="277"/>
      <c r="O3770" s="247"/>
      <c r="AC3770" s="247"/>
      <c r="AT3770" s="247"/>
    </row>
    <row r="3771">
      <c r="C3771" s="277"/>
      <c r="O3771" s="247"/>
      <c r="AC3771" s="247"/>
      <c r="AT3771" s="247"/>
    </row>
    <row r="3772">
      <c r="C3772" s="277"/>
      <c r="O3772" s="247"/>
      <c r="AC3772" s="247"/>
      <c r="AT3772" s="247"/>
    </row>
    <row r="3773">
      <c r="C3773" s="277"/>
      <c r="O3773" s="247"/>
      <c r="AC3773" s="247"/>
      <c r="AT3773" s="247"/>
    </row>
    <row r="3774">
      <c r="C3774" s="277"/>
      <c r="O3774" s="247"/>
      <c r="AC3774" s="247"/>
      <c r="AT3774" s="247"/>
    </row>
    <row r="3775">
      <c r="C3775" s="277"/>
      <c r="O3775" s="247"/>
      <c r="AC3775" s="247"/>
      <c r="AT3775" s="247"/>
    </row>
    <row r="3776">
      <c r="C3776" s="277"/>
      <c r="O3776" s="247"/>
      <c r="AC3776" s="247"/>
      <c r="AT3776" s="247"/>
    </row>
    <row r="3777">
      <c r="C3777" s="277"/>
      <c r="O3777" s="247"/>
      <c r="AC3777" s="247"/>
      <c r="AT3777" s="247"/>
    </row>
    <row r="3778">
      <c r="C3778" s="277"/>
      <c r="O3778" s="247"/>
      <c r="AC3778" s="247"/>
      <c r="AT3778" s="247"/>
    </row>
    <row r="3779">
      <c r="C3779" s="277"/>
      <c r="O3779" s="247"/>
      <c r="AC3779" s="247"/>
      <c r="AT3779" s="247"/>
    </row>
    <row r="3780">
      <c r="C3780" s="277"/>
      <c r="O3780" s="247"/>
      <c r="AC3780" s="247"/>
      <c r="AT3780" s="247"/>
    </row>
    <row r="3781">
      <c r="C3781" s="277"/>
      <c r="O3781" s="247"/>
      <c r="AC3781" s="247"/>
      <c r="AT3781" s="247"/>
    </row>
    <row r="3782">
      <c r="C3782" s="277"/>
      <c r="O3782" s="247"/>
      <c r="AC3782" s="247"/>
      <c r="AT3782" s="247"/>
    </row>
    <row r="3783">
      <c r="C3783" s="277"/>
      <c r="O3783" s="247"/>
      <c r="AC3783" s="247"/>
      <c r="AT3783" s="247"/>
    </row>
    <row r="3784">
      <c r="C3784" s="277"/>
      <c r="O3784" s="247"/>
      <c r="AC3784" s="247"/>
      <c r="AT3784" s="247"/>
    </row>
    <row r="3785">
      <c r="C3785" s="277"/>
      <c r="O3785" s="247"/>
      <c r="AC3785" s="247"/>
      <c r="AT3785" s="247"/>
    </row>
    <row r="3786">
      <c r="C3786" s="277"/>
      <c r="O3786" s="247"/>
      <c r="AC3786" s="247"/>
      <c r="AT3786" s="247"/>
    </row>
    <row r="3787">
      <c r="C3787" s="277"/>
      <c r="O3787" s="247"/>
      <c r="AC3787" s="247"/>
      <c r="AT3787" s="247"/>
    </row>
    <row r="3788">
      <c r="C3788" s="277"/>
      <c r="O3788" s="247"/>
      <c r="AC3788" s="247"/>
      <c r="AT3788" s="247"/>
    </row>
    <row r="3789">
      <c r="C3789" s="277"/>
      <c r="O3789" s="247"/>
      <c r="AC3789" s="247"/>
      <c r="AT3789" s="247"/>
    </row>
    <row r="3790">
      <c r="C3790" s="277"/>
      <c r="O3790" s="247"/>
      <c r="AC3790" s="247"/>
      <c r="AT3790" s="247"/>
    </row>
    <row r="3791">
      <c r="C3791" s="277"/>
      <c r="O3791" s="247"/>
      <c r="AC3791" s="247"/>
      <c r="AT3791" s="247"/>
    </row>
    <row r="3792">
      <c r="C3792" s="277"/>
      <c r="O3792" s="247"/>
      <c r="AC3792" s="247"/>
      <c r="AT3792" s="247"/>
    </row>
    <row r="3793">
      <c r="C3793" s="277"/>
      <c r="O3793" s="247"/>
      <c r="AC3793" s="247"/>
      <c r="AT3793" s="247"/>
    </row>
    <row r="3794">
      <c r="C3794" s="277"/>
      <c r="O3794" s="247"/>
      <c r="AC3794" s="247"/>
      <c r="AT3794" s="247"/>
    </row>
    <row r="3795">
      <c r="C3795" s="277"/>
      <c r="O3795" s="247"/>
      <c r="AC3795" s="247"/>
      <c r="AT3795" s="247"/>
    </row>
    <row r="3796">
      <c r="C3796" s="277"/>
      <c r="O3796" s="247"/>
      <c r="AC3796" s="247"/>
      <c r="AT3796" s="247"/>
    </row>
    <row r="3797">
      <c r="C3797" s="277"/>
      <c r="O3797" s="247"/>
      <c r="AC3797" s="247"/>
      <c r="AT3797" s="247"/>
    </row>
    <row r="3798">
      <c r="C3798" s="277"/>
      <c r="O3798" s="247"/>
      <c r="AC3798" s="247"/>
      <c r="AT3798" s="247"/>
    </row>
    <row r="3799">
      <c r="C3799" s="277"/>
      <c r="O3799" s="247"/>
      <c r="AC3799" s="247"/>
      <c r="AT3799" s="247"/>
    </row>
    <row r="3800">
      <c r="C3800" s="277"/>
      <c r="O3800" s="247"/>
      <c r="AC3800" s="247"/>
      <c r="AT3800" s="247"/>
    </row>
    <row r="3801">
      <c r="C3801" s="277"/>
      <c r="O3801" s="247"/>
      <c r="AC3801" s="247"/>
      <c r="AT3801" s="247"/>
    </row>
    <row r="3802">
      <c r="C3802" s="277"/>
      <c r="O3802" s="247"/>
      <c r="AC3802" s="247"/>
      <c r="AT3802" s="247"/>
    </row>
    <row r="3803">
      <c r="C3803" s="277"/>
      <c r="O3803" s="247"/>
      <c r="AC3803" s="247"/>
      <c r="AT3803" s="247"/>
    </row>
    <row r="3804">
      <c r="C3804" s="277"/>
      <c r="O3804" s="247"/>
      <c r="AC3804" s="247"/>
      <c r="AT3804" s="247"/>
    </row>
    <row r="3805">
      <c r="C3805" s="277"/>
      <c r="O3805" s="247"/>
      <c r="AC3805" s="247"/>
      <c r="AT3805" s="247"/>
    </row>
    <row r="3806">
      <c r="C3806" s="277"/>
      <c r="O3806" s="247"/>
      <c r="AC3806" s="247"/>
      <c r="AT3806" s="247"/>
    </row>
    <row r="3807">
      <c r="C3807" s="277"/>
      <c r="O3807" s="247"/>
      <c r="AC3807" s="247"/>
      <c r="AT3807" s="247"/>
    </row>
    <row r="3808">
      <c r="C3808" s="277"/>
      <c r="O3808" s="247"/>
      <c r="AC3808" s="247"/>
      <c r="AT3808" s="247"/>
    </row>
    <row r="3809">
      <c r="C3809" s="277"/>
      <c r="O3809" s="247"/>
      <c r="AC3809" s="247"/>
      <c r="AT3809" s="247"/>
    </row>
    <row r="3810">
      <c r="C3810" s="277"/>
      <c r="O3810" s="247"/>
      <c r="AC3810" s="247"/>
      <c r="AT3810" s="247"/>
    </row>
    <row r="3811">
      <c r="C3811" s="277"/>
      <c r="O3811" s="247"/>
      <c r="AC3811" s="247"/>
      <c r="AT3811" s="247"/>
    </row>
    <row r="3812">
      <c r="C3812" s="277"/>
      <c r="O3812" s="247"/>
      <c r="AC3812" s="247"/>
      <c r="AT3812" s="247"/>
    </row>
    <row r="3813">
      <c r="C3813" s="277"/>
      <c r="O3813" s="247"/>
      <c r="AC3813" s="247"/>
      <c r="AT3813" s="247"/>
    </row>
    <row r="3814">
      <c r="C3814" s="277"/>
      <c r="O3814" s="247"/>
      <c r="AC3814" s="247"/>
      <c r="AT3814" s="247"/>
    </row>
    <row r="3815">
      <c r="C3815" s="277"/>
      <c r="O3815" s="247"/>
      <c r="AC3815" s="247"/>
      <c r="AT3815" s="247"/>
    </row>
    <row r="3816">
      <c r="C3816" s="277"/>
      <c r="O3816" s="247"/>
      <c r="AC3816" s="247"/>
      <c r="AT3816" s="247"/>
    </row>
    <row r="3817">
      <c r="C3817" s="277"/>
      <c r="O3817" s="247"/>
      <c r="AC3817" s="247"/>
      <c r="AT3817" s="247"/>
    </row>
    <row r="3818">
      <c r="C3818" s="277"/>
      <c r="O3818" s="247"/>
      <c r="AC3818" s="247"/>
      <c r="AT3818" s="247"/>
    </row>
    <row r="3819">
      <c r="C3819" s="277"/>
      <c r="O3819" s="247"/>
      <c r="AC3819" s="247"/>
      <c r="AT3819" s="247"/>
    </row>
    <row r="3820">
      <c r="C3820" s="277"/>
      <c r="O3820" s="247"/>
      <c r="AC3820" s="247"/>
      <c r="AT3820" s="247"/>
    </row>
    <row r="3821">
      <c r="C3821" s="277"/>
      <c r="O3821" s="247"/>
      <c r="AC3821" s="247"/>
      <c r="AT3821" s="247"/>
    </row>
    <row r="3822">
      <c r="C3822" s="277"/>
      <c r="O3822" s="247"/>
      <c r="AC3822" s="247"/>
      <c r="AT3822" s="247"/>
    </row>
    <row r="3823">
      <c r="C3823" s="277"/>
      <c r="O3823" s="247"/>
      <c r="AC3823" s="247"/>
      <c r="AT3823" s="247"/>
    </row>
    <row r="3824">
      <c r="C3824" s="277"/>
      <c r="O3824" s="247"/>
      <c r="AC3824" s="247"/>
      <c r="AT3824" s="247"/>
    </row>
    <row r="3825">
      <c r="C3825" s="277"/>
      <c r="O3825" s="247"/>
      <c r="AC3825" s="247"/>
      <c r="AT3825" s="247"/>
    </row>
    <row r="3826">
      <c r="C3826" s="277"/>
      <c r="O3826" s="247"/>
      <c r="AC3826" s="247"/>
      <c r="AT3826" s="247"/>
    </row>
    <row r="3827">
      <c r="C3827" s="277"/>
      <c r="O3827" s="247"/>
      <c r="AC3827" s="247"/>
      <c r="AT3827" s="247"/>
    </row>
    <row r="3828">
      <c r="C3828" s="277"/>
      <c r="O3828" s="247"/>
      <c r="AC3828" s="247"/>
      <c r="AT3828" s="247"/>
    </row>
    <row r="3829">
      <c r="C3829" s="277"/>
      <c r="O3829" s="247"/>
      <c r="AC3829" s="247"/>
      <c r="AT3829" s="247"/>
    </row>
    <row r="3830">
      <c r="C3830" s="277"/>
      <c r="O3830" s="247"/>
      <c r="AC3830" s="247"/>
      <c r="AT3830" s="247"/>
    </row>
    <row r="3831">
      <c r="C3831" s="277"/>
      <c r="O3831" s="247"/>
      <c r="AC3831" s="247"/>
      <c r="AT3831" s="247"/>
    </row>
    <row r="3832">
      <c r="C3832" s="277"/>
      <c r="O3832" s="247"/>
      <c r="AC3832" s="247"/>
      <c r="AT3832" s="247"/>
    </row>
    <row r="3833">
      <c r="C3833" s="277"/>
      <c r="O3833" s="247"/>
      <c r="AC3833" s="247"/>
      <c r="AT3833" s="247"/>
    </row>
    <row r="3834">
      <c r="C3834" s="277"/>
      <c r="O3834" s="247"/>
      <c r="AC3834" s="247"/>
      <c r="AT3834" s="247"/>
    </row>
    <row r="3835">
      <c r="C3835" s="277"/>
      <c r="O3835" s="247"/>
      <c r="AC3835" s="247"/>
      <c r="AT3835" s="247"/>
    </row>
    <row r="3836">
      <c r="C3836" s="277"/>
      <c r="O3836" s="247"/>
      <c r="AC3836" s="247"/>
      <c r="AT3836" s="247"/>
    </row>
    <row r="3837">
      <c r="C3837" s="277"/>
      <c r="O3837" s="247"/>
      <c r="AC3837" s="247"/>
      <c r="AT3837" s="247"/>
    </row>
    <row r="3838">
      <c r="C3838" s="277"/>
      <c r="O3838" s="247"/>
      <c r="AC3838" s="247"/>
      <c r="AT3838" s="247"/>
    </row>
    <row r="3839">
      <c r="C3839" s="277"/>
      <c r="O3839" s="247"/>
      <c r="AC3839" s="247"/>
      <c r="AT3839" s="247"/>
    </row>
    <row r="3840">
      <c r="C3840" s="277"/>
      <c r="O3840" s="247"/>
      <c r="AC3840" s="247"/>
      <c r="AT3840" s="247"/>
    </row>
    <row r="3841">
      <c r="C3841" s="277"/>
      <c r="O3841" s="247"/>
      <c r="AC3841" s="247"/>
      <c r="AT3841" s="247"/>
    </row>
    <row r="3842">
      <c r="C3842" s="277"/>
      <c r="O3842" s="247"/>
      <c r="AC3842" s="247"/>
      <c r="AT3842" s="247"/>
    </row>
    <row r="3843">
      <c r="C3843" s="277"/>
      <c r="O3843" s="247"/>
      <c r="AC3843" s="247"/>
      <c r="AT3843" s="247"/>
    </row>
    <row r="3844">
      <c r="C3844" s="277"/>
      <c r="O3844" s="247"/>
      <c r="AC3844" s="247"/>
      <c r="AT3844" s="247"/>
    </row>
    <row r="3845">
      <c r="C3845" s="277"/>
      <c r="O3845" s="247"/>
      <c r="AC3845" s="247"/>
      <c r="AT3845" s="247"/>
    </row>
    <row r="3846">
      <c r="C3846" s="277"/>
      <c r="O3846" s="247"/>
      <c r="AC3846" s="247"/>
      <c r="AT3846" s="247"/>
    </row>
    <row r="3847">
      <c r="C3847" s="277"/>
      <c r="O3847" s="247"/>
      <c r="AC3847" s="247"/>
      <c r="AT3847" s="247"/>
    </row>
    <row r="3848">
      <c r="C3848" s="277"/>
      <c r="O3848" s="247"/>
      <c r="AC3848" s="247"/>
      <c r="AT3848" s="247"/>
    </row>
    <row r="3849">
      <c r="C3849" s="277"/>
      <c r="O3849" s="247"/>
      <c r="AC3849" s="247"/>
      <c r="AT3849" s="247"/>
    </row>
    <row r="3850">
      <c r="C3850" s="277"/>
      <c r="O3850" s="247"/>
      <c r="AC3850" s="247"/>
      <c r="AT3850" s="247"/>
    </row>
    <row r="3851">
      <c r="C3851" s="277"/>
      <c r="O3851" s="247"/>
      <c r="AC3851" s="247"/>
      <c r="AT3851" s="247"/>
    </row>
    <row r="3852">
      <c r="C3852" s="277"/>
      <c r="O3852" s="247"/>
      <c r="AC3852" s="247"/>
      <c r="AT3852" s="247"/>
    </row>
    <row r="3853">
      <c r="C3853" s="277"/>
      <c r="O3853" s="247"/>
      <c r="AC3853" s="247"/>
      <c r="AT3853" s="247"/>
    </row>
    <row r="3854">
      <c r="C3854" s="277"/>
      <c r="O3854" s="247"/>
      <c r="AC3854" s="247"/>
      <c r="AT3854" s="247"/>
    </row>
    <row r="3855">
      <c r="C3855" s="277"/>
      <c r="O3855" s="247"/>
      <c r="AC3855" s="247"/>
      <c r="AT3855" s="247"/>
    </row>
    <row r="3856">
      <c r="C3856" s="277"/>
      <c r="O3856" s="247"/>
      <c r="AC3856" s="247"/>
      <c r="AT3856" s="247"/>
    </row>
    <row r="3857">
      <c r="C3857" s="277"/>
      <c r="O3857" s="247"/>
      <c r="AC3857" s="247"/>
      <c r="AT3857" s="247"/>
    </row>
    <row r="3858">
      <c r="C3858" s="277"/>
      <c r="O3858" s="247"/>
      <c r="AC3858" s="247"/>
      <c r="AT3858" s="247"/>
    </row>
    <row r="3859">
      <c r="C3859" s="277"/>
      <c r="O3859" s="247"/>
      <c r="AC3859" s="247"/>
      <c r="AT3859" s="247"/>
    </row>
    <row r="3860">
      <c r="C3860" s="277"/>
      <c r="O3860" s="247"/>
      <c r="AC3860" s="247"/>
      <c r="AT3860" s="247"/>
    </row>
    <row r="3861">
      <c r="C3861" s="277"/>
      <c r="O3861" s="247"/>
      <c r="AC3861" s="247"/>
      <c r="AT3861" s="247"/>
    </row>
    <row r="3862">
      <c r="C3862" s="277"/>
      <c r="O3862" s="247"/>
      <c r="AC3862" s="247"/>
      <c r="AT3862" s="247"/>
    </row>
    <row r="3863">
      <c r="C3863" s="277"/>
      <c r="O3863" s="247"/>
      <c r="AC3863" s="247"/>
      <c r="AT3863" s="247"/>
    </row>
    <row r="3864">
      <c r="C3864" s="277"/>
      <c r="O3864" s="247"/>
      <c r="AC3864" s="247"/>
      <c r="AT3864" s="247"/>
    </row>
    <row r="3865">
      <c r="C3865" s="277"/>
      <c r="O3865" s="247"/>
      <c r="AC3865" s="247"/>
      <c r="AT3865" s="247"/>
    </row>
    <row r="3866">
      <c r="C3866" s="277"/>
      <c r="O3866" s="247"/>
      <c r="AC3866" s="247"/>
      <c r="AT3866" s="247"/>
    </row>
    <row r="3867">
      <c r="C3867" s="277"/>
      <c r="O3867" s="247"/>
      <c r="AC3867" s="247"/>
      <c r="AT3867" s="247"/>
    </row>
    <row r="3868">
      <c r="C3868" s="277"/>
      <c r="O3868" s="247"/>
      <c r="AC3868" s="247"/>
      <c r="AT3868" s="247"/>
    </row>
    <row r="3869">
      <c r="C3869" s="277"/>
      <c r="O3869" s="247"/>
      <c r="AC3869" s="247"/>
      <c r="AT3869" s="247"/>
    </row>
    <row r="3870">
      <c r="C3870" s="277"/>
      <c r="O3870" s="247"/>
      <c r="AC3870" s="247"/>
      <c r="AT3870" s="247"/>
    </row>
    <row r="3871">
      <c r="C3871" s="277"/>
      <c r="O3871" s="247"/>
      <c r="AC3871" s="247"/>
      <c r="AT3871" s="247"/>
    </row>
    <row r="3872">
      <c r="C3872" s="277"/>
      <c r="O3872" s="247"/>
      <c r="AC3872" s="247"/>
      <c r="AT3872" s="247"/>
    </row>
    <row r="3873">
      <c r="C3873" s="277"/>
      <c r="O3873" s="247"/>
      <c r="AC3873" s="247"/>
      <c r="AT3873" s="247"/>
    </row>
    <row r="3874">
      <c r="C3874" s="277"/>
      <c r="O3874" s="247"/>
      <c r="AC3874" s="247"/>
      <c r="AT3874" s="247"/>
    </row>
    <row r="3875">
      <c r="C3875" s="277"/>
      <c r="O3875" s="247"/>
      <c r="AC3875" s="247"/>
      <c r="AT3875" s="247"/>
    </row>
    <row r="3876">
      <c r="C3876" s="277"/>
      <c r="O3876" s="247"/>
      <c r="AC3876" s="247"/>
      <c r="AT3876" s="247"/>
    </row>
    <row r="3877">
      <c r="C3877" s="277"/>
      <c r="O3877" s="247"/>
      <c r="AC3877" s="247"/>
      <c r="AT3877" s="247"/>
    </row>
    <row r="3878">
      <c r="C3878" s="277"/>
      <c r="O3878" s="247"/>
      <c r="AC3878" s="247"/>
      <c r="AT3878" s="247"/>
    </row>
    <row r="3879">
      <c r="C3879" s="277"/>
      <c r="O3879" s="247"/>
      <c r="AC3879" s="247"/>
      <c r="AT3879" s="247"/>
    </row>
    <row r="3880">
      <c r="C3880" s="277"/>
      <c r="O3880" s="247"/>
      <c r="AC3880" s="247"/>
      <c r="AT3880" s="247"/>
    </row>
    <row r="3881">
      <c r="C3881" s="277"/>
      <c r="O3881" s="247"/>
      <c r="AC3881" s="247"/>
      <c r="AT3881" s="247"/>
    </row>
    <row r="3882">
      <c r="C3882" s="277"/>
      <c r="O3882" s="247"/>
      <c r="AC3882" s="247"/>
      <c r="AT3882" s="247"/>
    </row>
    <row r="3883">
      <c r="C3883" s="277"/>
      <c r="O3883" s="247"/>
      <c r="AC3883" s="247"/>
      <c r="AT3883" s="247"/>
    </row>
    <row r="3884">
      <c r="C3884" s="277"/>
      <c r="O3884" s="247"/>
      <c r="AC3884" s="247"/>
      <c r="AT3884" s="247"/>
    </row>
    <row r="3885">
      <c r="C3885" s="277"/>
      <c r="O3885" s="247"/>
      <c r="AC3885" s="247"/>
      <c r="AT3885" s="247"/>
    </row>
    <row r="3886">
      <c r="C3886" s="277"/>
      <c r="O3886" s="247"/>
      <c r="AC3886" s="247"/>
      <c r="AT3886" s="247"/>
    </row>
    <row r="3887">
      <c r="C3887" s="277"/>
      <c r="O3887" s="247"/>
      <c r="AC3887" s="247"/>
      <c r="AT3887" s="247"/>
    </row>
    <row r="3888">
      <c r="C3888" s="277"/>
      <c r="O3888" s="247"/>
      <c r="AC3888" s="247"/>
      <c r="AT3888" s="247"/>
    </row>
    <row r="3889">
      <c r="C3889" s="277"/>
      <c r="O3889" s="247"/>
      <c r="AC3889" s="247"/>
      <c r="AT3889" s="247"/>
    </row>
    <row r="3890">
      <c r="C3890" s="277"/>
      <c r="O3890" s="247"/>
      <c r="AC3890" s="247"/>
      <c r="AT3890" s="247"/>
    </row>
    <row r="3891">
      <c r="C3891" s="277"/>
      <c r="O3891" s="247"/>
      <c r="AC3891" s="247"/>
      <c r="AT3891" s="247"/>
    </row>
    <row r="3892">
      <c r="C3892" s="277"/>
      <c r="O3892" s="247"/>
      <c r="AC3892" s="247"/>
      <c r="AT3892" s="247"/>
    </row>
    <row r="3893">
      <c r="C3893" s="277"/>
      <c r="O3893" s="247"/>
      <c r="AC3893" s="247"/>
      <c r="AT3893" s="247"/>
    </row>
    <row r="3894">
      <c r="C3894" s="277"/>
      <c r="O3894" s="247"/>
      <c r="AC3894" s="247"/>
      <c r="AT3894" s="247"/>
    </row>
    <row r="3895">
      <c r="C3895" s="277"/>
      <c r="O3895" s="247"/>
      <c r="AC3895" s="247"/>
      <c r="AT3895" s="247"/>
    </row>
    <row r="3896">
      <c r="C3896" s="277"/>
      <c r="O3896" s="247"/>
      <c r="AC3896" s="247"/>
      <c r="AT3896" s="247"/>
    </row>
    <row r="3897">
      <c r="C3897" s="277"/>
      <c r="O3897" s="247"/>
      <c r="AC3897" s="247"/>
      <c r="AT3897" s="247"/>
    </row>
    <row r="3898">
      <c r="C3898" s="277"/>
      <c r="O3898" s="247"/>
      <c r="AC3898" s="247"/>
      <c r="AT3898" s="247"/>
    </row>
    <row r="3899">
      <c r="C3899" s="277"/>
      <c r="O3899" s="247"/>
      <c r="AC3899" s="247"/>
      <c r="AT3899" s="247"/>
    </row>
    <row r="3900">
      <c r="C3900" s="277"/>
      <c r="O3900" s="247"/>
      <c r="AC3900" s="247"/>
      <c r="AT3900" s="247"/>
    </row>
    <row r="3901">
      <c r="C3901" s="277"/>
      <c r="O3901" s="247"/>
      <c r="AC3901" s="247"/>
      <c r="AT3901" s="247"/>
    </row>
    <row r="3902">
      <c r="C3902" s="277"/>
      <c r="O3902" s="247"/>
      <c r="AC3902" s="247"/>
      <c r="AT3902" s="247"/>
    </row>
    <row r="3903">
      <c r="C3903" s="277"/>
      <c r="O3903" s="247"/>
      <c r="AC3903" s="247"/>
      <c r="AT3903" s="247"/>
    </row>
    <row r="3904">
      <c r="C3904" s="277"/>
      <c r="O3904" s="247"/>
      <c r="AC3904" s="247"/>
      <c r="AT3904" s="247"/>
    </row>
    <row r="3905">
      <c r="C3905" s="277"/>
      <c r="O3905" s="247"/>
      <c r="AC3905" s="247"/>
      <c r="AT3905" s="247"/>
    </row>
    <row r="3906">
      <c r="C3906" s="277"/>
      <c r="O3906" s="247"/>
      <c r="AC3906" s="247"/>
      <c r="AT3906" s="247"/>
    </row>
    <row r="3907">
      <c r="C3907" s="277"/>
      <c r="O3907" s="247"/>
      <c r="AC3907" s="247"/>
      <c r="AT3907" s="247"/>
    </row>
    <row r="3908">
      <c r="C3908" s="277"/>
      <c r="O3908" s="247"/>
      <c r="AC3908" s="247"/>
      <c r="AT3908" s="247"/>
    </row>
    <row r="3909">
      <c r="C3909" s="277"/>
      <c r="O3909" s="247"/>
      <c r="AC3909" s="247"/>
      <c r="AT3909" s="247"/>
    </row>
    <row r="3910">
      <c r="C3910" s="277"/>
      <c r="O3910" s="247"/>
      <c r="AC3910" s="247"/>
      <c r="AT3910" s="247"/>
    </row>
    <row r="3911">
      <c r="C3911" s="277"/>
      <c r="O3911" s="247"/>
      <c r="AC3911" s="247"/>
      <c r="AT3911" s="247"/>
    </row>
    <row r="3912">
      <c r="C3912" s="277"/>
      <c r="O3912" s="247"/>
      <c r="AC3912" s="247"/>
      <c r="AT3912" s="247"/>
    </row>
    <row r="3913">
      <c r="C3913" s="277"/>
      <c r="O3913" s="247"/>
      <c r="AC3913" s="247"/>
      <c r="AT3913" s="247"/>
    </row>
    <row r="3914">
      <c r="C3914" s="277"/>
      <c r="O3914" s="247"/>
      <c r="AC3914" s="247"/>
      <c r="AT3914" s="247"/>
    </row>
    <row r="3915">
      <c r="C3915" s="277"/>
      <c r="O3915" s="247"/>
      <c r="AC3915" s="247"/>
      <c r="AT3915" s="247"/>
    </row>
    <row r="3916">
      <c r="C3916" s="277"/>
      <c r="O3916" s="247"/>
      <c r="AC3916" s="247"/>
      <c r="AT3916" s="247"/>
    </row>
    <row r="3917">
      <c r="C3917" s="277"/>
      <c r="O3917" s="247"/>
      <c r="AC3917" s="247"/>
      <c r="AT3917" s="247"/>
    </row>
    <row r="3918">
      <c r="C3918" s="277"/>
      <c r="O3918" s="247"/>
      <c r="AC3918" s="247"/>
      <c r="AT3918" s="247"/>
    </row>
    <row r="3919">
      <c r="C3919" s="277"/>
      <c r="O3919" s="247"/>
      <c r="AC3919" s="247"/>
      <c r="AT3919" s="247"/>
    </row>
    <row r="3920">
      <c r="C3920" s="277"/>
      <c r="O3920" s="247"/>
      <c r="AC3920" s="247"/>
      <c r="AT3920" s="247"/>
    </row>
    <row r="3921">
      <c r="C3921" s="277"/>
      <c r="O3921" s="247"/>
      <c r="AC3921" s="247"/>
      <c r="AT3921" s="247"/>
    </row>
    <row r="3922">
      <c r="C3922" s="277"/>
      <c r="O3922" s="247"/>
      <c r="AC3922" s="247"/>
      <c r="AT3922" s="247"/>
    </row>
    <row r="3923">
      <c r="C3923" s="277"/>
      <c r="O3923" s="247"/>
      <c r="AC3923" s="247"/>
      <c r="AT3923" s="247"/>
    </row>
    <row r="3924">
      <c r="C3924" s="277"/>
      <c r="O3924" s="247"/>
      <c r="AC3924" s="247"/>
      <c r="AT3924" s="247"/>
    </row>
    <row r="3925">
      <c r="C3925" s="277"/>
      <c r="O3925" s="247"/>
      <c r="AC3925" s="247"/>
      <c r="AT3925" s="247"/>
    </row>
    <row r="3926">
      <c r="C3926" s="277"/>
      <c r="O3926" s="247"/>
      <c r="AC3926" s="247"/>
      <c r="AT3926" s="247"/>
    </row>
    <row r="3927">
      <c r="C3927" s="277"/>
      <c r="O3927" s="247"/>
      <c r="AC3927" s="247"/>
      <c r="AT3927" s="247"/>
    </row>
    <row r="3928">
      <c r="C3928" s="277"/>
      <c r="O3928" s="247"/>
      <c r="AC3928" s="247"/>
      <c r="AT3928" s="247"/>
    </row>
    <row r="3929">
      <c r="C3929" s="277"/>
      <c r="O3929" s="247"/>
      <c r="AC3929" s="247"/>
      <c r="AT3929" s="247"/>
    </row>
    <row r="3930">
      <c r="C3930" s="277"/>
      <c r="O3930" s="247"/>
      <c r="AC3930" s="247"/>
      <c r="AT3930" s="247"/>
    </row>
    <row r="3931">
      <c r="C3931" s="277"/>
      <c r="O3931" s="247"/>
      <c r="AC3931" s="247"/>
      <c r="AT3931" s="247"/>
    </row>
    <row r="3932">
      <c r="C3932" s="277"/>
      <c r="O3932" s="247"/>
      <c r="AC3932" s="247"/>
      <c r="AT3932" s="247"/>
    </row>
    <row r="3933">
      <c r="C3933" s="277"/>
      <c r="O3933" s="247"/>
      <c r="AC3933" s="247"/>
      <c r="AT3933" s="247"/>
    </row>
    <row r="3934">
      <c r="C3934" s="277"/>
      <c r="O3934" s="247"/>
      <c r="AC3934" s="247"/>
      <c r="AT3934" s="247"/>
    </row>
    <row r="3935">
      <c r="C3935" s="277"/>
      <c r="O3935" s="247"/>
      <c r="AC3935" s="247"/>
      <c r="AT3935" s="247"/>
    </row>
    <row r="3936">
      <c r="C3936" s="277"/>
      <c r="O3936" s="247"/>
      <c r="AC3936" s="247"/>
      <c r="AT3936" s="247"/>
    </row>
    <row r="3937">
      <c r="C3937" s="277"/>
      <c r="O3937" s="247"/>
      <c r="AC3937" s="247"/>
      <c r="AT3937" s="247"/>
    </row>
    <row r="3938">
      <c r="C3938" s="277"/>
      <c r="O3938" s="247"/>
      <c r="AC3938" s="247"/>
      <c r="AT3938" s="247"/>
    </row>
    <row r="3939">
      <c r="C3939" s="277"/>
      <c r="O3939" s="247"/>
      <c r="AC3939" s="247"/>
      <c r="AT3939" s="247"/>
    </row>
    <row r="3940">
      <c r="C3940" s="277"/>
      <c r="O3940" s="247"/>
      <c r="AC3940" s="247"/>
      <c r="AT3940" s="247"/>
    </row>
    <row r="3941">
      <c r="C3941" s="277"/>
      <c r="O3941" s="247"/>
      <c r="AC3941" s="247"/>
      <c r="AT3941" s="247"/>
    </row>
    <row r="3942">
      <c r="C3942" s="277"/>
      <c r="O3942" s="247"/>
      <c r="AC3942" s="247"/>
      <c r="AT3942" s="247"/>
    </row>
    <row r="3943">
      <c r="C3943" s="277"/>
      <c r="O3943" s="247"/>
      <c r="AC3943" s="247"/>
      <c r="AT3943" s="247"/>
    </row>
    <row r="3944">
      <c r="C3944" s="277"/>
      <c r="O3944" s="247"/>
      <c r="AC3944" s="247"/>
      <c r="AT3944" s="247"/>
    </row>
    <row r="3945">
      <c r="C3945" s="277"/>
      <c r="O3945" s="247"/>
      <c r="AC3945" s="247"/>
      <c r="AT3945" s="247"/>
    </row>
    <row r="3946">
      <c r="C3946" s="277"/>
      <c r="O3946" s="247"/>
      <c r="AC3946" s="247"/>
      <c r="AT3946" s="247"/>
    </row>
    <row r="3947">
      <c r="C3947" s="277"/>
      <c r="O3947" s="247"/>
      <c r="AC3947" s="247"/>
      <c r="AT3947" s="247"/>
    </row>
    <row r="3948">
      <c r="C3948" s="277"/>
      <c r="O3948" s="247"/>
      <c r="AC3948" s="247"/>
      <c r="AT3948" s="247"/>
    </row>
    <row r="3949">
      <c r="C3949" s="277"/>
      <c r="O3949" s="247"/>
      <c r="AC3949" s="247"/>
      <c r="AT3949" s="247"/>
    </row>
    <row r="3950">
      <c r="C3950" s="277"/>
      <c r="O3950" s="247"/>
      <c r="AC3950" s="247"/>
      <c r="AT3950" s="247"/>
    </row>
    <row r="3951">
      <c r="C3951" s="277"/>
      <c r="O3951" s="247"/>
      <c r="AC3951" s="247"/>
      <c r="AT3951" s="247"/>
    </row>
    <row r="3952">
      <c r="C3952" s="277"/>
      <c r="O3952" s="247"/>
      <c r="AC3952" s="247"/>
      <c r="AT3952" s="247"/>
    </row>
    <row r="3953">
      <c r="C3953" s="277"/>
      <c r="O3953" s="247"/>
      <c r="AC3953" s="247"/>
      <c r="AT3953" s="247"/>
    </row>
    <row r="3954">
      <c r="C3954" s="277"/>
      <c r="O3954" s="247"/>
      <c r="AC3954" s="247"/>
      <c r="AT3954" s="247"/>
    </row>
    <row r="3955">
      <c r="C3955" s="277"/>
      <c r="O3955" s="247"/>
      <c r="AC3955" s="247"/>
      <c r="AT3955" s="247"/>
    </row>
    <row r="3956">
      <c r="C3956" s="277"/>
      <c r="O3956" s="247"/>
      <c r="AC3956" s="247"/>
      <c r="AT3956" s="247"/>
    </row>
    <row r="3957">
      <c r="C3957" s="277"/>
      <c r="O3957" s="247"/>
      <c r="AC3957" s="247"/>
      <c r="AT3957" s="247"/>
    </row>
    <row r="3958">
      <c r="C3958" s="277"/>
      <c r="O3958" s="247"/>
      <c r="AC3958" s="247"/>
      <c r="AT3958" s="247"/>
    </row>
    <row r="3959">
      <c r="C3959" s="277"/>
      <c r="O3959" s="247"/>
      <c r="AC3959" s="247"/>
      <c r="AT3959" s="247"/>
    </row>
    <row r="3960">
      <c r="C3960" s="277"/>
      <c r="O3960" s="247"/>
      <c r="AC3960" s="247"/>
      <c r="AT3960" s="247"/>
    </row>
    <row r="3961">
      <c r="C3961" s="277"/>
      <c r="O3961" s="247"/>
      <c r="AC3961" s="247"/>
      <c r="AT3961" s="247"/>
    </row>
    <row r="3962">
      <c r="C3962" s="277"/>
      <c r="O3962" s="247"/>
      <c r="AC3962" s="247"/>
      <c r="AT3962" s="247"/>
    </row>
    <row r="3963">
      <c r="C3963" s="277"/>
      <c r="O3963" s="247"/>
      <c r="AC3963" s="247"/>
      <c r="AT3963" s="247"/>
    </row>
    <row r="3964">
      <c r="C3964" s="277"/>
      <c r="O3964" s="247"/>
      <c r="AC3964" s="247"/>
      <c r="AT3964" s="247"/>
    </row>
    <row r="3965">
      <c r="C3965" s="277"/>
      <c r="O3965" s="247"/>
      <c r="AC3965" s="247"/>
      <c r="AT3965" s="247"/>
    </row>
    <row r="3966">
      <c r="C3966" s="277"/>
      <c r="O3966" s="247"/>
      <c r="AC3966" s="247"/>
      <c r="AT3966" s="247"/>
    </row>
    <row r="3967">
      <c r="C3967" s="277"/>
      <c r="O3967" s="247"/>
      <c r="AC3967" s="247"/>
      <c r="AT3967" s="247"/>
    </row>
    <row r="3968">
      <c r="C3968" s="277"/>
      <c r="O3968" s="247"/>
      <c r="AC3968" s="247"/>
      <c r="AT3968" s="247"/>
    </row>
    <row r="3969">
      <c r="C3969" s="277"/>
      <c r="O3969" s="247"/>
      <c r="AC3969" s="247"/>
      <c r="AT3969" s="247"/>
    </row>
    <row r="3970">
      <c r="C3970" s="277"/>
      <c r="O3970" s="247"/>
      <c r="AC3970" s="247"/>
      <c r="AT3970" s="247"/>
    </row>
    <row r="3971">
      <c r="C3971" s="277"/>
      <c r="O3971" s="247"/>
      <c r="AC3971" s="247"/>
      <c r="AT3971" s="247"/>
    </row>
    <row r="3972">
      <c r="C3972" s="277"/>
      <c r="O3972" s="247"/>
      <c r="AC3972" s="247"/>
      <c r="AT3972" s="247"/>
    </row>
    <row r="3973">
      <c r="C3973" s="277"/>
      <c r="O3973" s="247"/>
      <c r="AC3973" s="247"/>
      <c r="AT3973" s="247"/>
    </row>
    <row r="3974">
      <c r="C3974" s="277"/>
      <c r="O3974" s="247"/>
      <c r="AC3974" s="247"/>
      <c r="AT3974" s="247"/>
    </row>
    <row r="3975">
      <c r="C3975" s="277"/>
      <c r="O3975" s="247"/>
      <c r="AC3975" s="247"/>
      <c r="AT3975" s="247"/>
    </row>
    <row r="3976">
      <c r="C3976" s="277"/>
      <c r="O3976" s="247"/>
      <c r="AC3976" s="247"/>
      <c r="AT3976" s="247"/>
    </row>
    <row r="3977">
      <c r="C3977" s="277"/>
      <c r="O3977" s="247"/>
      <c r="AC3977" s="247"/>
      <c r="AT3977" s="247"/>
    </row>
    <row r="3978">
      <c r="C3978" s="277"/>
      <c r="O3978" s="247"/>
      <c r="AC3978" s="247"/>
      <c r="AT3978" s="247"/>
    </row>
    <row r="3979">
      <c r="C3979" s="277"/>
      <c r="O3979" s="247"/>
      <c r="AC3979" s="247"/>
      <c r="AT3979" s="247"/>
    </row>
    <row r="3980">
      <c r="C3980" s="277"/>
      <c r="O3980" s="247"/>
      <c r="AC3980" s="247"/>
      <c r="AT3980" s="247"/>
    </row>
    <row r="3981">
      <c r="C3981" s="277"/>
      <c r="O3981" s="247"/>
      <c r="AC3981" s="247"/>
      <c r="AT3981" s="247"/>
    </row>
    <row r="3982">
      <c r="C3982" s="277"/>
      <c r="O3982" s="247"/>
      <c r="AC3982" s="247"/>
      <c r="AT3982" s="247"/>
    </row>
    <row r="3983">
      <c r="C3983" s="277"/>
      <c r="O3983" s="247"/>
      <c r="AC3983" s="247"/>
      <c r="AT3983" s="247"/>
    </row>
    <row r="3984">
      <c r="C3984" s="277"/>
      <c r="O3984" s="247"/>
      <c r="AC3984" s="247"/>
      <c r="AT3984" s="247"/>
    </row>
    <row r="3985">
      <c r="C3985" s="277"/>
      <c r="O3985" s="247"/>
      <c r="AC3985" s="247"/>
      <c r="AT3985" s="247"/>
    </row>
    <row r="3986">
      <c r="C3986" s="277"/>
      <c r="O3986" s="247"/>
      <c r="AC3986" s="247"/>
      <c r="AT3986" s="247"/>
    </row>
    <row r="3987">
      <c r="C3987" s="277"/>
      <c r="O3987" s="247"/>
      <c r="AC3987" s="247"/>
      <c r="AT3987" s="247"/>
    </row>
    <row r="3988">
      <c r="C3988" s="277"/>
      <c r="O3988" s="247"/>
      <c r="AC3988" s="247"/>
      <c r="AT3988" s="247"/>
    </row>
    <row r="3989">
      <c r="C3989" s="277"/>
      <c r="O3989" s="247"/>
      <c r="AC3989" s="247"/>
      <c r="AT3989" s="247"/>
    </row>
    <row r="3990">
      <c r="C3990" s="277"/>
      <c r="O3990" s="247"/>
      <c r="AC3990" s="247"/>
      <c r="AT3990" s="247"/>
    </row>
    <row r="3991">
      <c r="C3991" s="277"/>
      <c r="O3991" s="247"/>
      <c r="AC3991" s="247"/>
      <c r="AT3991" s="247"/>
    </row>
    <row r="3992">
      <c r="C3992" s="277"/>
      <c r="O3992" s="247"/>
      <c r="AC3992" s="247"/>
      <c r="AT3992" s="247"/>
    </row>
    <row r="3993">
      <c r="C3993" s="277"/>
      <c r="O3993" s="247"/>
      <c r="AC3993" s="247"/>
      <c r="AT3993" s="247"/>
    </row>
    <row r="3994">
      <c r="C3994" s="277"/>
      <c r="O3994" s="247"/>
      <c r="AC3994" s="247"/>
      <c r="AT3994" s="247"/>
    </row>
    <row r="3995">
      <c r="C3995" s="277"/>
      <c r="O3995" s="247"/>
      <c r="AC3995" s="247"/>
      <c r="AT3995" s="247"/>
    </row>
    <row r="3996">
      <c r="C3996" s="277"/>
      <c r="O3996" s="247"/>
      <c r="AC3996" s="247"/>
      <c r="AT3996" s="247"/>
    </row>
    <row r="3997">
      <c r="C3997" s="277"/>
      <c r="O3997" s="247"/>
      <c r="AC3997" s="247"/>
      <c r="AT3997" s="247"/>
    </row>
    <row r="3998">
      <c r="C3998" s="277"/>
      <c r="O3998" s="247"/>
      <c r="AC3998" s="247"/>
      <c r="AT3998" s="247"/>
    </row>
    <row r="3999">
      <c r="C3999" s="277"/>
      <c r="O3999" s="247"/>
      <c r="AC3999" s="247"/>
      <c r="AT3999" s="247"/>
    </row>
    <row r="4000">
      <c r="C4000" s="277"/>
      <c r="O4000" s="247"/>
      <c r="AC4000" s="247"/>
      <c r="AT4000" s="247"/>
    </row>
    <row r="4001">
      <c r="C4001" s="277"/>
      <c r="O4001" s="247"/>
      <c r="AC4001" s="247"/>
      <c r="AT4001" s="247"/>
    </row>
    <row r="4002">
      <c r="C4002" s="277"/>
      <c r="O4002" s="247"/>
      <c r="AC4002" s="247"/>
      <c r="AT4002" s="247"/>
    </row>
    <row r="4003">
      <c r="C4003" s="277"/>
      <c r="O4003" s="247"/>
      <c r="AC4003" s="247"/>
      <c r="AT4003" s="247"/>
    </row>
    <row r="4004">
      <c r="C4004" s="277"/>
      <c r="O4004" s="247"/>
      <c r="AC4004" s="247"/>
      <c r="AT4004" s="247"/>
    </row>
    <row r="4005">
      <c r="C4005" s="277"/>
      <c r="O4005" s="247"/>
      <c r="AC4005" s="247"/>
      <c r="AT4005" s="247"/>
    </row>
    <row r="4006">
      <c r="C4006" s="277"/>
      <c r="O4006" s="247"/>
      <c r="AC4006" s="247"/>
      <c r="AT4006" s="247"/>
    </row>
    <row r="4007">
      <c r="C4007" s="277"/>
      <c r="O4007" s="247"/>
      <c r="AC4007" s="247"/>
      <c r="AT4007" s="247"/>
    </row>
    <row r="4008">
      <c r="C4008" s="277"/>
      <c r="O4008" s="247"/>
      <c r="AC4008" s="247"/>
      <c r="AT4008" s="247"/>
    </row>
    <row r="4009">
      <c r="C4009" s="277"/>
      <c r="O4009" s="247"/>
      <c r="AC4009" s="247"/>
      <c r="AT4009" s="247"/>
    </row>
    <row r="4010">
      <c r="C4010" s="277"/>
      <c r="O4010" s="247"/>
      <c r="AC4010" s="247"/>
      <c r="AT4010" s="247"/>
    </row>
    <row r="4011">
      <c r="C4011" s="277"/>
      <c r="O4011" s="247"/>
      <c r="AC4011" s="247"/>
      <c r="AT4011" s="247"/>
    </row>
    <row r="4012">
      <c r="C4012" s="277"/>
      <c r="O4012" s="247"/>
      <c r="AC4012" s="247"/>
      <c r="AT4012" s="247"/>
    </row>
    <row r="4013">
      <c r="C4013" s="277"/>
      <c r="O4013" s="247"/>
      <c r="AC4013" s="247"/>
      <c r="AT4013" s="247"/>
    </row>
    <row r="4014">
      <c r="C4014" s="277"/>
      <c r="O4014" s="247"/>
      <c r="AC4014" s="247"/>
      <c r="AT4014" s="247"/>
    </row>
    <row r="4015">
      <c r="C4015" s="277"/>
      <c r="O4015" s="247"/>
      <c r="AC4015" s="247"/>
      <c r="AT4015" s="247"/>
    </row>
    <row r="4016">
      <c r="C4016" s="277"/>
      <c r="O4016" s="247"/>
      <c r="AC4016" s="247"/>
      <c r="AT4016" s="247"/>
    </row>
    <row r="4017">
      <c r="C4017" s="277"/>
      <c r="O4017" s="247"/>
      <c r="AC4017" s="247"/>
      <c r="AT4017" s="247"/>
    </row>
    <row r="4018">
      <c r="C4018" s="277"/>
      <c r="O4018" s="247"/>
      <c r="AC4018" s="247"/>
      <c r="AT4018" s="247"/>
    </row>
    <row r="4019">
      <c r="C4019" s="277"/>
      <c r="O4019" s="247"/>
      <c r="AC4019" s="247"/>
      <c r="AT4019" s="247"/>
    </row>
    <row r="4020">
      <c r="C4020" s="277"/>
      <c r="O4020" s="247"/>
      <c r="AC4020" s="247"/>
      <c r="AT4020" s="247"/>
    </row>
    <row r="4021">
      <c r="C4021" s="277"/>
      <c r="O4021" s="247"/>
      <c r="AC4021" s="247"/>
      <c r="AT4021" s="247"/>
    </row>
    <row r="4022">
      <c r="C4022" s="277"/>
      <c r="O4022" s="247"/>
      <c r="AC4022" s="247"/>
      <c r="AT4022" s="247"/>
    </row>
    <row r="4023">
      <c r="C4023" s="277"/>
      <c r="O4023" s="247"/>
      <c r="AC4023" s="247"/>
      <c r="AT4023" s="247"/>
    </row>
    <row r="4024">
      <c r="C4024" s="277"/>
      <c r="O4024" s="247"/>
      <c r="AC4024" s="247"/>
      <c r="AT4024" s="247"/>
    </row>
    <row r="4025">
      <c r="C4025" s="277"/>
      <c r="O4025" s="247"/>
      <c r="AC4025" s="247"/>
      <c r="AT4025" s="247"/>
    </row>
    <row r="4026">
      <c r="C4026" s="277"/>
      <c r="O4026" s="247"/>
      <c r="AC4026" s="247"/>
      <c r="AT4026" s="247"/>
    </row>
    <row r="4027">
      <c r="C4027" s="277"/>
      <c r="O4027" s="247"/>
      <c r="AC4027" s="247"/>
      <c r="AT4027" s="247"/>
    </row>
    <row r="4028">
      <c r="C4028" s="277"/>
      <c r="O4028" s="247"/>
      <c r="AC4028" s="247"/>
      <c r="AT4028" s="247"/>
    </row>
    <row r="4029">
      <c r="C4029" s="277"/>
      <c r="O4029" s="247"/>
      <c r="AC4029" s="247"/>
      <c r="AT4029" s="247"/>
    </row>
    <row r="4030">
      <c r="C4030" s="277"/>
      <c r="O4030" s="247"/>
      <c r="AC4030" s="247"/>
      <c r="AT4030" s="247"/>
    </row>
    <row r="4031">
      <c r="C4031" s="277"/>
      <c r="O4031" s="247"/>
      <c r="AC4031" s="247"/>
      <c r="AT4031" s="247"/>
    </row>
    <row r="4032">
      <c r="C4032" s="277"/>
      <c r="O4032" s="247"/>
      <c r="AC4032" s="247"/>
      <c r="AT4032" s="247"/>
    </row>
    <row r="4033">
      <c r="C4033" s="277"/>
      <c r="O4033" s="247"/>
      <c r="AC4033" s="247"/>
      <c r="AT4033" s="247"/>
    </row>
    <row r="4034">
      <c r="C4034" s="277"/>
      <c r="O4034" s="247"/>
      <c r="AC4034" s="247"/>
      <c r="AT4034" s="247"/>
    </row>
    <row r="4035">
      <c r="C4035" s="277"/>
      <c r="O4035" s="247"/>
      <c r="AC4035" s="247"/>
      <c r="AT4035" s="247"/>
    </row>
    <row r="4036">
      <c r="C4036" s="277"/>
      <c r="O4036" s="247"/>
      <c r="AC4036" s="247"/>
      <c r="AT4036" s="247"/>
    </row>
    <row r="4037">
      <c r="C4037" s="277"/>
      <c r="O4037" s="247"/>
      <c r="AC4037" s="247"/>
      <c r="AT4037" s="247"/>
    </row>
    <row r="4038">
      <c r="C4038" s="277"/>
      <c r="O4038" s="247"/>
      <c r="AC4038" s="247"/>
      <c r="AT4038" s="247"/>
    </row>
    <row r="4039">
      <c r="C4039" s="277"/>
      <c r="O4039" s="247"/>
      <c r="AC4039" s="247"/>
      <c r="AT4039" s="247"/>
    </row>
    <row r="4040">
      <c r="C4040" s="277"/>
      <c r="O4040" s="247"/>
      <c r="AC4040" s="247"/>
      <c r="AT4040" s="247"/>
    </row>
    <row r="4041">
      <c r="C4041" s="277"/>
      <c r="O4041" s="247"/>
      <c r="AC4041" s="247"/>
      <c r="AT4041" s="247"/>
    </row>
    <row r="4042">
      <c r="C4042" s="277"/>
      <c r="O4042" s="247"/>
      <c r="AC4042" s="247"/>
      <c r="AT4042" s="247"/>
    </row>
    <row r="4043">
      <c r="C4043" s="277"/>
      <c r="O4043" s="247"/>
      <c r="AC4043" s="247"/>
      <c r="AT4043" s="247"/>
    </row>
    <row r="4044">
      <c r="C4044" s="277"/>
      <c r="O4044" s="247"/>
      <c r="AC4044" s="247"/>
      <c r="AT4044" s="247"/>
    </row>
    <row r="4045">
      <c r="C4045" s="277"/>
      <c r="O4045" s="247"/>
      <c r="AC4045" s="247"/>
      <c r="AT4045" s="247"/>
    </row>
    <row r="4046">
      <c r="C4046" s="277"/>
      <c r="O4046" s="247"/>
      <c r="AC4046" s="247"/>
      <c r="AT4046" s="247"/>
    </row>
    <row r="4047">
      <c r="C4047" s="277"/>
      <c r="O4047" s="247"/>
      <c r="AC4047" s="247"/>
      <c r="AT4047" s="247"/>
    </row>
    <row r="4048">
      <c r="C4048" s="277"/>
      <c r="O4048" s="247"/>
      <c r="AC4048" s="247"/>
      <c r="AT4048" s="247"/>
    </row>
    <row r="4049">
      <c r="C4049" s="277"/>
      <c r="O4049" s="247"/>
      <c r="AC4049" s="247"/>
      <c r="AT4049" s="247"/>
    </row>
    <row r="4050">
      <c r="C4050" s="277"/>
      <c r="O4050" s="247"/>
      <c r="AC4050" s="247"/>
      <c r="AT4050" s="247"/>
    </row>
    <row r="4051">
      <c r="C4051" s="277"/>
      <c r="O4051" s="247"/>
      <c r="AC4051" s="247"/>
      <c r="AT4051" s="247"/>
    </row>
    <row r="4052">
      <c r="C4052" s="277"/>
      <c r="O4052" s="247"/>
      <c r="AC4052" s="247"/>
      <c r="AT4052" s="247"/>
    </row>
    <row r="4053">
      <c r="C4053" s="277"/>
      <c r="O4053" s="247"/>
      <c r="AC4053" s="247"/>
      <c r="AT4053" s="247"/>
    </row>
    <row r="4054">
      <c r="C4054" s="277"/>
      <c r="O4054" s="247"/>
      <c r="AC4054" s="247"/>
      <c r="AT4054" s="247"/>
    </row>
    <row r="4055">
      <c r="C4055" s="277"/>
      <c r="O4055" s="247"/>
      <c r="AC4055" s="247"/>
      <c r="AT4055" s="247"/>
    </row>
    <row r="4056">
      <c r="C4056" s="277"/>
      <c r="O4056" s="247"/>
      <c r="AC4056" s="247"/>
      <c r="AT4056" s="247"/>
    </row>
    <row r="4057">
      <c r="C4057" s="277"/>
      <c r="O4057" s="247"/>
      <c r="AC4057" s="247"/>
      <c r="AT4057" s="247"/>
    </row>
    <row r="4058">
      <c r="C4058" s="277"/>
      <c r="O4058" s="247"/>
      <c r="AC4058" s="247"/>
      <c r="AT4058" s="247"/>
    </row>
    <row r="4059">
      <c r="C4059" s="277"/>
      <c r="O4059" s="247"/>
      <c r="AC4059" s="247"/>
      <c r="AT4059" s="247"/>
    </row>
    <row r="4060">
      <c r="C4060" s="277"/>
      <c r="O4060" s="247"/>
      <c r="AC4060" s="247"/>
      <c r="AT4060" s="247"/>
    </row>
    <row r="4061">
      <c r="C4061" s="277"/>
      <c r="O4061" s="247"/>
      <c r="AC4061" s="247"/>
      <c r="AT4061" s="247"/>
    </row>
    <row r="4062">
      <c r="C4062" s="277"/>
      <c r="O4062" s="247"/>
      <c r="AC4062" s="247"/>
      <c r="AT4062" s="247"/>
    </row>
    <row r="4063">
      <c r="C4063" s="277"/>
      <c r="O4063" s="247"/>
      <c r="AC4063" s="247"/>
      <c r="AT4063" s="247"/>
    </row>
    <row r="4064">
      <c r="C4064" s="277"/>
      <c r="O4064" s="247"/>
      <c r="AC4064" s="247"/>
      <c r="AT4064" s="247"/>
    </row>
    <row r="4065">
      <c r="C4065" s="277"/>
      <c r="O4065" s="247"/>
      <c r="AC4065" s="247"/>
      <c r="AT4065" s="247"/>
    </row>
    <row r="4066">
      <c r="C4066" s="277"/>
      <c r="O4066" s="247"/>
      <c r="AC4066" s="247"/>
      <c r="AT4066" s="247"/>
    </row>
    <row r="4067">
      <c r="C4067" s="277"/>
      <c r="O4067" s="247"/>
      <c r="AC4067" s="247"/>
      <c r="AT4067" s="247"/>
    </row>
    <row r="4068">
      <c r="C4068" s="277"/>
      <c r="O4068" s="247"/>
      <c r="AC4068" s="247"/>
      <c r="AT4068" s="247"/>
    </row>
    <row r="4069">
      <c r="C4069" s="277"/>
      <c r="O4069" s="247"/>
      <c r="AC4069" s="247"/>
      <c r="AT4069" s="247"/>
    </row>
    <row r="4070">
      <c r="C4070" s="277"/>
      <c r="O4070" s="247"/>
      <c r="AC4070" s="247"/>
      <c r="AT4070" s="247"/>
    </row>
    <row r="4071">
      <c r="C4071" s="277"/>
      <c r="O4071" s="247"/>
      <c r="AC4071" s="247"/>
      <c r="AT4071" s="247"/>
    </row>
    <row r="4072">
      <c r="C4072" s="277"/>
      <c r="O4072" s="247"/>
      <c r="AC4072" s="247"/>
      <c r="AT4072" s="247"/>
    </row>
    <row r="4073">
      <c r="C4073" s="277"/>
      <c r="O4073" s="247"/>
      <c r="AC4073" s="247"/>
      <c r="AT4073" s="247"/>
    </row>
    <row r="4074">
      <c r="C4074" s="277"/>
      <c r="O4074" s="247"/>
      <c r="AC4074" s="247"/>
      <c r="AT4074" s="247"/>
    </row>
    <row r="4075">
      <c r="C4075" s="277"/>
      <c r="O4075" s="247"/>
      <c r="AC4075" s="247"/>
      <c r="AT4075" s="247"/>
    </row>
    <row r="4076">
      <c r="C4076" s="277"/>
      <c r="O4076" s="247"/>
      <c r="AC4076" s="247"/>
      <c r="AT4076" s="247"/>
    </row>
    <row r="4077">
      <c r="C4077" s="277"/>
      <c r="O4077" s="247"/>
      <c r="AC4077" s="247"/>
      <c r="AT4077" s="247"/>
    </row>
    <row r="4078">
      <c r="C4078" s="277"/>
      <c r="O4078" s="247"/>
      <c r="AC4078" s="247"/>
      <c r="AT4078" s="247"/>
    </row>
    <row r="4079">
      <c r="C4079" s="277"/>
      <c r="O4079" s="247"/>
      <c r="AC4079" s="247"/>
      <c r="AT4079" s="247"/>
    </row>
    <row r="4080">
      <c r="C4080" s="277"/>
      <c r="O4080" s="247"/>
      <c r="AC4080" s="247"/>
      <c r="AT4080" s="247"/>
    </row>
    <row r="4081">
      <c r="C4081" s="277"/>
      <c r="O4081" s="247"/>
      <c r="AC4081" s="247"/>
      <c r="AT4081" s="247"/>
    </row>
    <row r="4082">
      <c r="C4082" s="277"/>
      <c r="O4082" s="247"/>
      <c r="AC4082" s="247"/>
      <c r="AT4082" s="247"/>
    </row>
    <row r="4083">
      <c r="C4083" s="277"/>
      <c r="O4083" s="247"/>
      <c r="AC4083" s="247"/>
      <c r="AT4083" s="247"/>
    </row>
    <row r="4084">
      <c r="C4084" s="277"/>
      <c r="O4084" s="247"/>
      <c r="AC4084" s="247"/>
      <c r="AT4084" s="247"/>
    </row>
    <row r="4085">
      <c r="C4085" s="277"/>
      <c r="O4085" s="247"/>
      <c r="AC4085" s="247"/>
      <c r="AT4085" s="247"/>
    </row>
    <row r="4086">
      <c r="C4086" s="277"/>
      <c r="O4086" s="247"/>
      <c r="AC4086" s="247"/>
      <c r="AT4086" s="247"/>
    </row>
    <row r="4087">
      <c r="C4087" s="277"/>
      <c r="O4087" s="247"/>
      <c r="AC4087" s="247"/>
      <c r="AT4087" s="247"/>
    </row>
    <row r="4088">
      <c r="C4088" s="277"/>
      <c r="O4088" s="247"/>
      <c r="AC4088" s="247"/>
      <c r="AT4088" s="247"/>
    </row>
    <row r="4089">
      <c r="C4089" s="277"/>
      <c r="O4089" s="247"/>
      <c r="AC4089" s="247"/>
      <c r="AT4089" s="247"/>
    </row>
    <row r="4090">
      <c r="C4090" s="277"/>
      <c r="O4090" s="247"/>
      <c r="AC4090" s="247"/>
      <c r="AT4090" s="247"/>
    </row>
    <row r="4091">
      <c r="C4091" s="277"/>
      <c r="O4091" s="247"/>
      <c r="AC4091" s="247"/>
      <c r="AT4091" s="247"/>
    </row>
    <row r="4092">
      <c r="C4092" s="277"/>
      <c r="O4092" s="247"/>
      <c r="AC4092" s="247"/>
      <c r="AT4092" s="247"/>
    </row>
    <row r="4093">
      <c r="C4093" s="277"/>
      <c r="O4093" s="247"/>
      <c r="AC4093" s="247"/>
      <c r="AT4093" s="247"/>
    </row>
    <row r="4094">
      <c r="C4094" s="277"/>
      <c r="O4094" s="247"/>
      <c r="AC4094" s="247"/>
      <c r="AT4094" s="247"/>
    </row>
    <row r="4095">
      <c r="C4095" s="277"/>
      <c r="O4095" s="247"/>
      <c r="AC4095" s="247"/>
      <c r="AT4095" s="247"/>
    </row>
    <row r="4096">
      <c r="C4096" s="277"/>
      <c r="O4096" s="247"/>
      <c r="AC4096" s="247"/>
      <c r="AT4096" s="247"/>
    </row>
    <row r="4097">
      <c r="C4097" s="277"/>
      <c r="O4097" s="247"/>
      <c r="AC4097" s="247"/>
      <c r="AT4097" s="247"/>
    </row>
    <row r="4098">
      <c r="C4098" s="277"/>
      <c r="O4098" s="247"/>
      <c r="AC4098" s="247"/>
      <c r="AT4098" s="247"/>
    </row>
    <row r="4099">
      <c r="C4099" s="277"/>
      <c r="O4099" s="247"/>
      <c r="AC4099" s="247"/>
      <c r="AT4099" s="247"/>
    </row>
    <row r="4100">
      <c r="C4100" s="277"/>
      <c r="O4100" s="247"/>
      <c r="AC4100" s="247"/>
      <c r="AT4100" s="247"/>
    </row>
    <row r="4101">
      <c r="C4101" s="277"/>
      <c r="O4101" s="247"/>
      <c r="AC4101" s="247"/>
      <c r="AT4101" s="247"/>
    </row>
    <row r="4102">
      <c r="C4102" s="277"/>
      <c r="O4102" s="247"/>
      <c r="AC4102" s="247"/>
      <c r="AT4102" s="247"/>
    </row>
    <row r="4103">
      <c r="C4103" s="277"/>
      <c r="O4103" s="247"/>
      <c r="AC4103" s="247"/>
      <c r="AT4103" s="247"/>
    </row>
    <row r="4104">
      <c r="C4104" s="277"/>
      <c r="O4104" s="247"/>
      <c r="AC4104" s="247"/>
      <c r="AT4104" s="247"/>
    </row>
    <row r="4105">
      <c r="C4105" s="277"/>
      <c r="O4105" s="247"/>
      <c r="AC4105" s="247"/>
      <c r="AT4105" s="247"/>
    </row>
    <row r="4106">
      <c r="C4106" s="277"/>
      <c r="O4106" s="247"/>
      <c r="AC4106" s="247"/>
      <c r="AT4106" s="247"/>
    </row>
    <row r="4107">
      <c r="C4107" s="277"/>
      <c r="O4107" s="247"/>
      <c r="AC4107" s="247"/>
      <c r="AT4107" s="247"/>
    </row>
    <row r="4108">
      <c r="C4108" s="277"/>
      <c r="O4108" s="247"/>
      <c r="AC4108" s="247"/>
      <c r="AT4108" s="247"/>
    </row>
    <row r="4109">
      <c r="C4109" s="277"/>
      <c r="O4109" s="247"/>
      <c r="AC4109" s="247"/>
      <c r="AT4109" s="247"/>
    </row>
    <row r="4110">
      <c r="C4110" s="277"/>
      <c r="O4110" s="247"/>
      <c r="AC4110" s="247"/>
      <c r="AT4110" s="247"/>
    </row>
    <row r="4111">
      <c r="C4111" s="277"/>
      <c r="O4111" s="247"/>
      <c r="AC4111" s="247"/>
      <c r="AT4111" s="247"/>
    </row>
    <row r="4112">
      <c r="C4112" s="277"/>
      <c r="O4112" s="247"/>
      <c r="AC4112" s="247"/>
      <c r="AT4112" s="247"/>
    </row>
    <row r="4113">
      <c r="C4113" s="277"/>
      <c r="O4113" s="247"/>
      <c r="AC4113" s="247"/>
      <c r="AT4113" s="247"/>
    </row>
    <row r="4114">
      <c r="C4114" s="277"/>
      <c r="O4114" s="247"/>
      <c r="AC4114" s="247"/>
      <c r="AT4114" s="247"/>
    </row>
    <row r="4115">
      <c r="C4115" s="277"/>
      <c r="O4115" s="247"/>
      <c r="AC4115" s="247"/>
      <c r="AT4115" s="247"/>
    </row>
    <row r="4116">
      <c r="C4116" s="277"/>
      <c r="O4116" s="247"/>
      <c r="AC4116" s="247"/>
      <c r="AT4116" s="247"/>
    </row>
    <row r="4117">
      <c r="C4117" s="277"/>
      <c r="O4117" s="247"/>
      <c r="AC4117" s="247"/>
      <c r="AT4117" s="247"/>
    </row>
    <row r="4118">
      <c r="C4118" s="277"/>
      <c r="O4118" s="247"/>
      <c r="AC4118" s="247"/>
      <c r="AT4118" s="247"/>
    </row>
    <row r="4119">
      <c r="C4119" s="277"/>
      <c r="O4119" s="247"/>
      <c r="AC4119" s="247"/>
      <c r="AT4119" s="247"/>
    </row>
    <row r="4120">
      <c r="C4120" s="277"/>
      <c r="O4120" s="247"/>
      <c r="AC4120" s="247"/>
      <c r="AT4120" s="247"/>
    </row>
    <row r="4121">
      <c r="C4121" s="277"/>
      <c r="O4121" s="247"/>
      <c r="AC4121" s="247"/>
      <c r="AT4121" s="247"/>
    </row>
    <row r="4122">
      <c r="C4122" s="277"/>
      <c r="O4122" s="247"/>
      <c r="AC4122" s="247"/>
      <c r="AT4122" s="247"/>
    </row>
    <row r="4123">
      <c r="C4123" s="277"/>
      <c r="O4123" s="247"/>
      <c r="AC4123" s="247"/>
      <c r="AT4123" s="247"/>
    </row>
    <row r="4124">
      <c r="C4124" s="277"/>
      <c r="O4124" s="247"/>
      <c r="AC4124" s="247"/>
      <c r="AT4124" s="247"/>
    </row>
    <row r="4125">
      <c r="C4125" s="277"/>
      <c r="O4125" s="247"/>
      <c r="AC4125" s="247"/>
      <c r="AT4125" s="247"/>
    </row>
    <row r="4126">
      <c r="C4126" s="277"/>
      <c r="O4126" s="247"/>
      <c r="AC4126" s="247"/>
      <c r="AT4126" s="247"/>
    </row>
    <row r="4127">
      <c r="C4127" s="277"/>
      <c r="O4127" s="247"/>
      <c r="AC4127" s="247"/>
      <c r="AT4127" s="247"/>
    </row>
    <row r="4128">
      <c r="C4128" s="277"/>
      <c r="O4128" s="247"/>
      <c r="AC4128" s="247"/>
      <c r="AT4128" s="247"/>
    </row>
    <row r="4129">
      <c r="C4129" s="277"/>
      <c r="O4129" s="247"/>
      <c r="AC4129" s="247"/>
      <c r="AT4129" s="247"/>
    </row>
    <row r="4130">
      <c r="C4130" s="277"/>
      <c r="O4130" s="247"/>
      <c r="AC4130" s="247"/>
      <c r="AT4130" s="247"/>
    </row>
    <row r="4131">
      <c r="C4131" s="277"/>
      <c r="O4131" s="247"/>
      <c r="AC4131" s="247"/>
      <c r="AT4131" s="247"/>
    </row>
    <row r="4132">
      <c r="C4132" s="277"/>
      <c r="O4132" s="247"/>
      <c r="AC4132" s="247"/>
      <c r="AT4132" s="247"/>
    </row>
    <row r="4133">
      <c r="C4133" s="277"/>
      <c r="O4133" s="247"/>
      <c r="AC4133" s="247"/>
      <c r="AT4133" s="247"/>
    </row>
    <row r="4134">
      <c r="C4134" s="277"/>
      <c r="O4134" s="247"/>
      <c r="AC4134" s="247"/>
      <c r="AT4134" s="247"/>
    </row>
    <row r="4135">
      <c r="C4135" s="277"/>
      <c r="O4135" s="247"/>
      <c r="AC4135" s="247"/>
      <c r="AT4135" s="247"/>
    </row>
    <row r="4136">
      <c r="C4136" s="277"/>
      <c r="O4136" s="247"/>
      <c r="AC4136" s="247"/>
      <c r="AT4136" s="247"/>
    </row>
    <row r="4137">
      <c r="C4137" s="277"/>
      <c r="O4137" s="247"/>
      <c r="AC4137" s="247"/>
      <c r="AT4137" s="247"/>
    </row>
    <row r="4138">
      <c r="C4138" s="277"/>
      <c r="O4138" s="247"/>
      <c r="AC4138" s="247"/>
      <c r="AT4138" s="247"/>
    </row>
    <row r="4139">
      <c r="C4139" s="277"/>
      <c r="O4139" s="247"/>
      <c r="AC4139" s="247"/>
      <c r="AT4139" s="247"/>
    </row>
    <row r="4140">
      <c r="C4140" s="277"/>
      <c r="O4140" s="247"/>
      <c r="AC4140" s="247"/>
      <c r="AT4140" s="247"/>
    </row>
    <row r="4141">
      <c r="C4141" s="277"/>
      <c r="O4141" s="247"/>
      <c r="AC4141" s="247"/>
      <c r="AT4141" s="247"/>
    </row>
    <row r="4142">
      <c r="C4142" s="277"/>
      <c r="O4142" s="247"/>
      <c r="AC4142" s="247"/>
      <c r="AT4142" s="247"/>
    </row>
    <row r="4143">
      <c r="C4143" s="277"/>
      <c r="O4143" s="247"/>
      <c r="AC4143" s="247"/>
      <c r="AT4143" s="247"/>
    </row>
    <row r="4144">
      <c r="C4144" s="277"/>
      <c r="O4144" s="247"/>
      <c r="AC4144" s="247"/>
      <c r="AT4144" s="247"/>
    </row>
    <row r="4145">
      <c r="C4145" s="277"/>
      <c r="O4145" s="247"/>
      <c r="AC4145" s="247"/>
      <c r="AT4145" s="247"/>
    </row>
    <row r="4146">
      <c r="C4146" s="277"/>
      <c r="O4146" s="247"/>
      <c r="AC4146" s="247"/>
      <c r="AT4146" s="247"/>
    </row>
    <row r="4147">
      <c r="C4147" s="277"/>
      <c r="O4147" s="247"/>
      <c r="AC4147" s="247"/>
      <c r="AT4147" s="247"/>
    </row>
    <row r="4148">
      <c r="C4148" s="277"/>
      <c r="O4148" s="247"/>
      <c r="AC4148" s="247"/>
      <c r="AT4148" s="247"/>
    </row>
    <row r="4149">
      <c r="C4149" s="277"/>
      <c r="O4149" s="247"/>
      <c r="AC4149" s="247"/>
      <c r="AT4149" s="247"/>
    </row>
    <row r="4150">
      <c r="C4150" s="277"/>
      <c r="O4150" s="247"/>
      <c r="AC4150" s="247"/>
      <c r="AT4150" s="247"/>
    </row>
    <row r="4151">
      <c r="C4151" s="277"/>
      <c r="O4151" s="247"/>
      <c r="AC4151" s="247"/>
      <c r="AT4151" s="247"/>
    </row>
    <row r="4152">
      <c r="C4152" s="277"/>
      <c r="O4152" s="247"/>
      <c r="AC4152" s="247"/>
      <c r="AT4152" s="247"/>
    </row>
    <row r="4153">
      <c r="C4153" s="277"/>
      <c r="O4153" s="247"/>
      <c r="AC4153" s="247"/>
      <c r="AT4153" s="247"/>
    </row>
    <row r="4154">
      <c r="C4154" s="277"/>
      <c r="O4154" s="247"/>
      <c r="AC4154" s="247"/>
      <c r="AT4154" s="247"/>
    </row>
    <row r="4155">
      <c r="C4155" s="277"/>
      <c r="O4155" s="247"/>
      <c r="AC4155" s="247"/>
      <c r="AT4155" s="247"/>
    </row>
    <row r="4156">
      <c r="C4156" s="277"/>
      <c r="O4156" s="247"/>
      <c r="AC4156" s="247"/>
      <c r="AT4156" s="247"/>
    </row>
    <row r="4157">
      <c r="C4157" s="277"/>
      <c r="O4157" s="247"/>
      <c r="AC4157" s="247"/>
      <c r="AT4157" s="247"/>
    </row>
    <row r="4158">
      <c r="C4158" s="277"/>
      <c r="O4158" s="247"/>
      <c r="AC4158" s="247"/>
      <c r="AT4158" s="247"/>
    </row>
    <row r="4159">
      <c r="C4159" s="277"/>
      <c r="O4159" s="247"/>
      <c r="AC4159" s="247"/>
      <c r="AT4159" s="247"/>
    </row>
    <row r="4160">
      <c r="C4160" s="277"/>
      <c r="O4160" s="247"/>
      <c r="AC4160" s="247"/>
      <c r="AT4160" s="247"/>
    </row>
    <row r="4161">
      <c r="C4161" s="277"/>
      <c r="O4161" s="247"/>
      <c r="AC4161" s="247"/>
      <c r="AT4161" s="247"/>
    </row>
    <row r="4162">
      <c r="C4162" s="277"/>
      <c r="O4162" s="247"/>
      <c r="AC4162" s="247"/>
      <c r="AT4162" s="247"/>
    </row>
    <row r="4163">
      <c r="C4163" s="277"/>
      <c r="O4163" s="247"/>
      <c r="AC4163" s="247"/>
      <c r="AT4163" s="247"/>
    </row>
    <row r="4164">
      <c r="C4164" s="277"/>
      <c r="O4164" s="247"/>
      <c r="AC4164" s="247"/>
      <c r="AT4164" s="247"/>
    </row>
    <row r="4165">
      <c r="C4165" s="277"/>
      <c r="O4165" s="247"/>
      <c r="AC4165" s="247"/>
      <c r="AT4165" s="247"/>
    </row>
    <row r="4166">
      <c r="C4166" s="277"/>
      <c r="O4166" s="247"/>
      <c r="AC4166" s="247"/>
      <c r="AT4166" s="247"/>
    </row>
    <row r="4167">
      <c r="C4167" s="277"/>
      <c r="O4167" s="247"/>
      <c r="AC4167" s="247"/>
      <c r="AT4167" s="247"/>
    </row>
    <row r="4168">
      <c r="C4168" s="277"/>
      <c r="O4168" s="247"/>
      <c r="AC4168" s="247"/>
      <c r="AT4168" s="247"/>
    </row>
    <row r="4169">
      <c r="C4169" s="277"/>
      <c r="O4169" s="247"/>
      <c r="AC4169" s="247"/>
      <c r="AT4169" s="247"/>
    </row>
    <row r="4170">
      <c r="C4170" s="277"/>
      <c r="O4170" s="247"/>
      <c r="AC4170" s="247"/>
      <c r="AT4170" s="247"/>
    </row>
    <row r="4171">
      <c r="C4171" s="277"/>
      <c r="O4171" s="247"/>
      <c r="AC4171" s="247"/>
      <c r="AT4171" s="247"/>
    </row>
    <row r="4172">
      <c r="C4172" s="277"/>
      <c r="O4172" s="247"/>
      <c r="AC4172" s="247"/>
      <c r="AT4172" s="247"/>
    </row>
    <row r="4173">
      <c r="C4173" s="277"/>
      <c r="O4173" s="247"/>
      <c r="AC4173" s="247"/>
      <c r="AT4173" s="247"/>
    </row>
    <row r="4174">
      <c r="C4174" s="277"/>
      <c r="O4174" s="247"/>
      <c r="AC4174" s="247"/>
      <c r="AT4174" s="247"/>
    </row>
    <row r="4175">
      <c r="C4175" s="277"/>
      <c r="O4175" s="247"/>
      <c r="AC4175" s="247"/>
      <c r="AT4175" s="247"/>
    </row>
    <row r="4176">
      <c r="C4176" s="277"/>
      <c r="O4176" s="247"/>
      <c r="AC4176" s="247"/>
      <c r="AT4176" s="247"/>
    </row>
    <row r="4177">
      <c r="C4177" s="277"/>
      <c r="O4177" s="247"/>
      <c r="AC4177" s="247"/>
      <c r="AT4177" s="247"/>
    </row>
    <row r="4178">
      <c r="C4178" s="277"/>
      <c r="O4178" s="247"/>
      <c r="AC4178" s="247"/>
      <c r="AT4178" s="247"/>
    </row>
    <row r="4179">
      <c r="C4179" s="277"/>
      <c r="O4179" s="247"/>
      <c r="AC4179" s="247"/>
      <c r="AT4179" s="247"/>
    </row>
    <row r="4180">
      <c r="C4180" s="277"/>
      <c r="O4180" s="247"/>
      <c r="AC4180" s="247"/>
      <c r="AT4180" s="247"/>
    </row>
    <row r="4181">
      <c r="C4181" s="277"/>
      <c r="O4181" s="247"/>
      <c r="AC4181" s="247"/>
      <c r="AT4181" s="247"/>
    </row>
    <row r="4182">
      <c r="C4182" s="277"/>
      <c r="O4182" s="247"/>
      <c r="AC4182" s="247"/>
      <c r="AT4182" s="247"/>
    </row>
    <row r="4183">
      <c r="C4183" s="277"/>
      <c r="O4183" s="247"/>
      <c r="AC4183" s="247"/>
      <c r="AT4183" s="247"/>
    </row>
    <row r="4184">
      <c r="C4184" s="277"/>
      <c r="O4184" s="247"/>
      <c r="AC4184" s="247"/>
      <c r="AT4184" s="247"/>
    </row>
    <row r="4185">
      <c r="C4185" s="277"/>
      <c r="O4185" s="247"/>
      <c r="AC4185" s="247"/>
      <c r="AT4185" s="247"/>
    </row>
    <row r="4186">
      <c r="C4186" s="277"/>
      <c r="O4186" s="247"/>
      <c r="AC4186" s="247"/>
      <c r="AT4186" s="247"/>
    </row>
    <row r="4187">
      <c r="C4187" s="277"/>
      <c r="O4187" s="247"/>
      <c r="AC4187" s="247"/>
      <c r="AT4187" s="247"/>
    </row>
    <row r="4188">
      <c r="C4188" s="277"/>
      <c r="O4188" s="247"/>
      <c r="AC4188" s="247"/>
      <c r="AT4188" s="247"/>
    </row>
    <row r="4189">
      <c r="C4189" s="277"/>
      <c r="O4189" s="247"/>
      <c r="AC4189" s="247"/>
      <c r="AT4189" s="247"/>
    </row>
    <row r="4190">
      <c r="C4190" s="277"/>
      <c r="O4190" s="247"/>
      <c r="AC4190" s="247"/>
      <c r="AT4190" s="247"/>
    </row>
    <row r="4191">
      <c r="C4191" s="277"/>
      <c r="O4191" s="247"/>
      <c r="AC4191" s="247"/>
      <c r="AT4191" s="247"/>
    </row>
    <row r="4192">
      <c r="C4192" s="277"/>
      <c r="O4192" s="247"/>
      <c r="AC4192" s="247"/>
      <c r="AT4192" s="247"/>
    </row>
    <row r="4193">
      <c r="C4193" s="277"/>
      <c r="O4193" s="247"/>
      <c r="AC4193" s="247"/>
      <c r="AT4193" s="247"/>
    </row>
    <row r="4194">
      <c r="C4194" s="277"/>
      <c r="O4194" s="247"/>
      <c r="AC4194" s="247"/>
      <c r="AT4194" s="247"/>
    </row>
    <row r="4195">
      <c r="C4195" s="277"/>
      <c r="O4195" s="247"/>
      <c r="AC4195" s="247"/>
      <c r="AT4195" s="247"/>
    </row>
    <row r="4196">
      <c r="C4196" s="277"/>
      <c r="O4196" s="247"/>
      <c r="AC4196" s="247"/>
      <c r="AT4196" s="247"/>
    </row>
    <row r="4197">
      <c r="C4197" s="277"/>
      <c r="O4197" s="247"/>
      <c r="AC4197" s="247"/>
      <c r="AT4197" s="247"/>
    </row>
    <row r="4198">
      <c r="C4198" s="277"/>
      <c r="O4198" s="247"/>
      <c r="AC4198" s="247"/>
      <c r="AT4198" s="247"/>
    </row>
    <row r="4199">
      <c r="C4199" s="277"/>
      <c r="O4199" s="247"/>
      <c r="AC4199" s="247"/>
      <c r="AT4199" s="247"/>
    </row>
    <row r="4200">
      <c r="C4200" s="277"/>
      <c r="O4200" s="247"/>
      <c r="AC4200" s="247"/>
      <c r="AT4200" s="247"/>
    </row>
    <row r="4201">
      <c r="C4201" s="277"/>
      <c r="O4201" s="247"/>
      <c r="AC4201" s="247"/>
      <c r="AT4201" s="247"/>
    </row>
    <row r="4202">
      <c r="C4202" s="277"/>
      <c r="O4202" s="247"/>
      <c r="AC4202" s="247"/>
      <c r="AT4202" s="247"/>
    </row>
    <row r="4203">
      <c r="C4203" s="277"/>
      <c r="O4203" s="247"/>
      <c r="AC4203" s="247"/>
      <c r="AT4203" s="247"/>
    </row>
    <row r="4204">
      <c r="C4204" s="277"/>
      <c r="O4204" s="247"/>
      <c r="AC4204" s="247"/>
      <c r="AT4204" s="247"/>
    </row>
    <row r="4205">
      <c r="C4205" s="277"/>
      <c r="O4205" s="247"/>
      <c r="AC4205" s="247"/>
      <c r="AT4205" s="247"/>
    </row>
    <row r="4206">
      <c r="C4206" s="277"/>
      <c r="O4206" s="247"/>
      <c r="AC4206" s="247"/>
      <c r="AT4206" s="247"/>
    </row>
    <row r="4207">
      <c r="C4207" s="277"/>
      <c r="O4207" s="247"/>
      <c r="AC4207" s="247"/>
      <c r="AT4207" s="247"/>
    </row>
    <row r="4208">
      <c r="C4208" s="277"/>
      <c r="O4208" s="247"/>
      <c r="AC4208" s="247"/>
      <c r="AT4208" s="247"/>
    </row>
    <row r="4209">
      <c r="C4209" s="277"/>
      <c r="O4209" s="247"/>
      <c r="AC4209" s="247"/>
      <c r="AT4209" s="247"/>
    </row>
    <row r="4210">
      <c r="C4210" s="277"/>
      <c r="O4210" s="247"/>
      <c r="AC4210" s="247"/>
      <c r="AT4210" s="247"/>
    </row>
    <row r="4211">
      <c r="C4211" s="277"/>
      <c r="O4211" s="247"/>
      <c r="AC4211" s="247"/>
      <c r="AT4211" s="247"/>
    </row>
    <row r="4212">
      <c r="C4212" s="277"/>
      <c r="O4212" s="247"/>
      <c r="AC4212" s="247"/>
      <c r="AT4212" s="247"/>
    </row>
    <row r="4213">
      <c r="C4213" s="277"/>
      <c r="O4213" s="247"/>
      <c r="AC4213" s="247"/>
      <c r="AT4213" s="247"/>
    </row>
    <row r="4214">
      <c r="C4214" s="277"/>
      <c r="O4214" s="247"/>
      <c r="AC4214" s="247"/>
      <c r="AT4214" s="247"/>
    </row>
    <row r="4215">
      <c r="C4215" s="277"/>
      <c r="O4215" s="247"/>
      <c r="AC4215" s="247"/>
      <c r="AT4215" s="247"/>
    </row>
    <row r="4216">
      <c r="C4216" s="277"/>
      <c r="O4216" s="247"/>
      <c r="AC4216" s="247"/>
      <c r="AT4216" s="247"/>
    </row>
    <row r="4217">
      <c r="C4217" s="277"/>
      <c r="O4217" s="247"/>
      <c r="AC4217" s="247"/>
      <c r="AT4217" s="247"/>
    </row>
    <row r="4218">
      <c r="C4218" s="277"/>
      <c r="O4218" s="247"/>
      <c r="AC4218" s="247"/>
      <c r="AT4218" s="247"/>
    </row>
    <row r="4219">
      <c r="C4219" s="277"/>
      <c r="O4219" s="247"/>
      <c r="AC4219" s="247"/>
      <c r="AT4219" s="247"/>
    </row>
    <row r="4220">
      <c r="C4220" s="277"/>
      <c r="O4220" s="247"/>
      <c r="AC4220" s="247"/>
      <c r="AT4220" s="247"/>
    </row>
    <row r="4221">
      <c r="C4221" s="277"/>
      <c r="O4221" s="247"/>
      <c r="AC4221" s="247"/>
      <c r="AT4221" s="247"/>
    </row>
    <row r="4222">
      <c r="C4222" s="277"/>
      <c r="O4222" s="247"/>
      <c r="AC4222" s="247"/>
      <c r="AT4222" s="247"/>
    </row>
    <row r="4223">
      <c r="C4223" s="277"/>
      <c r="O4223" s="247"/>
      <c r="AC4223" s="247"/>
      <c r="AT4223" s="247"/>
    </row>
    <row r="4224">
      <c r="C4224" s="277"/>
      <c r="O4224" s="247"/>
      <c r="AC4224" s="247"/>
      <c r="AT4224" s="247"/>
    </row>
    <row r="4225">
      <c r="C4225" s="277"/>
      <c r="O4225" s="247"/>
      <c r="AC4225" s="247"/>
      <c r="AT4225" s="247"/>
    </row>
    <row r="4226">
      <c r="C4226" s="277"/>
      <c r="O4226" s="247"/>
      <c r="AC4226" s="247"/>
      <c r="AT4226" s="247"/>
    </row>
    <row r="4227">
      <c r="C4227" s="277"/>
      <c r="O4227" s="247"/>
      <c r="AC4227" s="247"/>
      <c r="AT4227" s="247"/>
    </row>
    <row r="4228">
      <c r="C4228" s="277"/>
      <c r="O4228" s="247"/>
      <c r="AC4228" s="247"/>
      <c r="AT4228" s="247"/>
    </row>
    <row r="4229">
      <c r="C4229" s="277"/>
      <c r="O4229" s="247"/>
      <c r="AC4229" s="247"/>
      <c r="AT4229" s="247"/>
    </row>
    <row r="4230">
      <c r="C4230" s="277"/>
      <c r="O4230" s="247"/>
      <c r="AC4230" s="247"/>
      <c r="AT4230" s="247"/>
    </row>
    <row r="4231">
      <c r="C4231" s="277"/>
      <c r="O4231" s="247"/>
      <c r="AC4231" s="247"/>
      <c r="AT4231" s="247"/>
    </row>
    <row r="4232">
      <c r="C4232" s="277"/>
      <c r="O4232" s="247"/>
      <c r="AC4232" s="247"/>
      <c r="AT4232" s="247"/>
    </row>
    <row r="4233">
      <c r="C4233" s="277"/>
      <c r="O4233" s="247"/>
      <c r="AC4233" s="247"/>
      <c r="AT4233" s="247"/>
    </row>
    <row r="4234">
      <c r="C4234" s="277"/>
      <c r="O4234" s="247"/>
      <c r="AC4234" s="247"/>
      <c r="AT4234" s="247"/>
    </row>
    <row r="4235">
      <c r="C4235" s="277"/>
      <c r="O4235" s="247"/>
      <c r="AC4235" s="247"/>
      <c r="AT4235" s="247"/>
    </row>
    <row r="4236">
      <c r="C4236" s="277"/>
      <c r="O4236" s="247"/>
      <c r="AC4236" s="247"/>
      <c r="AT4236" s="247"/>
    </row>
    <row r="4237">
      <c r="C4237" s="277"/>
      <c r="O4237" s="247"/>
      <c r="AC4237" s="247"/>
      <c r="AT4237" s="247"/>
    </row>
    <row r="4238">
      <c r="C4238" s="277"/>
      <c r="O4238" s="247"/>
      <c r="AC4238" s="247"/>
      <c r="AT4238" s="247"/>
    </row>
    <row r="4239">
      <c r="C4239" s="277"/>
      <c r="O4239" s="247"/>
      <c r="AC4239" s="247"/>
      <c r="AT4239" s="247"/>
    </row>
    <row r="4240">
      <c r="C4240" s="277"/>
      <c r="O4240" s="247"/>
      <c r="AC4240" s="247"/>
      <c r="AT4240" s="247"/>
    </row>
    <row r="4241">
      <c r="C4241" s="277"/>
      <c r="O4241" s="247"/>
      <c r="AC4241" s="247"/>
      <c r="AT4241" s="247"/>
    </row>
    <row r="4242">
      <c r="C4242" s="277"/>
      <c r="O4242" s="247"/>
      <c r="AC4242" s="247"/>
      <c r="AT4242" s="247"/>
    </row>
    <row r="4243">
      <c r="C4243" s="277"/>
      <c r="O4243" s="247"/>
      <c r="AC4243" s="247"/>
      <c r="AT4243" s="247"/>
    </row>
    <row r="4244">
      <c r="C4244" s="277"/>
      <c r="O4244" s="247"/>
      <c r="AC4244" s="247"/>
      <c r="AT4244" s="247"/>
    </row>
    <row r="4245">
      <c r="C4245" s="277"/>
      <c r="O4245" s="247"/>
      <c r="AC4245" s="247"/>
      <c r="AT4245" s="247"/>
    </row>
    <row r="4246">
      <c r="C4246" s="277"/>
      <c r="O4246" s="247"/>
      <c r="AC4246" s="247"/>
      <c r="AT4246" s="247"/>
    </row>
    <row r="4247">
      <c r="C4247" s="277"/>
      <c r="O4247" s="247"/>
      <c r="AC4247" s="247"/>
      <c r="AT4247" s="247"/>
    </row>
    <row r="4248">
      <c r="C4248" s="277"/>
      <c r="O4248" s="247"/>
      <c r="AC4248" s="247"/>
      <c r="AT4248" s="247"/>
    </row>
    <row r="4249">
      <c r="C4249" s="277"/>
      <c r="O4249" s="247"/>
      <c r="AC4249" s="247"/>
      <c r="AT4249" s="247"/>
    </row>
    <row r="4250">
      <c r="C4250" s="277"/>
      <c r="O4250" s="247"/>
      <c r="AC4250" s="247"/>
      <c r="AT4250" s="247"/>
    </row>
    <row r="4251">
      <c r="C4251" s="277"/>
      <c r="O4251" s="247"/>
      <c r="AC4251" s="247"/>
      <c r="AT4251" s="247"/>
    </row>
    <row r="4252">
      <c r="C4252" s="277"/>
      <c r="O4252" s="247"/>
      <c r="AC4252" s="247"/>
      <c r="AT4252" s="247"/>
    </row>
    <row r="4253">
      <c r="C4253" s="277"/>
      <c r="O4253" s="247"/>
      <c r="AC4253" s="247"/>
      <c r="AT4253" s="247"/>
    </row>
    <row r="4254">
      <c r="C4254" s="277"/>
      <c r="O4254" s="247"/>
      <c r="AC4254" s="247"/>
      <c r="AT4254" s="247"/>
    </row>
    <row r="4255">
      <c r="C4255" s="277"/>
      <c r="O4255" s="247"/>
      <c r="AC4255" s="247"/>
      <c r="AT4255" s="247"/>
    </row>
    <row r="4256">
      <c r="C4256" s="277"/>
      <c r="O4256" s="247"/>
      <c r="AC4256" s="247"/>
      <c r="AT4256" s="247"/>
    </row>
    <row r="4257">
      <c r="C4257" s="277"/>
      <c r="O4257" s="247"/>
      <c r="AC4257" s="247"/>
      <c r="AT4257" s="247"/>
    </row>
    <row r="4258">
      <c r="C4258" s="277"/>
      <c r="O4258" s="247"/>
      <c r="AC4258" s="247"/>
      <c r="AT4258" s="247"/>
    </row>
    <row r="4259">
      <c r="C4259" s="277"/>
      <c r="O4259" s="247"/>
      <c r="AC4259" s="247"/>
      <c r="AT4259" s="247"/>
    </row>
    <row r="4260">
      <c r="C4260" s="277"/>
      <c r="O4260" s="247"/>
      <c r="AC4260" s="247"/>
      <c r="AT4260" s="247"/>
    </row>
    <row r="4261">
      <c r="C4261" s="277"/>
      <c r="O4261" s="247"/>
      <c r="AC4261" s="247"/>
      <c r="AT4261" s="247"/>
    </row>
    <row r="4262">
      <c r="C4262" s="277"/>
      <c r="O4262" s="247"/>
      <c r="AC4262" s="247"/>
      <c r="AT4262" s="247"/>
    </row>
    <row r="4263">
      <c r="C4263" s="277"/>
      <c r="O4263" s="247"/>
      <c r="AC4263" s="247"/>
      <c r="AT4263" s="247"/>
    </row>
    <row r="4264">
      <c r="C4264" s="277"/>
      <c r="O4264" s="247"/>
      <c r="AC4264" s="247"/>
      <c r="AT4264" s="247"/>
    </row>
    <row r="4265">
      <c r="C4265" s="277"/>
      <c r="O4265" s="247"/>
      <c r="AC4265" s="247"/>
      <c r="AT4265" s="247"/>
    </row>
    <row r="4266">
      <c r="C4266" s="277"/>
      <c r="O4266" s="247"/>
      <c r="AC4266" s="247"/>
      <c r="AT4266" s="247"/>
    </row>
    <row r="4267">
      <c r="C4267" s="277"/>
      <c r="O4267" s="247"/>
      <c r="AC4267" s="247"/>
      <c r="AT4267" s="247"/>
    </row>
    <row r="4268">
      <c r="C4268" s="277"/>
      <c r="O4268" s="247"/>
      <c r="AC4268" s="247"/>
      <c r="AT4268" s="247"/>
    </row>
    <row r="4269">
      <c r="C4269" s="277"/>
      <c r="O4269" s="247"/>
      <c r="AC4269" s="247"/>
      <c r="AT4269" s="247"/>
    </row>
    <row r="4270">
      <c r="C4270" s="277"/>
      <c r="O4270" s="247"/>
      <c r="AC4270" s="247"/>
      <c r="AT4270" s="247"/>
    </row>
    <row r="4271">
      <c r="C4271" s="277"/>
      <c r="O4271" s="247"/>
      <c r="AC4271" s="247"/>
      <c r="AT4271" s="247"/>
    </row>
    <row r="4272">
      <c r="C4272" s="277"/>
      <c r="O4272" s="247"/>
      <c r="AC4272" s="247"/>
      <c r="AT4272" s="247"/>
    </row>
    <row r="4273">
      <c r="C4273" s="277"/>
      <c r="O4273" s="247"/>
      <c r="AC4273" s="247"/>
      <c r="AT4273" s="247"/>
    </row>
    <row r="4274">
      <c r="C4274" s="277"/>
      <c r="O4274" s="247"/>
      <c r="AC4274" s="247"/>
      <c r="AT4274" s="247"/>
    </row>
    <row r="4275">
      <c r="C4275" s="277"/>
      <c r="O4275" s="247"/>
      <c r="AC4275" s="247"/>
      <c r="AT4275" s="247"/>
    </row>
    <row r="4276">
      <c r="C4276" s="277"/>
      <c r="O4276" s="247"/>
      <c r="AC4276" s="247"/>
      <c r="AT4276" s="247"/>
    </row>
    <row r="4277">
      <c r="C4277" s="277"/>
      <c r="O4277" s="247"/>
      <c r="AC4277" s="247"/>
      <c r="AT4277" s="247"/>
    </row>
    <row r="4278">
      <c r="C4278" s="277"/>
      <c r="O4278" s="247"/>
      <c r="AC4278" s="247"/>
      <c r="AT4278" s="247"/>
    </row>
    <row r="4279">
      <c r="C4279" s="277"/>
      <c r="O4279" s="247"/>
      <c r="AC4279" s="247"/>
      <c r="AT4279" s="247"/>
    </row>
    <row r="4280">
      <c r="C4280" s="277"/>
      <c r="O4280" s="247"/>
      <c r="AC4280" s="247"/>
      <c r="AT4280" s="247"/>
    </row>
    <row r="4281">
      <c r="C4281" s="277"/>
      <c r="O4281" s="247"/>
      <c r="AC4281" s="247"/>
      <c r="AT4281" s="247"/>
    </row>
    <row r="4282">
      <c r="C4282" s="277"/>
      <c r="O4282" s="247"/>
      <c r="AC4282" s="247"/>
      <c r="AT4282" s="247"/>
    </row>
    <row r="4283">
      <c r="C4283" s="277"/>
      <c r="O4283" s="247"/>
      <c r="AC4283" s="247"/>
      <c r="AT4283" s="247"/>
    </row>
    <row r="4284">
      <c r="C4284" s="277"/>
      <c r="O4284" s="247"/>
      <c r="AC4284" s="247"/>
      <c r="AT4284" s="247"/>
    </row>
    <row r="4285">
      <c r="C4285" s="277"/>
      <c r="O4285" s="247"/>
      <c r="AC4285" s="247"/>
      <c r="AT4285" s="247"/>
    </row>
    <row r="4286">
      <c r="C4286" s="277"/>
      <c r="O4286" s="247"/>
      <c r="AC4286" s="247"/>
      <c r="AT4286" s="247"/>
    </row>
    <row r="4287">
      <c r="C4287" s="277"/>
      <c r="O4287" s="247"/>
      <c r="AC4287" s="247"/>
      <c r="AT4287" s="247"/>
    </row>
    <row r="4288">
      <c r="C4288" s="277"/>
      <c r="O4288" s="247"/>
      <c r="AC4288" s="247"/>
      <c r="AT4288" s="247"/>
    </row>
    <row r="4289">
      <c r="C4289" s="277"/>
      <c r="O4289" s="247"/>
      <c r="AC4289" s="247"/>
      <c r="AT4289" s="247"/>
    </row>
    <row r="4290">
      <c r="C4290" s="277"/>
      <c r="O4290" s="247"/>
      <c r="AC4290" s="247"/>
      <c r="AT4290" s="247"/>
    </row>
    <row r="4291">
      <c r="C4291" s="277"/>
      <c r="O4291" s="247"/>
      <c r="AC4291" s="247"/>
      <c r="AT4291" s="247"/>
    </row>
    <row r="4292">
      <c r="C4292" s="277"/>
      <c r="O4292" s="247"/>
      <c r="AC4292" s="247"/>
      <c r="AT4292" s="247"/>
    </row>
    <row r="4293">
      <c r="C4293" s="277"/>
      <c r="O4293" s="247"/>
      <c r="AC4293" s="247"/>
      <c r="AT4293" s="247"/>
    </row>
    <row r="4294">
      <c r="C4294" s="277"/>
      <c r="O4294" s="247"/>
      <c r="AC4294" s="247"/>
      <c r="AT4294" s="247"/>
    </row>
    <row r="4295">
      <c r="C4295" s="277"/>
      <c r="O4295" s="247"/>
      <c r="AC4295" s="247"/>
      <c r="AT4295" s="247"/>
    </row>
    <row r="4296">
      <c r="C4296" s="277"/>
      <c r="O4296" s="247"/>
      <c r="AC4296" s="247"/>
      <c r="AT4296" s="247"/>
    </row>
    <row r="4297">
      <c r="C4297" s="277"/>
      <c r="O4297" s="247"/>
      <c r="AC4297" s="247"/>
      <c r="AT4297" s="247"/>
    </row>
    <row r="4298">
      <c r="C4298" s="277"/>
      <c r="O4298" s="247"/>
      <c r="AC4298" s="247"/>
      <c r="AT4298" s="247"/>
    </row>
    <row r="4299">
      <c r="C4299" s="277"/>
      <c r="O4299" s="247"/>
      <c r="AC4299" s="247"/>
      <c r="AT4299" s="247"/>
    </row>
    <row r="4300">
      <c r="C4300" s="277"/>
      <c r="O4300" s="247"/>
      <c r="AC4300" s="247"/>
      <c r="AT4300" s="247"/>
    </row>
    <row r="4301">
      <c r="C4301" s="277"/>
      <c r="O4301" s="247"/>
      <c r="AC4301" s="247"/>
      <c r="AT4301" s="247"/>
    </row>
    <row r="4302">
      <c r="C4302" s="277"/>
      <c r="O4302" s="247"/>
      <c r="AC4302" s="247"/>
      <c r="AT4302" s="247"/>
    </row>
    <row r="4303">
      <c r="C4303" s="277"/>
      <c r="O4303" s="247"/>
      <c r="AC4303" s="247"/>
      <c r="AT4303" s="247"/>
    </row>
    <row r="4304">
      <c r="C4304" s="277"/>
      <c r="O4304" s="247"/>
      <c r="AC4304" s="247"/>
      <c r="AT4304" s="247"/>
    </row>
    <row r="4305">
      <c r="C4305" s="277"/>
      <c r="O4305" s="247"/>
      <c r="AC4305" s="247"/>
      <c r="AT4305" s="247"/>
    </row>
    <row r="4306">
      <c r="C4306" s="277"/>
      <c r="O4306" s="247"/>
      <c r="AC4306" s="247"/>
      <c r="AT4306" s="247"/>
    </row>
    <row r="4307">
      <c r="C4307" s="277"/>
      <c r="O4307" s="247"/>
      <c r="AC4307" s="247"/>
      <c r="AT4307" s="247"/>
    </row>
    <row r="4308">
      <c r="C4308" s="277"/>
      <c r="O4308" s="247"/>
      <c r="AC4308" s="247"/>
      <c r="AT4308" s="247"/>
    </row>
    <row r="4309">
      <c r="C4309" s="277"/>
      <c r="O4309" s="247"/>
      <c r="AC4309" s="247"/>
      <c r="AT4309" s="247"/>
    </row>
    <row r="4310">
      <c r="C4310" s="277"/>
      <c r="O4310" s="247"/>
      <c r="AC4310" s="247"/>
      <c r="AT4310" s="247"/>
    </row>
    <row r="4311">
      <c r="C4311" s="277"/>
      <c r="O4311" s="247"/>
      <c r="AC4311" s="247"/>
      <c r="AT4311" s="247"/>
    </row>
    <row r="4312">
      <c r="C4312" s="277"/>
      <c r="O4312" s="247"/>
      <c r="AC4312" s="247"/>
      <c r="AT4312" s="247"/>
    </row>
    <row r="4313">
      <c r="C4313" s="277"/>
      <c r="O4313" s="247"/>
      <c r="AC4313" s="247"/>
      <c r="AT4313" s="247"/>
    </row>
    <row r="4314">
      <c r="C4314" s="277"/>
      <c r="O4314" s="247"/>
      <c r="AC4314" s="247"/>
      <c r="AT4314" s="247"/>
    </row>
    <row r="4315">
      <c r="C4315" s="277"/>
      <c r="O4315" s="247"/>
      <c r="AC4315" s="247"/>
      <c r="AT4315" s="247"/>
    </row>
    <row r="4316">
      <c r="C4316" s="277"/>
      <c r="O4316" s="247"/>
      <c r="AC4316" s="247"/>
      <c r="AT4316" s="247"/>
    </row>
    <row r="4317">
      <c r="C4317" s="277"/>
      <c r="O4317" s="247"/>
      <c r="AC4317" s="247"/>
      <c r="AT4317" s="247"/>
    </row>
    <row r="4318">
      <c r="C4318" s="277"/>
      <c r="O4318" s="247"/>
      <c r="AC4318" s="247"/>
      <c r="AT4318" s="247"/>
    </row>
    <row r="4319">
      <c r="C4319" s="277"/>
      <c r="O4319" s="247"/>
      <c r="AC4319" s="247"/>
      <c r="AT4319" s="247"/>
    </row>
    <row r="4320">
      <c r="C4320" s="277"/>
      <c r="O4320" s="247"/>
      <c r="AC4320" s="247"/>
      <c r="AT4320" s="247"/>
    </row>
    <row r="4321">
      <c r="C4321" s="277"/>
      <c r="O4321" s="247"/>
      <c r="AC4321" s="247"/>
      <c r="AT4321" s="247"/>
    </row>
    <row r="4322">
      <c r="C4322" s="277"/>
      <c r="O4322" s="247"/>
      <c r="AC4322" s="247"/>
      <c r="AT4322" s="247"/>
    </row>
    <row r="4323">
      <c r="C4323" s="277"/>
      <c r="O4323" s="247"/>
      <c r="AC4323" s="247"/>
      <c r="AT4323" s="247"/>
    </row>
    <row r="4324">
      <c r="C4324" s="277"/>
      <c r="O4324" s="247"/>
      <c r="AC4324" s="247"/>
      <c r="AT4324" s="247"/>
    </row>
    <row r="4325">
      <c r="C4325" s="277"/>
      <c r="O4325" s="247"/>
      <c r="AC4325" s="247"/>
      <c r="AT4325" s="247"/>
    </row>
    <row r="4326">
      <c r="C4326" s="277"/>
      <c r="O4326" s="247"/>
      <c r="AC4326" s="247"/>
      <c r="AT4326" s="247"/>
    </row>
    <row r="4327">
      <c r="C4327" s="277"/>
      <c r="O4327" s="247"/>
      <c r="AC4327" s="247"/>
      <c r="AT4327" s="247"/>
    </row>
    <row r="4328">
      <c r="C4328" s="277"/>
      <c r="O4328" s="247"/>
      <c r="AC4328" s="247"/>
      <c r="AT4328" s="247"/>
    </row>
    <row r="4329">
      <c r="C4329" s="277"/>
      <c r="O4329" s="247"/>
      <c r="AC4329" s="247"/>
      <c r="AT4329" s="247"/>
    </row>
    <row r="4330">
      <c r="C4330" s="277"/>
      <c r="O4330" s="247"/>
      <c r="AC4330" s="247"/>
      <c r="AT4330" s="247"/>
    </row>
    <row r="4331">
      <c r="C4331" s="277"/>
      <c r="O4331" s="247"/>
      <c r="AC4331" s="247"/>
      <c r="AT4331" s="247"/>
    </row>
    <row r="4332">
      <c r="C4332" s="277"/>
      <c r="O4332" s="247"/>
      <c r="AC4332" s="247"/>
      <c r="AT4332" s="247"/>
    </row>
    <row r="4333">
      <c r="C4333" s="277"/>
      <c r="O4333" s="247"/>
      <c r="AC4333" s="247"/>
      <c r="AT4333" s="247"/>
    </row>
    <row r="4334">
      <c r="C4334" s="277"/>
      <c r="O4334" s="247"/>
      <c r="AC4334" s="247"/>
      <c r="AT4334" s="247"/>
    </row>
    <row r="4335">
      <c r="C4335" s="277"/>
      <c r="O4335" s="247"/>
      <c r="AC4335" s="247"/>
      <c r="AT4335" s="247"/>
    </row>
    <row r="4336">
      <c r="C4336" s="277"/>
      <c r="O4336" s="247"/>
      <c r="AC4336" s="247"/>
      <c r="AT4336" s="247"/>
    </row>
    <row r="4337">
      <c r="C4337" s="277"/>
      <c r="O4337" s="247"/>
      <c r="AC4337" s="247"/>
      <c r="AT4337" s="247"/>
    </row>
    <row r="4338">
      <c r="C4338" s="277"/>
      <c r="O4338" s="247"/>
      <c r="AC4338" s="247"/>
      <c r="AT4338" s="247"/>
    </row>
    <row r="4339">
      <c r="C4339" s="277"/>
      <c r="O4339" s="247"/>
      <c r="AC4339" s="247"/>
      <c r="AT4339" s="247"/>
    </row>
    <row r="4340">
      <c r="C4340" s="277"/>
      <c r="O4340" s="247"/>
      <c r="AC4340" s="247"/>
      <c r="AT4340" s="247"/>
    </row>
    <row r="4341">
      <c r="C4341" s="277"/>
      <c r="O4341" s="247"/>
      <c r="AC4341" s="247"/>
      <c r="AT4341" s="247"/>
    </row>
    <row r="4342">
      <c r="C4342" s="277"/>
      <c r="O4342" s="247"/>
      <c r="AC4342" s="247"/>
      <c r="AT4342" s="247"/>
    </row>
    <row r="4343">
      <c r="C4343" s="277"/>
      <c r="O4343" s="247"/>
      <c r="AC4343" s="247"/>
      <c r="AT4343" s="247"/>
    </row>
    <row r="4344">
      <c r="C4344" s="277"/>
      <c r="O4344" s="247"/>
      <c r="AC4344" s="247"/>
      <c r="AT4344" s="247"/>
    </row>
    <row r="4345">
      <c r="C4345" s="277"/>
      <c r="O4345" s="247"/>
      <c r="AC4345" s="247"/>
      <c r="AT4345" s="247"/>
    </row>
    <row r="4346">
      <c r="C4346" s="277"/>
      <c r="O4346" s="247"/>
      <c r="AC4346" s="247"/>
      <c r="AT4346" s="247"/>
    </row>
    <row r="4347">
      <c r="C4347" s="277"/>
      <c r="O4347" s="247"/>
      <c r="AC4347" s="247"/>
      <c r="AT4347" s="247"/>
    </row>
    <row r="4348">
      <c r="C4348" s="277"/>
      <c r="O4348" s="247"/>
      <c r="AC4348" s="247"/>
      <c r="AT4348" s="247"/>
    </row>
    <row r="4349">
      <c r="C4349" s="277"/>
      <c r="O4349" s="247"/>
      <c r="AC4349" s="247"/>
      <c r="AT4349" s="247"/>
    </row>
    <row r="4350">
      <c r="C4350" s="277"/>
      <c r="O4350" s="247"/>
      <c r="AC4350" s="247"/>
      <c r="AT4350" s="247"/>
    </row>
    <row r="4351">
      <c r="C4351" s="277"/>
      <c r="O4351" s="247"/>
      <c r="AC4351" s="247"/>
      <c r="AT4351" s="247"/>
    </row>
    <row r="4352">
      <c r="C4352" s="277"/>
      <c r="O4352" s="247"/>
      <c r="AC4352" s="247"/>
      <c r="AT4352" s="247"/>
    </row>
    <row r="4353">
      <c r="C4353" s="277"/>
      <c r="O4353" s="247"/>
      <c r="AC4353" s="247"/>
      <c r="AT4353" s="247"/>
    </row>
    <row r="4354">
      <c r="C4354" s="277"/>
      <c r="O4354" s="247"/>
      <c r="AC4354" s="247"/>
      <c r="AT4354" s="247"/>
    </row>
    <row r="4355">
      <c r="C4355" s="277"/>
      <c r="O4355" s="247"/>
      <c r="AC4355" s="247"/>
      <c r="AT4355" s="247"/>
    </row>
    <row r="4356">
      <c r="C4356" s="277"/>
      <c r="O4356" s="247"/>
      <c r="AC4356" s="247"/>
      <c r="AT4356" s="247"/>
    </row>
    <row r="4357">
      <c r="C4357" s="277"/>
      <c r="O4357" s="247"/>
      <c r="AC4357" s="247"/>
      <c r="AT4357" s="247"/>
    </row>
    <row r="4358">
      <c r="C4358" s="277"/>
      <c r="O4358" s="247"/>
      <c r="AC4358" s="247"/>
      <c r="AT4358" s="247"/>
    </row>
    <row r="4359">
      <c r="C4359" s="277"/>
      <c r="O4359" s="247"/>
      <c r="AC4359" s="247"/>
      <c r="AT4359" s="247"/>
    </row>
    <row r="4360">
      <c r="C4360" s="277"/>
      <c r="O4360" s="247"/>
      <c r="AC4360" s="247"/>
      <c r="AT4360" s="247"/>
    </row>
    <row r="4361">
      <c r="C4361" s="277"/>
      <c r="O4361" s="247"/>
      <c r="AC4361" s="247"/>
      <c r="AT4361" s="247"/>
    </row>
    <row r="4362">
      <c r="C4362" s="277"/>
      <c r="O4362" s="247"/>
      <c r="AC4362" s="247"/>
      <c r="AT4362" s="247"/>
    </row>
    <row r="4363">
      <c r="C4363" s="277"/>
      <c r="O4363" s="247"/>
      <c r="AC4363" s="247"/>
      <c r="AT4363" s="247"/>
    </row>
    <row r="4364">
      <c r="C4364" s="277"/>
      <c r="O4364" s="247"/>
      <c r="AC4364" s="247"/>
      <c r="AT4364" s="247"/>
    </row>
    <row r="4365">
      <c r="C4365" s="277"/>
      <c r="O4365" s="247"/>
      <c r="AC4365" s="247"/>
      <c r="AT4365" s="247"/>
    </row>
    <row r="4366">
      <c r="C4366" s="277"/>
      <c r="O4366" s="247"/>
      <c r="AC4366" s="247"/>
      <c r="AT4366" s="247"/>
    </row>
    <row r="4367">
      <c r="C4367" s="277"/>
      <c r="O4367" s="247"/>
      <c r="AC4367" s="247"/>
      <c r="AT4367" s="247"/>
    </row>
    <row r="4368">
      <c r="C4368" s="277"/>
      <c r="O4368" s="247"/>
      <c r="AC4368" s="247"/>
      <c r="AT4368" s="247"/>
    </row>
    <row r="4369">
      <c r="C4369" s="277"/>
      <c r="O4369" s="247"/>
      <c r="AC4369" s="247"/>
      <c r="AT4369" s="247"/>
    </row>
    <row r="4370">
      <c r="C4370" s="277"/>
      <c r="O4370" s="247"/>
      <c r="AC4370" s="247"/>
      <c r="AT4370" s="247"/>
    </row>
    <row r="4371">
      <c r="C4371" s="277"/>
      <c r="O4371" s="247"/>
      <c r="AC4371" s="247"/>
      <c r="AT4371" s="247"/>
    </row>
    <row r="4372">
      <c r="C4372" s="277"/>
      <c r="O4372" s="247"/>
      <c r="AC4372" s="247"/>
      <c r="AT4372" s="247"/>
    </row>
    <row r="4373">
      <c r="C4373" s="277"/>
      <c r="O4373" s="247"/>
      <c r="AC4373" s="247"/>
      <c r="AT4373" s="247"/>
    </row>
    <row r="4374">
      <c r="C4374" s="277"/>
      <c r="O4374" s="247"/>
      <c r="AC4374" s="247"/>
      <c r="AT4374" s="247"/>
    </row>
    <row r="4375">
      <c r="C4375" s="277"/>
      <c r="O4375" s="247"/>
      <c r="AC4375" s="247"/>
      <c r="AT4375" s="247"/>
    </row>
    <row r="4376">
      <c r="C4376" s="277"/>
      <c r="O4376" s="247"/>
      <c r="AC4376" s="247"/>
      <c r="AT4376" s="247"/>
    </row>
    <row r="4377">
      <c r="C4377" s="277"/>
      <c r="O4377" s="247"/>
      <c r="AC4377" s="247"/>
      <c r="AT4377" s="247"/>
    </row>
    <row r="4378">
      <c r="C4378" s="277"/>
      <c r="O4378" s="247"/>
      <c r="AC4378" s="247"/>
      <c r="AT4378" s="247"/>
    </row>
    <row r="4379">
      <c r="C4379" s="277"/>
      <c r="O4379" s="247"/>
      <c r="AC4379" s="247"/>
      <c r="AT4379" s="247"/>
    </row>
    <row r="4380">
      <c r="C4380" s="277"/>
      <c r="O4380" s="247"/>
      <c r="AC4380" s="247"/>
      <c r="AT4380" s="247"/>
    </row>
    <row r="4381">
      <c r="C4381" s="277"/>
      <c r="O4381" s="247"/>
      <c r="AC4381" s="247"/>
      <c r="AT4381" s="247"/>
    </row>
    <row r="4382">
      <c r="C4382" s="277"/>
      <c r="O4382" s="247"/>
      <c r="AC4382" s="247"/>
      <c r="AT4382" s="247"/>
    </row>
    <row r="4383">
      <c r="C4383" s="277"/>
      <c r="O4383" s="247"/>
      <c r="AC4383" s="247"/>
      <c r="AT4383" s="247"/>
    </row>
    <row r="4384">
      <c r="C4384" s="277"/>
      <c r="O4384" s="247"/>
      <c r="AC4384" s="247"/>
      <c r="AT4384" s="247"/>
    </row>
    <row r="4385">
      <c r="C4385" s="277"/>
      <c r="O4385" s="247"/>
      <c r="AC4385" s="247"/>
      <c r="AT4385" s="247"/>
    </row>
    <row r="4386">
      <c r="C4386" s="277"/>
      <c r="O4386" s="247"/>
      <c r="AC4386" s="247"/>
      <c r="AT4386" s="247"/>
    </row>
    <row r="4387">
      <c r="C4387" s="277"/>
      <c r="O4387" s="247"/>
      <c r="AC4387" s="247"/>
      <c r="AT4387" s="247"/>
    </row>
    <row r="4388">
      <c r="C4388" s="277"/>
      <c r="O4388" s="247"/>
      <c r="AC4388" s="247"/>
      <c r="AT4388" s="247"/>
    </row>
    <row r="4389">
      <c r="C4389" s="277"/>
      <c r="O4389" s="247"/>
      <c r="AC4389" s="247"/>
      <c r="AT4389" s="247"/>
    </row>
    <row r="4390">
      <c r="C4390" s="277"/>
      <c r="O4390" s="247"/>
      <c r="AC4390" s="247"/>
      <c r="AT4390" s="247"/>
    </row>
    <row r="4391">
      <c r="C4391" s="277"/>
      <c r="O4391" s="247"/>
      <c r="AC4391" s="247"/>
      <c r="AT4391" s="247"/>
    </row>
    <row r="4392">
      <c r="C4392" s="277"/>
      <c r="O4392" s="247"/>
      <c r="AC4392" s="247"/>
      <c r="AT4392" s="247"/>
    </row>
    <row r="4393">
      <c r="C4393" s="277"/>
      <c r="O4393" s="247"/>
      <c r="AC4393" s="247"/>
      <c r="AT4393" s="247"/>
    </row>
    <row r="4394">
      <c r="C4394" s="277"/>
      <c r="O4394" s="247"/>
      <c r="AC4394" s="247"/>
      <c r="AT4394" s="247"/>
    </row>
    <row r="4395">
      <c r="C4395" s="277"/>
      <c r="O4395" s="247"/>
      <c r="AC4395" s="247"/>
      <c r="AT4395" s="247"/>
    </row>
    <row r="4396">
      <c r="C4396" s="277"/>
      <c r="O4396" s="247"/>
      <c r="AC4396" s="247"/>
      <c r="AT4396" s="247"/>
    </row>
    <row r="4397">
      <c r="C4397" s="277"/>
      <c r="O4397" s="247"/>
      <c r="AC4397" s="247"/>
      <c r="AT4397" s="247"/>
    </row>
    <row r="4398">
      <c r="C4398" s="277"/>
      <c r="O4398" s="247"/>
      <c r="AC4398" s="247"/>
      <c r="AT4398" s="247"/>
    </row>
    <row r="4399">
      <c r="C4399" s="277"/>
      <c r="O4399" s="247"/>
      <c r="AC4399" s="247"/>
      <c r="AT4399" s="247"/>
    </row>
    <row r="4400">
      <c r="C4400" s="277"/>
      <c r="O4400" s="247"/>
      <c r="AC4400" s="247"/>
      <c r="AT4400" s="247"/>
    </row>
    <row r="4401">
      <c r="C4401" s="277"/>
      <c r="O4401" s="247"/>
      <c r="AC4401" s="247"/>
      <c r="AT4401" s="247"/>
    </row>
    <row r="4402">
      <c r="C4402" s="277"/>
      <c r="O4402" s="247"/>
      <c r="AC4402" s="247"/>
      <c r="AT4402" s="247"/>
    </row>
    <row r="4403">
      <c r="C4403" s="277"/>
      <c r="O4403" s="247"/>
      <c r="AC4403" s="247"/>
      <c r="AT4403" s="247"/>
    </row>
    <row r="4404">
      <c r="C4404" s="277"/>
      <c r="O4404" s="247"/>
      <c r="AC4404" s="247"/>
      <c r="AT4404" s="247"/>
    </row>
    <row r="4405">
      <c r="C4405" s="277"/>
      <c r="O4405" s="247"/>
      <c r="AC4405" s="247"/>
      <c r="AT4405" s="247"/>
    </row>
    <row r="4406">
      <c r="C4406" s="277"/>
      <c r="O4406" s="247"/>
      <c r="AC4406" s="247"/>
      <c r="AT4406" s="247"/>
    </row>
    <row r="4407">
      <c r="C4407" s="277"/>
      <c r="O4407" s="247"/>
      <c r="AC4407" s="247"/>
      <c r="AT4407" s="247"/>
    </row>
    <row r="4408">
      <c r="C4408" s="277"/>
      <c r="O4408" s="247"/>
      <c r="AC4408" s="247"/>
      <c r="AT4408" s="247"/>
    </row>
    <row r="4409">
      <c r="C4409" s="277"/>
      <c r="O4409" s="247"/>
      <c r="AC4409" s="247"/>
      <c r="AT4409" s="247"/>
    </row>
    <row r="4410">
      <c r="C4410" s="277"/>
      <c r="O4410" s="247"/>
      <c r="AC4410" s="247"/>
      <c r="AT4410" s="247"/>
    </row>
    <row r="4411">
      <c r="C4411" s="277"/>
      <c r="O4411" s="247"/>
      <c r="AC4411" s="247"/>
      <c r="AT4411" s="247"/>
    </row>
    <row r="4412">
      <c r="C4412" s="277"/>
      <c r="O4412" s="247"/>
      <c r="AC4412" s="247"/>
      <c r="AT4412" s="247"/>
    </row>
    <row r="4413">
      <c r="C4413" s="277"/>
      <c r="O4413" s="247"/>
      <c r="AC4413" s="247"/>
      <c r="AT4413" s="247"/>
    </row>
    <row r="4414">
      <c r="C4414" s="277"/>
      <c r="O4414" s="247"/>
      <c r="AC4414" s="247"/>
      <c r="AT4414" s="247"/>
    </row>
    <row r="4415">
      <c r="C4415" s="277"/>
      <c r="O4415" s="247"/>
      <c r="AC4415" s="247"/>
      <c r="AT4415" s="247"/>
    </row>
    <row r="4416">
      <c r="C4416" s="277"/>
      <c r="O4416" s="247"/>
      <c r="AC4416" s="247"/>
      <c r="AT4416" s="247"/>
    </row>
    <row r="4417">
      <c r="C4417" s="277"/>
      <c r="O4417" s="247"/>
      <c r="AC4417" s="247"/>
      <c r="AT4417" s="247"/>
    </row>
    <row r="4418">
      <c r="C4418" s="277"/>
      <c r="O4418" s="247"/>
      <c r="AC4418" s="247"/>
      <c r="AT4418" s="247"/>
    </row>
    <row r="4419">
      <c r="C4419" s="277"/>
      <c r="O4419" s="247"/>
      <c r="AC4419" s="247"/>
      <c r="AT4419" s="247"/>
    </row>
    <row r="4420">
      <c r="C4420" s="277"/>
      <c r="O4420" s="247"/>
      <c r="AC4420" s="247"/>
      <c r="AT4420" s="247"/>
    </row>
    <row r="4421">
      <c r="C4421" s="277"/>
      <c r="O4421" s="247"/>
      <c r="AC4421" s="247"/>
      <c r="AT4421" s="247"/>
    </row>
    <row r="4422">
      <c r="C4422" s="277"/>
      <c r="O4422" s="247"/>
      <c r="AC4422" s="247"/>
      <c r="AT4422" s="247"/>
    </row>
    <row r="4423">
      <c r="C4423" s="277"/>
      <c r="O4423" s="247"/>
      <c r="AC4423" s="247"/>
      <c r="AT4423" s="247"/>
    </row>
    <row r="4424">
      <c r="C4424" s="277"/>
      <c r="O4424" s="247"/>
      <c r="AC4424" s="247"/>
      <c r="AT4424" s="247"/>
    </row>
    <row r="4425">
      <c r="C4425" s="277"/>
      <c r="O4425" s="247"/>
      <c r="AC4425" s="247"/>
      <c r="AT4425" s="247"/>
    </row>
    <row r="4426">
      <c r="C4426" s="277"/>
      <c r="O4426" s="247"/>
      <c r="AC4426" s="247"/>
      <c r="AT4426" s="247"/>
    </row>
    <row r="4427">
      <c r="C4427" s="277"/>
      <c r="O4427" s="247"/>
      <c r="AC4427" s="247"/>
      <c r="AT4427" s="247"/>
    </row>
    <row r="4428">
      <c r="C4428" s="277"/>
      <c r="O4428" s="247"/>
      <c r="AC4428" s="247"/>
      <c r="AT4428" s="247"/>
    </row>
    <row r="4429">
      <c r="C4429" s="277"/>
      <c r="O4429" s="247"/>
      <c r="AC4429" s="247"/>
      <c r="AT4429" s="247"/>
    </row>
    <row r="4430">
      <c r="C4430" s="277"/>
      <c r="O4430" s="247"/>
      <c r="AC4430" s="247"/>
      <c r="AT4430" s="247"/>
    </row>
    <row r="4431">
      <c r="C4431" s="277"/>
      <c r="O4431" s="247"/>
      <c r="AC4431" s="247"/>
      <c r="AT4431" s="247"/>
    </row>
    <row r="4432">
      <c r="C4432" s="277"/>
      <c r="O4432" s="247"/>
      <c r="AC4432" s="247"/>
      <c r="AT4432" s="247"/>
    </row>
    <row r="4433">
      <c r="C4433" s="277"/>
      <c r="O4433" s="247"/>
      <c r="AC4433" s="247"/>
      <c r="AT4433" s="247"/>
    </row>
    <row r="4434">
      <c r="C4434" s="277"/>
      <c r="O4434" s="247"/>
      <c r="AC4434" s="247"/>
      <c r="AT4434" s="247"/>
    </row>
    <row r="4435">
      <c r="C4435" s="277"/>
      <c r="O4435" s="247"/>
      <c r="AC4435" s="247"/>
      <c r="AT4435" s="247"/>
    </row>
    <row r="4436">
      <c r="C4436" s="277"/>
      <c r="O4436" s="247"/>
      <c r="AC4436" s="247"/>
      <c r="AT4436" s="247"/>
    </row>
    <row r="4437">
      <c r="C4437" s="277"/>
      <c r="O4437" s="247"/>
      <c r="AC4437" s="247"/>
      <c r="AT4437" s="247"/>
    </row>
    <row r="4438">
      <c r="C4438" s="277"/>
      <c r="O4438" s="247"/>
      <c r="AC4438" s="247"/>
      <c r="AT4438" s="247"/>
    </row>
    <row r="4439">
      <c r="C4439" s="277"/>
      <c r="O4439" s="247"/>
      <c r="AC4439" s="247"/>
      <c r="AT4439" s="247"/>
    </row>
    <row r="4440">
      <c r="C4440" s="277"/>
      <c r="O4440" s="247"/>
      <c r="AC4440" s="247"/>
      <c r="AT4440" s="247"/>
    </row>
    <row r="4441">
      <c r="C4441" s="277"/>
      <c r="O4441" s="247"/>
      <c r="AC4441" s="247"/>
      <c r="AT4441" s="247"/>
    </row>
    <row r="4442">
      <c r="C4442" s="277"/>
      <c r="O4442" s="247"/>
      <c r="AC4442" s="247"/>
      <c r="AT4442" s="247"/>
    </row>
    <row r="4443">
      <c r="C4443" s="277"/>
      <c r="O4443" s="247"/>
      <c r="AC4443" s="247"/>
      <c r="AT4443" s="247"/>
    </row>
    <row r="4444">
      <c r="C4444" s="277"/>
      <c r="O4444" s="247"/>
      <c r="AC4444" s="247"/>
      <c r="AT4444" s="247"/>
    </row>
    <row r="4445">
      <c r="C4445" s="277"/>
      <c r="O4445" s="247"/>
      <c r="AC4445" s="247"/>
      <c r="AT4445" s="247"/>
    </row>
    <row r="4446">
      <c r="C4446" s="277"/>
      <c r="O4446" s="247"/>
      <c r="AC4446" s="247"/>
      <c r="AT4446" s="247"/>
    </row>
    <row r="4447">
      <c r="C4447" s="277"/>
      <c r="O4447" s="247"/>
      <c r="AC4447" s="247"/>
      <c r="AT4447" s="247"/>
    </row>
    <row r="4448">
      <c r="C4448" s="277"/>
      <c r="O4448" s="247"/>
      <c r="AC4448" s="247"/>
      <c r="AT4448" s="247"/>
    </row>
    <row r="4449">
      <c r="C4449" s="277"/>
      <c r="O4449" s="247"/>
      <c r="AC4449" s="247"/>
      <c r="AT4449" s="247"/>
    </row>
    <row r="4450">
      <c r="C4450" s="277"/>
      <c r="O4450" s="247"/>
      <c r="AC4450" s="247"/>
      <c r="AT4450" s="247"/>
    </row>
    <row r="4451">
      <c r="C4451" s="277"/>
      <c r="O4451" s="247"/>
      <c r="AC4451" s="247"/>
      <c r="AT4451" s="247"/>
    </row>
    <row r="4452">
      <c r="C4452" s="277"/>
      <c r="O4452" s="247"/>
      <c r="AC4452" s="247"/>
      <c r="AT4452" s="247"/>
    </row>
    <row r="4453">
      <c r="C4453" s="277"/>
      <c r="O4453" s="247"/>
      <c r="AC4453" s="247"/>
      <c r="AT4453" s="247"/>
    </row>
    <row r="4454">
      <c r="C4454" s="277"/>
      <c r="O4454" s="247"/>
      <c r="AC4454" s="247"/>
      <c r="AT4454" s="247"/>
    </row>
    <row r="4455">
      <c r="C4455" s="277"/>
      <c r="O4455" s="247"/>
      <c r="AC4455" s="247"/>
      <c r="AT4455" s="247"/>
    </row>
    <row r="4456">
      <c r="C4456" s="277"/>
      <c r="O4456" s="247"/>
      <c r="AC4456" s="247"/>
      <c r="AT4456" s="247"/>
    </row>
    <row r="4457">
      <c r="C4457" s="277"/>
      <c r="O4457" s="247"/>
      <c r="AC4457" s="247"/>
      <c r="AT4457" s="247"/>
    </row>
    <row r="4458">
      <c r="C4458" s="277"/>
      <c r="O4458" s="247"/>
      <c r="AC4458" s="247"/>
      <c r="AT4458" s="247"/>
    </row>
    <row r="4459">
      <c r="C4459" s="277"/>
      <c r="O4459" s="247"/>
      <c r="AC4459" s="247"/>
      <c r="AT4459" s="247"/>
    </row>
    <row r="4460">
      <c r="C4460" s="277"/>
      <c r="O4460" s="247"/>
      <c r="AC4460" s="247"/>
      <c r="AT4460" s="247"/>
    </row>
    <row r="4461">
      <c r="C4461" s="277"/>
      <c r="O4461" s="247"/>
      <c r="AC4461" s="247"/>
      <c r="AT4461" s="247"/>
    </row>
    <row r="4462">
      <c r="C4462" s="277"/>
      <c r="O4462" s="247"/>
      <c r="AC4462" s="247"/>
      <c r="AT4462" s="247"/>
    </row>
    <row r="4463">
      <c r="C4463" s="277"/>
      <c r="O4463" s="247"/>
      <c r="AC4463" s="247"/>
      <c r="AT4463" s="247"/>
    </row>
    <row r="4464">
      <c r="C4464" s="277"/>
      <c r="O4464" s="247"/>
      <c r="AC4464" s="247"/>
      <c r="AT4464" s="247"/>
    </row>
    <row r="4465">
      <c r="C4465" s="277"/>
      <c r="O4465" s="247"/>
      <c r="AC4465" s="247"/>
      <c r="AT4465" s="247"/>
    </row>
    <row r="4466">
      <c r="C4466" s="277"/>
      <c r="O4466" s="247"/>
      <c r="AC4466" s="247"/>
      <c r="AT4466" s="247"/>
    </row>
    <row r="4467">
      <c r="C4467" s="277"/>
      <c r="O4467" s="247"/>
      <c r="AC4467" s="247"/>
      <c r="AT4467" s="247"/>
    </row>
    <row r="4468">
      <c r="C4468" s="277"/>
      <c r="O4468" s="247"/>
      <c r="AC4468" s="247"/>
      <c r="AT4468" s="247"/>
    </row>
    <row r="4469">
      <c r="C4469" s="277"/>
      <c r="O4469" s="247"/>
      <c r="AC4469" s="247"/>
      <c r="AT4469" s="247"/>
    </row>
    <row r="4470">
      <c r="C4470" s="277"/>
      <c r="O4470" s="247"/>
      <c r="AC4470" s="247"/>
      <c r="AT4470" s="247"/>
    </row>
    <row r="4471">
      <c r="C4471" s="277"/>
      <c r="O4471" s="247"/>
      <c r="AC4471" s="247"/>
      <c r="AT4471" s="247"/>
    </row>
    <row r="4472">
      <c r="C4472" s="277"/>
      <c r="O4472" s="247"/>
      <c r="AC4472" s="247"/>
      <c r="AT4472" s="247"/>
    </row>
    <row r="4473">
      <c r="C4473" s="277"/>
      <c r="O4473" s="247"/>
      <c r="AC4473" s="247"/>
      <c r="AT4473" s="247"/>
    </row>
    <row r="4474">
      <c r="C4474" s="277"/>
      <c r="O4474" s="247"/>
      <c r="AC4474" s="247"/>
      <c r="AT4474" s="247"/>
    </row>
    <row r="4475">
      <c r="C4475" s="277"/>
      <c r="O4475" s="247"/>
      <c r="AC4475" s="247"/>
      <c r="AT4475" s="247"/>
    </row>
    <row r="4476">
      <c r="C4476" s="277"/>
      <c r="O4476" s="247"/>
      <c r="AC4476" s="247"/>
      <c r="AT4476" s="247"/>
    </row>
    <row r="4477">
      <c r="C4477" s="277"/>
      <c r="O4477" s="247"/>
      <c r="AC4477" s="247"/>
      <c r="AT4477" s="247"/>
    </row>
    <row r="4478">
      <c r="C4478" s="277"/>
      <c r="O4478" s="247"/>
      <c r="AC4478" s="247"/>
      <c r="AT4478" s="247"/>
    </row>
    <row r="4479">
      <c r="C4479" s="277"/>
      <c r="O4479" s="247"/>
      <c r="AC4479" s="247"/>
      <c r="AT4479" s="247"/>
    </row>
    <row r="4480">
      <c r="C4480" s="277"/>
      <c r="O4480" s="247"/>
      <c r="AC4480" s="247"/>
      <c r="AT4480" s="247"/>
    </row>
    <row r="4481">
      <c r="C4481" s="277"/>
      <c r="O4481" s="247"/>
      <c r="AC4481" s="247"/>
      <c r="AT4481" s="247"/>
    </row>
    <row r="4482">
      <c r="C4482" s="277"/>
      <c r="O4482" s="247"/>
      <c r="AC4482" s="247"/>
      <c r="AT4482" s="247"/>
    </row>
    <row r="4483">
      <c r="C4483" s="277"/>
      <c r="O4483" s="247"/>
      <c r="AC4483" s="247"/>
      <c r="AT4483" s="247"/>
    </row>
    <row r="4484">
      <c r="C4484" s="277"/>
      <c r="O4484" s="247"/>
      <c r="AC4484" s="247"/>
      <c r="AT4484" s="247"/>
    </row>
    <row r="4485">
      <c r="C4485" s="277"/>
      <c r="O4485" s="247"/>
      <c r="AC4485" s="247"/>
      <c r="AT4485" s="247"/>
    </row>
    <row r="4486">
      <c r="C4486" s="277"/>
      <c r="O4486" s="247"/>
      <c r="AC4486" s="247"/>
      <c r="AT4486" s="247"/>
    </row>
    <row r="4487">
      <c r="C4487" s="277"/>
      <c r="O4487" s="247"/>
      <c r="AC4487" s="247"/>
      <c r="AT4487" s="247"/>
    </row>
    <row r="4488">
      <c r="C4488" s="277"/>
      <c r="O4488" s="247"/>
      <c r="AC4488" s="247"/>
      <c r="AT4488" s="247"/>
    </row>
    <row r="4489">
      <c r="C4489" s="277"/>
      <c r="O4489" s="247"/>
      <c r="AC4489" s="247"/>
      <c r="AT4489" s="247"/>
    </row>
    <row r="4490">
      <c r="C4490" s="277"/>
      <c r="O4490" s="247"/>
      <c r="AC4490" s="247"/>
      <c r="AT4490" s="247"/>
    </row>
    <row r="4491">
      <c r="C4491" s="277"/>
      <c r="O4491" s="247"/>
      <c r="AC4491" s="247"/>
      <c r="AT4491" s="247"/>
    </row>
    <row r="4492">
      <c r="C4492" s="277"/>
      <c r="O4492" s="247"/>
      <c r="AC4492" s="247"/>
      <c r="AT4492" s="247"/>
    </row>
    <row r="4493">
      <c r="C4493" s="277"/>
      <c r="O4493" s="247"/>
      <c r="AC4493" s="247"/>
      <c r="AT4493" s="247"/>
    </row>
    <row r="4494">
      <c r="C4494" s="277"/>
      <c r="O4494" s="247"/>
      <c r="AC4494" s="247"/>
      <c r="AT4494" s="247"/>
    </row>
    <row r="4495">
      <c r="C4495" s="277"/>
      <c r="O4495" s="247"/>
      <c r="AC4495" s="247"/>
      <c r="AT4495" s="247"/>
    </row>
    <row r="4496">
      <c r="C4496" s="277"/>
      <c r="O4496" s="247"/>
      <c r="AC4496" s="247"/>
      <c r="AT4496" s="247"/>
    </row>
    <row r="4497">
      <c r="C4497" s="277"/>
      <c r="O4497" s="247"/>
      <c r="AC4497" s="247"/>
      <c r="AT4497" s="247"/>
    </row>
    <row r="4498">
      <c r="C4498" s="277"/>
      <c r="O4498" s="247"/>
      <c r="AC4498" s="247"/>
      <c r="AT4498" s="247"/>
    </row>
    <row r="4499">
      <c r="C4499" s="277"/>
      <c r="O4499" s="247"/>
      <c r="AC4499" s="247"/>
      <c r="AT4499" s="247"/>
    </row>
    <row r="4500">
      <c r="C4500" s="277"/>
      <c r="O4500" s="247"/>
      <c r="AC4500" s="247"/>
      <c r="AT4500" s="247"/>
    </row>
    <row r="4501">
      <c r="C4501" s="277"/>
      <c r="O4501" s="247"/>
      <c r="AC4501" s="247"/>
      <c r="AT4501" s="247"/>
    </row>
    <row r="4502">
      <c r="C4502" s="277"/>
      <c r="O4502" s="247"/>
      <c r="AC4502" s="247"/>
      <c r="AT4502" s="247"/>
    </row>
    <row r="4503">
      <c r="C4503" s="277"/>
      <c r="O4503" s="247"/>
      <c r="AC4503" s="247"/>
      <c r="AT4503" s="247"/>
    </row>
    <row r="4504">
      <c r="C4504" s="277"/>
      <c r="O4504" s="247"/>
      <c r="AC4504" s="247"/>
      <c r="AT4504" s="247"/>
    </row>
    <row r="4505">
      <c r="C4505" s="277"/>
      <c r="O4505" s="247"/>
      <c r="AC4505" s="247"/>
      <c r="AT4505" s="247"/>
    </row>
    <row r="4506">
      <c r="C4506" s="277"/>
      <c r="O4506" s="247"/>
      <c r="AC4506" s="247"/>
      <c r="AT4506" s="247"/>
    </row>
    <row r="4507">
      <c r="C4507" s="277"/>
      <c r="O4507" s="247"/>
      <c r="AC4507" s="247"/>
      <c r="AT4507" s="247"/>
    </row>
    <row r="4508">
      <c r="C4508" s="277"/>
      <c r="O4508" s="247"/>
      <c r="AC4508" s="247"/>
      <c r="AT4508" s="247"/>
    </row>
    <row r="4509">
      <c r="C4509" s="277"/>
      <c r="O4509" s="247"/>
      <c r="AC4509" s="247"/>
      <c r="AT4509" s="247"/>
    </row>
    <row r="4510">
      <c r="C4510" s="277"/>
      <c r="O4510" s="247"/>
      <c r="AC4510" s="247"/>
      <c r="AT4510" s="247"/>
    </row>
    <row r="4511">
      <c r="C4511" s="277"/>
      <c r="O4511" s="247"/>
      <c r="AC4511" s="247"/>
      <c r="AT4511" s="247"/>
    </row>
    <row r="4512">
      <c r="C4512" s="277"/>
      <c r="O4512" s="247"/>
      <c r="AC4512" s="247"/>
      <c r="AT4512" s="247"/>
    </row>
    <row r="4513">
      <c r="C4513" s="277"/>
      <c r="O4513" s="247"/>
      <c r="AC4513" s="247"/>
      <c r="AT4513" s="247"/>
    </row>
    <row r="4514">
      <c r="C4514" s="277"/>
      <c r="O4514" s="247"/>
      <c r="AC4514" s="247"/>
      <c r="AT4514" s="247"/>
    </row>
    <row r="4515">
      <c r="C4515" s="277"/>
      <c r="O4515" s="247"/>
      <c r="AC4515" s="247"/>
      <c r="AT4515" s="247"/>
    </row>
    <row r="4516">
      <c r="C4516" s="277"/>
      <c r="O4516" s="247"/>
      <c r="AC4516" s="247"/>
      <c r="AT4516" s="247"/>
    </row>
    <row r="4517">
      <c r="C4517" s="277"/>
      <c r="O4517" s="247"/>
      <c r="AC4517" s="247"/>
      <c r="AT4517" s="247"/>
    </row>
    <row r="4518">
      <c r="C4518" s="277"/>
      <c r="O4518" s="247"/>
      <c r="AC4518" s="247"/>
      <c r="AT4518" s="247"/>
    </row>
    <row r="4519">
      <c r="C4519" s="277"/>
      <c r="O4519" s="247"/>
      <c r="AC4519" s="247"/>
      <c r="AT4519" s="247"/>
    </row>
    <row r="4520">
      <c r="C4520" s="277"/>
      <c r="O4520" s="247"/>
      <c r="AC4520" s="247"/>
      <c r="AT4520" s="247"/>
    </row>
    <row r="4521">
      <c r="C4521" s="277"/>
      <c r="O4521" s="247"/>
      <c r="AC4521" s="247"/>
      <c r="AT4521" s="247"/>
    </row>
    <row r="4522">
      <c r="C4522" s="277"/>
      <c r="O4522" s="247"/>
      <c r="AC4522" s="247"/>
      <c r="AT4522" s="247"/>
    </row>
    <row r="4523">
      <c r="C4523" s="277"/>
      <c r="O4523" s="247"/>
      <c r="AC4523" s="247"/>
      <c r="AT4523" s="247"/>
    </row>
    <row r="4524">
      <c r="C4524" s="277"/>
      <c r="O4524" s="247"/>
      <c r="AC4524" s="247"/>
      <c r="AT4524" s="247"/>
    </row>
    <row r="4525">
      <c r="C4525" s="277"/>
      <c r="O4525" s="247"/>
      <c r="AC4525" s="247"/>
      <c r="AT4525" s="247"/>
    </row>
    <row r="4526">
      <c r="C4526" s="277"/>
      <c r="O4526" s="247"/>
      <c r="AC4526" s="247"/>
      <c r="AT4526" s="247"/>
    </row>
    <row r="4527">
      <c r="C4527" s="277"/>
      <c r="O4527" s="247"/>
      <c r="AC4527" s="247"/>
      <c r="AT4527" s="247"/>
    </row>
    <row r="4528">
      <c r="C4528" s="277"/>
      <c r="O4528" s="247"/>
      <c r="AC4528" s="247"/>
      <c r="AT4528" s="247"/>
    </row>
    <row r="4529">
      <c r="C4529" s="277"/>
      <c r="O4529" s="247"/>
      <c r="AC4529" s="247"/>
      <c r="AT4529" s="247"/>
    </row>
    <row r="4530">
      <c r="C4530" s="277"/>
      <c r="O4530" s="247"/>
      <c r="AC4530" s="247"/>
      <c r="AT4530" s="247"/>
    </row>
    <row r="4531">
      <c r="C4531" s="277"/>
      <c r="O4531" s="247"/>
      <c r="AC4531" s="247"/>
      <c r="AT4531" s="247"/>
    </row>
    <row r="4532">
      <c r="C4532" s="277"/>
      <c r="O4532" s="247"/>
      <c r="AC4532" s="247"/>
      <c r="AT4532" s="247"/>
    </row>
    <row r="4533">
      <c r="C4533" s="277"/>
      <c r="O4533" s="247"/>
      <c r="AC4533" s="247"/>
      <c r="AT4533" s="247"/>
    </row>
    <row r="4534">
      <c r="C4534" s="277"/>
      <c r="O4534" s="247"/>
      <c r="AC4534" s="247"/>
      <c r="AT4534" s="247"/>
    </row>
    <row r="4535">
      <c r="C4535" s="277"/>
      <c r="O4535" s="247"/>
      <c r="AC4535" s="247"/>
      <c r="AT4535" s="247"/>
    </row>
    <row r="4536">
      <c r="C4536" s="277"/>
      <c r="O4536" s="247"/>
      <c r="AC4536" s="247"/>
      <c r="AT4536" s="247"/>
    </row>
    <row r="4537">
      <c r="C4537" s="277"/>
      <c r="O4537" s="247"/>
      <c r="AC4537" s="247"/>
      <c r="AT4537" s="247"/>
    </row>
    <row r="4538">
      <c r="C4538" s="277"/>
      <c r="O4538" s="247"/>
      <c r="AC4538" s="247"/>
      <c r="AT4538" s="247"/>
    </row>
    <row r="4539">
      <c r="C4539" s="277"/>
      <c r="O4539" s="247"/>
      <c r="AC4539" s="247"/>
      <c r="AT4539" s="247"/>
    </row>
    <row r="4540">
      <c r="C4540" s="277"/>
      <c r="O4540" s="247"/>
      <c r="AC4540" s="247"/>
      <c r="AT4540" s="247"/>
    </row>
    <row r="4541">
      <c r="C4541" s="277"/>
      <c r="O4541" s="247"/>
      <c r="AC4541" s="247"/>
      <c r="AT4541" s="247"/>
    </row>
    <row r="4542">
      <c r="C4542" s="277"/>
      <c r="O4542" s="247"/>
      <c r="AC4542" s="247"/>
      <c r="AT4542" s="247"/>
    </row>
    <row r="4543">
      <c r="C4543" s="277"/>
      <c r="O4543" s="247"/>
      <c r="AC4543" s="247"/>
      <c r="AT4543" s="247"/>
    </row>
    <row r="4544">
      <c r="C4544" s="277"/>
      <c r="O4544" s="247"/>
      <c r="AC4544" s="247"/>
      <c r="AT4544" s="247"/>
    </row>
    <row r="4545">
      <c r="C4545" s="277"/>
      <c r="O4545" s="247"/>
      <c r="AC4545" s="247"/>
      <c r="AT4545" s="247"/>
    </row>
    <row r="4546">
      <c r="C4546" s="277"/>
      <c r="O4546" s="247"/>
      <c r="AC4546" s="247"/>
      <c r="AT4546" s="247"/>
    </row>
    <row r="4547">
      <c r="C4547" s="277"/>
      <c r="O4547" s="247"/>
      <c r="AC4547" s="247"/>
      <c r="AT4547" s="247"/>
    </row>
    <row r="4548">
      <c r="C4548" s="277"/>
      <c r="O4548" s="247"/>
      <c r="AC4548" s="247"/>
      <c r="AT4548" s="247"/>
    </row>
    <row r="4549">
      <c r="C4549" s="277"/>
      <c r="O4549" s="247"/>
      <c r="AC4549" s="247"/>
      <c r="AT4549" s="247"/>
    </row>
    <row r="4550">
      <c r="C4550" s="277"/>
      <c r="O4550" s="247"/>
      <c r="AC4550" s="247"/>
      <c r="AT4550" s="247"/>
    </row>
    <row r="4551">
      <c r="C4551" s="277"/>
      <c r="O4551" s="247"/>
      <c r="AC4551" s="247"/>
      <c r="AT4551" s="247"/>
    </row>
    <row r="4552">
      <c r="C4552" s="277"/>
      <c r="O4552" s="247"/>
      <c r="AC4552" s="247"/>
      <c r="AT4552" s="247"/>
    </row>
    <row r="4553">
      <c r="C4553" s="277"/>
      <c r="O4553" s="247"/>
      <c r="AC4553" s="247"/>
      <c r="AT4553" s="247"/>
    </row>
    <row r="4554">
      <c r="C4554" s="277"/>
      <c r="O4554" s="247"/>
      <c r="AC4554" s="247"/>
      <c r="AT4554" s="247"/>
    </row>
    <row r="4555">
      <c r="C4555" s="277"/>
      <c r="O4555" s="247"/>
      <c r="AC4555" s="247"/>
      <c r="AT4555" s="247"/>
    </row>
    <row r="4556">
      <c r="C4556" s="277"/>
      <c r="O4556" s="247"/>
      <c r="AC4556" s="247"/>
      <c r="AT4556" s="247"/>
    </row>
    <row r="4557">
      <c r="C4557" s="277"/>
      <c r="O4557" s="247"/>
      <c r="AC4557" s="247"/>
      <c r="AT4557" s="247"/>
    </row>
    <row r="4558">
      <c r="C4558" s="277"/>
      <c r="O4558" s="247"/>
      <c r="AC4558" s="247"/>
      <c r="AT4558" s="247"/>
    </row>
    <row r="4559">
      <c r="C4559" s="277"/>
      <c r="O4559" s="247"/>
      <c r="AC4559" s="247"/>
      <c r="AT4559" s="247"/>
    </row>
    <row r="4560">
      <c r="C4560" s="277"/>
      <c r="O4560" s="247"/>
      <c r="AC4560" s="247"/>
      <c r="AT4560" s="247"/>
    </row>
    <row r="4561">
      <c r="C4561" s="277"/>
      <c r="O4561" s="247"/>
      <c r="AC4561" s="247"/>
      <c r="AT4561" s="247"/>
    </row>
    <row r="4562">
      <c r="C4562" s="277"/>
      <c r="O4562" s="247"/>
      <c r="AC4562" s="247"/>
      <c r="AT4562" s="247"/>
    </row>
    <row r="4563">
      <c r="C4563" s="277"/>
      <c r="O4563" s="247"/>
      <c r="AC4563" s="247"/>
      <c r="AT4563" s="247"/>
    </row>
    <row r="4564">
      <c r="C4564" s="277"/>
      <c r="O4564" s="247"/>
      <c r="AC4564" s="247"/>
      <c r="AT4564" s="247"/>
    </row>
    <row r="4565">
      <c r="C4565" s="277"/>
      <c r="O4565" s="247"/>
      <c r="AC4565" s="247"/>
      <c r="AT4565" s="247"/>
    </row>
    <row r="4566">
      <c r="C4566" s="277"/>
      <c r="O4566" s="247"/>
      <c r="AC4566" s="247"/>
      <c r="AT4566" s="247"/>
    </row>
    <row r="4567">
      <c r="C4567" s="277"/>
      <c r="O4567" s="247"/>
      <c r="AC4567" s="247"/>
      <c r="AT4567" s="247"/>
    </row>
    <row r="4568">
      <c r="C4568" s="277"/>
      <c r="O4568" s="247"/>
      <c r="AC4568" s="247"/>
      <c r="AT4568" s="247"/>
    </row>
    <row r="4569">
      <c r="C4569" s="277"/>
      <c r="O4569" s="247"/>
      <c r="AC4569" s="247"/>
      <c r="AT4569" s="247"/>
    </row>
    <row r="4570">
      <c r="C4570" s="277"/>
      <c r="O4570" s="247"/>
      <c r="AC4570" s="247"/>
      <c r="AT4570" s="247"/>
    </row>
    <row r="4571">
      <c r="C4571" s="277"/>
      <c r="O4571" s="247"/>
      <c r="AC4571" s="247"/>
      <c r="AT4571" s="247"/>
    </row>
    <row r="4572">
      <c r="C4572" s="277"/>
      <c r="O4572" s="247"/>
      <c r="AC4572" s="247"/>
      <c r="AT4572" s="247"/>
    </row>
    <row r="4573">
      <c r="C4573" s="277"/>
      <c r="O4573" s="247"/>
      <c r="AC4573" s="247"/>
      <c r="AT4573" s="247"/>
    </row>
    <row r="4574">
      <c r="C4574" s="277"/>
      <c r="O4574" s="247"/>
      <c r="AC4574" s="247"/>
      <c r="AT4574" s="247"/>
    </row>
    <row r="4575">
      <c r="C4575" s="277"/>
      <c r="O4575" s="247"/>
      <c r="AC4575" s="247"/>
      <c r="AT4575" s="247"/>
    </row>
    <row r="4576">
      <c r="C4576" s="277"/>
      <c r="O4576" s="247"/>
      <c r="AC4576" s="247"/>
      <c r="AT4576" s="247"/>
    </row>
    <row r="4577">
      <c r="C4577" s="277"/>
      <c r="O4577" s="247"/>
      <c r="AC4577" s="247"/>
      <c r="AT4577" s="247"/>
    </row>
    <row r="4578">
      <c r="C4578" s="277"/>
      <c r="O4578" s="247"/>
      <c r="AC4578" s="247"/>
      <c r="AT4578" s="247"/>
    </row>
    <row r="4579">
      <c r="C4579" s="277"/>
      <c r="O4579" s="247"/>
      <c r="AC4579" s="247"/>
      <c r="AT4579" s="247"/>
    </row>
    <row r="4580">
      <c r="C4580" s="277"/>
      <c r="O4580" s="247"/>
      <c r="AC4580" s="247"/>
      <c r="AT4580" s="247"/>
    </row>
    <row r="4581">
      <c r="C4581" s="277"/>
      <c r="O4581" s="247"/>
      <c r="AC4581" s="247"/>
      <c r="AT4581" s="247"/>
    </row>
    <row r="4582">
      <c r="C4582" s="277"/>
      <c r="O4582" s="247"/>
      <c r="AC4582" s="247"/>
      <c r="AT4582" s="247"/>
    </row>
    <row r="4583">
      <c r="C4583" s="277"/>
      <c r="O4583" s="247"/>
      <c r="AC4583" s="247"/>
      <c r="AT4583" s="247"/>
    </row>
    <row r="4584">
      <c r="C4584" s="277"/>
      <c r="O4584" s="247"/>
      <c r="AC4584" s="247"/>
      <c r="AT4584" s="247"/>
    </row>
    <row r="4585">
      <c r="C4585" s="277"/>
      <c r="O4585" s="247"/>
      <c r="AC4585" s="247"/>
      <c r="AT4585" s="247"/>
    </row>
    <row r="4586">
      <c r="C4586" s="277"/>
      <c r="O4586" s="247"/>
      <c r="AC4586" s="247"/>
      <c r="AT4586" s="247"/>
    </row>
    <row r="4587">
      <c r="C4587" s="277"/>
      <c r="O4587" s="247"/>
      <c r="AC4587" s="247"/>
      <c r="AT4587" s="247"/>
    </row>
    <row r="4588">
      <c r="C4588" s="277"/>
      <c r="O4588" s="247"/>
      <c r="AC4588" s="247"/>
      <c r="AT4588" s="247"/>
    </row>
    <row r="4589">
      <c r="C4589" s="277"/>
      <c r="O4589" s="247"/>
      <c r="AC4589" s="247"/>
      <c r="AT4589" s="247"/>
    </row>
    <row r="4590">
      <c r="C4590" s="277"/>
      <c r="O4590" s="247"/>
      <c r="AC4590" s="247"/>
      <c r="AT4590" s="247"/>
    </row>
    <row r="4591">
      <c r="C4591" s="277"/>
      <c r="O4591" s="247"/>
      <c r="AC4591" s="247"/>
      <c r="AT4591" s="247"/>
    </row>
    <row r="4592">
      <c r="C4592" s="277"/>
      <c r="O4592" s="247"/>
      <c r="AC4592" s="247"/>
      <c r="AT4592" s="247"/>
    </row>
    <row r="4593">
      <c r="C4593" s="277"/>
      <c r="O4593" s="247"/>
      <c r="AC4593" s="247"/>
      <c r="AT4593" s="247"/>
    </row>
    <row r="4594">
      <c r="C4594" s="277"/>
      <c r="O4594" s="247"/>
      <c r="AC4594" s="247"/>
      <c r="AT4594" s="247"/>
    </row>
    <row r="4595">
      <c r="C4595" s="277"/>
      <c r="O4595" s="247"/>
      <c r="AC4595" s="247"/>
      <c r="AT4595" s="247"/>
    </row>
    <row r="4596">
      <c r="C4596" s="277"/>
      <c r="O4596" s="247"/>
      <c r="AC4596" s="247"/>
      <c r="AT4596" s="247"/>
    </row>
    <row r="4597">
      <c r="C4597" s="277"/>
      <c r="O4597" s="247"/>
      <c r="AC4597" s="247"/>
      <c r="AT4597" s="247"/>
    </row>
    <row r="4598">
      <c r="C4598" s="277"/>
      <c r="O4598" s="247"/>
      <c r="AC4598" s="247"/>
      <c r="AT4598" s="247"/>
    </row>
    <row r="4599">
      <c r="C4599" s="277"/>
      <c r="O4599" s="247"/>
      <c r="AC4599" s="247"/>
      <c r="AT4599" s="247"/>
    </row>
    <row r="4600">
      <c r="C4600" s="277"/>
      <c r="O4600" s="247"/>
      <c r="AC4600" s="247"/>
      <c r="AT4600" s="247"/>
    </row>
    <row r="4601">
      <c r="C4601" s="277"/>
      <c r="O4601" s="247"/>
      <c r="AC4601" s="247"/>
      <c r="AT4601" s="247"/>
    </row>
    <row r="4602">
      <c r="C4602" s="277"/>
      <c r="O4602" s="247"/>
      <c r="AC4602" s="247"/>
      <c r="AT4602" s="247"/>
    </row>
    <row r="4603">
      <c r="C4603" s="277"/>
      <c r="O4603" s="247"/>
      <c r="AC4603" s="247"/>
      <c r="AT4603" s="247"/>
    </row>
    <row r="4604">
      <c r="C4604" s="277"/>
      <c r="O4604" s="247"/>
      <c r="AC4604" s="247"/>
      <c r="AT4604" s="247"/>
    </row>
    <row r="4605">
      <c r="C4605" s="277"/>
      <c r="O4605" s="247"/>
      <c r="AC4605" s="247"/>
      <c r="AT4605" s="247"/>
    </row>
    <row r="4606">
      <c r="C4606" s="277"/>
      <c r="O4606" s="247"/>
      <c r="AC4606" s="247"/>
      <c r="AT4606" s="247"/>
    </row>
    <row r="4607">
      <c r="C4607" s="277"/>
      <c r="O4607" s="247"/>
      <c r="AC4607" s="247"/>
      <c r="AT4607" s="247"/>
    </row>
    <row r="4608">
      <c r="C4608" s="277"/>
      <c r="O4608" s="247"/>
      <c r="AC4608" s="247"/>
      <c r="AT4608" s="247"/>
    </row>
    <row r="4609">
      <c r="C4609" s="277"/>
      <c r="O4609" s="247"/>
      <c r="AC4609" s="247"/>
      <c r="AT4609" s="247"/>
    </row>
    <row r="4610">
      <c r="C4610" s="277"/>
      <c r="O4610" s="247"/>
      <c r="AC4610" s="247"/>
      <c r="AT4610" s="247"/>
    </row>
    <row r="4611">
      <c r="C4611" s="277"/>
      <c r="O4611" s="247"/>
      <c r="AC4611" s="247"/>
      <c r="AT4611" s="247"/>
    </row>
    <row r="4612">
      <c r="C4612" s="277"/>
      <c r="O4612" s="247"/>
      <c r="AC4612" s="247"/>
      <c r="AT4612" s="247"/>
    </row>
    <row r="4613">
      <c r="C4613" s="277"/>
      <c r="O4613" s="247"/>
      <c r="AC4613" s="247"/>
      <c r="AT4613" s="247"/>
    </row>
    <row r="4614">
      <c r="C4614" s="277"/>
      <c r="O4614" s="247"/>
      <c r="AC4614" s="247"/>
      <c r="AT4614" s="247"/>
    </row>
    <row r="4615">
      <c r="C4615" s="277"/>
      <c r="O4615" s="247"/>
      <c r="AC4615" s="247"/>
      <c r="AT4615" s="247"/>
    </row>
    <row r="4616">
      <c r="C4616" s="277"/>
      <c r="O4616" s="247"/>
      <c r="AC4616" s="247"/>
      <c r="AT4616" s="247"/>
    </row>
    <row r="4617">
      <c r="C4617" s="277"/>
      <c r="O4617" s="247"/>
      <c r="AC4617" s="247"/>
      <c r="AT4617" s="247"/>
    </row>
    <row r="4618">
      <c r="C4618" s="277"/>
      <c r="O4618" s="247"/>
      <c r="AC4618" s="247"/>
      <c r="AT4618" s="247"/>
    </row>
    <row r="4619">
      <c r="C4619" s="277"/>
      <c r="O4619" s="247"/>
      <c r="AC4619" s="247"/>
      <c r="AT4619" s="247"/>
    </row>
    <row r="4620">
      <c r="C4620" s="277"/>
      <c r="O4620" s="247"/>
      <c r="AC4620" s="247"/>
      <c r="AT4620" s="247"/>
    </row>
    <row r="4621">
      <c r="C4621" s="277"/>
      <c r="O4621" s="247"/>
      <c r="AC4621" s="247"/>
      <c r="AT4621" s="247"/>
    </row>
    <row r="4622">
      <c r="C4622" s="277"/>
      <c r="O4622" s="247"/>
      <c r="AC4622" s="247"/>
      <c r="AT4622" s="247"/>
    </row>
    <row r="4623">
      <c r="C4623" s="277"/>
      <c r="O4623" s="247"/>
      <c r="AC4623" s="247"/>
      <c r="AT4623" s="247"/>
    </row>
    <row r="4624">
      <c r="C4624" s="277"/>
      <c r="O4624" s="247"/>
      <c r="AC4624" s="247"/>
      <c r="AT4624" s="247"/>
    </row>
    <row r="4625">
      <c r="C4625" s="277"/>
      <c r="O4625" s="247"/>
      <c r="AC4625" s="247"/>
      <c r="AT4625" s="247"/>
    </row>
    <row r="4626">
      <c r="C4626" s="277"/>
      <c r="O4626" s="247"/>
      <c r="AC4626" s="247"/>
      <c r="AT4626" s="247"/>
    </row>
    <row r="4627">
      <c r="C4627" s="277"/>
      <c r="O4627" s="247"/>
      <c r="AC4627" s="247"/>
      <c r="AT4627" s="247"/>
    </row>
    <row r="4628">
      <c r="C4628" s="277"/>
      <c r="O4628" s="247"/>
      <c r="AC4628" s="247"/>
      <c r="AT4628" s="247"/>
    </row>
    <row r="4629">
      <c r="C4629" s="277"/>
      <c r="O4629" s="247"/>
      <c r="AC4629" s="247"/>
      <c r="AT4629" s="247"/>
    </row>
    <row r="4630">
      <c r="C4630" s="277"/>
      <c r="O4630" s="247"/>
      <c r="AC4630" s="247"/>
      <c r="AT4630" s="247"/>
    </row>
    <row r="4631">
      <c r="C4631" s="277"/>
      <c r="O4631" s="247"/>
      <c r="AC4631" s="247"/>
      <c r="AT4631" s="247"/>
    </row>
    <row r="4632">
      <c r="C4632" s="277"/>
      <c r="O4632" s="247"/>
      <c r="AC4632" s="247"/>
      <c r="AT4632" s="247"/>
    </row>
    <row r="4633">
      <c r="C4633" s="277"/>
      <c r="O4633" s="247"/>
      <c r="AC4633" s="247"/>
      <c r="AT4633" s="247"/>
    </row>
    <row r="4634">
      <c r="C4634" s="277"/>
      <c r="O4634" s="247"/>
      <c r="AC4634" s="247"/>
      <c r="AT4634" s="247"/>
    </row>
    <row r="4635">
      <c r="C4635" s="277"/>
      <c r="O4635" s="247"/>
      <c r="AC4635" s="247"/>
      <c r="AT4635" s="247"/>
    </row>
    <row r="4636">
      <c r="C4636" s="277"/>
      <c r="O4636" s="247"/>
      <c r="AC4636" s="247"/>
      <c r="AT4636" s="247"/>
    </row>
    <row r="4637">
      <c r="C4637" s="277"/>
      <c r="O4637" s="247"/>
      <c r="AC4637" s="247"/>
      <c r="AT4637" s="247"/>
    </row>
    <row r="4638">
      <c r="C4638" s="277"/>
      <c r="O4638" s="247"/>
      <c r="AC4638" s="247"/>
      <c r="AT4638" s="247"/>
    </row>
    <row r="4639">
      <c r="C4639" s="277"/>
      <c r="O4639" s="247"/>
      <c r="AC4639" s="247"/>
      <c r="AT4639" s="247"/>
    </row>
    <row r="4640">
      <c r="C4640" s="277"/>
      <c r="O4640" s="247"/>
      <c r="AC4640" s="247"/>
      <c r="AT4640" s="247"/>
    </row>
    <row r="4641">
      <c r="C4641" s="277"/>
      <c r="O4641" s="247"/>
      <c r="AC4641" s="247"/>
      <c r="AT4641" s="247"/>
    </row>
    <row r="4642">
      <c r="C4642" s="277"/>
      <c r="O4642" s="247"/>
      <c r="AC4642" s="247"/>
      <c r="AT4642" s="247"/>
    </row>
    <row r="4643">
      <c r="C4643" s="277"/>
      <c r="O4643" s="247"/>
      <c r="AC4643" s="247"/>
      <c r="AT4643" s="247"/>
    </row>
    <row r="4644">
      <c r="C4644" s="277"/>
      <c r="O4644" s="247"/>
      <c r="AC4644" s="247"/>
      <c r="AT4644" s="247"/>
    </row>
    <row r="4645">
      <c r="C4645" s="277"/>
      <c r="O4645" s="247"/>
      <c r="AC4645" s="247"/>
      <c r="AT4645" s="247"/>
    </row>
    <row r="4646">
      <c r="C4646" s="277"/>
      <c r="O4646" s="247"/>
      <c r="AC4646" s="247"/>
      <c r="AT4646" s="247"/>
    </row>
    <row r="4647">
      <c r="C4647" s="277"/>
      <c r="O4647" s="247"/>
      <c r="AC4647" s="247"/>
      <c r="AT4647" s="247"/>
    </row>
    <row r="4648">
      <c r="C4648" s="277"/>
      <c r="O4648" s="247"/>
      <c r="AC4648" s="247"/>
      <c r="AT4648" s="247"/>
    </row>
    <row r="4649">
      <c r="C4649" s="277"/>
      <c r="O4649" s="247"/>
      <c r="AC4649" s="247"/>
      <c r="AT4649" s="247"/>
    </row>
    <row r="4650">
      <c r="C4650" s="277"/>
      <c r="O4650" s="247"/>
      <c r="AC4650" s="247"/>
      <c r="AT4650" s="247"/>
    </row>
    <row r="4651">
      <c r="C4651" s="277"/>
      <c r="O4651" s="247"/>
      <c r="AC4651" s="247"/>
      <c r="AT4651" s="247"/>
    </row>
    <row r="4652">
      <c r="C4652" s="277"/>
      <c r="O4652" s="247"/>
      <c r="AC4652" s="247"/>
      <c r="AT4652" s="247"/>
    </row>
    <row r="4653">
      <c r="C4653" s="277"/>
      <c r="O4653" s="247"/>
      <c r="AC4653" s="247"/>
      <c r="AT4653" s="247"/>
    </row>
    <row r="4654">
      <c r="C4654" s="277"/>
      <c r="O4654" s="247"/>
      <c r="AC4654" s="247"/>
      <c r="AT4654" s="247"/>
    </row>
    <row r="4655">
      <c r="C4655" s="277"/>
      <c r="O4655" s="247"/>
      <c r="AC4655" s="247"/>
      <c r="AT4655" s="247"/>
    </row>
    <row r="4656">
      <c r="C4656" s="277"/>
      <c r="O4656" s="247"/>
      <c r="AC4656" s="247"/>
      <c r="AT4656" s="247"/>
    </row>
    <row r="4657">
      <c r="C4657" s="277"/>
      <c r="O4657" s="247"/>
      <c r="AC4657" s="247"/>
      <c r="AT4657" s="247"/>
    </row>
    <row r="4658">
      <c r="C4658" s="277"/>
      <c r="O4658" s="247"/>
      <c r="AC4658" s="247"/>
      <c r="AT4658" s="247"/>
    </row>
    <row r="4659">
      <c r="C4659" s="277"/>
      <c r="O4659" s="247"/>
      <c r="AC4659" s="247"/>
      <c r="AT4659" s="247"/>
    </row>
    <row r="4660">
      <c r="C4660" s="277"/>
      <c r="O4660" s="247"/>
      <c r="AC4660" s="247"/>
      <c r="AT4660" s="247"/>
    </row>
    <row r="4661">
      <c r="C4661" s="277"/>
      <c r="O4661" s="247"/>
      <c r="AC4661" s="247"/>
      <c r="AT4661" s="247"/>
    </row>
    <row r="4662">
      <c r="C4662" s="277"/>
      <c r="O4662" s="247"/>
      <c r="AC4662" s="247"/>
      <c r="AT4662" s="247"/>
    </row>
    <row r="4663">
      <c r="C4663" s="277"/>
      <c r="O4663" s="247"/>
      <c r="AC4663" s="247"/>
      <c r="AT4663" s="247"/>
    </row>
    <row r="4664">
      <c r="C4664" s="277"/>
      <c r="O4664" s="247"/>
      <c r="AC4664" s="247"/>
      <c r="AT4664" s="247"/>
    </row>
    <row r="4665">
      <c r="C4665" s="277"/>
      <c r="O4665" s="247"/>
      <c r="AC4665" s="247"/>
      <c r="AT4665" s="247"/>
    </row>
    <row r="4666">
      <c r="C4666" s="277"/>
      <c r="O4666" s="247"/>
      <c r="AC4666" s="247"/>
      <c r="AT4666" s="247"/>
    </row>
    <row r="4667">
      <c r="C4667" s="277"/>
      <c r="O4667" s="247"/>
      <c r="AC4667" s="247"/>
      <c r="AT4667" s="247"/>
    </row>
    <row r="4668">
      <c r="C4668" s="277"/>
      <c r="O4668" s="247"/>
      <c r="AC4668" s="247"/>
      <c r="AT4668" s="247"/>
    </row>
    <row r="4669">
      <c r="C4669" s="277"/>
      <c r="O4669" s="247"/>
      <c r="AC4669" s="247"/>
      <c r="AT4669" s="247"/>
    </row>
    <row r="4670">
      <c r="C4670" s="277"/>
      <c r="O4670" s="247"/>
      <c r="AC4670" s="247"/>
      <c r="AT4670" s="247"/>
    </row>
    <row r="4671">
      <c r="C4671" s="277"/>
      <c r="O4671" s="247"/>
      <c r="AC4671" s="247"/>
      <c r="AT4671" s="247"/>
    </row>
    <row r="4672">
      <c r="C4672" s="277"/>
      <c r="O4672" s="247"/>
      <c r="AC4672" s="247"/>
      <c r="AT4672" s="247"/>
    </row>
    <row r="4673">
      <c r="C4673" s="277"/>
      <c r="O4673" s="247"/>
      <c r="AC4673" s="247"/>
      <c r="AT4673" s="247"/>
    </row>
    <row r="4674">
      <c r="C4674" s="277"/>
      <c r="O4674" s="247"/>
      <c r="AC4674" s="247"/>
      <c r="AT4674" s="247"/>
    </row>
    <row r="4675">
      <c r="C4675" s="277"/>
      <c r="O4675" s="247"/>
      <c r="AC4675" s="247"/>
      <c r="AT4675" s="247"/>
    </row>
    <row r="4676">
      <c r="C4676" s="277"/>
      <c r="O4676" s="247"/>
      <c r="AC4676" s="247"/>
      <c r="AT4676" s="247"/>
    </row>
    <row r="4677">
      <c r="C4677" s="277"/>
      <c r="O4677" s="247"/>
      <c r="AC4677" s="247"/>
      <c r="AT4677" s="247"/>
    </row>
    <row r="4678">
      <c r="C4678" s="277"/>
      <c r="O4678" s="247"/>
      <c r="AC4678" s="247"/>
      <c r="AT4678" s="247"/>
    </row>
    <row r="4679">
      <c r="C4679" s="277"/>
      <c r="O4679" s="247"/>
      <c r="AC4679" s="247"/>
      <c r="AT4679" s="247"/>
    </row>
    <row r="4680">
      <c r="C4680" s="277"/>
      <c r="O4680" s="247"/>
      <c r="AC4680" s="247"/>
      <c r="AT4680" s="247"/>
    </row>
    <row r="4681">
      <c r="C4681" s="277"/>
      <c r="O4681" s="247"/>
      <c r="AC4681" s="247"/>
      <c r="AT4681" s="247"/>
    </row>
    <row r="4682">
      <c r="C4682" s="277"/>
      <c r="O4682" s="247"/>
      <c r="AC4682" s="247"/>
      <c r="AT4682" s="247"/>
    </row>
    <row r="4683">
      <c r="C4683" s="277"/>
      <c r="O4683" s="247"/>
      <c r="AC4683" s="247"/>
      <c r="AT4683" s="247"/>
    </row>
    <row r="4684">
      <c r="C4684" s="277"/>
      <c r="O4684" s="247"/>
      <c r="AC4684" s="247"/>
      <c r="AT4684" s="247"/>
    </row>
    <row r="4685">
      <c r="C4685" s="277"/>
      <c r="O4685" s="247"/>
      <c r="AC4685" s="247"/>
      <c r="AT4685" s="247"/>
    </row>
    <row r="4686">
      <c r="C4686" s="277"/>
      <c r="O4686" s="247"/>
      <c r="AC4686" s="247"/>
      <c r="AT4686" s="247"/>
    </row>
    <row r="4687">
      <c r="C4687" s="277"/>
      <c r="O4687" s="247"/>
      <c r="AC4687" s="247"/>
      <c r="AT4687" s="247"/>
    </row>
    <row r="4688">
      <c r="C4688" s="277"/>
      <c r="O4688" s="247"/>
      <c r="AC4688" s="247"/>
      <c r="AT4688" s="247"/>
    </row>
    <row r="4689">
      <c r="C4689" s="277"/>
      <c r="O4689" s="247"/>
      <c r="AC4689" s="247"/>
      <c r="AT4689" s="247"/>
    </row>
    <row r="4690">
      <c r="C4690" s="277"/>
      <c r="O4690" s="247"/>
      <c r="AC4690" s="247"/>
      <c r="AT4690" s="247"/>
    </row>
    <row r="4691">
      <c r="C4691" s="277"/>
      <c r="O4691" s="247"/>
      <c r="AC4691" s="247"/>
      <c r="AT4691" s="247"/>
    </row>
    <row r="4692">
      <c r="C4692" s="277"/>
      <c r="O4692" s="247"/>
      <c r="AC4692" s="247"/>
      <c r="AT4692" s="247"/>
    </row>
    <row r="4693">
      <c r="C4693" s="277"/>
      <c r="O4693" s="247"/>
      <c r="AC4693" s="247"/>
      <c r="AT4693" s="247"/>
    </row>
    <row r="4694">
      <c r="C4694" s="277"/>
      <c r="O4694" s="247"/>
      <c r="AC4694" s="247"/>
      <c r="AT4694" s="247"/>
    </row>
    <row r="4695">
      <c r="C4695" s="277"/>
      <c r="O4695" s="247"/>
      <c r="AC4695" s="247"/>
      <c r="AT4695" s="247"/>
    </row>
    <row r="4696">
      <c r="C4696" s="277"/>
      <c r="O4696" s="247"/>
      <c r="AC4696" s="247"/>
      <c r="AT4696" s="247"/>
    </row>
    <row r="4697">
      <c r="C4697" s="277"/>
      <c r="O4697" s="247"/>
      <c r="AC4697" s="247"/>
      <c r="AT4697" s="247"/>
    </row>
    <row r="4698">
      <c r="C4698" s="277"/>
      <c r="O4698" s="247"/>
      <c r="AC4698" s="247"/>
      <c r="AT4698" s="247"/>
    </row>
    <row r="4699">
      <c r="C4699" s="277"/>
      <c r="O4699" s="247"/>
      <c r="AC4699" s="247"/>
      <c r="AT4699" s="247"/>
    </row>
    <row r="4700">
      <c r="C4700" s="277"/>
      <c r="O4700" s="247"/>
      <c r="AC4700" s="247"/>
      <c r="AT4700" s="247"/>
    </row>
    <row r="4701">
      <c r="C4701" s="277"/>
      <c r="O4701" s="247"/>
      <c r="AC4701" s="247"/>
      <c r="AT4701" s="247"/>
    </row>
    <row r="4702">
      <c r="C4702" s="277"/>
      <c r="O4702" s="247"/>
      <c r="AC4702" s="247"/>
      <c r="AT4702" s="247"/>
    </row>
    <row r="4703">
      <c r="C4703" s="277"/>
      <c r="O4703" s="247"/>
      <c r="AC4703" s="247"/>
      <c r="AT4703" s="247"/>
    </row>
    <row r="4704">
      <c r="C4704" s="277"/>
      <c r="O4704" s="247"/>
      <c r="AC4704" s="247"/>
      <c r="AT4704" s="247"/>
    </row>
    <row r="4705">
      <c r="C4705" s="277"/>
      <c r="O4705" s="247"/>
      <c r="AC4705" s="247"/>
      <c r="AT4705" s="247"/>
    </row>
    <row r="4706">
      <c r="C4706" s="277"/>
      <c r="O4706" s="247"/>
      <c r="AC4706" s="247"/>
      <c r="AT4706" s="247"/>
    </row>
    <row r="4707">
      <c r="C4707" s="277"/>
      <c r="O4707" s="247"/>
      <c r="AC4707" s="247"/>
      <c r="AT4707" s="247"/>
    </row>
    <row r="4708">
      <c r="C4708" s="277"/>
      <c r="O4708" s="247"/>
      <c r="AC4708" s="247"/>
      <c r="AT4708" s="247"/>
    </row>
    <row r="4709">
      <c r="C4709" s="277"/>
      <c r="O4709" s="247"/>
      <c r="AC4709" s="247"/>
      <c r="AT4709" s="247"/>
    </row>
    <row r="4710">
      <c r="C4710" s="277"/>
      <c r="O4710" s="247"/>
      <c r="AC4710" s="247"/>
      <c r="AT4710" s="247"/>
    </row>
    <row r="4711">
      <c r="C4711" s="277"/>
      <c r="O4711" s="247"/>
      <c r="AC4711" s="247"/>
      <c r="AT4711" s="247"/>
    </row>
    <row r="4712">
      <c r="C4712" s="277"/>
      <c r="O4712" s="247"/>
      <c r="AC4712" s="247"/>
      <c r="AT4712" s="247"/>
    </row>
    <row r="4713">
      <c r="C4713" s="277"/>
      <c r="O4713" s="247"/>
      <c r="AC4713" s="247"/>
      <c r="AT4713" s="247"/>
    </row>
    <row r="4714">
      <c r="C4714" s="277"/>
      <c r="O4714" s="247"/>
      <c r="AC4714" s="247"/>
      <c r="AT4714" s="247"/>
    </row>
    <row r="4715">
      <c r="C4715" s="277"/>
      <c r="O4715" s="247"/>
      <c r="AC4715" s="247"/>
      <c r="AT4715" s="247"/>
    </row>
    <row r="4716">
      <c r="C4716" s="277"/>
      <c r="O4716" s="247"/>
      <c r="AC4716" s="247"/>
      <c r="AT4716" s="247"/>
    </row>
    <row r="4717">
      <c r="C4717" s="277"/>
      <c r="O4717" s="247"/>
      <c r="AC4717" s="247"/>
      <c r="AT4717" s="247"/>
    </row>
    <row r="4718">
      <c r="C4718" s="277"/>
      <c r="O4718" s="247"/>
      <c r="AC4718" s="247"/>
      <c r="AT4718" s="247"/>
    </row>
    <row r="4719">
      <c r="C4719" s="277"/>
      <c r="O4719" s="247"/>
      <c r="AC4719" s="247"/>
      <c r="AT4719" s="247"/>
    </row>
    <row r="4720">
      <c r="C4720" s="277"/>
      <c r="O4720" s="247"/>
      <c r="AC4720" s="247"/>
      <c r="AT4720" s="247"/>
    </row>
    <row r="4721">
      <c r="C4721" s="277"/>
      <c r="O4721" s="247"/>
      <c r="AC4721" s="247"/>
      <c r="AT4721" s="247"/>
    </row>
    <row r="4722">
      <c r="C4722" s="277"/>
      <c r="O4722" s="247"/>
      <c r="AC4722" s="247"/>
      <c r="AT4722" s="247"/>
    </row>
    <row r="4723">
      <c r="C4723" s="277"/>
      <c r="O4723" s="247"/>
      <c r="AC4723" s="247"/>
      <c r="AT4723" s="247"/>
    </row>
    <row r="4724">
      <c r="C4724" s="277"/>
      <c r="O4724" s="247"/>
      <c r="AC4724" s="247"/>
      <c r="AT4724" s="247"/>
    </row>
    <row r="4725">
      <c r="C4725" s="277"/>
      <c r="O4725" s="247"/>
      <c r="AC4725" s="247"/>
      <c r="AT4725" s="247"/>
    </row>
    <row r="4726">
      <c r="C4726" s="277"/>
      <c r="O4726" s="247"/>
      <c r="AC4726" s="247"/>
      <c r="AT4726" s="247"/>
    </row>
    <row r="4727">
      <c r="C4727" s="277"/>
      <c r="O4727" s="247"/>
      <c r="AC4727" s="247"/>
      <c r="AT4727" s="247"/>
    </row>
    <row r="4728">
      <c r="C4728" s="277"/>
      <c r="O4728" s="247"/>
      <c r="AC4728" s="247"/>
      <c r="AT4728" s="247"/>
    </row>
    <row r="4729">
      <c r="C4729" s="277"/>
      <c r="O4729" s="247"/>
      <c r="AC4729" s="247"/>
      <c r="AT4729" s="247"/>
    </row>
    <row r="4730">
      <c r="C4730" s="277"/>
      <c r="O4730" s="247"/>
      <c r="AC4730" s="247"/>
      <c r="AT4730" s="247"/>
    </row>
    <row r="4731">
      <c r="C4731" s="277"/>
      <c r="O4731" s="247"/>
      <c r="AC4731" s="247"/>
      <c r="AT4731" s="247"/>
    </row>
    <row r="4732">
      <c r="C4732" s="277"/>
      <c r="O4732" s="247"/>
      <c r="AC4732" s="247"/>
      <c r="AT4732" s="247"/>
    </row>
    <row r="4733">
      <c r="C4733" s="277"/>
      <c r="O4733" s="247"/>
      <c r="AC4733" s="247"/>
      <c r="AT4733" s="247"/>
    </row>
    <row r="4734">
      <c r="C4734" s="277"/>
      <c r="O4734" s="247"/>
      <c r="AC4734" s="247"/>
      <c r="AT4734" s="247"/>
    </row>
    <row r="4735">
      <c r="C4735" s="277"/>
      <c r="O4735" s="247"/>
      <c r="AC4735" s="247"/>
      <c r="AT4735" s="247"/>
    </row>
    <row r="4736">
      <c r="C4736" s="277"/>
      <c r="O4736" s="247"/>
      <c r="AC4736" s="247"/>
      <c r="AT4736" s="247"/>
    </row>
    <row r="4737">
      <c r="C4737" s="277"/>
      <c r="O4737" s="247"/>
      <c r="AC4737" s="247"/>
      <c r="AT4737" s="247"/>
    </row>
    <row r="4738">
      <c r="C4738" s="277"/>
      <c r="O4738" s="247"/>
      <c r="AC4738" s="247"/>
      <c r="AT4738" s="247"/>
    </row>
    <row r="4739">
      <c r="C4739" s="277"/>
      <c r="O4739" s="247"/>
      <c r="AC4739" s="247"/>
      <c r="AT4739" s="247"/>
    </row>
    <row r="4740">
      <c r="C4740" s="277"/>
      <c r="O4740" s="247"/>
      <c r="AC4740" s="247"/>
      <c r="AT4740" s="247"/>
    </row>
    <row r="4741">
      <c r="C4741" s="277"/>
      <c r="O4741" s="247"/>
      <c r="AC4741" s="247"/>
      <c r="AT4741" s="247"/>
    </row>
    <row r="4742">
      <c r="C4742" s="277"/>
      <c r="O4742" s="247"/>
      <c r="AC4742" s="247"/>
      <c r="AT4742" s="247"/>
    </row>
    <row r="4743">
      <c r="C4743" s="277"/>
      <c r="O4743" s="247"/>
      <c r="AC4743" s="247"/>
      <c r="AT4743" s="247"/>
    </row>
    <row r="4744">
      <c r="C4744" s="277"/>
      <c r="O4744" s="247"/>
      <c r="AC4744" s="247"/>
      <c r="AT4744" s="247"/>
    </row>
    <row r="4745">
      <c r="C4745" s="277"/>
      <c r="O4745" s="247"/>
      <c r="AC4745" s="247"/>
      <c r="AT4745" s="247"/>
    </row>
    <row r="4746">
      <c r="C4746" s="277"/>
      <c r="O4746" s="247"/>
      <c r="AC4746" s="247"/>
      <c r="AT4746" s="247"/>
    </row>
    <row r="4747">
      <c r="C4747" s="277"/>
      <c r="O4747" s="247"/>
      <c r="AC4747" s="247"/>
      <c r="AT4747" s="247"/>
    </row>
    <row r="4748">
      <c r="C4748" s="277"/>
      <c r="O4748" s="247"/>
      <c r="AC4748" s="247"/>
      <c r="AT4748" s="247"/>
    </row>
    <row r="4749">
      <c r="C4749" s="277"/>
      <c r="O4749" s="247"/>
      <c r="AC4749" s="247"/>
      <c r="AT4749" s="247"/>
    </row>
    <row r="4750">
      <c r="C4750" s="277"/>
      <c r="O4750" s="247"/>
      <c r="AC4750" s="247"/>
      <c r="AT4750" s="247"/>
    </row>
    <row r="4751">
      <c r="C4751" s="277"/>
      <c r="O4751" s="247"/>
      <c r="AC4751" s="247"/>
      <c r="AT4751" s="247"/>
    </row>
    <row r="4752">
      <c r="C4752" s="277"/>
      <c r="O4752" s="247"/>
      <c r="AC4752" s="247"/>
      <c r="AT4752" s="247"/>
    </row>
    <row r="4753">
      <c r="C4753" s="277"/>
      <c r="O4753" s="247"/>
      <c r="AC4753" s="247"/>
      <c r="AT4753" s="247"/>
    </row>
    <row r="4754">
      <c r="C4754" s="277"/>
      <c r="O4754" s="247"/>
      <c r="AC4754" s="247"/>
      <c r="AT4754" s="247"/>
    </row>
    <row r="4755">
      <c r="C4755" s="277"/>
      <c r="O4755" s="247"/>
      <c r="AC4755" s="247"/>
      <c r="AT4755" s="247"/>
    </row>
    <row r="4756">
      <c r="C4756" s="277"/>
      <c r="O4756" s="247"/>
      <c r="AC4756" s="247"/>
      <c r="AT4756" s="247"/>
    </row>
    <row r="4757">
      <c r="C4757" s="277"/>
      <c r="O4757" s="247"/>
      <c r="AC4757" s="247"/>
      <c r="AT4757" s="247"/>
    </row>
    <row r="4758">
      <c r="C4758" s="277"/>
      <c r="O4758" s="247"/>
      <c r="AC4758" s="247"/>
      <c r="AT4758" s="247"/>
    </row>
    <row r="4759">
      <c r="C4759" s="277"/>
      <c r="O4759" s="247"/>
      <c r="AC4759" s="247"/>
      <c r="AT4759" s="247"/>
    </row>
    <row r="4760">
      <c r="C4760" s="277"/>
      <c r="O4760" s="247"/>
      <c r="AC4760" s="247"/>
      <c r="AT4760" s="247"/>
    </row>
    <row r="4761">
      <c r="C4761" s="277"/>
      <c r="O4761" s="247"/>
      <c r="AC4761" s="247"/>
      <c r="AT4761" s="247"/>
    </row>
    <row r="4762">
      <c r="C4762" s="277"/>
      <c r="O4762" s="247"/>
      <c r="AC4762" s="247"/>
      <c r="AT4762" s="247"/>
    </row>
    <row r="4763">
      <c r="C4763" s="277"/>
      <c r="O4763" s="247"/>
      <c r="AC4763" s="247"/>
      <c r="AT4763" s="247"/>
    </row>
    <row r="4764">
      <c r="C4764" s="277"/>
      <c r="O4764" s="247"/>
      <c r="AC4764" s="247"/>
      <c r="AT4764" s="247"/>
    </row>
    <row r="4765">
      <c r="C4765" s="277"/>
      <c r="O4765" s="247"/>
      <c r="AC4765" s="247"/>
      <c r="AT4765" s="247"/>
    </row>
    <row r="4766">
      <c r="C4766" s="277"/>
      <c r="O4766" s="247"/>
      <c r="AC4766" s="247"/>
      <c r="AT4766" s="247"/>
    </row>
    <row r="4767">
      <c r="C4767" s="277"/>
      <c r="O4767" s="247"/>
      <c r="AC4767" s="247"/>
      <c r="AT4767" s="247"/>
    </row>
    <row r="4768">
      <c r="C4768" s="277"/>
      <c r="O4768" s="247"/>
      <c r="AC4768" s="247"/>
      <c r="AT4768" s="247"/>
    </row>
    <row r="4769">
      <c r="C4769" s="277"/>
      <c r="O4769" s="247"/>
      <c r="AC4769" s="247"/>
      <c r="AT4769" s="247"/>
    </row>
    <row r="4770">
      <c r="C4770" s="277"/>
      <c r="O4770" s="247"/>
      <c r="AC4770" s="247"/>
      <c r="AT4770" s="247"/>
    </row>
    <row r="4771">
      <c r="C4771" s="277"/>
      <c r="O4771" s="247"/>
      <c r="AC4771" s="247"/>
      <c r="AT4771" s="247"/>
    </row>
    <row r="4772">
      <c r="C4772" s="277"/>
      <c r="O4772" s="247"/>
      <c r="AC4772" s="247"/>
      <c r="AT4772" s="247"/>
    </row>
    <row r="4773">
      <c r="C4773" s="277"/>
      <c r="O4773" s="247"/>
      <c r="AC4773" s="247"/>
      <c r="AT4773" s="247"/>
    </row>
    <row r="4774">
      <c r="C4774" s="277"/>
      <c r="O4774" s="247"/>
      <c r="AC4774" s="247"/>
      <c r="AT4774" s="247"/>
    </row>
    <row r="4775">
      <c r="C4775" s="277"/>
      <c r="O4775" s="247"/>
      <c r="AC4775" s="247"/>
      <c r="AT4775" s="247"/>
    </row>
    <row r="4776">
      <c r="C4776" s="277"/>
      <c r="O4776" s="247"/>
      <c r="AC4776" s="247"/>
      <c r="AT4776" s="247"/>
    </row>
    <row r="4777">
      <c r="C4777" s="277"/>
      <c r="O4777" s="247"/>
      <c r="AC4777" s="247"/>
      <c r="AT4777" s="247"/>
    </row>
    <row r="4778">
      <c r="C4778" s="277"/>
      <c r="O4778" s="247"/>
      <c r="AC4778" s="247"/>
      <c r="AT4778" s="247"/>
    </row>
    <row r="4779">
      <c r="C4779" s="277"/>
      <c r="O4779" s="247"/>
      <c r="AC4779" s="247"/>
      <c r="AT4779" s="247"/>
    </row>
    <row r="4780">
      <c r="C4780" s="277"/>
      <c r="O4780" s="247"/>
      <c r="AC4780" s="247"/>
      <c r="AT4780" s="247"/>
    </row>
    <row r="4781">
      <c r="C4781" s="277"/>
      <c r="O4781" s="247"/>
      <c r="AC4781" s="247"/>
      <c r="AT4781" s="247"/>
    </row>
    <row r="4782">
      <c r="C4782" s="277"/>
      <c r="O4782" s="247"/>
      <c r="AC4782" s="247"/>
      <c r="AT4782" s="247"/>
    </row>
    <row r="4783">
      <c r="C4783" s="277"/>
      <c r="O4783" s="247"/>
      <c r="AC4783" s="247"/>
      <c r="AT4783" s="247"/>
    </row>
    <row r="4784">
      <c r="C4784" s="277"/>
      <c r="O4784" s="247"/>
      <c r="AC4784" s="247"/>
      <c r="AT4784" s="247"/>
    </row>
    <row r="4785">
      <c r="C4785" s="277"/>
      <c r="O4785" s="247"/>
      <c r="AC4785" s="247"/>
      <c r="AT4785" s="247"/>
    </row>
    <row r="4786">
      <c r="C4786" s="277"/>
      <c r="O4786" s="247"/>
      <c r="AC4786" s="247"/>
      <c r="AT4786" s="247"/>
    </row>
    <row r="4787">
      <c r="C4787" s="277"/>
      <c r="O4787" s="247"/>
      <c r="AC4787" s="247"/>
      <c r="AT4787" s="247"/>
    </row>
    <row r="4788">
      <c r="C4788" s="277"/>
      <c r="O4788" s="247"/>
      <c r="AC4788" s="247"/>
      <c r="AT4788" s="247"/>
    </row>
    <row r="4789">
      <c r="C4789" s="277"/>
      <c r="O4789" s="247"/>
      <c r="AC4789" s="247"/>
      <c r="AT4789" s="247"/>
    </row>
    <row r="4790">
      <c r="C4790" s="277"/>
      <c r="O4790" s="247"/>
      <c r="AC4790" s="247"/>
      <c r="AT4790" s="247"/>
    </row>
    <row r="4791">
      <c r="C4791" s="277"/>
      <c r="O4791" s="247"/>
      <c r="AC4791" s="247"/>
      <c r="AT4791" s="247"/>
    </row>
    <row r="4792">
      <c r="C4792" s="277"/>
      <c r="O4792" s="247"/>
      <c r="AC4792" s="247"/>
      <c r="AT4792" s="247"/>
    </row>
    <row r="4793">
      <c r="C4793" s="277"/>
      <c r="O4793" s="247"/>
      <c r="AC4793" s="247"/>
      <c r="AT4793" s="247"/>
    </row>
    <row r="4794">
      <c r="C4794" s="277"/>
      <c r="O4794" s="247"/>
      <c r="AC4794" s="247"/>
      <c r="AT4794" s="247"/>
    </row>
    <row r="4795">
      <c r="C4795" s="277"/>
      <c r="O4795" s="247"/>
      <c r="AC4795" s="247"/>
      <c r="AT4795" s="247"/>
    </row>
    <row r="4796">
      <c r="C4796" s="277"/>
      <c r="O4796" s="247"/>
      <c r="AC4796" s="247"/>
      <c r="AT4796" s="247"/>
    </row>
    <row r="4797">
      <c r="C4797" s="277"/>
      <c r="O4797" s="247"/>
      <c r="AC4797" s="247"/>
      <c r="AT4797" s="247"/>
    </row>
    <row r="4798">
      <c r="C4798" s="277"/>
      <c r="O4798" s="247"/>
      <c r="AC4798" s="247"/>
      <c r="AT4798" s="247"/>
    </row>
    <row r="4799">
      <c r="C4799" s="277"/>
      <c r="O4799" s="247"/>
      <c r="AC4799" s="247"/>
      <c r="AT4799" s="247"/>
    </row>
    <row r="4800">
      <c r="C4800" s="277"/>
      <c r="O4800" s="247"/>
      <c r="AC4800" s="247"/>
      <c r="AT4800" s="247"/>
    </row>
    <row r="4801">
      <c r="C4801" s="277"/>
      <c r="O4801" s="247"/>
      <c r="AC4801" s="247"/>
      <c r="AT4801" s="247"/>
    </row>
    <row r="4802">
      <c r="C4802" s="277"/>
      <c r="O4802" s="247"/>
      <c r="AC4802" s="247"/>
      <c r="AT4802" s="247"/>
    </row>
    <row r="4803">
      <c r="C4803" s="277"/>
      <c r="O4803" s="247"/>
      <c r="AC4803" s="247"/>
      <c r="AT4803" s="247"/>
    </row>
    <row r="4804">
      <c r="C4804" s="277"/>
      <c r="O4804" s="247"/>
      <c r="AC4804" s="247"/>
      <c r="AT4804" s="247"/>
    </row>
    <row r="4805">
      <c r="C4805" s="277"/>
      <c r="O4805" s="247"/>
      <c r="AC4805" s="247"/>
      <c r="AT4805" s="247"/>
    </row>
    <row r="4806">
      <c r="C4806" s="277"/>
      <c r="O4806" s="247"/>
      <c r="AC4806" s="247"/>
      <c r="AT4806" s="247"/>
    </row>
    <row r="4807">
      <c r="C4807" s="277"/>
      <c r="O4807" s="247"/>
      <c r="AC4807" s="247"/>
      <c r="AT4807" s="247"/>
    </row>
    <row r="4808">
      <c r="C4808" s="277"/>
      <c r="O4808" s="247"/>
      <c r="AC4808" s="247"/>
      <c r="AT4808" s="247"/>
    </row>
    <row r="4809">
      <c r="C4809" s="277"/>
      <c r="O4809" s="247"/>
      <c r="AC4809" s="247"/>
      <c r="AT4809" s="247"/>
    </row>
    <row r="4810">
      <c r="C4810" s="277"/>
      <c r="O4810" s="247"/>
      <c r="AC4810" s="247"/>
      <c r="AT4810" s="247"/>
    </row>
    <row r="4811">
      <c r="C4811" s="277"/>
      <c r="O4811" s="247"/>
      <c r="AC4811" s="247"/>
      <c r="AT4811" s="247"/>
    </row>
    <row r="4812">
      <c r="C4812" s="277"/>
      <c r="O4812" s="247"/>
      <c r="AC4812" s="247"/>
      <c r="AT4812" s="247"/>
    </row>
    <row r="4813">
      <c r="C4813" s="277"/>
      <c r="O4813" s="247"/>
      <c r="AC4813" s="247"/>
      <c r="AT4813" s="247"/>
    </row>
    <row r="4814">
      <c r="C4814" s="277"/>
      <c r="O4814" s="247"/>
      <c r="AC4814" s="247"/>
      <c r="AT4814" s="247"/>
    </row>
    <row r="4815">
      <c r="C4815" s="277"/>
      <c r="O4815" s="247"/>
      <c r="AC4815" s="247"/>
      <c r="AT4815" s="247"/>
    </row>
    <row r="4816">
      <c r="C4816" s="277"/>
      <c r="O4816" s="247"/>
      <c r="AC4816" s="247"/>
      <c r="AT4816" s="247"/>
    </row>
    <row r="4817">
      <c r="C4817" s="277"/>
      <c r="O4817" s="247"/>
      <c r="AC4817" s="247"/>
      <c r="AT4817" s="247"/>
    </row>
    <row r="4818">
      <c r="C4818" s="277"/>
      <c r="O4818" s="247"/>
      <c r="AC4818" s="247"/>
      <c r="AT4818" s="247"/>
    </row>
    <row r="4819">
      <c r="C4819" s="277"/>
      <c r="O4819" s="247"/>
      <c r="AC4819" s="247"/>
      <c r="AT4819" s="247"/>
    </row>
    <row r="4820">
      <c r="C4820" s="277"/>
      <c r="O4820" s="247"/>
      <c r="AC4820" s="247"/>
      <c r="AT4820" s="247"/>
    </row>
    <row r="4821">
      <c r="C4821" s="277"/>
      <c r="O4821" s="247"/>
      <c r="AC4821" s="247"/>
      <c r="AT4821" s="247"/>
    </row>
    <row r="4822">
      <c r="C4822" s="277"/>
      <c r="O4822" s="247"/>
      <c r="AC4822" s="247"/>
      <c r="AT4822" s="247"/>
    </row>
    <row r="4823">
      <c r="C4823" s="277"/>
      <c r="O4823" s="247"/>
      <c r="AC4823" s="247"/>
      <c r="AT4823" s="247"/>
    </row>
    <row r="4824">
      <c r="C4824" s="277"/>
      <c r="O4824" s="247"/>
      <c r="AC4824" s="247"/>
      <c r="AT4824" s="247"/>
    </row>
    <row r="4825">
      <c r="C4825" s="277"/>
      <c r="O4825" s="247"/>
      <c r="AC4825" s="247"/>
      <c r="AT4825" s="247"/>
    </row>
    <row r="4826">
      <c r="C4826" s="277"/>
      <c r="O4826" s="247"/>
      <c r="AC4826" s="247"/>
      <c r="AT4826" s="247"/>
    </row>
    <row r="4827">
      <c r="C4827" s="277"/>
      <c r="O4827" s="247"/>
      <c r="AC4827" s="247"/>
      <c r="AT4827" s="247"/>
    </row>
    <row r="4828">
      <c r="C4828" s="277"/>
      <c r="O4828" s="247"/>
      <c r="AC4828" s="247"/>
      <c r="AT4828" s="247"/>
    </row>
    <row r="4829">
      <c r="C4829" s="277"/>
      <c r="O4829" s="247"/>
      <c r="AC4829" s="247"/>
      <c r="AT4829" s="247"/>
    </row>
    <row r="4830">
      <c r="C4830" s="277"/>
      <c r="O4830" s="247"/>
      <c r="AC4830" s="247"/>
      <c r="AT4830" s="247"/>
    </row>
    <row r="4831">
      <c r="C4831" s="277"/>
      <c r="O4831" s="247"/>
      <c r="AC4831" s="247"/>
      <c r="AT4831" s="247"/>
    </row>
    <row r="4832">
      <c r="C4832" s="277"/>
      <c r="O4832" s="247"/>
      <c r="AC4832" s="247"/>
      <c r="AT4832" s="247"/>
    </row>
    <row r="4833">
      <c r="C4833" s="277"/>
      <c r="O4833" s="247"/>
      <c r="AC4833" s="247"/>
      <c r="AT4833" s="247"/>
    </row>
    <row r="4834">
      <c r="C4834" s="277"/>
      <c r="O4834" s="247"/>
      <c r="AC4834" s="247"/>
      <c r="AT4834" s="247"/>
    </row>
    <row r="4835">
      <c r="C4835" s="277"/>
      <c r="O4835" s="247"/>
      <c r="AC4835" s="247"/>
      <c r="AT4835" s="247"/>
    </row>
    <row r="4836">
      <c r="C4836" s="277"/>
      <c r="O4836" s="247"/>
      <c r="AC4836" s="247"/>
      <c r="AT4836" s="247"/>
    </row>
    <row r="4837">
      <c r="C4837" s="277"/>
      <c r="O4837" s="247"/>
      <c r="AC4837" s="247"/>
      <c r="AT4837" s="247"/>
    </row>
    <row r="4838">
      <c r="C4838" s="277"/>
      <c r="O4838" s="247"/>
      <c r="AC4838" s="247"/>
      <c r="AT4838" s="247"/>
    </row>
    <row r="4839">
      <c r="C4839" s="277"/>
      <c r="O4839" s="247"/>
      <c r="AC4839" s="247"/>
      <c r="AT4839" s="247"/>
    </row>
    <row r="4840">
      <c r="C4840" s="277"/>
      <c r="O4840" s="247"/>
      <c r="AC4840" s="247"/>
      <c r="AT4840" s="247"/>
    </row>
    <row r="4841">
      <c r="C4841" s="277"/>
      <c r="O4841" s="247"/>
      <c r="AC4841" s="247"/>
      <c r="AT4841" s="247"/>
    </row>
    <row r="4842">
      <c r="C4842" s="277"/>
      <c r="O4842" s="247"/>
      <c r="AC4842" s="247"/>
      <c r="AT4842" s="247"/>
    </row>
    <row r="4843">
      <c r="C4843" s="277"/>
      <c r="O4843" s="247"/>
      <c r="AC4843" s="247"/>
      <c r="AT4843" s="247"/>
    </row>
    <row r="4844">
      <c r="C4844" s="277"/>
      <c r="O4844" s="247"/>
      <c r="AC4844" s="247"/>
      <c r="AT4844" s="247"/>
    </row>
    <row r="4845">
      <c r="C4845" s="277"/>
      <c r="O4845" s="247"/>
      <c r="AC4845" s="247"/>
      <c r="AT4845" s="247"/>
    </row>
    <row r="4846">
      <c r="C4846" s="277"/>
      <c r="O4846" s="247"/>
      <c r="AC4846" s="247"/>
      <c r="AT4846" s="247"/>
    </row>
    <row r="4847">
      <c r="C4847" s="277"/>
      <c r="O4847" s="247"/>
      <c r="AC4847" s="247"/>
      <c r="AT4847" s="247"/>
    </row>
    <row r="4848">
      <c r="C4848" s="277"/>
      <c r="O4848" s="247"/>
      <c r="AC4848" s="247"/>
      <c r="AT4848" s="247"/>
    </row>
    <row r="4849">
      <c r="C4849" s="277"/>
      <c r="O4849" s="247"/>
      <c r="AC4849" s="247"/>
      <c r="AT4849" s="247"/>
    </row>
    <row r="4850">
      <c r="C4850" s="277"/>
      <c r="O4850" s="247"/>
      <c r="AC4850" s="247"/>
      <c r="AT4850" s="247"/>
    </row>
    <row r="4851">
      <c r="C4851" s="277"/>
      <c r="O4851" s="247"/>
      <c r="AC4851" s="247"/>
      <c r="AT4851" s="247"/>
    </row>
    <row r="4852">
      <c r="C4852" s="277"/>
      <c r="O4852" s="247"/>
      <c r="AC4852" s="247"/>
      <c r="AT4852" s="247"/>
    </row>
    <row r="4853">
      <c r="C4853" s="277"/>
      <c r="O4853" s="247"/>
      <c r="AC4853" s="247"/>
      <c r="AT4853" s="247"/>
    </row>
    <row r="4854">
      <c r="C4854" s="277"/>
      <c r="O4854" s="247"/>
      <c r="AC4854" s="247"/>
      <c r="AT4854" s="247"/>
    </row>
    <row r="4855">
      <c r="C4855" s="277"/>
      <c r="O4855" s="247"/>
      <c r="AC4855" s="247"/>
      <c r="AT4855" s="247"/>
    </row>
    <row r="4856">
      <c r="C4856" s="277"/>
      <c r="O4856" s="247"/>
      <c r="AC4856" s="247"/>
      <c r="AT4856" s="247"/>
    </row>
    <row r="4857">
      <c r="C4857" s="277"/>
      <c r="O4857" s="247"/>
      <c r="AC4857" s="247"/>
      <c r="AT4857" s="247"/>
    </row>
    <row r="4858">
      <c r="C4858" s="277"/>
      <c r="O4858" s="247"/>
      <c r="AC4858" s="247"/>
      <c r="AT4858" s="247"/>
    </row>
    <row r="4859">
      <c r="C4859" s="277"/>
      <c r="O4859" s="247"/>
      <c r="AC4859" s="247"/>
      <c r="AT4859" s="247"/>
    </row>
    <row r="4860">
      <c r="C4860" s="277"/>
      <c r="O4860" s="247"/>
      <c r="AC4860" s="247"/>
      <c r="AT4860" s="247"/>
    </row>
    <row r="4861">
      <c r="C4861" s="277"/>
      <c r="O4861" s="247"/>
      <c r="AC4861" s="247"/>
      <c r="AT4861" s="247"/>
    </row>
    <row r="4862">
      <c r="C4862" s="277"/>
      <c r="O4862" s="247"/>
      <c r="AC4862" s="247"/>
      <c r="AT4862" s="247"/>
    </row>
    <row r="4863">
      <c r="C4863" s="277"/>
      <c r="O4863" s="247"/>
      <c r="AC4863" s="247"/>
      <c r="AT4863" s="247"/>
    </row>
    <row r="4864">
      <c r="C4864" s="277"/>
      <c r="O4864" s="247"/>
      <c r="AC4864" s="247"/>
      <c r="AT4864" s="247"/>
    </row>
    <row r="4865">
      <c r="C4865" s="277"/>
      <c r="O4865" s="247"/>
      <c r="AC4865" s="247"/>
      <c r="AT4865" s="247"/>
    </row>
    <row r="4866">
      <c r="C4866" s="277"/>
      <c r="O4866" s="247"/>
      <c r="AC4866" s="247"/>
      <c r="AT4866" s="247"/>
    </row>
    <row r="4867">
      <c r="C4867" s="277"/>
      <c r="O4867" s="247"/>
      <c r="AC4867" s="247"/>
      <c r="AT4867" s="247"/>
    </row>
    <row r="4868">
      <c r="C4868" s="277"/>
      <c r="O4868" s="247"/>
      <c r="AC4868" s="247"/>
      <c r="AT4868" s="247"/>
    </row>
    <row r="4869">
      <c r="C4869" s="277"/>
      <c r="O4869" s="247"/>
      <c r="AC4869" s="247"/>
      <c r="AT4869" s="247"/>
    </row>
    <row r="4870">
      <c r="C4870" s="277"/>
      <c r="O4870" s="247"/>
      <c r="AC4870" s="247"/>
      <c r="AT4870" s="247"/>
    </row>
    <row r="4871">
      <c r="C4871" s="277"/>
      <c r="O4871" s="247"/>
      <c r="AC4871" s="247"/>
      <c r="AT4871" s="247"/>
    </row>
    <row r="4872">
      <c r="C4872" s="277"/>
      <c r="O4872" s="247"/>
      <c r="AC4872" s="247"/>
      <c r="AT4872" s="247"/>
    </row>
    <row r="4873">
      <c r="C4873" s="277"/>
      <c r="O4873" s="247"/>
      <c r="AC4873" s="247"/>
      <c r="AT4873" s="247"/>
    </row>
    <row r="4874">
      <c r="C4874" s="277"/>
      <c r="O4874" s="247"/>
      <c r="AC4874" s="247"/>
      <c r="AT4874" s="247"/>
    </row>
    <row r="4875">
      <c r="C4875" s="277"/>
      <c r="O4875" s="247"/>
      <c r="AC4875" s="247"/>
      <c r="AT4875" s="247"/>
    </row>
    <row r="4876">
      <c r="C4876" s="277"/>
      <c r="O4876" s="247"/>
      <c r="AC4876" s="247"/>
      <c r="AT4876" s="247"/>
    </row>
    <row r="4877">
      <c r="C4877" s="277"/>
      <c r="O4877" s="247"/>
      <c r="AC4877" s="247"/>
      <c r="AT4877" s="247"/>
    </row>
    <row r="4878">
      <c r="C4878" s="277"/>
      <c r="O4878" s="247"/>
      <c r="AC4878" s="247"/>
      <c r="AT4878" s="247"/>
    </row>
    <row r="4879">
      <c r="C4879" s="277"/>
      <c r="O4879" s="247"/>
      <c r="AC4879" s="247"/>
      <c r="AT4879" s="247"/>
    </row>
    <row r="4880">
      <c r="C4880" s="277"/>
      <c r="O4880" s="247"/>
      <c r="AC4880" s="247"/>
      <c r="AT4880" s="247"/>
    </row>
    <row r="4881">
      <c r="C4881" s="277"/>
      <c r="O4881" s="247"/>
      <c r="AC4881" s="247"/>
      <c r="AT4881" s="247"/>
    </row>
    <row r="4882">
      <c r="C4882" s="277"/>
      <c r="O4882" s="247"/>
      <c r="AC4882" s="247"/>
      <c r="AT4882" s="247"/>
    </row>
    <row r="4883">
      <c r="C4883" s="277"/>
      <c r="O4883" s="247"/>
      <c r="AC4883" s="247"/>
      <c r="AT4883" s="247"/>
    </row>
    <row r="4884">
      <c r="C4884" s="277"/>
      <c r="O4884" s="247"/>
      <c r="AC4884" s="247"/>
      <c r="AT4884" s="247"/>
    </row>
    <row r="4885">
      <c r="C4885" s="277"/>
      <c r="O4885" s="247"/>
      <c r="AC4885" s="247"/>
      <c r="AT4885" s="247"/>
    </row>
    <row r="4886">
      <c r="C4886" s="277"/>
      <c r="O4886" s="247"/>
      <c r="AC4886" s="247"/>
      <c r="AT4886" s="247"/>
    </row>
    <row r="4887">
      <c r="C4887" s="277"/>
      <c r="O4887" s="247"/>
      <c r="AC4887" s="247"/>
      <c r="AT4887" s="247"/>
    </row>
    <row r="4888">
      <c r="C4888" s="277"/>
      <c r="O4888" s="247"/>
      <c r="AC4888" s="247"/>
      <c r="AT4888" s="247"/>
    </row>
    <row r="4889">
      <c r="C4889" s="277"/>
      <c r="O4889" s="247"/>
      <c r="AC4889" s="247"/>
      <c r="AT4889" s="247"/>
    </row>
    <row r="4890">
      <c r="C4890" s="277"/>
      <c r="O4890" s="247"/>
      <c r="AC4890" s="247"/>
      <c r="AT4890" s="247"/>
    </row>
    <row r="4891">
      <c r="C4891" s="277"/>
      <c r="O4891" s="247"/>
      <c r="AC4891" s="247"/>
      <c r="AT4891" s="247"/>
    </row>
    <row r="4892">
      <c r="C4892" s="277"/>
      <c r="O4892" s="247"/>
      <c r="AC4892" s="247"/>
      <c r="AT4892" s="247"/>
    </row>
    <row r="4893">
      <c r="C4893" s="277"/>
      <c r="O4893" s="247"/>
      <c r="AC4893" s="247"/>
      <c r="AT4893" s="247"/>
    </row>
    <row r="4894">
      <c r="C4894" s="277"/>
      <c r="O4894" s="247"/>
      <c r="AC4894" s="247"/>
      <c r="AT4894" s="247"/>
    </row>
    <row r="4895">
      <c r="C4895" s="277"/>
      <c r="O4895" s="247"/>
      <c r="AC4895" s="247"/>
      <c r="AT4895" s="247"/>
    </row>
    <row r="4896">
      <c r="C4896" s="277"/>
      <c r="O4896" s="247"/>
      <c r="AC4896" s="247"/>
      <c r="AT4896" s="247"/>
    </row>
    <row r="4897">
      <c r="C4897" s="277"/>
      <c r="O4897" s="247"/>
      <c r="AC4897" s="247"/>
      <c r="AT4897" s="247"/>
    </row>
    <row r="4898">
      <c r="C4898" s="277"/>
      <c r="O4898" s="247"/>
      <c r="AC4898" s="247"/>
      <c r="AT4898" s="247"/>
    </row>
    <row r="4899">
      <c r="C4899" s="277"/>
      <c r="O4899" s="247"/>
      <c r="AC4899" s="247"/>
      <c r="AT4899" s="247"/>
    </row>
    <row r="4900">
      <c r="C4900" s="277"/>
      <c r="O4900" s="247"/>
      <c r="AC4900" s="247"/>
      <c r="AT4900" s="247"/>
    </row>
    <row r="4901">
      <c r="C4901" s="277"/>
      <c r="O4901" s="247"/>
      <c r="AC4901" s="247"/>
      <c r="AT4901" s="247"/>
    </row>
    <row r="4902">
      <c r="C4902" s="277"/>
      <c r="O4902" s="247"/>
      <c r="AC4902" s="247"/>
      <c r="AT4902" s="247"/>
    </row>
    <row r="4903">
      <c r="C4903" s="277"/>
      <c r="O4903" s="247"/>
      <c r="AC4903" s="247"/>
      <c r="AT4903" s="247"/>
    </row>
    <row r="4904">
      <c r="C4904" s="277"/>
      <c r="O4904" s="247"/>
      <c r="AC4904" s="247"/>
      <c r="AT4904" s="247"/>
    </row>
    <row r="4905">
      <c r="C4905" s="277"/>
      <c r="O4905" s="247"/>
      <c r="AC4905" s="247"/>
      <c r="AT4905" s="247"/>
    </row>
    <row r="4906">
      <c r="C4906" s="277"/>
      <c r="O4906" s="247"/>
      <c r="AC4906" s="247"/>
      <c r="AT4906" s="247"/>
    </row>
    <row r="4907">
      <c r="C4907" s="277"/>
      <c r="O4907" s="247"/>
      <c r="AC4907" s="247"/>
      <c r="AT4907" s="247"/>
    </row>
    <row r="4908">
      <c r="C4908" s="277"/>
      <c r="O4908" s="247"/>
      <c r="AC4908" s="247"/>
      <c r="AT4908" s="247"/>
    </row>
    <row r="4909">
      <c r="C4909" s="277"/>
      <c r="O4909" s="247"/>
      <c r="AC4909" s="247"/>
      <c r="AT4909" s="247"/>
    </row>
    <row r="4910">
      <c r="C4910" s="277"/>
      <c r="O4910" s="247"/>
      <c r="AC4910" s="247"/>
      <c r="AT4910" s="247"/>
    </row>
    <row r="4911">
      <c r="C4911" s="277"/>
      <c r="O4911" s="247"/>
      <c r="AC4911" s="247"/>
      <c r="AT4911" s="247"/>
    </row>
    <row r="4912">
      <c r="C4912" s="277"/>
      <c r="O4912" s="247"/>
      <c r="AC4912" s="247"/>
      <c r="AT4912" s="247"/>
    </row>
    <row r="4913">
      <c r="C4913" s="277"/>
      <c r="O4913" s="247"/>
      <c r="AC4913" s="247"/>
      <c r="AT4913" s="247"/>
    </row>
    <row r="4914">
      <c r="C4914" s="277"/>
      <c r="O4914" s="247"/>
      <c r="AC4914" s="247"/>
      <c r="AT4914" s="247"/>
    </row>
    <row r="4915">
      <c r="C4915" s="277"/>
      <c r="O4915" s="247"/>
      <c r="AC4915" s="247"/>
      <c r="AT4915" s="247"/>
    </row>
    <row r="4916">
      <c r="C4916" s="277"/>
      <c r="O4916" s="247"/>
      <c r="AC4916" s="247"/>
      <c r="AT4916" s="247"/>
    </row>
    <row r="4917">
      <c r="C4917" s="277"/>
      <c r="O4917" s="247"/>
      <c r="AC4917" s="247"/>
      <c r="AT4917" s="247"/>
    </row>
    <row r="4918">
      <c r="C4918" s="277"/>
      <c r="O4918" s="247"/>
      <c r="AC4918" s="247"/>
      <c r="AT4918" s="247"/>
    </row>
    <row r="4919">
      <c r="C4919" s="277"/>
      <c r="O4919" s="247"/>
      <c r="AC4919" s="247"/>
      <c r="AT4919" s="247"/>
    </row>
    <row r="4920">
      <c r="C4920" s="277"/>
      <c r="O4920" s="247"/>
      <c r="AC4920" s="247"/>
      <c r="AT4920" s="247"/>
    </row>
    <row r="4921">
      <c r="C4921" s="277"/>
      <c r="O4921" s="247"/>
      <c r="AC4921" s="247"/>
      <c r="AT4921" s="247"/>
    </row>
    <row r="4922">
      <c r="C4922" s="277"/>
      <c r="O4922" s="247"/>
      <c r="AC4922" s="247"/>
      <c r="AT4922" s="247"/>
    </row>
    <row r="4923">
      <c r="C4923" s="277"/>
      <c r="O4923" s="247"/>
      <c r="AC4923" s="247"/>
      <c r="AT4923" s="247"/>
    </row>
    <row r="4924">
      <c r="C4924" s="277"/>
      <c r="O4924" s="247"/>
      <c r="AC4924" s="247"/>
      <c r="AT4924" s="247"/>
    </row>
    <row r="4925">
      <c r="C4925" s="277"/>
      <c r="O4925" s="247"/>
      <c r="AC4925" s="247"/>
      <c r="AT4925" s="247"/>
    </row>
    <row r="4926">
      <c r="C4926" s="277"/>
      <c r="O4926" s="247"/>
      <c r="AC4926" s="247"/>
      <c r="AT4926" s="247"/>
    </row>
    <row r="4927">
      <c r="C4927" s="277"/>
      <c r="O4927" s="247"/>
      <c r="AC4927" s="247"/>
      <c r="AT4927" s="247"/>
    </row>
    <row r="4928">
      <c r="C4928" s="277"/>
      <c r="O4928" s="247"/>
      <c r="AC4928" s="247"/>
      <c r="AT4928" s="247"/>
    </row>
    <row r="4929">
      <c r="C4929" s="277"/>
      <c r="O4929" s="247"/>
      <c r="AC4929" s="247"/>
      <c r="AT4929" s="247"/>
    </row>
    <row r="4930">
      <c r="C4930" s="277"/>
      <c r="O4930" s="247"/>
      <c r="AC4930" s="247"/>
      <c r="AT4930" s="247"/>
    </row>
    <row r="4931">
      <c r="C4931" s="277"/>
      <c r="O4931" s="247"/>
      <c r="AC4931" s="247"/>
      <c r="AT4931" s="247"/>
    </row>
    <row r="4932">
      <c r="C4932" s="277"/>
      <c r="O4932" s="247"/>
      <c r="AC4932" s="247"/>
      <c r="AT4932" s="247"/>
    </row>
    <row r="4933">
      <c r="C4933" s="277"/>
      <c r="O4933" s="247"/>
      <c r="AC4933" s="247"/>
      <c r="AT4933" s="247"/>
    </row>
    <row r="4934">
      <c r="C4934" s="277"/>
      <c r="O4934" s="247"/>
      <c r="AC4934" s="247"/>
      <c r="AT4934" s="247"/>
    </row>
    <row r="4935">
      <c r="C4935" s="277"/>
      <c r="O4935" s="247"/>
      <c r="AC4935" s="247"/>
      <c r="AT4935" s="247"/>
    </row>
    <row r="4936">
      <c r="C4936" s="277"/>
      <c r="O4936" s="247"/>
      <c r="AC4936" s="247"/>
      <c r="AT4936" s="247"/>
    </row>
    <row r="4937">
      <c r="C4937" s="277"/>
      <c r="O4937" s="247"/>
      <c r="AC4937" s="247"/>
      <c r="AT4937" s="247"/>
    </row>
    <row r="4938">
      <c r="C4938" s="277"/>
      <c r="O4938" s="247"/>
      <c r="AC4938" s="247"/>
      <c r="AT4938" s="247"/>
    </row>
    <row r="4939">
      <c r="C4939" s="277"/>
      <c r="O4939" s="247"/>
      <c r="AC4939" s="247"/>
      <c r="AT4939" s="247"/>
    </row>
    <row r="4940">
      <c r="C4940" s="277"/>
      <c r="O4940" s="247"/>
      <c r="AC4940" s="247"/>
      <c r="AT4940" s="247"/>
    </row>
    <row r="4941">
      <c r="C4941" s="277"/>
      <c r="O4941" s="247"/>
      <c r="AC4941" s="247"/>
      <c r="AT4941" s="247"/>
    </row>
    <row r="4942">
      <c r="C4942" s="277"/>
      <c r="O4942" s="247"/>
      <c r="AC4942" s="247"/>
      <c r="AT4942" s="247"/>
    </row>
    <row r="4943">
      <c r="C4943" s="277"/>
      <c r="O4943" s="247"/>
      <c r="AC4943" s="247"/>
      <c r="AT4943" s="247"/>
    </row>
    <row r="4944">
      <c r="C4944" s="277"/>
      <c r="O4944" s="247"/>
      <c r="AC4944" s="247"/>
      <c r="AT4944" s="247"/>
    </row>
    <row r="4945">
      <c r="C4945" s="277"/>
      <c r="O4945" s="247"/>
      <c r="AC4945" s="247"/>
      <c r="AT4945" s="247"/>
    </row>
    <row r="4946">
      <c r="C4946" s="277"/>
      <c r="O4946" s="247"/>
      <c r="AC4946" s="247"/>
      <c r="AT4946" s="247"/>
    </row>
    <row r="4947">
      <c r="C4947" s="277"/>
      <c r="O4947" s="247"/>
      <c r="AC4947" s="247"/>
      <c r="AT4947" s="247"/>
    </row>
    <row r="4948">
      <c r="C4948" s="277"/>
      <c r="O4948" s="247"/>
      <c r="AC4948" s="247"/>
      <c r="AT4948" s="247"/>
    </row>
    <row r="4949">
      <c r="C4949" s="277"/>
      <c r="O4949" s="247"/>
      <c r="AC4949" s="247"/>
      <c r="AT4949" s="247"/>
    </row>
    <row r="4950">
      <c r="C4950" s="277"/>
      <c r="O4950" s="247"/>
      <c r="AC4950" s="247"/>
      <c r="AT4950" s="247"/>
    </row>
    <row r="4951">
      <c r="C4951" s="277"/>
      <c r="O4951" s="247"/>
      <c r="AC4951" s="247"/>
      <c r="AT4951" s="247"/>
    </row>
    <row r="4952">
      <c r="C4952" s="277"/>
      <c r="O4952" s="247"/>
      <c r="AC4952" s="247"/>
      <c r="AT4952" s="247"/>
    </row>
    <row r="4953">
      <c r="C4953" s="277"/>
      <c r="O4953" s="247"/>
      <c r="AC4953" s="247"/>
      <c r="AT4953" s="247"/>
    </row>
    <row r="4954">
      <c r="C4954" s="277"/>
      <c r="O4954" s="247"/>
      <c r="AC4954" s="247"/>
      <c r="AT4954" s="247"/>
    </row>
    <row r="4955">
      <c r="C4955" s="277"/>
      <c r="O4955" s="247"/>
      <c r="AC4955" s="247"/>
      <c r="AT4955" s="247"/>
    </row>
    <row r="4956">
      <c r="C4956" s="277"/>
      <c r="O4956" s="247"/>
      <c r="AC4956" s="247"/>
      <c r="AT4956" s="247"/>
    </row>
    <row r="4957">
      <c r="C4957" s="277"/>
      <c r="O4957" s="247"/>
      <c r="AC4957" s="247"/>
      <c r="AT4957" s="247"/>
    </row>
    <row r="4958">
      <c r="C4958" s="277"/>
      <c r="O4958" s="247"/>
      <c r="AC4958" s="247"/>
      <c r="AT4958" s="247"/>
    </row>
    <row r="4959">
      <c r="C4959" s="277"/>
      <c r="O4959" s="247"/>
      <c r="AC4959" s="247"/>
      <c r="AT4959" s="247"/>
    </row>
    <row r="4960">
      <c r="C4960" s="277"/>
      <c r="O4960" s="247"/>
      <c r="AC4960" s="247"/>
      <c r="AT4960" s="247"/>
    </row>
    <row r="4961">
      <c r="C4961" s="277"/>
      <c r="O4961" s="247"/>
      <c r="AC4961" s="247"/>
      <c r="AT4961" s="247"/>
    </row>
    <row r="4962">
      <c r="C4962" s="277"/>
      <c r="O4962" s="247"/>
      <c r="AC4962" s="247"/>
      <c r="AT4962" s="247"/>
    </row>
    <row r="4963">
      <c r="C4963" s="277"/>
      <c r="O4963" s="247"/>
      <c r="AC4963" s="247"/>
      <c r="AT4963" s="247"/>
    </row>
    <row r="4964">
      <c r="C4964" s="277"/>
      <c r="O4964" s="247"/>
      <c r="AC4964" s="247"/>
      <c r="AT4964" s="247"/>
    </row>
    <row r="4965">
      <c r="C4965" s="277"/>
      <c r="O4965" s="247"/>
      <c r="AC4965" s="247"/>
      <c r="AT4965" s="247"/>
    </row>
    <row r="4966">
      <c r="C4966" s="277"/>
      <c r="O4966" s="247"/>
      <c r="AC4966" s="247"/>
      <c r="AT4966" s="247"/>
    </row>
    <row r="4967">
      <c r="C4967" s="277"/>
      <c r="O4967" s="247"/>
      <c r="AC4967" s="247"/>
      <c r="AT4967" s="247"/>
    </row>
    <row r="4968">
      <c r="C4968" s="277"/>
      <c r="O4968" s="247"/>
      <c r="AC4968" s="247"/>
      <c r="AT4968" s="247"/>
    </row>
    <row r="4969">
      <c r="C4969" s="277"/>
      <c r="O4969" s="247"/>
      <c r="AC4969" s="247"/>
      <c r="AT4969" s="247"/>
    </row>
    <row r="4970">
      <c r="C4970" s="277"/>
      <c r="O4970" s="247"/>
      <c r="AC4970" s="247"/>
      <c r="AT4970" s="247"/>
    </row>
    <row r="4971">
      <c r="C4971" s="277"/>
      <c r="O4971" s="247"/>
      <c r="AC4971" s="247"/>
      <c r="AT4971" s="247"/>
    </row>
    <row r="4972">
      <c r="C4972" s="277"/>
      <c r="O4972" s="247"/>
      <c r="AC4972" s="247"/>
      <c r="AT4972" s="247"/>
    </row>
    <row r="4973">
      <c r="C4973" s="277"/>
      <c r="O4973" s="247"/>
      <c r="AC4973" s="247"/>
      <c r="AT4973" s="247"/>
    </row>
    <row r="4974">
      <c r="C4974" s="277"/>
      <c r="O4974" s="247"/>
      <c r="AC4974" s="247"/>
      <c r="AT4974" s="247"/>
    </row>
    <row r="4975">
      <c r="C4975" s="277"/>
      <c r="O4975" s="247"/>
      <c r="AC4975" s="247"/>
      <c r="AT4975" s="247"/>
    </row>
    <row r="4976">
      <c r="C4976" s="277"/>
      <c r="O4976" s="247"/>
      <c r="AC4976" s="247"/>
      <c r="AT4976" s="247"/>
    </row>
    <row r="4977">
      <c r="C4977" s="277"/>
      <c r="O4977" s="247"/>
      <c r="AC4977" s="247"/>
      <c r="AT4977" s="247"/>
    </row>
    <row r="4978">
      <c r="C4978" s="277"/>
      <c r="O4978" s="247"/>
      <c r="AC4978" s="247"/>
      <c r="AT4978" s="247"/>
    </row>
    <row r="4979">
      <c r="C4979" s="277"/>
      <c r="O4979" s="247"/>
      <c r="AC4979" s="247"/>
      <c r="AT4979" s="247"/>
    </row>
    <row r="4980">
      <c r="C4980" s="277"/>
      <c r="O4980" s="247"/>
      <c r="AC4980" s="247"/>
      <c r="AT4980" s="247"/>
    </row>
    <row r="4981">
      <c r="C4981" s="277"/>
      <c r="O4981" s="247"/>
      <c r="AC4981" s="247"/>
      <c r="AT4981" s="247"/>
    </row>
    <row r="4982">
      <c r="C4982" s="277"/>
      <c r="O4982" s="247"/>
      <c r="AC4982" s="247"/>
      <c r="AT4982" s="247"/>
    </row>
    <row r="4983">
      <c r="C4983" s="277"/>
      <c r="O4983" s="247"/>
      <c r="AC4983" s="247"/>
      <c r="AT4983" s="247"/>
    </row>
    <row r="4984">
      <c r="C4984" s="277"/>
      <c r="O4984" s="247"/>
      <c r="AC4984" s="247"/>
      <c r="AT4984" s="247"/>
    </row>
    <row r="4985">
      <c r="C4985" s="277"/>
      <c r="O4985" s="247"/>
      <c r="AC4985" s="247"/>
      <c r="AT4985" s="247"/>
    </row>
    <row r="4986">
      <c r="C4986" s="277"/>
      <c r="O4986" s="247"/>
      <c r="AC4986" s="247"/>
      <c r="AT4986" s="247"/>
    </row>
    <row r="4987">
      <c r="C4987" s="277"/>
      <c r="O4987" s="247"/>
      <c r="AC4987" s="247"/>
      <c r="AT4987" s="247"/>
    </row>
    <row r="4988">
      <c r="C4988" s="277"/>
      <c r="O4988" s="247"/>
      <c r="AC4988" s="247"/>
      <c r="AT4988" s="247"/>
    </row>
    <row r="4989">
      <c r="C4989" s="277"/>
      <c r="O4989" s="247"/>
      <c r="AC4989" s="247"/>
      <c r="AT4989" s="247"/>
    </row>
    <row r="4990">
      <c r="C4990" s="277"/>
      <c r="O4990" s="247"/>
      <c r="AC4990" s="247"/>
      <c r="AT4990" s="247"/>
    </row>
    <row r="4991">
      <c r="C4991" s="277"/>
      <c r="O4991" s="247"/>
      <c r="AC4991" s="247"/>
      <c r="AT4991" s="247"/>
    </row>
    <row r="4992">
      <c r="C4992" s="277"/>
      <c r="O4992" s="247"/>
      <c r="AC4992" s="247"/>
      <c r="AT4992" s="247"/>
    </row>
    <row r="4993">
      <c r="C4993" s="277"/>
      <c r="O4993" s="247"/>
      <c r="AC4993" s="247"/>
      <c r="AT4993" s="247"/>
    </row>
    <row r="4994">
      <c r="C4994" s="277"/>
      <c r="O4994" s="247"/>
      <c r="AC4994" s="247"/>
      <c r="AT4994" s="247"/>
    </row>
    <row r="4995">
      <c r="C4995" s="277"/>
      <c r="O4995" s="247"/>
      <c r="AC4995" s="247"/>
      <c r="AT4995" s="247"/>
    </row>
    <row r="4996">
      <c r="C4996" s="277"/>
      <c r="O4996" s="247"/>
      <c r="AC4996" s="247"/>
      <c r="AT4996" s="247"/>
    </row>
    <row r="4997">
      <c r="C4997" s="277"/>
      <c r="O4997" s="247"/>
      <c r="AC4997" s="247"/>
      <c r="AT4997" s="247"/>
    </row>
    <row r="4998">
      <c r="C4998" s="277"/>
      <c r="O4998" s="247"/>
      <c r="AC4998" s="247"/>
      <c r="AT4998" s="247"/>
    </row>
    <row r="4999">
      <c r="C4999" s="277"/>
      <c r="O4999" s="247"/>
      <c r="AC4999" s="247"/>
      <c r="AT4999" s="247"/>
    </row>
    <row r="5000">
      <c r="C5000" s="277"/>
      <c r="O5000" s="247"/>
      <c r="AC5000" s="247"/>
      <c r="AT5000" s="247"/>
    </row>
    <row r="5001">
      <c r="C5001" s="277"/>
      <c r="O5001" s="247"/>
      <c r="AC5001" s="247"/>
      <c r="AT5001" s="247"/>
    </row>
    <row r="5002">
      <c r="C5002" s="277"/>
      <c r="O5002" s="247"/>
      <c r="AC5002" s="247"/>
      <c r="AT5002" s="247"/>
    </row>
    <row r="5003">
      <c r="C5003" s="277"/>
      <c r="O5003" s="247"/>
      <c r="AC5003" s="247"/>
      <c r="AT5003" s="247"/>
    </row>
    <row r="5004">
      <c r="C5004" s="277"/>
      <c r="O5004" s="247"/>
      <c r="AC5004" s="247"/>
      <c r="AT5004" s="247"/>
    </row>
    <row r="5005">
      <c r="C5005" s="277"/>
      <c r="O5005" s="247"/>
      <c r="AC5005" s="247"/>
      <c r="AT5005" s="247"/>
    </row>
    <row r="5006">
      <c r="C5006" s="277"/>
      <c r="O5006" s="247"/>
      <c r="AC5006" s="247"/>
      <c r="AT5006" s="247"/>
    </row>
    <row r="5007">
      <c r="C5007" s="277"/>
      <c r="O5007" s="247"/>
      <c r="AC5007" s="247"/>
      <c r="AT5007" s="247"/>
    </row>
    <row r="5008">
      <c r="C5008" s="277"/>
      <c r="O5008" s="247"/>
      <c r="AC5008" s="247"/>
      <c r="AT5008" s="247"/>
    </row>
    <row r="5009">
      <c r="C5009" s="277"/>
      <c r="O5009" s="247"/>
      <c r="AC5009" s="247"/>
      <c r="AT5009" s="247"/>
    </row>
    <row r="5010">
      <c r="C5010" s="277"/>
      <c r="O5010" s="247"/>
      <c r="AC5010" s="247"/>
      <c r="AT5010" s="247"/>
    </row>
    <row r="5011">
      <c r="C5011" s="277"/>
      <c r="O5011" s="247"/>
      <c r="AC5011" s="247"/>
      <c r="AT5011" s="247"/>
    </row>
    <row r="5012">
      <c r="C5012" s="277"/>
      <c r="O5012" s="247"/>
      <c r="AC5012" s="247"/>
      <c r="AT5012" s="247"/>
    </row>
    <row r="5013">
      <c r="C5013" s="277"/>
      <c r="O5013" s="247"/>
      <c r="AC5013" s="247"/>
      <c r="AT5013" s="247"/>
    </row>
    <row r="5014">
      <c r="C5014" s="277"/>
      <c r="O5014" s="247"/>
      <c r="AC5014" s="247"/>
      <c r="AT5014" s="247"/>
    </row>
    <row r="5015">
      <c r="C5015" s="277"/>
      <c r="O5015" s="247"/>
      <c r="AC5015" s="247"/>
      <c r="AT5015" s="247"/>
    </row>
    <row r="5016">
      <c r="C5016" s="277"/>
      <c r="O5016" s="247"/>
      <c r="AC5016" s="247"/>
      <c r="AT5016" s="247"/>
    </row>
    <row r="5017">
      <c r="C5017" s="277"/>
      <c r="O5017" s="247"/>
      <c r="AC5017" s="247"/>
      <c r="AT5017" s="247"/>
    </row>
    <row r="5018">
      <c r="C5018" s="277"/>
      <c r="O5018" s="247"/>
      <c r="AC5018" s="247"/>
      <c r="AT5018" s="247"/>
    </row>
    <row r="5019">
      <c r="C5019" s="277"/>
      <c r="O5019" s="247"/>
      <c r="AC5019" s="247"/>
      <c r="AT5019" s="247"/>
    </row>
    <row r="5020">
      <c r="C5020" s="277"/>
      <c r="O5020" s="247"/>
      <c r="AC5020" s="247"/>
      <c r="AT5020" s="247"/>
    </row>
    <row r="5021">
      <c r="C5021" s="277"/>
      <c r="O5021" s="247"/>
      <c r="AC5021" s="247"/>
      <c r="AT5021" s="247"/>
    </row>
    <row r="5022">
      <c r="C5022" s="277"/>
      <c r="O5022" s="247"/>
      <c r="AC5022" s="247"/>
      <c r="AT5022" s="247"/>
    </row>
    <row r="5023">
      <c r="C5023" s="277"/>
      <c r="O5023" s="247"/>
      <c r="AC5023" s="247"/>
      <c r="AT5023" s="247"/>
    </row>
    <row r="5024">
      <c r="C5024" s="277"/>
      <c r="O5024" s="247"/>
      <c r="AC5024" s="247"/>
      <c r="AT5024" s="247"/>
    </row>
    <row r="5025">
      <c r="C5025" s="277"/>
      <c r="O5025" s="247"/>
      <c r="AC5025" s="247"/>
      <c r="AT5025" s="247"/>
    </row>
    <row r="5026">
      <c r="C5026" s="277"/>
      <c r="O5026" s="247"/>
      <c r="AC5026" s="247"/>
      <c r="AT5026" s="247"/>
    </row>
    <row r="5027">
      <c r="C5027" s="277"/>
      <c r="O5027" s="247"/>
      <c r="AC5027" s="247"/>
      <c r="AT5027" s="247"/>
    </row>
    <row r="5028">
      <c r="C5028" s="277"/>
      <c r="O5028" s="247"/>
      <c r="AC5028" s="247"/>
      <c r="AT5028" s="247"/>
    </row>
    <row r="5029">
      <c r="C5029" s="277"/>
      <c r="O5029" s="247"/>
      <c r="AC5029" s="247"/>
      <c r="AT5029" s="247"/>
    </row>
    <row r="5030">
      <c r="C5030" s="277"/>
      <c r="O5030" s="247"/>
      <c r="AC5030" s="247"/>
      <c r="AT5030" s="247"/>
    </row>
    <row r="5031">
      <c r="C5031" s="277"/>
      <c r="O5031" s="247"/>
      <c r="AC5031" s="247"/>
      <c r="AT5031" s="247"/>
    </row>
    <row r="5032">
      <c r="C5032" s="278"/>
      <c r="O5032" s="247"/>
      <c r="AC5032" s="247"/>
      <c r="AT5032" s="247"/>
    </row>
    <row r="5033">
      <c r="C5033" s="278"/>
      <c r="O5033" s="247"/>
      <c r="AC5033" s="247"/>
      <c r="AT5033" s="247"/>
    </row>
    <row r="5034">
      <c r="C5034" s="278"/>
      <c r="O5034" s="247"/>
      <c r="AC5034" s="247"/>
      <c r="AT5034" s="247"/>
    </row>
    <row r="5035">
      <c r="C5035" s="278"/>
      <c r="O5035" s="247"/>
      <c r="AC5035" s="247"/>
      <c r="AT5035" s="247"/>
    </row>
    <row r="5036">
      <c r="C5036" s="278"/>
      <c r="O5036" s="247"/>
      <c r="AC5036" s="247"/>
      <c r="AT5036" s="247"/>
    </row>
    <row r="5037">
      <c r="C5037" s="278"/>
      <c r="O5037" s="247"/>
      <c r="AC5037" s="247"/>
      <c r="AT5037" s="247"/>
    </row>
    <row r="5038">
      <c r="C5038" s="278"/>
      <c r="O5038" s="247"/>
      <c r="AC5038" s="247"/>
      <c r="AT5038" s="247"/>
    </row>
    <row r="5039">
      <c r="C5039" s="278"/>
      <c r="O5039" s="247"/>
      <c r="AC5039" s="247"/>
      <c r="AT5039" s="247"/>
    </row>
    <row r="5040">
      <c r="C5040" s="278"/>
      <c r="O5040" s="247"/>
      <c r="AC5040" s="247"/>
      <c r="AT5040" s="247"/>
    </row>
    <row r="5041">
      <c r="C5041" s="278"/>
      <c r="O5041" s="247"/>
      <c r="AC5041" s="247"/>
      <c r="AT5041" s="247"/>
    </row>
    <row r="5042">
      <c r="C5042" s="278"/>
      <c r="O5042" s="247"/>
      <c r="AC5042" s="247"/>
      <c r="AT5042" s="247"/>
    </row>
    <row r="5043">
      <c r="C5043" s="278"/>
      <c r="O5043" s="247"/>
      <c r="AC5043" s="247"/>
      <c r="AT5043" s="247"/>
    </row>
    <row r="5044">
      <c r="C5044" s="278"/>
      <c r="O5044" s="247"/>
      <c r="AC5044" s="247"/>
      <c r="AT5044" s="247"/>
    </row>
    <row r="5045">
      <c r="C5045" s="278"/>
      <c r="O5045" s="247"/>
      <c r="AC5045" s="247"/>
      <c r="AT5045" s="247"/>
    </row>
    <row r="5046">
      <c r="C5046" s="278"/>
      <c r="O5046" s="247"/>
      <c r="AC5046" s="247"/>
      <c r="AT5046" s="247"/>
    </row>
    <row r="5047">
      <c r="C5047" s="278"/>
      <c r="O5047" s="247"/>
      <c r="AC5047" s="247"/>
      <c r="AT5047" s="247"/>
    </row>
    <row r="5048">
      <c r="C5048" s="278"/>
      <c r="O5048" s="247"/>
      <c r="AC5048" s="247"/>
      <c r="AT5048" s="247"/>
    </row>
    <row r="5049">
      <c r="C5049" s="278"/>
      <c r="O5049" s="247"/>
      <c r="AC5049" s="247"/>
      <c r="AT5049" s="247"/>
    </row>
    <row r="5050">
      <c r="C5050" s="278"/>
      <c r="O5050" s="247"/>
      <c r="AC5050" s="247"/>
      <c r="AT5050" s="247"/>
    </row>
    <row r="5051">
      <c r="C5051" s="278"/>
      <c r="O5051" s="247"/>
      <c r="AC5051" s="247"/>
      <c r="AT5051" s="247"/>
    </row>
    <row r="5052">
      <c r="C5052" s="278"/>
      <c r="O5052" s="247"/>
      <c r="AC5052" s="247"/>
      <c r="AT5052" s="247"/>
    </row>
    <row r="5053">
      <c r="C5053" s="278"/>
      <c r="O5053" s="247"/>
      <c r="AC5053" s="247"/>
      <c r="AT5053" s="247"/>
    </row>
    <row r="5054">
      <c r="C5054" s="278"/>
      <c r="O5054" s="247"/>
      <c r="AC5054" s="247"/>
      <c r="AT5054" s="247"/>
    </row>
    <row r="5055">
      <c r="C5055" s="278"/>
      <c r="O5055" s="247"/>
      <c r="AC5055" s="247"/>
      <c r="AT5055" s="247"/>
    </row>
    <row r="5056">
      <c r="C5056" s="278"/>
      <c r="O5056" s="247"/>
      <c r="AC5056" s="247"/>
      <c r="AT5056" s="247"/>
    </row>
    <row r="5057">
      <c r="C5057" s="278"/>
      <c r="O5057" s="247"/>
      <c r="AC5057" s="247"/>
      <c r="AT5057" s="247"/>
    </row>
    <row r="5058">
      <c r="C5058" s="278"/>
      <c r="O5058" s="247"/>
      <c r="AC5058" s="247"/>
      <c r="AT5058" s="247"/>
    </row>
    <row r="5059">
      <c r="C5059" s="278"/>
      <c r="O5059" s="247"/>
      <c r="AC5059" s="247"/>
      <c r="AT5059" s="247"/>
    </row>
    <row r="5060">
      <c r="C5060" s="278"/>
      <c r="O5060" s="247"/>
      <c r="AC5060" s="247"/>
      <c r="AT5060" s="247"/>
    </row>
    <row r="5061">
      <c r="C5061" s="278"/>
      <c r="O5061" s="247"/>
      <c r="AC5061" s="247"/>
      <c r="AT5061" s="247"/>
    </row>
    <row r="5062">
      <c r="C5062" s="278"/>
      <c r="O5062" s="247"/>
      <c r="AC5062" s="247"/>
      <c r="AT5062" s="247"/>
    </row>
    <row r="5063">
      <c r="C5063" s="278"/>
      <c r="O5063" s="247"/>
      <c r="AC5063" s="247"/>
      <c r="AT5063" s="247"/>
    </row>
    <row r="5064">
      <c r="C5064" s="278"/>
      <c r="O5064" s="247"/>
      <c r="AC5064" s="247"/>
      <c r="AT5064" s="247"/>
    </row>
    <row r="5065">
      <c r="C5065" s="278"/>
      <c r="O5065" s="247"/>
      <c r="AC5065" s="247"/>
      <c r="AT5065" s="247"/>
    </row>
    <row r="5066">
      <c r="C5066" s="278"/>
      <c r="O5066" s="247"/>
      <c r="AC5066" s="247"/>
      <c r="AT5066" s="247"/>
    </row>
    <row r="5067">
      <c r="C5067" s="278"/>
      <c r="O5067" s="247"/>
      <c r="AC5067" s="247"/>
      <c r="AT5067" s="247"/>
    </row>
    <row r="5068">
      <c r="C5068" s="278"/>
      <c r="O5068" s="247"/>
      <c r="AC5068" s="247"/>
      <c r="AT5068" s="247"/>
    </row>
    <row r="5069">
      <c r="C5069" s="278"/>
      <c r="O5069" s="247"/>
      <c r="AC5069" s="247"/>
      <c r="AT5069" s="247"/>
    </row>
    <row r="5070">
      <c r="C5070" s="278"/>
      <c r="O5070" s="247"/>
      <c r="AC5070" s="247"/>
      <c r="AT5070" s="247"/>
    </row>
    <row r="5071">
      <c r="C5071" s="278"/>
      <c r="O5071" s="247"/>
      <c r="AC5071" s="247"/>
      <c r="AT5071" s="247"/>
    </row>
    <row r="5072">
      <c r="C5072" s="278"/>
      <c r="O5072" s="247"/>
      <c r="AC5072" s="247"/>
      <c r="AT5072" s="247"/>
    </row>
    <row r="5073">
      <c r="C5073" s="278"/>
      <c r="O5073" s="247"/>
      <c r="AC5073" s="247"/>
      <c r="AT5073" s="247"/>
    </row>
    <row r="5074">
      <c r="C5074" s="278"/>
      <c r="O5074" s="247"/>
      <c r="AC5074" s="247"/>
      <c r="AT5074" s="247"/>
    </row>
    <row r="5075">
      <c r="C5075" s="278"/>
      <c r="O5075" s="247"/>
      <c r="AC5075" s="247"/>
      <c r="AT5075" s="247"/>
    </row>
    <row r="5076">
      <c r="C5076" s="278"/>
      <c r="O5076" s="247"/>
      <c r="AC5076" s="247"/>
      <c r="AT5076" s="247"/>
    </row>
    <row r="5077">
      <c r="C5077" s="278"/>
      <c r="O5077" s="247"/>
      <c r="AC5077" s="247"/>
      <c r="AT5077" s="247"/>
    </row>
    <row r="5078">
      <c r="C5078" s="278"/>
      <c r="O5078" s="247"/>
      <c r="AC5078" s="247"/>
      <c r="AT5078" s="247"/>
    </row>
    <row r="5079">
      <c r="C5079" s="278"/>
      <c r="O5079" s="247"/>
      <c r="AC5079" s="247"/>
      <c r="AT5079" s="247"/>
    </row>
    <row r="5080">
      <c r="C5080" s="278"/>
      <c r="O5080" s="247"/>
      <c r="AC5080" s="247"/>
      <c r="AT5080" s="247"/>
    </row>
    <row r="5081">
      <c r="C5081" s="278"/>
      <c r="O5081" s="247"/>
      <c r="AC5081" s="247"/>
      <c r="AT5081" s="247"/>
    </row>
    <row r="5082">
      <c r="C5082" s="278"/>
      <c r="O5082" s="247"/>
      <c r="AC5082" s="247"/>
      <c r="AT5082" s="247"/>
    </row>
    <row r="5083">
      <c r="C5083" s="278"/>
      <c r="O5083" s="247"/>
      <c r="AC5083" s="247"/>
      <c r="AT5083" s="247"/>
    </row>
    <row r="5084">
      <c r="C5084" s="278"/>
      <c r="O5084" s="247"/>
      <c r="AC5084" s="247"/>
      <c r="AT5084" s="247"/>
    </row>
    <row r="5085">
      <c r="C5085" s="278"/>
      <c r="O5085" s="247"/>
      <c r="AC5085" s="247"/>
      <c r="AT5085" s="247"/>
    </row>
    <row r="5086">
      <c r="C5086" s="278"/>
      <c r="O5086" s="247"/>
      <c r="AC5086" s="247"/>
      <c r="AT5086" s="247"/>
    </row>
    <row r="5087">
      <c r="C5087" s="278"/>
      <c r="O5087" s="247"/>
      <c r="AC5087" s="247"/>
      <c r="AT5087" s="247"/>
    </row>
    <row r="5088">
      <c r="C5088" s="278"/>
      <c r="O5088" s="247"/>
      <c r="AC5088" s="247"/>
      <c r="AT5088" s="247"/>
    </row>
    <row r="5089">
      <c r="C5089" s="278"/>
      <c r="O5089" s="247"/>
      <c r="AC5089" s="247"/>
      <c r="AT5089" s="247"/>
    </row>
    <row r="5090">
      <c r="C5090" s="278"/>
      <c r="O5090" s="247"/>
      <c r="AC5090" s="247"/>
      <c r="AT5090" s="247"/>
    </row>
    <row r="5091">
      <c r="C5091" s="278"/>
      <c r="O5091" s="247"/>
      <c r="AC5091" s="247"/>
      <c r="AT5091" s="247"/>
    </row>
    <row r="5092">
      <c r="C5092" s="278"/>
      <c r="O5092" s="247"/>
      <c r="AC5092" s="247"/>
      <c r="AT5092" s="247"/>
    </row>
    <row r="5093">
      <c r="C5093" s="278"/>
      <c r="O5093" s="247"/>
      <c r="AC5093" s="247"/>
      <c r="AT5093" s="247"/>
    </row>
    <row r="5094">
      <c r="C5094" s="278"/>
      <c r="O5094" s="247"/>
      <c r="AC5094" s="247"/>
      <c r="AT5094" s="247"/>
    </row>
    <row r="5095">
      <c r="C5095" s="278"/>
      <c r="O5095" s="247"/>
      <c r="AC5095" s="247"/>
      <c r="AT5095" s="247"/>
    </row>
    <row r="5096">
      <c r="C5096" s="278"/>
      <c r="O5096" s="247"/>
      <c r="AC5096" s="247"/>
      <c r="AT5096" s="247"/>
    </row>
    <row r="5097">
      <c r="C5097" s="278"/>
      <c r="O5097" s="247"/>
      <c r="AC5097" s="247"/>
      <c r="AT5097" s="247"/>
    </row>
    <row r="5098">
      <c r="C5098" s="278"/>
      <c r="O5098" s="247"/>
      <c r="AC5098" s="247"/>
      <c r="AT5098" s="247"/>
    </row>
    <row r="5099">
      <c r="C5099" s="278"/>
      <c r="O5099" s="247"/>
      <c r="AC5099" s="247"/>
      <c r="AT5099" s="247"/>
    </row>
    <row r="5100">
      <c r="C5100" s="278"/>
      <c r="O5100" s="247"/>
      <c r="AC5100" s="247"/>
      <c r="AT5100" s="247"/>
    </row>
    <row r="5101">
      <c r="C5101" s="278"/>
      <c r="O5101" s="247"/>
      <c r="AC5101" s="247"/>
      <c r="AT5101" s="247"/>
    </row>
    <row r="5102">
      <c r="C5102" s="278"/>
      <c r="O5102" s="247"/>
      <c r="AC5102" s="247"/>
      <c r="AT5102" s="247"/>
    </row>
    <row r="5103">
      <c r="C5103" s="278"/>
      <c r="O5103" s="247"/>
      <c r="AC5103" s="247"/>
      <c r="AT5103" s="247"/>
    </row>
    <row r="5104">
      <c r="C5104" s="278"/>
      <c r="O5104" s="247"/>
      <c r="AC5104" s="247"/>
      <c r="AT5104" s="247"/>
    </row>
    <row r="5105">
      <c r="C5105" s="278"/>
      <c r="O5105" s="247"/>
      <c r="AC5105" s="247"/>
      <c r="AT5105" s="247"/>
    </row>
    <row r="5106">
      <c r="C5106" s="278"/>
      <c r="O5106" s="247"/>
      <c r="AC5106" s="247"/>
      <c r="AT5106" s="247"/>
    </row>
    <row r="5107">
      <c r="C5107" s="278"/>
      <c r="O5107" s="247"/>
      <c r="AC5107" s="247"/>
      <c r="AT5107" s="247"/>
    </row>
    <row r="5108">
      <c r="C5108" s="278"/>
      <c r="O5108" s="247"/>
      <c r="AC5108" s="247"/>
      <c r="AT5108" s="247"/>
    </row>
    <row r="5109">
      <c r="C5109" s="278"/>
      <c r="O5109" s="247"/>
      <c r="AC5109" s="247"/>
      <c r="AT5109" s="247"/>
    </row>
    <row r="5110">
      <c r="C5110" s="278"/>
      <c r="O5110" s="247"/>
      <c r="AC5110" s="247"/>
      <c r="AT5110" s="247"/>
    </row>
    <row r="5111">
      <c r="C5111" s="278"/>
      <c r="O5111" s="247"/>
      <c r="AC5111" s="247"/>
      <c r="AT5111" s="247"/>
    </row>
    <row r="5112">
      <c r="C5112" s="278"/>
      <c r="O5112" s="247"/>
      <c r="AC5112" s="247"/>
      <c r="AT5112" s="247"/>
    </row>
    <row r="5113">
      <c r="C5113" s="278"/>
      <c r="O5113" s="247"/>
      <c r="AC5113" s="247"/>
      <c r="AT5113" s="247"/>
    </row>
    <row r="5114">
      <c r="C5114" s="278"/>
      <c r="O5114" s="247"/>
      <c r="AC5114" s="247"/>
      <c r="AT5114" s="247"/>
    </row>
    <row r="5115">
      <c r="C5115" s="278"/>
      <c r="O5115" s="247"/>
      <c r="AC5115" s="247"/>
      <c r="AT5115" s="247"/>
    </row>
    <row r="5116">
      <c r="C5116" s="278"/>
      <c r="O5116" s="247"/>
      <c r="AC5116" s="247"/>
      <c r="AT5116" s="247"/>
    </row>
    <row r="5117">
      <c r="C5117" s="278"/>
      <c r="O5117" s="247"/>
      <c r="AC5117" s="247"/>
      <c r="AT5117" s="247"/>
    </row>
    <row r="5118">
      <c r="C5118" s="278"/>
      <c r="O5118" s="247"/>
      <c r="AC5118" s="247"/>
      <c r="AT5118" s="247"/>
    </row>
    <row r="5119">
      <c r="C5119" s="278"/>
      <c r="O5119" s="247"/>
      <c r="AC5119" s="247"/>
      <c r="AT5119" s="247"/>
    </row>
    <row r="5120">
      <c r="C5120" s="278"/>
      <c r="O5120" s="247"/>
      <c r="AC5120" s="247"/>
      <c r="AT5120" s="247"/>
    </row>
    <row r="5121">
      <c r="C5121" s="278"/>
      <c r="O5121" s="247"/>
      <c r="AC5121" s="247"/>
      <c r="AT5121" s="247"/>
    </row>
    <row r="5122">
      <c r="C5122" s="278"/>
      <c r="O5122" s="247"/>
      <c r="AC5122" s="247"/>
      <c r="AT5122" s="247"/>
    </row>
    <row r="5123">
      <c r="C5123" s="278"/>
      <c r="O5123" s="247"/>
      <c r="AC5123" s="247"/>
      <c r="AT5123" s="247"/>
    </row>
    <row r="5124">
      <c r="C5124" s="277"/>
      <c r="O5124" s="247"/>
      <c r="AC5124" s="247"/>
      <c r="AT5124" s="247"/>
    </row>
    <row r="5125">
      <c r="C5125" s="277"/>
      <c r="O5125" s="247"/>
      <c r="AC5125" s="247"/>
      <c r="AT5125" s="247"/>
    </row>
    <row r="5126">
      <c r="C5126" s="277"/>
      <c r="O5126" s="247"/>
      <c r="AC5126" s="247"/>
      <c r="AT5126" s="247"/>
    </row>
    <row r="5127">
      <c r="C5127" s="277"/>
      <c r="O5127" s="247"/>
      <c r="AC5127" s="247"/>
      <c r="AT5127" s="247"/>
    </row>
    <row r="5128">
      <c r="C5128" s="277"/>
      <c r="O5128" s="247"/>
      <c r="AC5128" s="247"/>
      <c r="AT5128" s="247"/>
    </row>
    <row r="5129">
      <c r="C5129" s="277"/>
      <c r="O5129" s="247"/>
      <c r="AC5129" s="247"/>
      <c r="AT5129" s="247"/>
    </row>
    <row r="5130">
      <c r="C5130" s="277"/>
      <c r="O5130" s="247"/>
      <c r="AC5130" s="247"/>
      <c r="AT5130" s="247"/>
    </row>
    <row r="5131">
      <c r="C5131" s="277"/>
      <c r="O5131" s="247"/>
      <c r="AC5131" s="247"/>
      <c r="AT5131" s="247"/>
    </row>
    <row r="5132">
      <c r="C5132" s="277"/>
      <c r="O5132" s="247"/>
      <c r="AC5132" s="247"/>
      <c r="AT5132" s="247"/>
    </row>
    <row r="5133">
      <c r="C5133" s="277"/>
      <c r="O5133" s="247"/>
      <c r="AC5133" s="247"/>
      <c r="AT5133" s="247"/>
    </row>
    <row r="5134">
      <c r="C5134" s="277"/>
      <c r="O5134" s="247"/>
      <c r="AC5134" s="247"/>
      <c r="AT5134" s="247"/>
    </row>
    <row r="5135">
      <c r="C5135" s="277"/>
      <c r="O5135" s="247"/>
      <c r="AC5135" s="247"/>
      <c r="AT5135" s="247"/>
    </row>
    <row r="5136">
      <c r="C5136" s="277"/>
      <c r="O5136" s="247"/>
      <c r="AC5136" s="247"/>
      <c r="AT5136" s="247"/>
    </row>
    <row r="5137">
      <c r="C5137" s="277"/>
      <c r="O5137" s="247"/>
      <c r="AC5137" s="247"/>
      <c r="AT5137" s="247"/>
    </row>
    <row r="5138">
      <c r="C5138" s="277"/>
      <c r="O5138" s="247"/>
      <c r="AC5138" s="247"/>
      <c r="AT5138" s="247"/>
    </row>
    <row r="5139">
      <c r="C5139" s="277"/>
      <c r="O5139" s="247"/>
      <c r="AC5139" s="247"/>
      <c r="AT5139" s="247"/>
    </row>
    <row r="5140">
      <c r="C5140" s="277"/>
      <c r="O5140" s="247"/>
      <c r="AC5140" s="247"/>
      <c r="AT5140" s="247"/>
    </row>
    <row r="5141">
      <c r="C5141" s="277"/>
      <c r="O5141" s="247"/>
      <c r="AC5141" s="247"/>
      <c r="AT5141" s="247"/>
    </row>
    <row r="5142">
      <c r="C5142" s="277"/>
      <c r="O5142" s="247"/>
      <c r="AC5142" s="247"/>
      <c r="AT5142" s="247"/>
    </row>
    <row r="5143">
      <c r="C5143" s="277"/>
      <c r="O5143" s="247"/>
      <c r="AC5143" s="247"/>
      <c r="AT5143" s="247"/>
    </row>
    <row r="5144">
      <c r="C5144" s="277"/>
      <c r="O5144" s="247"/>
      <c r="AC5144" s="247"/>
      <c r="AT5144" s="247"/>
    </row>
    <row r="5145">
      <c r="C5145" s="277"/>
      <c r="O5145" s="247"/>
      <c r="AC5145" s="247"/>
      <c r="AT5145" s="247"/>
    </row>
    <row r="5146">
      <c r="C5146" s="277"/>
      <c r="O5146" s="247"/>
      <c r="AC5146" s="247"/>
      <c r="AT5146" s="247"/>
    </row>
    <row r="5147">
      <c r="C5147" s="277"/>
      <c r="O5147" s="247"/>
      <c r="AC5147" s="247"/>
      <c r="AT5147" s="247"/>
    </row>
    <row r="5148">
      <c r="C5148" s="277"/>
      <c r="O5148" s="247"/>
      <c r="AC5148" s="247"/>
      <c r="AT5148" s="247"/>
    </row>
    <row r="5149">
      <c r="C5149" s="277"/>
      <c r="O5149" s="247"/>
      <c r="AC5149" s="247"/>
      <c r="AT5149" s="247"/>
    </row>
    <row r="5150">
      <c r="C5150" s="277"/>
      <c r="O5150" s="247"/>
      <c r="AC5150" s="247"/>
      <c r="AT5150" s="247"/>
    </row>
    <row r="5151">
      <c r="C5151" s="277"/>
      <c r="O5151" s="247"/>
      <c r="AC5151" s="247"/>
      <c r="AT5151" s="247"/>
    </row>
    <row r="5152">
      <c r="C5152" s="277"/>
      <c r="O5152" s="247"/>
      <c r="AC5152" s="247"/>
      <c r="AT5152" s="247"/>
    </row>
    <row r="5153">
      <c r="C5153" s="277"/>
      <c r="O5153" s="247"/>
      <c r="AC5153" s="247"/>
      <c r="AT5153" s="247"/>
    </row>
    <row r="5154">
      <c r="C5154" s="277"/>
      <c r="O5154" s="247"/>
      <c r="AC5154" s="247"/>
      <c r="AT5154" s="247"/>
    </row>
    <row r="5155">
      <c r="C5155" s="277"/>
      <c r="O5155" s="247"/>
      <c r="AC5155" s="247"/>
      <c r="AT5155" s="247"/>
    </row>
    <row r="5156">
      <c r="C5156" s="277"/>
      <c r="O5156" s="247"/>
      <c r="AC5156" s="247"/>
      <c r="AT5156" s="247"/>
    </row>
    <row r="5157">
      <c r="C5157" s="277"/>
      <c r="O5157" s="247"/>
      <c r="AC5157" s="247"/>
      <c r="AT5157" s="247"/>
    </row>
    <row r="5158">
      <c r="C5158" s="277"/>
      <c r="O5158" s="247"/>
      <c r="AC5158" s="247"/>
      <c r="AT5158" s="247"/>
    </row>
    <row r="5159">
      <c r="C5159" s="277"/>
      <c r="O5159" s="247"/>
      <c r="AC5159" s="247"/>
      <c r="AT5159" s="247"/>
    </row>
    <row r="5160">
      <c r="C5160" s="277"/>
      <c r="O5160" s="247"/>
      <c r="AC5160" s="247"/>
      <c r="AT5160" s="247"/>
    </row>
    <row r="5161">
      <c r="C5161" s="277"/>
      <c r="O5161" s="247"/>
      <c r="AC5161" s="247"/>
      <c r="AT5161" s="247"/>
    </row>
    <row r="5162">
      <c r="C5162" s="277"/>
      <c r="O5162" s="247"/>
      <c r="AC5162" s="247"/>
      <c r="AT5162" s="247"/>
    </row>
    <row r="5163">
      <c r="C5163" s="277"/>
      <c r="O5163" s="247"/>
      <c r="AC5163" s="247"/>
      <c r="AT5163" s="247"/>
    </row>
    <row r="5164">
      <c r="C5164" s="277"/>
      <c r="O5164" s="247"/>
      <c r="AC5164" s="247"/>
      <c r="AT5164" s="247"/>
    </row>
    <row r="5165">
      <c r="C5165" s="277"/>
      <c r="O5165" s="247"/>
      <c r="AC5165" s="247"/>
      <c r="AT5165" s="247"/>
    </row>
    <row r="5166">
      <c r="C5166" s="277"/>
      <c r="O5166" s="247"/>
      <c r="AC5166" s="247"/>
      <c r="AT5166" s="247"/>
    </row>
    <row r="5167">
      <c r="C5167" s="277"/>
      <c r="O5167" s="247"/>
      <c r="AC5167" s="247"/>
      <c r="AT5167" s="247"/>
    </row>
    <row r="5168">
      <c r="C5168" s="277"/>
      <c r="O5168" s="247"/>
      <c r="AC5168" s="247"/>
      <c r="AT5168" s="247"/>
    </row>
    <row r="5169">
      <c r="C5169" s="277"/>
      <c r="O5169" s="247"/>
      <c r="AC5169" s="247"/>
      <c r="AT5169" s="247"/>
    </row>
    <row r="5170">
      <c r="C5170" s="277"/>
      <c r="O5170" s="247"/>
      <c r="AC5170" s="247"/>
      <c r="AT5170" s="247"/>
    </row>
    <row r="5171">
      <c r="C5171" s="277"/>
      <c r="O5171" s="247"/>
      <c r="AC5171" s="247"/>
      <c r="AT5171" s="247"/>
    </row>
    <row r="5172">
      <c r="C5172" s="277"/>
      <c r="O5172" s="247"/>
      <c r="AC5172" s="247"/>
      <c r="AT5172" s="247"/>
    </row>
    <row r="5173">
      <c r="C5173" s="277"/>
      <c r="O5173" s="247"/>
      <c r="AC5173" s="247"/>
      <c r="AT5173" s="247"/>
    </row>
    <row r="5174">
      <c r="C5174" s="277"/>
      <c r="O5174" s="247"/>
      <c r="AC5174" s="247"/>
      <c r="AT5174" s="247"/>
    </row>
    <row r="5175">
      <c r="C5175" s="277"/>
      <c r="O5175" s="247"/>
      <c r="AC5175" s="247"/>
      <c r="AT5175" s="247"/>
    </row>
    <row r="5176">
      <c r="C5176" s="277"/>
      <c r="O5176" s="247"/>
      <c r="AC5176" s="247"/>
      <c r="AT5176" s="247"/>
    </row>
    <row r="5177">
      <c r="C5177" s="277"/>
      <c r="O5177" s="247"/>
      <c r="AC5177" s="247"/>
      <c r="AT5177" s="247"/>
    </row>
    <row r="5178">
      <c r="C5178" s="277"/>
      <c r="O5178" s="247"/>
      <c r="AC5178" s="247"/>
      <c r="AT5178" s="247"/>
    </row>
    <row r="5179">
      <c r="C5179" s="277"/>
      <c r="O5179" s="247"/>
      <c r="AC5179" s="247"/>
      <c r="AT5179" s="247"/>
    </row>
    <row r="5180">
      <c r="C5180" s="277"/>
      <c r="O5180" s="247"/>
      <c r="AC5180" s="247"/>
      <c r="AT5180" s="247"/>
    </row>
    <row r="5181">
      <c r="C5181" s="277"/>
      <c r="O5181" s="247"/>
      <c r="AC5181" s="247"/>
      <c r="AT5181" s="247"/>
    </row>
    <row r="5182">
      <c r="C5182" s="277"/>
      <c r="O5182" s="247"/>
      <c r="AC5182" s="247"/>
      <c r="AT5182" s="247"/>
    </row>
    <row r="5183">
      <c r="C5183" s="277"/>
      <c r="O5183" s="247"/>
      <c r="AC5183" s="247"/>
      <c r="AT5183" s="247"/>
    </row>
    <row r="5184">
      <c r="C5184" s="277"/>
      <c r="O5184" s="247"/>
      <c r="AC5184" s="247"/>
      <c r="AT5184" s="247"/>
    </row>
    <row r="5185">
      <c r="C5185" s="277"/>
      <c r="O5185" s="247"/>
      <c r="AC5185" s="247"/>
      <c r="AT5185" s="247"/>
    </row>
    <row r="5186">
      <c r="C5186" s="278"/>
      <c r="O5186" s="247"/>
      <c r="AC5186" s="247"/>
      <c r="AT5186" s="247"/>
    </row>
    <row r="5187">
      <c r="C5187" s="278"/>
      <c r="O5187" s="247"/>
      <c r="AC5187" s="247"/>
      <c r="AT5187" s="247"/>
    </row>
    <row r="5188">
      <c r="C5188" s="278"/>
      <c r="O5188" s="247"/>
      <c r="AC5188" s="247"/>
      <c r="AT5188" s="247"/>
    </row>
    <row r="5189">
      <c r="C5189" s="278"/>
      <c r="O5189" s="247"/>
      <c r="AC5189" s="247"/>
      <c r="AT5189" s="247"/>
    </row>
    <row r="5190">
      <c r="C5190" s="278"/>
      <c r="O5190" s="247"/>
      <c r="AC5190" s="247"/>
      <c r="AT5190" s="247"/>
    </row>
    <row r="5191">
      <c r="C5191" s="278"/>
      <c r="O5191" s="247"/>
      <c r="AC5191" s="247"/>
      <c r="AT5191" s="247"/>
    </row>
    <row r="5192">
      <c r="C5192" s="278"/>
      <c r="O5192" s="247"/>
      <c r="AC5192" s="247"/>
      <c r="AT5192" s="247"/>
    </row>
    <row r="5193">
      <c r="C5193" s="278"/>
      <c r="O5193" s="247"/>
      <c r="AC5193" s="247"/>
      <c r="AT5193" s="247"/>
    </row>
    <row r="5194">
      <c r="C5194" s="278"/>
      <c r="O5194" s="247"/>
      <c r="AC5194" s="247"/>
      <c r="AT5194" s="247"/>
    </row>
    <row r="5195">
      <c r="C5195" s="278"/>
      <c r="O5195" s="247"/>
      <c r="AC5195" s="247"/>
      <c r="AT5195" s="247"/>
    </row>
    <row r="5196">
      <c r="C5196" s="278"/>
      <c r="O5196" s="247"/>
      <c r="AC5196" s="247"/>
      <c r="AT5196" s="247"/>
    </row>
    <row r="5197">
      <c r="C5197" s="278"/>
      <c r="O5197" s="247"/>
      <c r="AC5197" s="247"/>
      <c r="AT5197" s="247"/>
    </row>
    <row r="5198">
      <c r="C5198" s="278"/>
      <c r="O5198" s="247"/>
      <c r="AC5198" s="247"/>
      <c r="AT5198" s="247"/>
    </row>
    <row r="5199">
      <c r="C5199" s="278"/>
      <c r="O5199" s="247"/>
      <c r="AC5199" s="247"/>
      <c r="AT5199" s="247"/>
    </row>
    <row r="5200">
      <c r="C5200" s="278"/>
      <c r="O5200" s="247"/>
      <c r="AC5200" s="247"/>
      <c r="AT5200" s="247"/>
    </row>
    <row r="5201">
      <c r="C5201" s="278"/>
      <c r="O5201" s="247"/>
      <c r="AC5201" s="247"/>
      <c r="AT5201" s="247"/>
    </row>
    <row r="5202">
      <c r="C5202" s="278"/>
      <c r="O5202" s="247"/>
      <c r="AC5202" s="247"/>
      <c r="AT5202" s="247"/>
    </row>
    <row r="5203">
      <c r="C5203" s="278"/>
      <c r="O5203" s="247"/>
      <c r="AC5203" s="247"/>
      <c r="AT5203" s="247"/>
    </row>
    <row r="5204">
      <c r="C5204" s="278"/>
      <c r="O5204" s="247"/>
      <c r="AC5204" s="247"/>
      <c r="AT5204" s="247"/>
    </row>
    <row r="5205">
      <c r="C5205" s="278"/>
      <c r="O5205" s="247"/>
      <c r="AC5205" s="247"/>
      <c r="AT5205" s="247"/>
    </row>
    <row r="5206">
      <c r="C5206" s="278"/>
      <c r="O5206" s="247"/>
      <c r="AC5206" s="247"/>
      <c r="AT5206" s="247"/>
    </row>
    <row r="5207">
      <c r="C5207" s="278"/>
      <c r="O5207" s="247"/>
      <c r="AC5207" s="247"/>
      <c r="AT5207" s="247"/>
    </row>
    <row r="5208">
      <c r="C5208" s="278"/>
      <c r="O5208" s="247"/>
      <c r="AC5208" s="247"/>
      <c r="AT5208" s="247"/>
    </row>
    <row r="5209">
      <c r="C5209" s="278"/>
      <c r="O5209" s="247"/>
      <c r="AC5209" s="247"/>
      <c r="AT5209" s="247"/>
    </row>
    <row r="5210">
      <c r="C5210" s="278"/>
      <c r="O5210" s="247"/>
      <c r="AC5210" s="247"/>
      <c r="AT5210" s="247"/>
    </row>
    <row r="5211">
      <c r="C5211" s="278"/>
      <c r="O5211" s="247"/>
      <c r="AC5211" s="247"/>
      <c r="AT5211" s="247"/>
    </row>
    <row r="5212">
      <c r="C5212" s="278"/>
      <c r="O5212" s="247"/>
      <c r="AC5212" s="247"/>
      <c r="AT5212" s="247"/>
    </row>
    <row r="5213">
      <c r="C5213" s="278"/>
      <c r="O5213" s="247"/>
      <c r="AC5213" s="247"/>
      <c r="AT5213" s="247"/>
    </row>
    <row r="5214">
      <c r="C5214" s="278"/>
      <c r="O5214" s="247"/>
      <c r="AC5214" s="247"/>
      <c r="AT5214" s="247"/>
    </row>
    <row r="5215">
      <c r="C5215" s="278"/>
      <c r="O5215" s="247"/>
      <c r="AC5215" s="247"/>
      <c r="AT5215" s="247"/>
    </row>
    <row r="5216">
      <c r="C5216" s="278"/>
      <c r="O5216" s="247"/>
      <c r="AC5216" s="247"/>
      <c r="AT5216" s="247"/>
    </row>
    <row r="5217">
      <c r="C5217" s="278"/>
      <c r="O5217" s="247"/>
      <c r="AC5217" s="247"/>
      <c r="AT5217" s="247"/>
    </row>
    <row r="5218">
      <c r="C5218" s="278"/>
      <c r="O5218" s="247"/>
      <c r="AC5218" s="247"/>
      <c r="AT5218" s="247"/>
    </row>
    <row r="5219">
      <c r="C5219" s="278"/>
      <c r="O5219" s="247"/>
      <c r="AC5219" s="247"/>
      <c r="AT5219" s="247"/>
    </row>
    <row r="5220">
      <c r="C5220" s="278"/>
      <c r="O5220" s="247"/>
      <c r="AC5220" s="247"/>
      <c r="AT5220" s="247"/>
    </row>
    <row r="5221">
      <c r="C5221" s="278"/>
      <c r="O5221" s="247"/>
      <c r="AC5221" s="247"/>
      <c r="AT5221" s="247"/>
    </row>
    <row r="5222">
      <c r="C5222" s="278"/>
      <c r="O5222" s="247"/>
      <c r="AC5222" s="247"/>
      <c r="AT5222" s="247"/>
    </row>
    <row r="5223">
      <c r="C5223" s="278"/>
      <c r="O5223" s="247"/>
      <c r="AC5223" s="247"/>
      <c r="AT5223" s="247"/>
    </row>
    <row r="5224">
      <c r="C5224" s="278"/>
      <c r="O5224" s="247"/>
      <c r="AC5224" s="247"/>
      <c r="AT5224" s="247"/>
    </row>
    <row r="5225">
      <c r="C5225" s="278"/>
      <c r="O5225" s="247"/>
      <c r="AC5225" s="247"/>
      <c r="AT5225" s="247"/>
    </row>
    <row r="5226">
      <c r="C5226" s="278"/>
      <c r="O5226" s="247"/>
      <c r="AC5226" s="247"/>
      <c r="AT5226" s="247"/>
    </row>
    <row r="5227">
      <c r="C5227" s="278"/>
      <c r="O5227" s="247"/>
      <c r="AC5227" s="247"/>
      <c r="AT5227" s="247"/>
    </row>
    <row r="5228">
      <c r="C5228" s="278"/>
      <c r="O5228" s="247"/>
      <c r="AC5228" s="247"/>
      <c r="AT5228" s="247"/>
    </row>
    <row r="5229">
      <c r="C5229" s="278"/>
      <c r="O5229" s="247"/>
      <c r="AC5229" s="247"/>
      <c r="AT5229" s="247"/>
    </row>
    <row r="5230">
      <c r="C5230" s="278"/>
      <c r="O5230" s="247"/>
      <c r="AC5230" s="247"/>
      <c r="AT5230" s="247"/>
    </row>
    <row r="5231">
      <c r="C5231" s="278"/>
      <c r="O5231" s="247"/>
      <c r="AC5231" s="247"/>
      <c r="AT5231" s="247"/>
    </row>
    <row r="5232">
      <c r="C5232" s="278"/>
      <c r="O5232" s="247"/>
      <c r="AC5232" s="247"/>
      <c r="AT5232" s="247"/>
    </row>
    <row r="5233">
      <c r="C5233" s="278"/>
      <c r="O5233" s="247"/>
      <c r="AC5233" s="247"/>
      <c r="AT5233" s="247"/>
    </row>
    <row r="5234">
      <c r="C5234" s="278"/>
      <c r="O5234" s="247"/>
      <c r="AC5234" s="247"/>
      <c r="AT5234" s="247"/>
    </row>
    <row r="5235">
      <c r="C5235" s="278"/>
      <c r="O5235" s="247"/>
      <c r="AC5235" s="247"/>
      <c r="AT5235" s="247"/>
    </row>
    <row r="5236">
      <c r="C5236" s="278"/>
      <c r="O5236" s="247"/>
      <c r="AC5236" s="247"/>
      <c r="AT5236" s="247"/>
    </row>
    <row r="5237">
      <c r="C5237" s="278"/>
      <c r="O5237" s="247"/>
      <c r="AC5237" s="247"/>
      <c r="AT5237" s="247"/>
    </row>
    <row r="5238">
      <c r="C5238" s="278"/>
      <c r="O5238" s="247"/>
      <c r="AC5238" s="247"/>
      <c r="AT5238" s="247"/>
    </row>
    <row r="5239">
      <c r="C5239" s="278"/>
      <c r="O5239" s="247"/>
      <c r="AC5239" s="247"/>
      <c r="AT5239" s="247"/>
    </row>
    <row r="5240">
      <c r="C5240" s="278"/>
      <c r="O5240" s="247"/>
      <c r="AC5240" s="247"/>
      <c r="AT5240" s="247"/>
    </row>
    <row r="5241">
      <c r="C5241" s="278"/>
      <c r="O5241" s="247"/>
      <c r="AC5241" s="247"/>
      <c r="AT5241" s="247"/>
    </row>
    <row r="5242">
      <c r="C5242" s="278"/>
      <c r="O5242" s="247"/>
      <c r="AC5242" s="247"/>
      <c r="AT5242" s="247"/>
    </row>
    <row r="5243">
      <c r="C5243" s="278"/>
      <c r="O5243" s="247"/>
      <c r="AC5243" s="247"/>
      <c r="AT5243" s="247"/>
    </row>
    <row r="5244">
      <c r="C5244" s="278"/>
      <c r="O5244" s="247"/>
      <c r="AC5244" s="247"/>
      <c r="AT5244" s="247"/>
    </row>
    <row r="5245">
      <c r="C5245" s="278"/>
      <c r="O5245" s="247"/>
      <c r="AC5245" s="247"/>
      <c r="AT5245" s="247"/>
    </row>
    <row r="5246">
      <c r="C5246" s="278"/>
      <c r="O5246" s="247"/>
      <c r="AC5246" s="247"/>
      <c r="AT5246" s="247"/>
    </row>
    <row r="5247">
      <c r="C5247" s="278"/>
      <c r="O5247" s="247"/>
      <c r="AC5247" s="247"/>
      <c r="AT5247" s="247"/>
    </row>
    <row r="5248">
      <c r="C5248" s="278"/>
      <c r="O5248" s="247"/>
      <c r="AC5248" s="247"/>
      <c r="AT5248" s="247"/>
    </row>
    <row r="5249">
      <c r="C5249" s="278"/>
      <c r="O5249" s="247"/>
      <c r="AC5249" s="247"/>
      <c r="AT5249" s="247"/>
    </row>
    <row r="5250">
      <c r="C5250" s="278"/>
      <c r="O5250" s="247"/>
      <c r="AC5250" s="247"/>
      <c r="AT5250" s="247"/>
    </row>
    <row r="5251">
      <c r="C5251" s="278"/>
      <c r="O5251" s="247"/>
      <c r="AC5251" s="247"/>
      <c r="AT5251" s="247"/>
    </row>
    <row r="5252">
      <c r="C5252" s="278"/>
      <c r="O5252" s="247"/>
      <c r="AC5252" s="247"/>
      <c r="AT5252" s="247"/>
    </row>
    <row r="5253">
      <c r="C5253" s="278"/>
      <c r="O5253" s="247"/>
      <c r="AC5253" s="247"/>
      <c r="AT5253" s="247"/>
    </row>
    <row r="5254">
      <c r="C5254" s="278"/>
      <c r="O5254" s="247"/>
      <c r="AC5254" s="247"/>
      <c r="AT5254" s="247"/>
    </row>
    <row r="5255">
      <c r="C5255" s="278"/>
      <c r="O5255" s="247"/>
      <c r="AC5255" s="247"/>
      <c r="AT5255" s="247"/>
    </row>
    <row r="5256">
      <c r="C5256" s="278"/>
      <c r="O5256" s="247"/>
      <c r="AC5256" s="247"/>
      <c r="AT5256" s="247"/>
    </row>
    <row r="5257">
      <c r="C5257" s="278"/>
      <c r="O5257" s="247"/>
      <c r="AC5257" s="247"/>
      <c r="AT5257" s="247"/>
    </row>
    <row r="5258">
      <c r="C5258" s="278"/>
      <c r="O5258" s="247"/>
      <c r="AC5258" s="247"/>
      <c r="AT5258" s="247"/>
    </row>
    <row r="5259">
      <c r="C5259" s="278"/>
      <c r="O5259" s="247"/>
      <c r="AC5259" s="247"/>
      <c r="AT5259" s="247"/>
    </row>
    <row r="5260">
      <c r="C5260" s="278"/>
      <c r="O5260" s="247"/>
      <c r="AC5260" s="247"/>
      <c r="AT5260" s="247"/>
    </row>
    <row r="5261">
      <c r="C5261" s="278"/>
      <c r="O5261" s="247"/>
      <c r="AC5261" s="247"/>
      <c r="AT5261" s="247"/>
    </row>
    <row r="5262">
      <c r="C5262" s="278"/>
      <c r="O5262" s="247"/>
      <c r="AC5262" s="247"/>
      <c r="AT5262" s="247"/>
    </row>
    <row r="5263">
      <c r="C5263" s="278"/>
      <c r="O5263" s="247"/>
      <c r="AC5263" s="247"/>
      <c r="AT5263" s="247"/>
    </row>
    <row r="5264">
      <c r="C5264" s="278"/>
      <c r="O5264" s="247"/>
      <c r="AC5264" s="247"/>
      <c r="AT5264" s="247"/>
    </row>
    <row r="5265">
      <c r="C5265" s="278"/>
      <c r="O5265" s="247"/>
      <c r="AC5265" s="247"/>
      <c r="AT5265" s="247"/>
    </row>
    <row r="5266">
      <c r="C5266" s="278"/>
      <c r="O5266" s="247"/>
      <c r="AC5266" s="247"/>
      <c r="AT5266" s="247"/>
    </row>
    <row r="5267">
      <c r="C5267" s="278"/>
      <c r="O5267" s="247"/>
      <c r="AC5267" s="247"/>
      <c r="AT5267" s="247"/>
    </row>
    <row r="5268">
      <c r="C5268" s="278"/>
      <c r="O5268" s="247"/>
      <c r="AC5268" s="247"/>
      <c r="AT5268" s="247"/>
    </row>
    <row r="5269">
      <c r="C5269" s="278"/>
      <c r="O5269" s="247"/>
      <c r="AC5269" s="247"/>
      <c r="AT5269" s="247"/>
    </row>
    <row r="5270">
      <c r="C5270" s="278"/>
      <c r="O5270" s="247"/>
      <c r="AC5270" s="247"/>
      <c r="AT5270" s="247"/>
    </row>
    <row r="5271">
      <c r="C5271" s="278"/>
      <c r="O5271" s="247"/>
      <c r="AC5271" s="247"/>
      <c r="AT5271" s="247"/>
    </row>
    <row r="5272">
      <c r="C5272" s="278"/>
      <c r="O5272" s="247"/>
      <c r="AC5272" s="247"/>
      <c r="AT5272" s="247"/>
    </row>
    <row r="5273">
      <c r="C5273" s="278"/>
      <c r="O5273" s="247"/>
      <c r="AC5273" s="247"/>
      <c r="AT5273" s="247"/>
    </row>
    <row r="5274">
      <c r="C5274" s="278"/>
      <c r="O5274" s="247"/>
      <c r="AC5274" s="247"/>
      <c r="AT5274" s="247"/>
    </row>
    <row r="5275">
      <c r="C5275" s="278"/>
      <c r="O5275" s="247"/>
      <c r="AC5275" s="247"/>
      <c r="AT5275" s="247"/>
    </row>
    <row r="5276">
      <c r="C5276" s="278"/>
      <c r="O5276" s="247"/>
      <c r="AC5276" s="247"/>
      <c r="AT5276" s="247"/>
    </row>
    <row r="5277">
      <c r="C5277" s="278"/>
      <c r="O5277" s="247"/>
      <c r="AC5277" s="247"/>
      <c r="AT5277" s="247"/>
    </row>
    <row r="5278">
      <c r="C5278" s="278"/>
      <c r="O5278" s="247"/>
      <c r="AC5278" s="247"/>
      <c r="AT5278" s="247"/>
    </row>
    <row r="5279">
      <c r="C5279" s="278"/>
      <c r="O5279" s="247"/>
      <c r="AC5279" s="247"/>
      <c r="AT5279" s="247"/>
    </row>
    <row r="5280">
      <c r="C5280" s="278"/>
      <c r="O5280" s="247"/>
      <c r="AC5280" s="247"/>
      <c r="AT5280" s="247"/>
    </row>
    <row r="5281">
      <c r="C5281" s="278"/>
      <c r="O5281" s="247"/>
      <c r="AC5281" s="247"/>
      <c r="AT5281" s="247"/>
    </row>
    <row r="5282">
      <c r="C5282" s="278"/>
      <c r="O5282" s="247"/>
      <c r="AC5282" s="247"/>
      <c r="AT5282" s="247"/>
    </row>
    <row r="5283">
      <c r="C5283" s="278"/>
      <c r="O5283" s="247"/>
      <c r="AC5283" s="247"/>
      <c r="AT5283" s="247"/>
    </row>
    <row r="5284">
      <c r="C5284" s="278"/>
      <c r="O5284" s="247"/>
      <c r="AC5284" s="247"/>
      <c r="AT5284" s="247"/>
    </row>
    <row r="5285">
      <c r="C5285" s="278"/>
      <c r="O5285" s="247"/>
      <c r="AC5285" s="247"/>
      <c r="AT5285" s="247"/>
    </row>
    <row r="5286">
      <c r="C5286" s="278"/>
      <c r="O5286" s="247"/>
      <c r="AC5286" s="247"/>
      <c r="AT5286" s="247"/>
    </row>
    <row r="5287">
      <c r="C5287" s="278"/>
      <c r="O5287" s="247"/>
      <c r="AC5287" s="247"/>
      <c r="AT5287" s="247"/>
    </row>
    <row r="5288">
      <c r="C5288" s="278"/>
      <c r="O5288" s="247"/>
      <c r="AC5288" s="247"/>
      <c r="AT5288" s="247"/>
    </row>
    <row r="5289">
      <c r="C5289" s="278"/>
      <c r="O5289" s="247"/>
      <c r="AC5289" s="247"/>
      <c r="AT5289" s="247"/>
    </row>
    <row r="5290">
      <c r="C5290" s="278"/>
      <c r="O5290" s="247"/>
      <c r="AC5290" s="247"/>
      <c r="AT5290" s="247"/>
    </row>
    <row r="5291">
      <c r="C5291" s="278"/>
      <c r="O5291" s="247"/>
      <c r="AC5291" s="247"/>
      <c r="AT5291" s="247"/>
    </row>
    <row r="5292">
      <c r="C5292" s="278"/>
      <c r="O5292" s="247"/>
      <c r="AC5292" s="247"/>
      <c r="AT5292" s="247"/>
    </row>
    <row r="5293">
      <c r="C5293" s="278"/>
      <c r="O5293" s="247"/>
      <c r="AC5293" s="247"/>
      <c r="AT5293" s="247"/>
    </row>
    <row r="5294">
      <c r="C5294" s="278"/>
      <c r="O5294" s="247"/>
      <c r="AC5294" s="247"/>
      <c r="AT5294" s="247"/>
    </row>
    <row r="5295">
      <c r="C5295" s="278"/>
      <c r="O5295" s="247"/>
      <c r="AC5295" s="247"/>
      <c r="AT5295" s="247"/>
    </row>
    <row r="5296">
      <c r="C5296" s="278"/>
      <c r="O5296" s="247"/>
      <c r="AC5296" s="247"/>
      <c r="AT5296" s="247"/>
    </row>
    <row r="5297">
      <c r="C5297" s="278"/>
      <c r="O5297" s="247"/>
      <c r="AC5297" s="247"/>
      <c r="AT5297" s="247"/>
    </row>
    <row r="5298">
      <c r="C5298" s="278"/>
      <c r="O5298" s="247"/>
      <c r="AC5298" s="247"/>
      <c r="AT5298" s="247"/>
    </row>
    <row r="5299">
      <c r="C5299" s="278"/>
      <c r="O5299" s="247"/>
      <c r="AC5299" s="247"/>
      <c r="AT5299" s="247"/>
    </row>
    <row r="5300">
      <c r="C5300" s="278"/>
      <c r="O5300" s="247"/>
      <c r="AC5300" s="247"/>
      <c r="AT5300" s="247"/>
    </row>
    <row r="5301">
      <c r="C5301" s="277"/>
      <c r="O5301" s="247"/>
      <c r="AC5301" s="247"/>
      <c r="AT5301" s="247"/>
    </row>
    <row r="5302">
      <c r="C5302" s="277"/>
      <c r="O5302" s="247"/>
      <c r="AC5302" s="247"/>
      <c r="AT5302" s="247"/>
    </row>
    <row r="5303">
      <c r="C5303" s="277"/>
      <c r="O5303" s="247"/>
      <c r="AC5303" s="247"/>
      <c r="AT5303" s="247"/>
    </row>
    <row r="5304">
      <c r="C5304" s="277"/>
      <c r="O5304" s="247"/>
      <c r="AC5304" s="247"/>
      <c r="AT5304" s="247"/>
    </row>
    <row r="5305">
      <c r="C5305" s="277"/>
      <c r="O5305" s="247"/>
      <c r="AC5305" s="247"/>
      <c r="AT5305" s="247"/>
    </row>
    <row r="5306">
      <c r="C5306" s="277"/>
      <c r="O5306" s="247"/>
      <c r="AC5306" s="247"/>
      <c r="AT5306" s="247"/>
    </row>
    <row r="5307">
      <c r="C5307" s="277"/>
      <c r="O5307" s="247"/>
      <c r="AC5307" s="247"/>
      <c r="AT5307" s="247"/>
    </row>
    <row r="5308">
      <c r="C5308" s="277"/>
      <c r="O5308" s="247"/>
      <c r="AC5308" s="247"/>
      <c r="AT5308" s="247"/>
    </row>
    <row r="5309">
      <c r="C5309" s="277"/>
      <c r="O5309" s="247"/>
      <c r="AC5309" s="247"/>
      <c r="AT5309" s="247"/>
    </row>
    <row r="5310">
      <c r="C5310" s="277"/>
      <c r="O5310" s="247"/>
      <c r="AC5310" s="247"/>
      <c r="AT5310" s="247"/>
    </row>
    <row r="5311">
      <c r="C5311" s="277"/>
      <c r="O5311" s="247"/>
      <c r="AC5311" s="247"/>
      <c r="AT5311" s="247"/>
    </row>
    <row r="5312">
      <c r="C5312" s="277"/>
      <c r="O5312" s="247"/>
      <c r="AC5312" s="247"/>
      <c r="AT5312" s="247"/>
    </row>
    <row r="5313">
      <c r="C5313" s="277"/>
      <c r="O5313" s="247"/>
      <c r="AC5313" s="247"/>
      <c r="AT5313" s="247"/>
    </row>
    <row r="5314">
      <c r="C5314" s="277"/>
      <c r="O5314" s="247"/>
      <c r="AC5314" s="247"/>
      <c r="AT5314" s="247"/>
    </row>
    <row r="5315">
      <c r="C5315" s="277"/>
      <c r="O5315" s="247"/>
      <c r="AC5315" s="247"/>
      <c r="AT5315" s="247"/>
    </row>
    <row r="5316">
      <c r="C5316" s="277"/>
      <c r="O5316" s="247"/>
      <c r="AC5316" s="247"/>
      <c r="AT5316" s="247"/>
    </row>
    <row r="5317">
      <c r="C5317" s="277"/>
      <c r="O5317" s="247"/>
      <c r="AC5317" s="247"/>
      <c r="AT5317" s="247"/>
    </row>
    <row r="5318">
      <c r="C5318" s="277"/>
      <c r="O5318" s="247"/>
      <c r="AC5318" s="247"/>
      <c r="AT5318" s="247"/>
    </row>
    <row r="5319">
      <c r="C5319" s="277"/>
      <c r="O5319" s="247"/>
      <c r="AC5319" s="247"/>
      <c r="AT5319" s="247"/>
    </row>
    <row r="5320">
      <c r="C5320" s="277"/>
      <c r="O5320" s="247"/>
      <c r="AC5320" s="247"/>
      <c r="AT5320" s="247"/>
    </row>
    <row r="5321">
      <c r="C5321" s="277"/>
      <c r="O5321" s="247"/>
      <c r="AC5321" s="247"/>
      <c r="AT5321" s="247"/>
    </row>
    <row r="5322">
      <c r="C5322" s="277"/>
      <c r="O5322" s="247"/>
      <c r="AC5322" s="247"/>
      <c r="AT5322" s="247"/>
    </row>
    <row r="5323">
      <c r="C5323" s="277"/>
      <c r="O5323" s="247"/>
      <c r="AC5323" s="247"/>
      <c r="AT5323" s="247"/>
    </row>
    <row r="5324">
      <c r="C5324" s="277"/>
      <c r="O5324" s="247"/>
      <c r="AC5324" s="247"/>
      <c r="AT5324" s="247"/>
    </row>
    <row r="5325">
      <c r="C5325" s="277"/>
      <c r="O5325" s="247"/>
      <c r="AC5325" s="247"/>
      <c r="AT5325" s="247"/>
    </row>
    <row r="5326">
      <c r="C5326" s="277"/>
      <c r="O5326" s="247"/>
      <c r="AC5326" s="247"/>
      <c r="AT5326" s="247"/>
    </row>
    <row r="5327">
      <c r="C5327" s="277"/>
      <c r="O5327" s="247"/>
      <c r="AC5327" s="247"/>
      <c r="AT5327" s="247"/>
    </row>
    <row r="5328">
      <c r="C5328" s="277"/>
      <c r="O5328" s="247"/>
      <c r="AC5328" s="247"/>
      <c r="AT5328" s="247"/>
    </row>
    <row r="5329">
      <c r="C5329" s="277"/>
      <c r="O5329" s="247"/>
      <c r="AC5329" s="247"/>
      <c r="AT5329" s="247"/>
    </row>
    <row r="5330">
      <c r="C5330" s="277"/>
      <c r="O5330" s="247"/>
      <c r="AC5330" s="247"/>
      <c r="AT5330" s="247"/>
    </row>
    <row r="5331">
      <c r="C5331" s="277"/>
      <c r="O5331" s="247"/>
      <c r="AC5331" s="247"/>
      <c r="AT5331" s="247"/>
    </row>
    <row r="5332">
      <c r="C5332" s="277"/>
      <c r="O5332" s="247"/>
      <c r="AC5332" s="247"/>
      <c r="AT5332" s="247"/>
    </row>
    <row r="5333">
      <c r="C5333" s="277"/>
      <c r="O5333" s="247"/>
      <c r="AC5333" s="247"/>
      <c r="AT5333" s="247"/>
    </row>
    <row r="5334">
      <c r="C5334" s="277"/>
      <c r="O5334" s="247"/>
      <c r="AC5334" s="247"/>
      <c r="AT5334" s="247"/>
    </row>
    <row r="5335">
      <c r="C5335" s="277"/>
      <c r="O5335" s="247"/>
      <c r="AC5335" s="247"/>
      <c r="AT5335" s="247"/>
    </row>
    <row r="5336">
      <c r="C5336" s="277"/>
      <c r="O5336" s="247"/>
      <c r="AC5336" s="247"/>
      <c r="AT5336" s="247"/>
    </row>
    <row r="5337">
      <c r="C5337" s="277"/>
      <c r="O5337" s="247"/>
      <c r="AC5337" s="247"/>
      <c r="AT5337" s="247"/>
    </row>
    <row r="5338">
      <c r="C5338" s="277"/>
      <c r="O5338" s="247"/>
      <c r="AC5338" s="247"/>
      <c r="AT5338" s="247"/>
    </row>
    <row r="5339">
      <c r="C5339" s="277"/>
      <c r="O5339" s="247"/>
      <c r="AC5339" s="247"/>
      <c r="AT5339" s="247"/>
    </row>
    <row r="5340">
      <c r="C5340" s="277"/>
      <c r="O5340" s="247"/>
      <c r="AC5340" s="247"/>
      <c r="AT5340" s="247"/>
    </row>
    <row r="5341">
      <c r="C5341" s="278"/>
      <c r="O5341" s="247"/>
      <c r="AC5341" s="247"/>
      <c r="AT5341" s="247"/>
    </row>
    <row r="5342">
      <c r="C5342" s="278"/>
      <c r="O5342" s="247"/>
      <c r="AC5342" s="247"/>
      <c r="AT5342" s="247"/>
    </row>
    <row r="5343">
      <c r="C5343" s="278"/>
      <c r="O5343" s="247"/>
      <c r="AC5343" s="247"/>
      <c r="AT5343" s="247"/>
    </row>
    <row r="5344">
      <c r="C5344" s="278"/>
      <c r="O5344" s="247"/>
      <c r="AC5344" s="247"/>
      <c r="AT5344" s="247"/>
    </row>
    <row r="5345">
      <c r="C5345" s="278"/>
      <c r="O5345" s="247"/>
      <c r="AC5345" s="247"/>
      <c r="AT5345" s="247"/>
    </row>
    <row r="5346">
      <c r="C5346" s="278"/>
      <c r="O5346" s="247"/>
      <c r="AC5346" s="247"/>
      <c r="AT5346" s="247"/>
    </row>
    <row r="5347">
      <c r="C5347" s="278"/>
      <c r="O5347" s="247"/>
      <c r="AC5347" s="247"/>
      <c r="AT5347" s="247"/>
    </row>
    <row r="5348">
      <c r="C5348" s="278"/>
      <c r="O5348" s="247"/>
      <c r="AC5348" s="247"/>
      <c r="AT5348" s="247"/>
    </row>
    <row r="5349">
      <c r="C5349" s="278"/>
      <c r="O5349" s="247"/>
      <c r="AC5349" s="247"/>
      <c r="AT5349" s="247"/>
    </row>
    <row r="5350">
      <c r="C5350" s="278"/>
      <c r="O5350" s="247"/>
      <c r="AC5350" s="247"/>
      <c r="AT5350" s="247"/>
    </row>
    <row r="5351">
      <c r="C5351" s="278"/>
      <c r="O5351" s="247"/>
      <c r="AC5351" s="247"/>
      <c r="AT5351" s="247"/>
    </row>
    <row r="5352">
      <c r="C5352" s="278"/>
      <c r="O5352" s="247"/>
      <c r="AC5352" s="247"/>
      <c r="AT5352" s="247"/>
    </row>
    <row r="5353">
      <c r="C5353" s="278"/>
      <c r="O5353" s="247"/>
      <c r="AC5353" s="247"/>
      <c r="AT5353" s="247"/>
    </row>
    <row r="5354">
      <c r="C5354" s="278"/>
      <c r="O5354" s="247"/>
      <c r="AC5354" s="247"/>
      <c r="AT5354" s="247"/>
    </row>
    <row r="5355">
      <c r="C5355" s="278"/>
      <c r="O5355" s="247"/>
      <c r="AC5355" s="247"/>
      <c r="AT5355" s="247"/>
    </row>
    <row r="5356">
      <c r="C5356" s="278"/>
      <c r="O5356" s="247"/>
      <c r="AC5356" s="247"/>
      <c r="AT5356" s="247"/>
    </row>
    <row r="5357">
      <c r="C5357" s="278"/>
      <c r="O5357" s="247"/>
      <c r="AC5357" s="247"/>
      <c r="AT5357" s="247"/>
    </row>
    <row r="5358">
      <c r="C5358" s="278"/>
      <c r="O5358" s="247"/>
      <c r="AC5358" s="247"/>
      <c r="AT5358" s="247"/>
    </row>
    <row r="5359">
      <c r="C5359" s="278"/>
      <c r="O5359" s="247"/>
      <c r="AC5359" s="247"/>
      <c r="AT5359" s="247"/>
    </row>
    <row r="5360">
      <c r="C5360" s="278"/>
      <c r="O5360" s="247"/>
      <c r="AC5360" s="247"/>
      <c r="AT5360" s="247"/>
    </row>
    <row r="5361">
      <c r="C5361" s="278"/>
      <c r="O5361" s="247"/>
      <c r="AC5361" s="247"/>
      <c r="AT5361" s="247"/>
    </row>
    <row r="5362">
      <c r="C5362" s="278"/>
      <c r="O5362" s="247"/>
      <c r="AC5362" s="247"/>
      <c r="AT5362" s="247"/>
    </row>
    <row r="5363">
      <c r="C5363" s="278"/>
      <c r="O5363" s="247"/>
      <c r="AC5363" s="247"/>
      <c r="AT5363" s="247"/>
    </row>
    <row r="5364">
      <c r="C5364" s="278"/>
      <c r="O5364" s="247"/>
      <c r="AC5364" s="247"/>
      <c r="AT5364" s="247"/>
    </row>
    <row r="5365">
      <c r="C5365" s="278"/>
      <c r="O5365" s="247"/>
      <c r="AC5365" s="247"/>
      <c r="AT5365" s="247"/>
    </row>
    <row r="5366">
      <c r="C5366" s="278"/>
      <c r="O5366" s="247"/>
      <c r="AC5366" s="247"/>
      <c r="AT5366" s="247"/>
    </row>
    <row r="5367">
      <c r="C5367" s="278"/>
      <c r="O5367" s="247"/>
      <c r="AC5367" s="247"/>
      <c r="AT5367" s="247"/>
    </row>
    <row r="5368">
      <c r="C5368" s="278"/>
      <c r="O5368" s="247"/>
      <c r="AC5368" s="247"/>
      <c r="AT5368" s="247"/>
    </row>
    <row r="5369">
      <c r="C5369" s="278"/>
      <c r="O5369" s="247"/>
      <c r="AC5369" s="247"/>
      <c r="AT5369" s="247"/>
    </row>
    <row r="5370">
      <c r="C5370" s="278"/>
      <c r="O5370" s="247"/>
      <c r="AC5370" s="247"/>
      <c r="AT5370" s="247"/>
    </row>
    <row r="5371">
      <c r="C5371" s="278"/>
      <c r="O5371" s="247"/>
      <c r="AC5371" s="247"/>
      <c r="AT5371" s="247"/>
    </row>
    <row r="5372">
      <c r="C5372" s="278"/>
      <c r="O5372" s="247"/>
      <c r="AC5372" s="247"/>
      <c r="AT5372" s="247"/>
    </row>
    <row r="5373">
      <c r="C5373" s="278"/>
      <c r="O5373" s="247"/>
      <c r="AC5373" s="247"/>
      <c r="AT5373" s="247"/>
    </row>
    <row r="5374">
      <c r="C5374" s="278"/>
      <c r="O5374" s="247"/>
      <c r="AC5374" s="247"/>
      <c r="AT5374" s="247"/>
    </row>
    <row r="5375">
      <c r="C5375" s="278"/>
      <c r="O5375" s="247"/>
      <c r="AC5375" s="247"/>
      <c r="AT5375" s="247"/>
    </row>
    <row r="5376">
      <c r="C5376" s="278"/>
      <c r="O5376" s="247"/>
      <c r="AC5376" s="247"/>
      <c r="AT5376" s="247"/>
    </row>
    <row r="5377">
      <c r="C5377" s="278"/>
      <c r="O5377" s="247"/>
      <c r="AC5377" s="247"/>
      <c r="AT5377" s="247"/>
    </row>
    <row r="5378">
      <c r="C5378" s="278"/>
      <c r="O5378" s="247"/>
      <c r="AC5378" s="247"/>
      <c r="AT5378" s="247"/>
    </row>
    <row r="5379">
      <c r="C5379" s="278"/>
      <c r="O5379" s="247"/>
      <c r="AC5379" s="247"/>
      <c r="AT5379" s="247"/>
    </row>
    <row r="5380">
      <c r="C5380" s="278"/>
      <c r="O5380" s="247"/>
      <c r="AC5380" s="247"/>
      <c r="AT5380" s="247"/>
    </row>
    <row r="5381">
      <c r="C5381" s="278"/>
      <c r="O5381" s="247"/>
      <c r="AC5381" s="247"/>
      <c r="AT5381" s="247"/>
    </row>
    <row r="5382">
      <c r="C5382" s="278"/>
      <c r="O5382" s="247"/>
      <c r="AC5382" s="247"/>
      <c r="AT5382" s="247"/>
    </row>
    <row r="5383">
      <c r="C5383" s="278"/>
      <c r="O5383" s="247"/>
      <c r="AC5383" s="247"/>
      <c r="AT5383" s="247"/>
    </row>
    <row r="5384">
      <c r="C5384" s="278"/>
      <c r="O5384" s="247"/>
      <c r="AC5384" s="247"/>
      <c r="AT5384" s="247"/>
    </row>
    <row r="5385">
      <c r="C5385" s="278"/>
      <c r="O5385" s="247"/>
      <c r="AC5385" s="247"/>
      <c r="AT5385" s="247"/>
    </row>
    <row r="5386">
      <c r="C5386" s="278"/>
      <c r="O5386" s="247"/>
      <c r="AC5386" s="247"/>
      <c r="AT5386" s="247"/>
    </row>
    <row r="5387">
      <c r="C5387" s="278"/>
      <c r="O5387" s="247"/>
      <c r="AC5387" s="247"/>
      <c r="AT5387" s="247"/>
    </row>
    <row r="5388">
      <c r="C5388" s="278"/>
      <c r="O5388" s="247"/>
      <c r="AC5388" s="247"/>
      <c r="AT5388" s="247"/>
    </row>
    <row r="5389">
      <c r="C5389" s="278"/>
      <c r="O5389" s="247"/>
      <c r="AC5389" s="247"/>
      <c r="AT5389" s="247"/>
    </row>
    <row r="5390">
      <c r="C5390" s="278"/>
      <c r="O5390" s="247"/>
      <c r="AC5390" s="247"/>
      <c r="AT5390" s="247"/>
    </row>
    <row r="5391">
      <c r="C5391" s="278"/>
      <c r="O5391" s="247"/>
      <c r="AC5391" s="247"/>
      <c r="AT5391" s="247"/>
    </row>
    <row r="5392">
      <c r="C5392" s="278"/>
      <c r="O5392" s="247"/>
      <c r="AC5392" s="247"/>
      <c r="AT5392" s="247"/>
    </row>
    <row r="5393">
      <c r="C5393" s="278"/>
      <c r="O5393" s="247"/>
      <c r="AC5393" s="247"/>
      <c r="AT5393" s="247"/>
    </row>
    <row r="5394">
      <c r="C5394" s="278"/>
      <c r="O5394" s="247"/>
      <c r="AC5394" s="247"/>
      <c r="AT5394" s="247"/>
    </row>
    <row r="5395">
      <c r="C5395" s="278"/>
      <c r="O5395" s="247"/>
      <c r="AC5395" s="247"/>
      <c r="AT5395" s="247"/>
    </row>
    <row r="5396">
      <c r="C5396" s="278"/>
      <c r="O5396" s="247"/>
      <c r="AC5396" s="247"/>
      <c r="AT5396" s="247"/>
    </row>
    <row r="5397">
      <c r="C5397" s="278"/>
      <c r="O5397" s="247"/>
      <c r="AC5397" s="247"/>
      <c r="AT5397" s="247"/>
    </row>
    <row r="5398">
      <c r="C5398" s="278"/>
      <c r="O5398" s="247"/>
      <c r="AC5398" s="247"/>
      <c r="AT5398" s="247"/>
    </row>
    <row r="5399">
      <c r="C5399" s="278"/>
      <c r="O5399" s="247"/>
      <c r="AC5399" s="247"/>
      <c r="AT5399" s="247"/>
    </row>
    <row r="5400">
      <c r="C5400" s="278"/>
      <c r="O5400" s="247"/>
      <c r="AC5400" s="247"/>
      <c r="AT5400" s="247"/>
    </row>
    <row r="5401">
      <c r="C5401" s="278"/>
      <c r="O5401" s="247"/>
      <c r="AC5401" s="247"/>
      <c r="AT5401" s="247"/>
    </row>
    <row r="5402">
      <c r="C5402" s="278"/>
      <c r="O5402" s="247"/>
      <c r="AC5402" s="247"/>
      <c r="AT5402" s="247"/>
    </row>
    <row r="5403">
      <c r="C5403" s="278"/>
      <c r="O5403" s="247"/>
      <c r="AC5403" s="247"/>
      <c r="AT5403" s="247"/>
    </row>
    <row r="5404">
      <c r="C5404" s="278"/>
      <c r="O5404" s="247"/>
      <c r="AC5404" s="247"/>
      <c r="AT5404" s="247"/>
    </row>
    <row r="5405">
      <c r="C5405" s="278"/>
      <c r="O5405" s="247"/>
      <c r="AC5405" s="247"/>
      <c r="AT5405" s="247"/>
    </row>
    <row r="5406">
      <c r="C5406" s="278"/>
      <c r="O5406" s="247"/>
      <c r="AC5406" s="247"/>
      <c r="AT5406" s="247"/>
    </row>
    <row r="5407">
      <c r="C5407" s="278"/>
      <c r="O5407" s="247"/>
      <c r="AC5407" s="247"/>
      <c r="AT5407" s="247"/>
    </row>
    <row r="5408">
      <c r="C5408" s="278"/>
      <c r="O5408" s="247"/>
      <c r="AC5408" s="247"/>
      <c r="AT5408" s="247"/>
    </row>
    <row r="5409">
      <c r="C5409" s="278"/>
      <c r="O5409" s="247"/>
      <c r="AC5409" s="247"/>
      <c r="AT5409" s="247"/>
    </row>
    <row r="5410">
      <c r="C5410" s="278"/>
      <c r="O5410" s="247"/>
      <c r="AC5410" s="247"/>
      <c r="AT5410" s="247"/>
    </row>
    <row r="5411">
      <c r="C5411" s="278"/>
      <c r="O5411" s="247"/>
      <c r="AC5411" s="247"/>
      <c r="AT5411" s="247"/>
    </row>
    <row r="5412">
      <c r="C5412" s="278"/>
      <c r="O5412" s="247"/>
      <c r="AC5412" s="247"/>
      <c r="AT5412" s="247"/>
    </row>
    <row r="5413">
      <c r="C5413" s="278"/>
      <c r="O5413" s="247"/>
      <c r="AC5413" s="247"/>
      <c r="AT5413" s="247"/>
    </row>
    <row r="5414">
      <c r="C5414" s="278"/>
      <c r="O5414" s="247"/>
      <c r="AC5414" s="247"/>
      <c r="AT5414" s="247"/>
    </row>
    <row r="5415">
      <c r="C5415" s="278"/>
      <c r="O5415" s="247"/>
      <c r="AC5415" s="247"/>
      <c r="AT5415" s="247"/>
    </row>
    <row r="5416">
      <c r="C5416" s="278"/>
      <c r="O5416" s="247"/>
      <c r="AC5416" s="247"/>
      <c r="AT5416" s="247"/>
    </row>
    <row r="5417">
      <c r="C5417" s="278"/>
      <c r="O5417" s="247"/>
      <c r="AC5417" s="247"/>
      <c r="AT5417" s="247"/>
    </row>
    <row r="5418">
      <c r="C5418" s="278"/>
      <c r="O5418" s="247"/>
      <c r="AC5418" s="247"/>
      <c r="AT5418" s="247"/>
    </row>
    <row r="5419">
      <c r="C5419" s="278"/>
      <c r="O5419" s="247"/>
      <c r="AC5419" s="247"/>
      <c r="AT5419" s="247"/>
    </row>
    <row r="5420">
      <c r="C5420" s="278"/>
      <c r="O5420" s="247"/>
      <c r="AC5420" s="247"/>
      <c r="AT5420" s="247"/>
    </row>
    <row r="5421">
      <c r="C5421" s="278"/>
      <c r="O5421" s="247"/>
      <c r="AC5421" s="247"/>
      <c r="AT5421" s="247"/>
    </row>
    <row r="5422">
      <c r="C5422" s="278"/>
      <c r="O5422" s="247"/>
      <c r="AC5422" s="247"/>
      <c r="AT5422" s="247"/>
    </row>
    <row r="5423">
      <c r="C5423" s="278"/>
      <c r="O5423" s="247"/>
      <c r="AC5423" s="247"/>
      <c r="AT5423" s="247"/>
    </row>
    <row r="5424">
      <c r="C5424" s="278"/>
      <c r="O5424" s="247"/>
      <c r="AC5424" s="247"/>
      <c r="AT5424" s="247"/>
    </row>
    <row r="5425">
      <c r="C5425" s="278"/>
      <c r="O5425" s="247"/>
      <c r="AC5425" s="247"/>
      <c r="AT5425" s="247"/>
    </row>
    <row r="5426">
      <c r="C5426" s="278"/>
      <c r="O5426" s="247"/>
      <c r="AC5426" s="247"/>
      <c r="AT5426" s="247"/>
    </row>
    <row r="5427">
      <c r="C5427" s="278"/>
      <c r="O5427" s="247"/>
      <c r="AC5427" s="247"/>
      <c r="AT5427" s="247"/>
    </row>
    <row r="5428">
      <c r="C5428" s="278"/>
      <c r="O5428" s="247"/>
      <c r="AC5428" s="247"/>
      <c r="AT5428" s="247"/>
    </row>
    <row r="5429">
      <c r="C5429" s="278"/>
      <c r="O5429" s="247"/>
      <c r="AC5429" s="247"/>
      <c r="AT5429" s="247"/>
    </row>
    <row r="5430">
      <c r="C5430" s="278"/>
      <c r="O5430" s="247"/>
      <c r="AC5430" s="247"/>
      <c r="AT5430" s="247"/>
    </row>
    <row r="5431">
      <c r="C5431" s="278"/>
      <c r="O5431" s="247"/>
      <c r="AC5431" s="247"/>
      <c r="AT5431" s="247"/>
    </row>
    <row r="5432">
      <c r="C5432" s="278"/>
      <c r="O5432" s="247"/>
      <c r="AC5432" s="247"/>
      <c r="AT5432" s="247"/>
    </row>
    <row r="5433">
      <c r="C5433" s="278"/>
      <c r="O5433" s="247"/>
      <c r="AC5433" s="247"/>
      <c r="AT5433" s="247"/>
    </row>
    <row r="5434">
      <c r="C5434" s="278"/>
      <c r="O5434" s="247"/>
      <c r="AC5434" s="247"/>
      <c r="AT5434" s="247"/>
    </row>
    <row r="5435">
      <c r="C5435" s="278"/>
      <c r="O5435" s="247"/>
      <c r="AC5435" s="247"/>
      <c r="AT5435" s="247"/>
    </row>
    <row r="5436">
      <c r="C5436" s="278"/>
      <c r="O5436" s="247"/>
      <c r="AC5436" s="247"/>
      <c r="AT5436" s="247"/>
    </row>
    <row r="5437">
      <c r="C5437" s="278"/>
      <c r="O5437" s="247"/>
      <c r="AC5437" s="247"/>
      <c r="AT5437" s="247"/>
    </row>
    <row r="5438">
      <c r="C5438" s="278"/>
      <c r="O5438" s="247"/>
      <c r="AC5438" s="247"/>
      <c r="AT5438" s="247"/>
    </row>
    <row r="5439">
      <c r="C5439" s="278"/>
      <c r="O5439" s="247"/>
      <c r="AC5439" s="247"/>
      <c r="AT5439" s="247"/>
    </row>
    <row r="5440">
      <c r="C5440" s="278"/>
      <c r="O5440" s="247"/>
      <c r="AC5440" s="247"/>
      <c r="AT5440" s="247"/>
    </row>
    <row r="5441">
      <c r="C5441" s="278"/>
      <c r="O5441" s="247"/>
      <c r="AC5441" s="247"/>
      <c r="AT5441" s="247"/>
    </row>
    <row r="5442">
      <c r="C5442" s="278"/>
      <c r="O5442" s="247"/>
      <c r="AC5442" s="247"/>
      <c r="AT5442" s="247"/>
    </row>
    <row r="5443">
      <c r="C5443" s="278"/>
      <c r="O5443" s="247"/>
      <c r="AC5443" s="247"/>
      <c r="AT5443" s="247"/>
    </row>
    <row r="5444">
      <c r="C5444" s="278"/>
      <c r="O5444" s="247"/>
      <c r="AC5444" s="247"/>
      <c r="AT5444" s="247"/>
    </row>
    <row r="5445">
      <c r="C5445" s="278"/>
      <c r="O5445" s="247"/>
      <c r="AC5445" s="247"/>
      <c r="AT5445" s="247"/>
    </row>
    <row r="5446">
      <c r="C5446" s="278"/>
      <c r="O5446" s="247"/>
      <c r="AC5446" s="247"/>
      <c r="AT5446" s="247"/>
    </row>
    <row r="5447">
      <c r="C5447" s="278"/>
      <c r="O5447" s="247"/>
      <c r="AC5447" s="247"/>
      <c r="AT5447" s="247"/>
    </row>
    <row r="5448">
      <c r="C5448" s="278"/>
      <c r="O5448" s="247"/>
      <c r="AC5448" s="247"/>
      <c r="AT5448" s="247"/>
    </row>
    <row r="5449">
      <c r="C5449" s="278"/>
      <c r="O5449" s="247"/>
      <c r="AC5449" s="247"/>
      <c r="AT5449" s="247"/>
    </row>
    <row r="5450">
      <c r="C5450" s="278"/>
      <c r="O5450" s="247"/>
      <c r="AC5450" s="247"/>
      <c r="AT5450" s="247"/>
    </row>
    <row r="5451">
      <c r="C5451" s="278"/>
      <c r="O5451" s="247"/>
      <c r="AC5451" s="247"/>
      <c r="AT5451" s="247"/>
    </row>
    <row r="5452">
      <c r="C5452" s="278"/>
      <c r="O5452" s="247"/>
      <c r="AC5452" s="247"/>
      <c r="AT5452" s="247"/>
    </row>
    <row r="5453">
      <c r="C5453" s="277"/>
      <c r="O5453" s="247"/>
      <c r="AC5453" s="247"/>
      <c r="AT5453" s="247"/>
    </row>
    <row r="5454">
      <c r="C5454" s="277"/>
      <c r="O5454" s="247"/>
      <c r="AC5454" s="247"/>
      <c r="AT5454" s="247"/>
    </row>
    <row r="5455">
      <c r="C5455" s="277"/>
      <c r="O5455" s="247"/>
      <c r="AC5455" s="247"/>
      <c r="AT5455" s="247"/>
    </row>
    <row r="5456">
      <c r="C5456" s="277"/>
      <c r="O5456" s="247"/>
      <c r="AC5456" s="247"/>
      <c r="AT5456" s="247"/>
    </row>
    <row r="5457">
      <c r="C5457" s="277"/>
      <c r="O5457" s="247"/>
      <c r="AC5457" s="247"/>
      <c r="AT5457" s="247"/>
    </row>
    <row r="5458">
      <c r="C5458" s="277"/>
      <c r="O5458" s="247"/>
      <c r="AC5458" s="247"/>
      <c r="AT5458" s="247"/>
    </row>
    <row r="5459">
      <c r="C5459" s="277"/>
      <c r="O5459" s="247"/>
      <c r="AC5459" s="247"/>
      <c r="AT5459" s="247"/>
    </row>
    <row r="5460">
      <c r="C5460" s="277"/>
      <c r="O5460" s="247"/>
      <c r="AC5460" s="247"/>
      <c r="AT5460" s="247"/>
    </row>
    <row r="5461">
      <c r="C5461" s="277"/>
      <c r="O5461" s="247"/>
      <c r="AC5461" s="247"/>
      <c r="AT5461" s="247"/>
    </row>
    <row r="5462">
      <c r="C5462" s="277"/>
      <c r="O5462" s="247"/>
      <c r="AC5462" s="247"/>
      <c r="AT5462" s="247"/>
    </row>
    <row r="5463">
      <c r="C5463" s="277"/>
      <c r="O5463" s="247"/>
      <c r="AC5463" s="247"/>
      <c r="AT5463" s="247"/>
    </row>
    <row r="5464">
      <c r="C5464" s="277"/>
      <c r="O5464" s="247"/>
      <c r="AC5464" s="247"/>
      <c r="AT5464" s="247"/>
    </row>
    <row r="5465">
      <c r="C5465" s="277"/>
      <c r="O5465" s="247"/>
      <c r="AC5465" s="247"/>
      <c r="AT5465" s="247"/>
    </row>
    <row r="5466">
      <c r="C5466" s="277"/>
      <c r="O5466" s="247"/>
      <c r="AC5466" s="247"/>
      <c r="AT5466" s="247"/>
    </row>
    <row r="5467">
      <c r="C5467" s="277"/>
      <c r="O5467" s="247"/>
      <c r="AC5467" s="247"/>
      <c r="AT5467" s="247"/>
    </row>
    <row r="5468">
      <c r="C5468" s="277"/>
      <c r="O5468" s="247"/>
      <c r="AC5468" s="247"/>
      <c r="AT5468" s="247"/>
    </row>
    <row r="5469">
      <c r="C5469" s="277"/>
      <c r="O5469" s="247"/>
      <c r="AC5469" s="247"/>
      <c r="AT5469" s="247"/>
    </row>
    <row r="5470">
      <c r="C5470" s="277"/>
      <c r="O5470" s="247"/>
      <c r="AC5470" s="247"/>
      <c r="AT5470" s="247"/>
    </row>
    <row r="5471">
      <c r="C5471" s="277"/>
      <c r="O5471" s="247"/>
      <c r="AC5471" s="247"/>
      <c r="AT5471" s="247"/>
    </row>
    <row r="5472">
      <c r="C5472" s="277"/>
      <c r="O5472" s="247"/>
      <c r="AC5472" s="247"/>
      <c r="AT5472" s="247"/>
    </row>
    <row r="5473">
      <c r="C5473" s="277"/>
      <c r="O5473" s="247"/>
      <c r="AC5473" s="247"/>
      <c r="AT5473" s="247"/>
    </row>
    <row r="5474">
      <c r="C5474" s="277"/>
      <c r="O5474" s="247"/>
      <c r="AC5474" s="247"/>
      <c r="AT5474" s="247"/>
    </row>
    <row r="5475">
      <c r="C5475" s="277"/>
      <c r="O5475" s="247"/>
      <c r="AC5475" s="247"/>
      <c r="AT5475" s="247"/>
    </row>
    <row r="5476">
      <c r="C5476" s="277"/>
      <c r="O5476" s="247"/>
      <c r="AC5476" s="247"/>
      <c r="AT5476" s="247"/>
    </row>
    <row r="5477">
      <c r="C5477" s="277"/>
      <c r="O5477" s="247"/>
      <c r="AC5477" s="247"/>
      <c r="AT5477" s="247"/>
    </row>
    <row r="5478">
      <c r="C5478" s="277"/>
      <c r="O5478" s="247"/>
      <c r="AC5478" s="247"/>
      <c r="AT5478" s="247"/>
    </row>
    <row r="5479">
      <c r="C5479" s="277"/>
      <c r="O5479" s="247"/>
      <c r="AC5479" s="247"/>
      <c r="AT5479" s="247"/>
    </row>
    <row r="5480">
      <c r="C5480" s="277"/>
      <c r="O5480" s="247"/>
      <c r="AC5480" s="247"/>
      <c r="AT5480" s="247"/>
    </row>
    <row r="5481">
      <c r="C5481" s="277"/>
      <c r="O5481" s="247"/>
      <c r="AC5481" s="247"/>
      <c r="AT5481" s="247"/>
    </row>
    <row r="5482">
      <c r="C5482" s="277"/>
      <c r="O5482" s="247"/>
      <c r="AC5482" s="247"/>
      <c r="AT5482" s="247"/>
    </row>
    <row r="5483">
      <c r="C5483" s="277"/>
      <c r="O5483" s="247"/>
      <c r="AC5483" s="247"/>
      <c r="AT5483" s="247"/>
    </row>
    <row r="5484">
      <c r="C5484" s="277"/>
      <c r="O5484" s="247"/>
      <c r="AC5484" s="247"/>
      <c r="AT5484" s="247"/>
    </row>
    <row r="5485">
      <c r="C5485" s="277"/>
      <c r="O5485" s="247"/>
      <c r="AC5485" s="247"/>
      <c r="AT5485" s="247"/>
    </row>
    <row r="5486">
      <c r="C5486" s="277"/>
      <c r="O5486" s="247"/>
      <c r="AC5486" s="247"/>
      <c r="AT5486" s="247"/>
    </row>
    <row r="5487">
      <c r="C5487" s="277"/>
      <c r="O5487" s="247"/>
      <c r="AC5487" s="247"/>
      <c r="AT5487" s="247"/>
    </row>
    <row r="5488">
      <c r="C5488" s="277"/>
      <c r="O5488" s="247"/>
      <c r="AC5488" s="247"/>
      <c r="AT5488" s="247"/>
    </row>
    <row r="5489">
      <c r="C5489" s="277"/>
      <c r="O5489" s="247"/>
      <c r="AC5489" s="247"/>
      <c r="AT5489" s="247"/>
    </row>
    <row r="5490">
      <c r="C5490" s="277"/>
      <c r="O5490" s="247"/>
      <c r="AC5490" s="247"/>
      <c r="AT5490" s="247"/>
    </row>
    <row r="5491">
      <c r="C5491" s="277"/>
      <c r="O5491" s="247"/>
      <c r="AC5491" s="247"/>
      <c r="AT5491" s="247"/>
    </row>
    <row r="5492">
      <c r="C5492" s="277"/>
      <c r="O5492" s="247"/>
      <c r="AC5492" s="247"/>
      <c r="AT5492" s="247"/>
    </row>
    <row r="5493">
      <c r="C5493" s="277"/>
      <c r="O5493" s="247"/>
      <c r="AC5493" s="247"/>
      <c r="AT5493" s="247"/>
    </row>
    <row r="5494">
      <c r="C5494" s="277"/>
      <c r="O5494" s="247"/>
      <c r="AC5494" s="247"/>
      <c r="AT5494" s="247"/>
    </row>
    <row r="5495">
      <c r="C5495" s="277"/>
      <c r="O5495" s="247"/>
      <c r="AC5495" s="247"/>
      <c r="AT5495" s="247"/>
    </row>
    <row r="5496">
      <c r="C5496" s="277"/>
      <c r="O5496" s="247"/>
      <c r="AC5496" s="247"/>
      <c r="AT5496" s="247"/>
    </row>
    <row r="5497">
      <c r="C5497" s="277"/>
      <c r="O5497" s="247"/>
      <c r="AC5497" s="247"/>
      <c r="AT5497" s="247"/>
    </row>
    <row r="5498">
      <c r="C5498" s="277"/>
      <c r="O5498" s="247"/>
      <c r="AC5498" s="247"/>
      <c r="AT5498" s="247"/>
    </row>
    <row r="5499">
      <c r="C5499" s="277"/>
      <c r="O5499" s="247"/>
      <c r="AC5499" s="247"/>
      <c r="AT5499" s="247"/>
    </row>
    <row r="5500">
      <c r="C5500" s="277"/>
      <c r="O5500" s="247"/>
      <c r="AC5500" s="247"/>
      <c r="AT5500" s="247"/>
    </row>
    <row r="5501">
      <c r="C5501" s="277"/>
      <c r="O5501" s="247"/>
      <c r="AC5501" s="247"/>
      <c r="AT5501" s="247"/>
    </row>
    <row r="5502">
      <c r="C5502" s="277"/>
      <c r="O5502" s="247"/>
      <c r="AC5502" s="247"/>
      <c r="AT5502" s="247"/>
    </row>
    <row r="5503">
      <c r="C5503" s="277"/>
      <c r="O5503" s="247"/>
      <c r="AC5503" s="247"/>
      <c r="AT5503" s="247"/>
    </row>
    <row r="5504">
      <c r="C5504" s="277"/>
      <c r="O5504" s="247"/>
      <c r="AC5504" s="247"/>
      <c r="AT5504" s="247"/>
    </row>
    <row r="5505">
      <c r="C5505" s="277"/>
      <c r="O5505" s="247"/>
      <c r="AC5505" s="247"/>
      <c r="AT5505" s="247"/>
    </row>
    <row r="5506">
      <c r="C5506" s="277"/>
      <c r="O5506" s="247"/>
      <c r="AC5506" s="247"/>
      <c r="AT5506" s="247"/>
    </row>
    <row r="5507">
      <c r="C5507" s="277"/>
      <c r="O5507" s="247"/>
      <c r="AC5507" s="247"/>
      <c r="AT5507" s="247"/>
    </row>
    <row r="5508">
      <c r="C5508" s="277"/>
      <c r="O5508" s="247"/>
      <c r="AC5508" s="247"/>
      <c r="AT5508" s="247"/>
    </row>
    <row r="5509">
      <c r="C5509" s="277"/>
      <c r="O5509" s="247"/>
      <c r="AC5509" s="247"/>
      <c r="AT5509" s="247"/>
    </row>
    <row r="5510">
      <c r="C5510" s="277"/>
      <c r="O5510" s="247"/>
      <c r="AC5510" s="247"/>
      <c r="AT5510" s="247"/>
    </row>
    <row r="5511">
      <c r="C5511" s="277"/>
      <c r="O5511" s="247"/>
      <c r="AC5511" s="247"/>
      <c r="AT5511" s="247"/>
    </row>
    <row r="5512">
      <c r="C5512" s="277"/>
      <c r="O5512" s="247"/>
      <c r="AC5512" s="247"/>
      <c r="AT5512" s="247"/>
    </row>
    <row r="5513">
      <c r="C5513" s="277"/>
      <c r="O5513" s="247"/>
      <c r="AC5513" s="247"/>
      <c r="AT5513" s="247"/>
    </row>
    <row r="5514">
      <c r="C5514" s="277"/>
      <c r="O5514" s="247"/>
      <c r="AC5514" s="247"/>
      <c r="AT5514" s="247"/>
    </row>
    <row r="5515">
      <c r="C5515" s="277"/>
      <c r="O5515" s="247"/>
      <c r="AC5515" s="247"/>
      <c r="AT5515" s="247"/>
    </row>
    <row r="5516">
      <c r="C5516" s="277"/>
      <c r="O5516" s="247"/>
      <c r="AC5516" s="247"/>
      <c r="AT5516" s="247"/>
    </row>
    <row r="5517">
      <c r="C5517" s="277"/>
      <c r="O5517" s="247"/>
      <c r="AC5517" s="247"/>
      <c r="AT5517" s="247"/>
    </row>
    <row r="5518">
      <c r="C5518" s="277"/>
      <c r="O5518" s="247"/>
      <c r="AC5518" s="247"/>
      <c r="AT5518" s="247"/>
    </row>
    <row r="5519">
      <c r="C5519" s="277"/>
      <c r="O5519" s="247"/>
      <c r="AC5519" s="247"/>
      <c r="AT5519" s="247"/>
    </row>
    <row r="5520">
      <c r="C5520" s="277"/>
      <c r="O5520" s="247"/>
      <c r="AC5520" s="247"/>
      <c r="AT5520" s="247"/>
    </row>
    <row r="5521">
      <c r="C5521" s="277"/>
      <c r="O5521" s="247"/>
      <c r="AC5521" s="247"/>
      <c r="AT5521" s="247"/>
    </row>
    <row r="5522">
      <c r="C5522" s="277"/>
      <c r="O5522" s="247"/>
      <c r="AC5522" s="247"/>
      <c r="AT5522" s="247"/>
    </row>
    <row r="5523">
      <c r="C5523" s="277"/>
      <c r="O5523" s="247"/>
      <c r="AC5523" s="247"/>
      <c r="AT5523" s="247"/>
    </row>
    <row r="5524">
      <c r="C5524" s="277"/>
      <c r="O5524" s="247"/>
      <c r="AC5524" s="247"/>
      <c r="AT5524" s="247"/>
    </row>
    <row r="5525">
      <c r="C5525" s="277"/>
      <c r="O5525" s="247"/>
      <c r="AC5525" s="247"/>
      <c r="AT5525" s="247"/>
    </row>
    <row r="5526">
      <c r="C5526" s="277"/>
      <c r="O5526" s="247"/>
      <c r="AC5526" s="247"/>
      <c r="AT5526" s="247"/>
    </row>
    <row r="5527">
      <c r="C5527" s="277"/>
      <c r="O5527" s="247"/>
      <c r="AC5527" s="247"/>
      <c r="AT5527" s="247"/>
    </row>
    <row r="5528">
      <c r="C5528" s="277"/>
      <c r="O5528" s="247"/>
      <c r="AC5528" s="247"/>
      <c r="AT5528" s="247"/>
    </row>
    <row r="5529">
      <c r="C5529" s="277"/>
      <c r="O5529" s="247"/>
      <c r="AC5529" s="247"/>
      <c r="AT5529" s="247"/>
    </row>
    <row r="5530">
      <c r="C5530" s="277"/>
      <c r="O5530" s="247"/>
      <c r="AC5530" s="247"/>
      <c r="AT5530" s="247"/>
    </row>
    <row r="5531">
      <c r="C5531" s="277"/>
      <c r="O5531" s="247"/>
      <c r="AC5531" s="247"/>
      <c r="AT5531" s="247"/>
    </row>
    <row r="5532">
      <c r="C5532" s="277"/>
      <c r="O5532" s="247"/>
      <c r="AC5532" s="247"/>
      <c r="AT5532" s="247"/>
    </row>
    <row r="5533">
      <c r="C5533" s="277"/>
      <c r="O5533" s="247"/>
      <c r="AC5533" s="247"/>
      <c r="AT5533" s="247"/>
    </row>
    <row r="5534">
      <c r="C5534" s="277"/>
      <c r="O5534" s="247"/>
      <c r="AC5534" s="247"/>
      <c r="AT5534" s="247"/>
    </row>
    <row r="5535">
      <c r="C5535" s="277"/>
      <c r="O5535" s="247"/>
      <c r="AC5535" s="247"/>
      <c r="AT5535" s="247"/>
    </row>
    <row r="5536">
      <c r="C5536" s="277"/>
      <c r="O5536" s="247"/>
      <c r="AC5536" s="247"/>
      <c r="AT5536" s="247"/>
    </row>
    <row r="5537">
      <c r="C5537" s="277"/>
      <c r="O5537" s="247"/>
      <c r="AC5537" s="247"/>
      <c r="AT5537" s="247"/>
    </row>
    <row r="5538">
      <c r="C5538" s="277"/>
      <c r="O5538" s="247"/>
      <c r="AC5538" s="247"/>
      <c r="AT5538" s="247"/>
    </row>
    <row r="5539">
      <c r="C5539" s="277"/>
      <c r="O5539" s="247"/>
      <c r="AC5539" s="247"/>
      <c r="AT5539" s="247"/>
    </row>
    <row r="5540">
      <c r="C5540" s="277"/>
      <c r="O5540" s="247"/>
      <c r="AC5540" s="247"/>
      <c r="AT5540" s="247"/>
    </row>
    <row r="5541">
      <c r="C5541" s="277"/>
      <c r="O5541" s="247"/>
      <c r="AC5541" s="247"/>
      <c r="AT5541" s="247"/>
    </row>
    <row r="5542">
      <c r="C5542" s="277"/>
      <c r="O5542" s="247"/>
      <c r="AC5542" s="247"/>
      <c r="AT5542" s="247"/>
    </row>
    <row r="5543">
      <c r="C5543" s="277"/>
      <c r="O5543" s="247"/>
      <c r="AC5543" s="247"/>
      <c r="AT5543" s="247"/>
    </row>
    <row r="5544">
      <c r="C5544" s="277"/>
      <c r="O5544" s="247"/>
      <c r="AC5544" s="247"/>
      <c r="AT5544" s="247"/>
    </row>
    <row r="5545">
      <c r="C5545" s="277"/>
      <c r="O5545" s="247"/>
      <c r="AC5545" s="247"/>
      <c r="AT5545" s="247"/>
    </row>
    <row r="5546">
      <c r="C5546" s="277"/>
      <c r="O5546" s="247"/>
      <c r="AC5546" s="247"/>
      <c r="AT5546" s="247"/>
    </row>
    <row r="5547">
      <c r="C5547" s="277"/>
      <c r="O5547" s="247"/>
      <c r="AC5547" s="247"/>
      <c r="AT5547" s="247"/>
    </row>
    <row r="5548">
      <c r="C5548" s="277"/>
      <c r="O5548" s="247"/>
      <c r="AC5548" s="247"/>
      <c r="AT5548" s="247"/>
    </row>
    <row r="5549">
      <c r="C5549" s="277"/>
      <c r="O5549" s="247"/>
      <c r="AC5549" s="247"/>
      <c r="AT5549" s="247"/>
    </row>
    <row r="5550">
      <c r="C5550" s="277"/>
      <c r="O5550" s="247"/>
      <c r="AC5550" s="247"/>
      <c r="AT5550" s="247"/>
    </row>
    <row r="5551">
      <c r="C5551" s="277"/>
      <c r="O5551" s="247"/>
      <c r="AC5551" s="247"/>
      <c r="AT5551" s="247"/>
    </row>
    <row r="5552">
      <c r="C5552" s="277"/>
      <c r="O5552" s="247"/>
      <c r="AC5552" s="247"/>
      <c r="AT5552" s="247"/>
    </row>
    <row r="5553">
      <c r="C5553" s="277"/>
      <c r="O5553" s="247"/>
      <c r="AC5553" s="247"/>
      <c r="AT5553" s="247"/>
    </row>
    <row r="5554">
      <c r="C5554" s="277"/>
      <c r="O5554" s="247"/>
      <c r="AC5554" s="247"/>
      <c r="AT5554" s="247"/>
    </row>
    <row r="5555">
      <c r="C5555" s="277"/>
      <c r="O5555" s="247"/>
      <c r="AC5555" s="247"/>
      <c r="AT5555" s="247"/>
    </row>
    <row r="5556">
      <c r="C5556" s="277"/>
      <c r="O5556" s="247"/>
      <c r="AC5556" s="247"/>
      <c r="AT5556" s="247"/>
    </row>
    <row r="5557">
      <c r="C5557" s="277"/>
      <c r="O5557" s="247"/>
      <c r="AC5557" s="247"/>
      <c r="AT5557" s="247"/>
    </row>
    <row r="5558">
      <c r="C5558" s="277"/>
      <c r="O5558" s="247"/>
      <c r="AC5558" s="247"/>
      <c r="AT5558" s="247"/>
    </row>
    <row r="5559">
      <c r="C5559" s="277"/>
      <c r="O5559" s="247"/>
      <c r="AC5559" s="247"/>
      <c r="AT5559" s="247"/>
    </row>
    <row r="5560">
      <c r="C5560" s="277"/>
      <c r="O5560" s="247"/>
      <c r="AC5560" s="247"/>
      <c r="AT5560" s="247"/>
    </row>
    <row r="5561">
      <c r="C5561" s="277"/>
      <c r="O5561" s="247"/>
      <c r="AC5561" s="247"/>
      <c r="AT5561" s="247"/>
    </row>
    <row r="5562">
      <c r="C5562" s="277"/>
      <c r="O5562" s="247"/>
      <c r="AC5562" s="247"/>
      <c r="AT5562" s="247"/>
    </row>
    <row r="5563">
      <c r="C5563" s="277"/>
      <c r="O5563" s="247"/>
      <c r="AC5563" s="247"/>
      <c r="AT5563" s="247"/>
    </row>
    <row r="5564">
      <c r="C5564" s="277"/>
      <c r="O5564" s="247"/>
      <c r="AC5564" s="247"/>
      <c r="AT5564" s="247"/>
    </row>
    <row r="5565">
      <c r="C5565" s="277"/>
      <c r="O5565" s="247"/>
      <c r="AC5565" s="247"/>
      <c r="AT5565" s="247"/>
    </row>
    <row r="5566">
      <c r="C5566" s="277"/>
      <c r="O5566" s="247"/>
      <c r="AC5566" s="247"/>
      <c r="AT5566" s="247"/>
    </row>
    <row r="5567">
      <c r="C5567" s="277"/>
      <c r="O5567" s="247"/>
      <c r="AC5567" s="247"/>
      <c r="AT5567" s="247"/>
    </row>
    <row r="5568">
      <c r="C5568" s="277"/>
      <c r="O5568" s="247"/>
      <c r="AC5568" s="247"/>
      <c r="AT5568" s="247"/>
    </row>
    <row r="5569">
      <c r="C5569" s="277"/>
      <c r="O5569" s="247"/>
      <c r="AC5569" s="247"/>
      <c r="AT5569" s="247"/>
    </row>
    <row r="5570">
      <c r="C5570" s="277"/>
      <c r="O5570" s="247"/>
      <c r="AC5570" s="247"/>
      <c r="AT5570" s="247"/>
    </row>
    <row r="5571">
      <c r="C5571" s="277"/>
      <c r="O5571" s="247"/>
      <c r="AC5571" s="247"/>
      <c r="AT5571" s="247"/>
    </row>
    <row r="5572">
      <c r="C5572" s="277"/>
      <c r="O5572" s="247"/>
      <c r="AC5572" s="247"/>
      <c r="AT5572" s="247"/>
    </row>
    <row r="5573">
      <c r="C5573" s="277"/>
      <c r="O5573" s="247"/>
      <c r="AC5573" s="247"/>
      <c r="AT5573" s="247"/>
    </row>
    <row r="5574">
      <c r="C5574" s="277"/>
      <c r="O5574" s="247"/>
      <c r="AC5574" s="247"/>
      <c r="AT5574" s="247"/>
    </row>
    <row r="5575">
      <c r="C5575" s="277"/>
      <c r="O5575" s="247"/>
      <c r="AC5575" s="247"/>
      <c r="AT5575" s="247"/>
    </row>
    <row r="5576">
      <c r="C5576" s="277"/>
      <c r="O5576" s="247"/>
      <c r="AC5576" s="247"/>
      <c r="AT5576" s="247"/>
    </row>
    <row r="5577">
      <c r="C5577" s="277"/>
      <c r="O5577" s="247"/>
      <c r="AC5577" s="247"/>
      <c r="AT5577" s="247"/>
    </row>
    <row r="5578">
      <c r="C5578" s="277"/>
      <c r="O5578" s="247"/>
      <c r="AC5578" s="247"/>
      <c r="AT5578" s="247"/>
    </row>
    <row r="5579">
      <c r="C5579" s="277"/>
      <c r="O5579" s="247"/>
      <c r="AC5579" s="247"/>
      <c r="AT5579" s="247"/>
    </row>
    <row r="5580">
      <c r="C5580" s="277"/>
      <c r="O5580" s="247"/>
      <c r="AC5580" s="247"/>
      <c r="AT5580" s="247"/>
    </row>
    <row r="5581">
      <c r="C5581" s="277"/>
      <c r="O5581" s="247"/>
      <c r="AC5581" s="247"/>
      <c r="AT5581" s="247"/>
    </row>
    <row r="5582">
      <c r="C5582" s="277"/>
      <c r="O5582" s="247"/>
      <c r="AC5582" s="247"/>
      <c r="AT5582" s="247"/>
    </row>
    <row r="5583">
      <c r="C5583" s="277"/>
      <c r="O5583" s="247"/>
      <c r="AC5583" s="247"/>
      <c r="AT5583" s="247"/>
    </row>
    <row r="5584">
      <c r="C5584" s="277"/>
      <c r="O5584" s="247"/>
      <c r="AC5584" s="247"/>
      <c r="AT5584" s="247"/>
    </row>
    <row r="5585">
      <c r="C5585" s="277"/>
      <c r="O5585" s="247"/>
      <c r="AC5585" s="247"/>
      <c r="AT5585" s="247"/>
    </row>
    <row r="5586">
      <c r="C5586" s="277"/>
      <c r="O5586" s="247"/>
      <c r="AC5586" s="247"/>
      <c r="AT5586" s="247"/>
    </row>
    <row r="5587">
      <c r="C5587" s="277"/>
      <c r="O5587" s="247"/>
      <c r="AC5587" s="247"/>
      <c r="AT5587" s="247"/>
    </row>
    <row r="5588">
      <c r="C5588" s="277"/>
      <c r="O5588" s="247"/>
      <c r="AC5588" s="247"/>
      <c r="AT5588" s="247"/>
    </row>
    <row r="5589">
      <c r="C5589" s="277"/>
      <c r="O5589" s="247"/>
      <c r="AC5589" s="247"/>
      <c r="AT5589" s="247"/>
    </row>
    <row r="5590">
      <c r="C5590" s="277"/>
      <c r="O5590" s="247"/>
      <c r="AC5590" s="247"/>
      <c r="AT5590" s="247"/>
    </row>
    <row r="5591">
      <c r="C5591" s="277"/>
      <c r="O5591" s="247"/>
      <c r="AC5591" s="247"/>
      <c r="AT5591" s="247"/>
    </row>
    <row r="5592">
      <c r="C5592" s="277"/>
      <c r="O5592" s="247"/>
      <c r="AC5592" s="247"/>
      <c r="AT5592" s="247"/>
    </row>
    <row r="5593">
      <c r="C5593" s="277"/>
      <c r="O5593" s="247"/>
      <c r="AC5593" s="247"/>
      <c r="AT5593" s="247"/>
    </row>
    <row r="5594">
      <c r="C5594" s="277"/>
      <c r="O5594" s="247"/>
      <c r="AC5594" s="247"/>
      <c r="AT5594" s="247"/>
    </row>
    <row r="5595">
      <c r="C5595" s="277"/>
      <c r="O5595" s="247"/>
      <c r="AC5595" s="247"/>
      <c r="AT5595" s="247"/>
    </row>
    <row r="5596">
      <c r="C5596" s="277"/>
      <c r="O5596" s="247"/>
      <c r="AC5596" s="247"/>
      <c r="AT5596" s="247"/>
    </row>
    <row r="5597">
      <c r="C5597" s="277"/>
      <c r="O5597" s="247"/>
      <c r="AC5597" s="247"/>
      <c r="AT5597" s="247"/>
    </row>
    <row r="5598">
      <c r="C5598" s="277"/>
      <c r="O5598" s="247"/>
      <c r="AC5598" s="247"/>
      <c r="AT5598" s="247"/>
    </row>
    <row r="5599">
      <c r="C5599" s="277"/>
      <c r="O5599" s="247"/>
      <c r="AC5599" s="247"/>
      <c r="AT5599" s="247"/>
    </row>
    <row r="5600">
      <c r="C5600" s="277"/>
      <c r="O5600" s="247"/>
      <c r="AC5600" s="247"/>
      <c r="AT5600" s="247"/>
    </row>
    <row r="5601">
      <c r="C5601" s="277"/>
      <c r="O5601" s="247"/>
      <c r="AC5601" s="247"/>
      <c r="AT5601" s="247"/>
    </row>
    <row r="5602">
      <c r="C5602" s="277"/>
      <c r="O5602" s="247"/>
      <c r="AC5602" s="247"/>
      <c r="AT5602" s="247"/>
    </row>
    <row r="5603">
      <c r="C5603" s="277"/>
      <c r="O5603" s="247"/>
      <c r="AC5603" s="247"/>
      <c r="AT5603" s="247"/>
    </row>
    <row r="5604">
      <c r="C5604" s="277"/>
      <c r="O5604" s="247"/>
      <c r="AC5604" s="247"/>
      <c r="AT5604" s="247"/>
    </row>
    <row r="5605">
      <c r="C5605" s="277"/>
      <c r="O5605" s="247"/>
      <c r="AC5605" s="247"/>
      <c r="AT5605" s="247"/>
    </row>
    <row r="5606">
      <c r="C5606" s="277"/>
      <c r="O5606" s="247"/>
      <c r="AC5606" s="247"/>
      <c r="AT5606" s="247"/>
    </row>
    <row r="5607">
      <c r="C5607" s="277"/>
      <c r="O5607" s="247"/>
      <c r="AC5607" s="247"/>
      <c r="AT5607" s="247"/>
    </row>
    <row r="5608">
      <c r="C5608" s="277"/>
      <c r="O5608" s="247"/>
      <c r="AC5608" s="247"/>
      <c r="AT5608" s="247"/>
    </row>
    <row r="5609">
      <c r="C5609" s="277"/>
      <c r="O5609" s="247"/>
      <c r="AC5609" s="247"/>
      <c r="AT5609" s="247"/>
    </row>
    <row r="5610">
      <c r="C5610" s="277"/>
      <c r="O5610" s="247"/>
      <c r="AC5610" s="247"/>
      <c r="AT5610" s="247"/>
    </row>
    <row r="5611">
      <c r="C5611" s="277"/>
      <c r="O5611" s="247"/>
      <c r="AC5611" s="247"/>
      <c r="AT5611" s="247"/>
    </row>
    <row r="5612">
      <c r="C5612" s="277"/>
      <c r="O5612" s="247"/>
      <c r="AC5612" s="247"/>
      <c r="AT5612" s="247"/>
    </row>
    <row r="5613">
      <c r="C5613" s="277"/>
      <c r="O5613" s="247"/>
      <c r="AC5613" s="247"/>
      <c r="AT5613" s="247"/>
    </row>
    <row r="5614">
      <c r="C5614" s="277"/>
      <c r="O5614" s="247"/>
      <c r="AC5614" s="247"/>
      <c r="AT5614" s="247"/>
    </row>
    <row r="5615">
      <c r="C5615" s="277"/>
      <c r="O5615" s="247"/>
      <c r="AC5615" s="247"/>
      <c r="AT5615" s="247"/>
    </row>
    <row r="5616">
      <c r="C5616" s="277"/>
      <c r="O5616" s="247"/>
      <c r="AC5616" s="247"/>
      <c r="AT5616" s="247"/>
    </row>
    <row r="5617">
      <c r="C5617" s="277"/>
      <c r="O5617" s="247"/>
      <c r="AC5617" s="247"/>
      <c r="AT5617" s="247"/>
    </row>
    <row r="5618">
      <c r="C5618" s="277"/>
      <c r="O5618" s="247"/>
      <c r="AC5618" s="247"/>
      <c r="AT5618" s="247"/>
    </row>
    <row r="5619">
      <c r="C5619" s="277"/>
      <c r="O5619" s="247"/>
      <c r="AC5619" s="247"/>
      <c r="AT5619" s="247"/>
    </row>
    <row r="5620">
      <c r="C5620" s="277"/>
      <c r="O5620" s="247"/>
      <c r="AC5620" s="247"/>
      <c r="AT5620" s="247"/>
    </row>
    <row r="5621">
      <c r="C5621" s="277"/>
      <c r="O5621" s="247"/>
      <c r="AC5621" s="247"/>
      <c r="AT5621" s="247"/>
    </row>
    <row r="5622">
      <c r="C5622" s="277"/>
      <c r="O5622" s="247"/>
      <c r="AC5622" s="247"/>
      <c r="AT5622" s="247"/>
    </row>
    <row r="5623">
      <c r="C5623" s="277"/>
      <c r="O5623" s="247"/>
      <c r="AC5623" s="247"/>
      <c r="AT5623" s="247"/>
    </row>
    <row r="5624">
      <c r="C5624" s="277"/>
      <c r="O5624" s="247"/>
      <c r="AC5624" s="247"/>
      <c r="AT5624" s="247"/>
    </row>
    <row r="5625">
      <c r="C5625" s="277"/>
      <c r="O5625" s="247"/>
      <c r="AC5625" s="247"/>
      <c r="AT5625" s="247"/>
    </row>
    <row r="5626">
      <c r="C5626" s="277"/>
      <c r="O5626" s="247"/>
      <c r="AC5626" s="247"/>
      <c r="AT5626" s="247"/>
    </row>
    <row r="5627">
      <c r="C5627" s="277"/>
      <c r="O5627" s="247"/>
      <c r="AC5627" s="247"/>
      <c r="AT5627" s="247"/>
    </row>
    <row r="5628">
      <c r="C5628" s="277"/>
      <c r="O5628" s="247"/>
      <c r="AC5628" s="247"/>
      <c r="AT5628" s="247"/>
    </row>
    <row r="5629">
      <c r="C5629" s="277"/>
      <c r="O5629" s="247"/>
      <c r="AC5629" s="247"/>
      <c r="AT5629" s="247"/>
    </row>
    <row r="5630">
      <c r="C5630" s="277"/>
      <c r="O5630" s="247"/>
      <c r="AC5630" s="247"/>
      <c r="AT5630" s="247"/>
    </row>
    <row r="5631">
      <c r="C5631" s="277"/>
      <c r="O5631" s="247"/>
      <c r="AC5631" s="247"/>
      <c r="AT5631" s="247"/>
    </row>
    <row r="5632">
      <c r="C5632" s="277"/>
      <c r="O5632" s="247"/>
      <c r="AC5632" s="247"/>
      <c r="AT5632" s="247"/>
    </row>
    <row r="5633">
      <c r="C5633" s="277"/>
      <c r="O5633" s="247"/>
      <c r="AC5633" s="247"/>
      <c r="AT5633" s="247"/>
    </row>
    <row r="5634">
      <c r="C5634" s="277"/>
      <c r="O5634" s="247"/>
      <c r="AC5634" s="247"/>
      <c r="AT5634" s="247"/>
    </row>
    <row r="5635">
      <c r="C5635" s="277"/>
      <c r="O5635" s="247"/>
      <c r="AC5635" s="247"/>
      <c r="AT5635" s="247"/>
    </row>
    <row r="5636">
      <c r="C5636" s="277"/>
      <c r="O5636" s="247"/>
      <c r="AC5636" s="247"/>
      <c r="AT5636" s="247"/>
    </row>
    <row r="5637">
      <c r="C5637" s="277"/>
      <c r="O5637" s="247"/>
      <c r="AC5637" s="247"/>
      <c r="AT5637" s="247"/>
    </row>
    <row r="5638">
      <c r="C5638" s="277"/>
      <c r="O5638" s="247"/>
      <c r="AC5638" s="247"/>
      <c r="AT5638" s="247"/>
    </row>
    <row r="5639">
      <c r="C5639" s="277"/>
      <c r="O5639" s="247"/>
      <c r="AC5639" s="247"/>
      <c r="AT5639" s="247"/>
    </row>
    <row r="5640">
      <c r="C5640" s="277"/>
      <c r="O5640" s="247"/>
      <c r="AC5640" s="247"/>
      <c r="AT5640" s="247"/>
    </row>
    <row r="5641">
      <c r="C5641" s="277"/>
      <c r="O5641" s="247"/>
      <c r="AC5641" s="247"/>
      <c r="AT5641" s="247"/>
    </row>
    <row r="5642">
      <c r="C5642" s="277"/>
      <c r="O5642" s="247"/>
      <c r="AC5642" s="247"/>
      <c r="AT5642" s="247"/>
    </row>
    <row r="5643">
      <c r="C5643" s="277"/>
      <c r="O5643" s="247"/>
      <c r="AC5643" s="247"/>
      <c r="AT5643" s="247"/>
    </row>
    <row r="5644">
      <c r="C5644" s="277"/>
      <c r="O5644" s="247"/>
      <c r="AC5644" s="247"/>
      <c r="AT5644" s="247"/>
    </row>
    <row r="5645">
      <c r="C5645" s="277"/>
      <c r="O5645" s="247"/>
      <c r="AC5645" s="247"/>
      <c r="AT5645" s="247"/>
    </row>
    <row r="5646">
      <c r="C5646" s="277"/>
      <c r="O5646" s="247"/>
      <c r="AC5646" s="247"/>
      <c r="AT5646" s="247"/>
    </row>
    <row r="5647">
      <c r="C5647" s="277"/>
      <c r="O5647" s="247"/>
      <c r="AC5647" s="247"/>
      <c r="AT5647" s="247"/>
    </row>
    <row r="5648">
      <c r="C5648" s="277"/>
      <c r="O5648" s="247"/>
      <c r="AC5648" s="247"/>
      <c r="AT5648" s="247"/>
    </row>
    <row r="5649">
      <c r="C5649" s="277"/>
      <c r="O5649" s="247"/>
      <c r="AC5649" s="247"/>
      <c r="AT5649" s="247"/>
    </row>
    <row r="5650">
      <c r="C5650" s="277"/>
      <c r="O5650" s="247"/>
      <c r="AC5650" s="247"/>
      <c r="AT5650" s="247"/>
    </row>
    <row r="5651">
      <c r="C5651" s="277"/>
      <c r="O5651" s="247"/>
      <c r="AC5651" s="247"/>
      <c r="AT5651" s="247"/>
    </row>
    <row r="5652">
      <c r="C5652" s="277"/>
      <c r="O5652" s="247"/>
      <c r="AC5652" s="247"/>
      <c r="AT5652" s="247"/>
    </row>
    <row r="5653">
      <c r="C5653" s="277"/>
      <c r="O5653" s="247"/>
      <c r="AC5653" s="247"/>
      <c r="AT5653" s="247"/>
    </row>
    <row r="5654">
      <c r="C5654" s="277"/>
      <c r="O5654" s="247"/>
      <c r="AC5654" s="247"/>
      <c r="AT5654" s="247"/>
    </row>
    <row r="5655">
      <c r="C5655" s="277"/>
      <c r="O5655" s="247"/>
      <c r="AC5655" s="247"/>
      <c r="AT5655" s="247"/>
    </row>
    <row r="5656">
      <c r="C5656" s="277"/>
      <c r="O5656" s="247"/>
      <c r="AC5656" s="247"/>
      <c r="AT5656" s="247"/>
    </row>
    <row r="5657">
      <c r="C5657" s="277"/>
      <c r="O5657" s="247"/>
      <c r="AC5657" s="247"/>
      <c r="AT5657" s="247"/>
    </row>
    <row r="5658">
      <c r="C5658" s="277"/>
      <c r="O5658" s="247"/>
      <c r="AC5658" s="247"/>
      <c r="AT5658" s="247"/>
    </row>
    <row r="5659">
      <c r="C5659" s="277"/>
      <c r="O5659" s="247"/>
      <c r="AC5659" s="247"/>
      <c r="AT5659" s="247"/>
    </row>
    <row r="5660">
      <c r="C5660" s="277"/>
      <c r="O5660" s="247"/>
      <c r="AC5660" s="247"/>
      <c r="AT5660" s="247"/>
    </row>
    <row r="5661">
      <c r="C5661" s="277"/>
      <c r="O5661" s="247"/>
      <c r="AC5661" s="247"/>
      <c r="AT5661" s="247"/>
    </row>
    <row r="5662">
      <c r="C5662" s="277"/>
      <c r="O5662" s="247"/>
      <c r="AC5662" s="247"/>
      <c r="AT5662" s="247"/>
    </row>
    <row r="5663">
      <c r="C5663" s="277"/>
      <c r="O5663" s="247"/>
      <c r="AC5663" s="247"/>
      <c r="AT5663" s="247"/>
    </row>
    <row r="5664">
      <c r="C5664" s="277"/>
      <c r="O5664" s="247"/>
      <c r="AC5664" s="247"/>
      <c r="AT5664" s="247"/>
    </row>
    <row r="5665">
      <c r="C5665" s="277"/>
      <c r="O5665" s="247"/>
      <c r="AC5665" s="247"/>
      <c r="AT5665" s="247"/>
    </row>
    <row r="5666">
      <c r="C5666" s="277"/>
      <c r="O5666" s="247"/>
      <c r="AC5666" s="247"/>
      <c r="AT5666" s="247"/>
    </row>
    <row r="5667">
      <c r="C5667" s="277"/>
      <c r="O5667" s="247"/>
      <c r="AC5667" s="247"/>
      <c r="AT5667" s="247"/>
    </row>
    <row r="5668">
      <c r="C5668" s="277"/>
      <c r="O5668" s="247"/>
      <c r="AC5668" s="247"/>
      <c r="AT5668" s="247"/>
    </row>
    <row r="5669">
      <c r="C5669" s="277"/>
      <c r="O5669" s="247"/>
      <c r="AC5669" s="247"/>
      <c r="AT5669" s="247"/>
    </row>
    <row r="5670">
      <c r="C5670" s="277"/>
      <c r="O5670" s="247"/>
      <c r="AC5670" s="247"/>
      <c r="AT5670" s="247"/>
    </row>
    <row r="5671">
      <c r="C5671" s="277"/>
      <c r="O5671" s="247"/>
      <c r="AC5671" s="247"/>
      <c r="AT5671" s="247"/>
    </row>
    <row r="5672">
      <c r="C5672" s="277"/>
      <c r="O5672" s="247"/>
      <c r="AC5672" s="247"/>
      <c r="AT5672" s="247"/>
    </row>
    <row r="5673">
      <c r="C5673" s="277"/>
      <c r="O5673" s="247"/>
      <c r="AC5673" s="247"/>
      <c r="AT5673" s="247"/>
    </row>
    <row r="5674">
      <c r="C5674" s="277"/>
      <c r="O5674" s="247"/>
      <c r="AC5674" s="247"/>
      <c r="AT5674" s="247"/>
    </row>
    <row r="5675">
      <c r="C5675" s="277"/>
      <c r="O5675" s="247"/>
      <c r="AC5675" s="247"/>
      <c r="AT5675" s="247"/>
    </row>
    <row r="5676">
      <c r="C5676" s="277"/>
      <c r="O5676" s="247"/>
      <c r="AC5676" s="247"/>
      <c r="AT5676" s="247"/>
    </row>
    <row r="5677">
      <c r="C5677" s="277"/>
      <c r="O5677" s="247"/>
      <c r="AC5677" s="247"/>
      <c r="AT5677" s="247"/>
    </row>
    <row r="5678">
      <c r="C5678" s="277"/>
      <c r="O5678" s="247"/>
      <c r="AC5678" s="247"/>
      <c r="AT5678" s="247"/>
    </row>
    <row r="5679">
      <c r="C5679" s="277"/>
      <c r="O5679" s="247"/>
      <c r="AC5679" s="247"/>
      <c r="AT5679" s="247"/>
    </row>
    <row r="5680">
      <c r="C5680" s="277"/>
      <c r="O5680" s="247"/>
      <c r="AC5680" s="247"/>
      <c r="AT5680" s="247"/>
    </row>
    <row r="5681">
      <c r="C5681" s="277"/>
      <c r="O5681" s="247"/>
      <c r="AC5681" s="247"/>
      <c r="AT5681" s="247"/>
    </row>
    <row r="5682">
      <c r="C5682" s="277"/>
      <c r="O5682" s="247"/>
      <c r="AC5682" s="247"/>
      <c r="AT5682" s="247"/>
    </row>
    <row r="5683">
      <c r="C5683" s="277"/>
      <c r="O5683" s="247"/>
      <c r="AC5683" s="247"/>
      <c r="AT5683" s="247"/>
    </row>
    <row r="5684">
      <c r="C5684" s="277"/>
      <c r="O5684" s="247"/>
      <c r="AC5684" s="247"/>
      <c r="AT5684" s="247"/>
    </row>
    <row r="5685">
      <c r="C5685" s="277"/>
      <c r="O5685" s="247"/>
      <c r="AC5685" s="247"/>
      <c r="AT5685" s="247"/>
    </row>
    <row r="5686">
      <c r="C5686" s="277"/>
      <c r="O5686" s="247"/>
      <c r="AC5686" s="247"/>
      <c r="AT5686" s="247"/>
    </row>
    <row r="5687">
      <c r="C5687" s="277"/>
      <c r="O5687" s="247"/>
      <c r="AC5687" s="247"/>
      <c r="AT5687" s="247"/>
    </row>
    <row r="5688">
      <c r="C5688" s="277"/>
      <c r="O5688" s="247"/>
      <c r="AC5688" s="247"/>
      <c r="AT5688" s="247"/>
    </row>
    <row r="5689">
      <c r="C5689" s="277"/>
      <c r="O5689" s="247"/>
      <c r="AC5689" s="247"/>
      <c r="AT5689" s="247"/>
    </row>
    <row r="5690">
      <c r="C5690" s="277"/>
      <c r="O5690" s="247"/>
      <c r="AC5690" s="247"/>
      <c r="AT5690" s="247"/>
    </row>
    <row r="5691">
      <c r="C5691" s="277"/>
      <c r="O5691" s="247"/>
      <c r="AC5691" s="247"/>
      <c r="AT5691" s="247"/>
    </row>
    <row r="5692">
      <c r="C5692" s="277"/>
      <c r="O5692" s="247"/>
      <c r="AC5692" s="247"/>
      <c r="AT5692" s="247"/>
    </row>
    <row r="5693">
      <c r="C5693" s="277"/>
      <c r="O5693" s="247"/>
      <c r="AC5693" s="247"/>
      <c r="AT5693" s="247"/>
    </row>
    <row r="5694">
      <c r="C5694" s="277"/>
      <c r="O5694" s="247"/>
      <c r="AC5694" s="247"/>
      <c r="AT5694" s="247"/>
    </row>
    <row r="5695">
      <c r="C5695" s="277"/>
      <c r="O5695" s="247"/>
      <c r="AC5695" s="247"/>
      <c r="AT5695" s="247"/>
    </row>
    <row r="5696">
      <c r="C5696" s="277"/>
      <c r="O5696" s="247"/>
      <c r="AC5696" s="247"/>
      <c r="AT5696" s="247"/>
    </row>
    <row r="5697">
      <c r="C5697" s="277"/>
      <c r="O5697" s="247"/>
      <c r="AC5697" s="247"/>
      <c r="AT5697" s="247"/>
    </row>
    <row r="5698">
      <c r="C5698" s="277"/>
      <c r="O5698" s="247"/>
      <c r="AC5698" s="247"/>
      <c r="AT5698" s="247"/>
    </row>
    <row r="5699">
      <c r="C5699" s="277"/>
      <c r="O5699" s="247"/>
      <c r="AC5699" s="247"/>
      <c r="AT5699" s="247"/>
    </row>
    <row r="5700">
      <c r="C5700" s="277"/>
      <c r="O5700" s="247"/>
      <c r="AC5700" s="247"/>
      <c r="AT5700" s="247"/>
    </row>
    <row r="5701">
      <c r="C5701" s="277"/>
      <c r="O5701" s="247"/>
      <c r="AC5701" s="247"/>
      <c r="AT5701" s="247"/>
    </row>
    <row r="5702">
      <c r="C5702" s="277"/>
      <c r="O5702" s="247"/>
      <c r="AC5702" s="247"/>
      <c r="AT5702" s="247"/>
    </row>
    <row r="5703">
      <c r="C5703" s="277"/>
      <c r="O5703" s="247"/>
      <c r="AC5703" s="247"/>
      <c r="AT5703" s="247"/>
    </row>
    <row r="5704">
      <c r="C5704" s="277"/>
      <c r="O5704" s="247"/>
      <c r="AC5704" s="247"/>
      <c r="AT5704" s="247"/>
    </row>
    <row r="5705">
      <c r="C5705" s="277"/>
      <c r="O5705" s="247"/>
      <c r="AC5705" s="247"/>
      <c r="AT5705" s="247"/>
    </row>
    <row r="5706">
      <c r="C5706" s="277"/>
      <c r="O5706" s="247"/>
      <c r="AC5706" s="247"/>
      <c r="AT5706" s="247"/>
    </row>
    <row r="5707">
      <c r="C5707" s="277"/>
      <c r="O5707" s="247"/>
      <c r="AC5707" s="247"/>
      <c r="AT5707" s="247"/>
    </row>
    <row r="5708">
      <c r="C5708" s="277"/>
      <c r="O5708" s="247"/>
      <c r="AC5708" s="247"/>
      <c r="AT5708" s="247"/>
    </row>
    <row r="5709">
      <c r="C5709" s="277"/>
      <c r="O5709" s="247"/>
      <c r="AC5709" s="247"/>
      <c r="AT5709" s="247"/>
    </row>
    <row r="5710">
      <c r="C5710" s="277"/>
      <c r="O5710" s="247"/>
      <c r="AC5710" s="247"/>
      <c r="AT5710" s="247"/>
    </row>
    <row r="5711">
      <c r="C5711" s="277"/>
      <c r="O5711" s="247"/>
      <c r="AC5711" s="247"/>
      <c r="AT5711" s="247"/>
    </row>
    <row r="5712">
      <c r="C5712" s="277"/>
      <c r="O5712" s="247"/>
      <c r="AC5712" s="247"/>
      <c r="AT5712" s="247"/>
    </row>
    <row r="5713">
      <c r="C5713" s="277"/>
      <c r="O5713" s="247"/>
      <c r="AC5713" s="247"/>
      <c r="AT5713" s="247"/>
    </row>
    <row r="5714">
      <c r="C5714" s="277"/>
      <c r="O5714" s="247"/>
      <c r="AC5714" s="247"/>
      <c r="AT5714" s="247"/>
    </row>
    <row r="5715">
      <c r="C5715" s="277"/>
      <c r="O5715" s="247"/>
      <c r="AC5715" s="247"/>
      <c r="AT5715" s="247"/>
    </row>
    <row r="5716">
      <c r="C5716" s="277"/>
      <c r="O5716" s="247"/>
      <c r="AC5716" s="247"/>
      <c r="AT5716" s="247"/>
    </row>
    <row r="5717">
      <c r="C5717" s="277"/>
      <c r="O5717" s="247"/>
      <c r="AC5717" s="247"/>
      <c r="AT5717" s="247"/>
    </row>
    <row r="5718">
      <c r="C5718" s="277"/>
      <c r="O5718" s="247"/>
      <c r="AC5718" s="247"/>
      <c r="AT5718" s="247"/>
    </row>
    <row r="5719">
      <c r="C5719" s="277"/>
      <c r="O5719" s="247"/>
      <c r="AC5719" s="247"/>
      <c r="AT5719" s="247"/>
    </row>
    <row r="5720">
      <c r="C5720" s="277"/>
      <c r="O5720" s="247"/>
      <c r="AC5720" s="247"/>
      <c r="AT5720" s="247"/>
    </row>
    <row r="5721">
      <c r="C5721" s="277"/>
      <c r="O5721" s="247"/>
      <c r="AC5721" s="247"/>
      <c r="AT5721" s="247"/>
    </row>
    <row r="5722">
      <c r="C5722" s="277"/>
      <c r="O5722" s="247"/>
      <c r="AC5722" s="247"/>
      <c r="AT5722" s="247"/>
    </row>
    <row r="5723">
      <c r="C5723" s="277"/>
      <c r="O5723" s="247"/>
      <c r="AC5723" s="247"/>
      <c r="AT5723" s="247"/>
    </row>
    <row r="5724">
      <c r="C5724" s="277"/>
      <c r="O5724" s="247"/>
      <c r="AC5724" s="247"/>
      <c r="AT5724" s="247"/>
    </row>
    <row r="5725">
      <c r="C5725" s="277"/>
      <c r="O5725" s="247"/>
      <c r="AC5725" s="247"/>
      <c r="AT5725" s="247"/>
    </row>
    <row r="5726">
      <c r="C5726" s="277"/>
      <c r="O5726" s="247"/>
      <c r="AC5726" s="247"/>
      <c r="AT5726" s="247"/>
    </row>
    <row r="5727">
      <c r="C5727" s="277"/>
      <c r="O5727" s="247"/>
      <c r="AC5727" s="247"/>
      <c r="AT5727" s="247"/>
    </row>
    <row r="5728">
      <c r="C5728" s="277"/>
      <c r="O5728" s="247"/>
      <c r="AC5728" s="247"/>
      <c r="AT5728" s="247"/>
    </row>
    <row r="5729">
      <c r="C5729" s="277"/>
      <c r="O5729" s="247"/>
      <c r="AC5729" s="247"/>
      <c r="AT5729" s="247"/>
    </row>
    <row r="5730">
      <c r="C5730" s="277"/>
      <c r="O5730" s="247"/>
      <c r="AC5730" s="247"/>
      <c r="AT5730" s="247"/>
    </row>
    <row r="5731">
      <c r="C5731" s="277"/>
      <c r="O5731" s="247"/>
      <c r="AC5731" s="247"/>
      <c r="AT5731" s="247"/>
    </row>
    <row r="5732">
      <c r="C5732" s="277"/>
      <c r="O5732" s="247"/>
      <c r="AC5732" s="247"/>
      <c r="AT5732" s="247"/>
    </row>
    <row r="5733">
      <c r="C5733" s="277"/>
      <c r="O5733" s="247"/>
      <c r="AC5733" s="247"/>
      <c r="AT5733" s="247"/>
    </row>
    <row r="5734">
      <c r="C5734" s="277"/>
      <c r="O5734" s="247"/>
      <c r="AC5734" s="247"/>
      <c r="AT5734" s="247"/>
    </row>
    <row r="5735">
      <c r="C5735" s="277"/>
      <c r="O5735" s="247"/>
      <c r="AC5735" s="247"/>
      <c r="AT5735" s="247"/>
    </row>
    <row r="5736">
      <c r="C5736" s="277"/>
      <c r="O5736" s="247"/>
      <c r="AC5736" s="247"/>
      <c r="AT5736" s="247"/>
    </row>
    <row r="5737">
      <c r="C5737" s="277"/>
      <c r="O5737" s="247"/>
      <c r="AC5737" s="247"/>
      <c r="AT5737" s="247"/>
    </row>
    <row r="5738">
      <c r="C5738" s="277"/>
      <c r="O5738" s="247"/>
      <c r="AC5738" s="247"/>
      <c r="AT5738" s="247"/>
    </row>
    <row r="5739">
      <c r="C5739" s="277"/>
      <c r="O5739" s="247"/>
      <c r="AC5739" s="247"/>
      <c r="AT5739" s="247"/>
    </row>
    <row r="5740">
      <c r="C5740" s="277"/>
      <c r="O5740" s="247"/>
      <c r="AC5740" s="247"/>
      <c r="AT5740" s="247"/>
    </row>
    <row r="5741">
      <c r="C5741" s="277"/>
      <c r="O5741" s="247"/>
      <c r="AC5741" s="247"/>
      <c r="AT5741" s="247"/>
    </row>
    <row r="5742">
      <c r="C5742" s="277"/>
      <c r="O5742" s="247"/>
      <c r="AC5742" s="247"/>
      <c r="AT5742" s="247"/>
    </row>
    <row r="5743">
      <c r="C5743" s="277"/>
      <c r="O5743" s="247"/>
      <c r="AC5743" s="247"/>
      <c r="AT5743" s="247"/>
    </row>
    <row r="5744">
      <c r="C5744" s="277"/>
      <c r="O5744" s="247"/>
      <c r="AC5744" s="247"/>
      <c r="AT5744" s="247"/>
    </row>
    <row r="5745">
      <c r="C5745" s="277"/>
      <c r="O5745" s="247"/>
      <c r="AC5745" s="247"/>
      <c r="AT5745" s="247"/>
    </row>
    <row r="5746">
      <c r="C5746" s="277"/>
      <c r="O5746" s="247"/>
      <c r="AC5746" s="247"/>
      <c r="AT5746" s="247"/>
    </row>
    <row r="5747">
      <c r="C5747" s="277"/>
      <c r="O5747" s="247"/>
      <c r="AC5747" s="247"/>
      <c r="AT5747" s="247"/>
    </row>
    <row r="5748">
      <c r="C5748" s="277"/>
      <c r="O5748" s="247"/>
      <c r="AC5748" s="247"/>
      <c r="AT5748" s="247"/>
    </row>
    <row r="5749">
      <c r="C5749" s="277"/>
      <c r="O5749" s="247"/>
      <c r="AC5749" s="247"/>
      <c r="AT5749" s="247"/>
    </row>
    <row r="5750">
      <c r="C5750" s="277"/>
      <c r="O5750" s="247"/>
      <c r="AC5750" s="247"/>
      <c r="AT5750" s="247"/>
    </row>
    <row r="5751">
      <c r="C5751" s="277"/>
      <c r="O5751" s="247"/>
      <c r="AC5751" s="247"/>
      <c r="AT5751" s="247"/>
    </row>
    <row r="5752">
      <c r="C5752" s="277"/>
      <c r="O5752" s="247"/>
      <c r="AC5752" s="247"/>
      <c r="AT5752" s="247"/>
    </row>
    <row r="5753">
      <c r="C5753" s="277"/>
      <c r="O5753" s="247"/>
      <c r="AC5753" s="247"/>
      <c r="AT5753" s="247"/>
    </row>
    <row r="5754">
      <c r="C5754" s="277"/>
      <c r="O5754" s="247"/>
      <c r="AC5754" s="247"/>
      <c r="AT5754" s="247"/>
    </row>
    <row r="5755">
      <c r="C5755" s="277"/>
      <c r="O5755" s="247"/>
      <c r="AC5755" s="247"/>
      <c r="AT5755" s="247"/>
    </row>
    <row r="5756">
      <c r="C5756" s="277"/>
      <c r="O5756" s="247"/>
      <c r="AC5756" s="247"/>
      <c r="AT5756" s="247"/>
    </row>
    <row r="5757">
      <c r="C5757" s="277"/>
      <c r="O5757" s="247"/>
      <c r="AC5757" s="247"/>
      <c r="AT5757" s="247"/>
    </row>
    <row r="5758">
      <c r="C5758" s="277"/>
      <c r="O5758" s="247"/>
      <c r="AC5758" s="247"/>
      <c r="AT5758" s="247"/>
    </row>
    <row r="5759">
      <c r="C5759" s="277"/>
      <c r="O5759" s="247"/>
      <c r="AC5759" s="247"/>
      <c r="AT5759" s="247"/>
    </row>
    <row r="5760">
      <c r="C5760" s="277"/>
      <c r="O5760" s="247"/>
      <c r="AC5760" s="247"/>
      <c r="AT5760" s="247"/>
    </row>
    <row r="5761">
      <c r="C5761" s="277"/>
      <c r="O5761" s="247"/>
      <c r="AC5761" s="247"/>
      <c r="AT5761" s="247"/>
    </row>
    <row r="5762">
      <c r="C5762" s="277"/>
      <c r="O5762" s="247"/>
      <c r="AC5762" s="247"/>
      <c r="AT5762" s="247"/>
    </row>
    <row r="5763">
      <c r="C5763" s="277"/>
      <c r="O5763" s="247"/>
      <c r="AC5763" s="247"/>
      <c r="AT5763" s="247"/>
    </row>
    <row r="5764">
      <c r="C5764" s="277"/>
      <c r="O5764" s="247"/>
      <c r="AC5764" s="247"/>
      <c r="AT5764" s="247"/>
    </row>
    <row r="5765">
      <c r="C5765" s="277"/>
      <c r="O5765" s="247"/>
      <c r="AC5765" s="247"/>
      <c r="AT5765" s="247"/>
    </row>
    <row r="5766">
      <c r="C5766" s="277"/>
      <c r="O5766" s="247"/>
      <c r="AC5766" s="247"/>
      <c r="AT5766" s="247"/>
    </row>
    <row r="5767">
      <c r="C5767" s="277"/>
      <c r="O5767" s="247"/>
      <c r="AC5767" s="247"/>
      <c r="AT5767" s="247"/>
    </row>
    <row r="5768">
      <c r="C5768" s="277"/>
      <c r="O5768" s="247"/>
      <c r="AC5768" s="247"/>
      <c r="AT5768" s="247"/>
    </row>
    <row r="5769">
      <c r="C5769" s="277"/>
      <c r="O5769" s="247"/>
      <c r="AC5769" s="247"/>
      <c r="AT5769" s="247"/>
    </row>
    <row r="5770">
      <c r="C5770" s="277"/>
      <c r="O5770" s="247"/>
      <c r="AC5770" s="247"/>
      <c r="AT5770" s="247"/>
    </row>
    <row r="5771">
      <c r="C5771" s="277"/>
      <c r="O5771" s="247"/>
      <c r="AC5771" s="247"/>
      <c r="AT5771" s="247"/>
    </row>
    <row r="5772">
      <c r="C5772" s="277"/>
      <c r="O5772" s="247"/>
      <c r="AC5772" s="247"/>
      <c r="AT5772" s="247"/>
    </row>
    <row r="5773">
      <c r="C5773" s="277"/>
      <c r="O5773" s="247"/>
      <c r="AC5773" s="247"/>
      <c r="AT5773" s="247"/>
    </row>
    <row r="5774">
      <c r="C5774" s="277"/>
      <c r="O5774" s="247"/>
      <c r="AC5774" s="247"/>
      <c r="AT5774" s="247"/>
    </row>
    <row r="5775">
      <c r="C5775" s="277"/>
      <c r="O5775" s="247"/>
      <c r="AC5775" s="247"/>
      <c r="AT5775" s="247"/>
    </row>
    <row r="5776">
      <c r="C5776" s="277"/>
      <c r="O5776" s="247"/>
      <c r="AC5776" s="247"/>
      <c r="AT5776" s="247"/>
    </row>
    <row r="5777">
      <c r="C5777" s="277"/>
      <c r="O5777" s="247"/>
      <c r="AC5777" s="247"/>
      <c r="AT5777" s="247"/>
    </row>
    <row r="5778">
      <c r="C5778" s="277"/>
      <c r="O5778" s="247"/>
      <c r="AC5778" s="247"/>
      <c r="AT5778" s="247"/>
    </row>
    <row r="5779">
      <c r="C5779" s="277"/>
      <c r="O5779" s="247"/>
      <c r="AC5779" s="247"/>
      <c r="AT5779" s="247"/>
    </row>
    <row r="5780">
      <c r="C5780" s="277"/>
      <c r="O5780" s="247"/>
      <c r="AC5780" s="247"/>
      <c r="AT5780" s="247"/>
    </row>
    <row r="5781">
      <c r="C5781" s="277"/>
      <c r="O5781" s="247"/>
      <c r="AC5781" s="247"/>
      <c r="AT5781" s="247"/>
    </row>
    <row r="5782">
      <c r="C5782" s="277"/>
      <c r="O5782" s="247"/>
      <c r="AC5782" s="247"/>
      <c r="AT5782" s="247"/>
    </row>
    <row r="5783">
      <c r="C5783" s="277"/>
      <c r="O5783" s="247"/>
      <c r="AC5783" s="247"/>
      <c r="AT5783" s="247"/>
    </row>
    <row r="5784">
      <c r="C5784" s="277"/>
      <c r="O5784" s="247"/>
      <c r="AC5784" s="247"/>
      <c r="AT5784" s="247"/>
    </row>
    <row r="5785">
      <c r="C5785" s="277"/>
      <c r="O5785" s="247"/>
      <c r="AC5785" s="247"/>
      <c r="AT5785" s="247"/>
    </row>
    <row r="5786">
      <c r="C5786" s="277"/>
      <c r="O5786" s="247"/>
      <c r="AC5786" s="247"/>
      <c r="AT5786" s="247"/>
    </row>
    <row r="5787">
      <c r="C5787" s="277"/>
      <c r="O5787" s="247"/>
      <c r="AC5787" s="247"/>
      <c r="AT5787" s="247"/>
    </row>
    <row r="5788">
      <c r="C5788" s="277"/>
      <c r="O5788" s="247"/>
      <c r="AC5788" s="247"/>
      <c r="AT5788" s="247"/>
    </row>
    <row r="5789">
      <c r="C5789" s="277"/>
      <c r="O5789" s="247"/>
      <c r="AC5789" s="247"/>
      <c r="AT5789" s="247"/>
    </row>
    <row r="5790">
      <c r="C5790" s="277"/>
      <c r="O5790" s="247"/>
      <c r="AC5790" s="247"/>
      <c r="AT5790" s="247"/>
    </row>
    <row r="5791">
      <c r="C5791" s="277"/>
      <c r="O5791" s="247"/>
      <c r="AC5791" s="247"/>
      <c r="AT5791" s="247"/>
    </row>
    <row r="5792">
      <c r="C5792" s="277"/>
      <c r="O5792" s="247"/>
      <c r="AC5792" s="247"/>
      <c r="AT5792" s="247"/>
    </row>
    <row r="5793">
      <c r="C5793" s="277"/>
      <c r="O5793" s="247"/>
      <c r="AC5793" s="247"/>
      <c r="AT5793" s="247"/>
    </row>
    <row r="5794">
      <c r="C5794" s="277"/>
      <c r="O5794" s="247"/>
      <c r="AC5794" s="247"/>
      <c r="AT5794" s="247"/>
    </row>
    <row r="5795">
      <c r="C5795" s="277"/>
      <c r="O5795" s="247"/>
      <c r="AC5795" s="247"/>
      <c r="AT5795" s="247"/>
    </row>
    <row r="5796">
      <c r="C5796" s="277"/>
      <c r="O5796" s="247"/>
      <c r="AC5796" s="247"/>
      <c r="AT5796" s="247"/>
    </row>
    <row r="5797">
      <c r="C5797" s="277"/>
      <c r="O5797" s="247"/>
      <c r="AC5797" s="247"/>
      <c r="AT5797" s="247"/>
    </row>
    <row r="5798">
      <c r="C5798" s="277"/>
      <c r="O5798" s="247"/>
      <c r="AC5798" s="247"/>
      <c r="AT5798" s="247"/>
    </row>
    <row r="5799">
      <c r="C5799" s="277"/>
      <c r="O5799" s="247"/>
      <c r="AC5799" s="247"/>
      <c r="AT5799" s="247"/>
    </row>
    <row r="5800">
      <c r="C5800" s="277"/>
      <c r="O5800" s="247"/>
      <c r="AC5800" s="247"/>
      <c r="AT5800" s="247"/>
    </row>
    <row r="5801">
      <c r="C5801" s="277"/>
      <c r="O5801" s="247"/>
      <c r="AC5801" s="247"/>
      <c r="AT5801" s="247"/>
    </row>
    <row r="5802">
      <c r="C5802" s="277"/>
      <c r="O5802" s="247"/>
      <c r="AC5802" s="247"/>
      <c r="AT5802" s="247"/>
    </row>
    <row r="5803">
      <c r="C5803" s="277"/>
      <c r="O5803" s="247"/>
      <c r="AC5803" s="247"/>
      <c r="AT5803" s="247"/>
    </row>
    <row r="5804">
      <c r="C5804" s="277"/>
      <c r="O5804" s="247"/>
      <c r="AC5804" s="247"/>
      <c r="AT5804" s="247"/>
    </row>
    <row r="5805">
      <c r="C5805" s="277"/>
      <c r="O5805" s="247"/>
      <c r="AC5805" s="247"/>
      <c r="AT5805" s="247"/>
    </row>
    <row r="5806">
      <c r="C5806" s="277"/>
      <c r="O5806" s="247"/>
      <c r="AC5806" s="247"/>
      <c r="AT5806" s="247"/>
    </row>
    <row r="5807">
      <c r="C5807" s="277"/>
      <c r="O5807" s="247"/>
      <c r="AC5807" s="247"/>
      <c r="AT5807" s="247"/>
    </row>
    <row r="5808">
      <c r="C5808" s="277"/>
      <c r="O5808" s="247"/>
      <c r="AC5808" s="247"/>
      <c r="AT5808" s="247"/>
    </row>
    <row r="5809">
      <c r="C5809" s="277"/>
      <c r="O5809" s="247"/>
      <c r="AC5809" s="247"/>
      <c r="AT5809" s="247"/>
    </row>
    <row r="5810">
      <c r="C5810" s="277"/>
      <c r="O5810" s="247"/>
      <c r="AC5810" s="247"/>
      <c r="AT5810" s="247"/>
    </row>
    <row r="5811">
      <c r="C5811" s="277"/>
      <c r="O5811" s="247"/>
      <c r="AC5811" s="247"/>
      <c r="AT5811" s="247"/>
    </row>
    <row r="5812">
      <c r="C5812" s="277"/>
      <c r="O5812" s="247"/>
      <c r="AC5812" s="247"/>
      <c r="AT5812" s="247"/>
    </row>
    <row r="5813">
      <c r="C5813" s="277"/>
      <c r="O5813" s="247"/>
      <c r="AC5813" s="247"/>
      <c r="AT5813" s="247"/>
    </row>
    <row r="5814">
      <c r="C5814" s="277"/>
      <c r="O5814" s="247"/>
      <c r="AC5814" s="247"/>
      <c r="AT5814" s="247"/>
    </row>
    <row r="5815">
      <c r="C5815" s="277"/>
      <c r="O5815" s="247"/>
      <c r="AC5815" s="247"/>
      <c r="AT5815" s="247"/>
    </row>
    <row r="5816">
      <c r="C5816" s="277"/>
      <c r="O5816" s="247"/>
      <c r="AC5816" s="247"/>
      <c r="AT5816" s="247"/>
    </row>
    <row r="5817">
      <c r="C5817" s="277"/>
      <c r="O5817" s="247"/>
      <c r="AC5817" s="247"/>
      <c r="AT5817" s="247"/>
    </row>
    <row r="5818">
      <c r="C5818" s="277"/>
      <c r="O5818" s="247"/>
      <c r="AC5818" s="247"/>
      <c r="AT5818" s="247"/>
    </row>
    <row r="5819">
      <c r="C5819" s="277"/>
      <c r="O5819" s="247"/>
      <c r="AC5819" s="247"/>
      <c r="AT5819" s="247"/>
    </row>
    <row r="5820">
      <c r="C5820" s="277"/>
      <c r="O5820" s="247"/>
      <c r="AC5820" s="247"/>
      <c r="AT5820" s="247"/>
    </row>
    <row r="5821">
      <c r="C5821" s="277"/>
      <c r="O5821" s="247"/>
      <c r="AC5821" s="247"/>
      <c r="AT5821" s="247"/>
    </row>
    <row r="5822">
      <c r="C5822" s="277"/>
      <c r="O5822" s="247"/>
      <c r="AC5822" s="247"/>
      <c r="AT5822" s="247"/>
    </row>
    <row r="5823">
      <c r="C5823" s="277"/>
      <c r="O5823" s="247"/>
      <c r="AC5823" s="247"/>
      <c r="AT5823" s="247"/>
    </row>
    <row r="5824">
      <c r="C5824" s="277"/>
      <c r="O5824" s="247"/>
      <c r="AC5824" s="247"/>
      <c r="AT5824" s="247"/>
    </row>
    <row r="5825">
      <c r="C5825" s="277"/>
      <c r="O5825" s="247"/>
      <c r="AC5825" s="247"/>
      <c r="AT5825" s="247"/>
    </row>
    <row r="5826">
      <c r="C5826" s="277"/>
      <c r="O5826" s="247"/>
      <c r="AC5826" s="247"/>
      <c r="AT5826" s="247"/>
    </row>
    <row r="5827">
      <c r="C5827" s="277"/>
      <c r="O5827" s="247"/>
      <c r="AC5827" s="247"/>
      <c r="AT5827" s="247"/>
    </row>
    <row r="5828">
      <c r="C5828" s="277"/>
      <c r="O5828" s="247"/>
      <c r="AC5828" s="247"/>
      <c r="AT5828" s="247"/>
    </row>
    <row r="5829">
      <c r="C5829" s="277"/>
      <c r="O5829" s="247"/>
      <c r="AC5829" s="247"/>
      <c r="AT5829" s="247"/>
    </row>
    <row r="5830">
      <c r="C5830" s="277"/>
      <c r="O5830" s="247"/>
      <c r="AC5830" s="247"/>
      <c r="AT5830" s="247"/>
    </row>
    <row r="5831">
      <c r="C5831" s="277"/>
      <c r="O5831" s="247"/>
      <c r="AC5831" s="247"/>
      <c r="AT5831" s="247"/>
    </row>
    <row r="5832">
      <c r="C5832" s="277"/>
      <c r="O5832" s="247"/>
      <c r="AC5832" s="247"/>
      <c r="AT5832" s="247"/>
    </row>
    <row r="5833">
      <c r="C5833" s="277"/>
      <c r="O5833" s="247"/>
      <c r="AC5833" s="247"/>
      <c r="AT5833" s="247"/>
    </row>
    <row r="5834">
      <c r="C5834" s="277"/>
      <c r="O5834" s="247"/>
      <c r="AC5834" s="247"/>
      <c r="AT5834" s="247"/>
    </row>
    <row r="5835">
      <c r="C5835" s="277"/>
      <c r="O5835" s="247"/>
      <c r="AC5835" s="247"/>
      <c r="AT5835" s="247"/>
    </row>
    <row r="5836">
      <c r="C5836" s="277"/>
      <c r="O5836" s="247"/>
      <c r="AC5836" s="247"/>
      <c r="AT5836" s="247"/>
    </row>
    <row r="5837">
      <c r="C5837" s="277"/>
      <c r="O5837" s="247"/>
      <c r="AC5837" s="247"/>
      <c r="AT5837" s="247"/>
    </row>
    <row r="5838">
      <c r="C5838" s="277"/>
      <c r="O5838" s="247"/>
      <c r="AC5838" s="247"/>
      <c r="AT5838" s="247"/>
    </row>
    <row r="5839">
      <c r="C5839" s="277"/>
      <c r="O5839" s="247"/>
      <c r="AC5839" s="247"/>
      <c r="AT5839" s="247"/>
    </row>
    <row r="5840">
      <c r="C5840" s="277"/>
      <c r="O5840" s="247"/>
      <c r="AC5840" s="247"/>
      <c r="AT5840" s="247"/>
    </row>
    <row r="5841">
      <c r="C5841" s="277"/>
      <c r="O5841" s="247"/>
      <c r="AC5841" s="247"/>
      <c r="AT5841" s="247"/>
    </row>
    <row r="5842">
      <c r="C5842" s="277"/>
      <c r="O5842" s="247"/>
      <c r="AC5842" s="247"/>
      <c r="AT5842" s="247"/>
    </row>
    <row r="5843">
      <c r="C5843" s="277"/>
      <c r="O5843" s="247"/>
      <c r="AC5843" s="247"/>
      <c r="AT5843" s="247"/>
    </row>
    <row r="5844">
      <c r="C5844" s="277"/>
      <c r="O5844" s="247"/>
      <c r="AC5844" s="247"/>
      <c r="AT5844" s="247"/>
    </row>
    <row r="5845">
      <c r="C5845" s="277"/>
      <c r="O5845" s="247"/>
      <c r="AC5845" s="247"/>
      <c r="AT5845" s="247"/>
    </row>
    <row r="5846">
      <c r="C5846" s="277"/>
      <c r="O5846" s="247"/>
      <c r="AC5846" s="247"/>
      <c r="AT5846" s="247"/>
    </row>
    <row r="5847">
      <c r="C5847" s="277"/>
      <c r="O5847" s="247"/>
      <c r="AC5847" s="247"/>
      <c r="AT5847" s="247"/>
    </row>
    <row r="5848">
      <c r="C5848" s="277"/>
      <c r="O5848" s="247"/>
      <c r="AC5848" s="247"/>
      <c r="AT5848" s="247"/>
    </row>
    <row r="5849">
      <c r="C5849" s="277"/>
      <c r="O5849" s="247"/>
      <c r="AC5849" s="247"/>
      <c r="AT5849" s="247"/>
    </row>
    <row r="5850">
      <c r="C5850" s="277"/>
      <c r="O5850" s="247"/>
      <c r="AC5850" s="247"/>
      <c r="AT5850" s="247"/>
    </row>
    <row r="5851">
      <c r="C5851" s="277"/>
      <c r="O5851" s="247"/>
      <c r="AC5851" s="247"/>
      <c r="AT5851" s="247"/>
    </row>
    <row r="5852">
      <c r="C5852" s="277"/>
      <c r="O5852" s="247"/>
      <c r="AC5852" s="247"/>
      <c r="AT5852" s="247"/>
    </row>
    <row r="5853">
      <c r="C5853" s="277"/>
      <c r="O5853" s="247"/>
      <c r="AC5853" s="247"/>
      <c r="AT5853" s="247"/>
    </row>
    <row r="5854">
      <c r="C5854" s="277"/>
      <c r="O5854" s="247"/>
      <c r="AC5854" s="247"/>
      <c r="AT5854" s="247"/>
    </row>
    <row r="5855">
      <c r="C5855" s="277"/>
      <c r="O5855" s="247"/>
      <c r="AC5855" s="247"/>
      <c r="AT5855" s="247"/>
    </row>
    <row r="5856">
      <c r="C5856" s="277"/>
      <c r="O5856" s="247"/>
      <c r="AC5856" s="247"/>
      <c r="AT5856" s="247"/>
    </row>
    <row r="5857">
      <c r="C5857" s="277"/>
      <c r="O5857" s="247"/>
      <c r="AC5857" s="247"/>
      <c r="AT5857" s="247"/>
    </row>
    <row r="5858">
      <c r="C5858" s="277"/>
      <c r="O5858" s="247"/>
      <c r="AC5858" s="247"/>
      <c r="AT5858" s="247"/>
    </row>
    <row r="5859">
      <c r="C5859" s="277"/>
      <c r="O5859" s="247"/>
      <c r="AC5859" s="247"/>
      <c r="AT5859" s="247"/>
    </row>
    <row r="5860">
      <c r="C5860" s="277"/>
      <c r="O5860" s="247"/>
      <c r="AC5860" s="247"/>
      <c r="AT5860" s="247"/>
    </row>
    <row r="5861">
      <c r="C5861" s="277"/>
      <c r="O5861" s="247"/>
      <c r="AC5861" s="247"/>
      <c r="AT5861" s="247"/>
    </row>
    <row r="5862">
      <c r="C5862" s="277"/>
      <c r="O5862" s="247"/>
      <c r="AC5862" s="247"/>
      <c r="AT5862" s="247"/>
    </row>
    <row r="5863">
      <c r="C5863" s="277"/>
      <c r="O5863" s="247"/>
      <c r="AC5863" s="247"/>
      <c r="AT5863" s="247"/>
    </row>
    <row r="5864">
      <c r="C5864" s="277"/>
      <c r="O5864" s="247"/>
      <c r="AC5864" s="247"/>
      <c r="AT5864" s="247"/>
    </row>
    <row r="5865">
      <c r="C5865" s="277"/>
      <c r="O5865" s="247"/>
      <c r="AC5865" s="247"/>
      <c r="AT5865" s="247"/>
    </row>
    <row r="5866">
      <c r="C5866" s="277"/>
      <c r="O5866" s="247"/>
      <c r="AC5866" s="247"/>
      <c r="AT5866" s="247"/>
    </row>
    <row r="5867">
      <c r="C5867" s="277"/>
      <c r="O5867" s="247"/>
      <c r="AC5867" s="247"/>
      <c r="AT5867" s="247"/>
    </row>
    <row r="5868">
      <c r="C5868" s="277"/>
      <c r="O5868" s="247"/>
      <c r="AC5868" s="247"/>
      <c r="AT5868" s="247"/>
    </row>
    <row r="5869">
      <c r="C5869" s="277"/>
      <c r="O5869" s="247"/>
      <c r="AC5869" s="247"/>
      <c r="AT5869" s="247"/>
    </row>
    <row r="5870">
      <c r="C5870" s="277"/>
      <c r="O5870" s="247"/>
      <c r="AC5870" s="247"/>
      <c r="AT5870" s="247"/>
    </row>
    <row r="5871">
      <c r="C5871" s="277"/>
      <c r="O5871" s="247"/>
      <c r="AC5871" s="247"/>
      <c r="AT5871" s="247"/>
    </row>
    <row r="5872">
      <c r="C5872" s="277"/>
      <c r="O5872" s="247"/>
      <c r="AC5872" s="247"/>
      <c r="AT5872" s="247"/>
    </row>
    <row r="5873">
      <c r="C5873" s="277"/>
      <c r="O5873" s="247"/>
      <c r="AC5873" s="247"/>
      <c r="AT5873" s="247"/>
    </row>
    <row r="5874">
      <c r="C5874" s="277"/>
      <c r="O5874" s="247"/>
      <c r="AC5874" s="247"/>
      <c r="AT5874" s="247"/>
    </row>
    <row r="5875">
      <c r="C5875" s="277"/>
      <c r="O5875" s="247"/>
      <c r="AC5875" s="247"/>
      <c r="AT5875" s="247"/>
    </row>
    <row r="5876">
      <c r="C5876" s="277"/>
      <c r="O5876" s="247"/>
      <c r="AC5876" s="247"/>
      <c r="AT5876" s="247"/>
    </row>
    <row r="5877">
      <c r="C5877" s="277"/>
      <c r="O5877" s="247"/>
      <c r="AC5877" s="247"/>
      <c r="AT5877" s="247"/>
    </row>
    <row r="5878">
      <c r="C5878" s="277"/>
      <c r="O5878" s="247"/>
      <c r="AC5878" s="247"/>
      <c r="AT5878" s="247"/>
    </row>
    <row r="5879">
      <c r="C5879" s="277"/>
      <c r="O5879" s="247"/>
      <c r="AC5879" s="247"/>
      <c r="AT5879" s="247"/>
    </row>
    <row r="5880">
      <c r="C5880" s="277"/>
      <c r="O5880" s="247"/>
      <c r="AC5880" s="247"/>
      <c r="AT5880" s="247"/>
    </row>
    <row r="5881">
      <c r="C5881" s="277"/>
      <c r="O5881" s="247"/>
      <c r="AC5881" s="247"/>
      <c r="AT5881" s="247"/>
    </row>
    <row r="5882">
      <c r="C5882" s="277"/>
      <c r="O5882" s="247"/>
      <c r="AC5882" s="247"/>
      <c r="AT5882" s="247"/>
    </row>
    <row r="5883">
      <c r="C5883" s="277"/>
      <c r="O5883" s="247"/>
      <c r="AC5883" s="247"/>
      <c r="AT5883" s="247"/>
    </row>
    <row r="5884">
      <c r="C5884" s="277"/>
      <c r="O5884" s="247"/>
      <c r="AC5884" s="247"/>
      <c r="AT5884" s="247"/>
    </row>
    <row r="5885">
      <c r="C5885" s="277"/>
      <c r="O5885" s="247"/>
      <c r="AC5885" s="247"/>
      <c r="AT5885" s="247"/>
    </row>
    <row r="5886">
      <c r="C5886" s="277"/>
      <c r="O5886" s="247"/>
      <c r="AC5886" s="247"/>
      <c r="AT5886" s="247"/>
    </row>
    <row r="5887">
      <c r="C5887" s="277"/>
      <c r="O5887" s="247"/>
      <c r="AC5887" s="247"/>
      <c r="AT5887" s="247"/>
    </row>
    <row r="5888">
      <c r="C5888" s="277"/>
      <c r="O5888" s="247"/>
      <c r="AC5888" s="247"/>
      <c r="AT5888" s="247"/>
    </row>
    <row r="5889">
      <c r="C5889" s="277"/>
      <c r="O5889" s="247"/>
      <c r="AC5889" s="247"/>
      <c r="AT5889" s="247"/>
    </row>
    <row r="5890">
      <c r="C5890" s="277"/>
      <c r="O5890" s="247"/>
      <c r="AC5890" s="247"/>
      <c r="AT5890" s="247"/>
    </row>
    <row r="5891">
      <c r="C5891" s="277"/>
      <c r="O5891" s="247"/>
      <c r="AC5891" s="247"/>
      <c r="AT5891" s="247"/>
    </row>
    <row r="5892">
      <c r="C5892" s="277"/>
      <c r="O5892" s="247"/>
      <c r="AC5892" s="247"/>
      <c r="AT5892" s="247"/>
    </row>
    <row r="5893">
      <c r="C5893" s="277"/>
      <c r="O5893" s="247"/>
      <c r="AC5893" s="247"/>
      <c r="AT5893" s="247"/>
    </row>
    <row r="5894">
      <c r="C5894" s="277"/>
      <c r="O5894" s="247"/>
      <c r="AC5894" s="247"/>
      <c r="AT5894" s="247"/>
    </row>
    <row r="5895">
      <c r="C5895" s="277"/>
      <c r="O5895" s="247"/>
      <c r="AC5895" s="247"/>
      <c r="AT5895" s="247"/>
    </row>
    <row r="5896">
      <c r="C5896" s="277"/>
      <c r="O5896" s="247"/>
      <c r="AC5896" s="247"/>
      <c r="AT5896" s="247"/>
    </row>
    <row r="5897">
      <c r="C5897" s="277"/>
      <c r="O5897" s="247"/>
      <c r="AC5897" s="247"/>
      <c r="AT5897" s="247"/>
    </row>
    <row r="5898">
      <c r="C5898" s="277"/>
      <c r="O5898" s="247"/>
      <c r="AC5898" s="247"/>
      <c r="AT5898" s="247"/>
    </row>
    <row r="5899">
      <c r="C5899" s="277"/>
      <c r="O5899" s="247"/>
      <c r="AC5899" s="247"/>
      <c r="AT5899" s="247"/>
    </row>
    <row r="5900">
      <c r="C5900" s="277"/>
      <c r="O5900" s="247"/>
      <c r="AC5900" s="247"/>
      <c r="AT5900" s="247"/>
    </row>
    <row r="5901">
      <c r="C5901" s="277"/>
      <c r="O5901" s="247"/>
      <c r="AC5901" s="247"/>
      <c r="AT5901" s="247"/>
    </row>
    <row r="5902">
      <c r="C5902" s="277"/>
      <c r="O5902" s="247"/>
      <c r="AC5902" s="247"/>
      <c r="AT5902" s="247"/>
    </row>
    <row r="5903">
      <c r="C5903" s="277"/>
      <c r="O5903" s="247"/>
      <c r="AC5903" s="247"/>
      <c r="AT5903" s="247"/>
    </row>
    <row r="5904">
      <c r="C5904" s="277"/>
      <c r="O5904" s="247"/>
      <c r="AC5904" s="247"/>
      <c r="AT5904" s="247"/>
    </row>
    <row r="5905">
      <c r="C5905" s="277"/>
      <c r="O5905" s="247"/>
      <c r="AC5905" s="247"/>
      <c r="AT5905" s="247"/>
    </row>
    <row r="5906">
      <c r="C5906" s="277"/>
      <c r="O5906" s="247"/>
      <c r="AC5906" s="247"/>
      <c r="AT5906" s="247"/>
    </row>
    <row r="5907">
      <c r="C5907" s="277"/>
      <c r="O5907" s="247"/>
      <c r="AC5907" s="247"/>
      <c r="AT5907" s="247"/>
    </row>
    <row r="5908">
      <c r="C5908" s="277"/>
      <c r="O5908" s="247"/>
      <c r="AC5908" s="247"/>
      <c r="AT5908" s="247"/>
    </row>
    <row r="5909">
      <c r="C5909" s="277"/>
      <c r="O5909" s="247"/>
      <c r="AC5909" s="247"/>
      <c r="AT5909" s="247"/>
    </row>
    <row r="5910">
      <c r="C5910" s="277"/>
      <c r="O5910" s="247"/>
      <c r="AC5910" s="247"/>
      <c r="AT5910" s="247"/>
    </row>
    <row r="5911">
      <c r="C5911" s="277"/>
      <c r="O5911" s="247"/>
      <c r="AC5911" s="247"/>
      <c r="AT5911" s="247"/>
    </row>
    <row r="5912">
      <c r="C5912" s="277"/>
      <c r="O5912" s="247"/>
      <c r="AC5912" s="247"/>
      <c r="AT5912" s="247"/>
    </row>
    <row r="5913">
      <c r="C5913" s="277"/>
      <c r="O5913" s="247"/>
      <c r="AC5913" s="247"/>
      <c r="AT5913" s="247"/>
    </row>
    <row r="5914">
      <c r="C5914" s="277"/>
      <c r="O5914" s="247"/>
      <c r="AC5914" s="247"/>
      <c r="AT5914" s="247"/>
    </row>
    <row r="5915">
      <c r="C5915" s="277"/>
      <c r="O5915" s="247"/>
      <c r="AC5915" s="247"/>
      <c r="AT5915" s="247"/>
    </row>
    <row r="5916">
      <c r="C5916" s="277"/>
      <c r="O5916" s="247"/>
      <c r="AC5916" s="247"/>
      <c r="AT5916" s="247"/>
    </row>
    <row r="5917">
      <c r="C5917" s="277"/>
      <c r="O5917" s="247"/>
      <c r="AC5917" s="247"/>
      <c r="AT5917" s="247"/>
    </row>
    <row r="5918">
      <c r="C5918" s="277"/>
      <c r="O5918" s="247"/>
      <c r="AC5918" s="247"/>
      <c r="AT5918" s="247"/>
    </row>
    <row r="5919">
      <c r="C5919" s="277"/>
      <c r="O5919" s="247"/>
      <c r="AC5919" s="247"/>
      <c r="AT5919" s="247"/>
    </row>
    <row r="5920">
      <c r="C5920" s="277"/>
      <c r="O5920" s="247"/>
      <c r="AC5920" s="247"/>
      <c r="AT5920" s="247"/>
    </row>
    <row r="5921">
      <c r="C5921" s="277"/>
      <c r="O5921" s="247"/>
      <c r="AC5921" s="247"/>
      <c r="AT5921" s="247"/>
    </row>
    <row r="5922">
      <c r="C5922" s="277"/>
      <c r="O5922" s="247"/>
      <c r="AC5922" s="247"/>
      <c r="AT5922" s="247"/>
    </row>
    <row r="5923">
      <c r="C5923" s="277"/>
      <c r="O5923" s="247"/>
      <c r="AC5923" s="247"/>
      <c r="AT5923" s="247"/>
    </row>
    <row r="5924">
      <c r="C5924" s="277"/>
      <c r="O5924" s="247"/>
      <c r="AC5924" s="247"/>
      <c r="AT5924" s="247"/>
    </row>
    <row r="5925">
      <c r="C5925" s="277"/>
      <c r="O5925" s="247"/>
      <c r="AC5925" s="247"/>
      <c r="AT5925" s="247"/>
    </row>
    <row r="5926">
      <c r="C5926" s="277"/>
      <c r="O5926" s="247"/>
      <c r="AC5926" s="247"/>
      <c r="AT5926" s="247"/>
    </row>
    <row r="5927">
      <c r="C5927" s="277"/>
      <c r="O5927" s="247"/>
      <c r="AC5927" s="247"/>
      <c r="AT5927" s="247"/>
    </row>
    <row r="5928">
      <c r="C5928" s="277"/>
      <c r="O5928" s="247"/>
      <c r="AC5928" s="247"/>
      <c r="AT5928" s="247"/>
    </row>
    <row r="5929">
      <c r="C5929" s="277"/>
      <c r="O5929" s="247"/>
      <c r="AC5929" s="247"/>
      <c r="AT5929" s="247"/>
    </row>
    <row r="5930">
      <c r="C5930" s="277"/>
      <c r="O5930" s="247"/>
      <c r="AC5930" s="247"/>
      <c r="AT5930" s="247"/>
    </row>
    <row r="5931">
      <c r="C5931" s="277"/>
      <c r="O5931" s="247"/>
      <c r="AC5931" s="247"/>
      <c r="AT5931" s="247"/>
    </row>
    <row r="5932">
      <c r="C5932" s="277"/>
      <c r="O5932" s="247"/>
      <c r="AC5932" s="247"/>
      <c r="AT5932" s="247"/>
    </row>
    <row r="5933">
      <c r="C5933" s="277"/>
      <c r="O5933" s="247"/>
      <c r="AC5933" s="247"/>
      <c r="AT5933" s="247"/>
    </row>
    <row r="5934">
      <c r="C5934" s="277"/>
      <c r="O5934" s="247"/>
      <c r="AC5934" s="247"/>
      <c r="AT5934" s="247"/>
    </row>
    <row r="5935">
      <c r="C5935" s="277"/>
      <c r="O5935" s="247"/>
      <c r="AC5935" s="247"/>
      <c r="AT5935" s="247"/>
    </row>
    <row r="5936">
      <c r="C5936" s="277"/>
      <c r="O5936" s="247"/>
      <c r="AC5936" s="247"/>
      <c r="AT5936" s="247"/>
    </row>
    <row r="5937">
      <c r="C5937" s="277"/>
      <c r="O5937" s="247"/>
      <c r="AC5937" s="247"/>
      <c r="AT5937" s="247"/>
    </row>
    <row r="5938">
      <c r="C5938" s="277"/>
      <c r="O5938" s="247"/>
      <c r="AC5938" s="247"/>
      <c r="AT5938" s="247"/>
    </row>
    <row r="5939">
      <c r="C5939" s="277"/>
      <c r="O5939" s="247"/>
      <c r="AC5939" s="247"/>
      <c r="AT5939" s="247"/>
    </row>
    <row r="5940">
      <c r="C5940" s="277"/>
      <c r="O5940" s="247"/>
      <c r="AC5940" s="247"/>
      <c r="AT5940" s="247"/>
    </row>
    <row r="5941">
      <c r="C5941" s="277"/>
      <c r="O5941" s="247"/>
      <c r="AC5941" s="247"/>
      <c r="AT5941" s="247"/>
    </row>
    <row r="5942">
      <c r="C5942" s="277"/>
      <c r="O5942" s="247"/>
      <c r="AC5942" s="247"/>
      <c r="AT5942" s="247"/>
    </row>
    <row r="5943">
      <c r="C5943" s="277"/>
      <c r="O5943" s="247"/>
      <c r="AC5943" s="247"/>
      <c r="AT5943" s="247"/>
    </row>
    <row r="5944">
      <c r="C5944" s="277"/>
      <c r="O5944" s="247"/>
      <c r="AC5944" s="247"/>
      <c r="AT5944" s="247"/>
    </row>
    <row r="5945">
      <c r="C5945" s="277"/>
      <c r="O5945" s="247"/>
      <c r="AC5945" s="247"/>
      <c r="AT5945" s="247"/>
    </row>
    <row r="5946">
      <c r="C5946" s="277"/>
      <c r="O5946" s="247"/>
      <c r="AC5946" s="247"/>
      <c r="AT5946" s="247"/>
    </row>
    <row r="5947">
      <c r="C5947" s="277"/>
      <c r="O5947" s="247"/>
      <c r="AC5947" s="247"/>
      <c r="AT5947" s="247"/>
    </row>
    <row r="5948">
      <c r="C5948" s="277"/>
      <c r="O5948" s="247"/>
      <c r="AC5948" s="247"/>
      <c r="AT5948" s="247"/>
    </row>
    <row r="5949">
      <c r="C5949" s="277"/>
      <c r="O5949" s="247"/>
      <c r="AC5949" s="247"/>
      <c r="AT5949" s="247"/>
    </row>
    <row r="5950">
      <c r="C5950" s="277"/>
      <c r="O5950" s="247"/>
      <c r="AC5950" s="247"/>
      <c r="AT5950" s="247"/>
    </row>
    <row r="5951">
      <c r="C5951" s="277"/>
      <c r="O5951" s="247"/>
      <c r="AC5951" s="247"/>
      <c r="AT5951" s="247"/>
    </row>
    <row r="5952">
      <c r="C5952" s="277"/>
      <c r="O5952" s="247"/>
      <c r="AC5952" s="247"/>
      <c r="AT5952" s="247"/>
    </row>
    <row r="5953">
      <c r="C5953" s="277"/>
      <c r="O5953" s="247"/>
      <c r="AC5953" s="247"/>
      <c r="AT5953" s="247"/>
    </row>
    <row r="5954">
      <c r="C5954" s="277"/>
      <c r="O5954" s="247"/>
      <c r="AC5954" s="247"/>
      <c r="AT5954" s="247"/>
    </row>
    <row r="5955">
      <c r="C5955" s="277"/>
      <c r="O5955" s="247"/>
      <c r="AC5955" s="247"/>
      <c r="AT5955" s="247"/>
    </row>
    <row r="5956">
      <c r="C5956" s="277"/>
      <c r="O5956" s="247"/>
      <c r="AC5956" s="247"/>
      <c r="AT5956" s="247"/>
    </row>
    <row r="5957">
      <c r="C5957" s="277"/>
      <c r="O5957" s="247"/>
      <c r="AC5957" s="247"/>
      <c r="AT5957" s="247"/>
    </row>
    <row r="5958">
      <c r="C5958" s="277"/>
      <c r="O5958" s="247"/>
      <c r="AC5958" s="247"/>
      <c r="AT5958" s="247"/>
    </row>
    <row r="5959">
      <c r="C5959" s="277"/>
      <c r="O5959" s="247"/>
      <c r="AC5959" s="247"/>
      <c r="AT5959" s="247"/>
    </row>
    <row r="5960">
      <c r="C5960" s="277"/>
      <c r="O5960" s="247"/>
      <c r="AC5960" s="247"/>
      <c r="AT5960" s="247"/>
    </row>
    <row r="5961">
      <c r="C5961" s="277"/>
      <c r="O5961" s="247"/>
      <c r="AC5961" s="247"/>
      <c r="AT5961" s="247"/>
    </row>
    <row r="5962">
      <c r="C5962" s="277"/>
      <c r="O5962" s="247"/>
      <c r="AC5962" s="247"/>
      <c r="AT5962" s="247"/>
    </row>
    <row r="5963">
      <c r="C5963" s="277"/>
      <c r="O5963" s="247"/>
      <c r="AC5963" s="247"/>
      <c r="AT5963" s="247"/>
    </row>
    <row r="5964">
      <c r="C5964" s="277"/>
      <c r="O5964" s="247"/>
      <c r="AC5964" s="247"/>
      <c r="AT5964" s="247"/>
    </row>
    <row r="5965">
      <c r="C5965" s="277"/>
      <c r="O5965" s="247"/>
      <c r="AC5965" s="247"/>
      <c r="AT5965" s="247"/>
    </row>
    <row r="5966">
      <c r="C5966" s="277"/>
      <c r="O5966" s="247"/>
      <c r="AC5966" s="247"/>
      <c r="AT5966" s="247"/>
    </row>
    <row r="5967">
      <c r="C5967" s="277"/>
      <c r="O5967" s="247"/>
      <c r="AC5967" s="247"/>
      <c r="AT5967" s="247"/>
    </row>
    <row r="5968">
      <c r="C5968" s="277"/>
      <c r="O5968" s="247"/>
      <c r="AC5968" s="247"/>
      <c r="AT5968" s="247"/>
    </row>
    <row r="5969">
      <c r="C5969" s="277"/>
      <c r="O5969" s="247"/>
      <c r="AC5969" s="247"/>
      <c r="AT5969" s="247"/>
    </row>
    <row r="5970">
      <c r="C5970" s="277"/>
      <c r="O5970" s="247"/>
      <c r="AC5970" s="247"/>
      <c r="AT5970" s="247"/>
    </row>
    <row r="5971">
      <c r="C5971" s="277"/>
      <c r="O5971" s="247"/>
      <c r="AC5971" s="247"/>
      <c r="AT5971" s="247"/>
    </row>
    <row r="5972">
      <c r="C5972" s="277"/>
      <c r="O5972" s="247"/>
      <c r="AC5972" s="247"/>
      <c r="AT5972" s="247"/>
    </row>
    <row r="5973">
      <c r="C5973" s="277"/>
      <c r="O5973" s="247"/>
      <c r="AC5973" s="247"/>
      <c r="AT5973" s="247"/>
    </row>
    <row r="5974">
      <c r="C5974" s="277"/>
      <c r="O5974" s="247"/>
      <c r="AC5974" s="247"/>
      <c r="AT5974" s="247"/>
    </row>
    <row r="5975">
      <c r="C5975" s="277"/>
      <c r="O5975" s="247"/>
      <c r="AC5975" s="247"/>
      <c r="AT5975" s="247"/>
    </row>
    <row r="5976">
      <c r="C5976" s="277"/>
      <c r="O5976" s="247"/>
      <c r="AC5976" s="247"/>
      <c r="AT5976" s="247"/>
    </row>
    <row r="5977">
      <c r="C5977" s="277"/>
      <c r="O5977" s="247"/>
      <c r="AC5977" s="247"/>
      <c r="AT5977" s="247"/>
    </row>
    <row r="5978">
      <c r="C5978" s="277"/>
      <c r="O5978" s="247"/>
      <c r="AC5978" s="247"/>
      <c r="AT5978" s="247"/>
    </row>
    <row r="5979">
      <c r="C5979" s="277"/>
      <c r="O5979" s="247"/>
      <c r="AC5979" s="247"/>
      <c r="AT5979" s="247"/>
    </row>
    <row r="5980">
      <c r="C5980" s="277"/>
      <c r="O5980" s="247"/>
      <c r="AC5980" s="247"/>
      <c r="AT5980" s="247"/>
    </row>
    <row r="5981">
      <c r="C5981" s="277"/>
      <c r="O5981" s="247"/>
      <c r="AC5981" s="247"/>
      <c r="AT5981" s="247"/>
    </row>
    <row r="5982">
      <c r="C5982" s="277"/>
      <c r="O5982" s="247"/>
      <c r="AC5982" s="247"/>
      <c r="AT5982" s="247"/>
    </row>
    <row r="5983">
      <c r="C5983" s="277"/>
      <c r="O5983" s="247"/>
      <c r="AC5983" s="247"/>
      <c r="AT5983" s="247"/>
    </row>
    <row r="5984">
      <c r="C5984" s="277"/>
      <c r="O5984" s="247"/>
      <c r="AC5984" s="247"/>
      <c r="AT5984" s="247"/>
    </row>
    <row r="5985">
      <c r="C5985" s="277"/>
      <c r="O5985" s="247"/>
      <c r="AC5985" s="247"/>
      <c r="AT5985" s="247"/>
    </row>
    <row r="5986">
      <c r="C5986" s="277"/>
      <c r="O5986" s="247"/>
      <c r="AC5986" s="247"/>
      <c r="AT5986" s="247"/>
    </row>
    <row r="5987">
      <c r="C5987" s="277"/>
      <c r="O5987" s="247"/>
      <c r="AC5987" s="247"/>
      <c r="AT5987" s="247"/>
    </row>
    <row r="5988">
      <c r="C5988" s="277"/>
      <c r="O5988" s="247"/>
      <c r="AC5988" s="247"/>
      <c r="AT5988" s="247"/>
    </row>
    <row r="5989">
      <c r="C5989" s="277"/>
      <c r="O5989" s="247"/>
      <c r="AC5989" s="247"/>
      <c r="AT5989" s="247"/>
    </row>
    <row r="5990">
      <c r="C5990" s="277"/>
      <c r="O5990" s="247"/>
      <c r="AC5990" s="247"/>
      <c r="AT5990" s="247"/>
    </row>
    <row r="5991">
      <c r="C5991" s="277"/>
      <c r="O5991" s="247"/>
      <c r="AC5991" s="247"/>
      <c r="AT5991" s="247"/>
    </row>
    <row r="5992">
      <c r="C5992" s="277"/>
      <c r="O5992" s="247"/>
      <c r="AC5992" s="247"/>
      <c r="AT5992" s="247"/>
    </row>
    <row r="5993">
      <c r="C5993" s="277"/>
      <c r="O5993" s="247"/>
      <c r="AC5993" s="247"/>
      <c r="AT5993" s="247"/>
    </row>
    <row r="5994">
      <c r="C5994" s="277"/>
      <c r="O5994" s="247"/>
      <c r="AC5994" s="247"/>
      <c r="AT5994" s="247"/>
    </row>
    <row r="5995">
      <c r="C5995" s="277"/>
      <c r="O5995" s="247"/>
      <c r="AC5995" s="247"/>
      <c r="AT5995" s="247"/>
    </row>
    <row r="5996">
      <c r="C5996" s="277"/>
      <c r="O5996" s="247"/>
      <c r="AC5996" s="247"/>
      <c r="AT5996" s="247"/>
    </row>
    <row r="5997">
      <c r="C5997" s="277"/>
      <c r="O5997" s="247"/>
      <c r="AC5997" s="247"/>
      <c r="AT5997" s="247"/>
    </row>
    <row r="5998">
      <c r="C5998" s="277"/>
      <c r="O5998" s="247"/>
      <c r="AC5998" s="247"/>
      <c r="AT5998" s="247"/>
    </row>
    <row r="5999">
      <c r="C5999" s="277"/>
      <c r="O5999" s="247"/>
      <c r="AC5999" s="247"/>
      <c r="AT5999" s="247"/>
    </row>
    <row r="6000">
      <c r="C6000" s="277"/>
      <c r="O6000" s="247"/>
      <c r="AC6000" s="247"/>
      <c r="AT6000" s="247"/>
    </row>
    <row r="6001">
      <c r="C6001" s="277"/>
      <c r="O6001" s="247"/>
      <c r="AC6001" s="247"/>
      <c r="AT6001" s="247"/>
    </row>
    <row r="6002">
      <c r="C6002" s="277"/>
      <c r="O6002" s="247"/>
      <c r="AC6002" s="247"/>
      <c r="AT6002" s="247"/>
    </row>
    <row r="6003">
      <c r="C6003" s="277"/>
      <c r="O6003" s="247"/>
      <c r="AC6003" s="247"/>
      <c r="AT6003" s="247"/>
    </row>
    <row r="6004">
      <c r="C6004" s="277"/>
      <c r="O6004" s="247"/>
      <c r="AC6004" s="247"/>
      <c r="AT6004" s="247"/>
    </row>
    <row r="6005">
      <c r="C6005" s="277"/>
      <c r="O6005" s="247"/>
      <c r="AC6005" s="247"/>
      <c r="AT6005" s="247"/>
    </row>
    <row r="6006">
      <c r="C6006" s="277"/>
      <c r="O6006" s="247"/>
      <c r="AC6006" s="247"/>
      <c r="AT6006" s="247"/>
    </row>
    <row r="6007">
      <c r="C6007" s="277"/>
      <c r="O6007" s="247"/>
      <c r="AC6007" s="247"/>
      <c r="AT6007" s="247"/>
    </row>
    <row r="6008">
      <c r="C6008" s="277"/>
      <c r="O6008" s="247"/>
      <c r="AC6008" s="247"/>
      <c r="AT6008" s="247"/>
    </row>
    <row r="6009">
      <c r="C6009" s="277"/>
      <c r="O6009" s="247"/>
      <c r="AC6009" s="247"/>
      <c r="AT6009" s="247"/>
    </row>
    <row r="6010">
      <c r="C6010" s="277"/>
      <c r="O6010" s="247"/>
      <c r="AC6010" s="247"/>
      <c r="AT6010" s="247"/>
    </row>
    <row r="6011">
      <c r="C6011" s="277"/>
      <c r="O6011" s="247"/>
      <c r="AC6011" s="247"/>
      <c r="AT6011" s="247"/>
    </row>
    <row r="6012">
      <c r="C6012" s="277"/>
      <c r="O6012" s="247"/>
      <c r="AC6012" s="247"/>
      <c r="AT6012" s="247"/>
    </row>
    <row r="6013">
      <c r="C6013" s="277"/>
      <c r="O6013" s="247"/>
      <c r="AC6013" s="247"/>
      <c r="AT6013" s="247"/>
    </row>
    <row r="6014">
      <c r="C6014" s="277"/>
      <c r="O6014" s="247"/>
      <c r="AC6014" s="247"/>
      <c r="AT6014" s="247"/>
    </row>
    <row r="6015">
      <c r="C6015" s="277"/>
      <c r="O6015" s="247"/>
      <c r="AC6015" s="247"/>
      <c r="AT6015" s="247"/>
    </row>
    <row r="6016">
      <c r="C6016" s="277"/>
      <c r="O6016" s="247"/>
      <c r="AC6016" s="247"/>
      <c r="AT6016" s="247"/>
    </row>
    <row r="6017">
      <c r="C6017" s="277"/>
      <c r="O6017" s="247"/>
      <c r="AC6017" s="247"/>
      <c r="AT6017" s="247"/>
    </row>
    <row r="6018">
      <c r="C6018" s="277"/>
      <c r="O6018" s="247"/>
      <c r="AC6018" s="247"/>
      <c r="AT6018" s="247"/>
    </row>
    <row r="6019">
      <c r="C6019" s="277"/>
      <c r="O6019" s="247"/>
      <c r="AC6019" s="247"/>
      <c r="AT6019" s="247"/>
    </row>
    <row r="6020">
      <c r="C6020" s="277"/>
      <c r="O6020" s="247"/>
      <c r="AC6020" s="247"/>
      <c r="AT6020" s="247"/>
    </row>
    <row r="6021">
      <c r="C6021" s="277"/>
      <c r="O6021" s="247"/>
      <c r="AC6021" s="247"/>
      <c r="AT6021" s="247"/>
    </row>
    <row r="6022">
      <c r="C6022" s="277"/>
      <c r="O6022" s="247"/>
      <c r="AC6022" s="247"/>
      <c r="AT6022" s="247"/>
    </row>
    <row r="6023">
      <c r="C6023" s="277"/>
      <c r="O6023" s="247"/>
      <c r="AC6023" s="247"/>
      <c r="AT6023" s="247"/>
    </row>
    <row r="6024">
      <c r="C6024" s="277"/>
      <c r="O6024" s="247"/>
      <c r="AC6024" s="247"/>
      <c r="AT6024" s="247"/>
    </row>
    <row r="6025">
      <c r="C6025" s="277"/>
      <c r="O6025" s="247"/>
      <c r="AC6025" s="247"/>
      <c r="AT6025" s="247"/>
    </row>
    <row r="6026">
      <c r="C6026" s="277"/>
      <c r="O6026" s="247"/>
      <c r="AC6026" s="247"/>
      <c r="AT6026" s="247"/>
    </row>
    <row r="6027">
      <c r="C6027" s="277"/>
      <c r="O6027" s="247"/>
      <c r="AC6027" s="247"/>
      <c r="AT6027" s="247"/>
    </row>
    <row r="6028">
      <c r="C6028" s="277"/>
      <c r="O6028" s="247"/>
      <c r="AC6028" s="247"/>
      <c r="AT6028" s="247"/>
    </row>
    <row r="6029">
      <c r="C6029" s="277"/>
      <c r="O6029" s="247"/>
      <c r="AC6029" s="247"/>
      <c r="AT6029" s="247"/>
    </row>
    <row r="6030">
      <c r="C6030" s="277"/>
      <c r="O6030" s="247"/>
      <c r="AC6030" s="247"/>
      <c r="AT6030" s="247"/>
    </row>
    <row r="6031">
      <c r="C6031" s="277"/>
      <c r="O6031" s="247"/>
      <c r="AC6031" s="247"/>
      <c r="AT6031" s="247"/>
    </row>
    <row r="6032">
      <c r="C6032" s="277"/>
      <c r="O6032" s="247"/>
      <c r="AC6032" s="247"/>
      <c r="AT6032" s="247"/>
    </row>
    <row r="6033">
      <c r="C6033" s="277"/>
      <c r="O6033" s="247"/>
      <c r="AC6033" s="247"/>
      <c r="AT6033" s="247"/>
    </row>
    <row r="6034">
      <c r="C6034" s="277"/>
      <c r="O6034" s="247"/>
      <c r="AC6034" s="247"/>
      <c r="AT6034" s="247"/>
    </row>
    <row r="6035">
      <c r="C6035" s="277"/>
      <c r="O6035" s="247"/>
      <c r="AC6035" s="247"/>
      <c r="AT6035" s="247"/>
    </row>
    <row r="6036">
      <c r="C6036" s="277"/>
      <c r="O6036" s="247"/>
      <c r="AC6036" s="247"/>
      <c r="AT6036" s="247"/>
    </row>
    <row r="6037">
      <c r="C6037" s="277"/>
      <c r="O6037" s="247"/>
      <c r="AC6037" s="247"/>
      <c r="AT6037" s="247"/>
    </row>
    <row r="6038">
      <c r="C6038" s="277"/>
      <c r="O6038" s="247"/>
      <c r="AC6038" s="247"/>
      <c r="AT6038" s="247"/>
    </row>
    <row r="6039">
      <c r="C6039" s="277"/>
      <c r="O6039" s="247"/>
      <c r="AC6039" s="247"/>
      <c r="AT6039" s="247"/>
    </row>
    <row r="6040">
      <c r="C6040" s="277"/>
      <c r="O6040" s="247"/>
      <c r="AC6040" s="247"/>
      <c r="AT6040" s="247"/>
    </row>
    <row r="6041">
      <c r="C6041" s="277"/>
      <c r="O6041" s="247"/>
      <c r="AC6041" s="247"/>
      <c r="AT6041" s="247"/>
    </row>
    <row r="6042">
      <c r="C6042" s="277"/>
      <c r="O6042" s="247"/>
      <c r="AC6042" s="247"/>
      <c r="AT6042" s="247"/>
    </row>
    <row r="6043">
      <c r="C6043" s="277"/>
      <c r="O6043" s="247"/>
      <c r="AC6043" s="247"/>
      <c r="AT6043" s="247"/>
    </row>
    <row r="6044">
      <c r="C6044" s="277"/>
      <c r="O6044" s="247"/>
      <c r="AC6044" s="247"/>
      <c r="AT6044" s="247"/>
    </row>
    <row r="6045">
      <c r="C6045" s="277"/>
      <c r="O6045" s="247"/>
      <c r="AC6045" s="247"/>
      <c r="AT6045" s="247"/>
    </row>
    <row r="6046">
      <c r="C6046" s="277"/>
      <c r="O6046" s="247"/>
      <c r="AC6046" s="247"/>
      <c r="AT6046" s="247"/>
    </row>
    <row r="6047">
      <c r="C6047" s="277"/>
      <c r="O6047" s="247"/>
      <c r="AC6047" s="247"/>
      <c r="AT6047" s="247"/>
    </row>
    <row r="6048">
      <c r="C6048" s="277"/>
      <c r="O6048" s="247"/>
      <c r="AC6048" s="247"/>
      <c r="AT6048" s="247"/>
    </row>
    <row r="6049">
      <c r="C6049" s="277"/>
      <c r="O6049" s="247"/>
      <c r="AC6049" s="247"/>
      <c r="AT6049" s="247"/>
    </row>
    <row r="6050">
      <c r="C6050" s="277"/>
      <c r="O6050" s="247"/>
      <c r="AC6050" s="247"/>
      <c r="AT6050" s="247"/>
    </row>
    <row r="6051">
      <c r="C6051" s="277"/>
      <c r="O6051" s="247"/>
      <c r="AC6051" s="247"/>
      <c r="AT6051" s="247"/>
    </row>
    <row r="6052">
      <c r="C6052" s="277"/>
      <c r="O6052" s="247"/>
      <c r="AC6052" s="247"/>
      <c r="AT6052" s="247"/>
    </row>
    <row r="6053">
      <c r="C6053" s="277"/>
      <c r="O6053" s="247"/>
      <c r="AC6053" s="247"/>
      <c r="AT6053" s="247"/>
    </row>
    <row r="6054">
      <c r="C6054" s="277"/>
      <c r="O6054" s="247"/>
      <c r="AC6054" s="247"/>
      <c r="AT6054" s="247"/>
    </row>
    <row r="6055">
      <c r="C6055" s="277"/>
      <c r="O6055" s="247"/>
      <c r="AC6055" s="247"/>
      <c r="AT6055" s="247"/>
    </row>
    <row r="6056">
      <c r="C6056" s="277"/>
      <c r="O6056" s="247"/>
      <c r="AC6056" s="247"/>
      <c r="AT6056" s="247"/>
    </row>
    <row r="6057">
      <c r="C6057" s="277"/>
      <c r="O6057" s="247"/>
      <c r="AC6057" s="247"/>
      <c r="AT6057" s="247"/>
    </row>
    <row r="6058">
      <c r="C6058" s="277"/>
      <c r="O6058" s="247"/>
      <c r="AC6058" s="247"/>
      <c r="AT6058" s="247"/>
    </row>
    <row r="6059">
      <c r="C6059" s="277"/>
      <c r="O6059" s="247"/>
      <c r="AC6059" s="247"/>
      <c r="AT6059" s="247"/>
    </row>
    <row r="6060">
      <c r="C6060" s="277"/>
      <c r="O6060" s="247"/>
      <c r="AC6060" s="247"/>
      <c r="AT6060" s="247"/>
    </row>
    <row r="6061">
      <c r="C6061" s="277"/>
      <c r="O6061" s="247"/>
      <c r="AC6061" s="247"/>
      <c r="AT6061" s="247"/>
    </row>
    <row r="6062">
      <c r="C6062" s="277"/>
      <c r="O6062" s="247"/>
      <c r="AC6062" s="247"/>
      <c r="AT6062" s="247"/>
    </row>
    <row r="6063">
      <c r="C6063" s="277"/>
      <c r="O6063" s="247"/>
      <c r="AC6063" s="247"/>
      <c r="AT6063" s="247"/>
    </row>
    <row r="6064">
      <c r="C6064" s="277"/>
      <c r="O6064" s="247"/>
      <c r="AC6064" s="247"/>
      <c r="AT6064" s="247"/>
    </row>
    <row r="6065">
      <c r="C6065" s="277"/>
      <c r="O6065" s="247"/>
      <c r="AC6065" s="247"/>
      <c r="AT6065" s="247"/>
    </row>
    <row r="6066">
      <c r="C6066" s="277"/>
      <c r="O6066" s="247"/>
      <c r="AC6066" s="247"/>
      <c r="AT6066" s="247"/>
    </row>
    <row r="6067">
      <c r="C6067" s="277"/>
      <c r="O6067" s="247"/>
      <c r="AC6067" s="247"/>
      <c r="AT6067" s="247"/>
    </row>
    <row r="6068">
      <c r="C6068" s="277"/>
      <c r="O6068" s="247"/>
      <c r="AC6068" s="247"/>
      <c r="AT6068" s="247"/>
    </row>
    <row r="6069">
      <c r="C6069" s="277"/>
      <c r="O6069" s="247"/>
      <c r="AC6069" s="247"/>
      <c r="AT6069" s="247"/>
    </row>
    <row r="6070">
      <c r="C6070" s="277"/>
      <c r="O6070" s="247"/>
      <c r="AC6070" s="247"/>
      <c r="AT6070" s="247"/>
    </row>
    <row r="6071">
      <c r="C6071" s="277"/>
      <c r="O6071" s="247"/>
      <c r="AC6071" s="247"/>
      <c r="AT6071" s="247"/>
    </row>
    <row r="6072">
      <c r="C6072" s="277"/>
      <c r="O6072" s="247"/>
      <c r="AC6072" s="247"/>
      <c r="AT6072" s="247"/>
    </row>
    <row r="6073">
      <c r="C6073" s="277"/>
      <c r="O6073" s="247"/>
      <c r="AC6073" s="247"/>
      <c r="AT6073" s="247"/>
    </row>
    <row r="6074">
      <c r="C6074" s="277"/>
      <c r="O6074" s="247"/>
      <c r="AC6074" s="247"/>
      <c r="AT6074" s="247"/>
    </row>
    <row r="6075">
      <c r="C6075" s="277"/>
      <c r="O6075" s="247"/>
      <c r="AC6075" s="247"/>
      <c r="AT6075" s="247"/>
    </row>
    <row r="6076">
      <c r="C6076" s="277"/>
      <c r="O6076" s="247"/>
      <c r="AC6076" s="247"/>
      <c r="AT6076" s="247"/>
    </row>
    <row r="6077">
      <c r="C6077" s="277"/>
      <c r="O6077" s="247"/>
      <c r="AC6077" s="247"/>
      <c r="AT6077" s="247"/>
    </row>
    <row r="6078">
      <c r="C6078" s="277"/>
      <c r="O6078" s="247"/>
      <c r="AC6078" s="247"/>
      <c r="AT6078" s="247"/>
    </row>
    <row r="6079">
      <c r="C6079" s="277"/>
      <c r="O6079" s="247"/>
      <c r="AC6079" s="247"/>
      <c r="AT6079" s="247"/>
    </row>
    <row r="6080">
      <c r="C6080" s="277"/>
      <c r="O6080" s="247"/>
      <c r="AC6080" s="247"/>
      <c r="AT6080" s="247"/>
    </row>
    <row r="6081">
      <c r="C6081" s="277"/>
      <c r="O6081" s="247"/>
      <c r="AC6081" s="247"/>
      <c r="AT6081" s="247"/>
    </row>
    <row r="6082">
      <c r="C6082" s="277"/>
      <c r="O6082" s="247"/>
      <c r="AC6082" s="247"/>
      <c r="AT6082" s="247"/>
    </row>
    <row r="6083">
      <c r="C6083" s="277"/>
      <c r="O6083" s="247"/>
      <c r="AC6083" s="247"/>
      <c r="AT6083" s="247"/>
    </row>
    <row r="6084">
      <c r="C6084" s="277"/>
      <c r="O6084" s="247"/>
      <c r="AC6084" s="247"/>
      <c r="AT6084" s="247"/>
    </row>
    <row r="6085">
      <c r="C6085" s="277"/>
      <c r="O6085" s="247"/>
      <c r="AC6085" s="247"/>
      <c r="AT6085" s="247"/>
    </row>
    <row r="6086">
      <c r="C6086" s="277"/>
      <c r="O6086" s="247"/>
      <c r="AC6086" s="247"/>
      <c r="AT6086" s="247"/>
    </row>
    <row r="6087">
      <c r="C6087" s="277"/>
      <c r="O6087" s="247"/>
      <c r="AC6087" s="247"/>
      <c r="AT6087" s="247"/>
    </row>
    <row r="6088">
      <c r="C6088" s="277"/>
      <c r="O6088" s="247"/>
      <c r="AC6088" s="247"/>
      <c r="AT6088" s="247"/>
    </row>
    <row r="6089">
      <c r="C6089" s="277"/>
      <c r="O6089" s="247"/>
      <c r="AC6089" s="247"/>
      <c r="AT6089" s="247"/>
    </row>
    <row r="6090">
      <c r="C6090" s="277"/>
      <c r="O6090" s="247"/>
      <c r="AC6090" s="247"/>
      <c r="AT6090" s="247"/>
    </row>
    <row r="6091">
      <c r="C6091" s="277"/>
      <c r="O6091" s="247"/>
      <c r="AC6091" s="247"/>
      <c r="AT6091" s="247"/>
    </row>
    <row r="6092">
      <c r="C6092" s="277"/>
      <c r="O6092" s="247"/>
      <c r="AC6092" s="247"/>
      <c r="AT6092" s="247"/>
    </row>
    <row r="6093">
      <c r="C6093" s="277"/>
      <c r="O6093" s="247"/>
      <c r="AC6093" s="247"/>
      <c r="AT6093" s="247"/>
    </row>
    <row r="6094">
      <c r="C6094" s="277"/>
      <c r="O6094" s="247"/>
      <c r="AC6094" s="247"/>
      <c r="AT6094" s="247"/>
    </row>
    <row r="6095">
      <c r="C6095" s="277"/>
      <c r="O6095" s="247"/>
      <c r="AC6095" s="247"/>
      <c r="AT6095" s="247"/>
    </row>
    <row r="6096">
      <c r="C6096" s="277"/>
      <c r="O6096" s="247"/>
      <c r="AC6096" s="247"/>
      <c r="AT6096" s="247"/>
    </row>
    <row r="6097">
      <c r="C6097" s="277"/>
      <c r="O6097" s="247"/>
      <c r="AC6097" s="247"/>
      <c r="AT6097" s="247"/>
    </row>
    <row r="6098">
      <c r="C6098" s="277"/>
      <c r="O6098" s="247"/>
      <c r="AC6098" s="247"/>
      <c r="AT6098" s="247"/>
    </row>
    <row r="6099">
      <c r="C6099" s="277"/>
      <c r="O6099" s="247"/>
      <c r="AC6099" s="247"/>
      <c r="AT6099" s="247"/>
    </row>
    <row r="6100">
      <c r="C6100" s="277"/>
      <c r="O6100" s="247"/>
      <c r="AC6100" s="247"/>
      <c r="AT6100" s="247"/>
    </row>
    <row r="6101">
      <c r="C6101" s="277"/>
      <c r="O6101" s="247"/>
      <c r="AC6101" s="247"/>
      <c r="AT6101" s="247"/>
    </row>
    <row r="6102">
      <c r="C6102" s="277"/>
      <c r="O6102" s="247"/>
      <c r="AC6102" s="247"/>
      <c r="AT6102" s="247"/>
    </row>
    <row r="6103">
      <c r="C6103" s="277"/>
      <c r="O6103" s="247"/>
      <c r="AC6103" s="247"/>
      <c r="AT6103" s="247"/>
    </row>
    <row r="6104">
      <c r="C6104" s="277"/>
      <c r="O6104" s="247"/>
      <c r="AC6104" s="247"/>
      <c r="AT6104" s="247"/>
    </row>
    <row r="6105">
      <c r="C6105" s="277"/>
      <c r="O6105" s="247"/>
      <c r="AC6105" s="247"/>
      <c r="AT6105" s="247"/>
    </row>
    <row r="6106">
      <c r="C6106" s="277"/>
      <c r="O6106" s="247"/>
      <c r="AC6106" s="247"/>
      <c r="AT6106" s="247"/>
    </row>
    <row r="6107">
      <c r="C6107" s="277"/>
      <c r="O6107" s="247"/>
      <c r="AC6107" s="247"/>
      <c r="AT6107" s="247"/>
    </row>
    <row r="6108">
      <c r="C6108" s="277"/>
      <c r="O6108" s="247"/>
      <c r="AC6108" s="247"/>
      <c r="AT6108" s="247"/>
    </row>
    <row r="6109">
      <c r="C6109" s="277"/>
      <c r="O6109" s="247"/>
      <c r="AC6109" s="247"/>
      <c r="AT6109" s="247"/>
    </row>
    <row r="6110">
      <c r="C6110" s="277"/>
      <c r="O6110" s="247"/>
      <c r="AC6110" s="247"/>
      <c r="AT6110" s="247"/>
    </row>
    <row r="6111">
      <c r="C6111" s="277"/>
      <c r="O6111" s="247"/>
      <c r="AC6111" s="247"/>
      <c r="AT6111" s="247"/>
    </row>
    <row r="6112">
      <c r="C6112" s="277"/>
      <c r="O6112" s="247"/>
      <c r="AC6112" s="247"/>
      <c r="AT6112" s="247"/>
    </row>
    <row r="6113">
      <c r="C6113" s="277"/>
      <c r="O6113" s="247"/>
      <c r="AC6113" s="247"/>
      <c r="AT6113" s="247"/>
    </row>
    <row r="6114">
      <c r="C6114" s="277"/>
      <c r="O6114" s="247"/>
      <c r="AC6114" s="247"/>
      <c r="AT6114" s="247"/>
    </row>
    <row r="6115">
      <c r="C6115" s="277"/>
      <c r="O6115" s="247"/>
      <c r="AC6115" s="247"/>
      <c r="AT6115" s="247"/>
    </row>
    <row r="6116">
      <c r="C6116" s="277"/>
      <c r="O6116" s="247"/>
      <c r="AC6116" s="247"/>
      <c r="AT6116" s="247"/>
    </row>
    <row r="6117">
      <c r="C6117" s="277"/>
      <c r="O6117" s="247"/>
      <c r="AC6117" s="247"/>
      <c r="AT6117" s="247"/>
    </row>
    <row r="6118">
      <c r="C6118" s="277"/>
      <c r="O6118" s="247"/>
      <c r="AC6118" s="247"/>
      <c r="AT6118" s="247"/>
    </row>
    <row r="6119">
      <c r="C6119" s="277"/>
      <c r="O6119" s="247"/>
      <c r="AC6119" s="247"/>
      <c r="AT6119" s="247"/>
    </row>
    <row r="6120">
      <c r="C6120" s="277"/>
      <c r="O6120" s="247"/>
      <c r="AC6120" s="247"/>
      <c r="AT6120" s="247"/>
    </row>
    <row r="6121">
      <c r="C6121" s="277"/>
      <c r="O6121" s="247"/>
      <c r="AC6121" s="247"/>
      <c r="AT6121" s="247"/>
    </row>
    <row r="6122">
      <c r="C6122" s="277"/>
      <c r="O6122" s="247"/>
      <c r="AC6122" s="247"/>
      <c r="AT6122" s="247"/>
    </row>
    <row r="6123">
      <c r="C6123" s="277"/>
      <c r="O6123" s="247"/>
      <c r="AC6123" s="247"/>
      <c r="AT6123" s="247"/>
    </row>
    <row r="6124">
      <c r="C6124" s="277"/>
      <c r="O6124" s="247"/>
      <c r="AC6124" s="247"/>
      <c r="AT6124" s="247"/>
    </row>
    <row r="6125">
      <c r="C6125" s="277"/>
      <c r="O6125" s="247"/>
      <c r="AC6125" s="247"/>
      <c r="AT6125" s="247"/>
    </row>
    <row r="6126">
      <c r="C6126" s="277"/>
      <c r="O6126" s="247"/>
      <c r="AC6126" s="247"/>
      <c r="AT6126" s="247"/>
    </row>
    <row r="6127">
      <c r="C6127" s="277"/>
      <c r="O6127" s="247"/>
      <c r="AC6127" s="247"/>
      <c r="AT6127" s="247"/>
    </row>
    <row r="6128">
      <c r="C6128" s="277"/>
      <c r="O6128" s="247"/>
      <c r="AC6128" s="247"/>
      <c r="AT6128" s="247"/>
    </row>
    <row r="6129">
      <c r="C6129" s="277"/>
      <c r="O6129" s="247"/>
      <c r="AC6129" s="247"/>
      <c r="AT6129" s="247"/>
    </row>
    <row r="6130">
      <c r="C6130" s="277"/>
      <c r="O6130" s="247"/>
      <c r="AC6130" s="247"/>
      <c r="AT6130" s="247"/>
    </row>
    <row r="6131">
      <c r="C6131" s="277"/>
      <c r="O6131" s="247"/>
      <c r="AC6131" s="247"/>
      <c r="AT6131" s="247"/>
    </row>
    <row r="6132">
      <c r="C6132" s="277"/>
      <c r="O6132" s="247"/>
      <c r="AC6132" s="247"/>
      <c r="AT6132" s="247"/>
    </row>
    <row r="6133">
      <c r="C6133" s="277"/>
      <c r="O6133" s="247"/>
      <c r="AC6133" s="247"/>
      <c r="AT6133" s="247"/>
    </row>
    <row r="6134">
      <c r="C6134" s="277"/>
      <c r="O6134" s="247"/>
      <c r="AC6134" s="247"/>
      <c r="AT6134" s="247"/>
    </row>
    <row r="6135">
      <c r="C6135" s="277"/>
      <c r="O6135" s="247"/>
      <c r="AC6135" s="247"/>
      <c r="AT6135" s="247"/>
    </row>
    <row r="6136">
      <c r="C6136" s="277"/>
      <c r="O6136" s="247"/>
      <c r="AC6136" s="247"/>
      <c r="AT6136" s="247"/>
    </row>
    <row r="6137">
      <c r="C6137" s="277"/>
      <c r="O6137" s="247"/>
      <c r="AC6137" s="247"/>
      <c r="AT6137" s="247"/>
    </row>
    <row r="6138">
      <c r="C6138" s="277"/>
      <c r="O6138" s="247"/>
      <c r="AC6138" s="247"/>
      <c r="AT6138" s="247"/>
    </row>
    <row r="6139">
      <c r="C6139" s="277"/>
      <c r="O6139" s="247"/>
      <c r="AC6139" s="247"/>
      <c r="AT6139" s="247"/>
    </row>
    <row r="6140">
      <c r="C6140" s="277"/>
      <c r="O6140" s="247"/>
      <c r="AC6140" s="247"/>
      <c r="AT6140" s="247"/>
    </row>
    <row r="6141">
      <c r="C6141" s="277"/>
      <c r="O6141" s="247"/>
      <c r="AC6141" s="247"/>
      <c r="AT6141" s="247"/>
    </row>
    <row r="6142">
      <c r="C6142" s="277"/>
      <c r="O6142" s="247"/>
      <c r="AC6142" s="247"/>
      <c r="AT6142" s="247"/>
    </row>
    <row r="6143">
      <c r="C6143" s="277"/>
      <c r="O6143" s="247"/>
      <c r="AC6143" s="247"/>
      <c r="AT6143" s="247"/>
    </row>
    <row r="6144">
      <c r="C6144" s="277"/>
      <c r="O6144" s="247"/>
      <c r="AC6144" s="247"/>
      <c r="AT6144" s="247"/>
    </row>
    <row r="6145">
      <c r="C6145" s="277"/>
      <c r="O6145" s="247"/>
      <c r="AC6145" s="247"/>
      <c r="AT6145" s="247"/>
    </row>
    <row r="6146">
      <c r="C6146" s="277"/>
      <c r="O6146" s="247"/>
      <c r="AC6146" s="247"/>
      <c r="AT6146" s="247"/>
    </row>
    <row r="6147">
      <c r="C6147" s="277"/>
      <c r="O6147" s="247"/>
      <c r="AC6147" s="247"/>
      <c r="AT6147" s="247"/>
    </row>
    <row r="6148">
      <c r="C6148" s="277"/>
      <c r="O6148" s="247"/>
      <c r="AC6148" s="247"/>
      <c r="AT6148" s="247"/>
    </row>
    <row r="6149">
      <c r="C6149" s="277"/>
      <c r="O6149" s="247"/>
      <c r="AC6149" s="247"/>
      <c r="AT6149" s="247"/>
    </row>
    <row r="6150">
      <c r="C6150" s="277"/>
      <c r="O6150" s="247"/>
      <c r="AC6150" s="247"/>
      <c r="AT6150" s="247"/>
    </row>
    <row r="6151">
      <c r="C6151" s="277"/>
      <c r="O6151" s="247"/>
      <c r="AC6151" s="247"/>
      <c r="AT6151" s="247"/>
    </row>
    <row r="6152">
      <c r="C6152" s="277"/>
      <c r="O6152" s="247"/>
      <c r="AC6152" s="247"/>
      <c r="AT6152" s="247"/>
    </row>
    <row r="6153">
      <c r="C6153" s="277"/>
      <c r="O6153" s="247"/>
      <c r="AC6153" s="247"/>
      <c r="AT6153" s="247"/>
    </row>
    <row r="6154">
      <c r="C6154" s="277"/>
      <c r="O6154" s="247"/>
      <c r="AC6154" s="247"/>
      <c r="AT6154" s="247"/>
    </row>
    <row r="6155">
      <c r="C6155" s="277"/>
      <c r="O6155" s="247"/>
      <c r="AC6155" s="247"/>
      <c r="AT6155" s="247"/>
    </row>
    <row r="6156">
      <c r="C6156" s="277"/>
      <c r="O6156" s="247"/>
      <c r="AC6156" s="247"/>
      <c r="AT6156" s="247"/>
    </row>
    <row r="6157">
      <c r="C6157" s="277"/>
      <c r="O6157" s="247"/>
      <c r="AC6157" s="247"/>
      <c r="AT6157" s="247"/>
    </row>
    <row r="6158">
      <c r="C6158" s="277"/>
      <c r="O6158" s="247"/>
      <c r="AC6158" s="247"/>
      <c r="AT6158" s="247"/>
    </row>
    <row r="6159">
      <c r="C6159" s="277"/>
      <c r="O6159" s="247"/>
      <c r="AC6159" s="247"/>
      <c r="AT6159" s="247"/>
    </row>
    <row r="6160">
      <c r="C6160" s="277"/>
      <c r="O6160" s="247"/>
      <c r="AC6160" s="247"/>
      <c r="AT6160" s="247"/>
    </row>
    <row r="6161">
      <c r="C6161" s="277"/>
      <c r="O6161" s="247"/>
      <c r="AC6161" s="247"/>
      <c r="AT6161" s="247"/>
    </row>
    <row r="6162">
      <c r="C6162" s="277"/>
      <c r="O6162" s="247"/>
      <c r="AC6162" s="247"/>
      <c r="AT6162" s="247"/>
    </row>
    <row r="6163">
      <c r="C6163" s="277"/>
      <c r="O6163" s="247"/>
      <c r="AC6163" s="247"/>
      <c r="AT6163" s="247"/>
    </row>
    <row r="6164">
      <c r="C6164" s="277"/>
      <c r="O6164" s="247"/>
      <c r="AC6164" s="247"/>
      <c r="AT6164" s="247"/>
    </row>
    <row r="6165">
      <c r="C6165" s="277"/>
      <c r="O6165" s="247"/>
      <c r="AC6165" s="247"/>
      <c r="AT6165" s="247"/>
    </row>
    <row r="6166">
      <c r="C6166" s="277"/>
      <c r="O6166" s="247"/>
      <c r="AC6166" s="247"/>
      <c r="AT6166" s="247"/>
    </row>
    <row r="6167">
      <c r="C6167" s="277"/>
      <c r="O6167" s="247"/>
      <c r="AC6167" s="247"/>
      <c r="AT6167" s="247"/>
    </row>
    <row r="6168">
      <c r="C6168" s="277"/>
      <c r="O6168" s="247"/>
      <c r="AC6168" s="247"/>
      <c r="AT6168" s="247"/>
    </row>
    <row r="6169">
      <c r="C6169" s="277"/>
      <c r="O6169" s="247"/>
      <c r="AC6169" s="247"/>
      <c r="AT6169" s="247"/>
    </row>
    <row r="6170">
      <c r="C6170" s="277"/>
      <c r="O6170" s="247"/>
      <c r="AC6170" s="247"/>
      <c r="AT6170" s="247"/>
    </row>
    <row r="6171">
      <c r="C6171" s="277"/>
      <c r="O6171" s="247"/>
      <c r="AC6171" s="247"/>
      <c r="AT6171" s="247"/>
    </row>
    <row r="6172">
      <c r="C6172" s="277"/>
      <c r="O6172" s="247"/>
      <c r="AC6172" s="247"/>
      <c r="AT6172" s="247"/>
    </row>
    <row r="6173">
      <c r="C6173" s="277"/>
      <c r="O6173" s="247"/>
      <c r="AC6173" s="247"/>
      <c r="AT6173" s="247"/>
    </row>
    <row r="6174">
      <c r="C6174" s="277"/>
      <c r="O6174" s="247"/>
      <c r="AC6174" s="247"/>
      <c r="AT6174" s="247"/>
    </row>
    <row r="6175">
      <c r="C6175" s="277"/>
      <c r="O6175" s="247"/>
      <c r="AC6175" s="247"/>
      <c r="AT6175" s="247"/>
    </row>
    <row r="6176">
      <c r="C6176" s="277"/>
      <c r="O6176" s="247"/>
      <c r="AC6176" s="247"/>
      <c r="AT6176" s="247"/>
    </row>
    <row r="6177">
      <c r="C6177" s="277"/>
      <c r="O6177" s="247"/>
      <c r="AC6177" s="247"/>
      <c r="AT6177" s="247"/>
    </row>
    <row r="6178">
      <c r="C6178" s="277"/>
      <c r="O6178" s="247"/>
      <c r="AC6178" s="247"/>
      <c r="AT6178" s="247"/>
    </row>
    <row r="6179">
      <c r="C6179" s="277"/>
      <c r="O6179" s="247"/>
      <c r="AC6179" s="247"/>
      <c r="AT6179" s="247"/>
    </row>
    <row r="6180">
      <c r="C6180" s="277"/>
      <c r="O6180" s="247"/>
      <c r="AC6180" s="247"/>
      <c r="AT6180" s="247"/>
    </row>
    <row r="6181">
      <c r="C6181" s="277"/>
      <c r="O6181" s="247"/>
      <c r="AC6181" s="247"/>
      <c r="AT6181" s="247"/>
    </row>
    <row r="6182">
      <c r="C6182" s="277"/>
      <c r="O6182" s="247"/>
      <c r="AC6182" s="247"/>
      <c r="AT6182" s="247"/>
    </row>
    <row r="6183">
      <c r="C6183" s="277"/>
      <c r="O6183" s="247"/>
      <c r="AC6183" s="247"/>
      <c r="AT6183" s="247"/>
    </row>
    <row r="6184">
      <c r="C6184" s="277"/>
      <c r="O6184" s="247"/>
      <c r="AC6184" s="247"/>
      <c r="AT6184" s="247"/>
    </row>
    <row r="6185">
      <c r="C6185" s="277"/>
      <c r="O6185" s="247"/>
      <c r="AC6185" s="247"/>
      <c r="AT6185" s="247"/>
    </row>
    <row r="6186">
      <c r="C6186" s="277"/>
      <c r="O6186" s="247"/>
      <c r="AC6186" s="247"/>
      <c r="AT6186" s="247"/>
    </row>
    <row r="6187">
      <c r="C6187" s="277"/>
      <c r="O6187" s="247"/>
      <c r="AC6187" s="247"/>
      <c r="AT6187" s="247"/>
    </row>
    <row r="6188">
      <c r="C6188" s="277"/>
      <c r="O6188" s="247"/>
      <c r="AC6188" s="247"/>
      <c r="AT6188" s="247"/>
    </row>
    <row r="6189">
      <c r="C6189" s="277"/>
      <c r="O6189" s="247"/>
      <c r="AC6189" s="247"/>
      <c r="AT6189" s="247"/>
    </row>
    <row r="6190">
      <c r="C6190" s="277"/>
      <c r="O6190" s="247"/>
      <c r="AC6190" s="247"/>
      <c r="AT6190" s="247"/>
    </row>
    <row r="6191">
      <c r="C6191" s="277"/>
      <c r="O6191" s="247"/>
      <c r="AC6191" s="247"/>
      <c r="AT6191" s="247"/>
    </row>
    <row r="6192">
      <c r="C6192" s="277"/>
      <c r="O6192" s="247"/>
      <c r="AC6192" s="247"/>
      <c r="AT6192" s="247"/>
    </row>
    <row r="6193">
      <c r="C6193" s="277"/>
      <c r="O6193" s="247"/>
      <c r="AC6193" s="247"/>
      <c r="AT6193" s="247"/>
    </row>
    <row r="6194">
      <c r="C6194" s="277"/>
      <c r="O6194" s="247"/>
      <c r="AC6194" s="247"/>
      <c r="AT6194" s="247"/>
    </row>
    <row r="6195">
      <c r="C6195" s="277"/>
      <c r="O6195" s="247"/>
      <c r="AC6195" s="247"/>
      <c r="AT6195" s="247"/>
    </row>
    <row r="6196">
      <c r="C6196" s="277"/>
      <c r="O6196" s="247"/>
      <c r="AC6196" s="247"/>
      <c r="AT6196" s="247"/>
    </row>
    <row r="6197">
      <c r="C6197" s="277"/>
      <c r="O6197" s="247"/>
      <c r="AC6197" s="247"/>
      <c r="AT6197" s="247"/>
    </row>
    <row r="6198">
      <c r="C6198" s="277"/>
      <c r="O6198" s="247"/>
      <c r="AC6198" s="247"/>
      <c r="AT6198" s="247"/>
    </row>
    <row r="6199">
      <c r="C6199" s="277"/>
      <c r="O6199" s="247"/>
      <c r="AC6199" s="247"/>
      <c r="AT6199" s="247"/>
    </row>
    <row r="6200">
      <c r="C6200" s="277"/>
      <c r="O6200" s="247"/>
      <c r="AC6200" s="247"/>
      <c r="AT6200" s="247"/>
    </row>
    <row r="6201">
      <c r="C6201" s="277"/>
      <c r="O6201" s="247"/>
      <c r="AC6201" s="247"/>
      <c r="AT6201" s="247"/>
    </row>
    <row r="6202">
      <c r="C6202" s="277"/>
      <c r="O6202" s="247"/>
      <c r="AC6202" s="247"/>
      <c r="AT6202" s="247"/>
    </row>
    <row r="6203">
      <c r="C6203" s="277"/>
      <c r="O6203" s="247"/>
      <c r="AC6203" s="247"/>
      <c r="AT6203" s="247"/>
    </row>
    <row r="6204">
      <c r="C6204" s="277"/>
      <c r="O6204" s="247"/>
      <c r="AC6204" s="247"/>
      <c r="AT6204" s="247"/>
    </row>
    <row r="6205">
      <c r="C6205" s="277"/>
      <c r="O6205" s="247"/>
      <c r="AC6205" s="247"/>
      <c r="AT6205" s="247"/>
    </row>
    <row r="6206">
      <c r="C6206" s="277"/>
      <c r="O6206" s="247"/>
      <c r="AC6206" s="247"/>
      <c r="AT6206" s="247"/>
    </row>
    <row r="6207">
      <c r="C6207" s="277"/>
      <c r="O6207" s="247"/>
      <c r="AC6207" s="247"/>
      <c r="AT6207" s="247"/>
    </row>
    <row r="6208">
      <c r="C6208" s="277"/>
      <c r="O6208" s="247"/>
      <c r="AC6208" s="247"/>
      <c r="AT6208" s="247"/>
    </row>
    <row r="6209">
      <c r="C6209" s="277"/>
      <c r="O6209" s="247"/>
      <c r="AC6209" s="247"/>
      <c r="AT6209" s="247"/>
    </row>
    <row r="6210">
      <c r="C6210" s="277"/>
      <c r="O6210" s="247"/>
      <c r="AC6210" s="247"/>
      <c r="AT6210" s="247"/>
    </row>
    <row r="6211">
      <c r="C6211" s="277"/>
      <c r="O6211" s="247"/>
      <c r="AC6211" s="247"/>
      <c r="AT6211" s="247"/>
    </row>
    <row r="6212">
      <c r="C6212" s="277"/>
      <c r="O6212" s="247"/>
      <c r="AC6212" s="247"/>
      <c r="AT6212" s="247"/>
    </row>
    <row r="6213">
      <c r="C6213" s="277"/>
      <c r="O6213" s="247"/>
      <c r="AC6213" s="247"/>
      <c r="AT6213" s="247"/>
    </row>
    <row r="6214">
      <c r="C6214" s="277"/>
      <c r="O6214" s="247"/>
      <c r="AC6214" s="247"/>
      <c r="AT6214" s="247"/>
    </row>
    <row r="6215">
      <c r="C6215" s="277"/>
      <c r="O6215" s="247"/>
      <c r="AC6215" s="247"/>
      <c r="AT6215" s="247"/>
    </row>
    <row r="6216">
      <c r="C6216" s="277"/>
      <c r="O6216" s="247"/>
      <c r="AC6216" s="247"/>
      <c r="AT6216" s="247"/>
    </row>
    <row r="6217">
      <c r="C6217" s="277"/>
      <c r="O6217" s="247"/>
      <c r="AC6217" s="247"/>
      <c r="AT6217" s="247"/>
    </row>
    <row r="6218">
      <c r="C6218" s="277"/>
      <c r="O6218" s="247"/>
      <c r="AC6218" s="247"/>
      <c r="AT6218" s="247"/>
    </row>
    <row r="6219">
      <c r="C6219" s="277"/>
      <c r="O6219" s="247"/>
      <c r="AC6219" s="247"/>
      <c r="AT6219" s="247"/>
    </row>
    <row r="6220">
      <c r="C6220" s="277"/>
      <c r="O6220" s="247"/>
      <c r="AC6220" s="247"/>
      <c r="AT6220" s="247"/>
    </row>
    <row r="6221">
      <c r="C6221" s="277"/>
      <c r="O6221" s="247"/>
      <c r="AC6221" s="247"/>
      <c r="AT6221" s="247"/>
    </row>
    <row r="6222">
      <c r="C6222" s="277"/>
      <c r="O6222" s="247"/>
      <c r="AC6222" s="247"/>
      <c r="AT6222" s="247"/>
    </row>
    <row r="6223">
      <c r="C6223" s="277"/>
      <c r="O6223" s="247"/>
      <c r="AC6223" s="247"/>
      <c r="AT6223" s="247"/>
    </row>
    <row r="6224">
      <c r="C6224" s="277"/>
      <c r="O6224" s="247"/>
      <c r="AC6224" s="247"/>
      <c r="AT6224" s="247"/>
    </row>
    <row r="6225">
      <c r="C6225" s="277"/>
      <c r="O6225" s="247"/>
      <c r="AC6225" s="247"/>
      <c r="AT6225" s="247"/>
    </row>
    <row r="6226">
      <c r="C6226" s="277"/>
      <c r="O6226" s="247"/>
      <c r="AC6226" s="247"/>
      <c r="AT6226" s="247"/>
    </row>
    <row r="6227">
      <c r="C6227" s="277"/>
      <c r="O6227" s="247"/>
      <c r="AC6227" s="247"/>
      <c r="AT6227" s="247"/>
    </row>
    <row r="6228">
      <c r="C6228" s="277"/>
      <c r="O6228" s="247"/>
      <c r="AC6228" s="247"/>
      <c r="AT6228" s="247"/>
    </row>
    <row r="6229">
      <c r="C6229" s="277"/>
      <c r="O6229" s="247"/>
      <c r="AC6229" s="247"/>
      <c r="AT6229" s="247"/>
    </row>
    <row r="6230">
      <c r="C6230" s="277"/>
      <c r="O6230" s="247"/>
      <c r="AC6230" s="247"/>
      <c r="AT6230" s="247"/>
    </row>
    <row r="6231">
      <c r="C6231" s="277"/>
      <c r="O6231" s="247"/>
      <c r="AC6231" s="247"/>
      <c r="AT6231" s="247"/>
    </row>
    <row r="6232">
      <c r="C6232" s="277"/>
      <c r="O6232" s="247"/>
      <c r="AC6232" s="247"/>
      <c r="AT6232" s="247"/>
    </row>
    <row r="6233">
      <c r="C6233" s="277"/>
      <c r="O6233" s="247"/>
      <c r="AC6233" s="247"/>
      <c r="AT6233" s="247"/>
    </row>
    <row r="6234">
      <c r="C6234" s="277"/>
      <c r="O6234" s="247"/>
      <c r="AC6234" s="247"/>
      <c r="AT6234" s="247"/>
    </row>
    <row r="6235">
      <c r="C6235" s="277"/>
      <c r="O6235" s="247"/>
      <c r="AC6235" s="247"/>
      <c r="AT6235" s="247"/>
    </row>
    <row r="6236">
      <c r="C6236" s="277"/>
      <c r="O6236" s="247"/>
      <c r="AC6236" s="247"/>
      <c r="AT6236" s="247"/>
    </row>
    <row r="6237">
      <c r="C6237" s="277"/>
      <c r="O6237" s="247"/>
      <c r="AC6237" s="247"/>
      <c r="AT6237" s="247"/>
    </row>
    <row r="6238">
      <c r="C6238" s="277"/>
      <c r="O6238" s="247"/>
      <c r="AC6238" s="247"/>
      <c r="AT6238" s="247"/>
    </row>
    <row r="6239">
      <c r="C6239" s="277"/>
      <c r="O6239" s="247"/>
      <c r="AC6239" s="247"/>
      <c r="AT6239" s="247"/>
    </row>
    <row r="6240">
      <c r="C6240" s="277"/>
      <c r="O6240" s="247"/>
      <c r="AC6240" s="247"/>
      <c r="AT6240" s="247"/>
    </row>
    <row r="6241">
      <c r="C6241" s="277"/>
      <c r="O6241" s="247"/>
      <c r="AC6241" s="247"/>
      <c r="AT6241" s="247"/>
    </row>
    <row r="6242">
      <c r="C6242" s="277"/>
      <c r="O6242" s="247"/>
      <c r="AC6242" s="247"/>
      <c r="AT6242" s="247"/>
    </row>
    <row r="6243">
      <c r="C6243" s="277"/>
      <c r="O6243" s="247"/>
      <c r="AC6243" s="247"/>
      <c r="AT6243" s="247"/>
    </row>
    <row r="6244">
      <c r="C6244" s="277"/>
      <c r="O6244" s="247"/>
      <c r="AC6244" s="247"/>
      <c r="AT6244" s="247"/>
    </row>
    <row r="6245">
      <c r="C6245" s="277"/>
      <c r="O6245" s="247"/>
      <c r="AC6245" s="247"/>
      <c r="AT6245" s="247"/>
    </row>
    <row r="6246">
      <c r="C6246" s="277"/>
      <c r="O6246" s="247"/>
      <c r="AC6246" s="247"/>
      <c r="AT6246" s="247"/>
    </row>
    <row r="6247">
      <c r="C6247" s="277"/>
      <c r="O6247" s="247"/>
      <c r="AC6247" s="247"/>
      <c r="AT6247" s="247"/>
    </row>
    <row r="6248">
      <c r="C6248" s="277"/>
      <c r="O6248" s="247"/>
      <c r="AC6248" s="247"/>
      <c r="AT6248" s="247"/>
    </row>
    <row r="6249">
      <c r="C6249" s="277"/>
      <c r="O6249" s="247"/>
      <c r="AC6249" s="247"/>
      <c r="AT6249" s="247"/>
    </row>
    <row r="6250">
      <c r="C6250" s="277"/>
      <c r="O6250" s="247"/>
      <c r="AC6250" s="247"/>
      <c r="AT6250" s="247"/>
    </row>
    <row r="6251">
      <c r="C6251" s="277"/>
      <c r="O6251" s="247"/>
      <c r="AC6251" s="247"/>
      <c r="AT6251" s="247"/>
    </row>
    <row r="6252">
      <c r="C6252" s="277"/>
      <c r="O6252" s="247"/>
      <c r="AC6252" s="247"/>
      <c r="AT6252" s="247"/>
    </row>
    <row r="6253">
      <c r="C6253" s="277"/>
      <c r="O6253" s="247"/>
      <c r="AC6253" s="247"/>
      <c r="AT6253" s="247"/>
    </row>
    <row r="6254">
      <c r="C6254" s="277"/>
      <c r="O6254" s="247"/>
      <c r="AC6254" s="247"/>
      <c r="AT6254" s="247"/>
    </row>
    <row r="6255">
      <c r="C6255" s="277"/>
      <c r="O6255" s="247"/>
      <c r="AC6255" s="247"/>
      <c r="AT6255" s="247"/>
    </row>
    <row r="6256">
      <c r="C6256" s="277"/>
      <c r="O6256" s="247"/>
      <c r="AC6256" s="247"/>
      <c r="AT6256" s="247"/>
    </row>
    <row r="6257">
      <c r="C6257" s="277"/>
      <c r="O6257" s="247"/>
      <c r="AC6257" s="247"/>
      <c r="AT6257" s="247"/>
    </row>
    <row r="6258">
      <c r="C6258" s="277"/>
      <c r="O6258" s="247"/>
      <c r="AC6258" s="247"/>
      <c r="AT6258" s="247"/>
    </row>
    <row r="6259">
      <c r="C6259" s="277"/>
      <c r="O6259" s="247"/>
      <c r="AC6259" s="247"/>
      <c r="AT6259" s="247"/>
    </row>
    <row r="6260">
      <c r="C6260" s="277"/>
      <c r="O6260" s="247"/>
      <c r="AC6260" s="247"/>
      <c r="AT6260" s="247"/>
    </row>
    <row r="6261">
      <c r="C6261" s="277"/>
      <c r="O6261" s="247"/>
      <c r="AC6261" s="247"/>
      <c r="AT6261" s="247"/>
    </row>
    <row r="6262">
      <c r="C6262" s="277"/>
      <c r="O6262" s="247"/>
      <c r="AC6262" s="247"/>
      <c r="AT6262" s="247"/>
    </row>
    <row r="6263">
      <c r="C6263" s="277"/>
      <c r="O6263" s="247"/>
      <c r="AC6263" s="247"/>
      <c r="AT6263" s="247"/>
    </row>
    <row r="6264">
      <c r="C6264" s="277"/>
      <c r="O6264" s="247"/>
      <c r="AC6264" s="247"/>
      <c r="AT6264" s="247"/>
    </row>
    <row r="6265">
      <c r="C6265" s="277"/>
      <c r="O6265" s="247"/>
      <c r="AC6265" s="247"/>
      <c r="AT6265" s="247"/>
    </row>
    <row r="6266">
      <c r="C6266" s="277"/>
      <c r="O6266" s="247"/>
      <c r="AC6266" s="247"/>
      <c r="AT6266" s="247"/>
    </row>
    <row r="6267">
      <c r="C6267" s="277"/>
      <c r="O6267" s="247"/>
      <c r="AC6267" s="247"/>
      <c r="AT6267" s="247"/>
    </row>
    <row r="6268">
      <c r="C6268" s="277"/>
      <c r="O6268" s="247"/>
      <c r="AC6268" s="247"/>
      <c r="AT6268" s="247"/>
    </row>
    <row r="6269">
      <c r="C6269" s="277"/>
      <c r="O6269" s="247"/>
      <c r="AC6269" s="247"/>
      <c r="AT6269" s="247"/>
    </row>
    <row r="6270">
      <c r="C6270" s="277"/>
      <c r="O6270" s="247"/>
      <c r="AC6270" s="247"/>
      <c r="AT6270" s="247"/>
    </row>
    <row r="6271">
      <c r="C6271" s="277"/>
      <c r="O6271" s="247"/>
      <c r="AC6271" s="247"/>
      <c r="AT6271" s="247"/>
    </row>
    <row r="6272">
      <c r="C6272" s="277"/>
      <c r="O6272" s="247"/>
      <c r="AC6272" s="247"/>
      <c r="AT6272" s="247"/>
    </row>
    <row r="6273">
      <c r="C6273" s="277"/>
      <c r="O6273" s="247"/>
      <c r="AC6273" s="247"/>
      <c r="AT6273" s="247"/>
    </row>
    <row r="6274">
      <c r="C6274" s="277"/>
      <c r="O6274" s="247"/>
      <c r="AC6274" s="247"/>
      <c r="AT6274" s="247"/>
    </row>
    <row r="6275">
      <c r="C6275" s="277"/>
      <c r="O6275" s="247"/>
      <c r="AC6275" s="247"/>
      <c r="AT6275" s="247"/>
    </row>
    <row r="6276">
      <c r="C6276" s="277"/>
      <c r="O6276" s="247"/>
      <c r="AC6276" s="247"/>
      <c r="AT6276" s="247"/>
    </row>
    <row r="6277">
      <c r="C6277" s="277"/>
      <c r="O6277" s="247"/>
      <c r="AC6277" s="247"/>
      <c r="AT6277" s="247"/>
    </row>
    <row r="6278">
      <c r="C6278" s="277"/>
      <c r="O6278" s="247"/>
      <c r="AC6278" s="247"/>
      <c r="AT6278" s="247"/>
    </row>
    <row r="6279">
      <c r="C6279" s="277"/>
      <c r="O6279" s="247"/>
      <c r="AC6279" s="247"/>
      <c r="AT6279" s="247"/>
    </row>
    <row r="6280">
      <c r="C6280" s="277"/>
      <c r="O6280" s="247"/>
      <c r="AC6280" s="247"/>
      <c r="AT6280" s="247"/>
    </row>
    <row r="6281">
      <c r="C6281" s="277"/>
      <c r="O6281" s="247"/>
      <c r="AC6281" s="247"/>
      <c r="AT6281" s="247"/>
    </row>
    <row r="6282">
      <c r="C6282" s="277"/>
      <c r="O6282" s="247"/>
      <c r="AC6282" s="247"/>
      <c r="AT6282" s="247"/>
    </row>
    <row r="6283">
      <c r="C6283" s="277"/>
      <c r="O6283" s="247"/>
      <c r="AC6283" s="247"/>
      <c r="AT6283" s="247"/>
    </row>
    <row r="6284">
      <c r="C6284" s="277"/>
      <c r="O6284" s="247"/>
      <c r="AC6284" s="247"/>
      <c r="AT6284" s="247"/>
    </row>
    <row r="6285">
      <c r="C6285" s="277"/>
      <c r="O6285" s="247"/>
      <c r="AC6285" s="247"/>
      <c r="AT6285" s="247"/>
    </row>
    <row r="6286">
      <c r="C6286" s="277"/>
      <c r="O6286" s="247"/>
      <c r="AC6286" s="247"/>
      <c r="AT6286" s="247"/>
    </row>
    <row r="6287">
      <c r="C6287" s="277"/>
      <c r="O6287" s="247"/>
      <c r="AC6287" s="247"/>
      <c r="AT6287" s="247"/>
    </row>
    <row r="6288">
      <c r="C6288" s="277"/>
      <c r="O6288" s="247"/>
      <c r="AC6288" s="247"/>
      <c r="AT6288" s="247"/>
    </row>
    <row r="6289">
      <c r="C6289" s="277"/>
      <c r="O6289" s="247"/>
      <c r="AC6289" s="247"/>
      <c r="AT6289" s="247"/>
    </row>
    <row r="6290">
      <c r="C6290" s="277"/>
      <c r="O6290" s="247"/>
      <c r="AC6290" s="247"/>
      <c r="AT6290" s="247"/>
    </row>
    <row r="6291">
      <c r="C6291" s="277"/>
      <c r="O6291" s="247"/>
      <c r="AC6291" s="247"/>
      <c r="AT6291" s="247"/>
    </row>
    <row r="6292">
      <c r="C6292" s="277"/>
      <c r="O6292" s="247"/>
      <c r="AC6292" s="247"/>
      <c r="AT6292" s="247"/>
    </row>
    <row r="6293">
      <c r="C6293" s="277"/>
      <c r="O6293" s="247"/>
      <c r="AC6293" s="247"/>
      <c r="AT6293" s="247"/>
    </row>
    <row r="6294">
      <c r="C6294" s="277"/>
      <c r="O6294" s="247"/>
      <c r="AC6294" s="247"/>
      <c r="AT6294" s="247"/>
    </row>
    <row r="6295">
      <c r="C6295" s="277"/>
      <c r="O6295" s="247"/>
      <c r="AC6295" s="247"/>
      <c r="AT6295" s="247"/>
    </row>
    <row r="6296">
      <c r="C6296" s="277"/>
      <c r="O6296" s="247"/>
      <c r="AC6296" s="247"/>
      <c r="AT6296" s="247"/>
    </row>
    <row r="6297">
      <c r="C6297" s="277"/>
      <c r="O6297" s="247"/>
      <c r="AC6297" s="247"/>
      <c r="AT6297" s="247"/>
    </row>
    <row r="6298">
      <c r="C6298" s="277"/>
      <c r="O6298" s="247"/>
      <c r="AC6298" s="247"/>
      <c r="AT6298" s="247"/>
    </row>
    <row r="6299">
      <c r="C6299" s="277"/>
      <c r="O6299" s="247"/>
      <c r="AC6299" s="247"/>
      <c r="AT6299" s="247"/>
    </row>
    <row r="6300">
      <c r="C6300" s="277"/>
      <c r="O6300" s="247"/>
      <c r="AC6300" s="247"/>
      <c r="AT6300" s="247"/>
    </row>
    <row r="6301">
      <c r="C6301" s="277"/>
      <c r="O6301" s="247"/>
      <c r="AC6301" s="247"/>
      <c r="AT6301" s="247"/>
    </row>
    <row r="6302">
      <c r="C6302" s="277"/>
      <c r="O6302" s="247"/>
      <c r="AC6302" s="247"/>
      <c r="AT6302" s="247"/>
    </row>
    <row r="6303">
      <c r="C6303" s="277"/>
      <c r="O6303" s="247"/>
      <c r="AC6303" s="247"/>
      <c r="AT6303" s="247"/>
    </row>
    <row r="6304">
      <c r="C6304" s="277"/>
      <c r="O6304" s="247"/>
      <c r="AC6304" s="247"/>
      <c r="AT6304" s="247"/>
    </row>
    <row r="6305">
      <c r="C6305" s="277"/>
      <c r="O6305" s="247"/>
      <c r="AC6305" s="247"/>
      <c r="AT6305" s="247"/>
    </row>
    <row r="6306">
      <c r="C6306" s="277"/>
      <c r="O6306" s="247"/>
      <c r="AC6306" s="247"/>
      <c r="AT6306" s="247"/>
    </row>
    <row r="6307">
      <c r="C6307" s="277"/>
      <c r="O6307" s="247"/>
      <c r="AC6307" s="247"/>
      <c r="AT6307" s="247"/>
    </row>
    <row r="6308">
      <c r="C6308" s="277"/>
      <c r="O6308" s="247"/>
      <c r="AC6308" s="247"/>
      <c r="AT6308" s="247"/>
    </row>
    <row r="6309">
      <c r="C6309" s="277"/>
      <c r="O6309" s="247"/>
      <c r="AC6309" s="247"/>
      <c r="AT6309" s="247"/>
    </row>
    <row r="6310">
      <c r="C6310" s="277"/>
      <c r="O6310" s="247"/>
      <c r="AC6310" s="247"/>
      <c r="AT6310" s="247"/>
    </row>
    <row r="6311">
      <c r="C6311" s="277"/>
      <c r="O6311" s="247"/>
      <c r="AC6311" s="247"/>
      <c r="AT6311" s="247"/>
    </row>
    <row r="6312">
      <c r="C6312" s="277"/>
      <c r="O6312" s="247"/>
      <c r="AC6312" s="247"/>
      <c r="AT6312" s="247"/>
    </row>
    <row r="6313">
      <c r="C6313" s="277"/>
      <c r="O6313" s="247"/>
      <c r="AC6313" s="247"/>
      <c r="AT6313" s="247"/>
    </row>
    <row r="6314">
      <c r="C6314" s="277"/>
      <c r="O6314" s="247"/>
      <c r="AC6314" s="247"/>
      <c r="AT6314" s="247"/>
    </row>
    <row r="6315">
      <c r="C6315" s="277"/>
      <c r="O6315" s="247"/>
      <c r="AC6315" s="247"/>
      <c r="AT6315" s="247"/>
    </row>
    <row r="6316">
      <c r="C6316" s="277"/>
      <c r="O6316" s="247"/>
      <c r="AC6316" s="247"/>
      <c r="AT6316" s="247"/>
    </row>
    <row r="6317">
      <c r="C6317" s="277"/>
      <c r="O6317" s="247"/>
      <c r="AC6317" s="247"/>
      <c r="AT6317" s="247"/>
    </row>
    <row r="6318">
      <c r="C6318" s="277"/>
      <c r="O6318" s="247"/>
      <c r="AC6318" s="247"/>
      <c r="AT6318" s="247"/>
    </row>
    <row r="6319">
      <c r="C6319" s="277"/>
      <c r="O6319" s="247"/>
      <c r="AC6319" s="247"/>
      <c r="AT6319" s="247"/>
    </row>
    <row r="6320">
      <c r="C6320" s="277"/>
      <c r="O6320" s="247"/>
      <c r="AC6320" s="247"/>
      <c r="AT6320" s="247"/>
    </row>
    <row r="6321">
      <c r="C6321" s="277"/>
      <c r="O6321" s="247"/>
      <c r="AC6321" s="247"/>
      <c r="AT6321" s="247"/>
    </row>
    <row r="6322">
      <c r="C6322" s="277"/>
      <c r="O6322" s="247"/>
      <c r="AC6322" s="247"/>
      <c r="AT6322" s="247"/>
    </row>
    <row r="6323">
      <c r="C6323" s="277"/>
      <c r="O6323" s="247"/>
      <c r="AC6323" s="247"/>
      <c r="AT6323" s="247"/>
    </row>
    <row r="6324">
      <c r="C6324" s="277"/>
      <c r="O6324" s="247"/>
      <c r="AC6324" s="247"/>
      <c r="AT6324" s="247"/>
    </row>
    <row r="6325">
      <c r="C6325" s="277"/>
      <c r="O6325" s="247"/>
      <c r="AC6325" s="247"/>
      <c r="AT6325" s="247"/>
    </row>
    <row r="6326">
      <c r="C6326" s="277"/>
      <c r="O6326" s="247"/>
      <c r="AC6326" s="247"/>
      <c r="AT6326" s="247"/>
    </row>
    <row r="6327">
      <c r="C6327" s="277"/>
      <c r="O6327" s="247"/>
      <c r="AC6327" s="247"/>
      <c r="AT6327" s="247"/>
    </row>
    <row r="6328">
      <c r="C6328" s="277"/>
      <c r="O6328" s="247"/>
      <c r="AC6328" s="247"/>
      <c r="AT6328" s="247"/>
    </row>
    <row r="6329">
      <c r="C6329" s="277"/>
      <c r="O6329" s="247"/>
      <c r="AC6329" s="247"/>
      <c r="AT6329" s="247"/>
    </row>
    <row r="6330">
      <c r="C6330" s="277"/>
      <c r="O6330" s="247"/>
      <c r="AC6330" s="247"/>
      <c r="AT6330" s="247"/>
    </row>
    <row r="6331">
      <c r="C6331" s="277"/>
      <c r="O6331" s="247"/>
      <c r="AC6331" s="247"/>
      <c r="AT6331" s="247"/>
    </row>
    <row r="6332">
      <c r="C6332" s="277"/>
      <c r="O6332" s="247"/>
      <c r="AC6332" s="247"/>
      <c r="AT6332" s="247"/>
    </row>
    <row r="6333">
      <c r="C6333" s="277"/>
      <c r="O6333" s="247"/>
      <c r="AC6333" s="247"/>
      <c r="AT6333" s="247"/>
    </row>
    <row r="6334">
      <c r="C6334" s="277"/>
      <c r="O6334" s="247"/>
      <c r="AC6334" s="247"/>
      <c r="AT6334" s="247"/>
    </row>
    <row r="6335">
      <c r="C6335" s="277"/>
      <c r="O6335" s="247"/>
      <c r="AC6335" s="247"/>
      <c r="AT6335" s="247"/>
    </row>
    <row r="6336">
      <c r="C6336" s="277"/>
      <c r="O6336" s="247"/>
      <c r="AC6336" s="247"/>
      <c r="AT6336" s="247"/>
    </row>
    <row r="6337">
      <c r="C6337" s="277"/>
      <c r="O6337" s="247"/>
      <c r="AC6337" s="247"/>
      <c r="AT6337" s="247"/>
    </row>
    <row r="6338">
      <c r="C6338" s="277"/>
      <c r="O6338" s="247"/>
      <c r="AC6338" s="247"/>
      <c r="AT6338" s="247"/>
    </row>
    <row r="6339">
      <c r="C6339" s="277"/>
      <c r="O6339" s="247"/>
      <c r="AC6339" s="247"/>
      <c r="AT6339" s="247"/>
    </row>
    <row r="6340">
      <c r="C6340" s="277"/>
      <c r="O6340" s="247"/>
      <c r="AC6340" s="247"/>
      <c r="AT6340" s="247"/>
    </row>
    <row r="6341">
      <c r="C6341" s="277"/>
      <c r="O6341" s="247"/>
      <c r="AC6341" s="247"/>
      <c r="AT6341" s="247"/>
    </row>
    <row r="6342">
      <c r="C6342" s="277"/>
      <c r="O6342" s="247"/>
      <c r="AC6342" s="247"/>
      <c r="AT6342" s="247"/>
    </row>
    <row r="6343">
      <c r="C6343" s="277"/>
      <c r="O6343" s="247"/>
      <c r="AC6343" s="247"/>
      <c r="AT6343" s="247"/>
    </row>
    <row r="6344">
      <c r="C6344" s="277"/>
      <c r="O6344" s="247"/>
      <c r="AC6344" s="247"/>
      <c r="AT6344" s="247"/>
    </row>
    <row r="6345">
      <c r="C6345" s="277"/>
      <c r="O6345" s="247"/>
      <c r="AC6345" s="247"/>
      <c r="AT6345" s="247"/>
    </row>
    <row r="6346">
      <c r="C6346" s="277"/>
      <c r="O6346" s="247"/>
      <c r="AC6346" s="247"/>
      <c r="AT6346" s="247"/>
    </row>
    <row r="6347">
      <c r="C6347" s="277"/>
      <c r="O6347" s="247"/>
      <c r="AC6347" s="247"/>
      <c r="AT6347" s="247"/>
    </row>
    <row r="6348">
      <c r="C6348" s="277"/>
      <c r="O6348" s="247"/>
      <c r="AC6348" s="247"/>
      <c r="AT6348" s="247"/>
    </row>
    <row r="6349">
      <c r="C6349" s="277"/>
      <c r="O6349" s="247"/>
      <c r="AC6349" s="247"/>
      <c r="AT6349" s="247"/>
    </row>
    <row r="6350">
      <c r="C6350" s="277"/>
      <c r="O6350" s="247"/>
      <c r="AC6350" s="247"/>
      <c r="AT6350" s="247"/>
    </row>
    <row r="6351">
      <c r="C6351" s="277"/>
      <c r="O6351" s="247"/>
      <c r="AC6351" s="247"/>
      <c r="AT6351" s="247"/>
    </row>
    <row r="6352">
      <c r="C6352" s="277"/>
      <c r="O6352" s="247"/>
      <c r="AC6352" s="247"/>
      <c r="AT6352" s="247"/>
    </row>
    <row r="6353">
      <c r="C6353" s="277"/>
      <c r="O6353" s="247"/>
      <c r="AC6353" s="247"/>
      <c r="AT6353" s="247"/>
    </row>
    <row r="6354">
      <c r="C6354" s="277"/>
      <c r="O6354" s="247"/>
      <c r="AC6354" s="247"/>
      <c r="AT6354" s="247"/>
    </row>
    <row r="6355">
      <c r="C6355" s="277"/>
      <c r="O6355" s="247"/>
      <c r="AC6355" s="247"/>
      <c r="AT6355" s="247"/>
    </row>
    <row r="6356">
      <c r="C6356" s="277"/>
      <c r="O6356" s="247"/>
      <c r="AC6356" s="247"/>
      <c r="AT6356" s="247"/>
    </row>
    <row r="6357">
      <c r="C6357" s="277"/>
      <c r="O6357" s="247"/>
      <c r="AC6357" s="247"/>
      <c r="AT6357" s="247"/>
    </row>
    <row r="6358">
      <c r="C6358" s="277"/>
      <c r="O6358" s="247"/>
      <c r="AC6358" s="247"/>
      <c r="AT6358" s="247"/>
    </row>
    <row r="6359">
      <c r="C6359" s="277"/>
      <c r="O6359" s="247"/>
      <c r="AC6359" s="247"/>
      <c r="AT6359" s="247"/>
    </row>
    <row r="6360">
      <c r="C6360" s="277"/>
      <c r="O6360" s="247"/>
      <c r="AC6360" s="247"/>
      <c r="AT6360" s="247"/>
    </row>
    <row r="6361">
      <c r="C6361" s="277"/>
      <c r="O6361" s="247"/>
      <c r="AC6361" s="247"/>
      <c r="AT6361" s="247"/>
    </row>
    <row r="6362">
      <c r="C6362" s="277"/>
      <c r="O6362" s="247"/>
      <c r="AC6362" s="247"/>
      <c r="AT6362" s="247"/>
    </row>
    <row r="6363">
      <c r="C6363" s="277"/>
      <c r="O6363" s="247"/>
      <c r="AC6363" s="247"/>
      <c r="AT6363" s="247"/>
    </row>
    <row r="6364">
      <c r="C6364" s="277"/>
      <c r="O6364" s="247"/>
      <c r="AC6364" s="247"/>
      <c r="AT6364" s="247"/>
    </row>
    <row r="6365">
      <c r="C6365" s="277"/>
      <c r="O6365" s="247"/>
      <c r="AC6365" s="247"/>
      <c r="AT6365" s="247"/>
    </row>
    <row r="6366">
      <c r="C6366" s="277"/>
      <c r="O6366" s="247"/>
      <c r="AC6366" s="247"/>
      <c r="AT6366" s="247"/>
    </row>
    <row r="6367">
      <c r="C6367" s="277"/>
      <c r="O6367" s="247"/>
      <c r="AC6367" s="247"/>
      <c r="AT6367" s="247"/>
    </row>
    <row r="6368">
      <c r="C6368" s="277"/>
      <c r="O6368" s="247"/>
      <c r="AC6368" s="247"/>
      <c r="AT6368" s="247"/>
    </row>
    <row r="6369">
      <c r="C6369" s="277"/>
      <c r="O6369" s="247"/>
      <c r="AC6369" s="247"/>
      <c r="AT6369" s="247"/>
    </row>
    <row r="6370">
      <c r="C6370" s="277"/>
      <c r="O6370" s="247"/>
      <c r="AC6370" s="247"/>
      <c r="AT6370" s="247"/>
    </row>
    <row r="6371">
      <c r="C6371" s="277"/>
      <c r="O6371" s="247"/>
      <c r="AC6371" s="247"/>
      <c r="AT6371" s="247"/>
    </row>
    <row r="6372">
      <c r="C6372" s="277"/>
      <c r="O6372" s="247"/>
      <c r="AC6372" s="247"/>
      <c r="AT6372" s="247"/>
    </row>
    <row r="6373">
      <c r="C6373" s="277"/>
      <c r="O6373" s="247"/>
      <c r="AC6373" s="247"/>
      <c r="AT6373" s="247"/>
    </row>
    <row r="6374">
      <c r="C6374" s="277"/>
      <c r="O6374" s="247"/>
      <c r="AC6374" s="247"/>
      <c r="AT6374" s="247"/>
    </row>
    <row r="6375">
      <c r="C6375" s="277"/>
      <c r="O6375" s="247"/>
      <c r="AC6375" s="247"/>
      <c r="AT6375" s="247"/>
    </row>
    <row r="6376">
      <c r="C6376" s="277"/>
      <c r="O6376" s="247"/>
      <c r="AC6376" s="247"/>
      <c r="AT6376" s="247"/>
    </row>
    <row r="6377">
      <c r="C6377" s="277"/>
      <c r="O6377" s="247"/>
      <c r="AC6377" s="247"/>
      <c r="AT6377" s="247"/>
    </row>
    <row r="6378">
      <c r="C6378" s="277"/>
      <c r="O6378" s="247"/>
      <c r="AC6378" s="247"/>
      <c r="AT6378" s="247"/>
    </row>
    <row r="6379">
      <c r="C6379" s="277"/>
      <c r="O6379" s="247"/>
      <c r="AC6379" s="247"/>
      <c r="AT6379" s="247"/>
    </row>
    <row r="6380">
      <c r="C6380" s="277"/>
      <c r="O6380" s="247"/>
      <c r="AC6380" s="247"/>
      <c r="AT6380" s="247"/>
    </row>
    <row r="6381">
      <c r="C6381" s="277"/>
      <c r="O6381" s="247"/>
      <c r="AC6381" s="247"/>
      <c r="AT6381" s="247"/>
    </row>
    <row r="6382">
      <c r="C6382" s="277"/>
      <c r="O6382" s="247"/>
      <c r="AC6382" s="247"/>
      <c r="AT6382" s="247"/>
    </row>
    <row r="6383">
      <c r="C6383" s="277"/>
      <c r="O6383" s="247"/>
      <c r="AC6383" s="247"/>
      <c r="AT6383" s="247"/>
    </row>
    <row r="6384">
      <c r="C6384" s="277"/>
      <c r="O6384" s="247"/>
      <c r="AC6384" s="247"/>
      <c r="AT6384" s="247"/>
    </row>
    <row r="6385">
      <c r="C6385" s="277"/>
      <c r="O6385" s="247"/>
      <c r="AC6385" s="247"/>
      <c r="AT6385" s="247"/>
    </row>
    <row r="6386">
      <c r="C6386" s="277"/>
      <c r="O6386" s="247"/>
      <c r="AC6386" s="247"/>
      <c r="AT6386" s="247"/>
    </row>
    <row r="6387">
      <c r="C6387" s="277"/>
      <c r="O6387" s="247"/>
      <c r="AC6387" s="247"/>
      <c r="AT6387" s="247"/>
    </row>
    <row r="6388">
      <c r="C6388" s="277"/>
      <c r="O6388" s="247"/>
      <c r="AC6388" s="247"/>
      <c r="AT6388" s="247"/>
    </row>
    <row r="6389">
      <c r="C6389" s="277"/>
      <c r="O6389" s="247"/>
      <c r="AC6389" s="247"/>
      <c r="AT6389" s="247"/>
    </row>
    <row r="6390">
      <c r="C6390" s="277"/>
      <c r="O6390" s="247"/>
      <c r="AC6390" s="247"/>
      <c r="AT6390" s="247"/>
    </row>
    <row r="6391">
      <c r="C6391" s="277"/>
      <c r="O6391" s="247"/>
      <c r="AC6391" s="247"/>
      <c r="AT6391" s="247"/>
    </row>
    <row r="6392">
      <c r="C6392" s="277"/>
      <c r="O6392" s="247"/>
      <c r="AC6392" s="247"/>
      <c r="AT6392" s="247"/>
    </row>
    <row r="6393">
      <c r="C6393" s="277"/>
      <c r="O6393" s="247"/>
      <c r="AC6393" s="247"/>
      <c r="AT6393" s="247"/>
    </row>
    <row r="6394">
      <c r="C6394" s="277"/>
      <c r="O6394" s="247"/>
      <c r="AC6394" s="247"/>
      <c r="AT6394" s="247"/>
    </row>
    <row r="6395">
      <c r="C6395" s="277"/>
      <c r="O6395" s="247"/>
      <c r="AC6395" s="247"/>
      <c r="AT6395" s="247"/>
    </row>
    <row r="6396">
      <c r="C6396" s="277"/>
      <c r="O6396" s="247"/>
      <c r="AC6396" s="247"/>
      <c r="AT6396" s="247"/>
    </row>
    <row r="6397">
      <c r="C6397" s="277"/>
      <c r="O6397" s="247"/>
      <c r="AC6397" s="247"/>
      <c r="AT6397" s="247"/>
    </row>
    <row r="6398">
      <c r="C6398" s="277"/>
      <c r="O6398" s="247"/>
      <c r="AC6398" s="247"/>
      <c r="AT6398" s="247"/>
    </row>
    <row r="6399">
      <c r="C6399" s="277"/>
      <c r="O6399" s="247"/>
      <c r="AC6399" s="247"/>
      <c r="AT6399" s="247"/>
    </row>
    <row r="6400">
      <c r="C6400" s="277"/>
      <c r="O6400" s="247"/>
      <c r="AC6400" s="247"/>
      <c r="AT6400" s="247"/>
    </row>
    <row r="6401">
      <c r="C6401" s="277"/>
      <c r="O6401" s="247"/>
      <c r="AC6401" s="247"/>
      <c r="AT6401" s="247"/>
    </row>
    <row r="6402">
      <c r="C6402" s="277"/>
      <c r="O6402" s="247"/>
      <c r="AC6402" s="247"/>
      <c r="AT6402" s="247"/>
    </row>
    <row r="6403">
      <c r="C6403" s="277"/>
      <c r="O6403" s="247"/>
      <c r="AC6403" s="247"/>
      <c r="AT6403" s="247"/>
    </row>
    <row r="6404">
      <c r="C6404" s="277"/>
      <c r="O6404" s="247"/>
      <c r="AC6404" s="247"/>
      <c r="AT6404" s="247"/>
    </row>
    <row r="6405">
      <c r="C6405" s="277"/>
      <c r="O6405" s="247"/>
      <c r="AC6405" s="247"/>
      <c r="AT6405" s="247"/>
    </row>
    <row r="6406">
      <c r="C6406" s="277"/>
      <c r="O6406" s="247"/>
      <c r="AC6406" s="247"/>
      <c r="AT6406" s="247"/>
    </row>
    <row r="6407">
      <c r="C6407" s="277"/>
      <c r="O6407" s="247"/>
      <c r="AC6407" s="247"/>
      <c r="AT6407" s="247"/>
    </row>
    <row r="6408">
      <c r="C6408" s="277"/>
      <c r="O6408" s="247"/>
      <c r="AC6408" s="247"/>
      <c r="AT6408" s="247"/>
    </row>
    <row r="6409">
      <c r="C6409" s="277"/>
      <c r="O6409" s="247"/>
      <c r="AC6409" s="247"/>
      <c r="AT6409" s="247"/>
    </row>
    <row r="6410">
      <c r="C6410" s="277"/>
      <c r="O6410" s="247"/>
      <c r="AC6410" s="247"/>
      <c r="AT6410" s="247"/>
    </row>
    <row r="6411">
      <c r="C6411" s="277"/>
      <c r="O6411" s="247"/>
      <c r="AC6411" s="247"/>
      <c r="AT6411" s="247"/>
    </row>
    <row r="6412">
      <c r="C6412" s="277"/>
      <c r="O6412" s="247"/>
      <c r="AC6412" s="247"/>
      <c r="AT6412" s="247"/>
    </row>
    <row r="6413">
      <c r="C6413" s="277"/>
      <c r="O6413" s="247"/>
      <c r="AC6413" s="247"/>
      <c r="AT6413" s="247"/>
    </row>
    <row r="6414">
      <c r="C6414" s="277"/>
      <c r="O6414" s="247"/>
      <c r="AC6414" s="247"/>
      <c r="AT6414" s="247"/>
    </row>
    <row r="6415">
      <c r="C6415" s="277"/>
      <c r="O6415" s="247"/>
      <c r="AC6415" s="247"/>
      <c r="AT6415" s="247"/>
    </row>
    <row r="6416">
      <c r="C6416" s="277"/>
      <c r="O6416" s="247"/>
      <c r="AC6416" s="247"/>
      <c r="AT6416" s="247"/>
    </row>
    <row r="6417">
      <c r="C6417" s="277"/>
      <c r="O6417" s="247"/>
      <c r="AC6417" s="247"/>
      <c r="AT6417" s="247"/>
    </row>
    <row r="6418">
      <c r="C6418" s="277"/>
      <c r="O6418" s="247"/>
      <c r="AC6418" s="247"/>
      <c r="AT6418" s="247"/>
    </row>
    <row r="6419">
      <c r="C6419" s="277"/>
      <c r="O6419" s="247"/>
      <c r="AC6419" s="247"/>
      <c r="AT6419" s="247"/>
    </row>
    <row r="6420">
      <c r="C6420" s="277"/>
      <c r="O6420" s="247"/>
      <c r="AC6420" s="247"/>
      <c r="AT6420" s="247"/>
    </row>
    <row r="6421">
      <c r="C6421" s="277"/>
      <c r="O6421" s="247"/>
      <c r="AC6421" s="247"/>
      <c r="AT6421" s="247"/>
    </row>
    <row r="6422">
      <c r="C6422" s="277"/>
      <c r="O6422" s="247"/>
      <c r="AC6422" s="247"/>
      <c r="AT6422" s="247"/>
    </row>
    <row r="6423">
      <c r="C6423" s="277"/>
      <c r="O6423" s="247"/>
      <c r="AC6423" s="247"/>
      <c r="AT6423" s="247"/>
    </row>
    <row r="6424">
      <c r="C6424" s="277"/>
      <c r="O6424" s="247"/>
      <c r="AC6424" s="247"/>
      <c r="AT6424" s="247"/>
    </row>
    <row r="6425">
      <c r="C6425" s="277"/>
      <c r="O6425" s="247"/>
      <c r="AC6425" s="247"/>
      <c r="AT6425" s="247"/>
    </row>
    <row r="6426">
      <c r="C6426" s="277"/>
      <c r="O6426" s="247"/>
      <c r="AC6426" s="247"/>
      <c r="AT6426" s="247"/>
    </row>
    <row r="6427">
      <c r="C6427" s="277"/>
      <c r="O6427" s="247"/>
      <c r="AC6427" s="247"/>
      <c r="AT6427" s="247"/>
    </row>
    <row r="6428">
      <c r="C6428" s="277"/>
      <c r="O6428" s="247"/>
      <c r="AC6428" s="247"/>
      <c r="AT6428" s="247"/>
    </row>
    <row r="6429">
      <c r="C6429" s="277"/>
      <c r="O6429" s="247"/>
      <c r="AC6429" s="247"/>
      <c r="AT6429" s="247"/>
    </row>
    <row r="6430">
      <c r="C6430" s="277"/>
      <c r="O6430" s="247"/>
      <c r="AC6430" s="247"/>
      <c r="AT6430" s="247"/>
    </row>
    <row r="6431">
      <c r="C6431" s="277"/>
      <c r="O6431" s="247"/>
      <c r="AC6431" s="247"/>
      <c r="AT6431" s="247"/>
    </row>
    <row r="6432">
      <c r="C6432" s="277"/>
      <c r="O6432" s="247"/>
      <c r="AC6432" s="247"/>
      <c r="AT6432" s="247"/>
    </row>
    <row r="6433">
      <c r="C6433" s="277"/>
      <c r="O6433" s="247"/>
      <c r="AC6433" s="247"/>
      <c r="AT6433" s="247"/>
    </row>
    <row r="6434">
      <c r="C6434" s="277"/>
      <c r="O6434" s="247"/>
      <c r="AC6434" s="247"/>
      <c r="AT6434" s="247"/>
    </row>
    <row r="6435">
      <c r="C6435" s="277"/>
      <c r="O6435" s="247"/>
      <c r="AC6435" s="247"/>
      <c r="AT6435" s="247"/>
    </row>
    <row r="6436">
      <c r="C6436" s="277"/>
      <c r="O6436" s="247"/>
      <c r="AC6436" s="247"/>
      <c r="AT6436" s="247"/>
    </row>
    <row r="6437">
      <c r="C6437" s="277"/>
      <c r="O6437" s="247"/>
      <c r="AC6437" s="247"/>
      <c r="AT6437" s="247"/>
    </row>
    <row r="6438">
      <c r="C6438" s="277"/>
      <c r="O6438" s="247"/>
      <c r="AC6438" s="247"/>
      <c r="AT6438" s="247"/>
    </row>
    <row r="6439">
      <c r="C6439" s="277"/>
      <c r="O6439" s="247"/>
      <c r="AC6439" s="247"/>
      <c r="AT6439" s="247"/>
    </row>
    <row r="6440">
      <c r="C6440" s="277"/>
      <c r="O6440" s="247"/>
      <c r="AC6440" s="247"/>
      <c r="AT6440" s="247"/>
    </row>
    <row r="6441">
      <c r="C6441" s="277"/>
      <c r="O6441" s="247"/>
      <c r="AC6441" s="247"/>
      <c r="AT6441" s="247"/>
    </row>
    <row r="6442">
      <c r="C6442" s="277"/>
      <c r="O6442" s="247"/>
      <c r="AC6442" s="247"/>
      <c r="AT6442" s="247"/>
    </row>
    <row r="6443">
      <c r="C6443" s="277"/>
      <c r="O6443" s="247"/>
      <c r="AC6443" s="247"/>
      <c r="AT6443" s="247"/>
    </row>
    <row r="6444">
      <c r="C6444" s="277"/>
      <c r="O6444" s="247"/>
      <c r="AC6444" s="247"/>
      <c r="AT6444" s="247"/>
    </row>
    <row r="6445">
      <c r="C6445" s="277"/>
      <c r="O6445" s="247"/>
      <c r="AC6445" s="247"/>
      <c r="AT6445" s="247"/>
    </row>
    <row r="6446">
      <c r="C6446" s="277"/>
      <c r="O6446" s="247"/>
      <c r="AC6446" s="247"/>
      <c r="AT6446" s="247"/>
    </row>
    <row r="6447">
      <c r="C6447" s="277"/>
      <c r="O6447" s="247"/>
      <c r="AC6447" s="247"/>
      <c r="AT6447" s="247"/>
    </row>
    <row r="6448">
      <c r="C6448" s="277"/>
      <c r="O6448" s="247"/>
      <c r="AC6448" s="247"/>
      <c r="AT6448" s="247"/>
    </row>
    <row r="6449">
      <c r="C6449" s="277"/>
      <c r="O6449" s="247"/>
      <c r="AC6449" s="247"/>
      <c r="AT6449" s="247"/>
    </row>
    <row r="6450">
      <c r="C6450" s="277"/>
      <c r="O6450" s="247"/>
      <c r="AC6450" s="247"/>
      <c r="AT6450" s="247"/>
    </row>
    <row r="6451">
      <c r="C6451" s="277"/>
      <c r="O6451" s="247"/>
      <c r="AC6451" s="247"/>
      <c r="AT6451" s="247"/>
    </row>
    <row r="6452">
      <c r="C6452" s="277"/>
      <c r="O6452" s="247"/>
      <c r="AC6452" s="247"/>
      <c r="AT6452" s="247"/>
    </row>
    <row r="6453">
      <c r="C6453" s="277"/>
      <c r="O6453" s="247"/>
      <c r="AC6453" s="247"/>
      <c r="AT6453" s="247"/>
    </row>
    <row r="6454">
      <c r="C6454" s="277"/>
      <c r="O6454" s="247"/>
      <c r="AC6454" s="247"/>
      <c r="AT6454" s="247"/>
    </row>
    <row r="6455">
      <c r="C6455" s="277"/>
      <c r="O6455" s="247"/>
      <c r="AC6455" s="247"/>
      <c r="AT6455" s="247"/>
    </row>
    <row r="6456">
      <c r="C6456" s="277"/>
      <c r="O6456" s="247"/>
      <c r="AC6456" s="247"/>
      <c r="AT6456" s="247"/>
    </row>
    <row r="6457">
      <c r="C6457" s="277"/>
      <c r="O6457" s="247"/>
      <c r="AC6457" s="247"/>
      <c r="AT6457" s="247"/>
    </row>
    <row r="6458">
      <c r="C6458" s="277"/>
      <c r="O6458" s="247"/>
      <c r="AC6458" s="247"/>
      <c r="AT6458" s="247"/>
    </row>
    <row r="6459">
      <c r="C6459" s="277"/>
      <c r="O6459" s="247"/>
      <c r="AC6459" s="247"/>
      <c r="AT6459" s="247"/>
    </row>
    <row r="6460">
      <c r="C6460" s="277"/>
      <c r="O6460" s="247"/>
      <c r="AC6460" s="247"/>
      <c r="AT6460" s="247"/>
    </row>
    <row r="6461">
      <c r="C6461" s="277"/>
      <c r="O6461" s="247"/>
      <c r="AC6461" s="247"/>
      <c r="AT6461" s="247"/>
    </row>
    <row r="6462">
      <c r="C6462" s="277"/>
      <c r="O6462" s="247"/>
      <c r="AC6462" s="247"/>
      <c r="AT6462" s="247"/>
    </row>
    <row r="6463">
      <c r="C6463" s="277"/>
      <c r="O6463" s="247"/>
      <c r="AC6463" s="247"/>
      <c r="AT6463" s="247"/>
    </row>
    <row r="6464">
      <c r="C6464" s="277"/>
      <c r="O6464" s="247"/>
      <c r="AC6464" s="247"/>
      <c r="AT6464" s="247"/>
    </row>
    <row r="6465">
      <c r="C6465" s="277"/>
      <c r="O6465" s="247"/>
      <c r="AC6465" s="247"/>
      <c r="AT6465" s="247"/>
    </row>
    <row r="6466">
      <c r="C6466" s="277"/>
      <c r="O6466" s="247"/>
      <c r="AC6466" s="247"/>
      <c r="AT6466" s="247"/>
    </row>
    <row r="6467">
      <c r="C6467" s="277"/>
      <c r="O6467" s="247"/>
      <c r="AC6467" s="247"/>
      <c r="AT6467" s="247"/>
    </row>
    <row r="6468">
      <c r="C6468" s="277"/>
      <c r="O6468" s="247"/>
      <c r="AC6468" s="247"/>
      <c r="AT6468" s="247"/>
    </row>
    <row r="6469">
      <c r="C6469" s="277"/>
      <c r="O6469" s="247"/>
      <c r="AC6469" s="247"/>
      <c r="AT6469" s="247"/>
    </row>
    <row r="6470">
      <c r="C6470" s="277"/>
      <c r="O6470" s="247"/>
      <c r="AC6470" s="247"/>
      <c r="AT6470" s="247"/>
    </row>
    <row r="6471">
      <c r="C6471" s="277"/>
      <c r="O6471" s="247"/>
      <c r="AC6471" s="247"/>
      <c r="AT6471" s="247"/>
    </row>
    <row r="6472">
      <c r="C6472" s="277"/>
      <c r="O6472" s="247"/>
      <c r="AC6472" s="247"/>
      <c r="AT6472" s="247"/>
    </row>
    <row r="6473">
      <c r="C6473" s="277"/>
      <c r="O6473" s="247"/>
      <c r="AC6473" s="247"/>
      <c r="AT6473" s="247"/>
    </row>
    <row r="6474">
      <c r="C6474" s="277"/>
      <c r="O6474" s="247"/>
      <c r="AC6474" s="247"/>
      <c r="AT6474" s="247"/>
    </row>
    <row r="6475">
      <c r="C6475" s="277"/>
      <c r="O6475" s="247"/>
      <c r="AC6475" s="247"/>
      <c r="AT6475" s="247"/>
    </row>
    <row r="6476">
      <c r="C6476" s="277"/>
      <c r="O6476" s="247"/>
      <c r="AC6476" s="247"/>
      <c r="AT6476" s="247"/>
    </row>
    <row r="6477">
      <c r="C6477" s="277"/>
      <c r="O6477" s="247"/>
      <c r="AC6477" s="247"/>
      <c r="AT6477" s="247"/>
    </row>
    <row r="6478">
      <c r="C6478" s="277"/>
      <c r="O6478" s="247"/>
      <c r="AC6478" s="247"/>
      <c r="AT6478" s="247"/>
    </row>
    <row r="6479">
      <c r="C6479" s="277"/>
      <c r="O6479" s="247"/>
      <c r="AC6479" s="247"/>
      <c r="AT6479" s="247"/>
    </row>
    <row r="6480">
      <c r="C6480" s="277"/>
      <c r="O6480" s="247"/>
      <c r="AC6480" s="247"/>
      <c r="AT6480" s="247"/>
    </row>
    <row r="6481">
      <c r="C6481" s="277"/>
      <c r="O6481" s="247"/>
      <c r="AC6481" s="247"/>
      <c r="AT6481" s="247"/>
    </row>
    <row r="6482">
      <c r="C6482" s="277"/>
      <c r="O6482" s="247"/>
      <c r="AC6482" s="247"/>
      <c r="AT6482" s="247"/>
    </row>
    <row r="6483">
      <c r="C6483" s="277"/>
      <c r="O6483" s="247"/>
      <c r="AC6483" s="247"/>
      <c r="AT6483" s="247"/>
    </row>
    <row r="6484">
      <c r="C6484" s="277"/>
      <c r="O6484" s="247"/>
      <c r="AC6484" s="247"/>
      <c r="AT6484" s="247"/>
    </row>
    <row r="6485">
      <c r="C6485" s="277"/>
      <c r="O6485" s="247"/>
      <c r="AC6485" s="247"/>
      <c r="AT6485" s="247"/>
    </row>
    <row r="6486">
      <c r="C6486" s="277"/>
      <c r="O6486" s="247"/>
      <c r="AC6486" s="247"/>
      <c r="AT6486" s="247"/>
    </row>
    <row r="6487">
      <c r="C6487" s="277"/>
      <c r="O6487" s="247"/>
      <c r="AC6487" s="247"/>
      <c r="AT6487" s="247"/>
    </row>
    <row r="6488">
      <c r="C6488" s="277"/>
      <c r="O6488" s="247"/>
      <c r="AC6488" s="247"/>
      <c r="AT6488" s="247"/>
    </row>
    <row r="6489">
      <c r="C6489" s="277"/>
      <c r="O6489" s="247"/>
      <c r="AC6489" s="247"/>
      <c r="AT6489" s="247"/>
    </row>
    <row r="6490">
      <c r="C6490" s="277"/>
      <c r="O6490" s="247"/>
      <c r="AC6490" s="247"/>
      <c r="AT6490" s="247"/>
    </row>
    <row r="6491">
      <c r="C6491" s="277"/>
      <c r="O6491" s="247"/>
      <c r="AC6491" s="247"/>
      <c r="AT6491" s="247"/>
    </row>
    <row r="6492">
      <c r="C6492" s="277"/>
      <c r="O6492" s="247"/>
      <c r="AC6492" s="247"/>
      <c r="AT6492" s="247"/>
    </row>
    <row r="6493">
      <c r="C6493" s="277"/>
      <c r="O6493" s="247"/>
      <c r="AC6493" s="247"/>
      <c r="AT6493" s="247"/>
    </row>
    <row r="6494">
      <c r="C6494" s="277"/>
      <c r="O6494" s="247"/>
      <c r="AC6494" s="247"/>
      <c r="AT6494" s="247"/>
    </row>
    <row r="6495">
      <c r="C6495" s="277"/>
      <c r="O6495" s="247"/>
      <c r="AC6495" s="247"/>
      <c r="AT6495" s="247"/>
    </row>
    <row r="6496">
      <c r="C6496" s="277"/>
      <c r="O6496" s="247"/>
      <c r="AC6496" s="247"/>
      <c r="AT6496" s="247"/>
    </row>
    <row r="6497">
      <c r="C6497" s="277"/>
      <c r="O6497" s="247"/>
      <c r="AC6497" s="247"/>
      <c r="AT6497" s="247"/>
    </row>
    <row r="6498">
      <c r="C6498" s="277"/>
      <c r="O6498" s="247"/>
      <c r="AC6498" s="247"/>
      <c r="AT6498" s="247"/>
    </row>
    <row r="6499">
      <c r="C6499" s="277"/>
      <c r="O6499" s="247"/>
      <c r="AC6499" s="247"/>
      <c r="AT6499" s="247"/>
    </row>
    <row r="6500">
      <c r="C6500" s="277"/>
      <c r="O6500" s="247"/>
      <c r="AC6500" s="247"/>
      <c r="AT6500" s="247"/>
    </row>
    <row r="6501">
      <c r="C6501" s="277"/>
      <c r="O6501" s="247"/>
      <c r="AC6501" s="247"/>
      <c r="AT6501" s="247"/>
    </row>
    <row r="6502">
      <c r="C6502" s="277"/>
      <c r="O6502" s="247"/>
      <c r="AC6502" s="247"/>
      <c r="AT6502" s="247"/>
    </row>
    <row r="6503">
      <c r="C6503" s="277"/>
      <c r="O6503" s="247"/>
      <c r="AC6503" s="247"/>
      <c r="AT6503" s="247"/>
    </row>
    <row r="6504">
      <c r="C6504" s="277"/>
      <c r="O6504" s="247"/>
      <c r="AC6504" s="247"/>
      <c r="AT6504" s="247"/>
    </row>
    <row r="6505">
      <c r="C6505" s="277"/>
      <c r="O6505" s="247"/>
      <c r="AC6505" s="247"/>
      <c r="AT6505" s="247"/>
    </row>
    <row r="6506">
      <c r="C6506" s="277"/>
      <c r="O6506" s="247"/>
      <c r="AC6506" s="247"/>
      <c r="AT6506" s="247"/>
    </row>
    <row r="6507">
      <c r="C6507" s="277"/>
      <c r="O6507" s="247"/>
      <c r="AC6507" s="247"/>
      <c r="AT6507" s="247"/>
    </row>
    <row r="6508">
      <c r="C6508" s="277"/>
      <c r="O6508" s="247"/>
      <c r="AC6508" s="247"/>
      <c r="AT6508" s="247"/>
    </row>
    <row r="6509">
      <c r="C6509" s="277"/>
      <c r="O6509" s="247"/>
      <c r="AC6509" s="247"/>
      <c r="AT6509" s="247"/>
    </row>
    <row r="6510">
      <c r="C6510" s="277"/>
      <c r="O6510" s="247"/>
      <c r="AC6510" s="247"/>
      <c r="AT6510" s="247"/>
    </row>
    <row r="6511">
      <c r="C6511" s="277"/>
      <c r="O6511" s="247"/>
      <c r="AC6511" s="247"/>
      <c r="AT6511" s="247"/>
    </row>
    <row r="6512">
      <c r="C6512" s="277"/>
      <c r="O6512" s="247"/>
      <c r="AC6512" s="247"/>
      <c r="AT6512" s="247"/>
    </row>
    <row r="6513">
      <c r="C6513" s="277"/>
      <c r="O6513" s="247"/>
      <c r="AC6513" s="247"/>
      <c r="AT6513" s="247"/>
    </row>
    <row r="6514">
      <c r="C6514" s="277"/>
      <c r="O6514" s="247"/>
      <c r="AC6514" s="247"/>
      <c r="AT6514" s="247"/>
    </row>
    <row r="6515">
      <c r="C6515" s="277"/>
      <c r="O6515" s="247"/>
      <c r="AC6515" s="247"/>
      <c r="AT6515" s="247"/>
    </row>
    <row r="6516">
      <c r="C6516" s="277"/>
      <c r="O6516" s="247"/>
      <c r="AC6516" s="247"/>
      <c r="AT6516" s="247"/>
    </row>
    <row r="6517">
      <c r="C6517" s="277"/>
      <c r="O6517" s="247"/>
      <c r="AC6517" s="247"/>
      <c r="AT6517" s="247"/>
    </row>
    <row r="6518">
      <c r="C6518" s="277"/>
      <c r="O6518" s="247"/>
      <c r="AC6518" s="247"/>
      <c r="AT6518" s="247"/>
    </row>
    <row r="6519">
      <c r="C6519" s="277"/>
      <c r="O6519" s="247"/>
      <c r="AC6519" s="247"/>
      <c r="AT6519" s="247"/>
    </row>
    <row r="6520">
      <c r="C6520" s="277"/>
      <c r="O6520" s="247"/>
      <c r="AC6520" s="247"/>
      <c r="AT6520" s="247"/>
    </row>
    <row r="6521">
      <c r="C6521" s="277"/>
      <c r="O6521" s="247"/>
      <c r="AC6521" s="247"/>
      <c r="AT6521" s="247"/>
    </row>
    <row r="6522">
      <c r="C6522" s="277"/>
      <c r="O6522" s="247"/>
      <c r="AC6522" s="247"/>
      <c r="AT6522" s="247"/>
    </row>
    <row r="6523">
      <c r="C6523" s="277"/>
      <c r="O6523" s="247"/>
      <c r="AC6523" s="247"/>
      <c r="AT6523" s="247"/>
    </row>
    <row r="6524">
      <c r="C6524" s="277"/>
      <c r="O6524" s="247"/>
      <c r="AC6524" s="247"/>
      <c r="AT6524" s="247"/>
    </row>
    <row r="6525">
      <c r="C6525" s="277"/>
      <c r="O6525" s="247"/>
      <c r="AC6525" s="247"/>
      <c r="AT6525" s="247"/>
    </row>
    <row r="6526">
      <c r="C6526" s="277"/>
      <c r="O6526" s="247"/>
      <c r="AC6526" s="247"/>
      <c r="AT6526" s="247"/>
    </row>
    <row r="6527">
      <c r="C6527" s="277"/>
      <c r="O6527" s="247"/>
      <c r="AC6527" s="247"/>
      <c r="AT6527" s="247"/>
    </row>
    <row r="6528">
      <c r="C6528" s="277"/>
      <c r="O6528" s="247"/>
      <c r="AC6528" s="247"/>
      <c r="AT6528" s="247"/>
    </row>
    <row r="6529">
      <c r="C6529" s="277"/>
      <c r="O6529" s="247"/>
      <c r="AC6529" s="247"/>
      <c r="AT6529" s="247"/>
    </row>
    <row r="6530">
      <c r="C6530" s="277"/>
      <c r="O6530" s="247"/>
      <c r="AC6530" s="247"/>
      <c r="AT6530" s="247"/>
    </row>
    <row r="6531">
      <c r="C6531" s="277"/>
      <c r="O6531" s="247"/>
      <c r="AC6531" s="247"/>
      <c r="AT6531" s="247"/>
    </row>
    <row r="6532">
      <c r="C6532" s="277"/>
      <c r="O6532" s="247"/>
      <c r="AC6532" s="247"/>
      <c r="AT6532" s="247"/>
    </row>
    <row r="6533">
      <c r="C6533" s="277"/>
      <c r="O6533" s="247"/>
      <c r="AC6533" s="247"/>
      <c r="AT6533" s="247"/>
    </row>
    <row r="6534">
      <c r="C6534" s="277"/>
      <c r="O6534" s="247"/>
      <c r="AC6534" s="247"/>
      <c r="AT6534" s="247"/>
    </row>
    <row r="6535">
      <c r="C6535" s="277"/>
      <c r="O6535" s="247"/>
      <c r="AC6535" s="247"/>
      <c r="AT6535" s="247"/>
    </row>
    <row r="6536">
      <c r="C6536" s="277"/>
      <c r="O6536" s="247"/>
      <c r="AC6536" s="247"/>
      <c r="AT6536" s="247"/>
    </row>
    <row r="6537">
      <c r="C6537" s="277"/>
      <c r="O6537" s="247"/>
      <c r="AC6537" s="247"/>
      <c r="AT6537" s="247"/>
    </row>
    <row r="6538">
      <c r="C6538" s="277"/>
      <c r="O6538" s="247"/>
      <c r="AC6538" s="247"/>
      <c r="AT6538" s="247"/>
    </row>
    <row r="6539">
      <c r="C6539" s="277"/>
      <c r="O6539" s="247"/>
      <c r="AC6539" s="247"/>
      <c r="AT6539" s="247"/>
    </row>
    <row r="6540">
      <c r="C6540" s="277"/>
      <c r="O6540" s="247"/>
      <c r="AC6540" s="247"/>
      <c r="AT6540" s="247"/>
    </row>
    <row r="6541">
      <c r="C6541" s="277"/>
      <c r="O6541" s="247"/>
      <c r="AC6541" s="247"/>
      <c r="AT6541" s="247"/>
    </row>
    <row r="6542">
      <c r="C6542" s="277"/>
      <c r="O6542" s="247"/>
      <c r="AC6542" s="247"/>
      <c r="AT6542" s="247"/>
    </row>
    <row r="6543">
      <c r="C6543" s="277"/>
      <c r="O6543" s="247"/>
      <c r="AC6543" s="247"/>
      <c r="AT6543" s="247"/>
    </row>
    <row r="6544">
      <c r="C6544" s="277"/>
      <c r="O6544" s="247"/>
      <c r="AC6544" s="247"/>
      <c r="AT6544" s="247"/>
    </row>
    <row r="6545">
      <c r="C6545" s="277"/>
      <c r="O6545" s="247"/>
      <c r="AC6545" s="247"/>
      <c r="AT6545" s="247"/>
    </row>
    <row r="6546">
      <c r="C6546" s="277"/>
      <c r="O6546" s="247"/>
      <c r="AC6546" s="247"/>
      <c r="AT6546" s="247"/>
    </row>
    <row r="6547">
      <c r="C6547" s="277"/>
      <c r="O6547" s="247"/>
      <c r="AC6547" s="247"/>
      <c r="AT6547" s="247"/>
    </row>
    <row r="6548">
      <c r="C6548" s="277"/>
      <c r="O6548" s="247"/>
      <c r="AC6548" s="247"/>
      <c r="AT6548" s="247"/>
    </row>
    <row r="6549">
      <c r="C6549" s="277"/>
      <c r="O6549" s="247"/>
      <c r="AC6549" s="247"/>
      <c r="AT6549" s="247"/>
    </row>
    <row r="6550">
      <c r="C6550" s="277"/>
      <c r="O6550" s="247"/>
      <c r="AC6550" s="247"/>
      <c r="AT6550" s="247"/>
    </row>
    <row r="6551">
      <c r="C6551" s="277"/>
      <c r="O6551" s="247"/>
      <c r="AC6551" s="247"/>
      <c r="AT6551" s="247"/>
    </row>
    <row r="6552">
      <c r="C6552" s="277"/>
      <c r="O6552" s="247"/>
      <c r="AC6552" s="247"/>
      <c r="AT6552" s="247"/>
    </row>
    <row r="6553">
      <c r="C6553" s="277"/>
      <c r="O6553" s="247"/>
      <c r="AC6553" s="247"/>
      <c r="AT6553" s="247"/>
    </row>
    <row r="6554">
      <c r="C6554" s="277"/>
      <c r="O6554" s="247"/>
      <c r="AC6554" s="247"/>
      <c r="AT6554" s="247"/>
    </row>
    <row r="6555">
      <c r="C6555" s="277"/>
      <c r="O6555" s="247"/>
      <c r="AC6555" s="247"/>
      <c r="AT6555" s="247"/>
    </row>
    <row r="6556">
      <c r="C6556" s="277"/>
      <c r="O6556" s="247"/>
      <c r="AC6556" s="247"/>
      <c r="AT6556" s="247"/>
    </row>
    <row r="6557">
      <c r="C6557" s="277"/>
      <c r="O6557" s="247"/>
      <c r="AC6557" s="247"/>
      <c r="AT6557" s="247"/>
    </row>
    <row r="6558">
      <c r="C6558" s="277"/>
      <c r="O6558" s="247"/>
      <c r="AC6558" s="247"/>
      <c r="AT6558" s="247"/>
    </row>
    <row r="6559">
      <c r="C6559" s="277"/>
      <c r="O6559" s="247"/>
      <c r="AC6559" s="247"/>
      <c r="AT6559" s="247"/>
    </row>
    <row r="6560">
      <c r="C6560" s="277"/>
      <c r="O6560" s="247"/>
      <c r="AC6560" s="247"/>
      <c r="AT6560" s="247"/>
    </row>
    <row r="6561">
      <c r="C6561" s="277"/>
      <c r="O6561" s="247"/>
      <c r="AC6561" s="247"/>
      <c r="AT6561" s="247"/>
    </row>
    <row r="6562">
      <c r="C6562" s="277"/>
      <c r="O6562" s="247"/>
      <c r="AC6562" s="247"/>
      <c r="AT6562" s="247"/>
    </row>
    <row r="6563">
      <c r="C6563" s="277"/>
      <c r="O6563" s="247"/>
      <c r="AC6563" s="247"/>
      <c r="AT6563" s="247"/>
    </row>
    <row r="6564">
      <c r="C6564" s="277"/>
      <c r="O6564" s="247"/>
      <c r="AC6564" s="247"/>
      <c r="AT6564" s="247"/>
    </row>
    <row r="6565">
      <c r="C6565" s="277"/>
      <c r="O6565" s="247"/>
      <c r="AC6565" s="247"/>
      <c r="AT6565" s="247"/>
    </row>
    <row r="6566">
      <c r="C6566" s="277"/>
      <c r="O6566" s="247"/>
      <c r="AC6566" s="247"/>
      <c r="AT6566" s="247"/>
    </row>
    <row r="6567">
      <c r="C6567" s="277"/>
      <c r="O6567" s="247"/>
      <c r="AC6567" s="247"/>
      <c r="AT6567" s="247"/>
    </row>
    <row r="6568">
      <c r="C6568" s="277"/>
      <c r="O6568" s="247"/>
      <c r="AC6568" s="247"/>
      <c r="AT6568" s="247"/>
    </row>
    <row r="6569">
      <c r="C6569" s="277"/>
      <c r="O6569" s="247"/>
      <c r="AC6569" s="247"/>
      <c r="AT6569" s="247"/>
    </row>
    <row r="6570">
      <c r="C6570" s="277"/>
      <c r="O6570" s="247"/>
      <c r="AC6570" s="247"/>
      <c r="AT6570" s="247"/>
    </row>
    <row r="6571">
      <c r="C6571" s="277"/>
      <c r="O6571" s="247"/>
      <c r="AC6571" s="247"/>
      <c r="AT6571" s="247"/>
    </row>
    <row r="6572">
      <c r="C6572" s="277"/>
      <c r="O6572" s="247"/>
      <c r="AC6572" s="247"/>
      <c r="AT6572" s="247"/>
    </row>
    <row r="6573">
      <c r="C6573" s="277"/>
      <c r="O6573" s="247"/>
      <c r="AC6573" s="247"/>
      <c r="AT6573" s="247"/>
    </row>
    <row r="6574">
      <c r="C6574" s="277"/>
      <c r="O6574" s="247"/>
      <c r="AC6574" s="247"/>
      <c r="AT6574" s="247"/>
    </row>
    <row r="6575">
      <c r="C6575" s="277"/>
      <c r="O6575" s="247"/>
      <c r="AC6575" s="247"/>
      <c r="AT6575" s="247"/>
    </row>
    <row r="6576">
      <c r="C6576" s="277"/>
      <c r="O6576" s="247"/>
      <c r="AC6576" s="247"/>
      <c r="AT6576" s="247"/>
    </row>
    <row r="6577">
      <c r="C6577" s="277"/>
      <c r="O6577" s="247"/>
      <c r="AC6577" s="247"/>
      <c r="AT6577" s="247"/>
    </row>
    <row r="6578">
      <c r="C6578" s="277"/>
      <c r="O6578" s="247"/>
      <c r="AC6578" s="247"/>
      <c r="AT6578" s="247"/>
    </row>
    <row r="6579">
      <c r="C6579" s="277"/>
      <c r="O6579" s="247"/>
      <c r="AC6579" s="247"/>
      <c r="AT6579" s="247"/>
    </row>
    <row r="6580">
      <c r="C6580" s="277"/>
      <c r="O6580" s="247"/>
      <c r="AC6580" s="247"/>
      <c r="AT6580" s="247"/>
    </row>
    <row r="6581">
      <c r="C6581" s="277"/>
      <c r="O6581" s="247"/>
      <c r="AC6581" s="247"/>
      <c r="AT6581" s="247"/>
    </row>
    <row r="6582">
      <c r="C6582" s="277"/>
      <c r="O6582" s="247"/>
      <c r="AC6582" s="247"/>
      <c r="AT6582" s="247"/>
    </row>
    <row r="6583">
      <c r="C6583" s="277"/>
      <c r="O6583" s="247"/>
      <c r="AC6583" s="247"/>
      <c r="AT6583" s="247"/>
    </row>
    <row r="6584">
      <c r="C6584" s="277"/>
      <c r="O6584" s="247"/>
      <c r="AC6584" s="247"/>
      <c r="AT6584" s="247"/>
    </row>
    <row r="6585">
      <c r="C6585" s="277"/>
      <c r="O6585" s="247"/>
      <c r="AC6585" s="247"/>
      <c r="AT6585" s="247"/>
    </row>
    <row r="6586">
      <c r="C6586" s="277"/>
      <c r="O6586" s="247"/>
      <c r="AC6586" s="247"/>
      <c r="AT6586" s="247"/>
    </row>
    <row r="6587">
      <c r="C6587" s="277"/>
      <c r="O6587" s="247"/>
      <c r="AC6587" s="247"/>
      <c r="AT6587" s="247"/>
    </row>
    <row r="6588">
      <c r="C6588" s="277"/>
      <c r="O6588" s="247"/>
      <c r="AC6588" s="247"/>
      <c r="AT6588" s="247"/>
    </row>
    <row r="6589">
      <c r="C6589" s="277"/>
      <c r="O6589" s="247"/>
      <c r="AC6589" s="247"/>
      <c r="AT6589" s="247"/>
    </row>
    <row r="6590">
      <c r="C6590" s="277"/>
      <c r="O6590" s="247"/>
      <c r="AC6590" s="247"/>
      <c r="AT6590" s="247"/>
    </row>
    <row r="6591">
      <c r="C6591" s="277"/>
      <c r="O6591" s="247"/>
      <c r="AC6591" s="247"/>
      <c r="AT6591" s="247"/>
    </row>
    <row r="6592">
      <c r="C6592" s="277"/>
      <c r="O6592" s="247"/>
      <c r="AC6592" s="247"/>
      <c r="AT6592" s="247"/>
    </row>
    <row r="6593">
      <c r="C6593" s="277"/>
      <c r="O6593" s="247"/>
      <c r="AC6593" s="247"/>
      <c r="AT6593" s="247"/>
    </row>
    <row r="6594">
      <c r="C6594" s="277"/>
      <c r="O6594" s="247"/>
      <c r="AC6594" s="247"/>
      <c r="AT6594" s="247"/>
    </row>
    <row r="6595">
      <c r="C6595" s="277"/>
      <c r="O6595" s="247"/>
      <c r="AC6595" s="247"/>
      <c r="AT6595" s="247"/>
    </row>
    <row r="6596">
      <c r="C6596" s="277"/>
      <c r="O6596" s="247"/>
      <c r="AC6596" s="247"/>
      <c r="AT6596" s="247"/>
    </row>
    <row r="6597">
      <c r="C6597" s="277"/>
      <c r="O6597" s="247"/>
      <c r="AC6597" s="247"/>
      <c r="AT6597" s="247"/>
    </row>
    <row r="6598">
      <c r="C6598" s="277"/>
      <c r="O6598" s="247"/>
      <c r="AC6598" s="247"/>
      <c r="AT6598" s="247"/>
    </row>
    <row r="6599">
      <c r="C6599" s="277"/>
      <c r="O6599" s="247"/>
      <c r="AC6599" s="247"/>
      <c r="AT6599" s="247"/>
    </row>
    <row r="6600">
      <c r="C6600" s="277"/>
      <c r="O6600" s="247"/>
      <c r="AC6600" s="247"/>
      <c r="AT6600" s="247"/>
    </row>
    <row r="6601">
      <c r="C6601" s="277"/>
      <c r="O6601" s="247"/>
      <c r="AC6601" s="247"/>
      <c r="AT6601" s="247"/>
    </row>
    <row r="6602">
      <c r="C6602" s="277"/>
      <c r="O6602" s="247"/>
      <c r="AC6602" s="247"/>
      <c r="AT6602" s="247"/>
    </row>
    <row r="6603">
      <c r="C6603" s="277"/>
      <c r="O6603" s="247"/>
      <c r="AC6603" s="247"/>
      <c r="AT6603" s="247"/>
    </row>
    <row r="6604">
      <c r="C6604" s="277"/>
      <c r="O6604" s="247"/>
      <c r="AC6604" s="247"/>
      <c r="AT6604" s="247"/>
    </row>
    <row r="6605">
      <c r="C6605" s="277"/>
      <c r="O6605" s="247"/>
      <c r="AC6605" s="247"/>
      <c r="AT6605" s="247"/>
    </row>
    <row r="6606">
      <c r="C6606" s="277"/>
      <c r="O6606" s="247"/>
      <c r="AC6606" s="247"/>
      <c r="AT6606" s="247"/>
    </row>
    <row r="6607">
      <c r="C6607" s="277"/>
      <c r="O6607" s="247"/>
      <c r="AC6607" s="247"/>
      <c r="AT6607" s="247"/>
    </row>
    <row r="6608">
      <c r="C6608" s="277"/>
      <c r="O6608" s="247"/>
      <c r="AC6608" s="247"/>
      <c r="AT6608" s="247"/>
    </row>
    <row r="6609">
      <c r="C6609" s="277"/>
      <c r="O6609" s="247"/>
      <c r="AC6609" s="247"/>
      <c r="AT6609" s="247"/>
    </row>
    <row r="6610">
      <c r="C6610" s="277"/>
      <c r="O6610" s="247"/>
      <c r="AC6610" s="247"/>
      <c r="AT6610" s="247"/>
    </row>
    <row r="6611">
      <c r="C6611" s="277"/>
      <c r="O6611" s="247"/>
      <c r="AC6611" s="247"/>
      <c r="AT6611" s="247"/>
    </row>
    <row r="6612">
      <c r="C6612" s="277"/>
      <c r="O6612" s="247"/>
      <c r="AC6612" s="247"/>
      <c r="AT6612" s="247"/>
    </row>
    <row r="6613">
      <c r="C6613" s="277"/>
      <c r="O6613" s="247"/>
      <c r="AC6613" s="247"/>
      <c r="AT6613" s="247"/>
    </row>
    <row r="6614">
      <c r="C6614" s="277"/>
      <c r="O6614" s="247"/>
      <c r="AC6614" s="247"/>
      <c r="AT6614" s="247"/>
    </row>
    <row r="6615">
      <c r="C6615" s="277"/>
      <c r="O6615" s="247"/>
      <c r="AC6615" s="247"/>
      <c r="AT6615" s="247"/>
    </row>
    <row r="6616">
      <c r="C6616" s="277"/>
      <c r="O6616" s="247"/>
      <c r="AC6616" s="247"/>
      <c r="AT6616" s="247"/>
    </row>
    <row r="6617">
      <c r="C6617" s="277"/>
      <c r="O6617" s="247"/>
      <c r="AC6617" s="247"/>
      <c r="AT6617" s="247"/>
    </row>
    <row r="6618">
      <c r="C6618" s="277"/>
      <c r="O6618" s="247"/>
      <c r="AC6618" s="247"/>
      <c r="AT6618" s="247"/>
    </row>
    <row r="6619">
      <c r="C6619" s="277"/>
      <c r="O6619" s="247"/>
      <c r="AC6619" s="247"/>
      <c r="AT6619" s="247"/>
    </row>
    <row r="6620">
      <c r="C6620" s="277"/>
      <c r="O6620" s="247"/>
      <c r="AC6620" s="247"/>
      <c r="AT6620" s="247"/>
    </row>
    <row r="6621">
      <c r="C6621" s="277"/>
      <c r="O6621" s="247"/>
      <c r="AC6621" s="247"/>
      <c r="AT6621" s="247"/>
    </row>
    <row r="6622">
      <c r="C6622" s="277"/>
      <c r="O6622" s="247"/>
      <c r="AC6622" s="247"/>
      <c r="AT6622" s="247"/>
    </row>
    <row r="6623">
      <c r="C6623" s="277"/>
      <c r="O6623" s="247"/>
      <c r="AC6623" s="247"/>
      <c r="AT6623" s="247"/>
    </row>
    <row r="6624">
      <c r="C6624" s="277"/>
      <c r="O6624" s="247"/>
      <c r="AC6624" s="247"/>
      <c r="AT6624" s="247"/>
    </row>
    <row r="6625">
      <c r="C6625" s="277"/>
      <c r="O6625" s="247"/>
      <c r="AC6625" s="247"/>
      <c r="AT6625" s="247"/>
    </row>
    <row r="6626">
      <c r="C6626" s="277"/>
      <c r="O6626" s="247"/>
      <c r="AC6626" s="247"/>
      <c r="AT6626" s="247"/>
    </row>
    <row r="6627">
      <c r="C6627" s="277"/>
      <c r="O6627" s="247"/>
      <c r="AC6627" s="247"/>
      <c r="AT6627" s="247"/>
    </row>
    <row r="6628">
      <c r="C6628" s="277"/>
      <c r="O6628" s="247"/>
      <c r="AC6628" s="247"/>
      <c r="AT6628" s="247"/>
    </row>
    <row r="6629">
      <c r="C6629" s="277"/>
      <c r="O6629" s="247"/>
      <c r="AC6629" s="247"/>
      <c r="AT6629" s="247"/>
    </row>
    <row r="6630">
      <c r="C6630" s="277"/>
      <c r="O6630" s="247"/>
      <c r="AC6630" s="247"/>
      <c r="AT6630" s="247"/>
    </row>
    <row r="6631">
      <c r="C6631" s="277"/>
      <c r="O6631" s="247"/>
      <c r="AC6631" s="247"/>
      <c r="AT6631" s="247"/>
    </row>
    <row r="6632">
      <c r="C6632" s="277"/>
      <c r="O6632" s="247"/>
      <c r="AC6632" s="247"/>
      <c r="AT6632" s="247"/>
    </row>
    <row r="6633">
      <c r="C6633" s="277"/>
      <c r="O6633" s="247"/>
      <c r="AC6633" s="247"/>
      <c r="AT6633" s="247"/>
    </row>
    <row r="6634">
      <c r="C6634" s="277"/>
      <c r="O6634" s="247"/>
      <c r="AC6634" s="247"/>
      <c r="AT6634" s="247"/>
    </row>
    <row r="6635">
      <c r="C6635" s="277"/>
      <c r="O6635" s="247"/>
      <c r="AC6635" s="247"/>
      <c r="AT6635" s="247"/>
    </row>
    <row r="6636">
      <c r="C6636" s="277"/>
      <c r="O6636" s="247"/>
      <c r="AC6636" s="247"/>
      <c r="AT6636" s="247"/>
    </row>
    <row r="6637">
      <c r="C6637" s="277"/>
      <c r="O6637" s="247"/>
      <c r="AC6637" s="247"/>
      <c r="AT6637" s="247"/>
    </row>
    <row r="6638">
      <c r="C6638" s="277"/>
      <c r="O6638" s="247"/>
      <c r="AC6638" s="247"/>
      <c r="AT6638" s="247"/>
    </row>
    <row r="6639">
      <c r="C6639" s="277"/>
      <c r="O6639" s="247"/>
      <c r="AC6639" s="247"/>
      <c r="AT6639" s="247"/>
    </row>
    <row r="6640">
      <c r="C6640" s="277"/>
      <c r="O6640" s="247"/>
      <c r="AC6640" s="247"/>
      <c r="AT6640" s="247"/>
    </row>
    <row r="6641">
      <c r="C6641" s="277"/>
      <c r="O6641" s="247"/>
      <c r="AC6641" s="247"/>
      <c r="AT6641" s="247"/>
    </row>
    <row r="6642">
      <c r="C6642" s="277"/>
      <c r="O6642" s="247"/>
      <c r="AC6642" s="247"/>
      <c r="AT6642" s="247"/>
    </row>
    <row r="6643">
      <c r="C6643" s="277"/>
      <c r="O6643" s="247"/>
      <c r="AC6643" s="247"/>
      <c r="AT6643" s="247"/>
    </row>
    <row r="6644">
      <c r="C6644" s="277"/>
      <c r="O6644" s="247"/>
      <c r="AC6644" s="247"/>
      <c r="AT6644" s="247"/>
    </row>
    <row r="6645">
      <c r="C6645" s="277"/>
      <c r="O6645" s="247"/>
      <c r="AC6645" s="247"/>
      <c r="AT6645" s="247"/>
    </row>
    <row r="6646">
      <c r="C6646" s="277"/>
      <c r="O6646" s="247"/>
      <c r="AC6646" s="247"/>
      <c r="AT6646" s="247"/>
    </row>
    <row r="6647">
      <c r="C6647" s="277"/>
      <c r="O6647" s="247"/>
      <c r="AC6647" s="247"/>
      <c r="AT6647" s="247"/>
    </row>
    <row r="6648">
      <c r="C6648" s="277"/>
      <c r="O6648" s="247"/>
      <c r="AC6648" s="247"/>
      <c r="AT6648" s="247"/>
    </row>
    <row r="6649">
      <c r="C6649" s="277"/>
      <c r="O6649" s="247"/>
      <c r="AC6649" s="247"/>
      <c r="AT6649" s="247"/>
    </row>
    <row r="6650">
      <c r="C6650" s="277"/>
      <c r="O6650" s="247"/>
      <c r="AC6650" s="247"/>
      <c r="AT6650" s="247"/>
    </row>
    <row r="6651">
      <c r="C6651" s="277"/>
      <c r="O6651" s="247"/>
      <c r="AC6651" s="247"/>
      <c r="AT6651" s="247"/>
    </row>
    <row r="6652">
      <c r="C6652" s="277"/>
      <c r="O6652" s="247"/>
      <c r="AC6652" s="247"/>
      <c r="AT6652" s="247"/>
    </row>
    <row r="6653">
      <c r="C6653" s="277"/>
      <c r="O6653" s="247"/>
      <c r="AC6653" s="247"/>
      <c r="AT6653" s="247"/>
    </row>
    <row r="6654">
      <c r="C6654" s="277"/>
      <c r="O6654" s="247"/>
      <c r="AC6654" s="247"/>
      <c r="AT6654" s="247"/>
    </row>
    <row r="6655">
      <c r="C6655" s="277"/>
      <c r="O6655" s="247"/>
      <c r="AC6655" s="247"/>
      <c r="AT6655" s="247"/>
    </row>
    <row r="6656">
      <c r="C6656" s="277"/>
      <c r="O6656" s="247"/>
      <c r="AC6656" s="247"/>
      <c r="AT6656" s="247"/>
    </row>
    <row r="6657">
      <c r="C6657" s="277"/>
      <c r="O6657" s="247"/>
      <c r="AC6657" s="247"/>
      <c r="AT6657" s="247"/>
    </row>
    <row r="6658">
      <c r="C6658" s="277"/>
      <c r="O6658" s="247"/>
      <c r="AC6658" s="247"/>
      <c r="AT6658" s="247"/>
    </row>
    <row r="6659">
      <c r="C6659" s="277"/>
      <c r="O6659" s="247"/>
      <c r="AC6659" s="247"/>
      <c r="AT6659" s="247"/>
    </row>
    <row r="6660">
      <c r="C6660" s="277"/>
      <c r="O6660" s="247"/>
      <c r="AC6660" s="247"/>
      <c r="AT6660" s="247"/>
    </row>
    <row r="6661">
      <c r="C6661" s="277"/>
      <c r="O6661" s="247"/>
      <c r="AC6661" s="247"/>
      <c r="AT6661" s="247"/>
    </row>
    <row r="6662">
      <c r="C6662" s="277"/>
      <c r="O6662" s="247"/>
      <c r="AC6662" s="247"/>
      <c r="AT6662" s="247"/>
    </row>
    <row r="6663">
      <c r="C6663" s="277"/>
      <c r="O6663" s="247"/>
      <c r="AC6663" s="247"/>
      <c r="AT6663" s="247"/>
    </row>
    <row r="6664">
      <c r="C6664" s="277"/>
      <c r="O6664" s="247"/>
      <c r="AC6664" s="247"/>
      <c r="AT6664" s="247"/>
    </row>
    <row r="6665">
      <c r="C6665" s="277"/>
      <c r="O6665" s="247"/>
      <c r="AC6665" s="247"/>
      <c r="AT6665" s="247"/>
    </row>
    <row r="6666">
      <c r="C6666" s="277"/>
      <c r="O6666" s="247"/>
      <c r="AC6666" s="247"/>
      <c r="AT6666" s="247"/>
    </row>
    <row r="6667">
      <c r="C6667" s="277"/>
      <c r="O6667" s="247"/>
      <c r="AC6667" s="247"/>
      <c r="AT6667" s="247"/>
    </row>
    <row r="6668">
      <c r="C6668" s="277"/>
      <c r="O6668" s="247"/>
      <c r="AC6668" s="247"/>
      <c r="AT6668" s="247"/>
    </row>
    <row r="6669">
      <c r="C6669" s="277"/>
      <c r="O6669" s="247"/>
      <c r="AC6669" s="247"/>
      <c r="AT6669" s="247"/>
    </row>
    <row r="6670">
      <c r="C6670" s="277"/>
      <c r="O6670" s="247"/>
      <c r="AC6670" s="247"/>
      <c r="AT6670" s="247"/>
    </row>
    <row r="6671">
      <c r="C6671" s="277"/>
      <c r="O6671" s="247"/>
      <c r="AC6671" s="247"/>
      <c r="AT6671" s="247"/>
    </row>
    <row r="6672">
      <c r="C6672" s="277"/>
      <c r="O6672" s="247"/>
      <c r="AC6672" s="247"/>
      <c r="AT6672" s="247"/>
    </row>
    <row r="6673">
      <c r="C6673" s="277"/>
      <c r="O6673" s="247"/>
      <c r="AC6673" s="247"/>
      <c r="AT6673" s="247"/>
    </row>
    <row r="6674">
      <c r="C6674" s="277"/>
      <c r="O6674" s="247"/>
      <c r="AC6674" s="247"/>
      <c r="AT6674" s="247"/>
    </row>
    <row r="6675">
      <c r="C6675" s="277"/>
      <c r="O6675" s="247"/>
      <c r="AC6675" s="247"/>
      <c r="AT6675" s="247"/>
    </row>
    <row r="6676">
      <c r="C6676" s="277"/>
      <c r="O6676" s="247"/>
      <c r="AC6676" s="247"/>
      <c r="AT6676" s="247"/>
    </row>
    <row r="6677">
      <c r="C6677" s="277"/>
      <c r="O6677" s="247"/>
      <c r="AC6677" s="247"/>
      <c r="AT6677" s="247"/>
    </row>
    <row r="6678">
      <c r="C6678" s="277"/>
      <c r="O6678" s="247"/>
      <c r="AC6678" s="247"/>
      <c r="AT6678" s="247"/>
    </row>
    <row r="6679">
      <c r="C6679" s="277"/>
      <c r="O6679" s="247"/>
      <c r="AC6679" s="247"/>
      <c r="AT6679" s="247"/>
    </row>
    <row r="6680">
      <c r="C6680" s="277"/>
      <c r="O6680" s="247"/>
      <c r="AC6680" s="247"/>
      <c r="AT6680" s="247"/>
    </row>
    <row r="6681">
      <c r="C6681" s="277"/>
      <c r="O6681" s="247"/>
      <c r="AC6681" s="247"/>
      <c r="AT6681" s="247"/>
    </row>
    <row r="6682">
      <c r="C6682" s="277"/>
      <c r="O6682" s="247"/>
      <c r="AC6682" s="247"/>
      <c r="AT6682" s="247"/>
    </row>
    <row r="6683">
      <c r="C6683" s="277"/>
      <c r="O6683" s="247"/>
      <c r="AC6683" s="247"/>
      <c r="AT6683" s="247"/>
    </row>
    <row r="6684">
      <c r="C6684" s="277"/>
      <c r="O6684" s="247"/>
      <c r="AC6684" s="247"/>
      <c r="AT6684" s="247"/>
    </row>
    <row r="6685">
      <c r="C6685" s="277"/>
      <c r="O6685" s="247"/>
      <c r="AC6685" s="247"/>
      <c r="AT6685" s="247"/>
    </row>
    <row r="6686">
      <c r="C6686" s="277"/>
      <c r="O6686" s="247"/>
      <c r="AC6686" s="247"/>
      <c r="AT6686" s="247"/>
    </row>
    <row r="6687">
      <c r="C6687" s="277"/>
      <c r="O6687" s="247"/>
      <c r="AC6687" s="247"/>
      <c r="AT6687" s="247"/>
    </row>
    <row r="6688">
      <c r="C6688" s="277"/>
      <c r="O6688" s="247"/>
      <c r="AC6688" s="247"/>
      <c r="AT6688" s="247"/>
    </row>
    <row r="6689">
      <c r="C6689" s="277"/>
      <c r="O6689" s="247"/>
      <c r="AC6689" s="247"/>
      <c r="AT6689" s="247"/>
    </row>
    <row r="6690">
      <c r="C6690" s="277"/>
      <c r="O6690" s="247"/>
      <c r="AC6690" s="247"/>
      <c r="AT6690" s="247"/>
    </row>
    <row r="6691">
      <c r="C6691" s="277"/>
      <c r="O6691" s="247"/>
      <c r="AC6691" s="247"/>
      <c r="AT6691" s="247"/>
    </row>
    <row r="6692">
      <c r="C6692" s="277"/>
      <c r="O6692" s="247"/>
      <c r="AC6692" s="247"/>
      <c r="AT6692" s="247"/>
    </row>
    <row r="6693">
      <c r="C6693" s="277"/>
      <c r="O6693" s="247"/>
      <c r="AC6693" s="247"/>
      <c r="AT6693" s="247"/>
    </row>
    <row r="6694">
      <c r="C6694" s="277"/>
      <c r="O6694" s="247"/>
      <c r="AC6694" s="247"/>
      <c r="AT6694" s="247"/>
    </row>
    <row r="6695">
      <c r="C6695" s="277"/>
      <c r="O6695" s="247"/>
      <c r="AC6695" s="247"/>
      <c r="AT6695" s="247"/>
    </row>
    <row r="6696">
      <c r="C6696" s="277"/>
      <c r="O6696" s="247"/>
      <c r="AC6696" s="247"/>
      <c r="AT6696" s="247"/>
    </row>
    <row r="6697">
      <c r="C6697" s="277"/>
      <c r="O6697" s="247"/>
      <c r="AC6697" s="247"/>
      <c r="AT6697" s="247"/>
    </row>
    <row r="6698">
      <c r="C6698" s="277"/>
      <c r="O6698" s="247"/>
      <c r="AC6698" s="247"/>
      <c r="AT6698" s="247"/>
    </row>
    <row r="6699">
      <c r="C6699" s="277"/>
      <c r="O6699" s="247"/>
      <c r="AC6699" s="247"/>
      <c r="AT6699" s="247"/>
    </row>
    <row r="6700">
      <c r="C6700" s="277"/>
      <c r="O6700" s="247"/>
      <c r="AC6700" s="247"/>
      <c r="AT6700" s="247"/>
    </row>
    <row r="6701">
      <c r="C6701" s="277"/>
      <c r="O6701" s="247"/>
      <c r="AC6701" s="247"/>
      <c r="AT6701" s="247"/>
    </row>
    <row r="6702">
      <c r="C6702" s="277"/>
      <c r="O6702" s="247"/>
      <c r="AC6702" s="247"/>
      <c r="AT6702" s="247"/>
    </row>
    <row r="6703">
      <c r="C6703" s="277"/>
      <c r="O6703" s="247"/>
      <c r="AC6703" s="247"/>
      <c r="AT6703" s="247"/>
    </row>
    <row r="6704">
      <c r="C6704" s="277"/>
      <c r="O6704" s="247"/>
      <c r="AC6704" s="247"/>
      <c r="AT6704" s="247"/>
    </row>
    <row r="6705">
      <c r="C6705" s="277"/>
      <c r="O6705" s="247"/>
      <c r="AC6705" s="247"/>
      <c r="AT6705" s="247"/>
    </row>
    <row r="6706">
      <c r="C6706" s="277"/>
      <c r="O6706" s="247"/>
      <c r="AC6706" s="247"/>
      <c r="AT6706" s="247"/>
    </row>
    <row r="6707">
      <c r="C6707" s="277"/>
      <c r="O6707" s="247"/>
      <c r="AC6707" s="247"/>
      <c r="AT6707" s="247"/>
    </row>
    <row r="6708">
      <c r="C6708" s="277"/>
      <c r="O6708" s="247"/>
      <c r="AC6708" s="247"/>
      <c r="AT6708" s="247"/>
    </row>
    <row r="6709">
      <c r="C6709" s="277"/>
      <c r="O6709" s="247"/>
      <c r="AC6709" s="247"/>
      <c r="AT6709" s="247"/>
    </row>
    <row r="6710">
      <c r="C6710" s="277"/>
      <c r="O6710" s="247"/>
      <c r="AC6710" s="247"/>
      <c r="AT6710" s="247"/>
    </row>
    <row r="6711">
      <c r="C6711" s="277"/>
      <c r="O6711" s="247"/>
      <c r="AC6711" s="247"/>
      <c r="AT6711" s="247"/>
    </row>
    <row r="6712">
      <c r="C6712" s="277"/>
      <c r="O6712" s="247"/>
      <c r="AC6712" s="247"/>
      <c r="AT6712" s="247"/>
    </row>
    <row r="6713">
      <c r="C6713" s="277"/>
      <c r="O6713" s="247"/>
      <c r="AC6713" s="247"/>
      <c r="AT6713" s="247"/>
    </row>
    <row r="6714">
      <c r="C6714" s="277"/>
      <c r="O6714" s="247"/>
      <c r="AC6714" s="247"/>
      <c r="AT6714" s="247"/>
    </row>
    <row r="6715">
      <c r="C6715" s="277"/>
      <c r="O6715" s="247"/>
      <c r="AC6715" s="247"/>
      <c r="AT6715" s="247"/>
    </row>
    <row r="6716">
      <c r="C6716" s="277"/>
      <c r="O6716" s="247"/>
      <c r="AC6716" s="247"/>
      <c r="AT6716" s="247"/>
    </row>
    <row r="6717">
      <c r="C6717" s="277"/>
      <c r="O6717" s="247"/>
      <c r="AC6717" s="247"/>
      <c r="AT6717" s="247"/>
    </row>
    <row r="6718">
      <c r="C6718" s="277"/>
      <c r="O6718" s="247"/>
      <c r="AC6718" s="247"/>
      <c r="AT6718" s="247"/>
    </row>
    <row r="6719">
      <c r="C6719" s="277"/>
      <c r="O6719" s="247"/>
      <c r="AC6719" s="247"/>
      <c r="AT6719" s="247"/>
    </row>
    <row r="6720">
      <c r="C6720" s="277"/>
      <c r="O6720" s="247"/>
      <c r="AC6720" s="247"/>
      <c r="AT6720" s="247"/>
    </row>
    <row r="6721">
      <c r="C6721" s="277"/>
      <c r="O6721" s="247"/>
      <c r="AC6721" s="247"/>
      <c r="AT6721" s="247"/>
    </row>
    <row r="6722">
      <c r="C6722" s="277"/>
      <c r="O6722" s="247"/>
      <c r="AC6722" s="247"/>
      <c r="AT6722" s="247"/>
    </row>
    <row r="6723">
      <c r="C6723" s="277"/>
      <c r="O6723" s="247"/>
      <c r="AC6723" s="247"/>
      <c r="AT6723" s="247"/>
    </row>
    <row r="6724">
      <c r="C6724" s="277"/>
      <c r="O6724" s="247"/>
      <c r="AC6724" s="247"/>
      <c r="AT6724" s="247"/>
    </row>
    <row r="6725">
      <c r="C6725" s="277"/>
      <c r="O6725" s="247"/>
      <c r="AC6725" s="247"/>
      <c r="AT6725" s="247"/>
    </row>
    <row r="6726">
      <c r="C6726" s="277"/>
      <c r="O6726" s="247"/>
      <c r="AC6726" s="247"/>
      <c r="AT6726" s="247"/>
    </row>
    <row r="6727">
      <c r="C6727" s="277"/>
      <c r="O6727" s="247"/>
      <c r="AC6727" s="247"/>
      <c r="AT6727" s="247"/>
    </row>
    <row r="6728">
      <c r="C6728" s="277"/>
      <c r="O6728" s="247"/>
      <c r="AC6728" s="247"/>
      <c r="AT6728" s="247"/>
    </row>
    <row r="6729">
      <c r="C6729" s="277"/>
      <c r="O6729" s="247"/>
      <c r="AC6729" s="247"/>
      <c r="AT6729" s="247"/>
    </row>
    <row r="6730">
      <c r="C6730" s="277"/>
      <c r="O6730" s="247"/>
      <c r="AC6730" s="247"/>
      <c r="AT6730" s="247"/>
    </row>
    <row r="6731">
      <c r="C6731" s="277"/>
      <c r="O6731" s="247"/>
      <c r="AC6731" s="247"/>
      <c r="AT6731" s="247"/>
    </row>
    <row r="6732">
      <c r="C6732" s="277"/>
      <c r="O6732" s="247"/>
      <c r="AC6732" s="247"/>
      <c r="AT6732" s="247"/>
    </row>
    <row r="6733">
      <c r="C6733" s="277"/>
      <c r="O6733" s="247"/>
      <c r="AC6733" s="247"/>
      <c r="AT6733" s="247"/>
    </row>
    <row r="6734">
      <c r="C6734" s="277"/>
      <c r="O6734" s="247"/>
      <c r="AC6734" s="247"/>
      <c r="AT6734" s="247"/>
    </row>
    <row r="6735">
      <c r="C6735" s="277"/>
      <c r="O6735" s="247"/>
      <c r="AC6735" s="247"/>
      <c r="AT6735" s="247"/>
    </row>
    <row r="6736">
      <c r="C6736" s="277"/>
      <c r="O6736" s="247"/>
      <c r="AC6736" s="247"/>
      <c r="AT6736" s="247"/>
    </row>
    <row r="6737">
      <c r="C6737" s="277"/>
      <c r="O6737" s="247"/>
      <c r="AC6737" s="247"/>
      <c r="AT6737" s="247"/>
    </row>
    <row r="6738">
      <c r="C6738" s="277"/>
      <c r="O6738" s="247"/>
      <c r="AC6738" s="247"/>
      <c r="AT6738" s="247"/>
    </row>
    <row r="6739">
      <c r="C6739" s="277"/>
      <c r="O6739" s="247"/>
      <c r="AC6739" s="247"/>
      <c r="AT6739" s="247"/>
    </row>
    <row r="6740">
      <c r="C6740" s="277"/>
      <c r="O6740" s="247"/>
      <c r="AC6740" s="247"/>
      <c r="AT6740" s="247"/>
    </row>
    <row r="6741">
      <c r="C6741" s="277"/>
      <c r="O6741" s="247"/>
      <c r="AC6741" s="247"/>
      <c r="AT6741" s="247"/>
    </row>
    <row r="6742">
      <c r="C6742" s="277"/>
      <c r="O6742" s="247"/>
      <c r="AC6742" s="247"/>
      <c r="AT6742" s="247"/>
    </row>
    <row r="6743">
      <c r="C6743" s="277"/>
      <c r="O6743" s="247"/>
      <c r="AC6743" s="247"/>
      <c r="AT6743" s="247"/>
    </row>
    <row r="6744">
      <c r="C6744" s="277"/>
      <c r="O6744" s="247"/>
      <c r="AC6744" s="247"/>
      <c r="AT6744" s="247"/>
    </row>
    <row r="6745">
      <c r="C6745" s="277"/>
      <c r="O6745" s="247"/>
      <c r="AC6745" s="247"/>
      <c r="AT6745" s="247"/>
    </row>
    <row r="6746">
      <c r="C6746" s="277"/>
      <c r="O6746" s="247"/>
      <c r="AC6746" s="247"/>
      <c r="AT6746" s="247"/>
    </row>
    <row r="6747">
      <c r="C6747" s="277"/>
      <c r="O6747" s="247"/>
      <c r="AC6747" s="247"/>
      <c r="AT6747" s="247"/>
    </row>
    <row r="6748">
      <c r="C6748" s="277"/>
      <c r="O6748" s="247"/>
      <c r="AC6748" s="247"/>
      <c r="AT6748" s="247"/>
    </row>
    <row r="6749">
      <c r="C6749" s="277"/>
      <c r="O6749" s="247"/>
      <c r="AC6749" s="247"/>
      <c r="AT6749" s="247"/>
    </row>
    <row r="6750">
      <c r="C6750" s="277"/>
      <c r="O6750" s="247"/>
      <c r="AC6750" s="247"/>
      <c r="AT6750" s="247"/>
    </row>
    <row r="6751">
      <c r="C6751" s="277"/>
      <c r="O6751" s="247"/>
      <c r="AC6751" s="247"/>
      <c r="AT6751" s="247"/>
    </row>
    <row r="6752">
      <c r="C6752" s="277"/>
      <c r="O6752" s="247"/>
      <c r="AC6752" s="247"/>
      <c r="AT6752" s="247"/>
    </row>
    <row r="6753">
      <c r="C6753" s="277"/>
      <c r="O6753" s="247"/>
      <c r="AC6753" s="247"/>
      <c r="AT6753" s="247"/>
    </row>
    <row r="6754">
      <c r="C6754" s="277"/>
      <c r="O6754" s="247"/>
      <c r="AC6754" s="247"/>
      <c r="AT6754" s="247"/>
    </row>
    <row r="6755">
      <c r="C6755" s="277"/>
      <c r="O6755" s="247"/>
      <c r="AC6755" s="247"/>
      <c r="AT6755" s="247"/>
    </row>
    <row r="6756">
      <c r="C6756" s="277"/>
      <c r="O6756" s="247"/>
      <c r="AC6756" s="247"/>
      <c r="AT6756" s="247"/>
    </row>
    <row r="6757">
      <c r="C6757" s="277"/>
      <c r="O6757" s="247"/>
      <c r="AC6757" s="247"/>
      <c r="AT6757" s="247"/>
    </row>
    <row r="6758">
      <c r="C6758" s="277"/>
      <c r="O6758" s="247"/>
      <c r="AC6758" s="247"/>
      <c r="AT6758" s="247"/>
    </row>
    <row r="6759">
      <c r="C6759" s="277"/>
      <c r="O6759" s="247"/>
      <c r="AC6759" s="247"/>
      <c r="AT6759" s="247"/>
    </row>
    <row r="6760">
      <c r="C6760" s="277"/>
      <c r="O6760" s="247"/>
      <c r="AC6760" s="247"/>
      <c r="AT6760" s="247"/>
    </row>
    <row r="6761">
      <c r="C6761" s="277"/>
      <c r="O6761" s="247"/>
      <c r="AC6761" s="247"/>
      <c r="AT6761" s="247"/>
    </row>
    <row r="6762">
      <c r="C6762" s="277"/>
      <c r="O6762" s="247"/>
      <c r="AC6762" s="247"/>
      <c r="AT6762" s="247"/>
    </row>
    <row r="6763">
      <c r="C6763" s="277"/>
      <c r="O6763" s="247"/>
      <c r="AC6763" s="247"/>
      <c r="AT6763" s="247"/>
    </row>
    <row r="6764">
      <c r="C6764" s="277"/>
      <c r="O6764" s="247"/>
      <c r="AC6764" s="247"/>
      <c r="AT6764" s="247"/>
    </row>
    <row r="6765">
      <c r="C6765" s="277"/>
      <c r="O6765" s="247"/>
      <c r="AC6765" s="247"/>
      <c r="AT6765" s="247"/>
    </row>
    <row r="6766">
      <c r="C6766" s="277"/>
      <c r="O6766" s="247"/>
      <c r="AC6766" s="247"/>
      <c r="AT6766" s="247"/>
    </row>
    <row r="6767">
      <c r="C6767" s="277"/>
      <c r="O6767" s="247"/>
      <c r="AC6767" s="247"/>
      <c r="AT6767" s="247"/>
    </row>
    <row r="6768">
      <c r="C6768" s="277"/>
      <c r="O6768" s="247"/>
      <c r="AC6768" s="247"/>
      <c r="AT6768" s="247"/>
    </row>
    <row r="6769">
      <c r="C6769" s="277"/>
      <c r="O6769" s="247"/>
      <c r="AC6769" s="247"/>
      <c r="AT6769" s="247"/>
    </row>
    <row r="6770">
      <c r="C6770" s="277"/>
      <c r="O6770" s="247"/>
      <c r="AC6770" s="247"/>
      <c r="AT6770" s="247"/>
    </row>
    <row r="6771">
      <c r="C6771" s="277"/>
      <c r="O6771" s="247"/>
      <c r="AC6771" s="247"/>
      <c r="AT6771" s="247"/>
    </row>
    <row r="6772">
      <c r="C6772" s="277"/>
      <c r="O6772" s="247"/>
      <c r="AC6772" s="247"/>
      <c r="AT6772" s="247"/>
    </row>
    <row r="6773">
      <c r="C6773" s="277"/>
      <c r="O6773" s="247"/>
      <c r="AC6773" s="247"/>
      <c r="AT6773" s="247"/>
    </row>
    <row r="6774">
      <c r="C6774" s="277"/>
      <c r="O6774" s="247"/>
      <c r="AC6774" s="247"/>
      <c r="AT6774" s="247"/>
    </row>
    <row r="6775">
      <c r="C6775" s="277"/>
      <c r="O6775" s="247"/>
      <c r="AC6775" s="247"/>
      <c r="AT6775" s="247"/>
    </row>
    <row r="6776">
      <c r="C6776" s="277"/>
      <c r="O6776" s="247"/>
      <c r="AC6776" s="247"/>
      <c r="AT6776" s="247"/>
    </row>
    <row r="6777">
      <c r="C6777" s="277"/>
      <c r="O6777" s="247"/>
      <c r="AC6777" s="247"/>
      <c r="AT6777" s="247"/>
    </row>
    <row r="6778">
      <c r="C6778" s="277"/>
      <c r="O6778" s="247"/>
      <c r="AC6778" s="247"/>
      <c r="AT6778" s="247"/>
    </row>
    <row r="6779">
      <c r="C6779" s="277"/>
      <c r="O6779" s="247"/>
      <c r="AC6779" s="247"/>
      <c r="AT6779" s="247"/>
    </row>
    <row r="6780">
      <c r="C6780" s="277"/>
      <c r="O6780" s="247"/>
      <c r="AC6780" s="247"/>
      <c r="AT6780" s="247"/>
    </row>
    <row r="6781">
      <c r="C6781" s="277"/>
      <c r="O6781" s="247"/>
      <c r="AC6781" s="247"/>
      <c r="AT6781" s="247"/>
    </row>
    <row r="6782">
      <c r="C6782" s="277"/>
      <c r="O6782" s="247"/>
      <c r="AC6782" s="247"/>
      <c r="AT6782" s="247"/>
    </row>
    <row r="6783">
      <c r="C6783" s="277"/>
      <c r="O6783" s="247"/>
      <c r="AC6783" s="247"/>
      <c r="AT6783" s="247"/>
    </row>
    <row r="6784">
      <c r="C6784" s="277"/>
      <c r="O6784" s="247"/>
      <c r="AC6784" s="247"/>
      <c r="AT6784" s="247"/>
    </row>
    <row r="6785">
      <c r="C6785" s="277"/>
      <c r="O6785" s="247"/>
      <c r="AC6785" s="247"/>
      <c r="AT6785" s="247"/>
    </row>
    <row r="6786">
      <c r="C6786" s="277"/>
      <c r="O6786" s="247"/>
      <c r="AC6786" s="247"/>
      <c r="AT6786" s="247"/>
    </row>
    <row r="6787">
      <c r="C6787" s="277"/>
      <c r="O6787" s="247"/>
      <c r="AC6787" s="247"/>
      <c r="AT6787" s="247"/>
    </row>
    <row r="6788">
      <c r="C6788" s="277"/>
      <c r="O6788" s="247"/>
      <c r="AC6788" s="247"/>
      <c r="AT6788" s="247"/>
    </row>
    <row r="6789">
      <c r="C6789" s="277"/>
      <c r="O6789" s="247"/>
      <c r="AC6789" s="247"/>
      <c r="AT6789" s="247"/>
    </row>
    <row r="6790">
      <c r="C6790" s="277"/>
      <c r="O6790" s="247"/>
      <c r="AC6790" s="247"/>
      <c r="AT6790" s="247"/>
    </row>
    <row r="6791">
      <c r="C6791" s="277"/>
      <c r="O6791" s="247"/>
      <c r="AC6791" s="247"/>
      <c r="AT6791" s="247"/>
    </row>
    <row r="6792">
      <c r="C6792" s="277"/>
      <c r="O6792" s="247"/>
      <c r="AC6792" s="247"/>
      <c r="AT6792" s="247"/>
    </row>
    <row r="6793">
      <c r="C6793" s="277"/>
      <c r="O6793" s="247"/>
      <c r="AC6793" s="247"/>
      <c r="AT6793" s="247"/>
    </row>
    <row r="6794">
      <c r="C6794" s="277"/>
      <c r="O6794" s="247"/>
      <c r="AC6794" s="247"/>
      <c r="AT6794" s="247"/>
    </row>
    <row r="6795">
      <c r="C6795" s="277"/>
      <c r="O6795" s="247"/>
      <c r="AC6795" s="247"/>
      <c r="AT6795" s="247"/>
    </row>
    <row r="6796">
      <c r="C6796" s="277"/>
      <c r="O6796" s="247"/>
      <c r="AC6796" s="247"/>
      <c r="AT6796" s="247"/>
    </row>
    <row r="6797">
      <c r="C6797" s="277"/>
      <c r="O6797" s="247"/>
      <c r="AC6797" s="247"/>
      <c r="AT6797" s="247"/>
    </row>
    <row r="6798">
      <c r="C6798" s="277"/>
      <c r="O6798" s="247"/>
      <c r="AC6798" s="247"/>
      <c r="AT6798" s="247"/>
    </row>
    <row r="6799">
      <c r="C6799" s="277"/>
      <c r="O6799" s="247"/>
      <c r="AC6799" s="247"/>
      <c r="AT6799" s="247"/>
    </row>
    <row r="6800">
      <c r="C6800" s="277"/>
      <c r="O6800" s="247"/>
      <c r="AC6800" s="247"/>
      <c r="AT6800" s="247"/>
    </row>
    <row r="6801">
      <c r="C6801" s="277"/>
      <c r="O6801" s="247"/>
      <c r="AC6801" s="247"/>
      <c r="AT6801" s="247"/>
    </row>
    <row r="6802">
      <c r="C6802" s="277"/>
      <c r="O6802" s="247"/>
      <c r="AC6802" s="247"/>
      <c r="AT6802" s="247"/>
    </row>
    <row r="6803">
      <c r="C6803" s="277"/>
      <c r="O6803" s="247"/>
      <c r="AC6803" s="247"/>
      <c r="AT6803" s="247"/>
    </row>
    <row r="6804">
      <c r="C6804" s="277"/>
      <c r="O6804" s="247"/>
      <c r="AC6804" s="247"/>
      <c r="AT6804" s="247"/>
    </row>
    <row r="6805">
      <c r="C6805" s="277"/>
      <c r="O6805" s="247"/>
      <c r="AC6805" s="247"/>
      <c r="AT6805" s="247"/>
    </row>
    <row r="6806">
      <c r="C6806" s="277"/>
      <c r="O6806" s="247"/>
      <c r="AC6806" s="247"/>
      <c r="AT6806" s="247"/>
    </row>
    <row r="6807">
      <c r="C6807" s="277"/>
      <c r="O6807" s="247"/>
      <c r="AC6807" s="247"/>
      <c r="AT6807" s="247"/>
    </row>
    <row r="6808">
      <c r="C6808" s="277"/>
      <c r="O6808" s="247"/>
      <c r="AC6808" s="247"/>
      <c r="AT6808" s="247"/>
    </row>
    <row r="6809">
      <c r="C6809" s="277"/>
      <c r="O6809" s="247"/>
      <c r="AC6809" s="247"/>
      <c r="AT6809" s="247"/>
    </row>
    <row r="6810">
      <c r="C6810" s="277"/>
      <c r="O6810" s="247"/>
      <c r="AC6810" s="247"/>
      <c r="AT6810" s="247"/>
    </row>
    <row r="6811">
      <c r="C6811" s="277"/>
      <c r="O6811" s="247"/>
      <c r="AC6811" s="247"/>
      <c r="AT6811" s="247"/>
    </row>
    <row r="6812">
      <c r="C6812" s="277"/>
      <c r="O6812" s="247"/>
      <c r="AC6812" s="247"/>
      <c r="AT6812" s="247"/>
    </row>
    <row r="6813">
      <c r="C6813" s="277"/>
      <c r="O6813" s="247"/>
      <c r="AC6813" s="247"/>
      <c r="AT6813" s="247"/>
    </row>
    <row r="6814">
      <c r="C6814" s="277"/>
      <c r="O6814" s="247"/>
      <c r="AC6814" s="247"/>
      <c r="AT6814" s="247"/>
    </row>
    <row r="6815">
      <c r="C6815" s="277"/>
      <c r="O6815" s="247"/>
      <c r="AC6815" s="247"/>
      <c r="AT6815" s="247"/>
    </row>
    <row r="6816">
      <c r="C6816" s="277"/>
      <c r="O6816" s="247"/>
      <c r="AC6816" s="247"/>
      <c r="AT6816" s="247"/>
    </row>
    <row r="6817">
      <c r="C6817" s="277"/>
      <c r="O6817" s="247"/>
      <c r="AC6817" s="247"/>
      <c r="AT6817" s="247"/>
    </row>
    <row r="6818">
      <c r="C6818" s="277"/>
      <c r="O6818" s="247"/>
      <c r="AC6818" s="247"/>
      <c r="AT6818" s="247"/>
    </row>
    <row r="6819">
      <c r="C6819" s="277"/>
      <c r="O6819" s="247"/>
      <c r="AC6819" s="247"/>
      <c r="AT6819" s="247"/>
    </row>
    <row r="6820">
      <c r="C6820" s="277"/>
      <c r="O6820" s="247"/>
      <c r="AC6820" s="247"/>
      <c r="AT6820" s="247"/>
    </row>
    <row r="6821">
      <c r="C6821" s="277"/>
      <c r="O6821" s="247"/>
      <c r="AC6821" s="247"/>
      <c r="AT6821" s="247"/>
    </row>
    <row r="6822">
      <c r="C6822" s="277"/>
      <c r="M6822" s="277"/>
      <c r="O6822" s="247"/>
      <c r="AC6822" s="247"/>
      <c r="AT6822" s="247"/>
    </row>
    <row r="6823">
      <c r="C6823" s="277"/>
      <c r="M6823" s="277"/>
      <c r="O6823" s="247"/>
      <c r="AC6823" s="247"/>
      <c r="AT6823" s="247"/>
    </row>
    <row r="6824">
      <c r="C6824" s="277"/>
      <c r="M6824" s="277"/>
      <c r="O6824" s="247"/>
      <c r="AC6824" s="247"/>
      <c r="AT6824" s="247"/>
    </row>
    <row r="6825">
      <c r="C6825" s="277"/>
      <c r="M6825" s="277"/>
      <c r="O6825" s="247"/>
      <c r="AC6825" s="247"/>
      <c r="AT6825" s="247"/>
    </row>
    <row r="6826">
      <c r="C6826" s="277"/>
      <c r="M6826" s="277"/>
      <c r="O6826" s="247"/>
      <c r="AC6826" s="247"/>
      <c r="AT6826" s="247"/>
    </row>
    <row r="6827">
      <c r="C6827" s="277"/>
      <c r="M6827" s="277"/>
      <c r="O6827" s="247"/>
      <c r="AC6827" s="247"/>
      <c r="AT6827" s="247"/>
    </row>
    <row r="6828">
      <c r="C6828" s="277"/>
      <c r="M6828" s="277"/>
      <c r="O6828" s="247"/>
      <c r="AC6828" s="247"/>
      <c r="AT6828" s="247"/>
    </row>
    <row r="6829">
      <c r="C6829" s="277"/>
      <c r="M6829" s="277"/>
      <c r="O6829" s="247"/>
      <c r="AC6829" s="247"/>
      <c r="AT6829" s="247"/>
    </row>
    <row r="6830">
      <c r="C6830" s="277"/>
      <c r="M6830" s="277"/>
      <c r="O6830" s="247"/>
      <c r="AC6830" s="247"/>
      <c r="AT6830" s="247"/>
    </row>
    <row r="6831">
      <c r="C6831" s="277"/>
      <c r="M6831" s="277"/>
      <c r="O6831" s="247"/>
      <c r="AC6831" s="247"/>
      <c r="AT6831" s="247"/>
    </row>
    <row r="6832">
      <c r="C6832" s="277"/>
      <c r="M6832" s="277"/>
      <c r="O6832" s="247"/>
      <c r="AC6832" s="247"/>
      <c r="AT6832" s="247"/>
    </row>
    <row r="6833">
      <c r="C6833" s="277"/>
      <c r="M6833" s="277"/>
      <c r="O6833" s="247"/>
      <c r="AC6833" s="247"/>
      <c r="AT6833" s="247"/>
    </row>
    <row r="6834">
      <c r="C6834" s="277"/>
      <c r="M6834" s="277"/>
      <c r="O6834" s="247"/>
      <c r="AC6834" s="247"/>
      <c r="AT6834" s="247"/>
    </row>
    <row r="6835">
      <c r="C6835" s="277"/>
      <c r="M6835" s="277"/>
      <c r="O6835" s="247"/>
      <c r="AC6835" s="247"/>
      <c r="AT6835" s="247"/>
    </row>
    <row r="6836">
      <c r="C6836" s="277"/>
      <c r="M6836" s="277"/>
      <c r="O6836" s="247"/>
      <c r="AC6836" s="247"/>
      <c r="AT6836" s="247"/>
    </row>
    <row r="6837">
      <c r="C6837" s="277"/>
      <c r="M6837" s="277"/>
      <c r="O6837" s="247"/>
      <c r="AC6837" s="247"/>
      <c r="AT6837" s="247"/>
    </row>
    <row r="6838">
      <c r="C6838" s="277"/>
      <c r="M6838" s="277"/>
      <c r="O6838" s="247"/>
      <c r="AC6838" s="247"/>
      <c r="AT6838" s="247"/>
    </row>
    <row r="6839">
      <c r="C6839" s="277"/>
      <c r="M6839" s="277"/>
      <c r="O6839" s="247"/>
      <c r="AC6839" s="247"/>
      <c r="AT6839" s="247"/>
    </row>
    <row r="6840">
      <c r="C6840" s="277"/>
      <c r="M6840" s="277"/>
      <c r="O6840" s="247"/>
      <c r="AC6840" s="247"/>
      <c r="AT6840" s="247"/>
    </row>
    <row r="6841">
      <c r="C6841" s="277"/>
      <c r="M6841" s="277"/>
      <c r="O6841" s="247"/>
      <c r="AC6841" s="247"/>
      <c r="AT6841" s="247"/>
    </row>
    <row r="6842">
      <c r="C6842" s="277"/>
      <c r="M6842" s="277"/>
      <c r="O6842" s="247"/>
      <c r="AC6842" s="247"/>
      <c r="AT6842" s="247"/>
    </row>
    <row r="6843">
      <c r="C6843" s="277"/>
      <c r="M6843" s="277"/>
      <c r="O6843" s="247"/>
      <c r="AC6843" s="247"/>
      <c r="AT6843" s="247"/>
    </row>
    <row r="6844">
      <c r="C6844" s="277"/>
      <c r="M6844" s="277"/>
      <c r="O6844" s="247"/>
      <c r="AC6844" s="247"/>
      <c r="AT6844" s="247"/>
    </row>
    <row r="6845">
      <c r="C6845" s="277"/>
      <c r="M6845" s="277"/>
      <c r="O6845" s="247"/>
      <c r="AC6845" s="247"/>
      <c r="AT6845" s="247"/>
    </row>
    <row r="6846">
      <c r="C6846" s="277"/>
      <c r="M6846" s="277"/>
      <c r="O6846" s="247"/>
      <c r="AC6846" s="247"/>
      <c r="AT6846" s="247"/>
    </row>
    <row r="6847">
      <c r="C6847" s="277"/>
      <c r="M6847" s="277"/>
      <c r="O6847" s="247"/>
      <c r="AC6847" s="247"/>
      <c r="AT6847" s="247"/>
    </row>
    <row r="6848">
      <c r="C6848" s="277"/>
      <c r="M6848" s="277"/>
      <c r="O6848" s="247"/>
      <c r="AC6848" s="247"/>
      <c r="AT6848" s="247"/>
    </row>
    <row r="6849">
      <c r="C6849" s="277"/>
      <c r="M6849" s="277"/>
      <c r="O6849" s="247"/>
      <c r="AC6849" s="247"/>
      <c r="AT6849" s="247"/>
    </row>
    <row r="6850">
      <c r="C6850" s="277"/>
      <c r="M6850" s="277"/>
      <c r="O6850" s="247"/>
      <c r="AC6850" s="247"/>
      <c r="AT6850" s="247"/>
    </row>
    <row r="6851">
      <c r="C6851" s="277"/>
      <c r="M6851" s="277"/>
      <c r="O6851" s="247"/>
      <c r="AC6851" s="247"/>
      <c r="AT6851" s="247"/>
    </row>
    <row r="6852">
      <c r="C6852" s="277"/>
      <c r="M6852" s="277"/>
      <c r="O6852" s="247"/>
      <c r="AC6852" s="247"/>
      <c r="AT6852" s="247"/>
    </row>
    <row r="6853">
      <c r="C6853" s="277"/>
      <c r="M6853" s="277"/>
      <c r="O6853" s="247"/>
      <c r="AC6853" s="247"/>
      <c r="AT6853" s="247"/>
    </row>
    <row r="6854">
      <c r="C6854" s="277"/>
      <c r="M6854" s="277"/>
      <c r="O6854" s="247"/>
      <c r="AC6854" s="247"/>
      <c r="AT6854" s="247"/>
    </row>
    <row r="6855">
      <c r="C6855" s="277"/>
      <c r="M6855" s="277"/>
      <c r="O6855" s="247"/>
      <c r="AC6855" s="247"/>
      <c r="AT6855" s="247"/>
    </row>
    <row r="6856">
      <c r="C6856" s="277"/>
      <c r="M6856" s="277"/>
      <c r="O6856" s="247"/>
      <c r="AC6856" s="247"/>
      <c r="AT6856" s="247"/>
    </row>
    <row r="6857">
      <c r="C6857" s="277"/>
      <c r="M6857" s="277"/>
      <c r="O6857" s="247"/>
      <c r="AC6857" s="247"/>
      <c r="AT6857" s="247"/>
    </row>
    <row r="6858">
      <c r="C6858" s="277"/>
      <c r="M6858" s="277"/>
      <c r="O6858" s="247"/>
      <c r="AC6858" s="247"/>
      <c r="AT6858" s="247"/>
    </row>
    <row r="6859">
      <c r="C6859" s="277"/>
      <c r="M6859" s="277"/>
      <c r="O6859" s="247"/>
      <c r="AC6859" s="247"/>
      <c r="AT6859" s="247"/>
    </row>
    <row r="6860">
      <c r="C6860" s="277"/>
      <c r="M6860" s="277"/>
      <c r="O6860" s="247"/>
      <c r="AC6860" s="247"/>
      <c r="AT6860" s="247"/>
    </row>
    <row r="6861">
      <c r="C6861" s="277"/>
      <c r="M6861" s="277"/>
      <c r="O6861" s="247"/>
      <c r="AC6861" s="247"/>
      <c r="AT6861" s="247"/>
    </row>
    <row r="6862">
      <c r="C6862" s="277"/>
      <c r="M6862" s="277"/>
      <c r="O6862" s="247"/>
      <c r="AC6862" s="247"/>
      <c r="AT6862" s="247"/>
    </row>
    <row r="6863">
      <c r="C6863" s="277"/>
      <c r="M6863" s="277"/>
      <c r="O6863" s="247"/>
      <c r="AC6863" s="247"/>
      <c r="AT6863" s="247"/>
    </row>
    <row r="6864">
      <c r="C6864" s="277"/>
      <c r="M6864" s="277"/>
      <c r="O6864" s="247"/>
      <c r="AC6864" s="247"/>
      <c r="AT6864" s="247"/>
    </row>
    <row r="6865">
      <c r="C6865" s="277"/>
      <c r="M6865" s="277"/>
      <c r="O6865" s="247"/>
      <c r="AC6865" s="247"/>
      <c r="AT6865" s="247"/>
    </row>
    <row r="6866">
      <c r="C6866" s="277"/>
      <c r="M6866" s="277"/>
      <c r="O6866" s="247"/>
      <c r="AC6866" s="247"/>
      <c r="AT6866" s="247"/>
    </row>
    <row r="6867">
      <c r="C6867" s="277"/>
      <c r="M6867" s="277"/>
      <c r="O6867" s="247"/>
      <c r="AC6867" s="247"/>
      <c r="AT6867" s="247"/>
    </row>
    <row r="6868">
      <c r="C6868" s="277"/>
      <c r="M6868" s="277"/>
      <c r="O6868" s="247"/>
      <c r="AC6868" s="247"/>
      <c r="AT6868" s="247"/>
    </row>
    <row r="6869">
      <c r="C6869" s="277"/>
      <c r="M6869" s="277"/>
      <c r="O6869" s="247"/>
      <c r="AC6869" s="247"/>
      <c r="AT6869" s="247"/>
    </row>
    <row r="6870">
      <c r="C6870" s="277"/>
      <c r="M6870" s="277"/>
      <c r="O6870" s="247"/>
      <c r="AC6870" s="247"/>
      <c r="AT6870" s="247"/>
    </row>
    <row r="6871">
      <c r="C6871" s="277"/>
      <c r="M6871" s="277"/>
      <c r="O6871" s="247"/>
      <c r="AC6871" s="247"/>
      <c r="AT6871" s="247"/>
    </row>
    <row r="6872">
      <c r="C6872" s="277"/>
      <c r="M6872" s="277"/>
      <c r="O6872" s="247"/>
      <c r="AC6872" s="247"/>
      <c r="AT6872" s="247"/>
    </row>
    <row r="6873">
      <c r="C6873" s="277"/>
      <c r="M6873" s="277"/>
      <c r="O6873" s="247"/>
      <c r="AC6873" s="247"/>
      <c r="AT6873" s="247"/>
    </row>
    <row r="6874">
      <c r="C6874" s="277"/>
      <c r="M6874" s="277"/>
      <c r="O6874" s="247"/>
      <c r="AC6874" s="247"/>
      <c r="AT6874" s="247"/>
    </row>
    <row r="6875">
      <c r="C6875" s="277"/>
      <c r="M6875" s="277"/>
      <c r="O6875" s="247"/>
      <c r="AC6875" s="247"/>
      <c r="AT6875" s="247"/>
    </row>
    <row r="6876">
      <c r="C6876" s="277"/>
      <c r="M6876" s="277"/>
      <c r="O6876" s="247"/>
      <c r="AC6876" s="247"/>
      <c r="AT6876" s="247"/>
    </row>
    <row r="6877">
      <c r="C6877" s="277"/>
      <c r="M6877" s="277"/>
      <c r="O6877" s="247"/>
      <c r="AC6877" s="247"/>
      <c r="AT6877" s="247"/>
    </row>
    <row r="6878">
      <c r="C6878" s="277"/>
      <c r="M6878" s="277"/>
      <c r="O6878" s="247"/>
      <c r="AC6878" s="247"/>
      <c r="AT6878" s="247"/>
    </row>
    <row r="6879">
      <c r="C6879" s="277"/>
      <c r="M6879" s="277"/>
      <c r="O6879" s="247"/>
      <c r="AC6879" s="247"/>
      <c r="AT6879" s="247"/>
    </row>
    <row r="6880">
      <c r="C6880" s="277"/>
      <c r="M6880" s="277"/>
      <c r="O6880" s="247"/>
      <c r="AC6880" s="247"/>
      <c r="AT6880" s="247"/>
    </row>
    <row r="6881">
      <c r="C6881" s="277"/>
      <c r="M6881" s="277"/>
      <c r="O6881" s="247"/>
      <c r="AC6881" s="247"/>
      <c r="AT6881" s="247"/>
    </row>
    <row r="6882">
      <c r="C6882" s="277"/>
      <c r="M6882" s="277"/>
      <c r="O6882" s="247"/>
      <c r="AC6882" s="247"/>
      <c r="AT6882" s="247"/>
    </row>
    <row r="6883">
      <c r="C6883" s="277"/>
      <c r="M6883" s="277"/>
      <c r="O6883" s="247"/>
      <c r="AC6883" s="247"/>
      <c r="AT6883" s="247"/>
    </row>
    <row r="6884">
      <c r="C6884" s="277"/>
      <c r="M6884" s="277"/>
      <c r="O6884" s="247"/>
      <c r="AC6884" s="247"/>
      <c r="AT6884" s="247"/>
    </row>
    <row r="6885">
      <c r="C6885" s="277"/>
      <c r="M6885" s="277"/>
      <c r="O6885" s="247"/>
      <c r="AC6885" s="247"/>
      <c r="AT6885" s="247"/>
    </row>
    <row r="6886">
      <c r="C6886" s="277"/>
      <c r="M6886" s="277"/>
      <c r="O6886" s="247"/>
      <c r="AC6886" s="247"/>
      <c r="AT6886" s="247"/>
    </row>
    <row r="6887">
      <c r="C6887" s="277"/>
      <c r="M6887" s="277"/>
      <c r="O6887" s="247"/>
      <c r="AC6887" s="247"/>
      <c r="AT6887" s="247"/>
    </row>
    <row r="6888">
      <c r="C6888" s="277"/>
      <c r="M6888" s="277"/>
      <c r="O6888" s="247"/>
      <c r="AC6888" s="247"/>
      <c r="AT6888" s="247"/>
    </row>
    <row r="6889">
      <c r="C6889" s="277"/>
      <c r="M6889" s="277"/>
      <c r="O6889" s="247"/>
      <c r="AC6889" s="247"/>
      <c r="AT6889" s="247"/>
    </row>
    <row r="6890">
      <c r="C6890" s="277"/>
      <c r="M6890" s="277"/>
      <c r="O6890" s="247"/>
      <c r="AC6890" s="247"/>
      <c r="AT6890" s="247"/>
    </row>
    <row r="6891">
      <c r="C6891" s="277"/>
      <c r="M6891" s="277"/>
      <c r="O6891" s="247"/>
      <c r="AC6891" s="247"/>
      <c r="AT6891" s="247"/>
    </row>
    <row r="6892">
      <c r="C6892" s="277"/>
      <c r="M6892" s="277"/>
      <c r="O6892" s="247"/>
      <c r="AC6892" s="247"/>
      <c r="AT6892" s="247"/>
    </row>
    <row r="6893">
      <c r="C6893" s="277"/>
      <c r="M6893" s="277"/>
      <c r="O6893" s="247"/>
      <c r="AC6893" s="247"/>
      <c r="AT6893" s="247"/>
    </row>
    <row r="6894">
      <c r="C6894" s="277"/>
      <c r="M6894" s="277"/>
      <c r="O6894" s="247"/>
      <c r="AC6894" s="247"/>
      <c r="AT6894" s="247"/>
    </row>
    <row r="6895">
      <c r="C6895" s="277"/>
      <c r="M6895" s="277"/>
      <c r="O6895" s="247"/>
      <c r="AC6895" s="247"/>
      <c r="AT6895" s="247"/>
    </row>
    <row r="6896">
      <c r="C6896" s="277"/>
      <c r="M6896" s="277"/>
      <c r="O6896" s="247"/>
      <c r="AC6896" s="247"/>
      <c r="AT6896" s="247"/>
    </row>
    <row r="6897">
      <c r="C6897" s="277"/>
      <c r="M6897" s="277"/>
      <c r="O6897" s="247"/>
      <c r="AC6897" s="247"/>
      <c r="AT6897" s="247"/>
    </row>
    <row r="6898">
      <c r="C6898" s="277"/>
      <c r="M6898" s="277"/>
      <c r="O6898" s="247"/>
      <c r="AC6898" s="247"/>
      <c r="AT6898" s="247"/>
    </row>
    <row r="6899">
      <c r="C6899" s="277"/>
      <c r="M6899" s="277"/>
      <c r="O6899" s="247"/>
      <c r="AC6899" s="247"/>
      <c r="AT6899" s="247"/>
    </row>
    <row r="6900">
      <c r="C6900" s="277"/>
      <c r="M6900" s="277"/>
      <c r="O6900" s="247"/>
      <c r="AC6900" s="247"/>
      <c r="AT6900" s="247"/>
    </row>
    <row r="6901">
      <c r="C6901" s="277"/>
      <c r="M6901" s="277"/>
      <c r="O6901" s="247"/>
      <c r="AC6901" s="247"/>
      <c r="AT6901" s="247"/>
    </row>
    <row r="6902">
      <c r="C6902" s="277"/>
      <c r="M6902" s="277"/>
      <c r="O6902" s="247"/>
      <c r="AC6902" s="247"/>
      <c r="AT6902" s="247"/>
    </row>
    <row r="6903">
      <c r="C6903" s="277"/>
      <c r="M6903" s="277"/>
      <c r="O6903" s="247"/>
      <c r="AC6903" s="247"/>
      <c r="AT6903" s="247"/>
    </row>
    <row r="6904">
      <c r="C6904" s="277"/>
      <c r="M6904" s="277"/>
      <c r="O6904" s="247"/>
      <c r="AC6904" s="247"/>
      <c r="AT6904" s="247"/>
    </row>
    <row r="6905">
      <c r="C6905" s="277"/>
      <c r="M6905" s="277"/>
      <c r="O6905" s="247"/>
      <c r="AC6905" s="247"/>
      <c r="AT6905" s="247"/>
    </row>
    <row r="6906">
      <c r="C6906" s="277"/>
      <c r="M6906" s="277"/>
      <c r="O6906" s="247"/>
      <c r="AC6906" s="247"/>
      <c r="AT6906" s="247"/>
    </row>
    <row r="6907">
      <c r="C6907" s="277"/>
      <c r="M6907" s="277"/>
      <c r="O6907" s="247"/>
      <c r="AC6907" s="247"/>
      <c r="AT6907" s="247"/>
    </row>
    <row r="6908">
      <c r="C6908" s="277"/>
      <c r="M6908" s="277"/>
      <c r="O6908" s="247"/>
      <c r="AC6908" s="247"/>
      <c r="AT6908" s="247"/>
    </row>
    <row r="6909">
      <c r="C6909" s="277"/>
      <c r="M6909" s="277"/>
      <c r="O6909" s="247"/>
      <c r="AC6909" s="247"/>
      <c r="AT6909" s="247"/>
    </row>
    <row r="6910">
      <c r="C6910" s="277"/>
      <c r="M6910" s="277"/>
      <c r="O6910" s="247"/>
      <c r="AC6910" s="247"/>
      <c r="AT6910" s="247"/>
    </row>
    <row r="6911">
      <c r="C6911" s="277"/>
      <c r="M6911" s="277"/>
      <c r="O6911" s="247"/>
      <c r="AC6911" s="247"/>
      <c r="AT6911" s="247"/>
    </row>
    <row r="6912">
      <c r="C6912" s="277"/>
      <c r="M6912" s="277"/>
      <c r="O6912" s="247"/>
      <c r="AC6912" s="247"/>
      <c r="AT6912" s="247"/>
    </row>
    <row r="6913">
      <c r="C6913" s="277"/>
      <c r="M6913" s="277"/>
      <c r="O6913" s="247"/>
      <c r="AC6913" s="247"/>
      <c r="AT6913" s="247"/>
    </row>
    <row r="6914">
      <c r="C6914" s="277"/>
      <c r="M6914" s="277"/>
      <c r="O6914" s="247"/>
      <c r="AC6914" s="247"/>
      <c r="AT6914" s="247"/>
    </row>
    <row r="6915">
      <c r="C6915" s="277"/>
      <c r="M6915" s="277"/>
      <c r="O6915" s="247"/>
      <c r="AC6915" s="247"/>
      <c r="AT6915" s="247"/>
    </row>
    <row r="6916">
      <c r="C6916" s="277"/>
      <c r="M6916" s="277"/>
      <c r="O6916" s="247"/>
      <c r="AC6916" s="247"/>
      <c r="AT6916" s="247"/>
    </row>
    <row r="6917">
      <c r="C6917" s="277"/>
      <c r="M6917" s="277"/>
      <c r="O6917" s="247"/>
      <c r="AC6917" s="247"/>
      <c r="AT6917" s="247"/>
    </row>
    <row r="6918">
      <c r="C6918" s="277"/>
      <c r="M6918" s="277"/>
      <c r="O6918" s="247"/>
      <c r="AC6918" s="247"/>
      <c r="AT6918" s="247"/>
    </row>
    <row r="6919">
      <c r="C6919" s="277"/>
      <c r="M6919" s="277"/>
      <c r="O6919" s="247"/>
      <c r="AC6919" s="247"/>
      <c r="AT6919" s="247"/>
    </row>
    <row r="6920">
      <c r="C6920" s="277"/>
      <c r="M6920" s="277"/>
      <c r="O6920" s="247"/>
      <c r="AC6920" s="247"/>
      <c r="AT6920" s="247"/>
    </row>
    <row r="6921">
      <c r="C6921" s="277"/>
      <c r="M6921" s="277"/>
      <c r="O6921" s="247"/>
      <c r="AC6921" s="247"/>
      <c r="AT6921" s="247"/>
    </row>
    <row r="6922">
      <c r="C6922" s="277"/>
      <c r="M6922" s="277"/>
      <c r="O6922" s="247"/>
      <c r="AC6922" s="247"/>
      <c r="AT6922" s="247"/>
    </row>
    <row r="6923">
      <c r="C6923" s="277"/>
      <c r="M6923" s="277"/>
      <c r="O6923" s="247"/>
      <c r="AC6923" s="247"/>
      <c r="AT6923" s="247"/>
    </row>
    <row r="6924">
      <c r="C6924" s="277"/>
      <c r="M6924" s="277"/>
      <c r="O6924" s="247"/>
      <c r="AC6924" s="247"/>
      <c r="AT6924" s="247"/>
    </row>
    <row r="6925">
      <c r="C6925" s="277"/>
      <c r="M6925" s="277"/>
      <c r="O6925" s="247"/>
      <c r="AC6925" s="247"/>
      <c r="AT6925" s="247"/>
    </row>
    <row r="6926">
      <c r="C6926" s="277"/>
      <c r="M6926" s="277"/>
      <c r="O6926" s="247"/>
      <c r="AC6926" s="247"/>
      <c r="AT6926" s="247"/>
    </row>
    <row r="6927">
      <c r="C6927" s="277"/>
      <c r="M6927" s="277"/>
      <c r="O6927" s="247"/>
      <c r="AC6927" s="247"/>
      <c r="AT6927" s="247"/>
    </row>
    <row r="6928">
      <c r="C6928" s="277"/>
      <c r="M6928" s="277"/>
      <c r="O6928" s="247"/>
      <c r="AC6928" s="247"/>
      <c r="AT6928" s="247"/>
    </row>
    <row r="6929">
      <c r="C6929" s="277"/>
      <c r="M6929" s="277"/>
      <c r="O6929" s="247"/>
      <c r="AC6929" s="247"/>
      <c r="AT6929" s="247"/>
    </row>
    <row r="6930">
      <c r="C6930" s="277"/>
      <c r="M6930" s="277"/>
      <c r="O6930" s="247"/>
      <c r="AC6930" s="247"/>
      <c r="AT6930" s="247"/>
    </row>
    <row r="6931">
      <c r="C6931" s="277"/>
      <c r="M6931" s="277"/>
      <c r="O6931" s="247"/>
      <c r="AC6931" s="247"/>
      <c r="AT6931" s="247"/>
    </row>
    <row r="6932">
      <c r="C6932" s="277"/>
      <c r="M6932" s="277"/>
      <c r="O6932" s="247"/>
      <c r="AC6932" s="247"/>
      <c r="AT6932" s="247"/>
    </row>
    <row r="6933">
      <c r="C6933" s="277"/>
      <c r="M6933" s="277"/>
      <c r="O6933" s="247"/>
      <c r="AC6933" s="247"/>
      <c r="AT6933" s="247"/>
    </row>
    <row r="6934">
      <c r="C6934" s="277"/>
      <c r="M6934" s="277"/>
      <c r="O6934" s="247"/>
      <c r="AC6934" s="247"/>
      <c r="AT6934" s="247"/>
    </row>
    <row r="6935">
      <c r="C6935" s="277"/>
      <c r="M6935" s="277"/>
      <c r="O6935" s="247"/>
      <c r="AC6935" s="247"/>
      <c r="AT6935" s="247"/>
    </row>
    <row r="6936">
      <c r="C6936" s="277"/>
      <c r="M6936" s="277"/>
      <c r="O6936" s="247"/>
      <c r="AC6936" s="247"/>
      <c r="AT6936" s="247"/>
    </row>
    <row r="6937">
      <c r="C6937" s="277"/>
      <c r="M6937" s="277"/>
      <c r="O6937" s="247"/>
      <c r="AC6937" s="247"/>
      <c r="AT6937" s="247"/>
    </row>
    <row r="6938">
      <c r="C6938" s="277"/>
      <c r="M6938" s="277"/>
      <c r="O6938" s="247"/>
      <c r="AC6938" s="247"/>
      <c r="AT6938" s="247"/>
    </row>
    <row r="6939">
      <c r="C6939" s="277"/>
      <c r="M6939" s="277"/>
      <c r="O6939" s="247"/>
      <c r="AC6939" s="247"/>
      <c r="AT6939" s="247"/>
    </row>
    <row r="6940">
      <c r="C6940" s="277"/>
      <c r="M6940" s="277"/>
      <c r="O6940" s="247"/>
      <c r="AC6940" s="247"/>
      <c r="AT6940" s="247"/>
    </row>
    <row r="6941">
      <c r="C6941" s="277"/>
      <c r="M6941" s="277"/>
      <c r="O6941" s="247"/>
      <c r="AC6941" s="247"/>
      <c r="AT6941" s="247"/>
    </row>
    <row r="6942">
      <c r="C6942" s="277"/>
      <c r="M6942" s="277"/>
      <c r="O6942" s="247"/>
      <c r="AC6942" s="247"/>
      <c r="AT6942" s="247"/>
    </row>
    <row r="6943">
      <c r="C6943" s="277"/>
      <c r="M6943" s="277"/>
      <c r="O6943" s="247"/>
      <c r="AC6943" s="247"/>
      <c r="AT6943" s="247"/>
    </row>
    <row r="6944">
      <c r="C6944" s="277"/>
      <c r="M6944" s="277"/>
      <c r="O6944" s="247"/>
      <c r="AC6944" s="247"/>
      <c r="AT6944" s="247"/>
    </row>
    <row r="6945">
      <c r="C6945" s="277"/>
      <c r="M6945" s="277"/>
      <c r="O6945" s="247"/>
      <c r="AC6945" s="247"/>
      <c r="AT6945" s="247"/>
    </row>
    <row r="6946">
      <c r="C6946" s="277"/>
      <c r="M6946" s="277"/>
      <c r="O6946" s="247"/>
      <c r="AC6946" s="247"/>
      <c r="AT6946" s="247"/>
    </row>
    <row r="6947">
      <c r="C6947" s="277"/>
      <c r="M6947" s="277"/>
      <c r="O6947" s="247"/>
      <c r="AC6947" s="247"/>
      <c r="AT6947" s="247"/>
    </row>
    <row r="6948">
      <c r="C6948" s="277"/>
      <c r="M6948" s="277"/>
      <c r="O6948" s="247"/>
      <c r="AC6948" s="247"/>
      <c r="AT6948" s="247"/>
    </row>
    <row r="6949">
      <c r="C6949" s="277"/>
      <c r="M6949" s="277"/>
      <c r="O6949" s="247"/>
      <c r="AC6949" s="247"/>
      <c r="AT6949" s="247"/>
    </row>
    <row r="6950">
      <c r="C6950" s="277"/>
      <c r="M6950" s="277"/>
      <c r="O6950" s="247"/>
      <c r="AC6950" s="247"/>
      <c r="AT6950" s="247"/>
    </row>
    <row r="6951">
      <c r="C6951" s="277"/>
      <c r="M6951" s="277"/>
      <c r="O6951" s="247"/>
      <c r="AC6951" s="247"/>
      <c r="AT6951" s="247"/>
    </row>
    <row r="6952">
      <c r="C6952" s="277"/>
      <c r="M6952" s="277"/>
      <c r="O6952" s="247"/>
      <c r="AC6952" s="247"/>
      <c r="AT6952" s="247"/>
    </row>
    <row r="6953">
      <c r="C6953" s="277"/>
      <c r="M6953" s="277"/>
      <c r="O6953" s="247"/>
      <c r="AC6953" s="247"/>
      <c r="AT6953" s="247"/>
    </row>
    <row r="6954">
      <c r="C6954" s="277"/>
      <c r="M6954" s="277"/>
      <c r="O6954" s="247"/>
      <c r="AC6954" s="247"/>
      <c r="AT6954" s="247"/>
    </row>
    <row r="6955">
      <c r="C6955" s="277"/>
      <c r="M6955" s="277"/>
      <c r="O6955" s="247"/>
      <c r="AC6955" s="247"/>
      <c r="AT6955" s="247"/>
    </row>
    <row r="6956">
      <c r="C6956" s="277"/>
      <c r="M6956" s="277"/>
      <c r="O6956" s="247"/>
      <c r="AC6956" s="247"/>
      <c r="AT6956" s="247"/>
    </row>
    <row r="6957">
      <c r="C6957" s="277"/>
      <c r="M6957" s="277"/>
      <c r="O6957" s="247"/>
      <c r="AC6957" s="247"/>
      <c r="AT6957" s="247"/>
    </row>
    <row r="6958">
      <c r="C6958" s="277"/>
      <c r="M6958" s="277"/>
      <c r="O6958" s="247"/>
      <c r="AC6958" s="247"/>
      <c r="AT6958" s="247"/>
    </row>
    <row r="6959">
      <c r="C6959" s="277"/>
      <c r="M6959" s="277"/>
      <c r="O6959" s="247"/>
      <c r="AC6959" s="247"/>
      <c r="AT6959" s="247"/>
    </row>
    <row r="6960">
      <c r="C6960" s="277"/>
      <c r="M6960" s="277"/>
      <c r="O6960" s="247"/>
      <c r="AC6960" s="247"/>
      <c r="AT6960" s="247"/>
    </row>
    <row r="6961">
      <c r="C6961" s="277"/>
      <c r="M6961" s="277"/>
      <c r="O6961" s="247"/>
      <c r="AC6961" s="247"/>
      <c r="AT6961" s="247"/>
    </row>
    <row r="6962">
      <c r="C6962" s="277"/>
      <c r="M6962" s="277"/>
      <c r="O6962" s="247"/>
      <c r="AC6962" s="247"/>
      <c r="AT6962" s="247"/>
    </row>
    <row r="6963">
      <c r="C6963" s="277"/>
      <c r="M6963" s="277"/>
      <c r="O6963" s="247"/>
      <c r="AC6963" s="247"/>
      <c r="AT6963" s="247"/>
    </row>
    <row r="6964">
      <c r="C6964" s="277"/>
      <c r="M6964" s="277"/>
      <c r="O6964" s="247"/>
      <c r="AC6964" s="247"/>
      <c r="AT6964" s="247"/>
    </row>
    <row r="6965">
      <c r="C6965" s="277"/>
      <c r="M6965" s="277"/>
      <c r="O6965" s="247"/>
      <c r="AC6965" s="247"/>
      <c r="AT6965" s="247"/>
    </row>
    <row r="6966">
      <c r="C6966" s="277"/>
      <c r="M6966" s="277"/>
      <c r="O6966" s="247"/>
      <c r="AC6966" s="247"/>
      <c r="AT6966" s="247"/>
    </row>
    <row r="6967">
      <c r="C6967" s="277"/>
      <c r="M6967" s="277"/>
      <c r="O6967" s="247"/>
      <c r="AC6967" s="247"/>
      <c r="AT6967" s="247"/>
    </row>
    <row r="6968">
      <c r="C6968" s="277"/>
      <c r="M6968" s="277"/>
      <c r="O6968" s="247"/>
      <c r="AC6968" s="247"/>
      <c r="AT6968" s="247"/>
    </row>
    <row r="6969">
      <c r="C6969" s="277"/>
      <c r="M6969" s="277"/>
      <c r="O6969" s="247"/>
      <c r="AC6969" s="247"/>
      <c r="AT6969" s="247"/>
    </row>
    <row r="6970">
      <c r="C6970" s="277"/>
      <c r="M6970" s="277"/>
      <c r="O6970" s="247"/>
      <c r="AC6970" s="247"/>
      <c r="AT6970" s="247"/>
    </row>
    <row r="6971">
      <c r="C6971" s="277"/>
      <c r="M6971" s="277"/>
      <c r="O6971" s="247"/>
      <c r="AC6971" s="247"/>
      <c r="AT6971" s="247"/>
    </row>
    <row r="6972">
      <c r="C6972" s="277"/>
      <c r="M6972" s="277"/>
      <c r="O6972" s="247"/>
      <c r="AC6972" s="247"/>
      <c r="AT6972" s="247"/>
    </row>
    <row r="6973">
      <c r="C6973" s="277"/>
      <c r="M6973" s="277"/>
      <c r="O6973" s="247"/>
      <c r="AC6973" s="247"/>
      <c r="AT6973" s="247"/>
    </row>
    <row r="6974">
      <c r="C6974" s="277"/>
      <c r="M6974" s="277"/>
      <c r="O6974" s="247"/>
      <c r="AC6974" s="247"/>
      <c r="AT6974" s="247"/>
    </row>
    <row r="6975">
      <c r="C6975" s="277"/>
      <c r="M6975" s="277"/>
      <c r="O6975" s="247"/>
      <c r="AC6975" s="247"/>
      <c r="AT6975" s="247"/>
    </row>
    <row r="6976">
      <c r="C6976" s="277"/>
      <c r="M6976" s="277"/>
      <c r="O6976" s="247"/>
      <c r="AC6976" s="247"/>
      <c r="AT6976" s="247"/>
    </row>
    <row r="6977">
      <c r="C6977" s="277"/>
      <c r="M6977" s="277"/>
      <c r="O6977" s="247"/>
      <c r="AC6977" s="247"/>
      <c r="AT6977" s="247"/>
    </row>
    <row r="6978">
      <c r="C6978" s="277"/>
      <c r="M6978" s="277"/>
      <c r="O6978" s="247"/>
      <c r="AC6978" s="247"/>
      <c r="AT6978" s="247"/>
    </row>
    <row r="6979">
      <c r="C6979" s="277"/>
      <c r="M6979" s="277"/>
      <c r="O6979" s="247"/>
      <c r="AC6979" s="247"/>
      <c r="AT6979" s="247"/>
    </row>
    <row r="6980">
      <c r="C6980" s="277"/>
      <c r="M6980" s="277"/>
      <c r="O6980" s="247"/>
      <c r="AC6980" s="247"/>
      <c r="AT6980" s="247"/>
    </row>
    <row r="6981">
      <c r="C6981" s="277"/>
      <c r="M6981" s="277"/>
      <c r="O6981" s="247"/>
      <c r="AC6981" s="247"/>
      <c r="AT6981" s="247"/>
    </row>
    <row r="6982">
      <c r="C6982" s="277"/>
      <c r="M6982" s="277"/>
      <c r="O6982" s="247"/>
      <c r="AC6982" s="247"/>
      <c r="AT6982" s="247"/>
    </row>
    <row r="6983">
      <c r="C6983" s="277"/>
      <c r="M6983" s="277"/>
      <c r="O6983" s="247"/>
      <c r="AC6983" s="247"/>
      <c r="AT6983" s="247"/>
    </row>
    <row r="6984">
      <c r="C6984" s="277"/>
      <c r="M6984" s="277"/>
      <c r="O6984" s="247"/>
      <c r="AC6984" s="247"/>
      <c r="AT6984" s="247"/>
    </row>
    <row r="6985">
      <c r="C6985" s="277"/>
      <c r="M6985" s="277"/>
      <c r="O6985" s="247"/>
      <c r="AC6985" s="247"/>
      <c r="AT6985" s="247"/>
    </row>
    <row r="6986">
      <c r="C6986" s="277"/>
      <c r="M6986" s="277"/>
      <c r="O6986" s="247"/>
      <c r="AC6986" s="247"/>
      <c r="AT6986" s="247"/>
    </row>
    <row r="6987">
      <c r="C6987" s="277"/>
      <c r="M6987" s="277"/>
      <c r="O6987" s="247"/>
      <c r="AC6987" s="247"/>
      <c r="AT6987" s="247"/>
    </row>
    <row r="6988">
      <c r="C6988" s="277"/>
      <c r="M6988" s="277"/>
      <c r="O6988" s="247"/>
      <c r="AC6988" s="247"/>
      <c r="AT6988" s="247"/>
    </row>
    <row r="6989">
      <c r="C6989" s="277"/>
      <c r="M6989" s="277"/>
      <c r="O6989" s="247"/>
      <c r="AC6989" s="247"/>
      <c r="AT6989" s="247"/>
    </row>
    <row r="6990">
      <c r="C6990" s="277"/>
      <c r="M6990" s="277"/>
      <c r="O6990" s="247"/>
      <c r="AC6990" s="247"/>
      <c r="AT6990" s="247"/>
    </row>
    <row r="6991">
      <c r="C6991" s="277"/>
      <c r="M6991" s="277"/>
      <c r="O6991" s="247"/>
      <c r="AC6991" s="247"/>
      <c r="AT6991" s="247"/>
    </row>
    <row r="6992">
      <c r="C6992" s="277"/>
      <c r="M6992" s="277"/>
      <c r="O6992" s="247"/>
      <c r="AC6992" s="247"/>
      <c r="AT6992" s="247"/>
    </row>
    <row r="6993">
      <c r="C6993" s="277"/>
      <c r="M6993" s="277"/>
      <c r="O6993" s="247"/>
      <c r="AC6993" s="247"/>
      <c r="AT6993" s="247"/>
    </row>
    <row r="6994">
      <c r="C6994" s="277"/>
      <c r="M6994" s="277"/>
      <c r="O6994" s="247"/>
      <c r="AC6994" s="247"/>
      <c r="AT6994" s="247"/>
    </row>
    <row r="6995">
      <c r="C6995" s="277"/>
      <c r="M6995" s="277"/>
      <c r="O6995" s="247"/>
      <c r="AC6995" s="247"/>
      <c r="AT6995" s="247"/>
    </row>
    <row r="6996">
      <c r="C6996" s="277"/>
      <c r="M6996" s="277"/>
      <c r="O6996" s="247"/>
      <c r="AC6996" s="247"/>
      <c r="AT6996" s="247"/>
    </row>
    <row r="6997">
      <c r="C6997" s="277"/>
      <c r="M6997" s="277"/>
      <c r="O6997" s="247"/>
      <c r="AC6997" s="247"/>
      <c r="AT6997" s="247"/>
    </row>
    <row r="6998">
      <c r="C6998" s="277"/>
      <c r="M6998" s="277"/>
      <c r="O6998" s="247"/>
      <c r="AC6998" s="247"/>
      <c r="AT6998" s="247"/>
    </row>
    <row r="6999">
      <c r="C6999" s="277"/>
      <c r="M6999" s="277"/>
      <c r="O6999" s="247"/>
      <c r="AC6999" s="247"/>
      <c r="AT6999" s="247"/>
    </row>
    <row r="7000">
      <c r="C7000" s="277"/>
      <c r="M7000" s="277"/>
      <c r="O7000" s="247"/>
      <c r="AC7000" s="247"/>
      <c r="AT7000" s="247"/>
    </row>
    <row r="7001">
      <c r="C7001" s="277"/>
      <c r="M7001" s="277"/>
      <c r="O7001" s="247"/>
      <c r="AC7001" s="247"/>
      <c r="AT7001" s="247"/>
    </row>
    <row r="7002">
      <c r="C7002" s="277"/>
      <c r="M7002" s="277"/>
      <c r="O7002" s="247"/>
      <c r="AC7002" s="247"/>
      <c r="AT7002" s="247"/>
    </row>
    <row r="7003">
      <c r="C7003" s="277"/>
      <c r="M7003" s="277"/>
      <c r="O7003" s="247"/>
      <c r="AC7003" s="247"/>
      <c r="AT7003" s="247"/>
    </row>
    <row r="7004">
      <c r="C7004" s="277"/>
      <c r="M7004" s="277"/>
      <c r="O7004" s="247"/>
      <c r="AC7004" s="247"/>
      <c r="AT7004" s="247"/>
    </row>
    <row r="7005">
      <c r="C7005" s="277"/>
      <c r="M7005" s="277"/>
      <c r="O7005" s="247"/>
      <c r="AC7005" s="247"/>
      <c r="AT7005" s="247"/>
    </row>
    <row r="7006">
      <c r="C7006" s="277"/>
      <c r="M7006" s="277"/>
      <c r="O7006" s="247"/>
      <c r="AC7006" s="247"/>
      <c r="AT7006" s="247"/>
    </row>
    <row r="7007">
      <c r="C7007" s="277"/>
      <c r="M7007" s="277"/>
      <c r="O7007" s="247"/>
      <c r="AC7007" s="247"/>
      <c r="AT7007" s="247"/>
    </row>
    <row r="7008">
      <c r="C7008" s="277"/>
      <c r="M7008" s="277"/>
      <c r="O7008" s="247"/>
      <c r="AC7008" s="247"/>
      <c r="AT7008" s="247"/>
    </row>
    <row r="7009">
      <c r="C7009" s="277"/>
      <c r="M7009" s="277"/>
      <c r="O7009" s="247"/>
      <c r="AC7009" s="247"/>
      <c r="AT7009" s="247"/>
    </row>
    <row r="7010">
      <c r="C7010" s="277"/>
      <c r="M7010" s="277"/>
      <c r="O7010" s="247"/>
      <c r="AC7010" s="247"/>
      <c r="AT7010" s="247"/>
    </row>
    <row r="7011">
      <c r="C7011" s="277"/>
      <c r="M7011" s="277"/>
      <c r="O7011" s="247"/>
      <c r="AC7011" s="247"/>
      <c r="AT7011" s="247"/>
    </row>
    <row r="7012">
      <c r="C7012" s="277"/>
      <c r="M7012" s="277"/>
      <c r="O7012" s="247"/>
      <c r="AC7012" s="247"/>
      <c r="AT7012" s="247"/>
    </row>
    <row r="7013">
      <c r="C7013" s="277"/>
      <c r="M7013" s="277"/>
      <c r="O7013" s="247"/>
      <c r="AC7013" s="247"/>
      <c r="AT7013" s="247"/>
    </row>
    <row r="7014">
      <c r="C7014" s="277"/>
      <c r="M7014" s="277"/>
      <c r="O7014" s="247"/>
      <c r="AC7014" s="247"/>
      <c r="AT7014" s="247"/>
    </row>
    <row r="7015">
      <c r="C7015" s="277"/>
      <c r="M7015" s="277"/>
      <c r="O7015" s="247"/>
      <c r="AC7015" s="247"/>
      <c r="AT7015" s="247"/>
    </row>
    <row r="7016">
      <c r="C7016" s="277"/>
      <c r="M7016" s="277"/>
      <c r="O7016" s="247"/>
      <c r="AC7016" s="247"/>
      <c r="AT7016" s="247"/>
    </row>
    <row r="7017">
      <c r="C7017" s="277"/>
      <c r="M7017" s="277"/>
      <c r="O7017" s="247"/>
      <c r="AC7017" s="247"/>
      <c r="AT7017" s="247"/>
    </row>
    <row r="7018">
      <c r="C7018" s="277"/>
      <c r="M7018" s="277"/>
      <c r="O7018" s="247"/>
      <c r="AC7018" s="247"/>
      <c r="AT7018" s="247"/>
    </row>
    <row r="7019">
      <c r="C7019" s="277"/>
      <c r="M7019" s="277"/>
      <c r="O7019" s="247"/>
      <c r="AC7019" s="247"/>
      <c r="AT7019" s="247"/>
    </row>
    <row r="7020">
      <c r="C7020" s="277"/>
      <c r="M7020" s="277"/>
      <c r="O7020" s="247"/>
      <c r="AC7020" s="247"/>
      <c r="AT7020" s="247"/>
    </row>
    <row r="7021">
      <c r="C7021" s="277"/>
      <c r="M7021" s="277"/>
      <c r="O7021" s="247"/>
      <c r="AC7021" s="247"/>
      <c r="AT7021" s="247"/>
    </row>
    <row r="7022">
      <c r="C7022" s="277"/>
      <c r="M7022" s="277"/>
      <c r="O7022" s="247"/>
      <c r="AC7022" s="247"/>
      <c r="AT7022" s="247"/>
    </row>
    <row r="7023">
      <c r="C7023" s="277"/>
      <c r="M7023" s="277"/>
      <c r="O7023" s="247"/>
      <c r="AC7023" s="247"/>
      <c r="AT7023" s="247"/>
    </row>
    <row r="7024">
      <c r="C7024" s="277"/>
      <c r="M7024" s="277"/>
      <c r="O7024" s="247"/>
      <c r="AC7024" s="247"/>
      <c r="AT7024" s="247"/>
    </row>
    <row r="7025">
      <c r="C7025" s="277"/>
      <c r="M7025" s="277"/>
      <c r="O7025" s="247"/>
      <c r="AC7025" s="247"/>
      <c r="AT7025" s="247"/>
    </row>
    <row r="7026">
      <c r="C7026" s="277"/>
      <c r="M7026" s="277"/>
      <c r="O7026" s="247"/>
      <c r="AC7026" s="247"/>
      <c r="AT7026" s="247"/>
    </row>
    <row r="7027">
      <c r="C7027" s="277"/>
      <c r="M7027" s="277"/>
      <c r="O7027" s="247"/>
      <c r="AC7027" s="247"/>
      <c r="AT7027" s="247"/>
    </row>
    <row r="7028">
      <c r="C7028" s="277"/>
      <c r="M7028" s="277"/>
      <c r="O7028" s="247"/>
      <c r="AC7028" s="247"/>
      <c r="AT7028" s="247"/>
    </row>
    <row r="7029">
      <c r="C7029" s="277"/>
      <c r="M7029" s="277"/>
      <c r="O7029" s="247"/>
      <c r="AC7029" s="247"/>
      <c r="AT7029" s="247"/>
    </row>
    <row r="7030">
      <c r="C7030" s="277"/>
      <c r="M7030" s="277"/>
      <c r="O7030" s="247"/>
      <c r="AC7030" s="247"/>
      <c r="AT7030" s="247"/>
    </row>
    <row r="7031">
      <c r="C7031" s="277"/>
      <c r="M7031" s="277"/>
      <c r="O7031" s="247"/>
      <c r="AC7031" s="247"/>
      <c r="AT7031" s="247"/>
    </row>
    <row r="7032">
      <c r="C7032" s="277"/>
      <c r="M7032" s="277"/>
      <c r="O7032" s="247"/>
      <c r="AC7032" s="247"/>
      <c r="AT7032" s="247"/>
    </row>
    <row r="7033">
      <c r="C7033" s="277"/>
      <c r="M7033" s="277"/>
      <c r="O7033" s="247"/>
      <c r="AC7033" s="247"/>
      <c r="AT7033" s="247"/>
    </row>
    <row r="7034">
      <c r="C7034" s="277"/>
      <c r="M7034" s="277"/>
      <c r="O7034" s="247"/>
      <c r="AC7034" s="247"/>
      <c r="AT7034" s="247"/>
    </row>
    <row r="7035">
      <c r="C7035" s="277"/>
      <c r="M7035" s="277"/>
      <c r="O7035" s="247"/>
      <c r="AC7035" s="247"/>
      <c r="AT7035" s="247"/>
    </row>
    <row r="7036">
      <c r="C7036" s="277"/>
      <c r="M7036" s="277"/>
      <c r="O7036" s="247"/>
      <c r="AC7036" s="247"/>
      <c r="AT7036" s="247"/>
    </row>
    <row r="7037">
      <c r="C7037" s="277"/>
      <c r="M7037" s="277"/>
      <c r="O7037" s="247"/>
      <c r="AC7037" s="247"/>
      <c r="AT7037" s="247"/>
    </row>
    <row r="7038">
      <c r="C7038" s="277"/>
      <c r="M7038" s="277"/>
      <c r="O7038" s="247"/>
      <c r="AC7038" s="247"/>
      <c r="AT7038" s="247"/>
    </row>
    <row r="7039">
      <c r="C7039" s="277"/>
      <c r="M7039" s="277"/>
      <c r="O7039" s="247"/>
      <c r="AC7039" s="247"/>
      <c r="AT7039" s="247"/>
    </row>
    <row r="7040">
      <c r="C7040" s="277"/>
      <c r="M7040" s="277"/>
      <c r="O7040" s="247"/>
      <c r="AC7040" s="247"/>
      <c r="AT7040" s="247"/>
    </row>
    <row r="7041">
      <c r="C7041" s="277"/>
      <c r="M7041" s="277"/>
      <c r="O7041" s="247"/>
      <c r="AC7041" s="247"/>
      <c r="AT7041" s="247"/>
    </row>
    <row r="7042">
      <c r="C7042" s="277"/>
      <c r="M7042" s="277"/>
      <c r="O7042" s="247"/>
      <c r="AC7042" s="247"/>
      <c r="AT7042" s="247"/>
    </row>
    <row r="7043">
      <c r="C7043" s="277"/>
      <c r="M7043" s="277"/>
      <c r="O7043" s="247"/>
      <c r="AC7043" s="247"/>
      <c r="AT7043" s="247"/>
    </row>
    <row r="7044">
      <c r="C7044" s="277"/>
      <c r="M7044" s="277"/>
      <c r="O7044" s="247"/>
      <c r="AC7044" s="247"/>
      <c r="AT7044" s="247"/>
    </row>
    <row r="7045">
      <c r="C7045" s="277"/>
      <c r="M7045" s="277"/>
      <c r="O7045" s="247"/>
      <c r="AC7045" s="247"/>
      <c r="AT7045" s="247"/>
    </row>
    <row r="7046">
      <c r="C7046" s="277"/>
      <c r="M7046" s="277"/>
      <c r="O7046" s="247"/>
      <c r="AC7046" s="247"/>
      <c r="AT7046" s="247"/>
    </row>
    <row r="7047">
      <c r="C7047" s="277"/>
      <c r="M7047" s="277"/>
      <c r="O7047" s="247"/>
      <c r="AC7047" s="247"/>
      <c r="AT7047" s="247"/>
    </row>
    <row r="7048">
      <c r="C7048" s="277"/>
      <c r="M7048" s="277"/>
      <c r="O7048" s="247"/>
      <c r="AC7048" s="247"/>
      <c r="AT7048" s="247"/>
    </row>
    <row r="7049">
      <c r="C7049" s="277"/>
      <c r="M7049" s="277"/>
      <c r="O7049" s="247"/>
      <c r="AC7049" s="247"/>
      <c r="AT7049" s="247"/>
    </row>
    <row r="7050">
      <c r="C7050" s="277"/>
      <c r="M7050" s="277"/>
      <c r="O7050" s="247"/>
      <c r="AC7050" s="247"/>
      <c r="AT7050" s="247"/>
    </row>
    <row r="7051">
      <c r="C7051" s="277"/>
      <c r="M7051" s="277"/>
      <c r="O7051" s="247"/>
      <c r="AC7051" s="247"/>
      <c r="AT7051" s="247"/>
    </row>
    <row r="7052">
      <c r="C7052" s="277"/>
      <c r="M7052" s="277"/>
      <c r="O7052" s="247"/>
      <c r="AC7052" s="247"/>
      <c r="AT7052" s="247"/>
    </row>
    <row r="7053">
      <c r="C7053" s="277"/>
      <c r="M7053" s="277"/>
      <c r="O7053" s="247"/>
      <c r="AC7053" s="247"/>
      <c r="AT7053" s="247"/>
    </row>
    <row r="7054">
      <c r="C7054" s="277"/>
      <c r="M7054" s="277"/>
      <c r="O7054" s="247"/>
      <c r="AC7054" s="247"/>
      <c r="AT7054" s="247"/>
    </row>
    <row r="7055">
      <c r="C7055" s="277"/>
      <c r="M7055" s="277"/>
      <c r="O7055" s="247"/>
      <c r="AC7055" s="247"/>
      <c r="AT7055" s="247"/>
    </row>
    <row r="7056">
      <c r="C7056" s="277"/>
      <c r="M7056" s="277"/>
      <c r="O7056" s="247"/>
      <c r="AC7056" s="247"/>
      <c r="AT7056" s="247"/>
    </row>
    <row r="7057">
      <c r="C7057" s="277"/>
      <c r="M7057" s="277"/>
      <c r="O7057" s="247"/>
      <c r="AC7057" s="247"/>
      <c r="AT7057" s="247"/>
    </row>
    <row r="7058">
      <c r="C7058" s="277"/>
      <c r="M7058" s="277"/>
      <c r="O7058" s="247"/>
      <c r="AC7058" s="247"/>
      <c r="AT7058" s="247"/>
    </row>
    <row r="7059">
      <c r="C7059" s="277"/>
      <c r="M7059" s="277"/>
      <c r="O7059" s="247"/>
      <c r="AC7059" s="247"/>
      <c r="AT7059" s="247"/>
    </row>
    <row r="7060">
      <c r="C7060" s="277"/>
      <c r="M7060" s="277"/>
      <c r="O7060" s="247"/>
      <c r="AC7060" s="247"/>
      <c r="AT7060" s="247"/>
    </row>
    <row r="7061">
      <c r="C7061" s="277"/>
      <c r="M7061" s="277"/>
      <c r="O7061" s="247"/>
      <c r="AC7061" s="247"/>
      <c r="AT7061" s="247"/>
    </row>
    <row r="7062">
      <c r="C7062" s="277"/>
      <c r="M7062" s="277"/>
      <c r="O7062" s="247"/>
      <c r="AC7062" s="247"/>
      <c r="AT7062" s="247"/>
    </row>
    <row r="7063">
      <c r="C7063" s="277"/>
      <c r="M7063" s="277"/>
      <c r="O7063" s="247"/>
      <c r="AC7063" s="247"/>
      <c r="AT7063" s="247"/>
    </row>
    <row r="7064">
      <c r="C7064" s="277"/>
      <c r="M7064" s="277"/>
      <c r="O7064" s="247"/>
      <c r="AC7064" s="247"/>
      <c r="AT7064" s="247"/>
    </row>
    <row r="7065">
      <c r="C7065" s="277"/>
      <c r="M7065" s="277"/>
      <c r="O7065" s="247"/>
      <c r="AC7065" s="247"/>
      <c r="AT7065" s="247"/>
    </row>
    <row r="7066">
      <c r="C7066" s="277"/>
      <c r="M7066" s="277"/>
      <c r="O7066" s="247"/>
      <c r="AC7066" s="247"/>
      <c r="AT7066" s="247"/>
    </row>
    <row r="7067">
      <c r="C7067" s="277"/>
      <c r="M7067" s="277"/>
      <c r="O7067" s="247"/>
      <c r="AC7067" s="247"/>
      <c r="AT7067" s="247"/>
    </row>
    <row r="7068">
      <c r="C7068" s="277"/>
      <c r="M7068" s="277"/>
      <c r="O7068" s="247"/>
      <c r="AC7068" s="247"/>
      <c r="AT7068" s="247"/>
    </row>
    <row r="7069">
      <c r="C7069" s="277"/>
      <c r="M7069" s="277"/>
      <c r="O7069" s="247"/>
      <c r="AC7069" s="247"/>
      <c r="AT7069" s="247"/>
    </row>
    <row r="7070">
      <c r="C7070" s="277"/>
      <c r="M7070" s="277"/>
      <c r="O7070" s="247"/>
      <c r="AC7070" s="247"/>
      <c r="AT7070" s="247"/>
    </row>
    <row r="7071">
      <c r="C7071" s="277"/>
      <c r="M7071" s="277"/>
      <c r="O7071" s="247"/>
      <c r="AC7071" s="247"/>
      <c r="AT7071" s="247"/>
    </row>
    <row r="7072">
      <c r="C7072" s="277"/>
      <c r="M7072" s="277"/>
      <c r="O7072" s="247"/>
      <c r="AC7072" s="247"/>
      <c r="AT7072" s="247"/>
    </row>
    <row r="7073">
      <c r="C7073" s="277"/>
      <c r="M7073" s="277"/>
      <c r="O7073" s="247"/>
      <c r="AC7073" s="247"/>
      <c r="AT7073" s="247"/>
    </row>
    <row r="7074">
      <c r="C7074" s="277"/>
      <c r="M7074" s="277"/>
      <c r="O7074" s="247"/>
      <c r="AC7074" s="247"/>
      <c r="AT7074" s="247"/>
    </row>
    <row r="7075">
      <c r="C7075" s="277"/>
      <c r="M7075" s="277"/>
      <c r="O7075" s="247"/>
      <c r="AC7075" s="247"/>
      <c r="AT7075" s="247"/>
    </row>
    <row r="7076">
      <c r="C7076" s="277"/>
      <c r="M7076" s="277"/>
      <c r="O7076" s="247"/>
      <c r="AC7076" s="247"/>
      <c r="AT7076" s="247"/>
    </row>
    <row r="7077">
      <c r="C7077" s="277"/>
      <c r="M7077" s="277"/>
      <c r="O7077" s="247"/>
      <c r="AC7077" s="247"/>
      <c r="AT7077" s="247"/>
    </row>
    <row r="7078">
      <c r="C7078" s="277"/>
      <c r="M7078" s="277"/>
      <c r="O7078" s="247"/>
      <c r="AC7078" s="247"/>
      <c r="AT7078" s="247"/>
    </row>
    <row r="7079">
      <c r="C7079" s="277"/>
      <c r="M7079" s="277"/>
      <c r="O7079" s="247"/>
      <c r="AC7079" s="247"/>
      <c r="AT7079" s="247"/>
    </row>
    <row r="7080">
      <c r="C7080" s="277"/>
      <c r="M7080" s="277"/>
      <c r="O7080" s="247"/>
      <c r="AC7080" s="247"/>
      <c r="AT7080" s="247"/>
    </row>
    <row r="7081">
      <c r="C7081" s="277"/>
      <c r="M7081" s="277"/>
      <c r="O7081" s="247"/>
      <c r="AC7081" s="247"/>
      <c r="AT7081" s="247"/>
    </row>
    <row r="7082">
      <c r="C7082" s="277"/>
      <c r="M7082" s="277"/>
      <c r="O7082" s="247"/>
      <c r="AC7082" s="247"/>
      <c r="AT7082" s="247"/>
    </row>
    <row r="7083">
      <c r="C7083" s="277"/>
      <c r="M7083" s="277"/>
      <c r="O7083" s="247"/>
      <c r="AC7083" s="247"/>
      <c r="AT7083" s="247"/>
    </row>
    <row r="7084">
      <c r="C7084" s="277"/>
      <c r="M7084" s="277"/>
      <c r="O7084" s="247"/>
      <c r="AC7084" s="247"/>
      <c r="AT7084" s="247"/>
    </row>
    <row r="7085">
      <c r="C7085" s="277"/>
      <c r="M7085" s="277"/>
      <c r="O7085" s="247"/>
      <c r="AC7085" s="247"/>
      <c r="AT7085" s="247"/>
    </row>
    <row r="7086">
      <c r="C7086" s="277"/>
      <c r="M7086" s="277"/>
      <c r="O7086" s="247"/>
      <c r="AC7086" s="247"/>
      <c r="AT7086" s="247"/>
    </row>
    <row r="7087">
      <c r="C7087" s="277"/>
      <c r="M7087" s="277"/>
      <c r="O7087" s="247"/>
      <c r="AC7087" s="247"/>
      <c r="AT7087" s="247"/>
    </row>
    <row r="7088">
      <c r="C7088" s="277"/>
      <c r="M7088" s="277"/>
      <c r="O7088" s="247"/>
      <c r="AC7088" s="247"/>
      <c r="AT7088" s="247"/>
    </row>
    <row r="7089">
      <c r="C7089" s="277"/>
      <c r="M7089" s="277"/>
      <c r="O7089" s="247"/>
      <c r="AC7089" s="247"/>
      <c r="AT7089" s="247"/>
    </row>
    <row r="7090">
      <c r="C7090" s="277"/>
      <c r="M7090" s="277"/>
      <c r="O7090" s="247"/>
      <c r="AC7090" s="247"/>
      <c r="AT7090" s="247"/>
    </row>
    <row r="7091">
      <c r="C7091" s="277"/>
      <c r="M7091" s="277"/>
      <c r="O7091" s="247"/>
      <c r="AC7091" s="247"/>
      <c r="AT7091" s="247"/>
    </row>
    <row r="7092">
      <c r="C7092" s="277"/>
      <c r="M7092" s="277"/>
      <c r="O7092" s="247"/>
      <c r="AC7092" s="247"/>
      <c r="AT7092" s="247"/>
    </row>
    <row r="7093">
      <c r="C7093" s="277"/>
      <c r="M7093" s="277"/>
      <c r="O7093" s="247"/>
      <c r="AC7093" s="247"/>
      <c r="AT7093" s="247"/>
    </row>
    <row r="7094">
      <c r="C7094" s="277"/>
      <c r="M7094" s="277"/>
      <c r="O7094" s="247"/>
      <c r="AC7094" s="247"/>
      <c r="AT7094" s="247"/>
    </row>
    <row r="7095">
      <c r="C7095" s="277"/>
      <c r="M7095" s="277"/>
      <c r="O7095" s="247"/>
      <c r="AC7095" s="247"/>
      <c r="AT7095" s="247"/>
    </row>
    <row r="7096">
      <c r="C7096" s="277"/>
      <c r="M7096" s="277"/>
      <c r="O7096" s="247"/>
      <c r="AC7096" s="247"/>
      <c r="AT7096" s="247"/>
    </row>
    <row r="7097">
      <c r="C7097" s="277"/>
      <c r="M7097" s="277"/>
      <c r="O7097" s="247"/>
      <c r="AC7097" s="247"/>
      <c r="AT7097" s="247"/>
    </row>
    <row r="7098">
      <c r="C7098" s="277"/>
      <c r="M7098" s="277"/>
      <c r="O7098" s="247"/>
      <c r="AC7098" s="247"/>
      <c r="AT7098" s="247"/>
    </row>
    <row r="7099">
      <c r="C7099" s="277"/>
      <c r="M7099" s="277"/>
      <c r="O7099" s="247"/>
      <c r="AC7099" s="247"/>
      <c r="AT7099" s="247"/>
    </row>
    <row r="7100">
      <c r="C7100" s="277"/>
      <c r="M7100" s="277"/>
      <c r="O7100" s="247"/>
      <c r="AC7100" s="247"/>
      <c r="AT7100" s="247"/>
    </row>
    <row r="7101">
      <c r="C7101" s="277"/>
      <c r="M7101" s="277"/>
      <c r="O7101" s="247"/>
      <c r="AC7101" s="247"/>
      <c r="AT7101" s="247"/>
    </row>
    <row r="7102">
      <c r="C7102" s="277"/>
      <c r="M7102" s="277"/>
      <c r="O7102" s="247"/>
      <c r="AC7102" s="247"/>
      <c r="AT7102" s="247"/>
    </row>
    <row r="7103">
      <c r="C7103" s="277"/>
      <c r="M7103" s="277"/>
      <c r="O7103" s="247"/>
      <c r="AC7103" s="247"/>
      <c r="AT7103" s="247"/>
    </row>
    <row r="7104">
      <c r="C7104" s="277"/>
      <c r="M7104" s="277"/>
      <c r="O7104" s="247"/>
      <c r="AC7104" s="247"/>
      <c r="AT7104" s="247"/>
    </row>
    <row r="7105">
      <c r="C7105" s="277"/>
      <c r="M7105" s="277"/>
      <c r="O7105" s="247"/>
      <c r="AC7105" s="247"/>
      <c r="AT7105" s="247"/>
    </row>
    <row r="7106">
      <c r="C7106" s="277"/>
      <c r="M7106" s="277"/>
      <c r="O7106" s="247"/>
      <c r="AC7106" s="247"/>
      <c r="AT7106" s="247"/>
    </row>
    <row r="7107">
      <c r="C7107" s="277"/>
      <c r="M7107" s="277"/>
      <c r="O7107" s="247"/>
      <c r="AC7107" s="247"/>
      <c r="AT7107" s="247"/>
    </row>
    <row r="7108">
      <c r="C7108" s="277"/>
      <c r="M7108" s="277"/>
      <c r="O7108" s="247"/>
      <c r="AC7108" s="247"/>
      <c r="AT7108" s="247"/>
    </row>
    <row r="7109">
      <c r="C7109" s="277"/>
      <c r="M7109" s="277"/>
      <c r="O7109" s="247"/>
      <c r="AC7109" s="247"/>
      <c r="AT7109" s="247"/>
    </row>
    <row r="7110">
      <c r="C7110" s="277"/>
      <c r="M7110" s="277"/>
      <c r="O7110" s="247"/>
      <c r="AC7110" s="247"/>
      <c r="AT7110" s="247"/>
    </row>
    <row r="7111">
      <c r="C7111" s="277"/>
      <c r="M7111" s="277"/>
      <c r="O7111" s="247"/>
      <c r="AC7111" s="247"/>
      <c r="AT7111" s="247"/>
    </row>
    <row r="7112">
      <c r="C7112" s="277"/>
      <c r="M7112" s="277"/>
      <c r="O7112" s="247"/>
      <c r="AC7112" s="247"/>
      <c r="AT7112" s="247"/>
    </row>
    <row r="7113">
      <c r="C7113" s="277"/>
      <c r="M7113" s="277"/>
      <c r="O7113" s="247"/>
      <c r="AC7113" s="247"/>
      <c r="AT7113" s="247"/>
    </row>
    <row r="7114">
      <c r="C7114" s="277"/>
      <c r="M7114" s="277"/>
      <c r="O7114" s="247"/>
      <c r="AC7114" s="247"/>
      <c r="AT7114" s="247"/>
    </row>
    <row r="7115">
      <c r="C7115" s="277"/>
      <c r="M7115" s="277"/>
      <c r="O7115" s="247"/>
      <c r="AC7115" s="247"/>
      <c r="AT7115" s="247"/>
    </row>
    <row r="7116">
      <c r="C7116" s="277"/>
      <c r="M7116" s="277"/>
      <c r="O7116" s="247"/>
      <c r="AC7116" s="247"/>
      <c r="AT7116" s="247"/>
    </row>
    <row r="7117">
      <c r="C7117" s="277"/>
      <c r="M7117" s="277"/>
      <c r="O7117" s="247"/>
      <c r="AC7117" s="247"/>
      <c r="AT7117" s="247"/>
    </row>
    <row r="7118">
      <c r="C7118" s="277"/>
      <c r="M7118" s="277"/>
      <c r="O7118" s="247"/>
      <c r="AC7118" s="247"/>
      <c r="AT7118" s="247"/>
    </row>
    <row r="7119">
      <c r="C7119" s="277"/>
      <c r="M7119" s="277"/>
      <c r="O7119" s="247"/>
      <c r="AC7119" s="247"/>
      <c r="AT7119" s="247"/>
    </row>
    <row r="7120">
      <c r="C7120" s="277"/>
      <c r="M7120" s="277"/>
      <c r="O7120" s="247"/>
      <c r="AC7120" s="247"/>
      <c r="AT7120" s="247"/>
    </row>
    <row r="7121">
      <c r="C7121" s="277"/>
      <c r="M7121" s="277"/>
      <c r="O7121" s="247"/>
      <c r="AC7121" s="247"/>
      <c r="AT7121" s="247"/>
    </row>
    <row r="7122">
      <c r="C7122" s="277"/>
      <c r="M7122" s="277"/>
      <c r="O7122" s="247"/>
      <c r="AC7122" s="247"/>
      <c r="AT7122" s="247"/>
    </row>
    <row r="7123">
      <c r="C7123" s="277"/>
      <c r="M7123" s="277"/>
      <c r="O7123" s="247"/>
      <c r="AC7123" s="247"/>
      <c r="AT7123" s="247"/>
    </row>
    <row r="7124">
      <c r="C7124" s="277"/>
      <c r="M7124" s="277"/>
      <c r="O7124" s="247"/>
      <c r="AC7124" s="247"/>
      <c r="AT7124" s="247"/>
    </row>
    <row r="7125">
      <c r="C7125" s="277"/>
      <c r="M7125" s="277"/>
      <c r="O7125" s="247"/>
      <c r="AC7125" s="247"/>
      <c r="AT7125" s="247"/>
    </row>
    <row r="7126">
      <c r="C7126" s="277"/>
      <c r="M7126" s="277"/>
      <c r="O7126" s="247"/>
      <c r="AC7126" s="247"/>
      <c r="AT7126" s="247"/>
    </row>
    <row r="7127">
      <c r="C7127" s="277"/>
      <c r="M7127" s="277"/>
      <c r="O7127" s="247"/>
      <c r="AC7127" s="247"/>
      <c r="AT7127" s="247"/>
    </row>
    <row r="7128">
      <c r="C7128" s="277"/>
      <c r="M7128" s="277"/>
      <c r="O7128" s="247"/>
      <c r="AC7128" s="247"/>
      <c r="AT7128" s="247"/>
    </row>
    <row r="7129">
      <c r="C7129" s="277"/>
      <c r="M7129" s="277"/>
      <c r="O7129" s="247"/>
      <c r="AC7129" s="247"/>
      <c r="AT7129" s="247"/>
    </row>
    <row r="7130">
      <c r="C7130" s="277"/>
      <c r="M7130" s="277"/>
      <c r="O7130" s="247"/>
      <c r="AC7130" s="247"/>
      <c r="AT7130" s="247"/>
    </row>
    <row r="7131">
      <c r="C7131" s="277"/>
      <c r="M7131" s="277"/>
      <c r="O7131" s="247"/>
      <c r="AC7131" s="247"/>
      <c r="AT7131" s="247"/>
    </row>
    <row r="7132">
      <c r="C7132" s="277"/>
      <c r="M7132" s="277"/>
      <c r="O7132" s="247"/>
      <c r="AC7132" s="247"/>
      <c r="AT7132" s="247"/>
    </row>
    <row r="7133">
      <c r="C7133" s="277"/>
      <c r="M7133" s="277"/>
      <c r="O7133" s="247"/>
      <c r="AC7133" s="247"/>
      <c r="AT7133" s="247"/>
    </row>
    <row r="7134">
      <c r="C7134" s="277"/>
      <c r="M7134" s="277"/>
      <c r="O7134" s="247"/>
      <c r="AC7134" s="247"/>
      <c r="AT7134" s="247"/>
    </row>
    <row r="7135">
      <c r="C7135" s="277"/>
      <c r="M7135" s="277"/>
      <c r="O7135" s="247"/>
      <c r="AC7135" s="247"/>
      <c r="AT7135" s="247"/>
    </row>
    <row r="7136">
      <c r="C7136" s="277"/>
      <c r="M7136" s="277"/>
      <c r="O7136" s="247"/>
      <c r="AC7136" s="247"/>
      <c r="AT7136" s="247"/>
    </row>
    <row r="7137">
      <c r="C7137" s="277"/>
      <c r="M7137" s="277"/>
      <c r="O7137" s="247"/>
      <c r="AC7137" s="247"/>
      <c r="AT7137" s="247"/>
    </row>
    <row r="7138">
      <c r="C7138" s="277"/>
      <c r="M7138" s="277"/>
      <c r="O7138" s="247"/>
      <c r="AC7138" s="247"/>
      <c r="AT7138" s="247"/>
    </row>
    <row r="7139">
      <c r="C7139" s="277"/>
      <c r="M7139" s="277"/>
      <c r="O7139" s="247"/>
      <c r="AC7139" s="247"/>
      <c r="AT7139" s="247"/>
    </row>
    <row r="7140">
      <c r="C7140" s="277"/>
      <c r="M7140" s="277"/>
      <c r="O7140" s="247"/>
      <c r="AC7140" s="247"/>
      <c r="AT7140" s="247"/>
    </row>
    <row r="7141">
      <c r="C7141" s="277"/>
      <c r="M7141" s="277"/>
      <c r="O7141" s="247"/>
      <c r="AC7141" s="247"/>
      <c r="AT7141" s="247"/>
    </row>
    <row r="7142">
      <c r="C7142" s="277"/>
      <c r="M7142" s="277"/>
      <c r="O7142" s="247"/>
      <c r="AC7142" s="247"/>
      <c r="AT7142" s="247"/>
    </row>
    <row r="7143">
      <c r="C7143" s="277"/>
      <c r="M7143" s="277"/>
      <c r="O7143" s="247"/>
      <c r="AC7143" s="247"/>
      <c r="AT7143" s="247"/>
    </row>
    <row r="7144">
      <c r="C7144" s="277"/>
      <c r="M7144" s="277"/>
      <c r="O7144" s="247"/>
      <c r="AC7144" s="247"/>
      <c r="AT7144" s="247"/>
    </row>
    <row r="7145">
      <c r="C7145" s="277"/>
      <c r="M7145" s="277"/>
      <c r="O7145" s="247"/>
      <c r="AC7145" s="247"/>
      <c r="AT7145" s="247"/>
    </row>
    <row r="7146">
      <c r="C7146" s="277"/>
      <c r="M7146" s="277"/>
      <c r="O7146" s="247"/>
      <c r="AC7146" s="247"/>
      <c r="AT7146" s="247"/>
    </row>
    <row r="7147">
      <c r="C7147" s="277"/>
      <c r="M7147" s="277"/>
      <c r="O7147" s="247"/>
      <c r="AC7147" s="247"/>
      <c r="AT7147" s="247"/>
    </row>
    <row r="7148">
      <c r="C7148" s="277"/>
      <c r="M7148" s="277"/>
      <c r="O7148" s="247"/>
      <c r="AC7148" s="247"/>
      <c r="AT7148" s="247"/>
    </row>
    <row r="7149">
      <c r="C7149" s="277"/>
      <c r="M7149" s="277"/>
      <c r="O7149" s="247"/>
      <c r="AC7149" s="247"/>
      <c r="AT7149" s="247"/>
    </row>
    <row r="7150">
      <c r="C7150" s="277"/>
      <c r="M7150" s="277"/>
      <c r="O7150" s="247"/>
      <c r="AC7150" s="247"/>
      <c r="AT7150" s="247"/>
    </row>
    <row r="7151">
      <c r="C7151" s="277"/>
      <c r="M7151" s="277"/>
      <c r="O7151" s="247"/>
      <c r="AC7151" s="247"/>
      <c r="AT7151" s="247"/>
    </row>
    <row r="7152">
      <c r="C7152" s="277"/>
      <c r="M7152" s="277"/>
      <c r="O7152" s="247"/>
      <c r="AC7152" s="247"/>
      <c r="AT7152" s="247"/>
    </row>
    <row r="7153">
      <c r="C7153" s="277"/>
      <c r="M7153" s="277"/>
      <c r="O7153" s="247"/>
      <c r="AC7153" s="247"/>
      <c r="AT7153" s="247"/>
    </row>
    <row r="7154">
      <c r="C7154" s="277"/>
      <c r="M7154" s="277"/>
      <c r="O7154" s="247"/>
      <c r="AC7154" s="247"/>
      <c r="AT7154" s="247"/>
    </row>
    <row r="7155">
      <c r="C7155" s="277"/>
      <c r="M7155" s="277"/>
      <c r="O7155" s="247"/>
      <c r="AC7155" s="247"/>
      <c r="AT7155" s="247"/>
    </row>
    <row r="7156">
      <c r="C7156" s="277"/>
      <c r="M7156" s="277"/>
      <c r="O7156" s="247"/>
      <c r="AC7156" s="247"/>
      <c r="AT7156" s="247"/>
    </row>
    <row r="7157">
      <c r="C7157" s="277"/>
      <c r="M7157" s="277"/>
      <c r="O7157" s="247"/>
      <c r="AC7157" s="247"/>
      <c r="AT7157" s="247"/>
    </row>
    <row r="7158">
      <c r="C7158" s="277"/>
      <c r="M7158" s="277"/>
      <c r="O7158" s="247"/>
      <c r="AC7158" s="247"/>
      <c r="AT7158" s="247"/>
    </row>
    <row r="7159">
      <c r="C7159" s="277"/>
      <c r="M7159" s="277"/>
      <c r="O7159" s="247"/>
      <c r="AC7159" s="247"/>
      <c r="AT7159" s="247"/>
    </row>
    <row r="7160">
      <c r="C7160" s="277"/>
      <c r="M7160" s="277"/>
      <c r="O7160" s="247"/>
      <c r="AC7160" s="247"/>
      <c r="AT7160" s="247"/>
    </row>
    <row r="7161">
      <c r="C7161" s="277"/>
      <c r="M7161" s="277"/>
      <c r="O7161" s="247"/>
      <c r="AC7161" s="247"/>
      <c r="AT7161" s="247"/>
    </row>
    <row r="7162">
      <c r="C7162" s="277"/>
      <c r="M7162" s="277"/>
      <c r="O7162" s="247"/>
      <c r="AC7162" s="247"/>
      <c r="AT7162" s="247"/>
    </row>
    <row r="7163">
      <c r="C7163" s="277"/>
      <c r="M7163" s="277"/>
      <c r="O7163" s="247"/>
      <c r="AC7163" s="247"/>
      <c r="AT7163" s="247"/>
    </row>
    <row r="7164">
      <c r="C7164" s="277"/>
      <c r="M7164" s="277"/>
      <c r="O7164" s="247"/>
      <c r="AC7164" s="247"/>
      <c r="AT7164" s="247"/>
    </row>
    <row r="7165">
      <c r="C7165" s="277"/>
      <c r="M7165" s="277"/>
      <c r="O7165" s="247"/>
      <c r="AC7165" s="247"/>
      <c r="AT7165" s="247"/>
    </row>
    <row r="7166">
      <c r="C7166" s="277"/>
      <c r="M7166" s="277"/>
      <c r="O7166" s="247"/>
      <c r="AC7166" s="247"/>
      <c r="AT7166" s="247"/>
    </row>
    <row r="7167">
      <c r="C7167" s="277"/>
      <c r="M7167" s="277"/>
      <c r="O7167" s="247"/>
      <c r="AC7167" s="247"/>
      <c r="AT7167" s="247"/>
    </row>
    <row r="7168">
      <c r="C7168" s="277"/>
      <c r="M7168" s="277"/>
      <c r="O7168" s="247"/>
      <c r="AC7168" s="247"/>
      <c r="AT7168" s="247"/>
    </row>
    <row r="7169">
      <c r="C7169" s="277"/>
      <c r="M7169" s="277"/>
      <c r="O7169" s="247"/>
      <c r="AC7169" s="247"/>
      <c r="AT7169" s="247"/>
    </row>
    <row r="7170">
      <c r="C7170" s="277"/>
      <c r="M7170" s="277"/>
      <c r="O7170" s="247"/>
      <c r="AC7170" s="247"/>
      <c r="AT7170" s="247"/>
    </row>
    <row r="7171">
      <c r="C7171" s="277"/>
      <c r="M7171" s="277"/>
      <c r="O7171" s="247"/>
      <c r="AC7171" s="247"/>
      <c r="AT7171" s="247"/>
    </row>
    <row r="7172">
      <c r="C7172" s="277"/>
      <c r="M7172" s="277"/>
      <c r="O7172" s="247"/>
      <c r="AC7172" s="247"/>
      <c r="AT7172" s="247"/>
    </row>
    <row r="7173">
      <c r="C7173" s="277"/>
      <c r="M7173" s="277"/>
      <c r="O7173" s="247"/>
      <c r="AC7173" s="247"/>
      <c r="AT7173" s="247"/>
    </row>
    <row r="7174">
      <c r="C7174" s="277"/>
      <c r="M7174" s="277"/>
      <c r="O7174" s="247"/>
      <c r="AC7174" s="247"/>
      <c r="AT7174" s="247"/>
    </row>
    <row r="7175">
      <c r="C7175" s="277"/>
      <c r="M7175" s="277"/>
      <c r="O7175" s="247"/>
      <c r="AC7175" s="247"/>
      <c r="AT7175" s="247"/>
    </row>
    <row r="7176">
      <c r="C7176" s="277"/>
      <c r="M7176" s="277"/>
      <c r="O7176" s="247"/>
      <c r="AC7176" s="247"/>
      <c r="AT7176" s="247"/>
    </row>
    <row r="7177">
      <c r="C7177" s="277"/>
      <c r="M7177" s="277"/>
      <c r="O7177" s="247"/>
      <c r="AC7177" s="247"/>
      <c r="AT7177" s="247"/>
    </row>
    <row r="7178">
      <c r="C7178" s="277"/>
      <c r="M7178" s="277"/>
      <c r="O7178" s="247"/>
      <c r="AC7178" s="247"/>
      <c r="AT7178" s="247"/>
    </row>
    <row r="7179">
      <c r="C7179" s="277"/>
      <c r="M7179" s="277"/>
      <c r="O7179" s="247"/>
      <c r="AC7179" s="247"/>
      <c r="AT7179" s="247"/>
    </row>
    <row r="7180">
      <c r="C7180" s="277"/>
      <c r="M7180" s="277"/>
      <c r="O7180" s="247"/>
      <c r="AC7180" s="247"/>
      <c r="AT7180" s="247"/>
    </row>
    <row r="7181">
      <c r="C7181" s="277"/>
      <c r="M7181" s="277"/>
      <c r="O7181" s="247"/>
      <c r="AC7181" s="247"/>
      <c r="AT7181" s="247"/>
    </row>
    <row r="7182">
      <c r="C7182" s="277"/>
      <c r="M7182" s="277"/>
      <c r="O7182" s="247"/>
      <c r="AC7182" s="247"/>
      <c r="AT7182" s="247"/>
    </row>
    <row r="7183">
      <c r="C7183" s="277"/>
      <c r="M7183" s="277"/>
      <c r="O7183" s="247"/>
      <c r="AC7183" s="247"/>
      <c r="AT7183" s="247"/>
    </row>
    <row r="7184">
      <c r="C7184" s="277"/>
      <c r="M7184" s="277"/>
      <c r="O7184" s="247"/>
      <c r="AC7184" s="247"/>
      <c r="AT7184" s="247"/>
    </row>
    <row r="7185">
      <c r="C7185" s="277"/>
      <c r="M7185" s="277"/>
      <c r="O7185" s="247"/>
      <c r="AC7185" s="247"/>
      <c r="AT7185" s="247"/>
    </row>
    <row r="7186">
      <c r="C7186" s="277"/>
      <c r="M7186" s="277"/>
      <c r="O7186" s="247"/>
      <c r="AC7186" s="247"/>
      <c r="AT7186" s="247"/>
    </row>
    <row r="7187">
      <c r="C7187" s="277"/>
      <c r="M7187" s="277"/>
      <c r="O7187" s="247"/>
      <c r="AC7187" s="247"/>
      <c r="AT7187" s="247"/>
    </row>
    <row r="7188">
      <c r="C7188" s="277"/>
      <c r="M7188" s="277"/>
      <c r="O7188" s="247"/>
      <c r="AC7188" s="247"/>
      <c r="AT7188" s="247"/>
    </row>
    <row r="7189">
      <c r="C7189" s="277"/>
      <c r="M7189" s="277"/>
      <c r="O7189" s="247"/>
      <c r="AC7189" s="247"/>
      <c r="AT7189" s="247"/>
    </row>
    <row r="7190">
      <c r="C7190" s="277"/>
      <c r="M7190" s="277"/>
      <c r="O7190" s="247"/>
      <c r="AC7190" s="247"/>
      <c r="AT7190" s="247"/>
    </row>
    <row r="7191">
      <c r="C7191" s="277"/>
      <c r="M7191" s="277"/>
      <c r="O7191" s="247"/>
      <c r="AC7191" s="247"/>
      <c r="AT7191" s="247"/>
    </row>
    <row r="7192">
      <c r="C7192" s="277"/>
      <c r="M7192" s="277"/>
      <c r="O7192" s="247"/>
      <c r="AC7192" s="247"/>
      <c r="AT7192" s="247"/>
    </row>
    <row r="7193">
      <c r="C7193" s="277"/>
      <c r="M7193" s="277"/>
      <c r="O7193" s="247"/>
      <c r="AC7193" s="247"/>
      <c r="AT7193" s="247"/>
    </row>
    <row r="7194">
      <c r="C7194" s="277"/>
      <c r="M7194" s="277"/>
      <c r="O7194" s="247"/>
      <c r="AC7194" s="247"/>
      <c r="AT7194" s="247"/>
    </row>
    <row r="7195">
      <c r="C7195" s="277"/>
      <c r="M7195" s="277"/>
      <c r="O7195" s="247"/>
      <c r="AC7195" s="247"/>
      <c r="AT7195" s="247"/>
    </row>
    <row r="7196">
      <c r="C7196" s="277"/>
      <c r="M7196" s="277"/>
      <c r="O7196" s="247"/>
      <c r="AC7196" s="247"/>
      <c r="AT7196" s="247"/>
    </row>
    <row r="7197">
      <c r="C7197" s="277"/>
      <c r="M7197" s="277"/>
      <c r="O7197" s="247"/>
      <c r="AC7197" s="247"/>
      <c r="AT7197" s="247"/>
    </row>
    <row r="7198">
      <c r="C7198" s="277"/>
      <c r="M7198" s="277"/>
      <c r="O7198" s="247"/>
      <c r="AC7198" s="247"/>
      <c r="AT7198" s="247"/>
    </row>
    <row r="7199">
      <c r="C7199" s="277"/>
      <c r="M7199" s="277"/>
      <c r="O7199" s="247"/>
      <c r="AC7199" s="247"/>
      <c r="AT7199" s="247"/>
    </row>
    <row r="7200">
      <c r="C7200" s="277"/>
      <c r="M7200" s="277"/>
      <c r="O7200" s="247"/>
      <c r="AC7200" s="247"/>
      <c r="AT7200" s="247"/>
    </row>
    <row r="7201">
      <c r="C7201" s="277"/>
      <c r="M7201" s="277"/>
      <c r="O7201" s="247"/>
      <c r="AC7201" s="247"/>
      <c r="AT7201" s="247"/>
    </row>
    <row r="7202">
      <c r="C7202" s="277"/>
      <c r="M7202" s="277"/>
      <c r="O7202" s="247"/>
      <c r="AC7202" s="247"/>
      <c r="AT7202" s="247"/>
    </row>
    <row r="7203">
      <c r="C7203" s="277"/>
      <c r="M7203" s="277"/>
      <c r="O7203" s="247"/>
      <c r="AC7203" s="247"/>
      <c r="AT7203" s="247"/>
    </row>
    <row r="7204">
      <c r="C7204" s="277"/>
      <c r="M7204" s="277"/>
      <c r="O7204" s="247"/>
      <c r="AC7204" s="247"/>
      <c r="AT7204" s="247"/>
    </row>
    <row r="7205">
      <c r="C7205" s="277"/>
      <c r="M7205" s="277"/>
      <c r="O7205" s="247"/>
      <c r="AC7205" s="247"/>
      <c r="AT7205" s="247"/>
    </row>
    <row r="7206">
      <c r="C7206" s="277"/>
      <c r="M7206" s="277"/>
      <c r="O7206" s="247"/>
      <c r="AC7206" s="247"/>
      <c r="AT7206" s="247"/>
    </row>
    <row r="7207">
      <c r="C7207" s="277"/>
      <c r="M7207" s="277"/>
      <c r="O7207" s="247"/>
      <c r="AC7207" s="247"/>
      <c r="AT7207" s="247"/>
    </row>
    <row r="7208">
      <c r="C7208" s="277"/>
      <c r="M7208" s="277"/>
      <c r="O7208" s="247"/>
      <c r="AC7208" s="247"/>
      <c r="AT7208" s="247"/>
    </row>
    <row r="7209">
      <c r="C7209" s="277"/>
      <c r="M7209" s="277"/>
      <c r="O7209" s="247"/>
      <c r="AC7209" s="247"/>
      <c r="AT7209" s="247"/>
    </row>
    <row r="7210">
      <c r="C7210" s="277"/>
      <c r="M7210" s="277"/>
      <c r="O7210" s="247"/>
      <c r="AC7210" s="247"/>
      <c r="AT7210" s="247"/>
    </row>
    <row r="7211">
      <c r="C7211" s="277"/>
      <c r="M7211" s="277"/>
      <c r="O7211" s="247"/>
      <c r="AC7211" s="247"/>
      <c r="AT7211" s="247"/>
    </row>
    <row r="7212">
      <c r="C7212" s="277"/>
      <c r="M7212" s="277"/>
      <c r="O7212" s="247"/>
      <c r="AC7212" s="247"/>
      <c r="AT7212" s="247"/>
    </row>
    <row r="7213">
      <c r="C7213" s="277"/>
      <c r="M7213" s="277"/>
      <c r="O7213" s="247"/>
      <c r="AC7213" s="247"/>
      <c r="AT7213" s="247"/>
    </row>
    <row r="7214">
      <c r="C7214" s="277"/>
      <c r="M7214" s="277"/>
      <c r="O7214" s="247"/>
      <c r="AC7214" s="247"/>
      <c r="AT7214" s="247"/>
    </row>
    <row r="7215">
      <c r="C7215" s="277"/>
      <c r="M7215" s="277"/>
      <c r="O7215" s="247"/>
      <c r="AC7215" s="247"/>
      <c r="AT7215" s="247"/>
    </row>
    <row r="7216">
      <c r="C7216" s="277"/>
      <c r="M7216" s="277"/>
      <c r="O7216" s="247"/>
      <c r="AC7216" s="247"/>
      <c r="AT7216" s="247"/>
    </row>
    <row r="7217">
      <c r="C7217" s="277"/>
      <c r="M7217" s="277"/>
      <c r="O7217" s="247"/>
      <c r="AC7217" s="247"/>
      <c r="AT7217" s="247"/>
    </row>
    <row r="7218">
      <c r="C7218" s="277"/>
      <c r="M7218" s="277"/>
      <c r="O7218" s="247"/>
      <c r="AC7218" s="247"/>
      <c r="AT7218" s="247"/>
    </row>
    <row r="7219">
      <c r="C7219" s="277"/>
      <c r="M7219" s="277"/>
      <c r="O7219" s="247"/>
      <c r="AC7219" s="247"/>
      <c r="AT7219" s="247"/>
    </row>
    <row r="7220">
      <c r="C7220" s="277"/>
      <c r="M7220" s="277"/>
      <c r="O7220" s="247"/>
      <c r="AC7220" s="247"/>
      <c r="AT7220" s="247"/>
    </row>
    <row r="7221">
      <c r="C7221" s="277"/>
      <c r="M7221" s="277"/>
      <c r="O7221" s="247"/>
      <c r="AC7221" s="247"/>
      <c r="AT7221" s="247"/>
    </row>
    <row r="7222">
      <c r="C7222" s="277"/>
      <c r="M7222" s="277"/>
      <c r="O7222" s="247"/>
      <c r="AC7222" s="247"/>
      <c r="AT7222" s="247"/>
    </row>
    <row r="7223">
      <c r="C7223" s="277"/>
      <c r="M7223" s="277"/>
      <c r="O7223" s="247"/>
      <c r="AC7223" s="247"/>
      <c r="AT7223" s="247"/>
    </row>
    <row r="7224">
      <c r="C7224" s="277"/>
      <c r="M7224" s="277"/>
      <c r="O7224" s="247"/>
      <c r="AC7224" s="247"/>
      <c r="AT7224" s="247"/>
    </row>
    <row r="7225">
      <c r="C7225" s="277"/>
      <c r="M7225" s="277"/>
      <c r="O7225" s="247"/>
      <c r="AC7225" s="247"/>
      <c r="AT7225" s="247"/>
    </row>
    <row r="7226">
      <c r="C7226" s="277"/>
      <c r="M7226" s="277"/>
      <c r="O7226" s="247"/>
      <c r="AC7226" s="247"/>
      <c r="AT7226" s="247"/>
    </row>
    <row r="7227">
      <c r="C7227" s="277"/>
      <c r="M7227" s="277"/>
      <c r="O7227" s="247"/>
      <c r="AC7227" s="247"/>
      <c r="AT7227" s="247"/>
    </row>
    <row r="7228">
      <c r="C7228" s="277"/>
      <c r="M7228" s="277"/>
      <c r="O7228" s="247"/>
      <c r="AC7228" s="247"/>
      <c r="AT7228" s="247"/>
    </row>
    <row r="7229">
      <c r="C7229" s="277"/>
      <c r="M7229" s="277"/>
      <c r="O7229" s="247"/>
      <c r="AC7229" s="247"/>
      <c r="AT7229" s="247"/>
    </row>
    <row r="7230">
      <c r="C7230" s="277"/>
      <c r="M7230" s="277"/>
      <c r="O7230" s="247"/>
      <c r="AC7230" s="247"/>
      <c r="AT7230" s="247"/>
    </row>
    <row r="7231">
      <c r="C7231" s="277"/>
      <c r="M7231" s="277"/>
      <c r="O7231" s="247"/>
      <c r="AC7231" s="247"/>
      <c r="AT7231" s="247"/>
    </row>
    <row r="7232">
      <c r="C7232" s="277"/>
      <c r="M7232" s="277"/>
      <c r="O7232" s="247"/>
      <c r="AC7232" s="247"/>
      <c r="AT7232" s="247"/>
    </row>
    <row r="7233">
      <c r="C7233" s="277"/>
      <c r="M7233" s="277"/>
      <c r="O7233" s="247"/>
      <c r="AC7233" s="247"/>
      <c r="AT7233" s="247"/>
    </row>
    <row r="7234">
      <c r="C7234" s="277"/>
      <c r="M7234" s="277"/>
      <c r="O7234" s="247"/>
      <c r="AC7234" s="247"/>
      <c r="AT7234" s="247"/>
    </row>
    <row r="7235">
      <c r="C7235" s="277"/>
      <c r="M7235" s="277"/>
      <c r="O7235" s="247"/>
      <c r="AC7235" s="247"/>
      <c r="AT7235" s="247"/>
    </row>
    <row r="7236">
      <c r="C7236" s="277"/>
      <c r="M7236" s="277"/>
      <c r="O7236" s="247"/>
      <c r="AC7236" s="247"/>
      <c r="AT7236" s="247"/>
    </row>
    <row r="7237">
      <c r="C7237" s="277"/>
      <c r="M7237" s="277"/>
      <c r="O7237" s="247"/>
      <c r="AC7237" s="247"/>
      <c r="AT7237" s="247"/>
    </row>
    <row r="7238">
      <c r="C7238" s="277"/>
      <c r="M7238" s="277"/>
      <c r="O7238" s="247"/>
      <c r="AC7238" s="247"/>
      <c r="AT7238" s="247"/>
    </row>
    <row r="7239">
      <c r="C7239" s="277"/>
      <c r="M7239" s="277"/>
      <c r="O7239" s="247"/>
      <c r="AC7239" s="247"/>
      <c r="AT7239" s="247"/>
    </row>
    <row r="7240">
      <c r="C7240" s="277"/>
      <c r="M7240" s="277"/>
      <c r="O7240" s="247"/>
      <c r="AC7240" s="247"/>
      <c r="AT7240" s="247"/>
    </row>
    <row r="7241">
      <c r="C7241" s="277"/>
      <c r="M7241" s="277"/>
      <c r="O7241" s="247"/>
      <c r="AC7241" s="247"/>
      <c r="AT7241" s="247"/>
    </row>
    <row r="7242">
      <c r="C7242" s="277"/>
      <c r="M7242" s="277"/>
      <c r="O7242" s="247"/>
      <c r="AC7242" s="247"/>
      <c r="AT7242" s="247"/>
    </row>
    <row r="7243">
      <c r="C7243" s="277"/>
      <c r="M7243" s="277"/>
      <c r="O7243" s="247"/>
      <c r="AC7243" s="247"/>
      <c r="AT7243" s="247"/>
    </row>
    <row r="7244">
      <c r="C7244" s="277"/>
      <c r="M7244" s="277"/>
      <c r="O7244" s="247"/>
      <c r="AC7244" s="247"/>
      <c r="AT7244" s="247"/>
    </row>
    <row r="7245">
      <c r="C7245" s="277"/>
      <c r="M7245" s="277"/>
      <c r="O7245" s="247"/>
      <c r="AC7245" s="247"/>
      <c r="AT7245" s="247"/>
    </row>
    <row r="7246">
      <c r="C7246" s="277"/>
      <c r="M7246" s="277"/>
      <c r="O7246" s="247"/>
      <c r="AC7246" s="247"/>
      <c r="AT7246" s="247"/>
    </row>
    <row r="7247">
      <c r="C7247" s="277"/>
      <c r="M7247" s="277"/>
      <c r="O7247" s="247"/>
      <c r="AC7247" s="247"/>
      <c r="AT7247" s="247"/>
    </row>
    <row r="7248">
      <c r="C7248" s="277"/>
      <c r="M7248" s="277"/>
      <c r="O7248" s="247"/>
      <c r="AC7248" s="247"/>
      <c r="AT7248" s="247"/>
    </row>
    <row r="7249">
      <c r="C7249" s="277"/>
      <c r="M7249" s="277"/>
      <c r="O7249" s="247"/>
      <c r="AC7249" s="247"/>
      <c r="AT7249" s="247"/>
    </row>
    <row r="7250">
      <c r="C7250" s="277"/>
      <c r="M7250" s="277"/>
      <c r="O7250" s="247"/>
      <c r="AC7250" s="247"/>
      <c r="AT7250" s="247"/>
    </row>
    <row r="7251">
      <c r="C7251" s="277"/>
      <c r="M7251" s="277"/>
      <c r="O7251" s="247"/>
      <c r="AC7251" s="247"/>
      <c r="AT7251" s="247"/>
    </row>
    <row r="7252">
      <c r="C7252" s="277"/>
      <c r="M7252" s="277"/>
      <c r="O7252" s="247"/>
      <c r="AC7252" s="247"/>
      <c r="AT7252" s="247"/>
    </row>
    <row r="7253">
      <c r="C7253" s="277"/>
      <c r="M7253" s="277"/>
      <c r="O7253" s="247"/>
      <c r="AC7253" s="247"/>
      <c r="AT7253" s="247"/>
    </row>
    <row r="7254">
      <c r="C7254" s="277"/>
      <c r="M7254" s="277"/>
      <c r="O7254" s="247"/>
      <c r="AC7254" s="247"/>
      <c r="AT7254" s="247"/>
    </row>
    <row r="7255">
      <c r="C7255" s="277"/>
      <c r="M7255" s="277"/>
      <c r="O7255" s="247"/>
      <c r="AC7255" s="247"/>
      <c r="AT7255" s="247"/>
    </row>
    <row r="7256">
      <c r="C7256" s="277"/>
      <c r="M7256" s="277"/>
      <c r="O7256" s="247"/>
      <c r="AC7256" s="247"/>
      <c r="AT7256" s="247"/>
    </row>
    <row r="7257">
      <c r="C7257" s="277"/>
      <c r="M7257" s="277"/>
      <c r="O7257" s="247"/>
      <c r="AC7257" s="247"/>
      <c r="AT7257" s="247"/>
    </row>
    <row r="7258">
      <c r="C7258" s="277"/>
      <c r="M7258" s="277"/>
      <c r="O7258" s="247"/>
      <c r="AC7258" s="247"/>
      <c r="AT7258" s="247"/>
    </row>
    <row r="7259">
      <c r="C7259" s="277"/>
      <c r="M7259" s="277"/>
      <c r="O7259" s="247"/>
      <c r="AC7259" s="247"/>
      <c r="AT7259" s="247"/>
    </row>
    <row r="7260">
      <c r="C7260" s="277"/>
      <c r="M7260" s="277"/>
      <c r="O7260" s="247"/>
      <c r="AC7260" s="247"/>
      <c r="AT7260" s="247"/>
    </row>
    <row r="7261">
      <c r="C7261" s="277"/>
      <c r="M7261" s="277"/>
      <c r="O7261" s="247"/>
      <c r="AC7261" s="247"/>
      <c r="AT7261" s="247"/>
    </row>
    <row r="7262">
      <c r="C7262" s="277"/>
      <c r="M7262" s="277"/>
      <c r="O7262" s="247"/>
      <c r="AC7262" s="247"/>
      <c r="AT7262" s="247"/>
    </row>
    <row r="7263">
      <c r="C7263" s="277"/>
      <c r="M7263" s="277"/>
      <c r="O7263" s="247"/>
      <c r="AC7263" s="247"/>
      <c r="AT7263" s="247"/>
    </row>
    <row r="7264">
      <c r="C7264" s="277"/>
      <c r="M7264" s="277"/>
      <c r="O7264" s="247"/>
      <c r="AC7264" s="247"/>
      <c r="AT7264" s="247"/>
    </row>
    <row r="7265">
      <c r="C7265" s="277"/>
      <c r="M7265" s="277"/>
      <c r="O7265" s="247"/>
      <c r="AC7265" s="247"/>
      <c r="AT7265" s="247"/>
    </row>
    <row r="7266">
      <c r="C7266" s="277"/>
      <c r="M7266" s="277"/>
      <c r="O7266" s="247"/>
      <c r="AC7266" s="247"/>
      <c r="AT7266" s="247"/>
    </row>
    <row r="7267">
      <c r="C7267" s="277"/>
      <c r="M7267" s="277"/>
      <c r="O7267" s="247"/>
      <c r="AC7267" s="247"/>
      <c r="AT7267" s="247"/>
    </row>
    <row r="7268">
      <c r="C7268" s="277"/>
      <c r="M7268" s="277"/>
      <c r="O7268" s="247"/>
      <c r="AC7268" s="247"/>
      <c r="AT7268" s="247"/>
    </row>
    <row r="7269">
      <c r="C7269" s="277"/>
      <c r="M7269" s="277"/>
      <c r="O7269" s="247"/>
      <c r="AC7269" s="247"/>
      <c r="AT7269" s="247"/>
    </row>
    <row r="7270">
      <c r="C7270" s="277"/>
      <c r="M7270" s="277"/>
      <c r="O7270" s="247"/>
      <c r="AC7270" s="247"/>
      <c r="AT7270" s="247"/>
    </row>
    <row r="7271">
      <c r="C7271" s="277"/>
      <c r="M7271" s="277"/>
      <c r="O7271" s="247"/>
      <c r="AC7271" s="247"/>
      <c r="AT7271" s="247"/>
    </row>
    <row r="7272">
      <c r="C7272" s="277"/>
      <c r="M7272" s="277"/>
      <c r="O7272" s="247"/>
      <c r="AC7272" s="247"/>
      <c r="AT7272" s="247"/>
    </row>
    <row r="7273">
      <c r="C7273" s="277"/>
      <c r="M7273" s="277"/>
      <c r="O7273" s="247"/>
      <c r="AC7273" s="247"/>
      <c r="AT7273" s="247"/>
    </row>
    <row r="7274">
      <c r="C7274" s="277"/>
      <c r="M7274" s="277"/>
      <c r="O7274" s="247"/>
      <c r="AC7274" s="247"/>
      <c r="AT7274" s="247"/>
    </row>
    <row r="7275">
      <c r="C7275" s="277"/>
      <c r="M7275" s="277"/>
      <c r="O7275" s="247"/>
      <c r="AC7275" s="247"/>
      <c r="AT7275" s="247"/>
    </row>
    <row r="7276">
      <c r="C7276" s="277"/>
      <c r="M7276" s="277"/>
      <c r="O7276" s="247"/>
      <c r="AC7276" s="247"/>
      <c r="AT7276" s="247"/>
    </row>
    <row r="7277">
      <c r="C7277" s="277"/>
      <c r="M7277" s="277"/>
      <c r="O7277" s="247"/>
      <c r="AC7277" s="247"/>
      <c r="AT7277" s="247"/>
    </row>
    <row r="7278">
      <c r="C7278" s="277"/>
      <c r="M7278" s="277"/>
      <c r="O7278" s="247"/>
      <c r="AC7278" s="247"/>
      <c r="AT7278" s="247"/>
    </row>
    <row r="7279">
      <c r="C7279" s="277"/>
      <c r="M7279" s="277"/>
      <c r="O7279" s="247"/>
      <c r="AC7279" s="247"/>
      <c r="AT7279" s="247"/>
    </row>
    <row r="7280">
      <c r="C7280" s="277"/>
      <c r="M7280" s="277"/>
      <c r="O7280" s="247"/>
      <c r="AC7280" s="247"/>
      <c r="AT7280" s="247"/>
    </row>
    <row r="7281">
      <c r="C7281" s="277"/>
      <c r="M7281" s="277"/>
      <c r="O7281" s="247"/>
      <c r="AC7281" s="247"/>
      <c r="AT7281" s="247"/>
    </row>
    <row r="7282">
      <c r="C7282" s="277"/>
      <c r="M7282" s="277"/>
      <c r="O7282" s="247"/>
      <c r="AC7282" s="247"/>
      <c r="AT7282" s="247"/>
    </row>
    <row r="7283">
      <c r="C7283" s="277"/>
      <c r="M7283" s="277"/>
      <c r="O7283" s="247"/>
      <c r="AC7283" s="247"/>
      <c r="AT7283" s="247"/>
    </row>
    <row r="7284">
      <c r="C7284" s="277"/>
      <c r="M7284" s="277"/>
      <c r="O7284" s="247"/>
      <c r="AC7284" s="247"/>
      <c r="AT7284" s="247"/>
    </row>
    <row r="7285">
      <c r="C7285" s="277"/>
      <c r="M7285" s="277"/>
      <c r="O7285" s="247"/>
      <c r="AC7285" s="247"/>
      <c r="AT7285" s="247"/>
    </row>
    <row r="7286">
      <c r="C7286" s="277"/>
      <c r="M7286" s="277"/>
      <c r="O7286" s="247"/>
      <c r="AC7286" s="247"/>
      <c r="AT7286" s="247"/>
    </row>
    <row r="7287">
      <c r="C7287" s="277"/>
      <c r="M7287" s="277"/>
      <c r="O7287" s="247"/>
      <c r="AC7287" s="247"/>
      <c r="AT7287" s="247"/>
    </row>
    <row r="7288">
      <c r="C7288" s="277"/>
      <c r="M7288" s="277"/>
      <c r="O7288" s="247"/>
      <c r="AC7288" s="247"/>
      <c r="AT7288" s="247"/>
    </row>
    <row r="7289">
      <c r="C7289" s="277"/>
      <c r="M7289" s="277"/>
      <c r="O7289" s="247"/>
      <c r="AC7289" s="247"/>
      <c r="AT7289" s="247"/>
    </row>
    <row r="7290">
      <c r="C7290" s="277"/>
      <c r="M7290" s="277"/>
      <c r="O7290" s="247"/>
      <c r="AC7290" s="247"/>
      <c r="AT7290" s="247"/>
    </row>
    <row r="7291">
      <c r="C7291" s="277"/>
      <c r="M7291" s="277"/>
      <c r="O7291" s="247"/>
      <c r="AC7291" s="247"/>
      <c r="AT7291" s="247"/>
    </row>
    <row r="7292">
      <c r="C7292" s="277"/>
      <c r="M7292" s="277"/>
      <c r="O7292" s="247"/>
      <c r="AC7292" s="247"/>
      <c r="AT7292" s="247"/>
    </row>
    <row r="7293">
      <c r="C7293" s="277"/>
      <c r="M7293" s="277"/>
      <c r="O7293" s="247"/>
      <c r="AC7293" s="247"/>
      <c r="AT7293" s="247"/>
    </row>
    <row r="7294">
      <c r="C7294" s="277"/>
      <c r="M7294" s="277"/>
      <c r="O7294" s="247"/>
      <c r="AC7294" s="247"/>
      <c r="AT7294" s="247"/>
    </row>
    <row r="7295">
      <c r="C7295" s="277"/>
      <c r="M7295" s="277"/>
      <c r="O7295" s="247"/>
      <c r="AC7295" s="247"/>
      <c r="AT7295" s="247"/>
    </row>
    <row r="7296">
      <c r="C7296" s="277"/>
      <c r="M7296" s="277"/>
      <c r="O7296" s="247"/>
      <c r="AC7296" s="247"/>
      <c r="AT7296" s="247"/>
    </row>
    <row r="7297">
      <c r="C7297" s="277"/>
      <c r="M7297" s="277"/>
      <c r="O7297" s="247"/>
      <c r="AC7297" s="247"/>
      <c r="AT7297" s="247"/>
    </row>
    <row r="7298">
      <c r="C7298" s="277"/>
      <c r="M7298" s="277"/>
      <c r="O7298" s="247"/>
      <c r="AC7298" s="247"/>
      <c r="AT7298" s="247"/>
    </row>
    <row r="7299">
      <c r="C7299" s="277"/>
      <c r="M7299" s="277"/>
      <c r="O7299" s="247"/>
      <c r="AC7299" s="247"/>
      <c r="AT7299" s="247"/>
    </row>
    <row r="7300">
      <c r="C7300" s="277"/>
      <c r="M7300" s="277"/>
      <c r="O7300" s="247"/>
      <c r="AC7300" s="247"/>
      <c r="AT7300" s="247"/>
    </row>
    <row r="7301">
      <c r="C7301" s="277"/>
      <c r="M7301" s="277"/>
      <c r="O7301" s="247"/>
      <c r="AC7301" s="247"/>
      <c r="AT7301" s="247"/>
    </row>
    <row r="7302">
      <c r="C7302" s="277"/>
      <c r="M7302" s="277"/>
      <c r="O7302" s="247"/>
      <c r="AC7302" s="247"/>
      <c r="AT7302" s="247"/>
    </row>
    <row r="7303">
      <c r="C7303" s="277"/>
      <c r="M7303" s="277"/>
      <c r="O7303" s="247"/>
      <c r="AC7303" s="247"/>
      <c r="AT7303" s="247"/>
    </row>
    <row r="7304">
      <c r="C7304" s="277"/>
      <c r="M7304" s="277"/>
      <c r="O7304" s="247"/>
      <c r="AC7304" s="247"/>
      <c r="AT7304" s="247"/>
    </row>
    <row r="7305">
      <c r="C7305" s="277"/>
      <c r="M7305" s="277"/>
      <c r="O7305" s="247"/>
      <c r="AC7305" s="247"/>
      <c r="AT7305" s="247"/>
    </row>
    <row r="7306">
      <c r="C7306" s="277"/>
      <c r="M7306" s="277"/>
      <c r="O7306" s="247"/>
      <c r="AC7306" s="247"/>
      <c r="AT7306" s="247"/>
    </row>
    <row r="7307">
      <c r="C7307" s="277"/>
      <c r="M7307" s="277"/>
      <c r="O7307" s="247"/>
      <c r="AC7307" s="247"/>
      <c r="AT7307" s="247"/>
    </row>
    <row r="7308">
      <c r="C7308" s="277"/>
      <c r="M7308" s="277"/>
      <c r="O7308" s="247"/>
      <c r="AC7308" s="247"/>
      <c r="AT7308" s="247"/>
    </row>
    <row r="7309">
      <c r="C7309" s="277"/>
      <c r="M7309" s="277"/>
      <c r="O7309" s="247"/>
      <c r="AC7309" s="247"/>
      <c r="AT7309" s="247"/>
    </row>
    <row r="7310">
      <c r="C7310" s="277"/>
      <c r="M7310" s="277"/>
      <c r="O7310" s="247"/>
      <c r="AC7310" s="247"/>
      <c r="AT7310" s="247"/>
    </row>
    <row r="7311">
      <c r="C7311" s="277"/>
      <c r="M7311" s="277"/>
      <c r="O7311" s="247"/>
      <c r="AC7311" s="247"/>
      <c r="AT7311" s="247"/>
    </row>
    <row r="7312">
      <c r="C7312" s="277"/>
      <c r="M7312" s="277"/>
      <c r="O7312" s="247"/>
      <c r="AC7312" s="247"/>
      <c r="AT7312" s="247"/>
    </row>
    <row r="7313">
      <c r="C7313" s="277"/>
      <c r="M7313" s="277"/>
      <c r="O7313" s="247"/>
      <c r="AC7313" s="247"/>
      <c r="AT7313" s="247"/>
    </row>
    <row r="7314">
      <c r="C7314" s="277"/>
      <c r="M7314" s="277"/>
      <c r="O7314" s="247"/>
      <c r="AC7314" s="247"/>
      <c r="AT7314" s="247"/>
    </row>
    <row r="7315">
      <c r="C7315" s="277"/>
      <c r="M7315" s="277"/>
      <c r="O7315" s="247"/>
      <c r="AC7315" s="247"/>
      <c r="AT7315" s="247"/>
    </row>
    <row r="7316">
      <c r="C7316" s="277"/>
      <c r="M7316" s="277"/>
      <c r="O7316" s="247"/>
      <c r="AC7316" s="247"/>
      <c r="AT7316" s="247"/>
    </row>
    <row r="7317">
      <c r="C7317" s="277"/>
      <c r="M7317" s="277"/>
      <c r="O7317" s="247"/>
      <c r="AC7317" s="247"/>
      <c r="AT7317" s="247"/>
    </row>
    <row r="7318">
      <c r="C7318" s="277"/>
      <c r="M7318" s="277"/>
      <c r="O7318" s="247"/>
      <c r="AC7318" s="247"/>
      <c r="AT7318" s="247"/>
    </row>
    <row r="7319">
      <c r="C7319" s="277"/>
      <c r="M7319" s="277"/>
      <c r="O7319" s="247"/>
      <c r="AC7319" s="247"/>
      <c r="AT7319" s="247"/>
    </row>
    <row r="7320">
      <c r="C7320" s="277"/>
      <c r="M7320" s="277"/>
      <c r="O7320" s="247"/>
      <c r="AC7320" s="247"/>
      <c r="AT7320" s="247"/>
    </row>
    <row r="7321">
      <c r="C7321" s="277"/>
      <c r="M7321" s="277"/>
      <c r="O7321" s="247"/>
      <c r="AC7321" s="247"/>
      <c r="AT7321" s="247"/>
    </row>
    <row r="7322">
      <c r="C7322" s="277"/>
      <c r="M7322" s="277"/>
      <c r="O7322" s="247"/>
      <c r="AC7322" s="247"/>
      <c r="AT7322" s="247"/>
    </row>
    <row r="7323">
      <c r="C7323" s="277"/>
      <c r="M7323" s="277"/>
      <c r="O7323" s="247"/>
      <c r="AC7323" s="247"/>
      <c r="AT7323" s="247"/>
    </row>
    <row r="7324">
      <c r="C7324" s="277"/>
      <c r="M7324" s="277"/>
      <c r="O7324" s="247"/>
      <c r="AC7324" s="247"/>
      <c r="AT7324" s="247"/>
    </row>
    <row r="7325">
      <c r="C7325" s="277"/>
      <c r="M7325" s="277"/>
      <c r="O7325" s="247"/>
      <c r="AC7325" s="247"/>
      <c r="AT7325" s="247"/>
    </row>
    <row r="7326">
      <c r="C7326" s="277"/>
      <c r="M7326" s="277"/>
      <c r="O7326" s="247"/>
      <c r="AC7326" s="247"/>
      <c r="AT7326" s="247"/>
    </row>
    <row r="7327">
      <c r="C7327" s="277"/>
      <c r="M7327" s="277"/>
      <c r="O7327" s="247"/>
      <c r="AC7327" s="247"/>
      <c r="AT7327" s="247"/>
    </row>
    <row r="7328">
      <c r="C7328" s="277"/>
      <c r="M7328" s="277"/>
      <c r="O7328" s="247"/>
      <c r="AC7328" s="247"/>
      <c r="AT7328" s="247"/>
    </row>
    <row r="7329">
      <c r="C7329" s="277"/>
      <c r="M7329" s="277"/>
      <c r="O7329" s="247"/>
      <c r="AC7329" s="247"/>
      <c r="AT7329" s="247"/>
    </row>
    <row r="7330">
      <c r="C7330" s="277"/>
      <c r="M7330" s="277"/>
      <c r="O7330" s="247"/>
      <c r="AC7330" s="247"/>
      <c r="AT7330" s="247"/>
    </row>
    <row r="7331">
      <c r="C7331" s="277"/>
      <c r="M7331" s="277"/>
      <c r="O7331" s="247"/>
      <c r="AC7331" s="247"/>
      <c r="AT7331" s="247"/>
    </row>
    <row r="7332">
      <c r="C7332" s="277"/>
      <c r="M7332" s="277"/>
      <c r="O7332" s="247"/>
      <c r="AC7332" s="247"/>
      <c r="AT7332" s="247"/>
    </row>
    <row r="7333">
      <c r="C7333" s="277"/>
      <c r="M7333" s="277"/>
      <c r="O7333" s="247"/>
      <c r="AC7333" s="247"/>
      <c r="AT7333" s="247"/>
    </row>
    <row r="7334">
      <c r="C7334" s="277"/>
      <c r="M7334" s="277"/>
      <c r="O7334" s="247"/>
      <c r="AC7334" s="247"/>
      <c r="AT7334" s="247"/>
    </row>
    <row r="7335">
      <c r="C7335" s="277"/>
      <c r="M7335" s="277"/>
      <c r="O7335" s="247"/>
      <c r="AC7335" s="247"/>
      <c r="AT7335" s="247"/>
    </row>
    <row r="7336">
      <c r="C7336" s="277"/>
      <c r="M7336" s="277"/>
      <c r="O7336" s="247"/>
      <c r="AC7336" s="247"/>
      <c r="AT7336" s="247"/>
    </row>
    <row r="7337">
      <c r="C7337" s="277"/>
      <c r="M7337" s="277"/>
      <c r="O7337" s="247"/>
      <c r="AC7337" s="247"/>
      <c r="AT7337" s="247"/>
    </row>
    <row r="7338">
      <c r="C7338" s="277"/>
      <c r="M7338" s="277"/>
      <c r="O7338" s="247"/>
      <c r="AC7338" s="247"/>
      <c r="AT7338" s="247"/>
    </row>
    <row r="7339">
      <c r="C7339" s="277"/>
      <c r="M7339" s="277"/>
      <c r="O7339" s="247"/>
      <c r="AC7339" s="247"/>
      <c r="AT7339" s="247"/>
    </row>
    <row r="7340">
      <c r="C7340" s="277"/>
      <c r="M7340" s="277"/>
      <c r="O7340" s="247"/>
      <c r="AC7340" s="247"/>
      <c r="AT7340" s="247"/>
    </row>
    <row r="7341">
      <c r="C7341" s="277"/>
      <c r="M7341" s="277"/>
      <c r="O7341" s="247"/>
      <c r="AC7341" s="247"/>
      <c r="AT7341" s="247"/>
    </row>
    <row r="7342">
      <c r="C7342" s="277"/>
      <c r="M7342" s="277"/>
      <c r="O7342" s="247"/>
      <c r="AC7342" s="247"/>
      <c r="AT7342" s="247"/>
    </row>
    <row r="7343">
      <c r="C7343" s="277"/>
      <c r="M7343" s="277"/>
      <c r="O7343" s="247"/>
      <c r="AC7343" s="247"/>
      <c r="AT7343" s="247"/>
    </row>
    <row r="7344">
      <c r="C7344" s="277"/>
      <c r="M7344" s="277"/>
      <c r="O7344" s="247"/>
      <c r="AC7344" s="247"/>
      <c r="AT7344" s="247"/>
    </row>
    <row r="7345">
      <c r="C7345" s="277"/>
      <c r="M7345" s="277"/>
      <c r="O7345" s="247"/>
      <c r="AC7345" s="247"/>
      <c r="AT7345" s="247"/>
    </row>
    <row r="7346">
      <c r="C7346" s="277"/>
      <c r="M7346" s="277"/>
      <c r="O7346" s="247"/>
      <c r="AC7346" s="247"/>
      <c r="AT7346" s="247"/>
    </row>
    <row r="7347">
      <c r="C7347" s="277"/>
      <c r="M7347" s="277"/>
      <c r="O7347" s="247"/>
      <c r="AC7347" s="247"/>
      <c r="AT7347" s="247"/>
    </row>
    <row r="7348">
      <c r="C7348" s="277"/>
      <c r="M7348" s="277"/>
      <c r="O7348" s="247"/>
      <c r="AC7348" s="247"/>
      <c r="AT7348" s="247"/>
    </row>
    <row r="7349">
      <c r="C7349" s="277"/>
      <c r="M7349" s="277"/>
      <c r="O7349" s="247"/>
      <c r="AC7349" s="247"/>
      <c r="AT7349" s="247"/>
    </row>
    <row r="7350">
      <c r="C7350" s="277"/>
      <c r="M7350" s="277"/>
      <c r="O7350" s="247"/>
      <c r="AC7350" s="247"/>
      <c r="AT7350" s="247"/>
    </row>
    <row r="7351">
      <c r="C7351" s="277"/>
      <c r="M7351" s="277"/>
      <c r="O7351" s="247"/>
      <c r="AC7351" s="247"/>
      <c r="AT7351" s="247"/>
    </row>
    <row r="7352">
      <c r="C7352" s="277"/>
      <c r="M7352" s="277"/>
      <c r="O7352" s="247"/>
      <c r="AC7352" s="247"/>
      <c r="AT7352" s="247"/>
    </row>
    <row r="7353">
      <c r="C7353" s="277"/>
      <c r="M7353" s="277"/>
      <c r="O7353" s="247"/>
      <c r="AC7353" s="247"/>
      <c r="AT7353" s="247"/>
    </row>
    <row r="7354">
      <c r="C7354" s="277"/>
      <c r="M7354" s="277"/>
      <c r="O7354" s="247"/>
      <c r="AC7354" s="247"/>
      <c r="AT7354" s="247"/>
    </row>
    <row r="7355">
      <c r="C7355" s="277"/>
      <c r="M7355" s="277"/>
      <c r="O7355" s="247"/>
      <c r="AC7355" s="247"/>
      <c r="AT7355" s="247"/>
    </row>
    <row r="7356">
      <c r="C7356" s="277"/>
      <c r="M7356" s="277"/>
      <c r="O7356" s="247"/>
      <c r="AC7356" s="247"/>
      <c r="AT7356" s="247"/>
    </row>
    <row r="7357">
      <c r="C7357" s="277"/>
      <c r="M7357" s="277"/>
      <c r="O7357" s="247"/>
      <c r="AC7357" s="247"/>
      <c r="AT7357" s="247"/>
    </row>
    <row r="7358">
      <c r="C7358" s="277"/>
      <c r="M7358" s="277"/>
      <c r="O7358" s="247"/>
      <c r="AC7358" s="247"/>
      <c r="AT7358" s="247"/>
    </row>
    <row r="7359">
      <c r="C7359" s="277"/>
      <c r="M7359" s="277"/>
      <c r="O7359" s="247"/>
      <c r="AC7359" s="247"/>
      <c r="AT7359" s="247"/>
    </row>
    <row r="7360">
      <c r="C7360" s="277"/>
      <c r="M7360" s="277"/>
      <c r="O7360" s="247"/>
      <c r="AC7360" s="247"/>
      <c r="AT7360" s="247"/>
    </row>
    <row r="7361">
      <c r="C7361" s="277"/>
      <c r="M7361" s="277"/>
      <c r="O7361" s="247"/>
      <c r="AC7361" s="247"/>
      <c r="AT7361" s="247"/>
    </row>
    <row r="7362">
      <c r="C7362" s="277"/>
      <c r="M7362" s="277"/>
      <c r="O7362" s="247"/>
      <c r="AC7362" s="247"/>
      <c r="AT7362" s="247"/>
    </row>
    <row r="7363">
      <c r="C7363" s="277"/>
      <c r="M7363" s="277"/>
      <c r="O7363" s="247"/>
      <c r="AC7363" s="247"/>
      <c r="AT7363" s="247"/>
    </row>
    <row r="7364">
      <c r="C7364" s="277"/>
      <c r="M7364" s="277"/>
      <c r="O7364" s="247"/>
      <c r="AC7364" s="247"/>
      <c r="AT7364" s="247"/>
    </row>
    <row r="7365">
      <c r="C7365" s="277"/>
      <c r="M7365" s="277"/>
      <c r="O7365" s="247"/>
      <c r="AC7365" s="247"/>
      <c r="AT7365" s="247"/>
    </row>
    <row r="7366">
      <c r="C7366" s="277"/>
      <c r="M7366" s="277"/>
      <c r="O7366" s="247"/>
      <c r="AC7366" s="247"/>
      <c r="AT7366" s="247"/>
    </row>
    <row r="7367">
      <c r="C7367" s="277"/>
      <c r="M7367" s="277"/>
      <c r="O7367" s="247"/>
      <c r="AC7367" s="247"/>
      <c r="AT7367" s="247"/>
    </row>
    <row r="7368">
      <c r="C7368" s="277"/>
      <c r="M7368" s="277"/>
      <c r="O7368" s="247"/>
      <c r="AC7368" s="247"/>
      <c r="AT7368" s="247"/>
    </row>
    <row r="7369">
      <c r="C7369" s="277"/>
      <c r="M7369" s="277"/>
      <c r="O7369" s="247"/>
      <c r="AC7369" s="247"/>
      <c r="AT7369" s="247"/>
    </row>
    <row r="7370">
      <c r="C7370" s="277"/>
      <c r="M7370" s="277"/>
      <c r="O7370" s="247"/>
      <c r="AC7370" s="247"/>
      <c r="AT7370" s="247"/>
    </row>
    <row r="7371">
      <c r="C7371" s="277"/>
      <c r="M7371" s="277"/>
      <c r="O7371" s="247"/>
      <c r="AC7371" s="247"/>
      <c r="AT7371" s="247"/>
    </row>
    <row r="7372">
      <c r="C7372" s="277"/>
      <c r="M7372" s="277"/>
      <c r="O7372" s="247"/>
      <c r="AC7372" s="247"/>
      <c r="AT7372" s="247"/>
    </row>
    <row r="7373">
      <c r="C7373" s="277"/>
      <c r="M7373" s="277"/>
      <c r="O7373" s="247"/>
      <c r="AC7373" s="247"/>
      <c r="AT7373" s="247"/>
    </row>
    <row r="7374">
      <c r="C7374" s="277"/>
      <c r="M7374" s="277"/>
      <c r="O7374" s="247"/>
      <c r="AC7374" s="247"/>
      <c r="AT7374" s="247"/>
    </row>
    <row r="7375">
      <c r="C7375" s="277"/>
      <c r="M7375" s="277"/>
      <c r="O7375" s="247"/>
      <c r="AC7375" s="247"/>
      <c r="AT7375" s="247"/>
    </row>
    <row r="7376">
      <c r="C7376" s="277"/>
      <c r="M7376" s="277"/>
      <c r="O7376" s="247"/>
      <c r="AC7376" s="247"/>
      <c r="AT7376" s="247"/>
    </row>
    <row r="7377">
      <c r="C7377" s="277"/>
      <c r="M7377" s="277"/>
      <c r="O7377" s="247"/>
      <c r="AC7377" s="247"/>
      <c r="AT7377" s="247"/>
    </row>
    <row r="7378">
      <c r="C7378" s="277"/>
      <c r="M7378" s="277"/>
      <c r="O7378" s="247"/>
      <c r="AC7378" s="247"/>
      <c r="AT7378" s="247"/>
    </row>
    <row r="7379">
      <c r="C7379" s="277"/>
      <c r="M7379" s="277"/>
      <c r="O7379" s="247"/>
      <c r="AC7379" s="247"/>
      <c r="AT7379" s="247"/>
    </row>
    <row r="7380">
      <c r="C7380" s="277"/>
      <c r="M7380" s="277"/>
      <c r="O7380" s="247"/>
      <c r="AC7380" s="247"/>
      <c r="AT7380" s="247"/>
    </row>
    <row r="7381">
      <c r="C7381" s="277"/>
      <c r="M7381" s="277"/>
      <c r="O7381" s="247"/>
      <c r="AC7381" s="247"/>
      <c r="AT7381" s="247"/>
    </row>
    <row r="7382">
      <c r="C7382" s="277"/>
      <c r="M7382" s="277"/>
      <c r="O7382" s="247"/>
      <c r="AC7382" s="247"/>
      <c r="AT7382" s="247"/>
    </row>
    <row r="7383">
      <c r="C7383" s="277"/>
      <c r="M7383" s="277"/>
      <c r="O7383" s="247"/>
      <c r="AC7383" s="247"/>
      <c r="AT7383" s="247"/>
    </row>
    <row r="7384">
      <c r="C7384" s="277"/>
      <c r="M7384" s="277"/>
      <c r="O7384" s="247"/>
      <c r="AC7384" s="247"/>
      <c r="AT7384" s="247"/>
    </row>
    <row r="7385">
      <c r="C7385" s="277"/>
      <c r="M7385" s="277"/>
      <c r="O7385" s="247"/>
      <c r="AC7385" s="247"/>
      <c r="AT7385" s="247"/>
    </row>
    <row r="7386">
      <c r="C7386" s="277"/>
      <c r="M7386" s="277"/>
      <c r="O7386" s="247"/>
      <c r="AC7386" s="247"/>
      <c r="AT7386" s="247"/>
    </row>
    <row r="7387">
      <c r="C7387" s="277"/>
      <c r="M7387" s="277"/>
      <c r="O7387" s="247"/>
      <c r="AC7387" s="247"/>
      <c r="AT7387" s="247"/>
    </row>
    <row r="7388">
      <c r="C7388" s="277"/>
      <c r="M7388" s="277"/>
      <c r="O7388" s="247"/>
      <c r="AC7388" s="247"/>
      <c r="AT7388" s="247"/>
    </row>
    <row r="7389">
      <c r="C7389" s="277"/>
      <c r="M7389" s="277"/>
      <c r="O7389" s="247"/>
      <c r="AC7389" s="247"/>
      <c r="AT7389" s="247"/>
    </row>
    <row r="7390">
      <c r="C7390" s="277"/>
      <c r="M7390" s="277"/>
      <c r="O7390" s="247"/>
      <c r="AC7390" s="247"/>
      <c r="AT7390" s="247"/>
    </row>
    <row r="7391">
      <c r="C7391" s="277"/>
      <c r="M7391" s="277"/>
      <c r="O7391" s="247"/>
      <c r="AC7391" s="247"/>
      <c r="AT7391" s="247"/>
    </row>
    <row r="7392">
      <c r="C7392" s="277"/>
      <c r="M7392" s="277"/>
      <c r="O7392" s="247"/>
      <c r="AC7392" s="247"/>
      <c r="AT7392" s="247"/>
    </row>
    <row r="7393">
      <c r="C7393" s="277"/>
      <c r="M7393" s="277"/>
      <c r="O7393" s="247"/>
      <c r="AC7393" s="247"/>
      <c r="AT7393" s="247"/>
    </row>
    <row r="7394">
      <c r="C7394" s="277"/>
      <c r="M7394" s="277"/>
      <c r="O7394" s="247"/>
      <c r="AC7394" s="247"/>
      <c r="AT7394" s="247"/>
    </row>
    <row r="7395">
      <c r="C7395" s="277"/>
      <c r="M7395" s="277"/>
      <c r="O7395" s="247"/>
      <c r="AC7395" s="247"/>
      <c r="AT7395" s="247"/>
    </row>
    <row r="7396">
      <c r="C7396" s="277"/>
      <c r="M7396" s="277"/>
      <c r="O7396" s="247"/>
      <c r="AC7396" s="247"/>
      <c r="AT7396" s="247"/>
    </row>
    <row r="7397">
      <c r="C7397" s="277"/>
      <c r="M7397" s="277"/>
      <c r="O7397" s="247"/>
      <c r="AC7397" s="247"/>
      <c r="AT7397" s="247"/>
    </row>
    <row r="7398">
      <c r="C7398" s="277"/>
      <c r="M7398" s="277"/>
      <c r="O7398" s="247"/>
      <c r="AC7398" s="247"/>
      <c r="AT7398" s="247"/>
    </row>
    <row r="7399">
      <c r="C7399" s="277"/>
      <c r="M7399" s="277"/>
      <c r="O7399" s="247"/>
      <c r="AC7399" s="247"/>
      <c r="AT7399" s="247"/>
    </row>
    <row r="7400">
      <c r="C7400" s="277"/>
      <c r="M7400" s="277"/>
      <c r="O7400" s="247"/>
      <c r="AC7400" s="247"/>
      <c r="AT7400" s="247"/>
    </row>
    <row r="7401">
      <c r="C7401" s="277"/>
      <c r="M7401" s="277"/>
      <c r="O7401" s="247"/>
      <c r="AC7401" s="247"/>
      <c r="AT7401" s="247"/>
    </row>
    <row r="7402">
      <c r="C7402" s="277"/>
      <c r="M7402" s="277"/>
      <c r="O7402" s="247"/>
      <c r="AC7402" s="247"/>
      <c r="AT7402" s="247"/>
    </row>
    <row r="7403">
      <c r="C7403" s="277"/>
      <c r="M7403" s="277"/>
      <c r="O7403" s="247"/>
      <c r="AC7403" s="247"/>
      <c r="AT7403" s="247"/>
    </row>
    <row r="7404">
      <c r="C7404" s="277"/>
      <c r="M7404" s="277"/>
      <c r="O7404" s="247"/>
      <c r="AC7404" s="247"/>
      <c r="AT7404" s="247"/>
    </row>
    <row r="7405">
      <c r="C7405" s="277"/>
      <c r="M7405" s="277"/>
      <c r="O7405" s="247"/>
      <c r="AC7405" s="247"/>
      <c r="AT7405" s="247"/>
    </row>
    <row r="7406">
      <c r="C7406" s="277"/>
      <c r="M7406" s="277"/>
      <c r="O7406" s="247"/>
      <c r="AC7406" s="247"/>
      <c r="AT7406" s="247"/>
    </row>
    <row r="7407">
      <c r="C7407" s="277"/>
      <c r="M7407" s="277"/>
      <c r="O7407" s="247"/>
      <c r="AC7407" s="247"/>
      <c r="AT7407" s="247"/>
    </row>
    <row r="7408">
      <c r="C7408" s="277"/>
      <c r="M7408" s="277"/>
      <c r="O7408" s="247"/>
      <c r="AC7408" s="247"/>
      <c r="AT7408" s="247"/>
    </row>
    <row r="7409">
      <c r="C7409" s="277"/>
      <c r="M7409" s="277"/>
      <c r="O7409" s="247"/>
      <c r="AC7409" s="247"/>
      <c r="AT7409" s="247"/>
    </row>
    <row r="7410">
      <c r="C7410" s="277"/>
      <c r="M7410" s="277"/>
      <c r="O7410" s="247"/>
      <c r="AC7410" s="247"/>
      <c r="AT7410" s="247"/>
    </row>
    <row r="7411">
      <c r="C7411" s="277"/>
      <c r="M7411" s="277"/>
      <c r="O7411" s="247"/>
      <c r="AC7411" s="247"/>
      <c r="AT7411" s="247"/>
    </row>
    <row r="7412">
      <c r="C7412" s="277"/>
      <c r="M7412" s="277"/>
      <c r="O7412" s="247"/>
      <c r="AC7412" s="247"/>
      <c r="AT7412" s="247"/>
    </row>
    <row r="7413">
      <c r="C7413" s="277"/>
      <c r="M7413" s="277"/>
      <c r="O7413" s="247"/>
      <c r="AC7413" s="247"/>
      <c r="AT7413" s="247"/>
    </row>
    <row r="7414">
      <c r="C7414" s="277"/>
      <c r="M7414" s="277"/>
      <c r="O7414" s="247"/>
      <c r="AC7414" s="247"/>
      <c r="AT7414" s="247"/>
    </row>
    <row r="7415">
      <c r="C7415" s="277"/>
      <c r="M7415" s="277"/>
      <c r="O7415" s="247"/>
      <c r="AC7415" s="247"/>
      <c r="AT7415" s="247"/>
    </row>
    <row r="7416">
      <c r="C7416" s="277"/>
      <c r="M7416" s="277"/>
      <c r="O7416" s="247"/>
      <c r="AC7416" s="247"/>
      <c r="AT7416" s="247"/>
    </row>
    <row r="7417">
      <c r="C7417" s="277"/>
      <c r="M7417" s="277"/>
      <c r="O7417" s="247"/>
      <c r="AC7417" s="247"/>
      <c r="AT7417" s="247"/>
    </row>
    <row r="7418">
      <c r="C7418" s="277"/>
      <c r="M7418" s="277"/>
      <c r="O7418" s="247"/>
      <c r="AC7418" s="247"/>
      <c r="AT7418" s="247"/>
    </row>
    <row r="7419">
      <c r="C7419" s="277"/>
      <c r="M7419" s="277"/>
      <c r="O7419" s="247"/>
      <c r="AC7419" s="247"/>
      <c r="AT7419" s="247"/>
    </row>
    <row r="7420">
      <c r="C7420" s="277"/>
      <c r="M7420" s="277"/>
      <c r="O7420" s="247"/>
      <c r="AC7420" s="247"/>
      <c r="AT7420" s="247"/>
    </row>
    <row r="7421">
      <c r="C7421" s="277"/>
      <c r="M7421" s="277"/>
      <c r="O7421" s="247"/>
      <c r="AC7421" s="247"/>
      <c r="AT7421" s="247"/>
    </row>
    <row r="7422">
      <c r="C7422" s="277"/>
      <c r="M7422" s="277"/>
      <c r="O7422" s="247"/>
      <c r="AC7422" s="247"/>
      <c r="AT7422" s="247"/>
    </row>
    <row r="7423">
      <c r="C7423" s="277"/>
      <c r="M7423" s="277"/>
      <c r="O7423" s="247"/>
      <c r="AC7423" s="247"/>
      <c r="AT7423" s="247"/>
    </row>
    <row r="7424">
      <c r="C7424" s="277"/>
      <c r="M7424" s="277"/>
      <c r="O7424" s="247"/>
      <c r="AC7424" s="247"/>
      <c r="AT7424" s="247"/>
    </row>
    <row r="7425">
      <c r="C7425" s="277"/>
      <c r="M7425" s="277"/>
      <c r="O7425" s="247"/>
      <c r="AC7425" s="247"/>
      <c r="AT7425" s="247"/>
    </row>
    <row r="7426">
      <c r="C7426" s="277"/>
      <c r="M7426" s="277"/>
      <c r="O7426" s="247"/>
      <c r="AC7426" s="247"/>
      <c r="AT7426" s="247"/>
    </row>
    <row r="7427">
      <c r="C7427" s="277"/>
      <c r="M7427" s="277"/>
      <c r="O7427" s="247"/>
      <c r="AC7427" s="247"/>
      <c r="AT7427" s="247"/>
    </row>
    <row r="7428">
      <c r="C7428" s="277"/>
      <c r="M7428" s="277"/>
      <c r="O7428" s="247"/>
      <c r="AC7428" s="247"/>
      <c r="AT7428" s="247"/>
    </row>
    <row r="7429">
      <c r="C7429" s="277"/>
      <c r="M7429" s="277"/>
      <c r="O7429" s="247"/>
      <c r="AC7429" s="247"/>
      <c r="AT7429" s="247"/>
    </row>
    <row r="7430">
      <c r="C7430" s="277"/>
      <c r="M7430" s="277"/>
      <c r="O7430" s="247"/>
      <c r="AC7430" s="247"/>
      <c r="AT7430" s="247"/>
    </row>
    <row r="7431">
      <c r="C7431" s="277"/>
      <c r="M7431" s="277"/>
      <c r="O7431" s="247"/>
      <c r="AC7431" s="247"/>
      <c r="AT7431" s="247"/>
    </row>
    <row r="7432">
      <c r="C7432" s="277"/>
      <c r="M7432" s="277"/>
      <c r="O7432" s="247"/>
      <c r="AC7432" s="247"/>
      <c r="AT7432" s="247"/>
    </row>
    <row r="7433">
      <c r="C7433" s="277"/>
      <c r="M7433" s="277"/>
      <c r="O7433" s="247"/>
      <c r="AC7433" s="247"/>
      <c r="AT7433" s="247"/>
    </row>
    <row r="7434">
      <c r="C7434" s="277"/>
      <c r="M7434" s="277"/>
      <c r="O7434" s="247"/>
      <c r="AC7434" s="247"/>
      <c r="AT7434" s="247"/>
    </row>
    <row r="7435">
      <c r="C7435" s="277"/>
      <c r="M7435" s="277"/>
      <c r="O7435" s="247"/>
      <c r="AC7435" s="247"/>
      <c r="AT7435" s="247"/>
    </row>
    <row r="7436">
      <c r="C7436" s="277"/>
      <c r="M7436" s="277"/>
      <c r="O7436" s="247"/>
      <c r="AC7436" s="247"/>
      <c r="AT7436" s="247"/>
    </row>
    <row r="7437">
      <c r="C7437" s="277"/>
      <c r="M7437" s="277"/>
      <c r="O7437" s="247"/>
      <c r="AC7437" s="247"/>
      <c r="AT7437" s="247"/>
    </row>
    <row r="7438">
      <c r="C7438" s="277"/>
      <c r="M7438" s="277"/>
      <c r="O7438" s="247"/>
      <c r="AC7438" s="247"/>
      <c r="AT7438" s="247"/>
    </row>
    <row r="7439">
      <c r="C7439" s="277"/>
      <c r="M7439" s="277"/>
      <c r="O7439" s="247"/>
      <c r="AC7439" s="247"/>
      <c r="AT7439" s="247"/>
    </row>
    <row r="7440">
      <c r="C7440" s="277"/>
      <c r="M7440" s="277"/>
      <c r="O7440" s="247"/>
      <c r="AC7440" s="247"/>
      <c r="AT7440" s="247"/>
    </row>
    <row r="7441">
      <c r="C7441" s="277"/>
      <c r="M7441" s="277"/>
      <c r="O7441" s="247"/>
      <c r="AC7441" s="247"/>
      <c r="AT7441" s="247"/>
    </row>
    <row r="7442">
      <c r="C7442" s="277"/>
      <c r="M7442" s="277"/>
      <c r="O7442" s="247"/>
      <c r="AC7442" s="247"/>
      <c r="AT7442" s="247"/>
    </row>
    <row r="7443">
      <c r="C7443" s="277"/>
      <c r="M7443" s="277"/>
      <c r="O7443" s="247"/>
      <c r="AC7443" s="247"/>
      <c r="AT7443" s="247"/>
    </row>
    <row r="7444">
      <c r="C7444" s="277"/>
      <c r="M7444" s="277"/>
      <c r="O7444" s="247"/>
      <c r="AC7444" s="247"/>
      <c r="AT7444" s="247"/>
    </row>
    <row r="7445">
      <c r="C7445" s="277"/>
      <c r="M7445" s="277"/>
      <c r="O7445" s="247"/>
      <c r="AC7445" s="247"/>
      <c r="AT7445" s="247"/>
    </row>
    <row r="7446">
      <c r="C7446" s="277"/>
      <c r="M7446" s="277"/>
      <c r="O7446" s="247"/>
      <c r="AC7446" s="247"/>
      <c r="AT7446" s="247"/>
    </row>
    <row r="7447">
      <c r="C7447" s="277"/>
      <c r="M7447" s="277"/>
      <c r="O7447" s="247"/>
      <c r="AC7447" s="247"/>
      <c r="AT7447" s="247"/>
    </row>
    <row r="7448">
      <c r="C7448" s="277"/>
      <c r="M7448" s="277"/>
      <c r="O7448" s="247"/>
      <c r="AC7448" s="247"/>
      <c r="AT7448" s="247"/>
    </row>
    <row r="7449">
      <c r="C7449" s="277"/>
      <c r="M7449" s="277"/>
      <c r="O7449" s="247"/>
      <c r="AC7449" s="247"/>
      <c r="AT7449" s="247"/>
    </row>
    <row r="7450">
      <c r="C7450" s="277"/>
      <c r="M7450" s="277"/>
      <c r="O7450" s="247"/>
      <c r="AC7450" s="247"/>
      <c r="AT7450" s="247"/>
    </row>
    <row r="7451">
      <c r="C7451" s="277"/>
      <c r="M7451" s="277"/>
      <c r="O7451" s="247"/>
      <c r="AC7451" s="247"/>
      <c r="AT7451" s="247"/>
    </row>
    <row r="7452">
      <c r="C7452" s="277"/>
      <c r="M7452" s="277"/>
      <c r="O7452" s="247"/>
      <c r="AC7452" s="247"/>
      <c r="AT7452" s="247"/>
    </row>
    <row r="7453">
      <c r="C7453" s="277"/>
      <c r="M7453" s="277"/>
      <c r="O7453" s="247"/>
      <c r="AC7453" s="247"/>
      <c r="AT7453" s="247"/>
    </row>
    <row r="7454">
      <c r="C7454" s="277"/>
      <c r="M7454" s="277"/>
      <c r="O7454" s="247"/>
      <c r="AC7454" s="247"/>
      <c r="AT7454" s="247"/>
    </row>
    <row r="7455">
      <c r="C7455" s="277"/>
      <c r="M7455" s="277"/>
      <c r="O7455" s="247"/>
      <c r="AC7455" s="247"/>
      <c r="AT7455" s="247"/>
    </row>
    <row r="7456">
      <c r="C7456" s="277"/>
      <c r="M7456" s="277"/>
      <c r="O7456" s="247"/>
      <c r="AC7456" s="247"/>
      <c r="AT7456" s="247"/>
    </row>
    <row r="7457">
      <c r="C7457" s="277"/>
      <c r="M7457" s="277"/>
      <c r="O7457" s="247"/>
      <c r="AC7457" s="247"/>
      <c r="AT7457" s="247"/>
    </row>
    <row r="7458">
      <c r="C7458" s="277"/>
      <c r="M7458" s="277"/>
      <c r="O7458" s="247"/>
      <c r="AC7458" s="247"/>
      <c r="AT7458" s="247"/>
    </row>
    <row r="7459">
      <c r="C7459" s="277"/>
      <c r="M7459" s="277"/>
      <c r="O7459" s="247"/>
      <c r="AC7459" s="247"/>
      <c r="AT7459" s="247"/>
    </row>
    <row r="7460">
      <c r="C7460" s="277"/>
      <c r="M7460" s="277"/>
      <c r="O7460" s="247"/>
      <c r="AC7460" s="247"/>
      <c r="AT7460" s="247"/>
    </row>
    <row r="7461">
      <c r="C7461" s="277"/>
      <c r="M7461" s="277"/>
      <c r="O7461" s="247"/>
      <c r="AC7461" s="247"/>
      <c r="AT7461" s="247"/>
    </row>
    <row r="7462">
      <c r="C7462" s="277"/>
      <c r="M7462" s="277"/>
      <c r="O7462" s="247"/>
      <c r="AC7462" s="247"/>
      <c r="AT7462" s="247"/>
    </row>
    <row r="7463">
      <c r="C7463" s="277"/>
      <c r="M7463" s="277"/>
      <c r="O7463" s="247"/>
      <c r="AC7463" s="247"/>
      <c r="AT7463" s="247"/>
    </row>
    <row r="7464">
      <c r="C7464" s="277"/>
      <c r="M7464" s="277"/>
      <c r="O7464" s="247"/>
      <c r="AC7464" s="247"/>
      <c r="AT7464" s="247"/>
    </row>
    <row r="7465">
      <c r="C7465" s="277"/>
      <c r="M7465" s="277"/>
      <c r="O7465" s="247"/>
      <c r="AC7465" s="247"/>
      <c r="AT7465" s="247"/>
    </row>
    <row r="7466">
      <c r="C7466" s="277"/>
      <c r="M7466" s="277"/>
      <c r="O7466" s="247"/>
      <c r="AC7466" s="247"/>
      <c r="AT7466" s="247"/>
    </row>
    <row r="7467">
      <c r="C7467" s="277"/>
      <c r="M7467" s="277"/>
      <c r="O7467" s="247"/>
      <c r="AC7467" s="247"/>
      <c r="AT7467" s="247"/>
    </row>
    <row r="7468">
      <c r="C7468" s="277"/>
      <c r="M7468" s="277"/>
      <c r="O7468" s="247"/>
      <c r="AC7468" s="247"/>
      <c r="AT7468" s="247"/>
    </row>
    <row r="7469">
      <c r="C7469" s="277"/>
      <c r="M7469" s="277"/>
      <c r="O7469" s="247"/>
      <c r="AC7469" s="247"/>
      <c r="AT7469" s="247"/>
    </row>
    <row r="7470">
      <c r="C7470" s="277"/>
      <c r="M7470" s="277"/>
      <c r="O7470" s="247"/>
      <c r="AC7470" s="247"/>
      <c r="AT7470" s="247"/>
    </row>
    <row r="7471">
      <c r="C7471" s="277"/>
      <c r="M7471" s="277"/>
      <c r="O7471" s="247"/>
      <c r="AC7471" s="247"/>
      <c r="AT7471" s="247"/>
    </row>
    <row r="7472">
      <c r="C7472" s="277"/>
      <c r="M7472" s="277"/>
      <c r="O7472" s="247"/>
      <c r="AC7472" s="247"/>
      <c r="AT7472" s="247"/>
    </row>
    <row r="7473">
      <c r="C7473" s="277"/>
      <c r="M7473" s="277"/>
      <c r="O7473" s="247"/>
      <c r="AC7473" s="247"/>
      <c r="AT7473" s="247"/>
    </row>
    <row r="7474">
      <c r="C7474" s="277"/>
      <c r="M7474" s="277"/>
      <c r="O7474" s="247"/>
      <c r="AC7474" s="247"/>
      <c r="AT7474" s="247"/>
    </row>
    <row r="7475">
      <c r="C7475" s="277"/>
      <c r="M7475" s="277"/>
      <c r="O7475" s="247"/>
      <c r="AC7475" s="247"/>
      <c r="AT7475" s="247"/>
    </row>
    <row r="7476">
      <c r="C7476" s="277"/>
      <c r="M7476" s="277"/>
      <c r="O7476" s="247"/>
      <c r="AC7476" s="247"/>
      <c r="AT7476" s="247"/>
    </row>
    <row r="7477">
      <c r="C7477" s="277"/>
      <c r="M7477" s="277"/>
      <c r="O7477" s="247"/>
      <c r="AC7477" s="247"/>
      <c r="AT7477" s="247"/>
    </row>
    <row r="7478">
      <c r="C7478" s="277"/>
      <c r="M7478" s="277"/>
      <c r="O7478" s="247"/>
      <c r="AC7478" s="247"/>
      <c r="AT7478" s="247"/>
    </row>
    <row r="7479">
      <c r="C7479" s="277"/>
      <c r="M7479" s="277"/>
      <c r="O7479" s="247"/>
      <c r="AC7479" s="247"/>
      <c r="AT7479" s="247"/>
    </row>
    <row r="7480">
      <c r="C7480" s="277"/>
      <c r="M7480" s="277"/>
      <c r="O7480" s="247"/>
      <c r="AC7480" s="247"/>
      <c r="AT7480" s="247"/>
    </row>
    <row r="7481">
      <c r="C7481" s="277"/>
      <c r="M7481" s="277"/>
      <c r="O7481" s="247"/>
      <c r="AC7481" s="247"/>
      <c r="AT7481" s="247"/>
    </row>
    <row r="7482">
      <c r="C7482" s="277"/>
      <c r="M7482" s="277"/>
      <c r="O7482" s="247"/>
      <c r="AC7482" s="247"/>
      <c r="AT7482" s="247"/>
    </row>
    <row r="7483">
      <c r="C7483" s="277"/>
      <c r="M7483" s="277"/>
      <c r="O7483" s="247"/>
      <c r="AC7483" s="247"/>
      <c r="AT7483" s="247"/>
    </row>
    <row r="7484">
      <c r="C7484" s="277"/>
      <c r="M7484" s="277"/>
      <c r="O7484" s="247"/>
      <c r="AC7484" s="247"/>
      <c r="AT7484" s="247"/>
    </row>
    <row r="7485">
      <c r="C7485" s="277"/>
      <c r="M7485" s="277"/>
      <c r="O7485" s="247"/>
      <c r="AC7485" s="247"/>
      <c r="AT7485" s="247"/>
    </row>
    <row r="7486">
      <c r="C7486" s="277"/>
      <c r="M7486" s="277"/>
      <c r="O7486" s="247"/>
      <c r="AC7486" s="247"/>
      <c r="AT7486" s="247"/>
    </row>
    <row r="7487">
      <c r="C7487" s="277"/>
      <c r="M7487" s="277"/>
      <c r="O7487" s="247"/>
      <c r="AC7487" s="247"/>
      <c r="AT7487" s="247"/>
    </row>
    <row r="7488">
      <c r="C7488" s="277"/>
      <c r="M7488" s="277"/>
      <c r="O7488" s="247"/>
      <c r="AC7488" s="247"/>
      <c r="AT7488" s="247"/>
    </row>
    <row r="7489">
      <c r="C7489" s="277"/>
      <c r="M7489" s="277"/>
      <c r="O7489" s="247"/>
      <c r="AC7489" s="247"/>
      <c r="AT7489" s="247"/>
    </row>
    <row r="7490">
      <c r="C7490" s="277"/>
      <c r="M7490" s="277"/>
      <c r="O7490" s="247"/>
      <c r="AC7490" s="247"/>
      <c r="AT7490" s="247"/>
    </row>
    <row r="7491">
      <c r="C7491" s="277"/>
      <c r="M7491" s="277"/>
      <c r="O7491" s="247"/>
      <c r="AC7491" s="247"/>
      <c r="AT7491" s="247"/>
    </row>
    <row r="7492">
      <c r="C7492" s="277"/>
      <c r="M7492" s="277"/>
      <c r="O7492" s="247"/>
      <c r="AC7492" s="247"/>
      <c r="AT7492" s="247"/>
    </row>
    <row r="7493">
      <c r="C7493" s="277"/>
      <c r="M7493" s="277"/>
      <c r="O7493" s="247"/>
      <c r="AC7493" s="247"/>
      <c r="AT7493" s="247"/>
    </row>
    <row r="7494">
      <c r="C7494" s="277"/>
      <c r="M7494" s="277"/>
      <c r="O7494" s="247"/>
      <c r="AC7494" s="247"/>
      <c r="AT7494" s="247"/>
    </row>
    <row r="7495">
      <c r="C7495" s="277"/>
      <c r="M7495" s="277"/>
      <c r="O7495" s="247"/>
      <c r="AC7495" s="247"/>
      <c r="AT7495" s="247"/>
    </row>
    <row r="7496">
      <c r="C7496" s="277"/>
      <c r="M7496" s="277"/>
      <c r="O7496" s="247"/>
      <c r="AC7496" s="247"/>
      <c r="AT7496" s="247"/>
    </row>
    <row r="7497">
      <c r="C7497" s="277"/>
      <c r="M7497" s="277"/>
      <c r="O7497" s="247"/>
      <c r="AC7497" s="247"/>
      <c r="AT7497" s="247"/>
    </row>
    <row r="7498">
      <c r="C7498" s="277"/>
      <c r="M7498" s="277"/>
      <c r="O7498" s="247"/>
      <c r="AC7498" s="247"/>
      <c r="AT7498" s="247"/>
    </row>
    <row r="7499">
      <c r="C7499" s="277"/>
      <c r="M7499" s="277"/>
      <c r="O7499" s="247"/>
      <c r="AC7499" s="247"/>
      <c r="AT7499" s="247"/>
    </row>
    <row r="7500">
      <c r="C7500" s="277"/>
      <c r="M7500" s="277"/>
      <c r="O7500" s="247"/>
      <c r="AC7500" s="247"/>
      <c r="AT7500" s="247"/>
    </row>
    <row r="7501">
      <c r="C7501" s="277"/>
      <c r="M7501" s="277"/>
      <c r="O7501" s="247"/>
      <c r="AC7501" s="247"/>
      <c r="AT7501" s="247"/>
    </row>
    <row r="7502">
      <c r="C7502" s="277"/>
      <c r="M7502" s="277"/>
      <c r="O7502" s="247"/>
      <c r="AC7502" s="247"/>
      <c r="AT7502" s="247"/>
    </row>
    <row r="7503">
      <c r="C7503" s="277"/>
      <c r="M7503" s="277"/>
      <c r="O7503" s="247"/>
      <c r="AC7503" s="247"/>
      <c r="AT7503" s="247"/>
    </row>
    <row r="7504">
      <c r="C7504" s="277"/>
      <c r="M7504" s="277"/>
      <c r="O7504" s="247"/>
      <c r="AC7504" s="247"/>
      <c r="AT7504" s="247"/>
    </row>
    <row r="7505">
      <c r="C7505" s="277"/>
      <c r="M7505" s="277"/>
      <c r="O7505" s="247"/>
      <c r="AC7505" s="247"/>
      <c r="AT7505" s="247"/>
    </row>
    <row r="7506">
      <c r="C7506" s="277"/>
      <c r="M7506" s="277"/>
      <c r="O7506" s="247"/>
      <c r="AC7506" s="247"/>
      <c r="AT7506" s="247"/>
    </row>
    <row r="7507">
      <c r="C7507" s="277"/>
      <c r="M7507" s="277"/>
      <c r="O7507" s="247"/>
      <c r="AC7507" s="247"/>
      <c r="AT7507" s="247"/>
    </row>
    <row r="7508">
      <c r="C7508" s="277"/>
      <c r="M7508" s="277"/>
      <c r="O7508" s="247"/>
      <c r="AC7508" s="247"/>
      <c r="AT7508" s="247"/>
    </row>
    <row r="7509">
      <c r="C7509" s="277"/>
      <c r="M7509" s="277"/>
      <c r="O7509" s="247"/>
      <c r="AC7509" s="247"/>
      <c r="AT7509" s="247"/>
    </row>
    <row r="7510">
      <c r="C7510" s="277"/>
      <c r="M7510" s="277"/>
      <c r="O7510" s="247"/>
      <c r="AC7510" s="247"/>
      <c r="AT7510" s="247"/>
    </row>
    <row r="7511">
      <c r="C7511" s="277"/>
      <c r="M7511" s="277"/>
      <c r="O7511" s="247"/>
      <c r="AC7511" s="247"/>
      <c r="AT7511" s="247"/>
    </row>
    <row r="7512">
      <c r="C7512" s="277"/>
      <c r="M7512" s="277"/>
      <c r="O7512" s="247"/>
      <c r="AC7512" s="247"/>
      <c r="AT7512" s="247"/>
    </row>
    <row r="7513">
      <c r="C7513" s="277"/>
      <c r="M7513" s="277"/>
      <c r="O7513" s="247"/>
      <c r="AC7513" s="247"/>
      <c r="AT7513" s="247"/>
    </row>
    <row r="7514">
      <c r="C7514" s="277"/>
      <c r="M7514" s="277"/>
      <c r="O7514" s="247"/>
      <c r="AC7514" s="247"/>
      <c r="AT7514" s="247"/>
    </row>
    <row r="7515">
      <c r="C7515" s="277"/>
      <c r="M7515" s="277"/>
      <c r="O7515" s="247"/>
      <c r="AC7515" s="247"/>
      <c r="AT7515" s="247"/>
    </row>
    <row r="7516">
      <c r="C7516" s="277"/>
      <c r="M7516" s="277"/>
      <c r="O7516" s="247"/>
      <c r="AC7516" s="247"/>
      <c r="AT7516" s="247"/>
    </row>
    <row r="7517">
      <c r="C7517" s="277"/>
      <c r="M7517" s="277"/>
      <c r="O7517" s="247"/>
      <c r="AC7517" s="247"/>
      <c r="AT7517" s="247"/>
    </row>
    <row r="7518">
      <c r="C7518" s="277"/>
      <c r="M7518" s="277"/>
      <c r="O7518" s="247"/>
      <c r="AC7518" s="247"/>
      <c r="AT7518" s="247"/>
    </row>
    <row r="7519">
      <c r="C7519" s="277"/>
      <c r="M7519" s="277"/>
      <c r="O7519" s="247"/>
      <c r="AC7519" s="247"/>
      <c r="AT7519" s="247"/>
    </row>
    <row r="7520">
      <c r="C7520" s="277"/>
      <c r="M7520" s="277"/>
      <c r="O7520" s="247"/>
      <c r="AC7520" s="247"/>
      <c r="AT7520" s="247"/>
    </row>
    <row r="7521">
      <c r="C7521" s="277"/>
      <c r="M7521" s="277"/>
      <c r="O7521" s="247"/>
      <c r="AC7521" s="247"/>
      <c r="AT7521" s="247"/>
    </row>
    <row r="7522">
      <c r="C7522" s="277"/>
      <c r="M7522" s="277"/>
      <c r="O7522" s="247"/>
      <c r="AC7522" s="247"/>
      <c r="AT7522" s="247"/>
    </row>
    <row r="7523">
      <c r="C7523" s="277"/>
      <c r="M7523" s="277"/>
      <c r="O7523" s="247"/>
      <c r="AC7523" s="247"/>
      <c r="AT7523" s="247"/>
    </row>
    <row r="7524">
      <c r="C7524" s="277"/>
      <c r="M7524" s="277"/>
      <c r="O7524" s="247"/>
      <c r="AC7524" s="247"/>
      <c r="AT7524" s="247"/>
    </row>
    <row r="7525">
      <c r="C7525" s="277"/>
      <c r="M7525" s="277"/>
      <c r="O7525" s="247"/>
      <c r="AC7525" s="247"/>
      <c r="AT7525" s="247"/>
    </row>
    <row r="7526">
      <c r="C7526" s="277"/>
      <c r="M7526" s="277"/>
      <c r="O7526" s="247"/>
      <c r="AC7526" s="247"/>
      <c r="AT7526" s="247"/>
    </row>
    <row r="7527">
      <c r="C7527" s="277"/>
      <c r="M7527" s="277"/>
      <c r="O7527" s="247"/>
      <c r="AC7527" s="247"/>
      <c r="AT7527" s="247"/>
    </row>
    <row r="7528">
      <c r="C7528" s="277"/>
      <c r="M7528" s="277"/>
      <c r="O7528" s="247"/>
      <c r="AC7528" s="247"/>
      <c r="AT7528" s="247"/>
    </row>
    <row r="7529">
      <c r="C7529" s="277"/>
      <c r="M7529" s="277"/>
      <c r="O7529" s="247"/>
      <c r="AC7529" s="247"/>
      <c r="AT7529" s="247"/>
    </row>
    <row r="7530">
      <c r="C7530" s="277"/>
      <c r="M7530" s="277"/>
      <c r="O7530" s="247"/>
      <c r="AC7530" s="247"/>
      <c r="AT7530" s="247"/>
    </row>
    <row r="7531">
      <c r="C7531" s="277"/>
      <c r="M7531" s="277"/>
      <c r="O7531" s="247"/>
      <c r="AC7531" s="247"/>
      <c r="AT7531" s="247"/>
    </row>
    <row r="7532">
      <c r="C7532" s="277"/>
      <c r="M7532" s="277"/>
      <c r="O7532" s="247"/>
      <c r="AC7532" s="247"/>
      <c r="AT7532" s="247"/>
    </row>
    <row r="7533">
      <c r="C7533" s="277"/>
      <c r="M7533" s="277"/>
      <c r="O7533" s="247"/>
      <c r="AC7533" s="247"/>
      <c r="AT7533" s="247"/>
    </row>
    <row r="7534">
      <c r="C7534" s="277"/>
      <c r="M7534" s="277"/>
      <c r="O7534" s="247"/>
      <c r="AC7534" s="247"/>
      <c r="AT7534" s="247"/>
    </row>
    <row r="7535">
      <c r="C7535" s="277"/>
      <c r="M7535" s="277"/>
      <c r="O7535" s="247"/>
      <c r="AC7535" s="247"/>
      <c r="AT7535" s="247"/>
    </row>
    <row r="7536">
      <c r="C7536" s="277"/>
      <c r="M7536" s="277"/>
      <c r="O7536" s="247"/>
      <c r="AC7536" s="247"/>
      <c r="AT7536" s="247"/>
    </row>
    <row r="7537">
      <c r="C7537" s="277"/>
      <c r="M7537" s="277"/>
      <c r="O7537" s="247"/>
      <c r="AC7537" s="247"/>
      <c r="AT7537" s="247"/>
    </row>
    <row r="7538">
      <c r="C7538" s="277"/>
      <c r="M7538" s="277"/>
      <c r="O7538" s="247"/>
      <c r="AC7538" s="247"/>
      <c r="AT7538" s="247"/>
    </row>
    <row r="7539">
      <c r="C7539" s="277"/>
      <c r="M7539" s="277"/>
      <c r="O7539" s="247"/>
      <c r="AC7539" s="247"/>
      <c r="AT7539" s="247"/>
    </row>
    <row r="7540">
      <c r="C7540" s="277"/>
      <c r="M7540" s="277"/>
      <c r="O7540" s="247"/>
      <c r="AC7540" s="247"/>
      <c r="AT7540" s="247"/>
    </row>
    <row r="7541">
      <c r="C7541" s="277"/>
      <c r="M7541" s="277"/>
      <c r="O7541" s="247"/>
      <c r="AC7541" s="247"/>
      <c r="AT7541" s="247"/>
    </row>
    <row r="7542">
      <c r="C7542" s="277"/>
      <c r="M7542" s="277"/>
      <c r="O7542" s="247"/>
      <c r="AC7542" s="247"/>
      <c r="AT7542" s="247"/>
    </row>
    <row r="7543">
      <c r="C7543" s="277"/>
      <c r="M7543" s="277"/>
      <c r="O7543" s="247"/>
      <c r="AC7543" s="247"/>
      <c r="AT7543" s="247"/>
    </row>
    <row r="7544">
      <c r="C7544" s="277"/>
      <c r="M7544" s="277"/>
      <c r="O7544" s="247"/>
      <c r="AC7544" s="247"/>
      <c r="AT7544" s="247"/>
    </row>
    <row r="7545">
      <c r="C7545" s="277"/>
      <c r="M7545" s="277"/>
      <c r="O7545" s="247"/>
      <c r="AC7545" s="247"/>
      <c r="AT7545" s="247"/>
    </row>
    <row r="7546">
      <c r="C7546" s="277"/>
      <c r="M7546" s="277"/>
      <c r="O7546" s="247"/>
      <c r="AC7546" s="247"/>
      <c r="AT7546" s="247"/>
    </row>
    <row r="7547">
      <c r="C7547" s="277"/>
      <c r="M7547" s="277"/>
      <c r="O7547" s="247"/>
      <c r="AC7547" s="247"/>
      <c r="AT7547" s="247"/>
    </row>
    <row r="7548">
      <c r="C7548" s="277"/>
      <c r="M7548" s="277"/>
      <c r="O7548" s="247"/>
      <c r="AC7548" s="247"/>
      <c r="AT7548" s="247"/>
    </row>
    <row r="7549">
      <c r="C7549" s="277"/>
      <c r="M7549" s="277"/>
      <c r="O7549" s="247"/>
      <c r="AC7549" s="247"/>
      <c r="AT7549" s="247"/>
    </row>
    <row r="7550">
      <c r="C7550" s="277"/>
      <c r="M7550" s="277"/>
      <c r="O7550" s="247"/>
      <c r="AC7550" s="247"/>
      <c r="AT7550" s="247"/>
    </row>
    <row r="7551">
      <c r="C7551" s="277"/>
      <c r="M7551" s="277"/>
      <c r="O7551" s="247"/>
      <c r="AC7551" s="247"/>
      <c r="AT7551" s="247"/>
    </row>
    <row r="7552">
      <c r="C7552" s="277"/>
      <c r="M7552" s="277"/>
      <c r="O7552" s="247"/>
      <c r="AC7552" s="247"/>
      <c r="AT7552" s="247"/>
    </row>
    <row r="7553">
      <c r="C7553" s="277"/>
      <c r="M7553" s="277"/>
      <c r="O7553" s="247"/>
      <c r="AC7553" s="247"/>
      <c r="AT7553" s="247"/>
    </row>
    <row r="7554">
      <c r="C7554" s="277"/>
      <c r="M7554" s="277"/>
      <c r="O7554" s="247"/>
      <c r="AC7554" s="247"/>
      <c r="AT7554" s="247"/>
    </row>
    <row r="7555">
      <c r="C7555" s="277"/>
      <c r="M7555" s="277"/>
      <c r="O7555" s="247"/>
      <c r="AC7555" s="247"/>
      <c r="AT7555" s="247"/>
    </row>
    <row r="7556">
      <c r="C7556" s="277"/>
      <c r="M7556" s="277"/>
      <c r="O7556" s="247"/>
      <c r="AC7556" s="247"/>
      <c r="AT7556" s="247"/>
    </row>
    <row r="7557">
      <c r="C7557" s="277"/>
      <c r="M7557" s="277"/>
      <c r="O7557" s="247"/>
      <c r="AC7557" s="247"/>
      <c r="AT7557" s="247"/>
    </row>
    <row r="7558">
      <c r="C7558" s="277"/>
      <c r="M7558" s="277"/>
      <c r="O7558" s="247"/>
      <c r="AC7558" s="247"/>
      <c r="AT7558" s="247"/>
    </row>
    <row r="7559">
      <c r="C7559" s="277"/>
      <c r="M7559" s="277"/>
      <c r="O7559" s="247"/>
      <c r="AC7559" s="247"/>
      <c r="AT7559" s="247"/>
    </row>
    <row r="7560">
      <c r="C7560" s="277"/>
      <c r="M7560" s="277"/>
      <c r="O7560" s="247"/>
      <c r="AC7560" s="247"/>
      <c r="AT7560" s="247"/>
    </row>
    <row r="7561">
      <c r="C7561" s="277"/>
      <c r="M7561" s="277"/>
      <c r="O7561" s="247"/>
      <c r="AC7561" s="247"/>
      <c r="AT7561" s="247"/>
    </row>
    <row r="7562">
      <c r="C7562" s="277"/>
      <c r="M7562" s="277"/>
      <c r="O7562" s="247"/>
      <c r="AC7562" s="247"/>
      <c r="AT7562" s="247"/>
    </row>
    <row r="7563">
      <c r="C7563" s="277"/>
      <c r="M7563" s="277"/>
      <c r="O7563" s="247"/>
      <c r="AC7563" s="247"/>
      <c r="AT7563" s="247"/>
    </row>
    <row r="7564">
      <c r="C7564" s="277"/>
      <c r="M7564" s="277"/>
      <c r="O7564" s="247"/>
      <c r="AC7564" s="247"/>
      <c r="AT7564" s="247"/>
    </row>
    <row r="7565">
      <c r="C7565" s="277"/>
      <c r="M7565" s="277"/>
      <c r="O7565" s="247"/>
      <c r="AC7565" s="247"/>
      <c r="AT7565" s="247"/>
    </row>
    <row r="7566">
      <c r="C7566" s="277"/>
      <c r="M7566" s="277"/>
      <c r="O7566" s="247"/>
      <c r="AC7566" s="247"/>
      <c r="AT7566" s="247"/>
    </row>
    <row r="7567">
      <c r="C7567" s="277"/>
      <c r="M7567" s="277"/>
      <c r="O7567" s="247"/>
      <c r="AC7567" s="247"/>
      <c r="AT7567" s="247"/>
    </row>
    <row r="7568">
      <c r="C7568" s="277"/>
      <c r="M7568" s="277"/>
      <c r="O7568" s="247"/>
      <c r="AC7568" s="247"/>
      <c r="AT7568" s="247"/>
    </row>
    <row r="7569">
      <c r="C7569" s="277"/>
      <c r="M7569" s="277"/>
      <c r="O7569" s="247"/>
      <c r="AC7569" s="247"/>
      <c r="AT7569" s="247"/>
    </row>
    <row r="7570">
      <c r="C7570" s="277"/>
      <c r="M7570" s="277"/>
      <c r="O7570" s="247"/>
      <c r="AC7570" s="247"/>
      <c r="AT7570" s="247"/>
    </row>
    <row r="7571">
      <c r="C7571" s="277"/>
      <c r="M7571" s="277"/>
      <c r="O7571" s="247"/>
      <c r="AC7571" s="247"/>
      <c r="AT7571" s="247"/>
    </row>
    <row r="7572">
      <c r="C7572" s="277"/>
      <c r="M7572" s="277"/>
      <c r="O7572" s="247"/>
      <c r="AC7572" s="247"/>
      <c r="AT7572" s="247"/>
    </row>
    <row r="7573">
      <c r="C7573" s="277"/>
      <c r="M7573" s="277"/>
      <c r="O7573" s="247"/>
      <c r="AC7573" s="247"/>
      <c r="AT7573" s="247"/>
    </row>
    <row r="7574">
      <c r="C7574" s="277"/>
      <c r="M7574" s="277"/>
      <c r="O7574" s="247"/>
      <c r="AC7574" s="247"/>
      <c r="AT7574" s="247"/>
    </row>
    <row r="7575">
      <c r="C7575" s="277"/>
      <c r="M7575" s="277"/>
      <c r="O7575" s="247"/>
      <c r="AC7575" s="247"/>
      <c r="AT7575" s="247"/>
    </row>
    <row r="7576">
      <c r="C7576" s="277"/>
      <c r="M7576" s="277"/>
      <c r="O7576" s="247"/>
      <c r="AC7576" s="247"/>
      <c r="AT7576" s="247"/>
    </row>
    <row r="7577">
      <c r="C7577" s="277"/>
      <c r="M7577" s="277"/>
      <c r="O7577" s="247"/>
      <c r="AC7577" s="247"/>
      <c r="AT7577" s="247"/>
    </row>
    <row r="7578">
      <c r="C7578" s="277"/>
      <c r="M7578" s="277"/>
      <c r="O7578" s="247"/>
      <c r="AC7578" s="247"/>
      <c r="AT7578" s="247"/>
    </row>
    <row r="7579">
      <c r="C7579" s="277"/>
      <c r="M7579" s="277"/>
      <c r="O7579" s="247"/>
      <c r="AC7579" s="247"/>
      <c r="AT7579" s="247"/>
    </row>
    <row r="7580">
      <c r="C7580" s="277"/>
      <c r="M7580" s="277"/>
      <c r="O7580" s="247"/>
      <c r="AC7580" s="247"/>
      <c r="AT7580" s="247"/>
    </row>
    <row r="7581">
      <c r="C7581" s="277"/>
      <c r="M7581" s="277"/>
      <c r="O7581" s="247"/>
      <c r="AC7581" s="247"/>
      <c r="AT7581" s="247"/>
    </row>
    <row r="7582">
      <c r="C7582" s="277"/>
      <c r="M7582" s="277"/>
      <c r="O7582" s="247"/>
      <c r="AC7582" s="247"/>
      <c r="AT7582" s="247"/>
    </row>
    <row r="7583">
      <c r="C7583" s="277"/>
      <c r="M7583" s="277"/>
      <c r="O7583" s="247"/>
      <c r="AC7583" s="247"/>
      <c r="AT7583" s="247"/>
    </row>
    <row r="7584">
      <c r="C7584" s="277"/>
      <c r="M7584" s="277"/>
      <c r="O7584" s="247"/>
      <c r="AC7584" s="247"/>
      <c r="AT7584" s="247"/>
    </row>
    <row r="7585">
      <c r="C7585" s="277"/>
      <c r="M7585" s="277"/>
      <c r="O7585" s="247"/>
      <c r="AC7585" s="247"/>
      <c r="AT7585" s="247"/>
    </row>
    <row r="7586">
      <c r="C7586" s="277"/>
      <c r="M7586" s="277"/>
      <c r="O7586" s="247"/>
      <c r="AC7586" s="247"/>
      <c r="AT7586" s="247"/>
    </row>
    <row r="7587">
      <c r="C7587" s="277"/>
      <c r="M7587" s="277"/>
      <c r="O7587" s="247"/>
      <c r="AC7587" s="247"/>
      <c r="AT7587" s="247"/>
    </row>
    <row r="7588">
      <c r="C7588" s="277"/>
      <c r="M7588" s="277"/>
      <c r="O7588" s="247"/>
      <c r="AC7588" s="247"/>
      <c r="AT7588" s="247"/>
    </row>
    <row r="7589">
      <c r="C7589" s="277"/>
      <c r="M7589" s="277"/>
      <c r="O7589" s="247"/>
      <c r="AC7589" s="247"/>
      <c r="AT7589" s="247"/>
    </row>
    <row r="7590">
      <c r="C7590" s="277"/>
      <c r="M7590" s="277"/>
      <c r="O7590" s="247"/>
      <c r="AC7590" s="247"/>
      <c r="AT7590" s="247"/>
    </row>
    <row r="7591">
      <c r="C7591" s="277"/>
      <c r="M7591" s="277"/>
      <c r="O7591" s="247"/>
      <c r="AC7591" s="247"/>
      <c r="AT7591" s="247"/>
    </row>
    <row r="7592">
      <c r="C7592" s="277"/>
      <c r="M7592" s="277"/>
      <c r="O7592" s="247"/>
      <c r="AC7592" s="247"/>
      <c r="AT7592" s="247"/>
    </row>
    <row r="7593">
      <c r="C7593" s="277"/>
      <c r="M7593" s="277"/>
      <c r="O7593" s="247"/>
      <c r="AC7593" s="247"/>
      <c r="AT7593" s="247"/>
    </row>
    <row r="7594">
      <c r="C7594" s="277"/>
      <c r="M7594" s="277"/>
      <c r="O7594" s="247"/>
      <c r="AC7594" s="247"/>
      <c r="AT7594" s="247"/>
    </row>
    <row r="7595">
      <c r="C7595" s="277"/>
      <c r="M7595" s="277"/>
      <c r="O7595" s="247"/>
      <c r="AC7595" s="247"/>
      <c r="AT7595" s="247"/>
    </row>
    <row r="7596">
      <c r="C7596" s="277"/>
      <c r="M7596" s="277"/>
      <c r="O7596" s="247"/>
      <c r="AC7596" s="247"/>
      <c r="AT7596" s="247"/>
    </row>
    <row r="7597">
      <c r="C7597" s="277"/>
      <c r="M7597" s="277"/>
      <c r="O7597" s="247"/>
      <c r="AC7597" s="247"/>
      <c r="AT7597" s="247"/>
    </row>
    <row r="7598">
      <c r="C7598" s="277"/>
      <c r="M7598" s="277"/>
      <c r="O7598" s="247"/>
      <c r="AC7598" s="247"/>
      <c r="AT7598" s="247"/>
    </row>
    <row r="7599">
      <c r="C7599" s="277"/>
      <c r="M7599" s="277"/>
      <c r="O7599" s="247"/>
      <c r="AC7599" s="247"/>
      <c r="AT7599" s="247"/>
    </row>
    <row r="7600">
      <c r="C7600" s="277"/>
      <c r="M7600" s="277"/>
      <c r="O7600" s="247"/>
      <c r="AC7600" s="247"/>
      <c r="AT7600" s="247"/>
    </row>
    <row r="7601">
      <c r="C7601" s="277"/>
      <c r="M7601" s="277"/>
      <c r="O7601" s="247"/>
      <c r="AC7601" s="247"/>
      <c r="AT7601" s="247"/>
    </row>
    <row r="7602">
      <c r="C7602" s="277"/>
      <c r="M7602" s="277"/>
      <c r="O7602" s="247"/>
      <c r="AC7602" s="247"/>
      <c r="AT7602" s="247"/>
    </row>
    <row r="7603">
      <c r="C7603" s="277"/>
      <c r="M7603" s="277"/>
      <c r="O7603" s="247"/>
      <c r="AC7603" s="247"/>
      <c r="AT7603" s="247"/>
    </row>
    <row r="7604">
      <c r="C7604" s="277"/>
      <c r="M7604" s="277"/>
      <c r="O7604" s="247"/>
      <c r="AC7604" s="247"/>
      <c r="AT7604" s="247"/>
    </row>
    <row r="7605">
      <c r="C7605" s="277"/>
      <c r="M7605" s="277"/>
      <c r="O7605" s="247"/>
      <c r="AC7605" s="247"/>
      <c r="AT7605" s="247"/>
    </row>
    <row r="7606">
      <c r="C7606" s="277"/>
      <c r="M7606" s="277"/>
      <c r="O7606" s="247"/>
      <c r="AC7606" s="247"/>
      <c r="AT7606" s="247"/>
    </row>
    <row r="7607">
      <c r="C7607" s="277"/>
      <c r="M7607" s="277"/>
      <c r="O7607" s="247"/>
      <c r="AC7607" s="247"/>
      <c r="AT7607" s="247"/>
    </row>
    <row r="7608">
      <c r="C7608" s="277"/>
      <c r="M7608" s="277"/>
      <c r="O7608" s="247"/>
      <c r="AC7608" s="247"/>
      <c r="AT7608" s="247"/>
    </row>
    <row r="7609">
      <c r="C7609" s="277"/>
      <c r="M7609" s="277"/>
      <c r="O7609" s="247"/>
      <c r="AC7609" s="247"/>
      <c r="AT7609" s="247"/>
    </row>
    <row r="7610">
      <c r="C7610" s="277"/>
      <c r="M7610" s="277"/>
      <c r="O7610" s="247"/>
      <c r="AC7610" s="247"/>
      <c r="AT7610" s="247"/>
    </row>
    <row r="7611">
      <c r="C7611" s="277"/>
      <c r="M7611" s="277"/>
      <c r="O7611" s="247"/>
      <c r="AC7611" s="247"/>
      <c r="AT7611" s="247"/>
    </row>
    <row r="7612">
      <c r="C7612" s="277"/>
      <c r="M7612" s="277"/>
      <c r="O7612" s="247"/>
      <c r="AC7612" s="247"/>
      <c r="AT7612" s="247"/>
    </row>
    <row r="7613">
      <c r="C7613" s="277"/>
      <c r="M7613" s="277"/>
      <c r="O7613" s="247"/>
      <c r="AC7613" s="247"/>
      <c r="AT7613" s="247"/>
    </row>
    <row r="7614">
      <c r="C7614" s="277"/>
      <c r="M7614" s="277"/>
      <c r="O7614" s="247"/>
      <c r="AC7614" s="247"/>
      <c r="AT7614" s="247"/>
    </row>
    <row r="7615">
      <c r="C7615" s="277"/>
      <c r="M7615" s="277"/>
      <c r="O7615" s="247"/>
      <c r="AC7615" s="247"/>
      <c r="AT7615" s="247"/>
    </row>
    <row r="7616">
      <c r="C7616" s="277"/>
      <c r="M7616" s="277"/>
      <c r="O7616" s="247"/>
      <c r="AC7616" s="247"/>
      <c r="AT7616" s="247"/>
    </row>
    <row r="7617">
      <c r="C7617" s="277"/>
      <c r="M7617" s="277"/>
      <c r="O7617" s="247"/>
      <c r="AC7617" s="247"/>
      <c r="AT7617" s="247"/>
    </row>
    <row r="7618">
      <c r="C7618" s="277"/>
      <c r="M7618" s="277"/>
      <c r="O7618" s="247"/>
      <c r="AC7618" s="247"/>
      <c r="AT7618" s="247"/>
    </row>
    <row r="7619">
      <c r="C7619" s="277"/>
      <c r="M7619" s="277"/>
      <c r="O7619" s="247"/>
      <c r="AC7619" s="247"/>
      <c r="AT7619" s="247"/>
    </row>
    <row r="7620">
      <c r="C7620" s="277"/>
      <c r="M7620" s="277"/>
      <c r="O7620" s="247"/>
      <c r="AC7620" s="247"/>
      <c r="AT7620" s="247"/>
    </row>
    <row r="7621">
      <c r="C7621" s="277"/>
      <c r="M7621" s="277"/>
      <c r="O7621" s="247"/>
      <c r="AC7621" s="247"/>
      <c r="AT7621" s="247"/>
    </row>
    <row r="7622">
      <c r="C7622" s="277"/>
      <c r="M7622" s="277"/>
      <c r="O7622" s="247"/>
      <c r="AC7622" s="247"/>
      <c r="AT7622" s="247"/>
    </row>
    <row r="7623">
      <c r="C7623" s="277"/>
      <c r="M7623" s="277"/>
      <c r="O7623" s="247"/>
      <c r="AC7623" s="247"/>
      <c r="AT7623" s="247"/>
    </row>
    <row r="7624">
      <c r="C7624" s="277"/>
      <c r="M7624" s="277"/>
      <c r="O7624" s="247"/>
      <c r="AC7624" s="247"/>
      <c r="AT7624" s="247"/>
    </row>
    <row r="7625">
      <c r="C7625" s="277"/>
      <c r="M7625" s="277"/>
      <c r="O7625" s="247"/>
      <c r="AC7625" s="247"/>
      <c r="AT7625" s="247"/>
    </row>
    <row r="7626">
      <c r="C7626" s="277"/>
      <c r="M7626" s="277"/>
      <c r="O7626" s="247"/>
      <c r="AC7626" s="247"/>
      <c r="AT7626" s="247"/>
    </row>
    <row r="7627">
      <c r="C7627" s="277"/>
      <c r="M7627" s="277"/>
      <c r="O7627" s="247"/>
      <c r="AC7627" s="247"/>
      <c r="AT7627" s="247"/>
    </row>
    <row r="7628">
      <c r="C7628" s="277"/>
      <c r="M7628" s="277"/>
      <c r="O7628" s="247"/>
      <c r="AC7628" s="247"/>
      <c r="AT7628" s="247"/>
    </row>
    <row r="7629">
      <c r="C7629" s="277"/>
      <c r="M7629" s="277"/>
      <c r="O7629" s="247"/>
      <c r="AC7629" s="247"/>
      <c r="AT7629" s="247"/>
    </row>
    <row r="7630">
      <c r="C7630" s="277"/>
      <c r="M7630" s="277"/>
      <c r="O7630" s="247"/>
      <c r="AC7630" s="247"/>
      <c r="AT7630" s="247"/>
    </row>
    <row r="7631">
      <c r="C7631" s="277"/>
      <c r="M7631" s="277"/>
      <c r="O7631" s="247"/>
      <c r="AC7631" s="247"/>
      <c r="AT7631" s="247"/>
    </row>
    <row r="7632">
      <c r="C7632" s="277"/>
      <c r="M7632" s="277"/>
      <c r="O7632" s="247"/>
      <c r="AC7632" s="247"/>
      <c r="AT7632" s="247"/>
    </row>
    <row r="7633">
      <c r="C7633" s="277"/>
      <c r="M7633" s="277"/>
      <c r="O7633" s="247"/>
      <c r="AC7633" s="247"/>
      <c r="AT7633" s="247"/>
    </row>
    <row r="7634">
      <c r="C7634" s="277"/>
      <c r="M7634" s="277"/>
      <c r="O7634" s="247"/>
      <c r="AC7634" s="247"/>
      <c r="AT7634" s="247"/>
    </row>
    <row r="7635">
      <c r="C7635" s="277"/>
      <c r="M7635" s="277"/>
      <c r="O7635" s="247"/>
      <c r="AC7635" s="247"/>
      <c r="AT7635" s="247"/>
    </row>
    <row r="7636">
      <c r="C7636" s="277"/>
      <c r="M7636" s="277"/>
      <c r="O7636" s="247"/>
      <c r="AC7636" s="247"/>
      <c r="AT7636" s="247"/>
    </row>
    <row r="7637">
      <c r="C7637" s="277"/>
      <c r="M7637" s="277"/>
      <c r="O7637" s="247"/>
      <c r="AC7637" s="247"/>
      <c r="AT7637" s="247"/>
    </row>
    <row r="7638">
      <c r="C7638" s="277"/>
      <c r="M7638" s="277"/>
      <c r="O7638" s="247"/>
      <c r="AC7638" s="247"/>
      <c r="AT7638" s="247"/>
    </row>
    <row r="7639">
      <c r="C7639" s="277"/>
      <c r="M7639" s="277"/>
      <c r="O7639" s="247"/>
      <c r="AC7639" s="247"/>
      <c r="AT7639" s="247"/>
    </row>
    <row r="7640">
      <c r="C7640" s="277"/>
      <c r="M7640" s="277"/>
      <c r="O7640" s="247"/>
      <c r="AC7640" s="247"/>
      <c r="AT7640" s="247"/>
    </row>
    <row r="7641">
      <c r="C7641" s="277"/>
      <c r="M7641" s="277"/>
      <c r="O7641" s="247"/>
      <c r="AC7641" s="247"/>
      <c r="AT7641" s="247"/>
    </row>
    <row r="7642">
      <c r="C7642" s="277"/>
      <c r="M7642" s="277"/>
      <c r="O7642" s="247"/>
      <c r="AC7642" s="247"/>
      <c r="AT7642" s="247"/>
    </row>
    <row r="7643">
      <c r="C7643" s="277"/>
      <c r="M7643" s="277"/>
      <c r="O7643" s="247"/>
      <c r="AC7643" s="247"/>
      <c r="AT7643" s="247"/>
    </row>
    <row r="7644">
      <c r="C7644" s="277"/>
      <c r="M7644" s="277"/>
      <c r="O7644" s="247"/>
      <c r="AC7644" s="247"/>
      <c r="AT7644" s="247"/>
    </row>
    <row r="7645">
      <c r="C7645" s="277"/>
      <c r="M7645" s="277"/>
      <c r="O7645" s="247"/>
      <c r="AC7645" s="247"/>
      <c r="AT7645" s="247"/>
    </row>
    <row r="7646">
      <c r="C7646" s="277"/>
      <c r="M7646" s="277"/>
      <c r="O7646" s="247"/>
      <c r="AC7646" s="247"/>
      <c r="AT7646" s="247"/>
    </row>
    <row r="7647">
      <c r="C7647" s="277"/>
      <c r="M7647" s="277"/>
      <c r="O7647" s="247"/>
      <c r="AC7647" s="247"/>
      <c r="AT7647" s="247"/>
    </row>
    <row r="7648">
      <c r="C7648" s="277"/>
      <c r="M7648" s="277"/>
      <c r="O7648" s="247"/>
      <c r="AC7648" s="247"/>
      <c r="AT7648" s="247"/>
    </row>
    <row r="7649">
      <c r="C7649" s="277"/>
      <c r="M7649" s="277"/>
      <c r="O7649" s="247"/>
      <c r="AC7649" s="247"/>
      <c r="AT7649" s="247"/>
    </row>
    <row r="7650">
      <c r="C7650" s="277"/>
      <c r="M7650" s="277"/>
      <c r="O7650" s="247"/>
      <c r="AC7650" s="247"/>
      <c r="AT7650" s="247"/>
    </row>
    <row r="7651">
      <c r="C7651" s="277"/>
      <c r="M7651" s="277"/>
      <c r="O7651" s="247"/>
      <c r="AC7651" s="247"/>
      <c r="AT7651" s="247"/>
    </row>
    <row r="7652">
      <c r="C7652" s="277"/>
      <c r="M7652" s="277"/>
      <c r="O7652" s="247"/>
      <c r="AC7652" s="247"/>
      <c r="AT7652" s="247"/>
    </row>
    <row r="7653">
      <c r="C7653" s="277"/>
      <c r="M7653" s="277"/>
      <c r="O7653" s="247"/>
      <c r="AC7653" s="247"/>
      <c r="AT7653" s="247"/>
    </row>
    <row r="7654">
      <c r="C7654" s="277"/>
      <c r="M7654" s="277"/>
      <c r="O7654" s="247"/>
      <c r="AC7654" s="247"/>
      <c r="AT7654" s="247"/>
    </row>
    <row r="7655">
      <c r="C7655" s="277"/>
      <c r="M7655" s="277"/>
      <c r="O7655" s="247"/>
      <c r="AC7655" s="247"/>
      <c r="AT7655" s="247"/>
    </row>
    <row r="7656">
      <c r="C7656" s="277"/>
      <c r="M7656" s="277"/>
      <c r="O7656" s="247"/>
      <c r="AC7656" s="247"/>
      <c r="AT7656" s="247"/>
    </row>
    <row r="7657">
      <c r="C7657" s="277"/>
      <c r="M7657" s="277"/>
      <c r="O7657" s="247"/>
      <c r="AC7657" s="247"/>
      <c r="AT7657" s="247"/>
    </row>
    <row r="7658">
      <c r="C7658" s="277"/>
      <c r="M7658" s="277"/>
      <c r="O7658" s="247"/>
      <c r="AC7658" s="247"/>
      <c r="AT7658" s="247"/>
    </row>
    <row r="7659">
      <c r="C7659" s="277"/>
      <c r="M7659" s="277"/>
      <c r="O7659" s="247"/>
      <c r="AC7659" s="247"/>
      <c r="AT7659" s="247"/>
    </row>
    <row r="7660">
      <c r="C7660" s="277"/>
      <c r="M7660" s="277"/>
      <c r="O7660" s="247"/>
      <c r="AC7660" s="247"/>
      <c r="AT7660" s="247"/>
    </row>
    <row r="7661">
      <c r="C7661" s="277"/>
      <c r="M7661" s="277"/>
      <c r="O7661" s="247"/>
      <c r="AC7661" s="247"/>
      <c r="AT7661" s="247"/>
    </row>
    <row r="7662">
      <c r="C7662" s="277"/>
      <c r="M7662" s="277"/>
      <c r="O7662" s="247"/>
      <c r="AC7662" s="247"/>
      <c r="AT7662" s="247"/>
    </row>
    <row r="7663">
      <c r="C7663" s="277"/>
      <c r="M7663" s="277"/>
      <c r="O7663" s="247"/>
      <c r="AC7663" s="247"/>
      <c r="AT7663" s="247"/>
    </row>
    <row r="7664">
      <c r="C7664" s="277"/>
      <c r="M7664" s="277"/>
      <c r="O7664" s="247"/>
      <c r="AC7664" s="247"/>
      <c r="AT7664" s="247"/>
    </row>
    <row r="7665">
      <c r="C7665" s="277"/>
      <c r="M7665" s="277"/>
      <c r="O7665" s="247"/>
      <c r="AC7665" s="247"/>
      <c r="AT7665" s="247"/>
    </row>
    <row r="7666">
      <c r="C7666" s="277"/>
      <c r="M7666" s="277"/>
      <c r="O7666" s="247"/>
      <c r="AC7666" s="247"/>
      <c r="AT7666" s="247"/>
    </row>
    <row r="7667">
      <c r="C7667" s="277"/>
      <c r="M7667" s="277"/>
      <c r="O7667" s="247"/>
      <c r="AC7667" s="247"/>
      <c r="AT7667" s="247"/>
    </row>
    <row r="7668">
      <c r="C7668" s="277"/>
      <c r="M7668" s="277"/>
      <c r="O7668" s="247"/>
      <c r="AC7668" s="247"/>
      <c r="AT7668" s="247"/>
    </row>
    <row r="7669">
      <c r="C7669" s="277"/>
      <c r="M7669" s="277"/>
      <c r="O7669" s="247"/>
      <c r="AC7669" s="247"/>
      <c r="AT7669" s="247"/>
    </row>
    <row r="7670">
      <c r="C7670" s="277"/>
      <c r="M7670" s="277"/>
      <c r="O7670" s="247"/>
      <c r="AC7670" s="247"/>
      <c r="AT7670" s="247"/>
    </row>
    <row r="7671">
      <c r="C7671" s="277"/>
      <c r="M7671" s="277"/>
      <c r="O7671" s="247"/>
      <c r="AC7671" s="247"/>
      <c r="AT7671" s="247"/>
    </row>
    <row r="7672">
      <c r="C7672" s="277"/>
      <c r="M7672" s="277"/>
      <c r="O7672" s="247"/>
      <c r="AC7672" s="247"/>
      <c r="AT7672" s="247"/>
    </row>
    <row r="7673">
      <c r="C7673" s="277"/>
      <c r="M7673" s="277"/>
      <c r="O7673" s="247"/>
      <c r="AC7673" s="247"/>
      <c r="AT7673" s="247"/>
    </row>
    <row r="7674">
      <c r="C7674" s="277"/>
      <c r="M7674" s="277"/>
      <c r="O7674" s="247"/>
      <c r="AC7674" s="247"/>
      <c r="AT7674" s="247"/>
    </row>
    <row r="7675">
      <c r="C7675" s="277"/>
      <c r="M7675" s="277"/>
      <c r="O7675" s="247"/>
      <c r="AC7675" s="247"/>
      <c r="AT7675" s="247"/>
    </row>
    <row r="7676">
      <c r="C7676" s="277"/>
      <c r="M7676" s="277"/>
      <c r="O7676" s="247"/>
      <c r="AC7676" s="247"/>
      <c r="AT7676" s="247"/>
    </row>
    <row r="7677">
      <c r="C7677" s="277"/>
      <c r="M7677" s="277"/>
      <c r="O7677" s="247"/>
      <c r="AC7677" s="247"/>
      <c r="AT7677" s="247"/>
    </row>
    <row r="7678">
      <c r="C7678" s="277"/>
      <c r="M7678" s="277"/>
      <c r="O7678" s="247"/>
      <c r="AC7678" s="247"/>
      <c r="AT7678" s="247"/>
    </row>
    <row r="7679">
      <c r="C7679" s="277"/>
      <c r="M7679" s="277"/>
      <c r="O7679" s="247"/>
      <c r="AC7679" s="247"/>
      <c r="AT7679" s="247"/>
    </row>
    <row r="7680">
      <c r="C7680" s="277"/>
      <c r="M7680" s="277"/>
      <c r="O7680" s="247"/>
      <c r="AC7680" s="247"/>
      <c r="AT7680" s="247"/>
    </row>
    <row r="7681">
      <c r="C7681" s="277"/>
      <c r="M7681" s="277"/>
      <c r="O7681" s="247"/>
      <c r="AC7681" s="247"/>
      <c r="AT7681" s="247"/>
    </row>
    <row r="7682">
      <c r="C7682" s="277"/>
      <c r="M7682" s="277"/>
      <c r="O7682" s="247"/>
      <c r="AC7682" s="247"/>
      <c r="AT7682" s="247"/>
    </row>
    <row r="7683">
      <c r="C7683" s="277"/>
      <c r="M7683" s="277"/>
      <c r="O7683" s="247"/>
      <c r="AC7683" s="247"/>
      <c r="AT7683" s="247"/>
    </row>
    <row r="7684">
      <c r="C7684" s="277"/>
      <c r="M7684" s="277"/>
      <c r="O7684" s="247"/>
      <c r="AC7684" s="247"/>
      <c r="AT7684" s="247"/>
    </row>
    <row r="7685">
      <c r="C7685" s="277"/>
      <c r="M7685" s="277"/>
      <c r="O7685" s="247"/>
      <c r="AC7685" s="247"/>
      <c r="AT7685" s="247"/>
    </row>
    <row r="7686">
      <c r="C7686" s="277"/>
      <c r="M7686" s="277"/>
      <c r="O7686" s="247"/>
      <c r="AC7686" s="247"/>
      <c r="AT7686" s="247"/>
    </row>
    <row r="7687">
      <c r="C7687" s="277"/>
      <c r="M7687" s="277"/>
      <c r="O7687" s="247"/>
      <c r="AC7687" s="247"/>
      <c r="AT7687" s="247"/>
    </row>
    <row r="7688">
      <c r="C7688" s="277"/>
      <c r="M7688" s="277"/>
      <c r="O7688" s="247"/>
      <c r="AC7688" s="247"/>
      <c r="AT7688" s="247"/>
    </row>
    <row r="7689">
      <c r="C7689" s="277"/>
      <c r="M7689" s="277"/>
      <c r="O7689" s="247"/>
      <c r="AC7689" s="247"/>
      <c r="AT7689" s="247"/>
    </row>
    <row r="7690">
      <c r="C7690" s="277"/>
      <c r="M7690" s="277"/>
      <c r="O7690" s="247"/>
      <c r="AC7690" s="247"/>
      <c r="AT7690" s="247"/>
    </row>
    <row r="7691">
      <c r="C7691" s="277"/>
      <c r="M7691" s="277"/>
      <c r="O7691" s="247"/>
      <c r="AC7691" s="247"/>
      <c r="AT7691" s="247"/>
    </row>
    <row r="7692">
      <c r="C7692" s="277"/>
      <c r="M7692" s="277"/>
      <c r="O7692" s="247"/>
      <c r="AC7692" s="247"/>
      <c r="AT7692" s="247"/>
    </row>
    <row r="7693">
      <c r="C7693" s="277"/>
      <c r="M7693" s="277"/>
      <c r="O7693" s="247"/>
      <c r="AC7693" s="247"/>
      <c r="AT7693" s="247"/>
    </row>
    <row r="7694">
      <c r="C7694" s="277"/>
      <c r="M7694" s="277"/>
      <c r="O7694" s="247"/>
      <c r="AC7694" s="247"/>
      <c r="AT7694" s="247"/>
    </row>
    <row r="7695">
      <c r="C7695" s="277"/>
      <c r="M7695" s="277"/>
      <c r="O7695" s="247"/>
      <c r="AC7695" s="247"/>
      <c r="AT7695" s="247"/>
    </row>
    <row r="7696">
      <c r="C7696" s="277"/>
      <c r="M7696" s="277"/>
      <c r="O7696" s="247"/>
      <c r="AC7696" s="247"/>
      <c r="AT7696" s="247"/>
    </row>
    <row r="7697">
      <c r="C7697" s="277"/>
      <c r="M7697" s="277"/>
      <c r="O7697" s="247"/>
      <c r="AC7697" s="247"/>
      <c r="AT7697" s="247"/>
    </row>
    <row r="7698">
      <c r="C7698" s="277"/>
      <c r="M7698" s="277"/>
      <c r="O7698" s="247"/>
      <c r="AC7698" s="247"/>
      <c r="AT7698" s="247"/>
    </row>
    <row r="7699">
      <c r="C7699" s="277"/>
      <c r="M7699" s="277"/>
      <c r="O7699" s="247"/>
      <c r="AC7699" s="247"/>
      <c r="AT7699" s="247"/>
    </row>
    <row r="7700">
      <c r="C7700" s="277"/>
      <c r="M7700" s="277"/>
      <c r="O7700" s="247"/>
      <c r="AC7700" s="247"/>
      <c r="AT7700" s="247"/>
    </row>
    <row r="7701">
      <c r="C7701" s="277"/>
      <c r="M7701" s="277"/>
      <c r="O7701" s="247"/>
      <c r="AC7701" s="247"/>
      <c r="AT7701" s="247"/>
    </row>
    <row r="7702">
      <c r="C7702" s="277"/>
      <c r="M7702" s="277"/>
      <c r="O7702" s="247"/>
      <c r="AC7702" s="247"/>
      <c r="AT7702" s="247"/>
    </row>
    <row r="7703">
      <c r="C7703" s="277"/>
      <c r="M7703" s="277"/>
      <c r="O7703" s="247"/>
      <c r="AC7703" s="247"/>
      <c r="AT7703" s="247"/>
    </row>
    <row r="7704">
      <c r="C7704" s="277"/>
      <c r="M7704" s="277"/>
      <c r="O7704" s="247"/>
      <c r="AC7704" s="247"/>
      <c r="AT7704" s="247"/>
    </row>
    <row r="7705">
      <c r="C7705" s="277"/>
      <c r="M7705" s="277"/>
      <c r="O7705" s="247"/>
      <c r="AC7705" s="247"/>
      <c r="AT7705" s="247"/>
    </row>
    <row r="7706">
      <c r="C7706" s="277"/>
      <c r="M7706" s="277"/>
      <c r="O7706" s="247"/>
      <c r="AC7706" s="247"/>
      <c r="AT7706" s="247"/>
    </row>
    <row r="7707">
      <c r="C7707" s="277"/>
      <c r="M7707" s="277"/>
      <c r="O7707" s="247"/>
      <c r="AC7707" s="247"/>
      <c r="AT7707" s="247"/>
    </row>
    <row r="7708">
      <c r="C7708" s="277"/>
      <c r="M7708" s="277"/>
      <c r="O7708" s="247"/>
      <c r="AC7708" s="247"/>
      <c r="AT7708" s="247"/>
    </row>
    <row r="7709">
      <c r="C7709" s="277"/>
      <c r="M7709" s="277"/>
      <c r="O7709" s="247"/>
      <c r="AC7709" s="247"/>
      <c r="AT7709" s="247"/>
    </row>
    <row r="7710">
      <c r="C7710" s="277"/>
      <c r="M7710" s="277"/>
      <c r="O7710" s="247"/>
      <c r="AC7710" s="247"/>
      <c r="AT7710" s="247"/>
    </row>
    <row r="7711">
      <c r="C7711" s="277"/>
      <c r="M7711" s="277"/>
      <c r="O7711" s="247"/>
      <c r="AC7711" s="247"/>
      <c r="AT7711" s="247"/>
    </row>
    <row r="7712">
      <c r="C7712" s="277"/>
      <c r="M7712" s="277"/>
      <c r="O7712" s="247"/>
      <c r="AC7712" s="247"/>
      <c r="AT7712" s="247"/>
    </row>
    <row r="7713">
      <c r="C7713" s="277"/>
      <c r="M7713" s="277"/>
      <c r="O7713" s="247"/>
      <c r="AC7713" s="247"/>
      <c r="AT7713" s="247"/>
    </row>
    <row r="7714">
      <c r="C7714" s="277"/>
      <c r="M7714" s="277"/>
      <c r="O7714" s="247"/>
      <c r="AC7714" s="247"/>
      <c r="AT7714" s="247"/>
    </row>
    <row r="7715">
      <c r="C7715" s="277"/>
      <c r="M7715" s="277"/>
      <c r="O7715" s="247"/>
      <c r="AC7715" s="247"/>
      <c r="AT7715" s="247"/>
    </row>
    <row r="7716">
      <c r="C7716" s="277"/>
      <c r="M7716" s="277"/>
      <c r="O7716" s="247"/>
      <c r="AC7716" s="247"/>
      <c r="AT7716" s="247"/>
    </row>
    <row r="7717">
      <c r="C7717" s="277"/>
      <c r="M7717" s="277"/>
      <c r="O7717" s="247"/>
      <c r="AC7717" s="247"/>
      <c r="AT7717" s="247"/>
    </row>
    <row r="7718">
      <c r="C7718" s="277"/>
      <c r="M7718" s="277"/>
      <c r="O7718" s="247"/>
      <c r="AC7718" s="247"/>
      <c r="AT7718" s="247"/>
    </row>
    <row r="7719">
      <c r="C7719" s="277"/>
      <c r="M7719" s="277"/>
      <c r="O7719" s="247"/>
      <c r="AC7719" s="247"/>
      <c r="AT7719" s="247"/>
    </row>
    <row r="7720">
      <c r="C7720" s="277"/>
      <c r="M7720" s="277"/>
      <c r="O7720" s="247"/>
      <c r="AC7720" s="247"/>
      <c r="AT7720" s="247"/>
    </row>
    <row r="7721">
      <c r="C7721" s="277"/>
      <c r="M7721" s="277"/>
      <c r="O7721" s="247"/>
      <c r="AC7721" s="247"/>
      <c r="AT7721" s="247"/>
    </row>
    <row r="7722">
      <c r="C7722" s="277"/>
      <c r="M7722" s="277"/>
      <c r="O7722" s="247"/>
      <c r="AC7722" s="247"/>
      <c r="AT7722" s="247"/>
    </row>
    <row r="7723">
      <c r="C7723" s="277"/>
      <c r="M7723" s="277"/>
      <c r="O7723" s="247"/>
      <c r="AC7723" s="247"/>
      <c r="AT7723" s="247"/>
    </row>
    <row r="7724">
      <c r="C7724" s="277"/>
      <c r="M7724" s="277"/>
      <c r="O7724" s="247"/>
      <c r="AC7724" s="247"/>
      <c r="AT7724" s="247"/>
    </row>
    <row r="7725">
      <c r="C7725" s="277"/>
      <c r="M7725" s="277"/>
      <c r="O7725" s="247"/>
      <c r="AC7725" s="247"/>
      <c r="AT7725" s="247"/>
    </row>
    <row r="7726">
      <c r="C7726" s="277"/>
      <c r="M7726" s="277"/>
      <c r="O7726" s="247"/>
      <c r="AC7726" s="247"/>
      <c r="AT7726" s="247"/>
    </row>
    <row r="7727">
      <c r="C7727" s="277"/>
      <c r="M7727" s="277"/>
      <c r="O7727" s="247"/>
      <c r="AC7727" s="247"/>
      <c r="AT7727" s="247"/>
    </row>
    <row r="7728">
      <c r="C7728" s="277"/>
      <c r="M7728" s="277"/>
      <c r="O7728" s="247"/>
      <c r="AC7728" s="247"/>
      <c r="AT7728" s="247"/>
    </row>
    <row r="7729">
      <c r="C7729" s="277"/>
      <c r="M7729" s="277"/>
      <c r="O7729" s="247"/>
      <c r="AC7729" s="247"/>
      <c r="AT7729" s="247"/>
    </row>
    <row r="7730">
      <c r="C7730" s="277"/>
      <c r="M7730" s="277"/>
      <c r="O7730" s="247"/>
      <c r="AC7730" s="247"/>
      <c r="AT7730" s="247"/>
    </row>
    <row r="7731">
      <c r="C7731" s="277"/>
      <c r="M7731" s="277"/>
      <c r="O7731" s="247"/>
      <c r="AC7731" s="247"/>
      <c r="AT7731" s="247"/>
    </row>
    <row r="7732">
      <c r="C7732" s="277"/>
      <c r="M7732" s="277"/>
      <c r="O7732" s="247"/>
      <c r="AC7732" s="247"/>
      <c r="AT7732" s="247"/>
    </row>
    <row r="7733">
      <c r="C7733" s="277"/>
      <c r="M7733" s="277"/>
      <c r="O7733" s="247"/>
      <c r="AC7733" s="247"/>
      <c r="AT7733" s="247"/>
    </row>
    <row r="7734">
      <c r="C7734" s="277"/>
      <c r="M7734" s="277"/>
      <c r="O7734" s="247"/>
      <c r="AC7734" s="247"/>
      <c r="AT7734" s="247"/>
    </row>
    <row r="7735">
      <c r="C7735" s="277"/>
      <c r="M7735" s="277"/>
      <c r="O7735" s="247"/>
      <c r="AC7735" s="247"/>
      <c r="AT7735" s="247"/>
    </row>
    <row r="7736">
      <c r="C7736" s="277"/>
      <c r="M7736" s="277"/>
      <c r="O7736" s="247"/>
      <c r="AC7736" s="247"/>
      <c r="AT7736" s="247"/>
    </row>
    <row r="7737">
      <c r="C7737" s="277"/>
      <c r="M7737" s="277"/>
      <c r="O7737" s="247"/>
      <c r="AC7737" s="247"/>
      <c r="AT7737" s="247"/>
    </row>
    <row r="7738">
      <c r="C7738" s="277"/>
      <c r="M7738" s="277"/>
      <c r="O7738" s="247"/>
      <c r="AC7738" s="247"/>
      <c r="AT7738" s="247"/>
    </row>
    <row r="7739">
      <c r="C7739" s="277"/>
      <c r="M7739" s="277"/>
      <c r="O7739" s="247"/>
      <c r="AC7739" s="247"/>
      <c r="AT7739" s="247"/>
    </row>
    <row r="7740">
      <c r="C7740" s="277"/>
      <c r="M7740" s="277"/>
      <c r="O7740" s="247"/>
      <c r="AC7740" s="247"/>
      <c r="AT7740" s="247"/>
    </row>
    <row r="7741">
      <c r="C7741" s="277"/>
      <c r="M7741" s="277"/>
      <c r="O7741" s="247"/>
      <c r="AC7741" s="247"/>
      <c r="AT7741" s="247"/>
    </row>
    <row r="7742">
      <c r="C7742" s="277"/>
      <c r="M7742" s="277"/>
      <c r="O7742" s="247"/>
      <c r="AC7742" s="247"/>
      <c r="AT7742" s="247"/>
    </row>
    <row r="7743">
      <c r="C7743" s="277"/>
      <c r="M7743" s="277"/>
      <c r="O7743" s="247"/>
      <c r="AC7743" s="247"/>
      <c r="AT7743" s="247"/>
    </row>
    <row r="7744">
      <c r="C7744" s="277"/>
      <c r="M7744" s="277"/>
      <c r="O7744" s="247"/>
      <c r="AC7744" s="247"/>
      <c r="AT7744" s="247"/>
    </row>
    <row r="7745">
      <c r="C7745" s="277"/>
      <c r="M7745" s="277"/>
      <c r="O7745" s="247"/>
      <c r="AC7745" s="247"/>
      <c r="AT7745" s="247"/>
    </row>
    <row r="7746">
      <c r="C7746" s="277"/>
      <c r="M7746" s="277"/>
      <c r="O7746" s="247"/>
      <c r="AC7746" s="247"/>
      <c r="AT7746" s="247"/>
    </row>
    <row r="7747">
      <c r="C7747" s="277"/>
      <c r="M7747" s="277"/>
      <c r="O7747" s="247"/>
      <c r="AC7747" s="247"/>
      <c r="AT7747" s="247"/>
    </row>
    <row r="7748">
      <c r="C7748" s="277"/>
      <c r="M7748" s="277"/>
      <c r="O7748" s="247"/>
      <c r="AC7748" s="247"/>
      <c r="AT7748" s="247"/>
    </row>
    <row r="7749">
      <c r="C7749" s="277"/>
      <c r="M7749" s="277"/>
      <c r="O7749" s="247"/>
      <c r="AC7749" s="247"/>
      <c r="AT7749" s="247"/>
    </row>
    <row r="7750">
      <c r="C7750" s="277"/>
      <c r="M7750" s="277"/>
      <c r="O7750" s="247"/>
      <c r="AC7750" s="247"/>
      <c r="AT7750" s="247"/>
    </row>
    <row r="7751">
      <c r="C7751" s="277"/>
      <c r="M7751" s="277"/>
      <c r="O7751" s="247"/>
      <c r="AC7751" s="247"/>
      <c r="AT7751" s="247"/>
    </row>
    <row r="7752">
      <c r="C7752" s="277"/>
      <c r="M7752" s="277"/>
      <c r="O7752" s="247"/>
      <c r="AC7752" s="247"/>
      <c r="AT7752" s="247"/>
    </row>
    <row r="7753">
      <c r="C7753" s="277"/>
      <c r="M7753" s="277"/>
      <c r="O7753" s="247"/>
      <c r="AC7753" s="247"/>
      <c r="AT7753" s="247"/>
    </row>
    <row r="7754">
      <c r="C7754" s="277"/>
      <c r="M7754" s="277"/>
      <c r="O7754" s="247"/>
      <c r="AC7754" s="247"/>
      <c r="AT7754" s="247"/>
    </row>
    <row r="7755">
      <c r="C7755" s="277"/>
      <c r="M7755" s="277"/>
      <c r="O7755" s="247"/>
      <c r="AC7755" s="247"/>
      <c r="AT7755" s="247"/>
    </row>
    <row r="7756">
      <c r="C7756" s="277"/>
      <c r="M7756" s="277"/>
      <c r="O7756" s="247"/>
      <c r="AC7756" s="247"/>
      <c r="AT7756" s="247"/>
    </row>
    <row r="7757">
      <c r="C7757" s="277"/>
      <c r="M7757" s="277"/>
      <c r="O7757" s="247"/>
      <c r="AC7757" s="247"/>
      <c r="AT7757" s="247"/>
    </row>
    <row r="7758">
      <c r="C7758" s="277"/>
      <c r="M7758" s="277"/>
      <c r="O7758" s="247"/>
      <c r="AC7758" s="247"/>
      <c r="AT7758" s="247"/>
    </row>
    <row r="7759">
      <c r="C7759" s="277"/>
      <c r="M7759" s="277"/>
      <c r="O7759" s="247"/>
      <c r="AC7759" s="247"/>
      <c r="AT7759" s="247"/>
    </row>
    <row r="7760">
      <c r="C7760" s="277"/>
      <c r="M7760" s="277"/>
      <c r="O7760" s="247"/>
      <c r="AC7760" s="247"/>
      <c r="AT7760" s="247"/>
    </row>
    <row r="7761">
      <c r="C7761" s="277"/>
      <c r="M7761" s="277"/>
      <c r="O7761" s="247"/>
      <c r="AC7761" s="247"/>
      <c r="AT7761" s="247"/>
    </row>
    <row r="7762">
      <c r="C7762" s="277"/>
      <c r="M7762" s="277"/>
      <c r="O7762" s="247"/>
      <c r="AC7762" s="247"/>
      <c r="AT7762" s="247"/>
    </row>
    <row r="7763">
      <c r="C7763" s="277"/>
      <c r="M7763" s="277"/>
      <c r="O7763" s="247"/>
      <c r="AC7763" s="247"/>
      <c r="AT7763" s="247"/>
    </row>
    <row r="7764">
      <c r="C7764" s="277"/>
      <c r="M7764" s="277"/>
      <c r="O7764" s="247"/>
      <c r="AC7764" s="247"/>
      <c r="AT7764" s="247"/>
    </row>
    <row r="7765">
      <c r="C7765" s="277"/>
      <c r="M7765" s="277"/>
      <c r="O7765" s="247"/>
      <c r="AC7765" s="247"/>
      <c r="AT7765" s="247"/>
    </row>
    <row r="7766">
      <c r="C7766" s="277"/>
      <c r="M7766" s="277"/>
      <c r="O7766" s="247"/>
      <c r="AC7766" s="247"/>
      <c r="AT7766" s="247"/>
    </row>
    <row r="7767">
      <c r="C7767" s="277"/>
      <c r="M7767" s="277"/>
      <c r="O7767" s="247"/>
      <c r="AC7767" s="247"/>
      <c r="AT7767" s="247"/>
    </row>
    <row r="7768">
      <c r="C7768" s="277"/>
      <c r="M7768" s="277"/>
      <c r="O7768" s="247"/>
      <c r="AC7768" s="247"/>
      <c r="AT7768" s="247"/>
    </row>
    <row r="7769">
      <c r="C7769" s="277"/>
      <c r="M7769" s="277"/>
      <c r="O7769" s="247"/>
      <c r="AC7769" s="247"/>
      <c r="AT7769" s="247"/>
    </row>
    <row r="7770">
      <c r="C7770" s="277"/>
      <c r="M7770" s="277"/>
      <c r="O7770" s="247"/>
      <c r="AC7770" s="247"/>
      <c r="AT7770" s="247"/>
    </row>
    <row r="7771">
      <c r="C7771" s="277"/>
      <c r="M7771" s="277"/>
      <c r="O7771" s="247"/>
      <c r="AC7771" s="247"/>
      <c r="AT7771" s="247"/>
    </row>
    <row r="7772">
      <c r="C7772" s="277"/>
      <c r="M7772" s="277"/>
      <c r="O7772" s="247"/>
      <c r="AC7772" s="247"/>
      <c r="AT7772" s="247"/>
    </row>
    <row r="7773">
      <c r="C7773" s="277"/>
      <c r="M7773" s="277"/>
      <c r="O7773" s="247"/>
      <c r="AC7773" s="247"/>
      <c r="AT7773" s="247"/>
    </row>
    <row r="7774">
      <c r="C7774" s="277"/>
      <c r="M7774" s="277"/>
      <c r="O7774" s="247"/>
      <c r="AC7774" s="247"/>
      <c r="AT7774" s="247"/>
    </row>
    <row r="7775">
      <c r="C7775" s="277"/>
      <c r="M7775" s="277"/>
      <c r="O7775" s="247"/>
      <c r="AC7775" s="247"/>
      <c r="AT7775" s="247"/>
    </row>
    <row r="7776">
      <c r="C7776" s="277"/>
      <c r="M7776" s="277"/>
      <c r="O7776" s="247"/>
      <c r="AC7776" s="247"/>
      <c r="AT7776" s="247"/>
    </row>
    <row r="7777">
      <c r="C7777" s="277"/>
      <c r="M7777" s="277"/>
      <c r="O7777" s="247"/>
      <c r="AC7777" s="247"/>
      <c r="AT7777" s="247"/>
    </row>
    <row r="7778">
      <c r="C7778" s="277"/>
      <c r="M7778" s="277"/>
      <c r="O7778" s="247"/>
      <c r="AC7778" s="247"/>
      <c r="AT7778" s="247"/>
    </row>
    <row r="7779">
      <c r="C7779" s="277"/>
      <c r="M7779" s="277"/>
      <c r="O7779" s="247"/>
      <c r="AC7779" s="247"/>
      <c r="AT7779" s="247"/>
    </row>
    <row r="7780">
      <c r="C7780" s="277"/>
      <c r="M7780" s="277"/>
      <c r="O7780" s="247"/>
      <c r="AC7780" s="247"/>
      <c r="AT7780" s="247"/>
    </row>
    <row r="7781">
      <c r="C7781" s="277"/>
      <c r="M7781" s="277"/>
      <c r="O7781" s="247"/>
      <c r="AC7781" s="247"/>
      <c r="AT7781" s="247"/>
    </row>
    <row r="7782">
      <c r="C7782" s="277"/>
      <c r="M7782" s="277"/>
      <c r="O7782" s="247"/>
      <c r="AC7782" s="247"/>
      <c r="AT7782" s="247"/>
    </row>
    <row r="7783">
      <c r="C7783" s="277"/>
      <c r="M7783" s="277"/>
      <c r="O7783" s="247"/>
      <c r="AC7783" s="247"/>
      <c r="AT7783" s="247"/>
    </row>
    <row r="7784">
      <c r="C7784" s="277"/>
      <c r="M7784" s="277"/>
      <c r="O7784" s="247"/>
      <c r="AC7784" s="247"/>
      <c r="AT7784" s="247"/>
    </row>
    <row r="7785">
      <c r="C7785" s="277"/>
      <c r="M7785" s="277"/>
      <c r="O7785" s="247"/>
      <c r="AC7785" s="247"/>
      <c r="AT7785" s="247"/>
    </row>
    <row r="7786">
      <c r="C7786" s="277"/>
      <c r="M7786" s="277"/>
      <c r="O7786" s="247"/>
      <c r="AC7786" s="247"/>
      <c r="AT7786" s="247"/>
    </row>
    <row r="7787">
      <c r="C7787" s="277"/>
      <c r="M7787" s="277"/>
      <c r="O7787" s="247"/>
      <c r="AC7787" s="247"/>
      <c r="AT7787" s="247"/>
    </row>
    <row r="7788">
      <c r="C7788" s="277"/>
      <c r="M7788" s="277"/>
      <c r="O7788" s="247"/>
      <c r="AC7788" s="247"/>
      <c r="AT7788" s="247"/>
    </row>
    <row r="7789">
      <c r="C7789" s="277"/>
      <c r="M7789" s="277"/>
      <c r="O7789" s="247"/>
      <c r="AC7789" s="247"/>
      <c r="AT7789" s="247"/>
    </row>
    <row r="7790">
      <c r="C7790" s="277"/>
      <c r="M7790" s="277"/>
      <c r="O7790" s="247"/>
      <c r="AC7790" s="247"/>
      <c r="AT7790" s="247"/>
    </row>
    <row r="7791">
      <c r="C7791" s="277"/>
      <c r="M7791" s="277"/>
      <c r="O7791" s="247"/>
      <c r="AC7791" s="247"/>
      <c r="AT7791" s="247"/>
    </row>
    <row r="7792">
      <c r="C7792" s="277"/>
      <c r="M7792" s="277"/>
      <c r="O7792" s="247"/>
      <c r="AC7792" s="247"/>
      <c r="AT7792" s="247"/>
    </row>
    <row r="7793">
      <c r="C7793" s="277"/>
      <c r="M7793" s="277"/>
      <c r="O7793" s="247"/>
      <c r="AC7793" s="247"/>
      <c r="AT7793" s="247"/>
    </row>
    <row r="7794">
      <c r="C7794" s="277"/>
      <c r="M7794" s="277"/>
      <c r="O7794" s="247"/>
      <c r="AC7794" s="247"/>
      <c r="AT7794" s="247"/>
    </row>
    <row r="7795">
      <c r="C7795" s="277"/>
      <c r="M7795" s="277"/>
      <c r="O7795" s="247"/>
      <c r="AC7795" s="247"/>
      <c r="AT7795" s="247"/>
    </row>
    <row r="7796">
      <c r="C7796" s="277"/>
      <c r="M7796" s="277"/>
      <c r="O7796" s="247"/>
      <c r="AC7796" s="247"/>
      <c r="AT7796" s="247"/>
    </row>
    <row r="7797">
      <c r="C7797" s="277"/>
      <c r="M7797" s="277"/>
      <c r="O7797" s="247"/>
      <c r="AC7797" s="247"/>
      <c r="AT7797" s="247"/>
    </row>
    <row r="7798">
      <c r="C7798" s="277"/>
      <c r="M7798" s="277"/>
      <c r="O7798" s="247"/>
      <c r="AC7798" s="247"/>
      <c r="AT7798" s="247"/>
    </row>
    <row r="7799">
      <c r="C7799" s="277"/>
      <c r="M7799" s="277"/>
      <c r="O7799" s="247"/>
      <c r="AC7799" s="247"/>
      <c r="AT7799" s="247"/>
    </row>
    <row r="7800">
      <c r="C7800" s="277"/>
      <c r="M7800" s="277"/>
      <c r="O7800" s="247"/>
      <c r="AC7800" s="247"/>
      <c r="AT7800" s="247"/>
    </row>
    <row r="7801">
      <c r="C7801" s="277"/>
      <c r="M7801" s="277"/>
      <c r="O7801" s="247"/>
      <c r="AC7801" s="247"/>
      <c r="AT7801" s="247"/>
    </row>
    <row r="7802">
      <c r="C7802" s="277"/>
      <c r="M7802" s="277"/>
      <c r="O7802" s="247"/>
      <c r="AC7802" s="247"/>
      <c r="AT7802" s="247"/>
    </row>
    <row r="7803">
      <c r="C7803" s="277"/>
      <c r="M7803" s="277"/>
      <c r="O7803" s="247"/>
      <c r="AC7803" s="247"/>
      <c r="AT7803" s="247"/>
    </row>
    <row r="7804">
      <c r="C7804" s="277"/>
      <c r="M7804" s="277"/>
      <c r="O7804" s="247"/>
      <c r="AC7804" s="247"/>
      <c r="AT7804" s="247"/>
    </row>
    <row r="7805">
      <c r="C7805" s="277"/>
      <c r="M7805" s="277"/>
      <c r="O7805" s="247"/>
      <c r="AC7805" s="247"/>
      <c r="AT7805" s="247"/>
    </row>
    <row r="7806">
      <c r="C7806" s="277"/>
      <c r="M7806" s="277"/>
      <c r="O7806" s="247"/>
      <c r="AC7806" s="247"/>
      <c r="AT7806" s="247"/>
    </row>
    <row r="7807">
      <c r="C7807" s="277"/>
      <c r="M7807" s="277"/>
      <c r="O7807" s="247"/>
      <c r="AC7807" s="247"/>
      <c r="AT7807" s="247"/>
    </row>
    <row r="7808">
      <c r="C7808" s="277"/>
      <c r="M7808" s="277"/>
      <c r="O7808" s="247"/>
      <c r="AC7808" s="247"/>
      <c r="AT7808" s="247"/>
    </row>
    <row r="7809">
      <c r="C7809" s="277"/>
      <c r="M7809" s="277"/>
      <c r="O7809" s="247"/>
      <c r="AC7809" s="247"/>
      <c r="AT7809" s="247"/>
    </row>
    <row r="7810">
      <c r="C7810" s="277"/>
      <c r="M7810" s="277"/>
      <c r="O7810" s="247"/>
      <c r="AC7810" s="247"/>
      <c r="AT7810" s="247"/>
    </row>
    <row r="7811">
      <c r="C7811" s="277"/>
      <c r="M7811" s="277"/>
      <c r="O7811" s="247"/>
      <c r="AC7811" s="247"/>
      <c r="AT7811" s="247"/>
    </row>
    <row r="7812">
      <c r="C7812" s="277"/>
      <c r="M7812" s="277"/>
      <c r="O7812" s="247"/>
      <c r="AC7812" s="247"/>
      <c r="AT7812" s="247"/>
    </row>
    <row r="7813">
      <c r="C7813" s="277"/>
      <c r="M7813" s="277"/>
      <c r="O7813" s="247"/>
      <c r="AC7813" s="247"/>
      <c r="AT7813" s="247"/>
    </row>
    <row r="7814">
      <c r="C7814" s="277"/>
      <c r="M7814" s="277"/>
      <c r="O7814" s="247"/>
      <c r="AC7814" s="247"/>
      <c r="AT7814" s="247"/>
    </row>
    <row r="7815">
      <c r="C7815" s="277"/>
      <c r="M7815" s="277"/>
      <c r="O7815" s="247"/>
      <c r="AC7815" s="247"/>
      <c r="AT7815" s="247"/>
    </row>
    <row r="7816">
      <c r="C7816" s="277"/>
      <c r="M7816" s="277"/>
      <c r="O7816" s="247"/>
      <c r="AC7816" s="247"/>
      <c r="AT7816" s="247"/>
    </row>
    <row r="7817">
      <c r="C7817" s="277"/>
      <c r="M7817" s="277"/>
      <c r="O7817" s="247"/>
      <c r="AC7817" s="247"/>
      <c r="AT7817" s="247"/>
    </row>
    <row r="7818">
      <c r="C7818" s="277"/>
      <c r="M7818" s="277"/>
      <c r="O7818" s="247"/>
      <c r="AC7818" s="247"/>
      <c r="AT7818" s="247"/>
    </row>
    <row r="7819">
      <c r="C7819" s="277"/>
      <c r="M7819" s="277"/>
      <c r="O7819" s="247"/>
      <c r="AC7819" s="247"/>
      <c r="AT7819" s="247"/>
    </row>
    <row r="7820">
      <c r="C7820" s="277"/>
      <c r="M7820" s="277"/>
      <c r="O7820" s="247"/>
      <c r="AC7820" s="247"/>
      <c r="AT7820" s="247"/>
    </row>
    <row r="7821">
      <c r="C7821" s="277"/>
      <c r="M7821" s="277"/>
      <c r="O7821" s="247"/>
      <c r="AC7821" s="247"/>
      <c r="AT7821" s="247"/>
    </row>
    <row r="7822">
      <c r="C7822" s="277"/>
      <c r="M7822" s="277"/>
      <c r="O7822" s="247"/>
      <c r="AC7822" s="247"/>
      <c r="AT7822" s="247"/>
    </row>
    <row r="7823">
      <c r="C7823" s="277"/>
      <c r="M7823" s="277"/>
      <c r="O7823" s="247"/>
      <c r="AC7823" s="247"/>
      <c r="AT7823" s="247"/>
    </row>
    <row r="7824">
      <c r="C7824" s="277"/>
      <c r="M7824" s="277"/>
      <c r="O7824" s="247"/>
      <c r="AC7824" s="247"/>
      <c r="AT7824" s="247"/>
    </row>
    <row r="7825">
      <c r="C7825" s="277"/>
      <c r="M7825" s="277"/>
      <c r="O7825" s="247"/>
      <c r="AC7825" s="247"/>
      <c r="AT7825" s="247"/>
    </row>
    <row r="7826">
      <c r="C7826" s="277"/>
      <c r="M7826" s="277"/>
      <c r="O7826" s="247"/>
      <c r="AC7826" s="247"/>
      <c r="AT7826" s="247"/>
    </row>
    <row r="7827">
      <c r="C7827" s="277"/>
      <c r="M7827" s="277"/>
      <c r="O7827" s="247"/>
      <c r="AC7827" s="247"/>
      <c r="AT7827" s="247"/>
    </row>
    <row r="7828">
      <c r="C7828" s="277"/>
      <c r="M7828" s="277"/>
      <c r="O7828" s="247"/>
      <c r="AC7828" s="247"/>
      <c r="AT7828" s="247"/>
    </row>
    <row r="7829">
      <c r="C7829" s="277"/>
      <c r="M7829" s="277"/>
      <c r="O7829" s="247"/>
      <c r="AC7829" s="247"/>
      <c r="AT7829" s="247"/>
    </row>
    <row r="7830">
      <c r="C7830" s="277"/>
      <c r="M7830" s="277"/>
      <c r="O7830" s="247"/>
      <c r="AC7830" s="247"/>
      <c r="AT7830" s="247"/>
    </row>
    <row r="7831">
      <c r="C7831" s="277"/>
      <c r="M7831" s="277"/>
      <c r="O7831" s="247"/>
      <c r="AC7831" s="247"/>
      <c r="AT7831" s="247"/>
    </row>
    <row r="7832">
      <c r="C7832" s="277"/>
      <c r="M7832" s="277"/>
      <c r="O7832" s="247"/>
      <c r="AC7832" s="247"/>
      <c r="AT7832" s="247"/>
    </row>
    <row r="7833">
      <c r="C7833" s="277"/>
      <c r="M7833" s="277"/>
      <c r="O7833" s="247"/>
      <c r="AC7833" s="247"/>
      <c r="AT7833" s="247"/>
    </row>
    <row r="7834">
      <c r="C7834" s="277"/>
      <c r="M7834" s="277"/>
      <c r="O7834" s="247"/>
      <c r="AC7834" s="247"/>
      <c r="AT7834" s="247"/>
    </row>
    <row r="7835">
      <c r="C7835" s="277"/>
      <c r="M7835" s="277"/>
      <c r="O7835" s="247"/>
      <c r="AC7835" s="247"/>
      <c r="AT7835" s="247"/>
    </row>
    <row r="7836">
      <c r="C7836" s="277"/>
      <c r="M7836" s="277"/>
      <c r="O7836" s="247"/>
      <c r="AC7836" s="247"/>
      <c r="AT7836" s="247"/>
    </row>
    <row r="7837">
      <c r="C7837" s="277"/>
      <c r="M7837" s="277"/>
      <c r="O7837" s="247"/>
      <c r="AC7837" s="247"/>
      <c r="AT7837" s="247"/>
    </row>
    <row r="7838">
      <c r="C7838" s="277"/>
      <c r="M7838" s="277"/>
      <c r="O7838" s="247"/>
      <c r="AC7838" s="247"/>
      <c r="AT7838" s="247"/>
    </row>
    <row r="7839">
      <c r="C7839" s="277"/>
      <c r="M7839" s="277"/>
      <c r="O7839" s="247"/>
      <c r="AC7839" s="247"/>
      <c r="AT7839" s="247"/>
    </row>
    <row r="7840">
      <c r="C7840" s="277"/>
      <c r="M7840" s="277"/>
      <c r="O7840" s="247"/>
      <c r="AC7840" s="247"/>
      <c r="AT7840" s="247"/>
    </row>
    <row r="7841">
      <c r="C7841" s="277"/>
      <c r="M7841" s="277"/>
      <c r="O7841" s="247"/>
      <c r="AC7841" s="247"/>
      <c r="AT7841" s="247"/>
    </row>
    <row r="7842">
      <c r="C7842" s="277"/>
      <c r="M7842" s="277"/>
      <c r="O7842" s="247"/>
      <c r="AC7842" s="247"/>
      <c r="AT7842" s="247"/>
    </row>
    <row r="7843">
      <c r="C7843" s="277"/>
      <c r="M7843" s="277"/>
      <c r="O7843" s="247"/>
      <c r="AC7843" s="247"/>
      <c r="AT7843" s="247"/>
    </row>
    <row r="7844">
      <c r="C7844" s="277"/>
      <c r="M7844" s="277"/>
      <c r="O7844" s="247"/>
      <c r="AC7844" s="247"/>
      <c r="AT7844" s="247"/>
    </row>
    <row r="7845">
      <c r="C7845" s="277"/>
      <c r="M7845" s="277"/>
      <c r="O7845" s="247"/>
      <c r="AC7845" s="247"/>
      <c r="AT7845" s="247"/>
    </row>
    <row r="7846">
      <c r="C7846" s="277"/>
      <c r="M7846" s="277"/>
      <c r="O7846" s="247"/>
      <c r="AC7846" s="247"/>
      <c r="AT7846" s="247"/>
    </row>
    <row r="7847">
      <c r="C7847" s="277"/>
      <c r="M7847" s="277"/>
      <c r="O7847" s="247"/>
      <c r="AC7847" s="247"/>
      <c r="AT7847" s="247"/>
    </row>
    <row r="7848">
      <c r="C7848" s="277"/>
      <c r="M7848" s="277"/>
      <c r="O7848" s="247"/>
      <c r="AC7848" s="247"/>
      <c r="AT7848" s="247"/>
    </row>
    <row r="7849">
      <c r="C7849" s="277"/>
      <c r="M7849" s="277"/>
      <c r="O7849" s="247"/>
      <c r="AC7849" s="247"/>
      <c r="AT7849" s="247"/>
    </row>
    <row r="7850">
      <c r="C7850" s="277"/>
      <c r="M7850" s="277"/>
      <c r="O7850" s="247"/>
      <c r="AC7850" s="247"/>
      <c r="AT7850" s="247"/>
    </row>
    <row r="7851">
      <c r="C7851" s="277"/>
      <c r="M7851" s="277"/>
      <c r="O7851" s="247"/>
      <c r="AC7851" s="247"/>
      <c r="AT7851" s="247"/>
    </row>
    <row r="7852">
      <c r="C7852" s="277"/>
      <c r="M7852" s="277"/>
      <c r="O7852" s="247"/>
      <c r="AC7852" s="247"/>
      <c r="AT7852" s="247"/>
    </row>
    <row r="7853">
      <c r="C7853" s="277"/>
      <c r="M7853" s="277"/>
      <c r="O7853" s="247"/>
      <c r="AC7853" s="247"/>
      <c r="AT7853" s="247"/>
    </row>
    <row r="7854">
      <c r="C7854" s="277"/>
      <c r="M7854" s="277"/>
      <c r="O7854" s="247"/>
      <c r="AC7854" s="247"/>
      <c r="AT7854" s="247"/>
    </row>
    <row r="7855">
      <c r="C7855" s="277"/>
      <c r="M7855" s="277"/>
      <c r="O7855" s="247"/>
      <c r="AC7855" s="247"/>
      <c r="AT7855" s="247"/>
    </row>
    <row r="7856">
      <c r="C7856" s="277"/>
      <c r="M7856" s="277"/>
      <c r="O7856" s="247"/>
      <c r="AC7856" s="247"/>
      <c r="AT7856" s="247"/>
    </row>
    <row r="7857">
      <c r="C7857" s="277"/>
      <c r="M7857" s="277"/>
      <c r="O7857" s="247"/>
      <c r="AC7857" s="247"/>
      <c r="AT7857" s="247"/>
    </row>
    <row r="7858">
      <c r="C7858" s="277"/>
      <c r="M7858" s="277"/>
      <c r="O7858" s="247"/>
      <c r="AC7858" s="247"/>
      <c r="AT7858" s="247"/>
    </row>
    <row r="7859">
      <c r="C7859" s="277"/>
      <c r="M7859" s="277"/>
      <c r="O7859" s="247"/>
      <c r="AC7859" s="247"/>
      <c r="AT7859" s="247"/>
    </row>
    <row r="7860">
      <c r="C7860" s="277"/>
      <c r="M7860" s="277"/>
      <c r="O7860" s="247"/>
      <c r="AC7860" s="247"/>
      <c r="AT7860" s="247"/>
    </row>
    <row r="7861">
      <c r="C7861" s="277"/>
      <c r="M7861" s="277"/>
      <c r="O7861" s="247"/>
      <c r="AC7861" s="247"/>
      <c r="AT7861" s="247"/>
    </row>
    <row r="7862">
      <c r="C7862" s="277"/>
      <c r="M7862" s="277"/>
      <c r="O7862" s="247"/>
      <c r="AC7862" s="247"/>
      <c r="AT7862" s="247"/>
    </row>
    <row r="7863">
      <c r="C7863" s="277"/>
      <c r="M7863" s="277"/>
      <c r="O7863" s="247"/>
      <c r="AC7863" s="247"/>
      <c r="AT7863" s="247"/>
    </row>
    <row r="7864">
      <c r="C7864" s="277"/>
      <c r="M7864" s="277"/>
      <c r="O7864" s="247"/>
      <c r="AC7864" s="247"/>
      <c r="AT7864" s="247"/>
    </row>
    <row r="7865">
      <c r="C7865" s="277"/>
      <c r="M7865" s="277"/>
      <c r="O7865" s="247"/>
      <c r="AC7865" s="247"/>
      <c r="AT7865" s="247"/>
    </row>
    <row r="7866">
      <c r="C7866" s="277"/>
      <c r="M7866" s="277"/>
      <c r="O7866" s="247"/>
      <c r="AC7866" s="247"/>
      <c r="AT7866" s="247"/>
    </row>
    <row r="7867">
      <c r="C7867" s="277"/>
      <c r="M7867" s="277"/>
      <c r="O7867" s="247"/>
      <c r="AC7867" s="247"/>
      <c r="AT7867" s="247"/>
    </row>
    <row r="7868">
      <c r="C7868" s="277"/>
      <c r="M7868" s="277"/>
      <c r="O7868" s="247"/>
      <c r="AC7868" s="247"/>
      <c r="AT7868" s="247"/>
    </row>
    <row r="7869">
      <c r="C7869" s="277"/>
      <c r="M7869" s="277"/>
      <c r="O7869" s="247"/>
      <c r="AC7869" s="247"/>
      <c r="AT7869" s="247"/>
    </row>
    <row r="7870">
      <c r="C7870" s="277"/>
      <c r="M7870" s="277"/>
      <c r="O7870" s="247"/>
      <c r="AC7870" s="247"/>
      <c r="AT7870" s="247"/>
    </row>
    <row r="7871">
      <c r="C7871" s="277"/>
      <c r="M7871" s="277"/>
      <c r="O7871" s="247"/>
      <c r="AC7871" s="247"/>
      <c r="AT7871" s="247"/>
    </row>
    <row r="7872">
      <c r="C7872" s="277"/>
      <c r="M7872" s="277"/>
      <c r="O7872" s="247"/>
      <c r="AC7872" s="247"/>
      <c r="AT7872" s="247"/>
    </row>
    <row r="7873">
      <c r="C7873" s="277"/>
      <c r="M7873" s="277"/>
      <c r="O7873" s="247"/>
      <c r="AC7873" s="247"/>
      <c r="AT7873" s="247"/>
    </row>
    <row r="7874">
      <c r="C7874" s="277"/>
      <c r="M7874" s="277"/>
      <c r="O7874" s="247"/>
      <c r="AC7874" s="247"/>
      <c r="AT7874" s="247"/>
    </row>
    <row r="7875">
      <c r="C7875" s="277"/>
      <c r="M7875" s="277"/>
      <c r="O7875" s="247"/>
      <c r="AC7875" s="247"/>
      <c r="AT7875" s="247"/>
    </row>
    <row r="7876">
      <c r="C7876" s="277"/>
      <c r="M7876" s="277"/>
      <c r="O7876" s="247"/>
      <c r="AC7876" s="247"/>
      <c r="AT7876" s="247"/>
    </row>
    <row r="7877">
      <c r="C7877" s="277"/>
      <c r="M7877" s="277"/>
      <c r="O7877" s="247"/>
      <c r="AC7877" s="247"/>
      <c r="AT7877" s="247"/>
    </row>
    <row r="7878">
      <c r="C7878" s="277"/>
      <c r="M7878" s="277"/>
      <c r="O7878" s="247"/>
      <c r="AC7878" s="247"/>
      <c r="AT7878" s="247"/>
    </row>
    <row r="7879">
      <c r="C7879" s="277"/>
      <c r="M7879" s="277"/>
      <c r="O7879" s="247"/>
      <c r="AC7879" s="247"/>
      <c r="AT7879" s="247"/>
    </row>
    <row r="7880">
      <c r="C7880" s="277"/>
      <c r="M7880" s="277"/>
      <c r="O7880" s="247"/>
      <c r="AC7880" s="247"/>
      <c r="AT7880" s="247"/>
    </row>
    <row r="7881">
      <c r="C7881" s="277"/>
      <c r="M7881" s="277"/>
      <c r="O7881" s="247"/>
      <c r="AC7881" s="247"/>
      <c r="AT7881" s="247"/>
    </row>
    <row r="7882">
      <c r="C7882" s="277"/>
      <c r="M7882" s="277"/>
      <c r="O7882" s="247"/>
      <c r="AC7882" s="247"/>
      <c r="AT7882" s="247"/>
    </row>
    <row r="7883">
      <c r="C7883" s="277"/>
      <c r="M7883" s="277"/>
      <c r="O7883" s="247"/>
      <c r="AC7883" s="247"/>
      <c r="AT7883" s="247"/>
    </row>
    <row r="7884">
      <c r="C7884" s="277"/>
      <c r="M7884" s="277"/>
      <c r="O7884" s="247"/>
      <c r="AC7884" s="247"/>
      <c r="AT7884" s="247"/>
    </row>
    <row r="7885">
      <c r="C7885" s="277"/>
      <c r="M7885" s="277"/>
      <c r="O7885" s="247"/>
      <c r="AC7885" s="247"/>
      <c r="AT7885" s="247"/>
    </row>
    <row r="7886">
      <c r="C7886" s="277"/>
      <c r="M7886" s="277"/>
      <c r="O7886" s="247"/>
      <c r="AC7886" s="247"/>
      <c r="AT7886" s="247"/>
    </row>
    <row r="7887">
      <c r="C7887" s="277"/>
      <c r="M7887" s="277"/>
      <c r="O7887" s="247"/>
      <c r="AC7887" s="247"/>
      <c r="AT7887" s="247"/>
    </row>
    <row r="7888">
      <c r="C7888" s="277"/>
      <c r="M7888" s="277"/>
      <c r="O7888" s="247"/>
      <c r="AC7888" s="247"/>
      <c r="AT7888" s="247"/>
    </row>
    <row r="7889">
      <c r="C7889" s="277"/>
      <c r="M7889" s="277"/>
      <c r="O7889" s="247"/>
      <c r="AC7889" s="247"/>
      <c r="AT7889" s="247"/>
    </row>
    <row r="7890">
      <c r="C7890" s="277"/>
      <c r="M7890" s="277"/>
      <c r="O7890" s="247"/>
      <c r="AC7890" s="247"/>
      <c r="AT7890" s="247"/>
    </row>
    <row r="7891">
      <c r="C7891" s="277"/>
      <c r="M7891" s="277"/>
      <c r="O7891" s="247"/>
      <c r="AC7891" s="247"/>
      <c r="AT7891" s="247"/>
    </row>
    <row r="7892">
      <c r="C7892" s="277"/>
      <c r="M7892" s="277"/>
      <c r="O7892" s="247"/>
      <c r="AC7892" s="247"/>
      <c r="AT7892" s="247"/>
    </row>
    <row r="7893">
      <c r="C7893" s="277"/>
      <c r="M7893" s="277"/>
      <c r="O7893" s="247"/>
      <c r="AC7893" s="247"/>
      <c r="AT7893" s="247"/>
    </row>
    <row r="7894">
      <c r="C7894" s="277"/>
      <c r="M7894" s="277"/>
      <c r="O7894" s="247"/>
      <c r="AC7894" s="247"/>
      <c r="AT7894" s="247"/>
    </row>
    <row r="7895">
      <c r="C7895" s="277"/>
      <c r="M7895" s="277"/>
      <c r="O7895" s="247"/>
      <c r="AC7895" s="247"/>
      <c r="AT7895" s="247"/>
    </row>
    <row r="7896">
      <c r="C7896" s="277"/>
      <c r="M7896" s="277"/>
      <c r="O7896" s="247"/>
      <c r="AC7896" s="247"/>
      <c r="AT7896" s="247"/>
    </row>
    <row r="7897">
      <c r="C7897" s="277"/>
      <c r="M7897" s="277"/>
      <c r="O7897" s="247"/>
      <c r="AC7897" s="247"/>
      <c r="AT7897" s="247"/>
    </row>
    <row r="7898">
      <c r="C7898" s="277"/>
      <c r="M7898" s="277"/>
      <c r="O7898" s="247"/>
      <c r="AC7898" s="247"/>
      <c r="AT7898" s="247"/>
    </row>
    <row r="7899">
      <c r="C7899" s="277"/>
      <c r="M7899" s="277"/>
      <c r="O7899" s="247"/>
      <c r="AC7899" s="247"/>
      <c r="AT7899" s="247"/>
    </row>
    <row r="7900">
      <c r="C7900" s="277"/>
      <c r="M7900" s="277"/>
      <c r="O7900" s="247"/>
      <c r="AC7900" s="247"/>
      <c r="AT7900" s="247"/>
    </row>
    <row r="7901">
      <c r="C7901" s="277"/>
      <c r="M7901" s="277"/>
      <c r="O7901" s="247"/>
      <c r="AC7901" s="247"/>
      <c r="AT7901" s="247"/>
    </row>
    <row r="7902">
      <c r="C7902" s="277"/>
      <c r="M7902" s="277"/>
      <c r="O7902" s="247"/>
      <c r="AC7902" s="247"/>
      <c r="AT7902" s="247"/>
    </row>
    <row r="7903">
      <c r="C7903" s="277"/>
      <c r="M7903" s="277"/>
      <c r="O7903" s="247"/>
      <c r="AC7903" s="247"/>
      <c r="AT7903" s="247"/>
    </row>
    <row r="7904">
      <c r="C7904" s="277"/>
      <c r="M7904" s="277"/>
      <c r="O7904" s="247"/>
      <c r="AC7904" s="247"/>
      <c r="AT7904" s="247"/>
    </row>
    <row r="7905">
      <c r="C7905" s="277"/>
      <c r="M7905" s="277"/>
      <c r="O7905" s="247"/>
      <c r="AC7905" s="247"/>
      <c r="AT7905" s="247"/>
    </row>
    <row r="7906">
      <c r="C7906" s="277"/>
      <c r="M7906" s="277"/>
      <c r="O7906" s="247"/>
      <c r="AC7906" s="247"/>
      <c r="AT7906" s="247"/>
    </row>
    <row r="7907">
      <c r="C7907" s="277"/>
      <c r="M7907" s="277"/>
      <c r="O7907" s="247"/>
      <c r="AC7907" s="247"/>
      <c r="AT7907" s="247"/>
    </row>
    <row r="7908">
      <c r="C7908" s="277"/>
      <c r="M7908" s="277"/>
      <c r="O7908" s="247"/>
      <c r="AC7908" s="247"/>
      <c r="AT7908" s="247"/>
    </row>
    <row r="7909">
      <c r="C7909" s="277"/>
      <c r="M7909" s="277"/>
      <c r="O7909" s="247"/>
      <c r="AC7909" s="247"/>
      <c r="AT7909" s="247"/>
    </row>
    <row r="7910">
      <c r="C7910" s="277"/>
      <c r="M7910" s="277"/>
      <c r="O7910" s="247"/>
      <c r="AC7910" s="247"/>
      <c r="AT7910" s="247"/>
    </row>
    <row r="7911">
      <c r="C7911" s="277"/>
      <c r="M7911" s="277"/>
      <c r="O7911" s="247"/>
      <c r="AC7911" s="247"/>
      <c r="AT7911" s="247"/>
    </row>
    <row r="7912">
      <c r="C7912" s="277"/>
      <c r="M7912" s="277"/>
      <c r="O7912" s="247"/>
      <c r="AC7912" s="247"/>
      <c r="AT7912" s="247"/>
    </row>
    <row r="7913">
      <c r="C7913" s="277"/>
      <c r="M7913" s="277"/>
      <c r="O7913" s="247"/>
      <c r="AC7913" s="247"/>
      <c r="AT7913" s="247"/>
    </row>
    <row r="7914">
      <c r="C7914" s="277"/>
      <c r="M7914" s="277"/>
      <c r="O7914" s="247"/>
      <c r="AC7914" s="247"/>
      <c r="AT7914" s="247"/>
    </row>
    <row r="7915">
      <c r="C7915" s="277"/>
      <c r="M7915" s="277"/>
      <c r="O7915" s="247"/>
      <c r="AC7915" s="247"/>
      <c r="AT7915" s="247"/>
    </row>
    <row r="7916">
      <c r="C7916" s="277"/>
      <c r="M7916" s="277"/>
      <c r="O7916" s="247"/>
      <c r="AC7916" s="247"/>
      <c r="AT7916" s="247"/>
    </row>
    <row r="7917">
      <c r="C7917" s="277"/>
      <c r="M7917" s="277"/>
      <c r="O7917" s="247"/>
      <c r="AC7917" s="247"/>
      <c r="AT7917" s="247"/>
    </row>
    <row r="7918">
      <c r="C7918" s="277"/>
      <c r="M7918" s="277"/>
      <c r="O7918" s="247"/>
      <c r="AC7918" s="247"/>
      <c r="AT7918" s="247"/>
    </row>
    <row r="7919">
      <c r="C7919" s="277"/>
      <c r="M7919" s="277"/>
      <c r="O7919" s="247"/>
      <c r="AC7919" s="247"/>
      <c r="AT7919" s="247"/>
    </row>
    <row r="7920">
      <c r="C7920" s="277"/>
      <c r="M7920" s="277"/>
      <c r="O7920" s="247"/>
      <c r="AC7920" s="247"/>
      <c r="AT7920" s="247"/>
    </row>
    <row r="7921">
      <c r="C7921" s="277"/>
      <c r="M7921" s="277"/>
      <c r="O7921" s="247"/>
      <c r="AC7921" s="247"/>
      <c r="AT7921" s="247"/>
    </row>
    <row r="7922">
      <c r="C7922" s="277"/>
      <c r="M7922" s="277"/>
      <c r="O7922" s="247"/>
      <c r="AC7922" s="247"/>
      <c r="AT7922" s="247"/>
    </row>
    <row r="7923">
      <c r="C7923" s="277"/>
      <c r="M7923" s="277"/>
      <c r="O7923" s="247"/>
      <c r="AC7923" s="247"/>
      <c r="AT7923" s="247"/>
    </row>
    <row r="7924">
      <c r="C7924" s="277"/>
      <c r="M7924" s="277"/>
      <c r="O7924" s="247"/>
      <c r="AC7924" s="247"/>
      <c r="AT7924" s="247"/>
    </row>
    <row r="7925">
      <c r="C7925" s="277"/>
      <c r="M7925" s="277"/>
      <c r="O7925" s="247"/>
      <c r="AC7925" s="247"/>
      <c r="AT7925" s="247"/>
    </row>
    <row r="7926">
      <c r="C7926" s="277"/>
      <c r="M7926" s="277"/>
      <c r="O7926" s="247"/>
      <c r="AC7926" s="247"/>
      <c r="AT7926" s="247"/>
    </row>
    <row r="7927">
      <c r="C7927" s="277"/>
      <c r="M7927" s="277"/>
      <c r="O7927" s="247"/>
      <c r="AC7927" s="247"/>
      <c r="AT7927" s="247"/>
    </row>
    <row r="7928">
      <c r="C7928" s="277"/>
      <c r="M7928" s="277"/>
      <c r="O7928" s="247"/>
      <c r="AC7928" s="247"/>
      <c r="AT7928" s="247"/>
    </row>
    <row r="7929">
      <c r="C7929" s="277"/>
      <c r="M7929" s="277"/>
      <c r="O7929" s="247"/>
      <c r="AC7929" s="247"/>
      <c r="AT7929" s="247"/>
    </row>
    <row r="7930">
      <c r="C7930" s="277"/>
      <c r="M7930" s="277"/>
      <c r="O7930" s="247"/>
      <c r="AC7930" s="247"/>
      <c r="AT7930" s="247"/>
    </row>
    <row r="7931">
      <c r="C7931" s="277"/>
      <c r="M7931" s="277"/>
      <c r="O7931" s="247"/>
      <c r="AC7931" s="247"/>
      <c r="AT7931" s="247"/>
    </row>
    <row r="7932">
      <c r="C7932" s="277"/>
      <c r="M7932" s="277"/>
      <c r="O7932" s="247"/>
      <c r="AC7932" s="247"/>
      <c r="AT7932" s="247"/>
    </row>
    <row r="7933">
      <c r="C7933" s="277"/>
      <c r="M7933" s="277"/>
      <c r="O7933" s="247"/>
      <c r="AC7933" s="247"/>
      <c r="AT7933" s="247"/>
    </row>
    <row r="7934">
      <c r="C7934" s="277"/>
      <c r="M7934" s="277"/>
      <c r="O7934" s="247"/>
      <c r="AC7934" s="247"/>
      <c r="AT7934" s="247"/>
    </row>
    <row r="7935">
      <c r="C7935" s="277"/>
      <c r="M7935" s="277"/>
      <c r="O7935" s="247"/>
      <c r="AC7935" s="247"/>
      <c r="AT7935" s="247"/>
    </row>
    <row r="7936">
      <c r="C7936" s="277"/>
      <c r="M7936" s="277"/>
      <c r="O7936" s="247"/>
      <c r="AC7936" s="247"/>
      <c r="AT7936" s="247"/>
    </row>
    <row r="7937">
      <c r="C7937" s="277"/>
      <c r="M7937" s="277"/>
      <c r="O7937" s="247"/>
      <c r="AC7937" s="247"/>
      <c r="AT7937" s="247"/>
    </row>
    <row r="7938">
      <c r="C7938" s="277"/>
      <c r="M7938" s="277"/>
      <c r="O7938" s="247"/>
      <c r="AC7938" s="247"/>
      <c r="AT7938" s="247"/>
    </row>
    <row r="7939">
      <c r="C7939" s="277"/>
      <c r="M7939" s="277"/>
      <c r="O7939" s="247"/>
      <c r="AC7939" s="247"/>
      <c r="AT7939" s="247"/>
    </row>
    <row r="7940">
      <c r="C7940" s="277"/>
      <c r="M7940" s="277"/>
      <c r="O7940" s="247"/>
      <c r="AC7940" s="247"/>
      <c r="AT7940" s="247"/>
    </row>
    <row r="7941">
      <c r="C7941" s="277"/>
      <c r="M7941" s="277"/>
      <c r="O7941" s="247"/>
      <c r="AC7941" s="247"/>
      <c r="AT7941" s="247"/>
    </row>
    <row r="7942">
      <c r="C7942" s="277"/>
      <c r="M7942" s="277"/>
      <c r="O7942" s="247"/>
      <c r="AC7942" s="247"/>
      <c r="AT7942" s="247"/>
    </row>
    <row r="7943">
      <c r="C7943" s="277"/>
      <c r="M7943" s="277"/>
      <c r="O7943" s="247"/>
      <c r="AC7943" s="247"/>
      <c r="AT7943" s="247"/>
    </row>
    <row r="7944">
      <c r="C7944" s="277"/>
      <c r="M7944" s="277"/>
      <c r="O7944" s="247"/>
      <c r="AC7944" s="247"/>
      <c r="AT7944" s="247"/>
    </row>
    <row r="7945">
      <c r="C7945" s="277"/>
      <c r="M7945" s="277"/>
      <c r="O7945" s="247"/>
      <c r="AC7945" s="247"/>
      <c r="AT7945" s="247"/>
    </row>
    <row r="7946">
      <c r="C7946" s="277"/>
      <c r="M7946" s="277"/>
      <c r="O7946" s="247"/>
      <c r="AC7946" s="247"/>
      <c r="AT7946" s="247"/>
    </row>
    <row r="7947">
      <c r="C7947" s="277"/>
      <c r="M7947" s="277"/>
      <c r="O7947" s="247"/>
      <c r="AC7947" s="247"/>
      <c r="AT7947" s="247"/>
    </row>
    <row r="7948">
      <c r="C7948" s="277"/>
      <c r="M7948" s="277"/>
      <c r="O7948" s="247"/>
      <c r="AC7948" s="247"/>
      <c r="AT7948" s="247"/>
    </row>
    <row r="7949">
      <c r="C7949" s="277"/>
      <c r="M7949" s="277"/>
      <c r="O7949" s="247"/>
      <c r="AC7949" s="247"/>
      <c r="AT7949" s="247"/>
    </row>
    <row r="7950">
      <c r="C7950" s="277"/>
      <c r="M7950" s="277"/>
      <c r="O7950" s="247"/>
      <c r="AC7950" s="247"/>
      <c r="AT7950" s="247"/>
    </row>
    <row r="7951">
      <c r="C7951" s="277"/>
      <c r="M7951" s="277"/>
      <c r="O7951" s="247"/>
      <c r="AC7951" s="247"/>
      <c r="AT7951" s="247"/>
    </row>
    <row r="7952">
      <c r="C7952" s="277"/>
      <c r="M7952" s="277"/>
      <c r="O7952" s="247"/>
      <c r="AC7952" s="247"/>
      <c r="AT7952" s="247"/>
    </row>
    <row r="7953">
      <c r="C7953" s="277"/>
      <c r="M7953" s="277"/>
      <c r="O7953" s="247"/>
      <c r="AC7953" s="247"/>
      <c r="AT7953" s="247"/>
    </row>
    <row r="7954">
      <c r="C7954" s="277"/>
      <c r="M7954" s="277"/>
      <c r="O7954" s="247"/>
      <c r="AC7954" s="247"/>
      <c r="AT7954" s="247"/>
    </row>
    <row r="7955">
      <c r="C7955" s="277"/>
      <c r="M7955" s="277"/>
      <c r="O7955" s="247"/>
      <c r="AC7955" s="247"/>
      <c r="AT7955" s="247"/>
    </row>
    <row r="7956">
      <c r="C7956" s="277"/>
      <c r="M7956" s="277"/>
      <c r="O7956" s="247"/>
      <c r="AC7956" s="247"/>
      <c r="AT7956" s="247"/>
    </row>
    <row r="7957">
      <c r="C7957" s="277"/>
      <c r="M7957" s="277"/>
      <c r="O7957" s="247"/>
      <c r="AC7957" s="247"/>
      <c r="AT7957" s="247"/>
    </row>
    <row r="7958">
      <c r="C7958" s="277"/>
      <c r="M7958" s="277"/>
      <c r="O7958" s="247"/>
      <c r="AC7958" s="247"/>
      <c r="AT7958" s="247"/>
    </row>
    <row r="7959">
      <c r="C7959" s="277"/>
      <c r="M7959" s="277"/>
      <c r="O7959" s="247"/>
      <c r="AC7959" s="247"/>
      <c r="AT7959" s="247"/>
    </row>
    <row r="7960">
      <c r="C7960" s="277"/>
      <c r="M7960" s="277"/>
      <c r="O7960" s="247"/>
      <c r="AC7960" s="247"/>
      <c r="AT7960" s="247"/>
    </row>
    <row r="7961">
      <c r="C7961" s="277"/>
      <c r="M7961" s="277"/>
      <c r="O7961" s="247"/>
      <c r="AC7961" s="247"/>
      <c r="AT7961" s="247"/>
    </row>
    <row r="7962">
      <c r="C7962" s="277"/>
      <c r="M7962" s="277"/>
      <c r="O7962" s="247"/>
      <c r="AC7962" s="247"/>
      <c r="AT7962" s="247"/>
    </row>
    <row r="7963">
      <c r="C7963" s="277"/>
      <c r="M7963" s="277"/>
      <c r="O7963" s="247"/>
      <c r="AC7963" s="247"/>
      <c r="AT7963" s="247"/>
    </row>
    <row r="7964">
      <c r="C7964" s="277"/>
      <c r="M7964" s="277"/>
      <c r="O7964" s="247"/>
      <c r="AC7964" s="247"/>
      <c r="AT7964" s="247"/>
    </row>
    <row r="7965">
      <c r="C7965" s="277"/>
      <c r="M7965" s="277"/>
      <c r="O7965" s="247"/>
      <c r="AC7965" s="247"/>
      <c r="AT7965" s="247"/>
    </row>
    <row r="7966">
      <c r="C7966" s="277"/>
      <c r="M7966" s="277"/>
      <c r="O7966" s="247"/>
      <c r="AC7966" s="247"/>
      <c r="AT7966" s="247"/>
    </row>
    <row r="7967">
      <c r="C7967" s="277"/>
      <c r="M7967" s="277"/>
      <c r="O7967" s="247"/>
      <c r="AC7967" s="247"/>
      <c r="AT7967" s="247"/>
    </row>
    <row r="7968">
      <c r="C7968" s="277"/>
      <c r="M7968" s="277"/>
      <c r="O7968" s="247"/>
      <c r="AC7968" s="247"/>
      <c r="AT7968" s="247"/>
    </row>
    <row r="7969">
      <c r="C7969" s="277"/>
      <c r="M7969" s="277"/>
      <c r="O7969" s="247"/>
      <c r="AC7969" s="247"/>
      <c r="AT7969" s="247"/>
    </row>
    <row r="7970">
      <c r="C7970" s="277"/>
      <c r="M7970" s="277"/>
      <c r="O7970" s="247"/>
      <c r="AC7970" s="247"/>
      <c r="AT7970" s="247"/>
    </row>
    <row r="7971">
      <c r="C7971" s="277"/>
      <c r="M7971" s="277"/>
      <c r="O7971" s="247"/>
      <c r="AC7971" s="247"/>
      <c r="AT7971" s="247"/>
    </row>
    <row r="7972">
      <c r="C7972" s="277"/>
      <c r="M7972" s="277"/>
      <c r="O7972" s="247"/>
      <c r="AC7972" s="247"/>
      <c r="AT7972" s="247"/>
    </row>
    <row r="7973">
      <c r="C7973" s="277"/>
      <c r="M7973" s="277"/>
      <c r="O7973" s="247"/>
      <c r="AC7973" s="247"/>
      <c r="AT7973" s="247"/>
    </row>
    <row r="7974">
      <c r="C7974" s="277"/>
      <c r="M7974" s="277"/>
      <c r="O7974" s="247"/>
      <c r="AC7974" s="247"/>
      <c r="AT7974" s="247"/>
    </row>
    <row r="7975">
      <c r="C7975" s="277"/>
      <c r="M7975" s="277"/>
      <c r="O7975" s="247"/>
      <c r="AC7975" s="247"/>
      <c r="AT7975" s="247"/>
    </row>
    <row r="7976">
      <c r="C7976" s="277"/>
      <c r="M7976" s="277"/>
      <c r="O7976" s="247"/>
      <c r="AC7976" s="247"/>
      <c r="AT7976" s="247"/>
    </row>
    <row r="7977">
      <c r="C7977" s="277"/>
      <c r="M7977" s="277"/>
      <c r="O7977" s="247"/>
      <c r="AC7977" s="247"/>
      <c r="AT7977" s="247"/>
    </row>
    <row r="7978">
      <c r="C7978" s="277"/>
      <c r="M7978" s="277"/>
      <c r="O7978" s="247"/>
      <c r="AC7978" s="247"/>
      <c r="AT7978" s="247"/>
    </row>
    <row r="7979">
      <c r="C7979" s="277"/>
      <c r="M7979" s="277"/>
      <c r="O7979" s="247"/>
      <c r="AC7979" s="247"/>
      <c r="AT7979" s="247"/>
    </row>
    <row r="7980">
      <c r="C7980" s="277"/>
      <c r="M7980" s="277"/>
      <c r="O7980" s="247"/>
      <c r="AC7980" s="247"/>
      <c r="AT7980" s="247"/>
    </row>
    <row r="7981">
      <c r="C7981" s="277"/>
      <c r="M7981" s="277"/>
      <c r="O7981" s="247"/>
      <c r="AC7981" s="247"/>
      <c r="AT7981" s="247"/>
    </row>
    <row r="7982">
      <c r="C7982" s="277"/>
      <c r="M7982" s="277"/>
      <c r="O7982" s="247"/>
      <c r="AC7982" s="247"/>
      <c r="AT7982" s="247"/>
    </row>
    <row r="7983">
      <c r="C7983" s="277"/>
      <c r="M7983" s="277"/>
      <c r="O7983" s="247"/>
      <c r="AC7983" s="247"/>
      <c r="AT7983" s="247"/>
    </row>
    <row r="7984">
      <c r="C7984" s="277"/>
      <c r="M7984" s="277"/>
      <c r="O7984" s="247"/>
      <c r="AC7984" s="247"/>
      <c r="AT7984" s="247"/>
    </row>
    <row r="7985">
      <c r="C7985" s="277"/>
      <c r="M7985" s="277"/>
      <c r="O7985" s="247"/>
      <c r="AC7985" s="247"/>
      <c r="AT7985" s="247"/>
    </row>
    <row r="7986">
      <c r="C7986" s="277"/>
      <c r="M7986" s="277"/>
      <c r="O7986" s="247"/>
      <c r="AC7986" s="247"/>
      <c r="AT7986" s="247"/>
    </row>
    <row r="7987">
      <c r="C7987" s="277"/>
      <c r="M7987" s="277"/>
      <c r="O7987" s="247"/>
      <c r="AC7987" s="247"/>
      <c r="AT7987" s="247"/>
    </row>
    <row r="7988">
      <c r="C7988" s="277"/>
      <c r="M7988" s="277"/>
      <c r="O7988" s="247"/>
      <c r="AC7988" s="247"/>
      <c r="AT7988" s="247"/>
    </row>
    <row r="7989">
      <c r="C7989" s="277"/>
      <c r="M7989" s="277"/>
      <c r="O7989" s="247"/>
      <c r="AC7989" s="247"/>
      <c r="AT7989" s="247"/>
    </row>
    <row r="7990">
      <c r="C7990" s="277"/>
      <c r="M7990" s="277"/>
      <c r="O7990" s="247"/>
      <c r="AC7990" s="247"/>
      <c r="AT7990" s="247"/>
    </row>
    <row r="7991">
      <c r="C7991" s="277"/>
      <c r="M7991" s="277"/>
      <c r="O7991" s="247"/>
      <c r="AC7991" s="247"/>
      <c r="AT7991" s="247"/>
    </row>
    <row r="7992">
      <c r="C7992" s="277"/>
      <c r="M7992" s="277"/>
      <c r="O7992" s="247"/>
      <c r="AC7992" s="247"/>
      <c r="AT7992" s="247"/>
    </row>
    <row r="7993">
      <c r="C7993" s="277"/>
      <c r="M7993" s="277"/>
      <c r="O7993" s="247"/>
      <c r="AC7993" s="247"/>
      <c r="AT7993" s="247"/>
    </row>
    <row r="7994">
      <c r="C7994" s="277"/>
      <c r="M7994" s="277"/>
      <c r="O7994" s="247"/>
      <c r="AC7994" s="247"/>
      <c r="AT7994" s="247"/>
    </row>
    <row r="7995">
      <c r="C7995" s="277"/>
      <c r="M7995" s="277"/>
      <c r="O7995" s="247"/>
      <c r="AC7995" s="247"/>
      <c r="AT7995" s="247"/>
    </row>
    <row r="7996">
      <c r="C7996" s="277"/>
      <c r="M7996" s="277"/>
      <c r="O7996" s="247"/>
      <c r="AC7996" s="247"/>
      <c r="AT7996" s="247"/>
    </row>
    <row r="7997">
      <c r="C7997" s="277"/>
      <c r="M7997" s="277"/>
      <c r="O7997" s="247"/>
      <c r="AC7997" s="247"/>
      <c r="AT7997" s="247"/>
    </row>
    <row r="7998">
      <c r="C7998" s="277"/>
      <c r="M7998" s="277"/>
      <c r="O7998" s="247"/>
      <c r="AC7998" s="247"/>
      <c r="AT7998" s="247"/>
    </row>
    <row r="7999">
      <c r="C7999" s="277"/>
      <c r="M7999" s="277"/>
      <c r="O7999" s="247"/>
      <c r="AC7999" s="247"/>
      <c r="AT7999" s="247"/>
    </row>
    <row r="8000">
      <c r="C8000" s="277"/>
      <c r="M8000" s="277"/>
      <c r="O8000" s="247"/>
      <c r="AC8000" s="247"/>
      <c r="AT8000" s="247"/>
    </row>
    <row r="8001">
      <c r="C8001" s="277"/>
      <c r="M8001" s="277"/>
      <c r="O8001" s="247"/>
      <c r="AC8001" s="247"/>
      <c r="AT8001" s="247"/>
    </row>
    <row r="8002">
      <c r="C8002" s="277"/>
      <c r="M8002" s="277"/>
      <c r="O8002" s="247"/>
      <c r="AC8002" s="247"/>
      <c r="AT8002" s="247"/>
    </row>
    <row r="8003">
      <c r="C8003" s="277"/>
      <c r="M8003" s="277"/>
      <c r="O8003" s="247"/>
      <c r="AC8003" s="247"/>
      <c r="AT8003" s="247"/>
    </row>
    <row r="8004">
      <c r="C8004" s="277"/>
      <c r="M8004" s="277"/>
      <c r="O8004" s="247"/>
      <c r="AC8004" s="247"/>
      <c r="AT8004" s="247"/>
    </row>
    <row r="8005">
      <c r="C8005" s="277"/>
      <c r="M8005" s="277"/>
      <c r="O8005" s="247"/>
      <c r="AC8005" s="247"/>
      <c r="AT8005" s="247"/>
    </row>
    <row r="8006">
      <c r="C8006" s="277"/>
      <c r="M8006" s="277"/>
      <c r="O8006" s="247"/>
      <c r="AC8006" s="247"/>
      <c r="AT8006" s="247"/>
    </row>
    <row r="8007">
      <c r="C8007" s="277"/>
      <c r="M8007" s="277"/>
      <c r="O8007" s="247"/>
      <c r="AC8007" s="247"/>
      <c r="AT8007" s="247"/>
    </row>
    <row r="8008">
      <c r="C8008" s="277"/>
      <c r="M8008" s="277"/>
      <c r="O8008" s="247"/>
      <c r="AC8008" s="247"/>
      <c r="AT8008" s="247"/>
    </row>
    <row r="8009">
      <c r="C8009" s="277"/>
      <c r="M8009" s="277"/>
      <c r="O8009" s="247"/>
      <c r="AC8009" s="247"/>
      <c r="AT8009" s="247"/>
    </row>
    <row r="8010">
      <c r="C8010" s="277"/>
      <c r="M8010" s="277"/>
      <c r="O8010" s="247"/>
      <c r="AC8010" s="247"/>
      <c r="AT8010" s="247"/>
    </row>
    <row r="8011">
      <c r="C8011" s="277"/>
      <c r="M8011" s="277"/>
      <c r="O8011" s="247"/>
      <c r="AC8011" s="247"/>
      <c r="AT8011" s="247"/>
    </row>
    <row r="8012">
      <c r="C8012" s="277"/>
      <c r="M8012" s="277"/>
      <c r="O8012" s="247"/>
      <c r="AC8012" s="247"/>
      <c r="AT8012" s="247"/>
    </row>
    <row r="8013">
      <c r="C8013" s="277"/>
      <c r="M8013" s="277"/>
      <c r="O8013" s="247"/>
      <c r="AC8013" s="247"/>
      <c r="AT8013" s="247"/>
    </row>
    <row r="8014">
      <c r="C8014" s="277"/>
      <c r="M8014" s="277"/>
      <c r="O8014" s="247"/>
      <c r="AC8014" s="247"/>
      <c r="AT8014" s="247"/>
    </row>
    <row r="8015">
      <c r="C8015" s="277"/>
      <c r="M8015" s="277"/>
      <c r="O8015" s="247"/>
      <c r="AC8015" s="247"/>
      <c r="AT8015" s="247"/>
    </row>
    <row r="8016">
      <c r="C8016" s="277"/>
      <c r="M8016" s="277"/>
      <c r="O8016" s="247"/>
      <c r="AC8016" s="247"/>
      <c r="AT8016" s="247"/>
    </row>
    <row r="8017">
      <c r="C8017" s="277"/>
      <c r="M8017" s="277"/>
      <c r="O8017" s="247"/>
      <c r="AC8017" s="247"/>
      <c r="AT8017" s="247"/>
    </row>
    <row r="8018">
      <c r="C8018" s="277"/>
      <c r="M8018" s="277"/>
      <c r="O8018" s="247"/>
      <c r="AC8018" s="247"/>
      <c r="AT8018" s="247"/>
    </row>
    <row r="8019">
      <c r="C8019" s="277"/>
      <c r="M8019" s="277"/>
      <c r="O8019" s="247"/>
      <c r="AC8019" s="247"/>
      <c r="AT8019" s="247"/>
    </row>
    <row r="8020">
      <c r="C8020" s="277"/>
      <c r="M8020" s="277"/>
      <c r="O8020" s="247"/>
      <c r="AC8020" s="247"/>
      <c r="AT8020" s="247"/>
    </row>
    <row r="8021">
      <c r="C8021" s="277"/>
      <c r="M8021" s="277"/>
      <c r="O8021" s="247"/>
      <c r="AC8021" s="247"/>
      <c r="AT8021" s="247"/>
    </row>
    <row r="8022">
      <c r="C8022" s="277"/>
      <c r="M8022" s="277"/>
      <c r="O8022" s="247"/>
      <c r="AC8022" s="247"/>
      <c r="AT8022" s="247"/>
    </row>
    <row r="8023">
      <c r="C8023" s="277"/>
      <c r="M8023" s="277"/>
      <c r="O8023" s="247"/>
      <c r="AC8023" s="247"/>
      <c r="AT8023" s="247"/>
    </row>
    <row r="8024">
      <c r="C8024" s="277"/>
      <c r="M8024" s="277"/>
      <c r="O8024" s="247"/>
      <c r="AC8024" s="247"/>
      <c r="AT8024" s="247"/>
    </row>
    <row r="8025">
      <c r="C8025" s="277"/>
      <c r="M8025" s="277"/>
      <c r="O8025" s="247"/>
      <c r="AC8025" s="247"/>
      <c r="AT8025" s="247"/>
    </row>
    <row r="8026">
      <c r="C8026" s="277"/>
      <c r="M8026" s="277"/>
      <c r="O8026" s="247"/>
      <c r="AC8026" s="247"/>
      <c r="AT8026" s="247"/>
    </row>
    <row r="8027">
      <c r="C8027" s="277"/>
      <c r="M8027" s="277"/>
      <c r="O8027" s="247"/>
      <c r="AC8027" s="247"/>
      <c r="AT8027" s="247"/>
    </row>
    <row r="8028">
      <c r="C8028" s="277"/>
      <c r="M8028" s="277"/>
      <c r="O8028" s="247"/>
      <c r="AC8028" s="247"/>
      <c r="AT8028" s="247"/>
    </row>
    <row r="8029">
      <c r="C8029" s="277"/>
      <c r="M8029" s="277"/>
      <c r="O8029" s="247"/>
      <c r="AC8029" s="247"/>
      <c r="AT8029" s="247"/>
    </row>
    <row r="8030">
      <c r="C8030" s="277"/>
      <c r="M8030" s="277"/>
      <c r="O8030" s="247"/>
      <c r="AC8030" s="247"/>
      <c r="AT8030" s="247"/>
    </row>
    <row r="8031">
      <c r="C8031" s="277"/>
      <c r="M8031" s="277"/>
      <c r="O8031" s="247"/>
      <c r="AC8031" s="247"/>
      <c r="AT8031" s="247"/>
    </row>
    <row r="8032">
      <c r="C8032" s="277"/>
      <c r="M8032" s="277"/>
      <c r="O8032" s="247"/>
      <c r="AC8032" s="247"/>
      <c r="AT8032" s="247"/>
    </row>
    <row r="8033">
      <c r="C8033" s="277"/>
      <c r="M8033" s="277"/>
      <c r="O8033" s="247"/>
      <c r="AC8033" s="247"/>
      <c r="AT8033" s="247"/>
    </row>
    <row r="8034">
      <c r="C8034" s="277"/>
      <c r="M8034" s="277"/>
      <c r="O8034" s="247"/>
      <c r="AC8034" s="247"/>
      <c r="AT8034" s="247"/>
    </row>
    <row r="8035">
      <c r="C8035" s="277"/>
      <c r="M8035" s="277"/>
      <c r="O8035" s="247"/>
      <c r="AC8035" s="247"/>
      <c r="AT8035" s="247"/>
    </row>
    <row r="8036">
      <c r="C8036" s="277"/>
      <c r="M8036" s="277"/>
      <c r="O8036" s="247"/>
      <c r="AC8036" s="247"/>
      <c r="AT8036" s="247"/>
    </row>
    <row r="8037">
      <c r="C8037" s="277"/>
      <c r="M8037" s="277"/>
      <c r="O8037" s="247"/>
      <c r="AC8037" s="247"/>
      <c r="AT8037" s="247"/>
    </row>
    <row r="8038">
      <c r="C8038" s="277"/>
      <c r="M8038" s="277"/>
      <c r="O8038" s="247"/>
      <c r="AC8038" s="247"/>
      <c r="AT8038" s="247"/>
    </row>
    <row r="8039">
      <c r="C8039" s="277"/>
      <c r="M8039" s="277"/>
      <c r="O8039" s="247"/>
      <c r="AC8039" s="247"/>
      <c r="AT8039" s="247"/>
    </row>
    <row r="8040">
      <c r="C8040" s="277"/>
      <c r="M8040" s="277"/>
      <c r="O8040" s="247"/>
      <c r="AC8040" s="247"/>
      <c r="AT8040" s="247"/>
    </row>
    <row r="8041">
      <c r="C8041" s="277"/>
      <c r="M8041" s="277"/>
      <c r="O8041" s="247"/>
      <c r="AC8041" s="247"/>
      <c r="AT8041" s="247"/>
    </row>
    <row r="8042">
      <c r="C8042" s="277"/>
      <c r="M8042" s="277"/>
      <c r="O8042" s="247"/>
      <c r="AC8042" s="247"/>
      <c r="AT8042" s="247"/>
    </row>
    <row r="8043">
      <c r="C8043" s="277"/>
      <c r="M8043" s="277"/>
      <c r="O8043" s="247"/>
      <c r="AC8043" s="247"/>
      <c r="AT8043" s="247"/>
    </row>
    <row r="8044">
      <c r="C8044" s="277"/>
      <c r="M8044" s="277"/>
      <c r="O8044" s="247"/>
      <c r="AC8044" s="247"/>
      <c r="AT8044" s="247"/>
    </row>
    <row r="8045">
      <c r="C8045" s="277"/>
      <c r="M8045" s="277"/>
      <c r="O8045" s="247"/>
      <c r="AC8045" s="247"/>
      <c r="AT8045" s="247"/>
    </row>
    <row r="8046">
      <c r="C8046" s="277"/>
      <c r="M8046" s="277"/>
      <c r="O8046" s="247"/>
      <c r="AC8046" s="247"/>
      <c r="AT8046" s="247"/>
    </row>
    <row r="8047">
      <c r="C8047" s="277"/>
      <c r="M8047" s="277"/>
      <c r="O8047" s="247"/>
      <c r="AC8047" s="247"/>
      <c r="AT8047" s="247"/>
    </row>
    <row r="8048">
      <c r="C8048" s="277"/>
      <c r="M8048" s="277"/>
      <c r="O8048" s="247"/>
      <c r="AC8048" s="247"/>
      <c r="AT8048" s="247"/>
    </row>
    <row r="8049">
      <c r="C8049" s="277"/>
      <c r="M8049" s="277"/>
      <c r="O8049" s="247"/>
      <c r="AC8049" s="247"/>
      <c r="AT8049" s="247"/>
    </row>
    <row r="8050">
      <c r="C8050" s="277"/>
      <c r="M8050" s="277"/>
      <c r="O8050" s="247"/>
      <c r="AC8050" s="247"/>
      <c r="AT8050" s="247"/>
    </row>
    <row r="8051">
      <c r="C8051" s="277"/>
      <c r="M8051" s="277"/>
      <c r="O8051" s="247"/>
      <c r="AC8051" s="247"/>
      <c r="AT8051" s="247"/>
    </row>
    <row r="8052">
      <c r="C8052" s="277"/>
      <c r="M8052" s="277"/>
      <c r="O8052" s="247"/>
      <c r="AC8052" s="247"/>
      <c r="AT8052" s="247"/>
    </row>
    <row r="8053">
      <c r="C8053" s="277"/>
      <c r="M8053" s="277"/>
      <c r="O8053" s="247"/>
      <c r="AC8053" s="247"/>
      <c r="AT8053" s="247"/>
    </row>
    <row r="8054">
      <c r="C8054" s="277"/>
      <c r="M8054" s="277"/>
      <c r="O8054" s="247"/>
      <c r="AC8054" s="247"/>
      <c r="AT8054" s="247"/>
    </row>
    <row r="8055">
      <c r="C8055" s="277"/>
      <c r="M8055" s="277"/>
      <c r="O8055" s="247"/>
      <c r="AC8055" s="247"/>
      <c r="AT8055" s="247"/>
    </row>
    <row r="8056">
      <c r="C8056" s="277"/>
      <c r="M8056" s="277"/>
      <c r="O8056" s="247"/>
      <c r="AC8056" s="247"/>
      <c r="AT8056" s="247"/>
    </row>
    <row r="8057">
      <c r="C8057" s="277"/>
      <c r="M8057" s="277"/>
      <c r="O8057" s="247"/>
      <c r="AC8057" s="247"/>
      <c r="AT8057" s="247"/>
    </row>
    <row r="8058">
      <c r="C8058" s="277"/>
      <c r="M8058" s="277"/>
      <c r="O8058" s="247"/>
      <c r="AC8058" s="247"/>
      <c r="AT8058" s="247"/>
    </row>
    <row r="8059">
      <c r="C8059" s="277"/>
      <c r="M8059" s="277"/>
      <c r="O8059" s="247"/>
      <c r="AC8059" s="247"/>
      <c r="AT8059" s="247"/>
    </row>
    <row r="8060">
      <c r="C8060" s="277"/>
      <c r="M8060" s="277"/>
      <c r="O8060" s="247"/>
      <c r="AC8060" s="247"/>
      <c r="AT8060" s="247"/>
    </row>
    <row r="8061">
      <c r="C8061" s="277"/>
      <c r="M8061" s="277"/>
      <c r="O8061" s="247"/>
      <c r="AC8061" s="247"/>
      <c r="AT8061" s="247"/>
    </row>
    <row r="8062">
      <c r="C8062" s="277"/>
      <c r="M8062" s="277"/>
      <c r="O8062" s="247"/>
      <c r="AC8062" s="247"/>
      <c r="AT8062" s="247"/>
    </row>
    <row r="8063">
      <c r="C8063" s="277"/>
      <c r="M8063" s="277"/>
      <c r="O8063" s="247"/>
      <c r="AC8063" s="247"/>
      <c r="AT8063" s="247"/>
    </row>
    <row r="8064">
      <c r="C8064" s="277"/>
      <c r="M8064" s="277"/>
      <c r="O8064" s="247"/>
      <c r="AC8064" s="247"/>
      <c r="AT8064" s="247"/>
    </row>
    <row r="8065">
      <c r="C8065" s="277"/>
      <c r="M8065" s="277"/>
      <c r="O8065" s="247"/>
      <c r="AC8065" s="247"/>
      <c r="AT8065" s="247"/>
    </row>
    <row r="8066">
      <c r="C8066" s="277"/>
      <c r="M8066" s="277"/>
      <c r="O8066" s="247"/>
      <c r="AC8066" s="247"/>
      <c r="AT8066" s="247"/>
    </row>
    <row r="8067">
      <c r="C8067" s="277"/>
      <c r="M8067" s="277"/>
      <c r="O8067" s="247"/>
      <c r="AC8067" s="247"/>
      <c r="AT8067" s="247"/>
    </row>
    <row r="8068">
      <c r="C8068" s="277"/>
      <c r="M8068" s="277"/>
      <c r="O8068" s="247"/>
      <c r="AC8068" s="247"/>
      <c r="AT8068" s="247"/>
    </row>
    <row r="8069">
      <c r="C8069" s="277"/>
      <c r="M8069" s="277"/>
      <c r="O8069" s="247"/>
      <c r="AC8069" s="247"/>
      <c r="AT8069" s="247"/>
    </row>
    <row r="8070">
      <c r="C8070" s="277"/>
      <c r="M8070" s="277"/>
      <c r="O8070" s="247"/>
      <c r="AC8070" s="247"/>
      <c r="AT8070" s="247"/>
    </row>
    <row r="8071">
      <c r="C8071" s="277"/>
      <c r="M8071" s="277"/>
      <c r="O8071" s="247"/>
      <c r="AC8071" s="247"/>
      <c r="AT8071" s="247"/>
    </row>
    <row r="8072">
      <c r="C8072" s="277"/>
      <c r="M8072" s="277"/>
      <c r="O8072" s="247"/>
      <c r="AC8072" s="247"/>
      <c r="AT8072" s="247"/>
    </row>
    <row r="8073">
      <c r="C8073" s="277"/>
      <c r="M8073" s="277"/>
      <c r="O8073" s="247"/>
      <c r="AC8073" s="247"/>
      <c r="AT8073" s="247"/>
    </row>
    <row r="8074">
      <c r="C8074" s="277"/>
      <c r="M8074" s="277"/>
      <c r="O8074" s="247"/>
      <c r="AC8074" s="247"/>
      <c r="AT8074" s="247"/>
    </row>
    <row r="8075">
      <c r="C8075" s="277"/>
      <c r="M8075" s="277"/>
      <c r="O8075" s="247"/>
      <c r="AC8075" s="247"/>
      <c r="AT8075" s="247"/>
    </row>
    <row r="8076">
      <c r="C8076" s="277"/>
      <c r="M8076" s="277"/>
      <c r="O8076" s="247"/>
      <c r="AC8076" s="247"/>
      <c r="AT8076" s="247"/>
    </row>
    <row r="8077">
      <c r="C8077" s="277"/>
      <c r="M8077" s="277"/>
      <c r="O8077" s="247"/>
      <c r="AC8077" s="247"/>
      <c r="AT8077" s="247"/>
    </row>
    <row r="8078">
      <c r="C8078" s="277"/>
      <c r="M8078" s="277"/>
      <c r="O8078" s="247"/>
      <c r="AC8078" s="247"/>
      <c r="AT8078" s="247"/>
    </row>
    <row r="8079">
      <c r="C8079" s="277"/>
      <c r="M8079" s="277"/>
      <c r="O8079" s="247"/>
      <c r="AC8079" s="247"/>
      <c r="AT8079" s="247"/>
    </row>
    <row r="8080">
      <c r="C8080" s="277"/>
      <c r="M8080" s="277"/>
      <c r="O8080" s="247"/>
      <c r="AC8080" s="247"/>
      <c r="AT8080" s="247"/>
    </row>
    <row r="8081">
      <c r="C8081" s="277"/>
      <c r="M8081" s="277"/>
      <c r="O8081" s="247"/>
      <c r="AC8081" s="247"/>
      <c r="AT8081" s="247"/>
    </row>
    <row r="8082">
      <c r="C8082" s="277"/>
      <c r="M8082" s="277"/>
      <c r="O8082" s="247"/>
      <c r="AC8082" s="247"/>
      <c r="AT8082" s="247"/>
    </row>
    <row r="8083">
      <c r="C8083" s="277"/>
      <c r="M8083" s="277"/>
      <c r="O8083" s="247"/>
      <c r="AC8083" s="247"/>
      <c r="AT8083" s="247"/>
    </row>
    <row r="8084">
      <c r="C8084" s="277"/>
      <c r="M8084" s="277"/>
      <c r="O8084" s="247"/>
      <c r="AC8084" s="247"/>
      <c r="AT8084" s="247"/>
    </row>
    <row r="8085">
      <c r="C8085" s="277"/>
      <c r="M8085" s="277"/>
      <c r="O8085" s="247"/>
      <c r="AC8085" s="247"/>
      <c r="AT8085" s="247"/>
    </row>
    <row r="8086">
      <c r="C8086" s="277"/>
      <c r="M8086" s="277"/>
      <c r="O8086" s="247"/>
      <c r="AC8086" s="247"/>
      <c r="AT8086" s="247"/>
    </row>
    <row r="8087">
      <c r="C8087" s="277"/>
      <c r="M8087" s="277"/>
      <c r="O8087" s="247"/>
      <c r="AC8087" s="247"/>
      <c r="AT8087" s="247"/>
    </row>
    <row r="8088">
      <c r="C8088" s="277"/>
      <c r="M8088" s="277"/>
      <c r="O8088" s="247"/>
      <c r="AC8088" s="247"/>
      <c r="AT8088" s="247"/>
    </row>
    <row r="8089">
      <c r="C8089" s="277"/>
      <c r="M8089" s="277"/>
      <c r="O8089" s="247"/>
      <c r="AC8089" s="247"/>
      <c r="AT8089" s="247"/>
    </row>
    <row r="8090">
      <c r="C8090" s="277"/>
      <c r="M8090" s="277"/>
      <c r="O8090" s="247"/>
      <c r="AC8090" s="247"/>
      <c r="AT8090" s="247"/>
    </row>
    <row r="8091">
      <c r="C8091" s="277"/>
      <c r="M8091" s="277"/>
      <c r="O8091" s="247"/>
      <c r="AC8091" s="247"/>
      <c r="AT8091" s="247"/>
    </row>
    <row r="8092">
      <c r="C8092" s="277"/>
      <c r="M8092" s="277"/>
      <c r="O8092" s="247"/>
      <c r="AC8092" s="247"/>
      <c r="AT8092" s="247"/>
    </row>
    <row r="8093">
      <c r="C8093" s="277"/>
      <c r="M8093" s="277"/>
      <c r="O8093" s="247"/>
      <c r="AC8093" s="247"/>
      <c r="AT8093" s="247"/>
    </row>
    <row r="8094">
      <c r="C8094" s="277"/>
      <c r="M8094" s="277"/>
      <c r="O8094" s="247"/>
      <c r="AC8094" s="247"/>
      <c r="AT8094" s="247"/>
    </row>
    <row r="8095">
      <c r="C8095" s="277"/>
      <c r="M8095" s="277"/>
      <c r="O8095" s="247"/>
      <c r="AC8095" s="247"/>
      <c r="AT8095" s="247"/>
    </row>
    <row r="8096">
      <c r="C8096" s="277"/>
      <c r="M8096" s="277"/>
      <c r="O8096" s="247"/>
      <c r="AC8096" s="247"/>
      <c r="AT8096" s="247"/>
    </row>
    <row r="8097">
      <c r="C8097" s="277"/>
      <c r="M8097" s="277"/>
      <c r="O8097" s="247"/>
      <c r="AC8097" s="247"/>
      <c r="AT8097" s="247"/>
    </row>
    <row r="8098">
      <c r="C8098" s="277"/>
      <c r="M8098" s="277"/>
      <c r="O8098" s="247"/>
      <c r="AC8098" s="247"/>
      <c r="AT8098" s="247"/>
    </row>
    <row r="8099">
      <c r="C8099" s="277"/>
      <c r="M8099" s="277"/>
      <c r="O8099" s="247"/>
      <c r="AC8099" s="247"/>
      <c r="AT8099" s="247"/>
    </row>
    <row r="8100">
      <c r="C8100" s="277"/>
      <c r="M8100" s="277"/>
      <c r="O8100" s="247"/>
      <c r="AC8100" s="247"/>
      <c r="AT8100" s="247"/>
    </row>
    <row r="8101">
      <c r="C8101" s="277"/>
      <c r="M8101" s="277"/>
      <c r="O8101" s="247"/>
      <c r="AC8101" s="247"/>
      <c r="AT8101" s="247"/>
    </row>
    <row r="8102">
      <c r="C8102" s="277"/>
      <c r="M8102" s="277"/>
      <c r="O8102" s="247"/>
      <c r="AC8102" s="247"/>
      <c r="AT8102" s="247"/>
    </row>
    <row r="8103">
      <c r="C8103" s="277"/>
      <c r="M8103" s="277"/>
      <c r="O8103" s="247"/>
      <c r="AC8103" s="247"/>
      <c r="AT8103" s="247"/>
    </row>
    <row r="8104">
      <c r="C8104" s="277"/>
      <c r="M8104" s="277"/>
      <c r="O8104" s="247"/>
      <c r="AC8104" s="247"/>
      <c r="AT8104" s="247"/>
    </row>
    <row r="8105">
      <c r="C8105" s="277"/>
      <c r="M8105" s="277"/>
      <c r="O8105" s="247"/>
      <c r="AC8105" s="247"/>
      <c r="AT8105" s="247"/>
    </row>
    <row r="8106">
      <c r="C8106" s="277"/>
      <c r="M8106" s="277"/>
      <c r="O8106" s="247"/>
      <c r="AC8106" s="247"/>
      <c r="AT8106" s="247"/>
    </row>
    <row r="8107">
      <c r="C8107" s="277"/>
      <c r="M8107" s="277"/>
      <c r="O8107" s="247"/>
      <c r="AC8107" s="247"/>
      <c r="AT8107" s="247"/>
    </row>
    <row r="8108">
      <c r="C8108" s="277"/>
      <c r="M8108" s="277"/>
      <c r="O8108" s="247"/>
      <c r="AC8108" s="247"/>
      <c r="AT8108" s="247"/>
    </row>
    <row r="8109">
      <c r="C8109" s="277"/>
      <c r="M8109" s="277"/>
      <c r="O8109" s="247"/>
      <c r="AC8109" s="247"/>
      <c r="AT8109" s="247"/>
    </row>
    <row r="8110">
      <c r="C8110" s="277"/>
      <c r="M8110" s="277"/>
      <c r="O8110" s="247"/>
      <c r="AC8110" s="247"/>
      <c r="AT8110" s="247"/>
    </row>
    <row r="8111">
      <c r="C8111" s="277"/>
      <c r="M8111" s="277"/>
      <c r="O8111" s="247"/>
      <c r="AC8111" s="247"/>
      <c r="AT8111" s="247"/>
    </row>
    <row r="8112">
      <c r="C8112" s="277"/>
      <c r="M8112" s="277"/>
      <c r="O8112" s="247"/>
      <c r="AC8112" s="247"/>
      <c r="AT8112" s="247"/>
    </row>
    <row r="8113">
      <c r="C8113" s="277"/>
      <c r="M8113" s="277"/>
      <c r="O8113" s="247"/>
      <c r="AC8113" s="247"/>
      <c r="AT8113" s="247"/>
    </row>
    <row r="8114">
      <c r="C8114" s="277"/>
      <c r="M8114" s="277"/>
      <c r="O8114" s="247"/>
      <c r="AC8114" s="247"/>
      <c r="AT8114" s="247"/>
    </row>
    <row r="8115">
      <c r="C8115" s="277"/>
      <c r="M8115" s="277"/>
      <c r="O8115" s="247"/>
      <c r="AC8115" s="247"/>
      <c r="AT8115" s="247"/>
    </row>
    <row r="8116">
      <c r="C8116" s="277"/>
      <c r="M8116" s="277"/>
      <c r="O8116" s="247"/>
      <c r="AC8116" s="247"/>
      <c r="AT8116" s="247"/>
    </row>
    <row r="8117">
      <c r="C8117" s="277"/>
      <c r="M8117" s="277"/>
      <c r="O8117" s="247"/>
      <c r="AC8117" s="247"/>
      <c r="AT8117" s="247"/>
    </row>
    <row r="8118">
      <c r="C8118" s="277"/>
      <c r="M8118" s="277"/>
      <c r="O8118" s="247"/>
      <c r="AC8118" s="247"/>
      <c r="AT8118" s="247"/>
    </row>
    <row r="8119">
      <c r="C8119" s="277"/>
      <c r="M8119" s="277"/>
      <c r="O8119" s="247"/>
      <c r="AC8119" s="247"/>
      <c r="AT8119" s="247"/>
    </row>
    <row r="8120">
      <c r="C8120" s="277"/>
      <c r="M8120" s="277"/>
      <c r="O8120" s="247"/>
      <c r="AC8120" s="247"/>
      <c r="AT8120" s="247"/>
    </row>
    <row r="8121">
      <c r="C8121" s="277"/>
      <c r="M8121" s="277"/>
      <c r="O8121" s="247"/>
      <c r="AC8121" s="247"/>
      <c r="AT8121" s="247"/>
    </row>
    <row r="8122">
      <c r="C8122" s="277"/>
      <c r="M8122" s="277"/>
      <c r="O8122" s="247"/>
      <c r="AC8122" s="247"/>
      <c r="AT8122" s="247"/>
    </row>
    <row r="8123">
      <c r="C8123" s="277"/>
      <c r="M8123" s="277"/>
      <c r="O8123" s="247"/>
      <c r="AC8123" s="247"/>
      <c r="AT8123" s="247"/>
    </row>
    <row r="8124">
      <c r="C8124" s="277"/>
      <c r="M8124" s="277"/>
      <c r="O8124" s="247"/>
      <c r="AC8124" s="247"/>
      <c r="AT8124" s="247"/>
    </row>
    <row r="8125">
      <c r="C8125" s="277"/>
      <c r="M8125" s="277"/>
      <c r="O8125" s="247"/>
      <c r="AC8125" s="247"/>
      <c r="AT8125" s="247"/>
    </row>
    <row r="8126">
      <c r="C8126" s="277"/>
      <c r="M8126" s="277"/>
      <c r="O8126" s="247"/>
      <c r="AC8126" s="247"/>
      <c r="AT8126" s="247"/>
    </row>
    <row r="8127">
      <c r="C8127" s="277"/>
      <c r="M8127" s="277"/>
      <c r="O8127" s="247"/>
      <c r="AC8127" s="247"/>
      <c r="AT8127" s="247"/>
    </row>
    <row r="8128">
      <c r="C8128" s="277"/>
      <c r="M8128" s="277"/>
      <c r="O8128" s="247"/>
      <c r="AC8128" s="247"/>
      <c r="AT8128" s="247"/>
    </row>
    <row r="8129">
      <c r="C8129" s="277"/>
      <c r="M8129" s="277"/>
      <c r="O8129" s="247"/>
      <c r="AC8129" s="247"/>
      <c r="AT8129" s="247"/>
    </row>
    <row r="8130">
      <c r="C8130" s="277"/>
      <c r="M8130" s="277"/>
      <c r="O8130" s="247"/>
      <c r="AC8130" s="247"/>
      <c r="AT8130" s="247"/>
    </row>
    <row r="8131">
      <c r="C8131" s="277"/>
      <c r="M8131" s="277"/>
      <c r="O8131" s="247"/>
      <c r="AC8131" s="247"/>
      <c r="AT8131" s="247"/>
    </row>
    <row r="8132">
      <c r="C8132" s="277"/>
      <c r="M8132" s="277"/>
      <c r="O8132" s="247"/>
      <c r="AC8132" s="247"/>
      <c r="AT8132" s="247"/>
    </row>
    <row r="8133">
      <c r="C8133" s="277"/>
      <c r="M8133" s="277"/>
      <c r="O8133" s="247"/>
      <c r="AC8133" s="247"/>
      <c r="AT8133" s="247"/>
    </row>
    <row r="8134">
      <c r="C8134" s="277"/>
      <c r="M8134" s="277"/>
      <c r="O8134" s="247"/>
      <c r="AC8134" s="247"/>
      <c r="AT8134" s="247"/>
    </row>
    <row r="8135">
      <c r="C8135" s="277"/>
      <c r="M8135" s="277"/>
      <c r="O8135" s="247"/>
      <c r="AC8135" s="247"/>
      <c r="AT8135" s="247"/>
    </row>
    <row r="8136">
      <c r="C8136" s="277"/>
      <c r="M8136" s="277"/>
      <c r="O8136" s="247"/>
      <c r="AC8136" s="247"/>
      <c r="AT8136" s="247"/>
    </row>
    <row r="8137">
      <c r="C8137" s="277"/>
      <c r="M8137" s="277"/>
      <c r="O8137" s="247"/>
      <c r="AC8137" s="247"/>
      <c r="AT8137" s="247"/>
    </row>
    <row r="8138">
      <c r="C8138" s="277"/>
      <c r="M8138" s="277"/>
      <c r="O8138" s="247"/>
      <c r="AC8138" s="247"/>
      <c r="AT8138" s="247"/>
    </row>
    <row r="8139">
      <c r="C8139" s="277"/>
      <c r="M8139" s="277"/>
      <c r="O8139" s="247"/>
      <c r="AC8139" s="247"/>
      <c r="AT8139" s="247"/>
    </row>
    <row r="8140">
      <c r="C8140" s="277"/>
      <c r="M8140" s="277"/>
      <c r="O8140" s="247"/>
      <c r="AC8140" s="247"/>
      <c r="AT8140" s="247"/>
    </row>
    <row r="8141">
      <c r="C8141" s="277"/>
      <c r="M8141" s="277"/>
      <c r="O8141" s="247"/>
      <c r="AC8141" s="247"/>
      <c r="AT8141" s="247"/>
    </row>
    <row r="8142">
      <c r="C8142" s="277"/>
      <c r="M8142" s="277"/>
      <c r="O8142" s="247"/>
      <c r="AC8142" s="247"/>
      <c r="AT8142" s="247"/>
    </row>
    <row r="8143">
      <c r="C8143" s="277"/>
      <c r="M8143" s="277"/>
      <c r="O8143" s="247"/>
      <c r="AC8143" s="247"/>
      <c r="AT8143" s="247"/>
    </row>
    <row r="8144">
      <c r="C8144" s="277"/>
      <c r="M8144" s="277"/>
      <c r="O8144" s="247"/>
      <c r="AC8144" s="247"/>
      <c r="AT8144" s="247"/>
    </row>
    <row r="8145">
      <c r="C8145" s="277"/>
      <c r="M8145" s="277"/>
      <c r="O8145" s="247"/>
      <c r="AC8145" s="247"/>
      <c r="AT8145" s="247"/>
    </row>
    <row r="8146">
      <c r="C8146" s="277"/>
      <c r="M8146" s="277"/>
      <c r="O8146" s="247"/>
      <c r="AC8146" s="247"/>
      <c r="AT8146" s="247"/>
    </row>
    <row r="8147">
      <c r="C8147" s="277"/>
      <c r="M8147" s="277"/>
      <c r="O8147" s="247"/>
      <c r="AC8147" s="247"/>
      <c r="AT8147" s="247"/>
    </row>
    <row r="8148">
      <c r="C8148" s="277"/>
      <c r="M8148" s="277"/>
      <c r="O8148" s="247"/>
      <c r="AC8148" s="247"/>
      <c r="AT8148" s="247"/>
    </row>
    <row r="8149">
      <c r="C8149" s="277"/>
      <c r="M8149" s="277"/>
      <c r="O8149" s="247"/>
      <c r="AC8149" s="247"/>
      <c r="AT8149" s="247"/>
    </row>
    <row r="8150">
      <c r="C8150" s="277"/>
      <c r="M8150" s="277"/>
      <c r="O8150" s="247"/>
      <c r="AC8150" s="247"/>
      <c r="AT8150" s="247"/>
    </row>
    <row r="8151">
      <c r="C8151" s="277"/>
      <c r="M8151" s="277"/>
      <c r="O8151" s="247"/>
      <c r="AC8151" s="247"/>
      <c r="AT8151" s="247"/>
    </row>
    <row r="8152">
      <c r="C8152" s="277"/>
      <c r="M8152" s="277"/>
      <c r="O8152" s="247"/>
      <c r="AC8152" s="247"/>
      <c r="AT8152" s="247"/>
    </row>
    <row r="8153">
      <c r="C8153" s="277"/>
      <c r="M8153" s="277"/>
      <c r="O8153" s="247"/>
      <c r="AC8153" s="247"/>
      <c r="AT8153" s="247"/>
    </row>
    <row r="8154">
      <c r="C8154" s="277"/>
      <c r="M8154" s="277"/>
      <c r="O8154" s="247"/>
      <c r="AC8154" s="247"/>
      <c r="AT8154" s="247"/>
    </row>
    <row r="8155">
      <c r="C8155" s="277"/>
      <c r="M8155" s="277"/>
      <c r="O8155" s="247"/>
      <c r="AC8155" s="247"/>
      <c r="AT8155" s="247"/>
    </row>
    <row r="8156">
      <c r="C8156" s="277"/>
      <c r="M8156" s="277"/>
      <c r="O8156" s="247"/>
      <c r="AC8156" s="247"/>
      <c r="AT8156" s="247"/>
    </row>
    <row r="8157">
      <c r="C8157" s="277"/>
      <c r="M8157" s="277"/>
      <c r="O8157" s="247"/>
      <c r="AC8157" s="247"/>
      <c r="AT8157" s="247"/>
    </row>
    <row r="8158">
      <c r="C8158" s="277"/>
      <c r="M8158" s="277"/>
      <c r="O8158" s="247"/>
      <c r="AC8158" s="247"/>
      <c r="AT8158" s="247"/>
    </row>
    <row r="8159">
      <c r="C8159" s="277"/>
      <c r="M8159" s="277"/>
      <c r="O8159" s="247"/>
      <c r="AC8159" s="247"/>
      <c r="AT8159" s="247"/>
    </row>
    <row r="8160">
      <c r="C8160" s="277"/>
      <c r="M8160" s="277"/>
      <c r="O8160" s="247"/>
      <c r="AC8160" s="247"/>
      <c r="AT8160" s="247"/>
    </row>
    <row r="8161">
      <c r="C8161" s="277"/>
      <c r="M8161" s="277"/>
      <c r="O8161" s="247"/>
      <c r="AC8161" s="247"/>
      <c r="AT8161" s="247"/>
    </row>
    <row r="8162">
      <c r="C8162" s="277"/>
      <c r="M8162" s="277"/>
      <c r="O8162" s="247"/>
      <c r="AC8162" s="247"/>
      <c r="AT8162" s="247"/>
    </row>
    <row r="8163">
      <c r="C8163" s="277"/>
      <c r="M8163" s="277"/>
      <c r="O8163" s="247"/>
      <c r="AC8163" s="247"/>
      <c r="AT8163" s="247"/>
    </row>
    <row r="8164">
      <c r="C8164" s="277"/>
      <c r="M8164" s="277"/>
      <c r="O8164" s="247"/>
      <c r="AC8164" s="247"/>
      <c r="AT8164" s="247"/>
    </row>
    <row r="8165">
      <c r="C8165" s="277"/>
      <c r="M8165" s="277"/>
      <c r="O8165" s="247"/>
      <c r="AC8165" s="247"/>
      <c r="AT8165" s="247"/>
    </row>
    <row r="8166">
      <c r="C8166" s="277"/>
      <c r="M8166" s="277"/>
      <c r="O8166" s="247"/>
      <c r="AC8166" s="247"/>
      <c r="AT8166" s="247"/>
    </row>
    <row r="8167">
      <c r="C8167" s="277"/>
      <c r="M8167" s="277"/>
      <c r="O8167" s="247"/>
      <c r="AC8167" s="247"/>
      <c r="AT8167" s="247"/>
    </row>
    <row r="8168">
      <c r="C8168" s="277"/>
      <c r="M8168" s="277"/>
      <c r="O8168" s="247"/>
      <c r="AC8168" s="247"/>
      <c r="AT8168" s="247"/>
    </row>
    <row r="8169">
      <c r="C8169" s="277"/>
      <c r="M8169" s="277"/>
      <c r="O8169" s="247"/>
      <c r="AC8169" s="247"/>
      <c r="AT8169" s="247"/>
    </row>
    <row r="8170">
      <c r="C8170" s="277"/>
      <c r="M8170" s="277"/>
      <c r="O8170" s="247"/>
      <c r="AC8170" s="247"/>
      <c r="AT8170" s="247"/>
    </row>
    <row r="8171">
      <c r="C8171" s="277"/>
      <c r="M8171" s="277"/>
      <c r="O8171" s="247"/>
      <c r="AC8171" s="247"/>
      <c r="AT8171" s="247"/>
    </row>
    <row r="8172">
      <c r="C8172" s="277"/>
      <c r="M8172" s="277"/>
      <c r="O8172" s="247"/>
      <c r="AC8172" s="247"/>
      <c r="AT8172" s="247"/>
    </row>
    <row r="8173">
      <c r="C8173" s="277"/>
      <c r="M8173" s="277"/>
      <c r="O8173" s="247"/>
      <c r="AC8173" s="247"/>
      <c r="AT8173" s="247"/>
    </row>
    <row r="8174">
      <c r="C8174" s="277"/>
      <c r="M8174" s="277"/>
      <c r="O8174" s="247"/>
      <c r="AC8174" s="247"/>
      <c r="AT8174" s="247"/>
    </row>
    <row r="8175">
      <c r="C8175" s="277"/>
      <c r="M8175" s="277"/>
      <c r="O8175" s="247"/>
      <c r="AC8175" s="247"/>
      <c r="AT8175" s="247"/>
    </row>
    <row r="8176">
      <c r="C8176" s="277"/>
      <c r="M8176" s="277"/>
      <c r="O8176" s="247"/>
      <c r="AC8176" s="247"/>
      <c r="AT8176" s="247"/>
    </row>
    <row r="8177">
      <c r="C8177" s="277"/>
      <c r="M8177" s="277"/>
      <c r="O8177" s="247"/>
      <c r="AC8177" s="247"/>
      <c r="AT8177" s="247"/>
    </row>
    <row r="8178">
      <c r="C8178" s="277"/>
      <c r="M8178" s="277"/>
      <c r="O8178" s="247"/>
      <c r="AC8178" s="247"/>
      <c r="AT8178" s="247"/>
    </row>
    <row r="8179">
      <c r="C8179" s="277"/>
      <c r="M8179" s="277"/>
      <c r="O8179" s="247"/>
      <c r="AC8179" s="247"/>
      <c r="AT8179" s="247"/>
    </row>
    <row r="8180">
      <c r="C8180" s="277"/>
      <c r="M8180" s="277"/>
      <c r="O8180" s="247"/>
      <c r="AC8180" s="247"/>
      <c r="AT8180" s="247"/>
    </row>
    <row r="8181">
      <c r="C8181" s="277"/>
      <c r="M8181" s="277"/>
      <c r="O8181" s="247"/>
      <c r="AC8181" s="247"/>
      <c r="AT8181" s="247"/>
    </row>
    <row r="8182">
      <c r="C8182" s="277"/>
      <c r="M8182" s="277"/>
      <c r="O8182" s="247"/>
      <c r="AC8182" s="247"/>
      <c r="AT8182" s="247"/>
    </row>
    <row r="8183">
      <c r="C8183" s="277"/>
      <c r="M8183" s="277"/>
      <c r="O8183" s="247"/>
      <c r="AC8183" s="247"/>
      <c r="AT8183" s="247"/>
    </row>
    <row r="8184">
      <c r="C8184" s="277"/>
      <c r="M8184" s="277"/>
      <c r="O8184" s="247"/>
      <c r="AC8184" s="247"/>
      <c r="AT8184" s="247"/>
    </row>
    <row r="8185">
      <c r="C8185" s="277"/>
      <c r="M8185" s="277"/>
      <c r="O8185" s="247"/>
      <c r="AC8185" s="247"/>
      <c r="AT8185" s="247"/>
    </row>
    <row r="8186">
      <c r="C8186" s="277"/>
      <c r="M8186" s="277"/>
      <c r="O8186" s="247"/>
      <c r="AC8186" s="247"/>
      <c r="AT8186" s="247"/>
    </row>
    <row r="8187">
      <c r="C8187" s="277"/>
      <c r="M8187" s="277"/>
      <c r="O8187" s="247"/>
      <c r="AC8187" s="247"/>
      <c r="AT8187" s="247"/>
    </row>
    <row r="8188">
      <c r="C8188" s="277"/>
      <c r="M8188" s="277"/>
      <c r="O8188" s="247"/>
      <c r="AC8188" s="247"/>
      <c r="AT8188" s="247"/>
    </row>
    <row r="8189">
      <c r="C8189" s="277"/>
      <c r="M8189" s="277"/>
      <c r="O8189" s="247"/>
      <c r="AC8189" s="247"/>
      <c r="AT8189" s="247"/>
    </row>
    <row r="8190">
      <c r="C8190" s="277"/>
      <c r="M8190" s="277"/>
      <c r="O8190" s="247"/>
      <c r="AC8190" s="247"/>
      <c r="AT8190" s="247"/>
    </row>
    <row r="8191">
      <c r="C8191" s="277"/>
      <c r="M8191" s="277"/>
      <c r="O8191" s="247"/>
      <c r="AC8191" s="247"/>
      <c r="AT8191" s="247"/>
    </row>
    <row r="8192">
      <c r="C8192" s="277"/>
      <c r="M8192" s="277"/>
      <c r="O8192" s="247"/>
      <c r="AC8192" s="247"/>
      <c r="AT8192" s="247"/>
    </row>
    <row r="8193">
      <c r="C8193" s="277"/>
      <c r="M8193" s="277"/>
      <c r="O8193" s="247"/>
      <c r="AC8193" s="247"/>
      <c r="AT8193" s="247"/>
    </row>
    <row r="8194">
      <c r="C8194" s="277"/>
      <c r="M8194" s="277"/>
      <c r="O8194" s="247"/>
      <c r="AC8194" s="247"/>
      <c r="AT8194" s="247"/>
    </row>
    <row r="8195">
      <c r="C8195" s="277"/>
      <c r="M8195" s="277"/>
      <c r="O8195" s="247"/>
      <c r="AC8195" s="247"/>
      <c r="AT8195" s="247"/>
    </row>
    <row r="8196">
      <c r="C8196" s="277"/>
      <c r="M8196" s="277"/>
      <c r="O8196" s="247"/>
      <c r="AC8196" s="247"/>
      <c r="AT8196" s="247"/>
    </row>
    <row r="8197">
      <c r="C8197" s="277"/>
      <c r="M8197" s="277"/>
      <c r="O8197" s="247"/>
      <c r="AC8197" s="247"/>
      <c r="AT8197" s="247"/>
    </row>
    <row r="8198">
      <c r="C8198" s="277"/>
      <c r="M8198" s="277"/>
      <c r="O8198" s="247"/>
      <c r="AC8198" s="247"/>
      <c r="AT8198" s="247"/>
    </row>
    <row r="8199">
      <c r="C8199" s="277"/>
      <c r="M8199" s="277"/>
      <c r="O8199" s="247"/>
      <c r="AC8199" s="247"/>
      <c r="AT8199" s="247"/>
    </row>
    <row r="8200">
      <c r="C8200" s="277"/>
      <c r="M8200" s="277"/>
      <c r="O8200" s="247"/>
      <c r="AC8200" s="247"/>
      <c r="AT8200" s="247"/>
    </row>
    <row r="8201">
      <c r="C8201" s="277"/>
      <c r="M8201" s="277"/>
      <c r="O8201" s="247"/>
      <c r="AC8201" s="247"/>
      <c r="AT8201" s="247"/>
    </row>
    <row r="8202">
      <c r="C8202" s="277"/>
      <c r="M8202" s="277"/>
      <c r="O8202" s="247"/>
      <c r="AC8202" s="247"/>
      <c r="AT8202" s="247"/>
    </row>
    <row r="8203">
      <c r="C8203" s="277"/>
      <c r="M8203" s="277"/>
      <c r="O8203" s="247"/>
      <c r="AC8203" s="247"/>
      <c r="AT8203" s="247"/>
    </row>
    <row r="8204">
      <c r="C8204" s="277"/>
      <c r="M8204" s="277"/>
      <c r="O8204" s="247"/>
      <c r="AC8204" s="247"/>
      <c r="AT8204" s="247"/>
    </row>
    <row r="8205">
      <c r="C8205" s="277"/>
      <c r="M8205" s="277"/>
      <c r="O8205" s="247"/>
      <c r="AC8205" s="247"/>
      <c r="AT8205" s="247"/>
    </row>
    <row r="8206">
      <c r="C8206" s="277"/>
      <c r="M8206" s="277"/>
      <c r="O8206" s="247"/>
      <c r="AC8206" s="247"/>
      <c r="AT8206" s="247"/>
    </row>
    <row r="8207">
      <c r="C8207" s="277"/>
      <c r="M8207" s="277"/>
      <c r="O8207" s="247"/>
      <c r="AC8207" s="247"/>
      <c r="AT8207" s="247"/>
    </row>
    <row r="8208">
      <c r="C8208" s="277"/>
      <c r="M8208" s="277"/>
      <c r="O8208" s="247"/>
      <c r="AC8208" s="247"/>
      <c r="AT8208" s="247"/>
    </row>
    <row r="8209">
      <c r="C8209" s="277"/>
      <c r="M8209" s="277"/>
      <c r="O8209" s="247"/>
      <c r="AC8209" s="247"/>
      <c r="AT8209" s="247"/>
    </row>
    <row r="8210">
      <c r="C8210" s="277"/>
      <c r="M8210" s="277"/>
      <c r="O8210" s="247"/>
      <c r="AC8210" s="247"/>
      <c r="AT8210" s="247"/>
    </row>
    <row r="8211">
      <c r="C8211" s="277"/>
      <c r="M8211" s="277"/>
      <c r="O8211" s="247"/>
      <c r="AC8211" s="247"/>
      <c r="AT8211" s="247"/>
    </row>
    <row r="8212">
      <c r="C8212" s="277"/>
      <c r="M8212" s="277"/>
      <c r="O8212" s="247"/>
      <c r="AC8212" s="247"/>
      <c r="AT8212" s="247"/>
    </row>
    <row r="8213">
      <c r="C8213" s="277"/>
      <c r="M8213" s="277"/>
      <c r="O8213" s="247"/>
      <c r="AC8213" s="247"/>
      <c r="AT8213" s="247"/>
    </row>
    <row r="8214">
      <c r="C8214" s="277"/>
      <c r="M8214" s="277"/>
      <c r="O8214" s="247"/>
      <c r="AC8214" s="247"/>
      <c r="AT8214" s="247"/>
    </row>
    <row r="8215">
      <c r="C8215" s="277"/>
      <c r="M8215" s="277"/>
      <c r="O8215" s="247"/>
      <c r="AC8215" s="247"/>
      <c r="AT8215" s="247"/>
    </row>
    <row r="8216">
      <c r="C8216" s="277"/>
      <c r="M8216" s="277"/>
      <c r="O8216" s="247"/>
      <c r="AC8216" s="247"/>
      <c r="AT8216" s="247"/>
    </row>
    <row r="8217">
      <c r="C8217" s="277"/>
      <c r="M8217" s="277"/>
      <c r="O8217" s="247"/>
      <c r="AC8217" s="247"/>
      <c r="AT8217" s="247"/>
    </row>
    <row r="8218">
      <c r="C8218" s="277"/>
      <c r="M8218" s="277"/>
      <c r="O8218" s="247"/>
      <c r="AC8218" s="247"/>
      <c r="AT8218" s="247"/>
    </row>
    <row r="8219">
      <c r="C8219" s="277"/>
      <c r="M8219" s="277"/>
      <c r="O8219" s="247"/>
      <c r="AC8219" s="247"/>
      <c r="AT8219" s="247"/>
    </row>
    <row r="8220">
      <c r="C8220" s="277"/>
      <c r="M8220" s="277"/>
      <c r="O8220" s="247"/>
      <c r="AC8220" s="247"/>
      <c r="AT8220" s="247"/>
    </row>
    <row r="8221">
      <c r="C8221" s="277"/>
      <c r="M8221" s="277"/>
      <c r="O8221" s="247"/>
      <c r="AC8221" s="247"/>
      <c r="AT8221" s="247"/>
    </row>
    <row r="8222">
      <c r="C8222" s="277"/>
      <c r="M8222" s="277"/>
      <c r="O8222" s="247"/>
      <c r="AC8222" s="247"/>
      <c r="AT8222" s="247"/>
    </row>
    <row r="8223">
      <c r="C8223" s="277"/>
      <c r="M8223" s="277"/>
      <c r="O8223" s="247"/>
      <c r="AC8223" s="247"/>
      <c r="AT8223" s="247"/>
    </row>
    <row r="8224">
      <c r="C8224" s="277"/>
      <c r="M8224" s="277"/>
      <c r="O8224" s="247"/>
      <c r="AC8224" s="247"/>
      <c r="AT8224" s="247"/>
    </row>
    <row r="8225">
      <c r="C8225" s="277"/>
      <c r="M8225" s="277"/>
      <c r="O8225" s="247"/>
      <c r="AC8225" s="247"/>
      <c r="AT8225" s="247"/>
    </row>
    <row r="8226">
      <c r="C8226" s="277"/>
      <c r="M8226" s="277"/>
      <c r="O8226" s="247"/>
      <c r="AC8226" s="247"/>
      <c r="AT8226" s="247"/>
    </row>
    <row r="8227">
      <c r="C8227" s="277"/>
      <c r="M8227" s="277"/>
      <c r="O8227" s="247"/>
      <c r="AC8227" s="247"/>
      <c r="AT8227" s="247"/>
    </row>
    <row r="8228">
      <c r="C8228" s="277"/>
      <c r="M8228" s="277"/>
      <c r="O8228" s="247"/>
      <c r="AC8228" s="247"/>
      <c r="AT8228" s="247"/>
    </row>
    <row r="8229">
      <c r="C8229" s="277"/>
      <c r="M8229" s="277"/>
      <c r="O8229" s="247"/>
      <c r="AC8229" s="247"/>
      <c r="AT8229" s="247"/>
    </row>
    <row r="8230">
      <c r="C8230" s="277"/>
      <c r="M8230" s="277"/>
      <c r="O8230" s="247"/>
      <c r="AC8230" s="247"/>
      <c r="AT8230" s="247"/>
    </row>
    <row r="8231">
      <c r="C8231" s="277"/>
      <c r="M8231" s="277"/>
      <c r="O8231" s="247"/>
      <c r="AC8231" s="247"/>
      <c r="AT8231" s="247"/>
    </row>
    <row r="8232">
      <c r="C8232" s="277"/>
      <c r="M8232" s="277"/>
      <c r="O8232" s="247"/>
      <c r="AC8232" s="247"/>
      <c r="AT8232" s="247"/>
    </row>
    <row r="8233">
      <c r="C8233" s="277"/>
      <c r="M8233" s="277"/>
      <c r="O8233" s="247"/>
      <c r="AC8233" s="247"/>
      <c r="AT8233" s="247"/>
    </row>
    <row r="8234">
      <c r="C8234" s="277"/>
      <c r="M8234" s="277"/>
      <c r="O8234" s="247"/>
      <c r="AC8234" s="247"/>
      <c r="AT8234" s="247"/>
    </row>
    <row r="8235">
      <c r="C8235" s="277"/>
      <c r="M8235" s="277"/>
      <c r="O8235" s="247"/>
      <c r="AC8235" s="247"/>
      <c r="AT8235" s="247"/>
    </row>
    <row r="8236">
      <c r="C8236" s="277"/>
      <c r="M8236" s="277"/>
      <c r="O8236" s="247"/>
      <c r="AC8236" s="247"/>
      <c r="AT8236" s="247"/>
    </row>
    <row r="8237">
      <c r="C8237" s="277"/>
      <c r="M8237" s="277"/>
      <c r="O8237" s="247"/>
      <c r="AC8237" s="247"/>
      <c r="AT8237" s="247"/>
    </row>
    <row r="8238">
      <c r="C8238" s="277"/>
      <c r="M8238" s="277"/>
      <c r="O8238" s="247"/>
      <c r="AC8238" s="247"/>
      <c r="AT8238" s="247"/>
    </row>
    <row r="8239">
      <c r="C8239" s="277"/>
      <c r="M8239" s="277"/>
      <c r="O8239" s="247"/>
      <c r="AC8239" s="247"/>
      <c r="AT8239" s="247"/>
    </row>
    <row r="8240">
      <c r="C8240" s="277"/>
      <c r="M8240" s="277"/>
      <c r="O8240" s="247"/>
      <c r="AC8240" s="247"/>
      <c r="AT8240" s="247"/>
    </row>
    <row r="8241">
      <c r="C8241" s="277"/>
      <c r="M8241" s="277"/>
      <c r="O8241" s="247"/>
      <c r="AC8241" s="247"/>
      <c r="AT8241" s="247"/>
    </row>
    <row r="8242">
      <c r="C8242" s="277"/>
      <c r="M8242" s="277"/>
      <c r="O8242" s="247"/>
      <c r="AC8242" s="247"/>
      <c r="AT8242" s="247"/>
    </row>
    <row r="8243">
      <c r="C8243" s="277"/>
      <c r="M8243" s="277"/>
      <c r="O8243" s="247"/>
      <c r="AC8243" s="247"/>
      <c r="AT8243" s="247"/>
    </row>
    <row r="8244">
      <c r="C8244" s="277"/>
      <c r="M8244" s="277"/>
      <c r="O8244" s="247"/>
      <c r="AC8244" s="247"/>
      <c r="AT8244" s="247"/>
    </row>
    <row r="8245">
      <c r="C8245" s="277"/>
      <c r="M8245" s="277"/>
      <c r="O8245" s="247"/>
      <c r="AC8245" s="247"/>
      <c r="AT8245" s="247"/>
    </row>
    <row r="8246">
      <c r="C8246" s="277"/>
      <c r="M8246" s="277"/>
      <c r="O8246" s="247"/>
      <c r="AC8246" s="247"/>
      <c r="AT8246" s="247"/>
    </row>
    <row r="8247">
      <c r="C8247" s="277"/>
      <c r="M8247" s="277"/>
      <c r="O8247" s="247"/>
      <c r="AC8247" s="247"/>
      <c r="AT8247" s="247"/>
    </row>
    <row r="8248">
      <c r="C8248" s="277"/>
      <c r="M8248" s="277"/>
      <c r="O8248" s="247"/>
      <c r="AC8248" s="247"/>
      <c r="AT8248" s="247"/>
    </row>
    <row r="8249">
      <c r="C8249" s="277"/>
      <c r="M8249" s="277"/>
      <c r="O8249" s="247"/>
      <c r="AC8249" s="247"/>
      <c r="AT8249" s="247"/>
    </row>
    <row r="8250">
      <c r="C8250" s="277"/>
      <c r="M8250" s="277"/>
      <c r="O8250" s="247"/>
      <c r="AC8250" s="247"/>
      <c r="AT8250" s="247"/>
    </row>
    <row r="8251">
      <c r="C8251" s="277"/>
      <c r="M8251" s="277"/>
      <c r="O8251" s="247"/>
      <c r="AC8251" s="247"/>
      <c r="AT8251" s="247"/>
    </row>
    <row r="8252">
      <c r="C8252" s="277"/>
      <c r="M8252" s="277"/>
      <c r="O8252" s="247"/>
      <c r="AC8252" s="247"/>
      <c r="AT8252" s="247"/>
    </row>
    <row r="8253">
      <c r="C8253" s="277"/>
      <c r="M8253" s="277"/>
      <c r="O8253" s="247"/>
      <c r="AC8253" s="247"/>
      <c r="AT8253" s="247"/>
    </row>
    <row r="8254">
      <c r="C8254" s="277"/>
      <c r="M8254" s="277"/>
      <c r="O8254" s="247"/>
      <c r="AC8254" s="247"/>
      <c r="AT8254" s="247"/>
    </row>
    <row r="8255">
      <c r="C8255" s="277"/>
      <c r="M8255" s="277"/>
      <c r="O8255" s="247"/>
      <c r="AC8255" s="247"/>
      <c r="AT8255" s="247"/>
    </row>
    <row r="8256">
      <c r="C8256" s="277"/>
      <c r="M8256" s="277"/>
      <c r="O8256" s="247"/>
      <c r="AC8256" s="247"/>
      <c r="AT8256" s="247"/>
    </row>
    <row r="8257">
      <c r="C8257" s="277"/>
      <c r="M8257" s="277"/>
      <c r="O8257" s="247"/>
      <c r="AC8257" s="247"/>
      <c r="AT8257" s="247"/>
    </row>
    <row r="8258">
      <c r="C8258" s="277"/>
      <c r="M8258" s="277"/>
      <c r="O8258" s="247"/>
      <c r="AC8258" s="247"/>
      <c r="AT8258" s="247"/>
    </row>
    <row r="8259">
      <c r="C8259" s="277"/>
      <c r="M8259" s="277"/>
      <c r="O8259" s="247"/>
      <c r="AC8259" s="247"/>
      <c r="AT8259" s="247"/>
    </row>
    <row r="8260">
      <c r="C8260" s="277"/>
      <c r="M8260" s="277"/>
      <c r="O8260" s="247"/>
      <c r="AC8260" s="247"/>
      <c r="AT8260" s="247"/>
    </row>
    <row r="8261">
      <c r="C8261" s="277"/>
      <c r="M8261" s="277"/>
      <c r="O8261" s="247"/>
      <c r="AC8261" s="247"/>
      <c r="AT8261" s="247"/>
    </row>
    <row r="8262">
      <c r="C8262" s="277"/>
      <c r="M8262" s="277"/>
      <c r="O8262" s="247"/>
      <c r="AC8262" s="247"/>
      <c r="AT8262" s="247"/>
    </row>
    <row r="8263">
      <c r="C8263" s="277"/>
      <c r="M8263" s="277"/>
      <c r="O8263" s="247"/>
      <c r="AC8263" s="247"/>
      <c r="AT8263" s="247"/>
    </row>
    <row r="8264">
      <c r="C8264" s="277"/>
      <c r="M8264" s="277"/>
      <c r="O8264" s="247"/>
      <c r="AC8264" s="247"/>
      <c r="AT8264" s="247"/>
    </row>
    <row r="8265">
      <c r="C8265" s="277"/>
      <c r="M8265" s="277"/>
      <c r="O8265" s="247"/>
      <c r="AC8265" s="247"/>
      <c r="AT8265" s="247"/>
    </row>
    <row r="8266">
      <c r="C8266" s="277"/>
      <c r="M8266" s="277"/>
      <c r="O8266" s="247"/>
      <c r="AC8266" s="247"/>
      <c r="AT8266" s="247"/>
    </row>
    <row r="8267">
      <c r="C8267" s="277"/>
      <c r="M8267" s="277"/>
      <c r="O8267" s="247"/>
      <c r="AC8267" s="247"/>
      <c r="AT8267" s="247"/>
    </row>
    <row r="8268">
      <c r="C8268" s="277"/>
      <c r="M8268" s="277"/>
      <c r="O8268" s="247"/>
      <c r="AC8268" s="247"/>
      <c r="AT8268" s="247"/>
    </row>
    <row r="8269">
      <c r="C8269" s="277"/>
      <c r="M8269" s="277"/>
      <c r="O8269" s="247"/>
      <c r="AC8269" s="247"/>
      <c r="AT8269" s="247"/>
    </row>
    <row r="8270">
      <c r="C8270" s="277"/>
      <c r="M8270" s="277"/>
      <c r="O8270" s="247"/>
      <c r="AC8270" s="247"/>
      <c r="AT8270" s="247"/>
    </row>
    <row r="8271">
      <c r="C8271" s="277"/>
      <c r="M8271" s="277"/>
      <c r="O8271" s="247"/>
      <c r="AC8271" s="247"/>
      <c r="AT8271" s="247"/>
    </row>
    <row r="8272">
      <c r="C8272" s="277"/>
      <c r="M8272" s="277"/>
      <c r="O8272" s="247"/>
      <c r="AC8272" s="247"/>
      <c r="AT8272" s="247"/>
    </row>
    <row r="8273">
      <c r="C8273" s="277"/>
      <c r="M8273" s="277"/>
      <c r="O8273" s="247"/>
      <c r="AC8273" s="247"/>
      <c r="AT8273" s="247"/>
    </row>
    <row r="8274">
      <c r="C8274" s="277"/>
      <c r="M8274" s="277"/>
      <c r="O8274" s="247"/>
      <c r="AC8274" s="247"/>
      <c r="AT8274" s="247"/>
    </row>
    <row r="8275">
      <c r="C8275" s="277"/>
      <c r="M8275" s="277"/>
      <c r="O8275" s="247"/>
      <c r="AC8275" s="247"/>
      <c r="AT8275" s="247"/>
    </row>
    <row r="8276">
      <c r="C8276" s="277"/>
      <c r="M8276" s="277"/>
      <c r="O8276" s="247"/>
      <c r="AC8276" s="247"/>
      <c r="AT8276" s="247"/>
    </row>
    <row r="8277">
      <c r="C8277" s="277"/>
      <c r="M8277" s="277"/>
      <c r="O8277" s="247"/>
      <c r="AC8277" s="247"/>
      <c r="AT8277" s="247"/>
    </row>
    <row r="8278">
      <c r="C8278" s="277"/>
      <c r="M8278" s="277"/>
      <c r="O8278" s="247"/>
      <c r="AC8278" s="247"/>
      <c r="AT8278" s="247"/>
    </row>
    <row r="8279">
      <c r="C8279" s="277"/>
      <c r="M8279" s="277"/>
      <c r="O8279" s="247"/>
      <c r="AC8279" s="247"/>
      <c r="AT8279" s="247"/>
    </row>
    <row r="8280">
      <c r="C8280" s="277"/>
      <c r="M8280" s="277"/>
      <c r="O8280" s="247"/>
      <c r="AC8280" s="247"/>
      <c r="AT8280" s="247"/>
    </row>
    <row r="8281">
      <c r="C8281" s="277"/>
      <c r="M8281" s="277"/>
      <c r="O8281" s="247"/>
      <c r="AC8281" s="247"/>
      <c r="AT8281" s="247"/>
    </row>
    <row r="8282">
      <c r="C8282" s="277"/>
      <c r="M8282" s="277"/>
      <c r="O8282" s="247"/>
      <c r="AC8282" s="247"/>
      <c r="AT8282" s="247"/>
    </row>
    <row r="8283">
      <c r="C8283" s="277"/>
      <c r="M8283" s="277"/>
      <c r="O8283" s="247"/>
      <c r="AC8283" s="247"/>
      <c r="AT8283" s="247"/>
    </row>
    <row r="8284">
      <c r="C8284" s="277"/>
      <c r="M8284" s="277"/>
      <c r="O8284" s="247"/>
      <c r="AC8284" s="247"/>
      <c r="AT8284" s="247"/>
    </row>
    <row r="8285">
      <c r="C8285" s="277"/>
      <c r="M8285" s="277"/>
      <c r="O8285" s="247"/>
      <c r="AC8285" s="247"/>
      <c r="AT8285" s="247"/>
    </row>
    <row r="8286">
      <c r="C8286" s="277"/>
      <c r="M8286" s="277"/>
      <c r="O8286" s="247"/>
      <c r="AC8286" s="247"/>
      <c r="AT8286" s="247"/>
    </row>
    <row r="8287">
      <c r="C8287" s="277"/>
      <c r="M8287" s="277"/>
      <c r="O8287" s="247"/>
      <c r="AC8287" s="247"/>
      <c r="AT8287" s="247"/>
    </row>
    <row r="8288">
      <c r="C8288" s="277"/>
      <c r="M8288" s="277"/>
      <c r="O8288" s="247"/>
      <c r="AC8288" s="247"/>
      <c r="AT8288" s="247"/>
    </row>
    <row r="8289">
      <c r="C8289" s="277"/>
      <c r="M8289" s="277"/>
      <c r="O8289" s="247"/>
      <c r="AC8289" s="247"/>
      <c r="AT8289" s="247"/>
    </row>
    <row r="8290">
      <c r="C8290" s="277"/>
      <c r="M8290" s="277"/>
      <c r="O8290" s="247"/>
      <c r="AC8290" s="247"/>
      <c r="AT8290" s="247"/>
    </row>
    <row r="8291">
      <c r="C8291" s="277"/>
      <c r="M8291" s="277"/>
      <c r="O8291" s="247"/>
      <c r="AC8291" s="247"/>
      <c r="AT8291" s="247"/>
    </row>
    <row r="8292">
      <c r="C8292" s="277"/>
      <c r="M8292" s="277"/>
      <c r="O8292" s="247"/>
      <c r="AC8292" s="247"/>
      <c r="AT8292" s="247"/>
    </row>
    <row r="8293">
      <c r="C8293" s="277"/>
      <c r="M8293" s="277"/>
      <c r="O8293" s="247"/>
      <c r="AC8293" s="247"/>
      <c r="AT8293" s="247"/>
    </row>
    <row r="8294">
      <c r="C8294" s="277"/>
      <c r="M8294" s="277"/>
      <c r="O8294" s="247"/>
      <c r="AC8294" s="247"/>
      <c r="AT8294" s="247"/>
    </row>
    <row r="8295">
      <c r="C8295" s="277"/>
      <c r="M8295" s="277"/>
      <c r="O8295" s="247"/>
      <c r="AC8295" s="247"/>
      <c r="AT8295" s="247"/>
    </row>
    <row r="8296">
      <c r="C8296" s="277"/>
      <c r="M8296" s="277"/>
      <c r="O8296" s="247"/>
      <c r="AC8296" s="247"/>
      <c r="AT8296" s="247"/>
    </row>
    <row r="8297">
      <c r="C8297" s="277"/>
      <c r="M8297" s="277"/>
      <c r="O8297" s="247"/>
      <c r="AC8297" s="247"/>
      <c r="AT8297" s="247"/>
    </row>
    <row r="8298">
      <c r="C8298" s="277"/>
      <c r="M8298" s="277"/>
      <c r="O8298" s="247"/>
      <c r="AC8298" s="247"/>
      <c r="AT8298" s="247"/>
    </row>
    <row r="8299">
      <c r="C8299" s="277"/>
      <c r="M8299" s="277"/>
      <c r="O8299" s="247"/>
      <c r="AC8299" s="247"/>
      <c r="AT8299" s="247"/>
    </row>
    <row r="8300">
      <c r="C8300" s="277"/>
      <c r="M8300" s="277"/>
      <c r="O8300" s="247"/>
      <c r="AC8300" s="247"/>
      <c r="AT8300" s="247"/>
    </row>
    <row r="8301">
      <c r="C8301" s="277"/>
      <c r="M8301" s="277"/>
      <c r="O8301" s="247"/>
      <c r="AC8301" s="247"/>
      <c r="AT8301" s="247"/>
    </row>
    <row r="8302">
      <c r="C8302" s="277"/>
      <c r="M8302" s="277"/>
      <c r="O8302" s="247"/>
      <c r="AC8302" s="247"/>
      <c r="AT8302" s="247"/>
    </row>
    <row r="8303">
      <c r="C8303" s="277"/>
      <c r="M8303" s="277"/>
      <c r="O8303" s="247"/>
      <c r="AC8303" s="247"/>
      <c r="AT8303" s="247"/>
    </row>
    <row r="8304">
      <c r="C8304" s="277"/>
      <c r="M8304" s="277"/>
      <c r="O8304" s="247"/>
      <c r="AC8304" s="247"/>
      <c r="AT8304" s="247"/>
    </row>
    <row r="8305">
      <c r="C8305" s="277"/>
      <c r="M8305" s="277"/>
      <c r="O8305" s="247"/>
      <c r="AC8305" s="247"/>
      <c r="AT8305" s="247"/>
    </row>
    <row r="8306">
      <c r="C8306" s="277"/>
      <c r="M8306" s="277"/>
      <c r="O8306" s="247"/>
      <c r="AC8306" s="247"/>
      <c r="AT8306" s="247"/>
    </row>
    <row r="8307">
      <c r="C8307" s="277"/>
      <c r="M8307" s="277"/>
      <c r="O8307" s="247"/>
      <c r="AC8307" s="247"/>
      <c r="AT8307" s="247"/>
    </row>
    <row r="8308">
      <c r="C8308" s="277"/>
      <c r="M8308" s="277"/>
      <c r="O8308" s="247"/>
      <c r="AC8308" s="247"/>
      <c r="AT8308" s="247"/>
    </row>
    <row r="8309">
      <c r="C8309" s="277"/>
      <c r="M8309" s="277"/>
      <c r="O8309" s="247"/>
      <c r="AC8309" s="247"/>
      <c r="AT8309" s="247"/>
    </row>
    <row r="8310">
      <c r="C8310" s="277"/>
      <c r="M8310" s="277"/>
      <c r="O8310" s="247"/>
      <c r="AC8310" s="247"/>
      <c r="AT8310" s="247"/>
    </row>
    <row r="8311">
      <c r="C8311" s="277"/>
      <c r="M8311" s="277"/>
      <c r="O8311" s="247"/>
      <c r="AC8311" s="247"/>
      <c r="AT8311" s="247"/>
    </row>
    <row r="8312">
      <c r="C8312" s="277"/>
      <c r="M8312" s="277"/>
      <c r="O8312" s="247"/>
      <c r="AC8312" s="247"/>
      <c r="AT8312" s="247"/>
    </row>
    <row r="8313">
      <c r="C8313" s="277"/>
      <c r="M8313" s="277"/>
      <c r="O8313" s="247"/>
      <c r="AC8313" s="247"/>
      <c r="AT8313" s="247"/>
    </row>
    <row r="8314">
      <c r="C8314" s="277"/>
      <c r="M8314" s="277"/>
      <c r="O8314" s="247"/>
      <c r="AC8314" s="247"/>
      <c r="AT8314" s="247"/>
    </row>
    <row r="8315">
      <c r="C8315" s="277"/>
      <c r="M8315" s="277"/>
      <c r="O8315" s="247"/>
      <c r="AC8315" s="247"/>
      <c r="AT8315" s="247"/>
    </row>
    <row r="8316">
      <c r="C8316" s="277"/>
      <c r="M8316" s="277"/>
      <c r="O8316" s="247"/>
      <c r="AC8316" s="247"/>
      <c r="AT8316" s="247"/>
    </row>
    <row r="8317">
      <c r="C8317" s="277"/>
      <c r="M8317" s="277"/>
      <c r="O8317" s="247"/>
      <c r="AC8317" s="247"/>
      <c r="AT8317" s="247"/>
    </row>
    <row r="8318">
      <c r="C8318" s="277"/>
      <c r="M8318" s="277"/>
      <c r="O8318" s="247"/>
      <c r="AC8318" s="247"/>
      <c r="AT8318" s="247"/>
    </row>
    <row r="8319">
      <c r="C8319" s="277"/>
      <c r="M8319" s="277"/>
      <c r="O8319" s="247"/>
      <c r="AC8319" s="247"/>
      <c r="AT8319" s="247"/>
    </row>
    <row r="8320">
      <c r="C8320" s="277"/>
      <c r="M8320" s="277"/>
      <c r="O8320" s="247"/>
      <c r="AC8320" s="247"/>
      <c r="AT8320" s="247"/>
    </row>
    <row r="8321">
      <c r="C8321" s="277"/>
      <c r="M8321" s="277"/>
      <c r="O8321" s="247"/>
      <c r="AC8321" s="247"/>
      <c r="AT8321" s="247"/>
    </row>
    <row r="8322">
      <c r="C8322" s="277"/>
      <c r="M8322" s="277"/>
      <c r="O8322" s="247"/>
      <c r="AC8322" s="247"/>
      <c r="AT8322" s="247"/>
    </row>
    <row r="8323">
      <c r="C8323" s="277"/>
      <c r="M8323" s="277"/>
      <c r="O8323" s="247"/>
      <c r="AC8323" s="247"/>
      <c r="AT8323" s="247"/>
    </row>
    <row r="8324">
      <c r="C8324" s="277"/>
      <c r="M8324" s="277"/>
      <c r="O8324" s="247"/>
      <c r="AC8324" s="247"/>
      <c r="AT8324" s="247"/>
    </row>
    <row r="8325">
      <c r="C8325" s="277"/>
      <c r="M8325" s="277"/>
      <c r="O8325" s="247"/>
      <c r="AC8325" s="247"/>
      <c r="AT8325" s="247"/>
    </row>
    <row r="8326">
      <c r="C8326" s="277"/>
      <c r="M8326" s="277"/>
      <c r="O8326" s="247"/>
      <c r="AC8326" s="247"/>
      <c r="AT8326" s="247"/>
    </row>
    <row r="8327">
      <c r="C8327" s="277"/>
      <c r="M8327" s="277"/>
      <c r="O8327" s="247"/>
      <c r="AC8327" s="247"/>
      <c r="AT8327" s="247"/>
    </row>
    <row r="8328">
      <c r="C8328" s="277"/>
      <c r="M8328" s="277"/>
      <c r="O8328" s="247"/>
      <c r="AC8328" s="247"/>
      <c r="AT8328" s="247"/>
    </row>
    <row r="8329">
      <c r="C8329" s="277"/>
      <c r="M8329" s="277"/>
      <c r="O8329" s="247"/>
      <c r="AC8329" s="247"/>
      <c r="AT8329" s="247"/>
    </row>
    <row r="8330">
      <c r="C8330" s="277"/>
      <c r="M8330" s="277"/>
      <c r="O8330" s="247"/>
      <c r="AC8330" s="247"/>
      <c r="AT8330" s="247"/>
    </row>
    <row r="8331">
      <c r="C8331" s="277"/>
      <c r="M8331" s="277"/>
      <c r="O8331" s="247"/>
      <c r="AC8331" s="247"/>
      <c r="AT8331" s="247"/>
    </row>
    <row r="8332">
      <c r="C8332" s="277"/>
      <c r="M8332" s="277"/>
      <c r="O8332" s="247"/>
      <c r="AC8332" s="247"/>
      <c r="AT8332" s="247"/>
    </row>
    <row r="8333">
      <c r="C8333" s="277"/>
      <c r="M8333" s="277"/>
      <c r="O8333" s="247"/>
      <c r="AC8333" s="247"/>
      <c r="AT8333" s="247"/>
    </row>
    <row r="8334">
      <c r="C8334" s="277"/>
      <c r="M8334" s="277"/>
      <c r="O8334" s="247"/>
      <c r="AC8334" s="247"/>
      <c r="AT8334" s="247"/>
    </row>
    <row r="8335">
      <c r="C8335" s="277"/>
      <c r="M8335" s="277"/>
      <c r="O8335" s="247"/>
      <c r="AC8335" s="247"/>
      <c r="AT8335" s="247"/>
    </row>
    <row r="8336">
      <c r="C8336" s="277"/>
      <c r="M8336" s="277"/>
      <c r="O8336" s="247"/>
      <c r="AC8336" s="247"/>
      <c r="AT8336" s="247"/>
    </row>
    <row r="8337">
      <c r="C8337" s="277"/>
      <c r="M8337" s="277"/>
      <c r="O8337" s="247"/>
      <c r="AC8337" s="247"/>
      <c r="AT8337" s="247"/>
    </row>
    <row r="8338">
      <c r="C8338" s="277"/>
      <c r="M8338" s="277"/>
      <c r="O8338" s="247"/>
      <c r="AC8338" s="247"/>
      <c r="AT8338" s="247"/>
    </row>
    <row r="8339">
      <c r="C8339" s="277"/>
      <c r="M8339" s="277"/>
      <c r="O8339" s="247"/>
      <c r="AC8339" s="247"/>
      <c r="AT8339" s="247"/>
    </row>
    <row r="8340">
      <c r="C8340" s="277"/>
      <c r="M8340" s="277"/>
      <c r="O8340" s="247"/>
      <c r="AC8340" s="247"/>
      <c r="AT8340" s="247"/>
    </row>
    <row r="8341">
      <c r="C8341" s="277"/>
      <c r="M8341" s="277"/>
      <c r="O8341" s="247"/>
      <c r="AC8341" s="247"/>
      <c r="AT8341" s="247"/>
    </row>
    <row r="8342">
      <c r="C8342" s="277"/>
      <c r="M8342" s="277"/>
      <c r="O8342" s="247"/>
      <c r="AC8342" s="247"/>
      <c r="AT8342" s="247"/>
    </row>
    <row r="8343">
      <c r="C8343" s="277"/>
      <c r="M8343" s="277"/>
      <c r="O8343" s="247"/>
      <c r="AC8343" s="247"/>
      <c r="AT8343" s="247"/>
    </row>
    <row r="8344">
      <c r="C8344" s="277"/>
      <c r="M8344" s="277"/>
      <c r="O8344" s="247"/>
      <c r="AC8344" s="247"/>
      <c r="AT8344" s="247"/>
    </row>
    <row r="8345">
      <c r="C8345" s="277"/>
      <c r="M8345" s="277"/>
      <c r="O8345" s="247"/>
      <c r="AC8345" s="247"/>
      <c r="AT8345" s="247"/>
    </row>
    <row r="8346">
      <c r="C8346" s="277"/>
      <c r="M8346" s="277"/>
      <c r="O8346" s="247"/>
      <c r="AC8346" s="247"/>
      <c r="AT8346" s="247"/>
    </row>
    <row r="8347">
      <c r="C8347" s="277"/>
      <c r="M8347" s="277"/>
      <c r="O8347" s="247"/>
      <c r="AC8347" s="247"/>
      <c r="AT8347" s="247"/>
    </row>
    <row r="8348">
      <c r="C8348" s="277"/>
      <c r="M8348" s="277"/>
      <c r="O8348" s="247"/>
      <c r="AC8348" s="247"/>
      <c r="AT8348" s="247"/>
    </row>
    <row r="8349">
      <c r="C8349" s="277"/>
      <c r="M8349" s="277"/>
      <c r="O8349" s="247"/>
      <c r="AC8349" s="247"/>
      <c r="AT8349" s="247"/>
    </row>
    <row r="8350">
      <c r="C8350" s="277"/>
      <c r="M8350" s="277"/>
      <c r="O8350" s="247"/>
      <c r="AC8350" s="247"/>
      <c r="AT8350" s="247"/>
    </row>
    <row r="8351">
      <c r="C8351" s="277"/>
      <c r="M8351" s="277"/>
      <c r="O8351" s="247"/>
      <c r="AC8351" s="247"/>
      <c r="AT8351" s="247"/>
    </row>
    <row r="8352">
      <c r="C8352" s="277"/>
      <c r="M8352" s="277"/>
      <c r="O8352" s="247"/>
      <c r="AC8352" s="247"/>
      <c r="AT8352" s="247"/>
    </row>
    <row r="8353">
      <c r="C8353" s="277"/>
      <c r="M8353" s="277"/>
      <c r="O8353" s="247"/>
      <c r="AC8353" s="247"/>
      <c r="AT8353" s="247"/>
    </row>
    <row r="8354">
      <c r="C8354" s="277"/>
      <c r="M8354" s="277"/>
      <c r="O8354" s="247"/>
      <c r="AC8354" s="247"/>
      <c r="AT8354" s="247"/>
    </row>
    <row r="8355">
      <c r="C8355" s="277"/>
      <c r="M8355" s="277"/>
      <c r="O8355" s="247"/>
      <c r="AC8355" s="247"/>
      <c r="AT8355" s="247"/>
    </row>
    <row r="8356">
      <c r="C8356" s="277"/>
      <c r="M8356" s="277"/>
      <c r="O8356" s="247"/>
      <c r="AC8356" s="247"/>
      <c r="AT8356" s="247"/>
    </row>
    <row r="8357">
      <c r="C8357" s="277"/>
      <c r="M8357" s="277"/>
      <c r="O8357" s="247"/>
      <c r="AC8357" s="247"/>
      <c r="AT8357" s="247"/>
    </row>
    <row r="8358">
      <c r="C8358" s="277"/>
      <c r="M8358" s="277"/>
      <c r="O8358" s="247"/>
      <c r="AC8358" s="247"/>
      <c r="AT8358" s="247"/>
    </row>
    <row r="8359">
      <c r="C8359" s="277"/>
      <c r="M8359" s="277"/>
      <c r="O8359" s="247"/>
      <c r="AC8359" s="247"/>
      <c r="AT8359" s="247"/>
    </row>
    <row r="8360">
      <c r="C8360" s="277"/>
      <c r="M8360" s="277"/>
      <c r="O8360" s="247"/>
      <c r="AC8360" s="247"/>
      <c r="AT8360" s="247"/>
    </row>
    <row r="8361">
      <c r="C8361" s="277"/>
      <c r="M8361" s="277"/>
      <c r="O8361" s="247"/>
      <c r="AC8361" s="247"/>
      <c r="AT8361" s="247"/>
    </row>
    <row r="8362">
      <c r="C8362" s="277"/>
      <c r="M8362" s="277"/>
      <c r="O8362" s="247"/>
      <c r="AC8362" s="247"/>
      <c r="AT8362" s="247"/>
    </row>
    <row r="8363">
      <c r="C8363" s="277"/>
      <c r="M8363" s="277"/>
      <c r="O8363" s="247"/>
      <c r="AC8363" s="247"/>
      <c r="AT8363" s="247"/>
    </row>
    <row r="8364">
      <c r="C8364" s="277"/>
      <c r="M8364" s="277"/>
      <c r="O8364" s="247"/>
      <c r="AC8364" s="247"/>
      <c r="AT8364" s="247"/>
    </row>
    <row r="8365">
      <c r="C8365" s="277"/>
      <c r="M8365" s="277"/>
      <c r="O8365" s="247"/>
      <c r="AC8365" s="247"/>
      <c r="AT8365" s="247"/>
    </row>
    <row r="8366">
      <c r="C8366" s="277"/>
      <c r="M8366" s="277"/>
      <c r="O8366" s="247"/>
      <c r="AC8366" s="247"/>
      <c r="AT8366" s="247"/>
    </row>
    <row r="8367">
      <c r="C8367" s="277"/>
      <c r="M8367" s="277"/>
      <c r="O8367" s="247"/>
      <c r="AC8367" s="247"/>
      <c r="AT8367" s="247"/>
    </row>
    <row r="8368">
      <c r="C8368" s="277"/>
      <c r="M8368" s="277"/>
      <c r="O8368" s="247"/>
      <c r="AC8368" s="247"/>
      <c r="AT8368" s="247"/>
    </row>
    <row r="8369">
      <c r="C8369" s="277"/>
      <c r="M8369" s="277"/>
      <c r="O8369" s="247"/>
      <c r="AC8369" s="247"/>
      <c r="AT8369" s="247"/>
    </row>
    <row r="8370">
      <c r="C8370" s="277"/>
      <c r="M8370" s="277"/>
      <c r="O8370" s="247"/>
      <c r="AC8370" s="247"/>
      <c r="AT8370" s="247"/>
    </row>
    <row r="8371">
      <c r="C8371" s="277"/>
      <c r="M8371" s="277"/>
      <c r="O8371" s="247"/>
      <c r="AC8371" s="247"/>
      <c r="AT8371" s="247"/>
    </row>
    <row r="8372">
      <c r="C8372" s="277"/>
      <c r="M8372" s="277"/>
      <c r="O8372" s="247"/>
      <c r="AC8372" s="247"/>
      <c r="AT8372" s="247"/>
    </row>
    <row r="8373">
      <c r="C8373" s="277"/>
      <c r="M8373" s="277"/>
      <c r="O8373" s="247"/>
      <c r="AC8373" s="247"/>
      <c r="AT8373" s="247"/>
    </row>
    <row r="8374">
      <c r="C8374" s="277"/>
      <c r="M8374" s="277"/>
      <c r="O8374" s="247"/>
      <c r="AC8374" s="247"/>
      <c r="AT8374" s="247"/>
    </row>
    <row r="8375">
      <c r="C8375" s="277"/>
      <c r="M8375" s="277"/>
      <c r="O8375" s="247"/>
      <c r="AC8375" s="247"/>
      <c r="AT8375" s="247"/>
    </row>
    <row r="8376">
      <c r="C8376" s="277"/>
      <c r="M8376" s="277"/>
      <c r="O8376" s="247"/>
      <c r="AC8376" s="247"/>
      <c r="AT8376" s="247"/>
    </row>
    <row r="8377">
      <c r="C8377" s="277"/>
      <c r="M8377" s="277"/>
      <c r="O8377" s="247"/>
      <c r="AC8377" s="247"/>
      <c r="AT8377" s="247"/>
    </row>
    <row r="8378">
      <c r="C8378" s="277"/>
      <c r="M8378" s="277"/>
      <c r="O8378" s="247"/>
      <c r="AC8378" s="247"/>
      <c r="AT8378" s="247"/>
    </row>
    <row r="8379">
      <c r="C8379" s="277"/>
      <c r="M8379" s="277"/>
      <c r="O8379" s="247"/>
      <c r="AC8379" s="247"/>
      <c r="AT8379" s="247"/>
    </row>
    <row r="8380">
      <c r="C8380" s="277"/>
      <c r="M8380" s="277"/>
      <c r="O8380" s="247"/>
      <c r="AC8380" s="247"/>
      <c r="AT8380" s="247"/>
    </row>
    <row r="8381">
      <c r="C8381" s="277"/>
      <c r="M8381" s="277"/>
      <c r="O8381" s="247"/>
      <c r="AC8381" s="247"/>
      <c r="AT8381" s="247"/>
    </row>
    <row r="8382">
      <c r="C8382" s="277"/>
      <c r="M8382" s="277"/>
      <c r="O8382" s="247"/>
      <c r="AC8382" s="247"/>
      <c r="AT8382" s="247"/>
    </row>
    <row r="8383">
      <c r="C8383" s="277"/>
      <c r="M8383" s="277"/>
      <c r="O8383" s="247"/>
      <c r="AC8383" s="247"/>
      <c r="AT8383" s="247"/>
    </row>
    <row r="8384">
      <c r="C8384" s="277"/>
      <c r="M8384" s="277"/>
      <c r="O8384" s="247"/>
      <c r="AC8384" s="247"/>
      <c r="AT8384" s="247"/>
    </row>
    <row r="8385">
      <c r="C8385" s="277"/>
      <c r="M8385" s="277"/>
      <c r="O8385" s="247"/>
      <c r="AC8385" s="247"/>
      <c r="AT8385" s="247"/>
    </row>
    <row r="8386">
      <c r="C8386" s="277"/>
      <c r="M8386" s="277"/>
      <c r="O8386" s="247"/>
      <c r="AC8386" s="247"/>
      <c r="AT8386" s="247"/>
    </row>
    <row r="8387">
      <c r="C8387" s="277"/>
      <c r="M8387" s="277"/>
      <c r="O8387" s="247"/>
      <c r="AC8387" s="247"/>
      <c r="AT8387" s="247"/>
    </row>
    <row r="8388">
      <c r="C8388" s="277"/>
      <c r="M8388" s="277"/>
      <c r="O8388" s="247"/>
      <c r="AC8388" s="247"/>
      <c r="AT8388" s="247"/>
    </row>
    <row r="8389">
      <c r="C8389" s="277"/>
      <c r="M8389" s="277"/>
      <c r="O8389" s="247"/>
      <c r="AC8389" s="247"/>
      <c r="AT8389" s="247"/>
    </row>
    <row r="8390">
      <c r="C8390" s="277"/>
      <c r="M8390" s="277"/>
      <c r="O8390" s="247"/>
      <c r="AC8390" s="247"/>
      <c r="AT8390" s="247"/>
    </row>
    <row r="8391">
      <c r="C8391" s="277"/>
      <c r="M8391" s="277"/>
      <c r="O8391" s="247"/>
      <c r="AC8391" s="247"/>
      <c r="AT8391" s="247"/>
    </row>
    <row r="8392">
      <c r="C8392" s="277"/>
      <c r="M8392" s="277"/>
      <c r="O8392" s="247"/>
      <c r="AC8392" s="247"/>
      <c r="AT8392" s="247"/>
    </row>
    <row r="8393">
      <c r="C8393" s="277"/>
      <c r="M8393" s="277"/>
      <c r="O8393" s="247"/>
      <c r="AC8393" s="247"/>
      <c r="AT8393" s="247"/>
    </row>
    <row r="8394">
      <c r="C8394" s="277"/>
      <c r="M8394" s="277"/>
      <c r="O8394" s="247"/>
      <c r="AC8394" s="247"/>
      <c r="AT8394" s="247"/>
    </row>
    <row r="8395">
      <c r="C8395" s="277"/>
      <c r="M8395" s="277"/>
      <c r="O8395" s="247"/>
      <c r="AC8395" s="247"/>
      <c r="AT8395" s="247"/>
    </row>
    <row r="8396">
      <c r="C8396" s="277"/>
      <c r="M8396" s="277"/>
      <c r="O8396" s="247"/>
      <c r="AC8396" s="247"/>
      <c r="AT8396" s="247"/>
    </row>
    <row r="8397">
      <c r="C8397" s="277"/>
      <c r="M8397" s="277"/>
      <c r="O8397" s="247"/>
      <c r="AC8397" s="247"/>
      <c r="AT8397" s="247"/>
    </row>
    <row r="8398">
      <c r="C8398" s="277"/>
      <c r="M8398" s="277"/>
      <c r="O8398" s="247"/>
      <c r="AC8398" s="247"/>
      <c r="AT8398" s="247"/>
    </row>
    <row r="8399">
      <c r="C8399" s="277"/>
      <c r="M8399" s="277"/>
      <c r="O8399" s="247"/>
      <c r="AC8399" s="247"/>
      <c r="AT8399" s="247"/>
    </row>
    <row r="8400">
      <c r="C8400" s="277"/>
      <c r="M8400" s="277"/>
      <c r="O8400" s="247"/>
      <c r="AC8400" s="247"/>
      <c r="AT8400" s="247"/>
    </row>
    <row r="8401">
      <c r="C8401" s="277"/>
      <c r="M8401" s="277"/>
      <c r="O8401" s="247"/>
      <c r="AC8401" s="247"/>
      <c r="AT8401" s="247"/>
    </row>
    <row r="8402">
      <c r="C8402" s="277"/>
      <c r="M8402" s="277"/>
      <c r="O8402" s="247"/>
      <c r="AC8402" s="247"/>
      <c r="AT8402" s="247"/>
    </row>
    <row r="8403">
      <c r="C8403" s="277"/>
      <c r="M8403" s="277"/>
      <c r="O8403" s="247"/>
      <c r="AC8403" s="247"/>
      <c r="AT8403" s="247"/>
    </row>
    <row r="8404">
      <c r="C8404" s="277"/>
      <c r="M8404" s="277"/>
      <c r="O8404" s="247"/>
      <c r="AC8404" s="247"/>
      <c r="AT8404" s="247"/>
    </row>
    <row r="8405">
      <c r="C8405" s="277"/>
      <c r="M8405" s="277"/>
      <c r="O8405" s="247"/>
      <c r="AC8405" s="247"/>
      <c r="AT8405" s="247"/>
    </row>
    <row r="8406">
      <c r="C8406" s="277"/>
      <c r="M8406" s="277"/>
      <c r="O8406" s="247"/>
      <c r="AC8406" s="247"/>
      <c r="AT8406" s="247"/>
    </row>
    <row r="8407">
      <c r="C8407" s="277"/>
      <c r="M8407" s="277"/>
      <c r="O8407" s="247"/>
      <c r="AC8407" s="247"/>
      <c r="AT8407" s="247"/>
    </row>
    <row r="8408">
      <c r="C8408" s="277"/>
      <c r="M8408" s="277"/>
      <c r="O8408" s="247"/>
      <c r="AC8408" s="247"/>
      <c r="AT8408" s="247"/>
    </row>
    <row r="8409">
      <c r="C8409" s="277"/>
      <c r="M8409" s="277"/>
      <c r="O8409" s="247"/>
      <c r="AC8409" s="247"/>
      <c r="AT8409" s="247"/>
    </row>
    <row r="8410">
      <c r="C8410" s="277"/>
      <c r="M8410" s="277"/>
      <c r="O8410" s="247"/>
      <c r="AC8410" s="247"/>
      <c r="AT8410" s="247"/>
    </row>
    <row r="8411">
      <c r="C8411" s="277"/>
      <c r="M8411" s="277"/>
      <c r="O8411" s="247"/>
      <c r="AC8411" s="247"/>
      <c r="AT8411" s="247"/>
    </row>
    <row r="8412">
      <c r="C8412" s="277"/>
      <c r="M8412" s="277"/>
      <c r="O8412" s="247"/>
      <c r="AC8412" s="247"/>
      <c r="AT8412" s="247"/>
    </row>
    <row r="8413">
      <c r="C8413" s="277"/>
      <c r="M8413" s="277"/>
      <c r="O8413" s="247"/>
      <c r="AC8413" s="247"/>
      <c r="AT8413" s="247"/>
    </row>
    <row r="8414">
      <c r="C8414" s="277"/>
      <c r="M8414" s="277"/>
      <c r="O8414" s="247"/>
      <c r="AC8414" s="247"/>
      <c r="AT8414" s="247"/>
    </row>
    <row r="8415">
      <c r="C8415" s="277"/>
      <c r="M8415" s="277"/>
      <c r="O8415" s="247"/>
      <c r="AC8415" s="247"/>
      <c r="AT8415" s="247"/>
    </row>
    <row r="8416">
      <c r="C8416" s="277"/>
      <c r="M8416" s="277"/>
      <c r="O8416" s="247"/>
      <c r="AC8416" s="247"/>
      <c r="AT8416" s="247"/>
    </row>
    <row r="8417">
      <c r="C8417" s="277"/>
      <c r="M8417" s="277"/>
      <c r="O8417" s="247"/>
      <c r="AC8417" s="247"/>
      <c r="AT8417" s="247"/>
    </row>
    <row r="8418">
      <c r="C8418" s="277"/>
      <c r="M8418" s="277"/>
      <c r="O8418" s="247"/>
      <c r="AC8418" s="247"/>
      <c r="AT8418" s="247"/>
    </row>
    <row r="8419">
      <c r="C8419" s="277"/>
      <c r="M8419" s="277"/>
      <c r="O8419" s="247"/>
      <c r="AC8419" s="247"/>
      <c r="AT8419" s="247"/>
    </row>
    <row r="8420">
      <c r="C8420" s="277"/>
      <c r="M8420" s="277"/>
      <c r="O8420" s="247"/>
      <c r="AC8420" s="247"/>
      <c r="AT8420" s="247"/>
    </row>
    <row r="8421">
      <c r="C8421" s="277"/>
      <c r="M8421" s="277"/>
      <c r="O8421" s="247"/>
      <c r="AC8421" s="247"/>
      <c r="AT8421" s="247"/>
    </row>
    <row r="8422">
      <c r="C8422" s="277"/>
      <c r="M8422" s="277"/>
      <c r="O8422" s="247"/>
      <c r="AC8422" s="247"/>
      <c r="AT8422" s="247"/>
    </row>
    <row r="8423">
      <c r="C8423" s="277"/>
      <c r="M8423" s="277"/>
      <c r="O8423" s="247"/>
      <c r="AC8423" s="247"/>
      <c r="AT8423" s="247"/>
    </row>
    <row r="8424">
      <c r="C8424" s="277"/>
      <c r="M8424" s="277"/>
      <c r="O8424" s="247"/>
      <c r="AC8424" s="247"/>
      <c r="AT8424" s="247"/>
    </row>
    <row r="8425">
      <c r="C8425" s="277"/>
      <c r="M8425" s="277"/>
      <c r="O8425" s="247"/>
      <c r="AC8425" s="247"/>
      <c r="AT8425" s="247"/>
    </row>
    <row r="8426">
      <c r="C8426" s="277"/>
      <c r="M8426" s="277"/>
      <c r="O8426" s="247"/>
      <c r="AC8426" s="247"/>
      <c r="AT8426" s="247"/>
    </row>
    <row r="8427">
      <c r="C8427" s="277"/>
      <c r="M8427" s="277"/>
      <c r="O8427" s="247"/>
      <c r="AC8427" s="247"/>
      <c r="AT8427" s="247"/>
    </row>
    <row r="8428">
      <c r="C8428" s="277"/>
      <c r="M8428" s="277"/>
      <c r="O8428" s="247"/>
      <c r="AC8428" s="247"/>
      <c r="AT8428" s="247"/>
    </row>
    <row r="8429">
      <c r="C8429" s="277"/>
      <c r="M8429" s="277"/>
      <c r="O8429" s="247"/>
      <c r="AC8429" s="247"/>
      <c r="AT8429" s="247"/>
    </row>
    <row r="8430">
      <c r="C8430" s="277"/>
      <c r="M8430" s="277"/>
      <c r="O8430" s="247"/>
      <c r="AC8430" s="247"/>
      <c r="AT8430" s="247"/>
    </row>
    <row r="8431">
      <c r="C8431" s="277"/>
      <c r="M8431" s="277"/>
      <c r="O8431" s="247"/>
      <c r="AC8431" s="247"/>
      <c r="AT8431" s="247"/>
    </row>
    <row r="8432">
      <c r="C8432" s="277"/>
      <c r="M8432" s="277"/>
      <c r="O8432" s="247"/>
      <c r="AC8432" s="247"/>
      <c r="AT8432" s="247"/>
    </row>
    <row r="8433">
      <c r="C8433" s="277"/>
      <c r="M8433" s="277"/>
      <c r="O8433" s="247"/>
      <c r="AC8433" s="247"/>
      <c r="AT8433" s="247"/>
    </row>
    <row r="8434">
      <c r="C8434" s="277"/>
      <c r="M8434" s="277"/>
      <c r="O8434" s="247"/>
      <c r="AC8434" s="247"/>
      <c r="AT8434" s="247"/>
    </row>
    <row r="8435">
      <c r="C8435" s="277"/>
      <c r="M8435" s="277"/>
      <c r="O8435" s="247"/>
      <c r="AC8435" s="247"/>
      <c r="AT8435" s="247"/>
    </row>
    <row r="8436">
      <c r="C8436" s="277"/>
      <c r="M8436" s="277"/>
      <c r="O8436" s="247"/>
      <c r="AC8436" s="247"/>
      <c r="AT8436" s="247"/>
    </row>
    <row r="8437">
      <c r="C8437" s="277"/>
      <c r="M8437" s="277"/>
      <c r="O8437" s="247"/>
      <c r="AC8437" s="247"/>
      <c r="AT8437" s="247"/>
    </row>
    <row r="8438">
      <c r="C8438" s="277"/>
      <c r="M8438" s="277"/>
      <c r="O8438" s="247"/>
      <c r="AC8438" s="247"/>
      <c r="AT8438" s="247"/>
    </row>
    <row r="8439">
      <c r="C8439" s="277"/>
      <c r="M8439" s="277"/>
      <c r="O8439" s="247"/>
      <c r="AC8439" s="247"/>
      <c r="AT8439" s="247"/>
    </row>
    <row r="8440">
      <c r="C8440" s="277"/>
      <c r="M8440" s="277"/>
      <c r="O8440" s="247"/>
      <c r="AC8440" s="247"/>
      <c r="AT8440" s="247"/>
    </row>
    <row r="8441">
      <c r="C8441" s="277"/>
      <c r="M8441" s="277"/>
      <c r="O8441" s="247"/>
      <c r="AC8441" s="247"/>
      <c r="AT8441" s="247"/>
    </row>
    <row r="8442">
      <c r="C8442" s="277"/>
      <c r="M8442" s="277"/>
      <c r="O8442" s="247"/>
      <c r="AC8442" s="247"/>
      <c r="AT8442" s="247"/>
    </row>
    <row r="8443">
      <c r="C8443" s="277"/>
      <c r="M8443" s="277"/>
      <c r="O8443" s="247"/>
      <c r="AC8443" s="247"/>
      <c r="AT8443" s="247"/>
    </row>
    <row r="8444">
      <c r="C8444" s="277"/>
      <c r="M8444" s="277"/>
      <c r="O8444" s="247"/>
      <c r="AC8444" s="247"/>
      <c r="AT8444" s="247"/>
    </row>
    <row r="8445">
      <c r="C8445" s="277"/>
      <c r="M8445" s="277"/>
      <c r="O8445" s="247"/>
      <c r="AC8445" s="247"/>
      <c r="AT8445" s="247"/>
    </row>
    <row r="8446">
      <c r="C8446" s="277"/>
      <c r="M8446" s="277"/>
      <c r="O8446" s="247"/>
      <c r="AC8446" s="247"/>
      <c r="AT8446" s="247"/>
    </row>
    <row r="8447">
      <c r="C8447" s="277"/>
      <c r="M8447" s="277"/>
      <c r="O8447" s="247"/>
      <c r="AC8447" s="247"/>
      <c r="AT8447" s="247"/>
    </row>
    <row r="8448">
      <c r="C8448" s="277"/>
      <c r="M8448" s="277"/>
      <c r="O8448" s="247"/>
      <c r="AC8448" s="247"/>
      <c r="AT8448" s="247"/>
    </row>
    <row r="8449">
      <c r="C8449" s="277"/>
      <c r="M8449" s="277"/>
      <c r="O8449" s="247"/>
      <c r="AC8449" s="247"/>
      <c r="AT8449" s="247"/>
    </row>
    <row r="8450">
      <c r="C8450" s="277"/>
      <c r="M8450" s="277"/>
      <c r="O8450" s="247"/>
      <c r="AC8450" s="247"/>
      <c r="AT8450" s="247"/>
    </row>
    <row r="8451">
      <c r="C8451" s="277"/>
      <c r="M8451" s="277"/>
      <c r="O8451" s="247"/>
      <c r="AC8451" s="247"/>
      <c r="AT8451" s="247"/>
    </row>
    <row r="8452">
      <c r="C8452" s="277"/>
      <c r="M8452" s="277"/>
      <c r="O8452" s="247"/>
      <c r="AC8452" s="247"/>
      <c r="AT8452" s="247"/>
    </row>
    <row r="8453">
      <c r="C8453" s="277"/>
      <c r="M8453" s="277"/>
      <c r="O8453" s="247"/>
      <c r="AC8453" s="247"/>
      <c r="AT8453" s="247"/>
    </row>
    <row r="8454">
      <c r="C8454" s="277"/>
      <c r="M8454" s="277"/>
      <c r="O8454" s="247"/>
      <c r="AC8454" s="247"/>
      <c r="AT8454" s="247"/>
    </row>
    <row r="8455">
      <c r="C8455" s="277"/>
      <c r="M8455" s="277"/>
      <c r="O8455" s="247"/>
      <c r="AC8455" s="247"/>
      <c r="AT8455" s="247"/>
    </row>
    <row r="8456">
      <c r="C8456" s="277"/>
      <c r="M8456" s="277"/>
      <c r="O8456" s="247"/>
      <c r="AC8456" s="247"/>
      <c r="AT8456" s="247"/>
    </row>
    <row r="8457">
      <c r="C8457" s="277"/>
      <c r="M8457" s="277"/>
      <c r="O8457" s="247"/>
      <c r="AC8457" s="247"/>
      <c r="AT8457" s="247"/>
    </row>
    <row r="8458">
      <c r="C8458" s="277"/>
      <c r="M8458" s="277"/>
      <c r="O8458" s="247"/>
      <c r="AC8458" s="247"/>
      <c r="AT8458" s="247"/>
    </row>
    <row r="8459">
      <c r="C8459" s="277"/>
      <c r="M8459" s="277"/>
      <c r="O8459" s="247"/>
      <c r="AC8459" s="247"/>
      <c r="AT8459" s="247"/>
    </row>
    <row r="8460">
      <c r="C8460" s="277"/>
      <c r="M8460" s="277"/>
      <c r="O8460" s="247"/>
      <c r="AC8460" s="247"/>
      <c r="AT8460" s="247"/>
    </row>
    <row r="8461">
      <c r="C8461" s="277"/>
      <c r="M8461" s="277"/>
      <c r="O8461" s="247"/>
      <c r="AC8461" s="247"/>
      <c r="AT8461" s="247"/>
    </row>
    <row r="8462">
      <c r="C8462" s="277"/>
      <c r="M8462" s="277"/>
      <c r="O8462" s="247"/>
      <c r="AC8462" s="247"/>
      <c r="AT8462" s="247"/>
    </row>
    <row r="8463">
      <c r="C8463" s="277"/>
      <c r="M8463" s="277"/>
      <c r="O8463" s="247"/>
      <c r="AC8463" s="247"/>
      <c r="AT8463" s="247"/>
    </row>
    <row r="8464">
      <c r="C8464" s="277"/>
      <c r="M8464" s="277"/>
      <c r="O8464" s="247"/>
      <c r="AC8464" s="247"/>
      <c r="AT8464" s="247"/>
    </row>
    <row r="8465">
      <c r="C8465" s="277"/>
      <c r="M8465" s="277"/>
      <c r="O8465" s="247"/>
      <c r="AC8465" s="247"/>
      <c r="AT8465" s="247"/>
    </row>
    <row r="8466">
      <c r="C8466" s="277"/>
      <c r="M8466" s="277"/>
      <c r="O8466" s="247"/>
      <c r="AC8466" s="247"/>
      <c r="AT8466" s="247"/>
    </row>
    <row r="8467">
      <c r="C8467" s="277"/>
      <c r="M8467" s="277"/>
      <c r="O8467" s="247"/>
      <c r="AC8467" s="247"/>
      <c r="AT8467" s="247"/>
    </row>
    <row r="8468">
      <c r="C8468" s="277"/>
      <c r="M8468" s="277"/>
      <c r="O8468" s="247"/>
      <c r="AC8468" s="247"/>
      <c r="AT8468" s="247"/>
    </row>
    <row r="8469">
      <c r="C8469" s="277"/>
      <c r="M8469" s="277"/>
      <c r="O8469" s="247"/>
      <c r="AC8469" s="247"/>
      <c r="AT8469" s="247"/>
    </row>
    <row r="8470">
      <c r="C8470" s="277"/>
      <c r="M8470" s="277"/>
      <c r="O8470" s="247"/>
      <c r="AC8470" s="247"/>
      <c r="AT8470" s="247"/>
    </row>
    <row r="8471">
      <c r="C8471" s="277"/>
      <c r="M8471" s="277"/>
      <c r="O8471" s="247"/>
      <c r="AC8471" s="247"/>
      <c r="AT8471" s="247"/>
    </row>
    <row r="8472">
      <c r="C8472" s="277"/>
      <c r="M8472" s="277"/>
      <c r="O8472" s="247"/>
      <c r="AC8472" s="247"/>
      <c r="AT8472" s="247"/>
    </row>
    <row r="8473">
      <c r="C8473" s="277"/>
      <c r="M8473" s="277"/>
      <c r="O8473" s="247"/>
      <c r="AC8473" s="247"/>
      <c r="AT8473" s="247"/>
    </row>
    <row r="8474">
      <c r="C8474" s="277"/>
      <c r="M8474" s="277"/>
      <c r="O8474" s="247"/>
      <c r="AC8474" s="247"/>
      <c r="AT8474" s="247"/>
    </row>
    <row r="8475">
      <c r="C8475" s="277"/>
      <c r="M8475" s="277"/>
      <c r="O8475" s="247"/>
      <c r="AC8475" s="247"/>
      <c r="AT8475" s="247"/>
    </row>
    <row r="8476">
      <c r="C8476" s="277"/>
      <c r="M8476" s="277"/>
      <c r="O8476" s="247"/>
      <c r="AC8476" s="247"/>
      <c r="AT8476" s="247"/>
    </row>
    <row r="8477">
      <c r="C8477" s="277"/>
      <c r="M8477" s="277"/>
      <c r="O8477" s="247"/>
      <c r="AC8477" s="247"/>
      <c r="AT8477" s="247"/>
    </row>
    <row r="8478">
      <c r="C8478" s="277"/>
      <c r="M8478" s="277"/>
      <c r="O8478" s="247"/>
      <c r="AC8478" s="247"/>
      <c r="AT8478" s="247"/>
    </row>
    <row r="8479">
      <c r="C8479" s="277"/>
      <c r="M8479" s="277"/>
      <c r="O8479" s="247"/>
      <c r="AC8479" s="247"/>
      <c r="AT8479" s="247"/>
    </row>
    <row r="8480">
      <c r="C8480" s="277"/>
      <c r="M8480" s="277"/>
      <c r="O8480" s="247"/>
      <c r="AC8480" s="247"/>
      <c r="AT8480" s="247"/>
    </row>
    <row r="8481">
      <c r="C8481" s="277"/>
      <c r="M8481" s="277"/>
      <c r="O8481" s="247"/>
      <c r="AC8481" s="247"/>
      <c r="AT8481" s="247"/>
    </row>
    <row r="8482">
      <c r="C8482" s="277"/>
      <c r="M8482" s="277"/>
      <c r="O8482" s="247"/>
      <c r="AC8482" s="247"/>
      <c r="AT8482" s="247"/>
    </row>
    <row r="8483">
      <c r="C8483" s="277"/>
      <c r="M8483" s="277"/>
      <c r="O8483" s="247"/>
      <c r="AC8483" s="247"/>
      <c r="AT8483" s="247"/>
    </row>
    <row r="8484">
      <c r="C8484" s="277"/>
      <c r="M8484" s="277"/>
      <c r="O8484" s="247"/>
      <c r="AC8484" s="247"/>
      <c r="AT8484" s="247"/>
    </row>
    <row r="8485">
      <c r="C8485" s="277"/>
      <c r="M8485" s="277"/>
      <c r="O8485" s="247"/>
      <c r="AC8485" s="247"/>
      <c r="AT8485" s="247"/>
    </row>
    <row r="8486">
      <c r="C8486" s="277"/>
      <c r="M8486" s="277"/>
      <c r="O8486" s="247"/>
      <c r="AC8486" s="247"/>
      <c r="AT8486" s="247"/>
    </row>
    <row r="8487">
      <c r="C8487" s="277"/>
      <c r="M8487" s="277"/>
      <c r="O8487" s="247"/>
      <c r="AC8487" s="247"/>
      <c r="AT8487" s="247"/>
    </row>
    <row r="8488">
      <c r="C8488" s="277"/>
      <c r="M8488" s="277"/>
      <c r="O8488" s="247"/>
      <c r="AC8488" s="247"/>
      <c r="AT8488" s="247"/>
    </row>
    <row r="8489">
      <c r="C8489" s="277"/>
      <c r="M8489" s="277"/>
      <c r="O8489" s="247"/>
      <c r="AC8489" s="247"/>
      <c r="AT8489" s="247"/>
    </row>
    <row r="8490">
      <c r="C8490" s="277"/>
      <c r="M8490" s="277"/>
      <c r="O8490" s="247"/>
      <c r="AC8490" s="247"/>
      <c r="AT8490" s="247"/>
    </row>
    <row r="8491">
      <c r="C8491" s="277"/>
      <c r="M8491" s="277"/>
      <c r="O8491" s="247"/>
      <c r="AC8491" s="247"/>
      <c r="AT8491" s="247"/>
    </row>
    <row r="8492">
      <c r="C8492" s="277"/>
      <c r="M8492" s="277"/>
      <c r="O8492" s="247"/>
      <c r="AC8492" s="247"/>
      <c r="AT8492" s="247"/>
    </row>
    <row r="8493">
      <c r="C8493" s="277"/>
      <c r="M8493" s="277"/>
      <c r="O8493" s="247"/>
      <c r="AC8493" s="247"/>
      <c r="AT8493" s="247"/>
    </row>
    <row r="8494">
      <c r="C8494" s="277"/>
      <c r="M8494" s="277"/>
      <c r="O8494" s="247"/>
      <c r="AC8494" s="247"/>
      <c r="AT8494" s="247"/>
    </row>
    <row r="8495">
      <c r="C8495" s="277"/>
      <c r="M8495" s="277"/>
      <c r="O8495" s="247"/>
      <c r="AC8495" s="247"/>
      <c r="AT8495" s="247"/>
    </row>
    <row r="8496">
      <c r="C8496" s="277"/>
      <c r="M8496" s="277"/>
      <c r="O8496" s="247"/>
      <c r="AC8496" s="247"/>
      <c r="AT8496" s="247"/>
    </row>
    <row r="8497">
      <c r="C8497" s="277"/>
      <c r="M8497" s="277"/>
      <c r="O8497" s="247"/>
      <c r="AC8497" s="247"/>
      <c r="AT8497" s="247"/>
    </row>
    <row r="8498">
      <c r="C8498" s="277"/>
      <c r="M8498" s="277"/>
      <c r="O8498" s="247"/>
      <c r="AC8498" s="247"/>
      <c r="AT8498" s="247"/>
    </row>
    <row r="8499">
      <c r="C8499" s="277"/>
      <c r="M8499" s="277"/>
      <c r="O8499" s="247"/>
      <c r="AC8499" s="247"/>
      <c r="AT8499" s="247"/>
    </row>
    <row r="8500">
      <c r="C8500" s="277"/>
      <c r="M8500" s="277"/>
      <c r="O8500" s="247"/>
      <c r="AC8500" s="247"/>
      <c r="AT8500" s="247"/>
    </row>
    <row r="8501">
      <c r="C8501" s="277"/>
      <c r="M8501" s="277"/>
      <c r="O8501" s="247"/>
      <c r="AC8501" s="247"/>
      <c r="AT8501" s="247"/>
    </row>
    <row r="8502">
      <c r="C8502" s="277"/>
      <c r="M8502" s="277"/>
      <c r="O8502" s="247"/>
      <c r="AC8502" s="247"/>
      <c r="AT8502" s="247"/>
    </row>
    <row r="8503">
      <c r="C8503" s="277"/>
      <c r="M8503" s="277"/>
      <c r="O8503" s="247"/>
      <c r="AC8503" s="247"/>
      <c r="AT8503" s="247"/>
    </row>
    <row r="8504">
      <c r="C8504" s="277"/>
      <c r="M8504" s="277"/>
      <c r="O8504" s="247"/>
      <c r="AC8504" s="247"/>
      <c r="AT8504" s="247"/>
    </row>
    <row r="8505">
      <c r="C8505" s="277"/>
      <c r="M8505" s="277"/>
      <c r="O8505" s="247"/>
      <c r="AC8505" s="247"/>
      <c r="AT8505" s="247"/>
    </row>
    <row r="8506">
      <c r="C8506" s="277"/>
      <c r="M8506" s="277"/>
      <c r="O8506" s="247"/>
      <c r="AC8506" s="247"/>
      <c r="AT8506" s="247"/>
    </row>
    <row r="8507">
      <c r="C8507" s="277"/>
      <c r="M8507" s="277"/>
      <c r="O8507" s="247"/>
      <c r="AC8507" s="247"/>
      <c r="AT8507" s="247"/>
    </row>
    <row r="8508">
      <c r="C8508" s="277"/>
      <c r="M8508" s="277"/>
      <c r="O8508" s="247"/>
      <c r="AC8508" s="247"/>
      <c r="AT8508" s="247"/>
    </row>
    <row r="8509">
      <c r="C8509" s="277"/>
      <c r="M8509" s="277"/>
      <c r="O8509" s="247"/>
      <c r="AC8509" s="247"/>
      <c r="AT8509" s="247"/>
    </row>
    <row r="8510">
      <c r="C8510" s="277"/>
      <c r="M8510" s="277"/>
      <c r="O8510" s="247"/>
      <c r="AC8510" s="247"/>
      <c r="AT8510" s="247"/>
    </row>
    <row r="8511">
      <c r="C8511" s="277"/>
      <c r="M8511" s="277"/>
      <c r="O8511" s="247"/>
      <c r="AC8511" s="247"/>
      <c r="AT8511" s="247"/>
    </row>
    <row r="8512">
      <c r="C8512" s="277"/>
      <c r="M8512" s="277"/>
      <c r="O8512" s="247"/>
      <c r="AC8512" s="247"/>
      <c r="AT8512" s="247"/>
    </row>
    <row r="8513">
      <c r="C8513" s="277"/>
      <c r="M8513" s="277"/>
      <c r="O8513" s="247"/>
      <c r="AC8513" s="247"/>
      <c r="AT8513" s="247"/>
    </row>
    <row r="8514">
      <c r="C8514" s="277"/>
      <c r="M8514" s="277"/>
      <c r="O8514" s="247"/>
      <c r="AC8514" s="247"/>
      <c r="AT8514" s="247"/>
    </row>
    <row r="8515">
      <c r="C8515" s="277"/>
      <c r="M8515" s="277"/>
      <c r="O8515" s="247"/>
      <c r="AC8515" s="247"/>
      <c r="AT8515" s="247"/>
    </row>
    <row r="8516">
      <c r="C8516" s="277"/>
      <c r="M8516" s="277"/>
      <c r="O8516" s="247"/>
      <c r="AC8516" s="247"/>
      <c r="AT8516" s="247"/>
    </row>
    <row r="8517">
      <c r="C8517" s="277"/>
      <c r="M8517" s="277"/>
      <c r="O8517" s="247"/>
      <c r="AC8517" s="247"/>
      <c r="AT8517" s="247"/>
    </row>
    <row r="8518">
      <c r="C8518" s="277"/>
      <c r="M8518" s="277"/>
      <c r="O8518" s="247"/>
      <c r="AC8518" s="247"/>
      <c r="AT8518" s="247"/>
    </row>
    <row r="8519">
      <c r="C8519" s="277"/>
      <c r="M8519" s="277"/>
      <c r="O8519" s="247"/>
      <c r="AC8519" s="247"/>
      <c r="AT8519" s="247"/>
    </row>
    <row r="8520">
      <c r="C8520" s="277"/>
      <c r="M8520" s="277"/>
      <c r="O8520" s="247"/>
      <c r="AC8520" s="247"/>
      <c r="AT8520" s="247"/>
    </row>
    <row r="8521">
      <c r="C8521" s="277"/>
      <c r="M8521" s="277"/>
      <c r="O8521" s="247"/>
      <c r="AC8521" s="247"/>
      <c r="AT8521" s="247"/>
    </row>
    <row r="8522">
      <c r="C8522" s="277"/>
      <c r="M8522" s="277"/>
      <c r="O8522" s="247"/>
      <c r="AC8522" s="247"/>
      <c r="AT8522" s="247"/>
    </row>
    <row r="8523">
      <c r="C8523" s="277"/>
      <c r="M8523" s="277"/>
      <c r="O8523" s="247"/>
      <c r="AC8523" s="247"/>
      <c r="AT8523" s="247"/>
    </row>
    <row r="8524">
      <c r="C8524" s="277"/>
      <c r="M8524" s="277"/>
      <c r="O8524" s="247"/>
      <c r="AC8524" s="247"/>
      <c r="AT8524" s="247"/>
    </row>
    <row r="8525">
      <c r="C8525" s="277"/>
      <c r="M8525" s="277"/>
      <c r="O8525" s="247"/>
      <c r="AC8525" s="247"/>
      <c r="AT8525" s="247"/>
    </row>
    <row r="8526">
      <c r="C8526" s="277"/>
      <c r="M8526" s="277"/>
      <c r="O8526" s="247"/>
      <c r="AC8526" s="247"/>
      <c r="AT8526" s="247"/>
    </row>
    <row r="8527">
      <c r="C8527" s="277"/>
      <c r="M8527" s="277"/>
      <c r="O8527" s="247"/>
      <c r="AC8527" s="247"/>
      <c r="AT8527" s="247"/>
    </row>
    <row r="8528">
      <c r="C8528" s="277"/>
      <c r="M8528" s="277"/>
      <c r="O8528" s="247"/>
      <c r="AC8528" s="247"/>
      <c r="AT8528" s="247"/>
    </row>
    <row r="8529">
      <c r="C8529" s="277"/>
      <c r="M8529" s="277"/>
      <c r="O8529" s="247"/>
      <c r="AC8529" s="247"/>
      <c r="AT8529" s="247"/>
    </row>
    <row r="8530">
      <c r="C8530" s="277"/>
      <c r="M8530" s="277"/>
      <c r="O8530" s="247"/>
      <c r="AC8530" s="247"/>
      <c r="AT8530" s="247"/>
    </row>
    <row r="8531">
      <c r="C8531" s="277"/>
      <c r="M8531" s="277"/>
      <c r="O8531" s="247"/>
      <c r="AC8531" s="247"/>
      <c r="AT8531" s="247"/>
    </row>
    <row r="8532">
      <c r="C8532" s="277"/>
      <c r="M8532" s="277"/>
      <c r="O8532" s="247"/>
      <c r="AC8532" s="247"/>
      <c r="AT8532" s="247"/>
    </row>
    <row r="8533">
      <c r="C8533" s="277"/>
      <c r="M8533" s="277"/>
      <c r="O8533" s="247"/>
      <c r="AC8533" s="247"/>
      <c r="AT8533" s="247"/>
    </row>
    <row r="8534">
      <c r="C8534" s="277"/>
      <c r="M8534" s="277"/>
      <c r="O8534" s="247"/>
      <c r="AC8534" s="247"/>
      <c r="AT8534" s="247"/>
    </row>
    <row r="8535">
      <c r="C8535" s="277"/>
      <c r="M8535" s="277"/>
      <c r="O8535" s="247"/>
      <c r="AC8535" s="247"/>
      <c r="AT8535" s="247"/>
    </row>
    <row r="8536">
      <c r="C8536" s="277"/>
      <c r="M8536" s="277"/>
      <c r="O8536" s="247"/>
      <c r="AC8536" s="247"/>
      <c r="AT8536" s="247"/>
    </row>
    <row r="8537">
      <c r="C8537" s="277"/>
      <c r="M8537" s="277"/>
      <c r="O8537" s="247"/>
      <c r="AC8537" s="247"/>
      <c r="AT8537" s="247"/>
    </row>
    <row r="8538">
      <c r="C8538" s="277"/>
      <c r="M8538" s="277"/>
      <c r="O8538" s="247"/>
      <c r="AC8538" s="247"/>
      <c r="AT8538" s="247"/>
    </row>
    <row r="8539">
      <c r="C8539" s="277"/>
      <c r="M8539" s="277"/>
      <c r="O8539" s="247"/>
      <c r="AC8539" s="247"/>
      <c r="AT8539" s="247"/>
    </row>
    <row r="8540">
      <c r="C8540" s="277"/>
      <c r="M8540" s="277"/>
      <c r="O8540" s="247"/>
      <c r="AC8540" s="247"/>
      <c r="AT8540" s="247"/>
    </row>
    <row r="8541">
      <c r="C8541" s="277"/>
      <c r="M8541" s="277"/>
      <c r="O8541" s="247"/>
      <c r="AC8541" s="247"/>
      <c r="AT8541" s="247"/>
    </row>
    <row r="8542">
      <c r="C8542" s="277"/>
      <c r="M8542" s="277"/>
      <c r="O8542" s="247"/>
      <c r="AC8542" s="247"/>
      <c r="AT8542" s="247"/>
    </row>
    <row r="8543">
      <c r="C8543" s="277"/>
      <c r="M8543" s="277"/>
      <c r="O8543" s="247"/>
      <c r="AC8543" s="247"/>
      <c r="AT8543" s="247"/>
    </row>
    <row r="8544">
      <c r="C8544" s="277"/>
      <c r="M8544" s="277"/>
      <c r="O8544" s="247"/>
      <c r="AC8544" s="247"/>
      <c r="AT8544" s="247"/>
    </row>
    <row r="8545">
      <c r="C8545" s="277"/>
      <c r="M8545" s="277"/>
      <c r="O8545" s="247"/>
      <c r="AC8545" s="247"/>
      <c r="AT8545" s="247"/>
    </row>
    <row r="8546">
      <c r="C8546" s="277"/>
      <c r="M8546" s="277"/>
      <c r="O8546" s="247"/>
      <c r="AC8546" s="247"/>
      <c r="AT8546" s="247"/>
    </row>
    <row r="8547">
      <c r="C8547" s="277"/>
      <c r="M8547" s="277"/>
      <c r="O8547" s="247"/>
      <c r="AC8547" s="247"/>
      <c r="AT8547" s="247"/>
    </row>
    <row r="8548">
      <c r="C8548" s="277"/>
      <c r="M8548" s="277"/>
      <c r="O8548" s="247"/>
      <c r="AC8548" s="247"/>
      <c r="AT8548" s="247"/>
    </row>
    <row r="8549">
      <c r="C8549" s="277"/>
      <c r="M8549" s="277"/>
      <c r="O8549" s="247"/>
      <c r="AC8549" s="247"/>
      <c r="AT8549" s="247"/>
    </row>
    <row r="8550">
      <c r="C8550" s="277"/>
      <c r="M8550" s="277"/>
      <c r="O8550" s="247"/>
      <c r="AC8550" s="247"/>
      <c r="AT8550" s="247"/>
    </row>
    <row r="8551">
      <c r="C8551" s="277"/>
      <c r="M8551" s="277"/>
      <c r="O8551" s="247"/>
      <c r="AC8551" s="247"/>
      <c r="AT8551" s="247"/>
    </row>
    <row r="8552">
      <c r="C8552" s="277"/>
      <c r="M8552" s="277"/>
      <c r="O8552" s="247"/>
      <c r="AC8552" s="247"/>
      <c r="AT8552" s="247"/>
    </row>
    <row r="8553">
      <c r="C8553" s="277"/>
      <c r="M8553" s="277"/>
      <c r="O8553" s="247"/>
      <c r="AC8553" s="247"/>
      <c r="AT8553" s="247"/>
    </row>
    <row r="8554">
      <c r="C8554" s="277"/>
      <c r="M8554" s="277"/>
      <c r="O8554" s="247"/>
      <c r="AC8554" s="247"/>
      <c r="AT8554" s="247"/>
    </row>
    <row r="8555">
      <c r="C8555" s="277"/>
      <c r="M8555" s="277"/>
      <c r="O8555" s="247"/>
      <c r="AC8555" s="247"/>
      <c r="AT8555" s="247"/>
    </row>
    <row r="8556">
      <c r="C8556" s="277"/>
      <c r="M8556" s="277"/>
      <c r="O8556" s="247"/>
      <c r="AC8556" s="247"/>
      <c r="AT8556" s="247"/>
    </row>
    <row r="8557">
      <c r="C8557" s="277"/>
      <c r="M8557" s="277"/>
      <c r="O8557" s="247"/>
      <c r="AC8557" s="247"/>
      <c r="AT8557" s="247"/>
    </row>
    <row r="8558">
      <c r="C8558" s="277"/>
      <c r="M8558" s="277"/>
      <c r="O8558" s="247"/>
      <c r="AC8558" s="247"/>
      <c r="AT8558" s="247"/>
    </row>
    <row r="8559">
      <c r="C8559" s="277"/>
      <c r="M8559" s="277"/>
      <c r="O8559" s="247"/>
      <c r="AC8559" s="247"/>
      <c r="AT8559" s="247"/>
    </row>
    <row r="8560">
      <c r="C8560" s="277"/>
      <c r="M8560" s="277"/>
      <c r="O8560" s="247"/>
      <c r="AC8560" s="247"/>
      <c r="AT8560" s="247"/>
    </row>
    <row r="8561">
      <c r="C8561" s="277"/>
      <c r="M8561" s="277"/>
      <c r="O8561" s="247"/>
      <c r="AC8561" s="247"/>
      <c r="AT8561" s="247"/>
    </row>
    <row r="8562">
      <c r="C8562" s="277"/>
      <c r="M8562" s="277"/>
      <c r="O8562" s="247"/>
      <c r="AC8562" s="247"/>
      <c r="AT8562" s="247"/>
    </row>
    <row r="8563">
      <c r="C8563" s="277"/>
      <c r="M8563" s="277"/>
      <c r="O8563" s="247"/>
      <c r="AC8563" s="247"/>
      <c r="AT8563" s="247"/>
    </row>
    <row r="8564">
      <c r="C8564" s="277"/>
      <c r="M8564" s="277"/>
      <c r="O8564" s="247"/>
      <c r="AC8564" s="247"/>
      <c r="AT8564" s="247"/>
    </row>
    <row r="8565">
      <c r="C8565" s="277"/>
      <c r="M8565" s="277"/>
      <c r="O8565" s="247"/>
      <c r="AC8565" s="247"/>
      <c r="AT8565" s="247"/>
    </row>
    <row r="8566">
      <c r="C8566" s="277"/>
      <c r="M8566" s="277"/>
      <c r="O8566" s="247"/>
      <c r="AC8566" s="247"/>
      <c r="AT8566" s="247"/>
    </row>
    <row r="8567">
      <c r="C8567" s="277"/>
      <c r="M8567" s="277"/>
      <c r="O8567" s="247"/>
      <c r="AC8567" s="247"/>
      <c r="AT8567" s="247"/>
    </row>
    <row r="8568">
      <c r="C8568" s="277"/>
      <c r="M8568" s="277"/>
      <c r="O8568" s="247"/>
      <c r="AC8568" s="247"/>
      <c r="AT8568" s="247"/>
    </row>
    <row r="8569">
      <c r="C8569" s="277"/>
      <c r="M8569" s="277"/>
      <c r="O8569" s="247"/>
      <c r="AC8569" s="247"/>
      <c r="AT8569" s="247"/>
    </row>
    <row r="8570">
      <c r="C8570" s="277"/>
      <c r="M8570" s="277"/>
      <c r="O8570" s="247"/>
      <c r="AC8570" s="247"/>
      <c r="AT8570" s="247"/>
    </row>
    <row r="8571">
      <c r="C8571" s="277"/>
      <c r="M8571" s="277"/>
      <c r="O8571" s="247"/>
      <c r="AC8571" s="247"/>
      <c r="AT8571" s="247"/>
    </row>
    <row r="8572">
      <c r="C8572" s="277"/>
      <c r="M8572" s="277"/>
      <c r="O8572" s="247"/>
      <c r="AC8572" s="247"/>
      <c r="AT8572" s="247"/>
    </row>
    <row r="8573">
      <c r="C8573" s="277"/>
      <c r="M8573" s="277"/>
      <c r="O8573" s="247"/>
      <c r="AC8573" s="247"/>
      <c r="AT8573" s="247"/>
    </row>
    <row r="8574">
      <c r="C8574" s="277"/>
      <c r="M8574" s="277"/>
      <c r="O8574" s="247"/>
      <c r="AC8574" s="247"/>
      <c r="AT8574" s="247"/>
    </row>
    <row r="8575">
      <c r="C8575" s="277"/>
      <c r="M8575" s="277"/>
      <c r="O8575" s="247"/>
      <c r="AC8575" s="247"/>
      <c r="AT8575" s="247"/>
    </row>
    <row r="8576">
      <c r="C8576" s="277"/>
      <c r="M8576" s="277"/>
      <c r="O8576" s="247"/>
      <c r="AC8576" s="247"/>
      <c r="AT8576" s="247"/>
    </row>
    <row r="8577">
      <c r="C8577" s="277"/>
      <c r="M8577" s="277"/>
      <c r="O8577" s="247"/>
      <c r="AC8577" s="247"/>
      <c r="AT8577" s="247"/>
    </row>
    <row r="8578">
      <c r="C8578" s="277"/>
      <c r="M8578" s="277"/>
      <c r="O8578" s="247"/>
      <c r="AC8578" s="247"/>
      <c r="AT8578" s="247"/>
    </row>
    <row r="8579">
      <c r="C8579" s="277"/>
      <c r="M8579" s="277"/>
      <c r="O8579" s="247"/>
      <c r="AC8579" s="247"/>
      <c r="AT8579" s="247"/>
    </row>
    <row r="8580">
      <c r="C8580" s="277"/>
      <c r="M8580" s="277"/>
      <c r="O8580" s="247"/>
      <c r="AC8580" s="247"/>
      <c r="AT8580" s="247"/>
    </row>
    <row r="8581">
      <c r="C8581" s="277"/>
      <c r="M8581" s="277"/>
      <c r="O8581" s="247"/>
      <c r="AC8581" s="247"/>
      <c r="AT8581" s="247"/>
    </row>
    <row r="8582">
      <c r="C8582" s="277"/>
      <c r="M8582" s="277"/>
      <c r="O8582" s="247"/>
      <c r="AC8582" s="247"/>
      <c r="AT8582" s="247"/>
    </row>
    <row r="8583">
      <c r="C8583" s="277"/>
      <c r="M8583" s="277"/>
      <c r="O8583" s="247"/>
      <c r="AC8583" s="247"/>
      <c r="AT8583" s="247"/>
    </row>
    <row r="8584">
      <c r="C8584" s="277"/>
      <c r="M8584" s="277"/>
      <c r="O8584" s="247"/>
      <c r="AC8584" s="247"/>
      <c r="AT8584" s="247"/>
    </row>
    <row r="8585">
      <c r="C8585" s="277"/>
      <c r="M8585" s="277"/>
      <c r="O8585" s="247"/>
      <c r="AC8585" s="247"/>
      <c r="AT8585" s="247"/>
    </row>
    <row r="8586">
      <c r="C8586" s="277"/>
      <c r="M8586" s="277"/>
      <c r="O8586" s="247"/>
      <c r="AC8586" s="247"/>
      <c r="AT8586" s="247"/>
    </row>
    <row r="8587">
      <c r="C8587" s="277"/>
      <c r="M8587" s="277"/>
      <c r="O8587" s="247"/>
      <c r="AC8587" s="247"/>
      <c r="AT8587" s="247"/>
    </row>
    <row r="8588">
      <c r="C8588" s="277"/>
      <c r="M8588" s="277"/>
      <c r="O8588" s="247"/>
      <c r="AC8588" s="247"/>
      <c r="AT8588" s="247"/>
    </row>
    <row r="8589">
      <c r="C8589" s="277"/>
      <c r="M8589" s="277"/>
      <c r="O8589" s="247"/>
      <c r="AC8589" s="247"/>
      <c r="AT8589" s="247"/>
    </row>
    <row r="8590">
      <c r="C8590" s="277"/>
      <c r="M8590" s="277"/>
      <c r="O8590" s="247"/>
      <c r="AC8590" s="247"/>
      <c r="AT8590" s="247"/>
    </row>
    <row r="8591">
      <c r="C8591" s="277"/>
      <c r="M8591" s="277"/>
      <c r="O8591" s="247"/>
      <c r="AC8591" s="247"/>
      <c r="AT8591" s="247"/>
    </row>
    <row r="8592">
      <c r="C8592" s="277"/>
      <c r="M8592" s="277"/>
      <c r="O8592" s="247"/>
      <c r="AC8592" s="247"/>
      <c r="AT8592" s="247"/>
    </row>
    <row r="8593">
      <c r="C8593" s="277"/>
      <c r="M8593" s="277"/>
      <c r="O8593" s="247"/>
      <c r="AC8593" s="247"/>
      <c r="AT8593" s="247"/>
    </row>
    <row r="8594">
      <c r="C8594" s="277"/>
      <c r="M8594" s="277"/>
      <c r="O8594" s="247"/>
      <c r="AC8594" s="247"/>
      <c r="AT8594" s="247"/>
    </row>
    <row r="8595">
      <c r="C8595" s="277"/>
      <c r="M8595" s="277"/>
      <c r="O8595" s="247"/>
      <c r="AC8595" s="247"/>
      <c r="AT8595" s="247"/>
    </row>
    <row r="8596">
      <c r="C8596" s="277"/>
      <c r="M8596" s="277"/>
      <c r="O8596" s="247"/>
      <c r="AC8596" s="247"/>
      <c r="AT8596" s="247"/>
    </row>
    <row r="8597">
      <c r="C8597" s="277"/>
      <c r="M8597" s="277"/>
      <c r="O8597" s="247"/>
      <c r="AC8597" s="247"/>
      <c r="AT8597" s="247"/>
    </row>
    <row r="8598">
      <c r="C8598" s="277"/>
      <c r="M8598" s="277"/>
      <c r="O8598" s="247"/>
      <c r="AC8598" s="247"/>
      <c r="AT8598" s="247"/>
    </row>
    <row r="8599">
      <c r="C8599" s="277"/>
      <c r="M8599" s="277"/>
      <c r="O8599" s="247"/>
      <c r="AC8599" s="247"/>
      <c r="AT8599" s="247"/>
    </row>
    <row r="8600">
      <c r="C8600" s="277"/>
      <c r="M8600" s="277"/>
      <c r="O8600" s="247"/>
      <c r="AC8600" s="247"/>
      <c r="AT8600" s="247"/>
    </row>
    <row r="8601">
      <c r="C8601" s="277"/>
      <c r="M8601" s="277"/>
      <c r="O8601" s="247"/>
      <c r="AC8601" s="247"/>
      <c r="AT8601" s="247"/>
    </row>
    <row r="8602">
      <c r="C8602" s="277"/>
      <c r="M8602" s="277"/>
      <c r="O8602" s="247"/>
      <c r="AC8602" s="247"/>
      <c r="AT8602" s="247"/>
    </row>
    <row r="8603">
      <c r="C8603" s="277"/>
      <c r="M8603" s="277"/>
      <c r="O8603" s="247"/>
      <c r="AC8603" s="247"/>
      <c r="AT8603" s="247"/>
    </row>
    <row r="8604">
      <c r="C8604" s="277"/>
      <c r="M8604" s="277"/>
      <c r="O8604" s="247"/>
      <c r="AC8604" s="247"/>
      <c r="AT8604" s="247"/>
    </row>
    <row r="8605">
      <c r="C8605" s="277"/>
      <c r="M8605" s="277"/>
      <c r="O8605" s="247"/>
      <c r="AC8605" s="247"/>
      <c r="AT8605" s="247"/>
    </row>
    <row r="8606">
      <c r="C8606" s="277"/>
      <c r="M8606" s="277"/>
      <c r="O8606" s="247"/>
      <c r="AC8606" s="247"/>
      <c r="AT8606" s="247"/>
    </row>
    <row r="8607">
      <c r="C8607" s="277"/>
      <c r="M8607" s="277"/>
      <c r="O8607" s="247"/>
      <c r="AC8607" s="247"/>
      <c r="AT8607" s="247"/>
    </row>
    <row r="8608">
      <c r="C8608" s="277"/>
      <c r="M8608" s="277"/>
      <c r="O8608" s="247"/>
      <c r="AC8608" s="247"/>
      <c r="AT8608" s="247"/>
    </row>
    <row r="8609">
      <c r="C8609" s="277"/>
      <c r="M8609" s="277"/>
      <c r="O8609" s="247"/>
      <c r="AC8609" s="247"/>
      <c r="AT8609" s="247"/>
    </row>
    <row r="8610">
      <c r="C8610" s="277"/>
      <c r="M8610" s="277"/>
      <c r="O8610" s="247"/>
      <c r="AC8610" s="247"/>
      <c r="AT8610" s="247"/>
    </row>
    <row r="8611">
      <c r="C8611" s="277"/>
      <c r="M8611" s="277"/>
      <c r="O8611" s="247"/>
      <c r="AC8611" s="247"/>
      <c r="AT8611" s="247"/>
    </row>
    <row r="8612">
      <c r="C8612" s="277"/>
      <c r="M8612" s="277"/>
      <c r="O8612" s="247"/>
      <c r="AC8612" s="247"/>
      <c r="AT8612" s="247"/>
    </row>
    <row r="8613">
      <c r="C8613" s="277"/>
      <c r="M8613" s="277"/>
      <c r="O8613" s="247"/>
      <c r="AC8613" s="247"/>
      <c r="AT8613" s="247"/>
    </row>
    <row r="8614">
      <c r="C8614" s="277"/>
      <c r="M8614" s="277"/>
      <c r="O8614" s="247"/>
      <c r="AC8614" s="247"/>
      <c r="AT8614" s="247"/>
    </row>
    <row r="8615">
      <c r="C8615" s="277"/>
      <c r="M8615" s="277"/>
      <c r="O8615" s="247"/>
      <c r="AC8615" s="247"/>
      <c r="AT8615" s="247"/>
    </row>
    <row r="8616">
      <c r="C8616" s="277"/>
      <c r="M8616" s="277"/>
      <c r="O8616" s="247"/>
      <c r="AC8616" s="247"/>
      <c r="AT8616" s="247"/>
    </row>
    <row r="8617">
      <c r="C8617" s="277"/>
      <c r="M8617" s="277"/>
      <c r="O8617" s="247"/>
      <c r="AC8617" s="247"/>
      <c r="AT8617" s="247"/>
    </row>
    <row r="8618">
      <c r="C8618" s="277"/>
      <c r="M8618" s="277"/>
      <c r="O8618" s="247"/>
      <c r="AC8618" s="247"/>
      <c r="AT8618" s="247"/>
    </row>
    <row r="8619">
      <c r="C8619" s="277"/>
      <c r="M8619" s="277"/>
      <c r="O8619" s="247"/>
      <c r="AC8619" s="247"/>
      <c r="AT8619" s="247"/>
    </row>
    <row r="8620">
      <c r="C8620" s="277"/>
      <c r="M8620" s="277"/>
      <c r="O8620" s="247"/>
      <c r="AC8620" s="247"/>
      <c r="AT8620" s="247"/>
    </row>
    <row r="8621">
      <c r="C8621" s="277"/>
      <c r="M8621" s="277"/>
      <c r="O8621" s="247"/>
      <c r="AC8621" s="247"/>
      <c r="AT8621" s="247"/>
    </row>
    <row r="8622">
      <c r="C8622" s="277"/>
      <c r="M8622" s="277"/>
      <c r="O8622" s="247"/>
      <c r="AC8622" s="247"/>
      <c r="AT8622" s="247"/>
    </row>
    <row r="8623">
      <c r="C8623" s="277"/>
      <c r="M8623" s="277"/>
      <c r="O8623" s="247"/>
      <c r="AC8623" s="247"/>
      <c r="AT8623" s="247"/>
    </row>
    <row r="8624">
      <c r="C8624" s="277"/>
      <c r="M8624" s="277"/>
      <c r="O8624" s="247"/>
      <c r="AC8624" s="247"/>
      <c r="AT8624" s="247"/>
    </row>
    <row r="8625">
      <c r="C8625" s="277"/>
      <c r="M8625" s="277"/>
      <c r="O8625" s="247"/>
      <c r="AC8625" s="247"/>
      <c r="AT8625" s="247"/>
    </row>
    <row r="8626">
      <c r="C8626" s="277"/>
      <c r="M8626" s="277"/>
      <c r="O8626" s="247"/>
      <c r="AC8626" s="247"/>
      <c r="AT8626" s="247"/>
    </row>
    <row r="8627">
      <c r="C8627" s="277"/>
      <c r="M8627" s="277"/>
      <c r="O8627" s="247"/>
      <c r="AC8627" s="247"/>
      <c r="AT8627" s="247"/>
    </row>
    <row r="8628">
      <c r="C8628" s="277"/>
      <c r="M8628" s="277"/>
      <c r="O8628" s="247"/>
      <c r="AC8628" s="247"/>
      <c r="AT8628" s="247"/>
    </row>
    <row r="8629">
      <c r="C8629" s="277"/>
      <c r="M8629" s="277"/>
      <c r="O8629" s="247"/>
      <c r="AC8629" s="247"/>
      <c r="AT8629" s="247"/>
    </row>
    <row r="8630">
      <c r="C8630" s="277"/>
      <c r="M8630" s="277"/>
      <c r="O8630" s="247"/>
      <c r="AC8630" s="247"/>
      <c r="AT8630" s="247"/>
    </row>
    <row r="8631">
      <c r="C8631" s="277"/>
      <c r="M8631" s="277"/>
      <c r="O8631" s="247"/>
      <c r="AC8631" s="247"/>
      <c r="AT8631" s="247"/>
    </row>
    <row r="8632">
      <c r="C8632" s="277"/>
      <c r="M8632" s="277"/>
      <c r="O8632" s="247"/>
      <c r="AC8632" s="247"/>
      <c r="AT8632" s="247"/>
    </row>
    <row r="8633">
      <c r="C8633" s="277"/>
      <c r="M8633" s="277"/>
      <c r="O8633" s="247"/>
      <c r="AC8633" s="247"/>
      <c r="AT8633" s="247"/>
    </row>
    <row r="8634">
      <c r="C8634" s="277"/>
      <c r="M8634" s="277"/>
      <c r="O8634" s="247"/>
      <c r="AC8634" s="247"/>
      <c r="AT8634" s="247"/>
    </row>
    <row r="8635">
      <c r="C8635" s="277"/>
      <c r="M8635" s="277"/>
      <c r="O8635" s="247"/>
      <c r="AC8635" s="247"/>
      <c r="AT8635" s="247"/>
    </row>
    <row r="8636">
      <c r="C8636" s="277"/>
      <c r="M8636" s="277"/>
      <c r="O8636" s="247"/>
      <c r="AC8636" s="247"/>
      <c r="AT8636" s="247"/>
    </row>
    <row r="8637">
      <c r="C8637" s="277"/>
      <c r="M8637" s="277"/>
      <c r="O8637" s="247"/>
      <c r="AC8637" s="247"/>
      <c r="AT8637" s="247"/>
    </row>
    <row r="8638">
      <c r="C8638" s="277"/>
      <c r="M8638" s="277"/>
      <c r="O8638" s="247"/>
      <c r="AC8638" s="247"/>
      <c r="AT8638" s="247"/>
    </row>
    <row r="8639">
      <c r="C8639" s="277"/>
      <c r="M8639" s="277"/>
      <c r="O8639" s="247"/>
      <c r="AC8639" s="247"/>
      <c r="AT8639" s="247"/>
    </row>
    <row r="8640">
      <c r="C8640" s="277"/>
      <c r="M8640" s="277"/>
      <c r="O8640" s="247"/>
      <c r="AC8640" s="247"/>
      <c r="AT8640" s="247"/>
    </row>
    <row r="8641">
      <c r="C8641" s="277"/>
      <c r="M8641" s="277"/>
      <c r="O8641" s="247"/>
      <c r="AC8641" s="247"/>
      <c r="AT8641" s="247"/>
    </row>
    <row r="8642">
      <c r="C8642" s="277"/>
      <c r="M8642" s="277"/>
      <c r="O8642" s="247"/>
      <c r="AC8642" s="247"/>
      <c r="AT8642" s="247"/>
    </row>
    <row r="8643">
      <c r="C8643" s="277"/>
      <c r="M8643" s="277"/>
      <c r="O8643" s="247"/>
      <c r="AC8643" s="247"/>
      <c r="AT8643" s="247"/>
    </row>
    <row r="8644">
      <c r="C8644" s="277"/>
      <c r="M8644" s="277"/>
      <c r="O8644" s="247"/>
      <c r="AC8644" s="247"/>
      <c r="AT8644" s="247"/>
    </row>
    <row r="8645">
      <c r="C8645" s="277"/>
      <c r="M8645" s="277"/>
      <c r="O8645" s="247"/>
      <c r="AC8645" s="247"/>
      <c r="AT8645" s="247"/>
    </row>
    <row r="8646">
      <c r="C8646" s="277"/>
      <c r="M8646" s="277"/>
      <c r="O8646" s="247"/>
      <c r="AC8646" s="247"/>
      <c r="AT8646" s="247"/>
    </row>
    <row r="8647">
      <c r="C8647" s="277"/>
      <c r="M8647" s="277"/>
      <c r="O8647" s="247"/>
      <c r="AC8647" s="247"/>
      <c r="AT8647" s="247"/>
    </row>
    <row r="8648">
      <c r="C8648" s="277"/>
      <c r="M8648" s="277"/>
      <c r="O8648" s="247"/>
      <c r="AC8648" s="247"/>
      <c r="AT8648" s="247"/>
    </row>
    <row r="8649">
      <c r="C8649" s="277"/>
      <c r="M8649" s="277"/>
      <c r="O8649" s="247"/>
      <c r="AC8649" s="247"/>
      <c r="AT8649" s="247"/>
    </row>
    <row r="8650">
      <c r="C8650" s="277"/>
      <c r="M8650" s="277"/>
      <c r="O8650" s="247"/>
      <c r="AC8650" s="247"/>
      <c r="AT8650" s="247"/>
    </row>
    <row r="8651">
      <c r="C8651" s="277"/>
      <c r="M8651" s="277"/>
      <c r="O8651" s="247"/>
      <c r="AC8651" s="247"/>
      <c r="AT8651" s="247"/>
    </row>
    <row r="8652">
      <c r="C8652" s="277"/>
      <c r="M8652" s="277"/>
      <c r="O8652" s="247"/>
      <c r="AC8652" s="247"/>
      <c r="AT8652" s="247"/>
    </row>
    <row r="8653">
      <c r="C8653" s="277"/>
      <c r="M8653" s="277"/>
      <c r="O8653" s="247"/>
      <c r="AC8653" s="247"/>
      <c r="AT8653" s="247"/>
    </row>
    <row r="8654">
      <c r="C8654" s="277"/>
      <c r="M8654" s="277"/>
      <c r="O8654" s="247"/>
      <c r="AC8654" s="247"/>
      <c r="AT8654" s="247"/>
    </row>
    <row r="8655">
      <c r="C8655" s="277"/>
      <c r="M8655" s="277"/>
      <c r="O8655" s="247"/>
      <c r="AC8655" s="247"/>
      <c r="AT8655" s="247"/>
    </row>
    <row r="8656">
      <c r="C8656" s="277"/>
      <c r="M8656" s="277"/>
      <c r="O8656" s="247"/>
      <c r="AC8656" s="247"/>
      <c r="AT8656" s="247"/>
    </row>
    <row r="8657">
      <c r="C8657" s="277"/>
      <c r="M8657" s="277"/>
      <c r="O8657" s="247"/>
      <c r="AC8657" s="247"/>
      <c r="AT8657" s="247"/>
    </row>
    <row r="8658">
      <c r="C8658" s="277"/>
      <c r="M8658" s="277"/>
      <c r="O8658" s="247"/>
      <c r="AC8658" s="247"/>
      <c r="AT8658" s="247"/>
    </row>
    <row r="8659">
      <c r="C8659" s="277"/>
      <c r="M8659" s="277"/>
      <c r="O8659" s="247"/>
      <c r="AC8659" s="247"/>
      <c r="AT8659" s="247"/>
    </row>
    <row r="8660">
      <c r="C8660" s="277"/>
      <c r="M8660" s="277"/>
      <c r="O8660" s="247"/>
      <c r="AC8660" s="247"/>
      <c r="AT8660" s="247"/>
    </row>
    <row r="8661">
      <c r="C8661" s="277"/>
      <c r="M8661" s="277"/>
      <c r="O8661" s="247"/>
      <c r="AC8661" s="247"/>
      <c r="AT8661" s="247"/>
    </row>
    <row r="8662">
      <c r="C8662" s="277"/>
      <c r="M8662" s="277"/>
      <c r="O8662" s="247"/>
      <c r="AC8662" s="247"/>
      <c r="AT8662" s="247"/>
    </row>
    <row r="8663">
      <c r="C8663" s="277"/>
      <c r="M8663" s="277"/>
      <c r="O8663" s="247"/>
      <c r="AC8663" s="247"/>
      <c r="AT8663" s="247"/>
    </row>
    <row r="8664">
      <c r="C8664" s="277"/>
      <c r="M8664" s="277"/>
      <c r="O8664" s="247"/>
      <c r="AC8664" s="247"/>
      <c r="AT8664" s="247"/>
    </row>
    <row r="8665">
      <c r="C8665" s="277"/>
      <c r="M8665" s="277"/>
      <c r="O8665" s="247"/>
      <c r="AC8665" s="247"/>
      <c r="AT8665" s="247"/>
    </row>
    <row r="8666">
      <c r="C8666" s="277"/>
      <c r="M8666" s="277"/>
      <c r="O8666" s="247"/>
      <c r="AC8666" s="247"/>
      <c r="AT8666" s="247"/>
    </row>
    <row r="8667">
      <c r="C8667" s="277"/>
      <c r="M8667" s="277"/>
      <c r="O8667" s="247"/>
      <c r="AC8667" s="247"/>
      <c r="AT8667" s="247"/>
    </row>
    <row r="8668">
      <c r="C8668" s="277"/>
      <c r="M8668" s="277"/>
      <c r="O8668" s="247"/>
      <c r="AC8668" s="247"/>
      <c r="AT8668" s="247"/>
    </row>
    <row r="8669">
      <c r="C8669" s="277"/>
      <c r="M8669" s="277"/>
      <c r="O8669" s="247"/>
      <c r="AC8669" s="247"/>
      <c r="AT8669" s="247"/>
    </row>
    <row r="8670">
      <c r="C8670" s="277"/>
      <c r="M8670" s="277"/>
      <c r="O8670" s="247"/>
      <c r="AC8670" s="247"/>
      <c r="AT8670" s="247"/>
    </row>
    <row r="8671">
      <c r="C8671" s="277"/>
      <c r="M8671" s="277"/>
      <c r="O8671" s="247"/>
      <c r="AC8671" s="247"/>
      <c r="AT8671" s="247"/>
    </row>
    <row r="8672">
      <c r="C8672" s="277"/>
      <c r="M8672" s="277"/>
      <c r="O8672" s="247"/>
      <c r="AC8672" s="247"/>
      <c r="AT8672" s="247"/>
    </row>
    <row r="8673">
      <c r="C8673" s="277"/>
      <c r="M8673" s="277"/>
      <c r="O8673" s="247"/>
      <c r="AC8673" s="247"/>
      <c r="AT8673" s="247"/>
    </row>
    <row r="8674">
      <c r="C8674" s="277"/>
      <c r="M8674" s="277"/>
      <c r="O8674" s="247"/>
      <c r="AC8674" s="247"/>
      <c r="AT8674" s="247"/>
    </row>
    <row r="8675">
      <c r="C8675" s="277"/>
      <c r="M8675" s="277"/>
      <c r="O8675" s="247"/>
      <c r="AC8675" s="247"/>
      <c r="AT8675" s="247"/>
    </row>
    <row r="8676">
      <c r="C8676" s="277"/>
      <c r="M8676" s="277"/>
      <c r="O8676" s="247"/>
      <c r="AC8676" s="247"/>
      <c r="AT8676" s="247"/>
    </row>
    <row r="8677">
      <c r="C8677" s="277"/>
      <c r="M8677" s="277"/>
      <c r="O8677" s="247"/>
      <c r="AC8677" s="247"/>
      <c r="AT8677" s="247"/>
    </row>
    <row r="8678">
      <c r="C8678" s="277"/>
      <c r="M8678" s="277"/>
      <c r="O8678" s="247"/>
      <c r="AC8678" s="247"/>
      <c r="AT8678" s="247"/>
    </row>
    <row r="8679">
      <c r="C8679" s="277"/>
      <c r="M8679" s="277"/>
      <c r="O8679" s="247"/>
      <c r="AC8679" s="247"/>
      <c r="AT8679" s="247"/>
    </row>
    <row r="8680">
      <c r="C8680" s="277"/>
      <c r="M8680" s="277"/>
      <c r="O8680" s="247"/>
      <c r="AC8680" s="247"/>
      <c r="AT8680" s="247"/>
    </row>
    <row r="8681">
      <c r="C8681" s="277"/>
      <c r="M8681" s="277"/>
      <c r="O8681" s="247"/>
      <c r="AC8681" s="247"/>
      <c r="AT8681" s="247"/>
    </row>
    <row r="8682">
      <c r="C8682" s="277"/>
      <c r="M8682" s="277"/>
      <c r="O8682" s="247"/>
      <c r="AC8682" s="247"/>
      <c r="AT8682" s="247"/>
    </row>
    <row r="8683">
      <c r="C8683" s="277"/>
      <c r="M8683" s="277"/>
      <c r="O8683" s="247"/>
      <c r="AC8683" s="247"/>
      <c r="AT8683" s="247"/>
    </row>
    <row r="8684">
      <c r="C8684" s="277"/>
      <c r="M8684" s="277"/>
      <c r="O8684" s="247"/>
      <c r="AC8684" s="247"/>
      <c r="AT8684" s="247"/>
    </row>
    <row r="8685">
      <c r="C8685" s="277"/>
      <c r="M8685" s="277"/>
      <c r="O8685" s="247"/>
      <c r="AC8685" s="247"/>
      <c r="AT8685" s="247"/>
    </row>
    <row r="8686">
      <c r="C8686" s="277"/>
      <c r="M8686" s="277"/>
      <c r="O8686" s="247"/>
      <c r="AC8686" s="247"/>
      <c r="AT8686" s="247"/>
    </row>
    <row r="8687">
      <c r="C8687" s="277"/>
      <c r="M8687" s="277"/>
      <c r="O8687" s="247"/>
      <c r="AC8687" s="247"/>
      <c r="AT8687" s="247"/>
    </row>
    <row r="8688">
      <c r="C8688" s="277"/>
      <c r="M8688" s="277"/>
      <c r="O8688" s="247"/>
      <c r="AC8688" s="247"/>
      <c r="AT8688" s="247"/>
    </row>
    <row r="8689">
      <c r="C8689" s="277"/>
      <c r="M8689" s="277"/>
      <c r="O8689" s="247"/>
      <c r="AC8689" s="247"/>
      <c r="AT8689" s="247"/>
    </row>
    <row r="8690">
      <c r="C8690" s="277"/>
      <c r="M8690" s="277"/>
      <c r="O8690" s="247"/>
      <c r="AC8690" s="247"/>
      <c r="AT8690" s="247"/>
    </row>
    <row r="8691">
      <c r="C8691" s="277"/>
      <c r="M8691" s="277"/>
      <c r="O8691" s="247"/>
      <c r="AC8691" s="247"/>
      <c r="AT8691" s="247"/>
    </row>
    <row r="8692">
      <c r="C8692" s="277"/>
      <c r="M8692" s="277"/>
      <c r="O8692" s="247"/>
      <c r="AC8692" s="247"/>
      <c r="AT8692" s="247"/>
    </row>
    <row r="8693">
      <c r="C8693" s="277"/>
      <c r="M8693" s="277"/>
      <c r="O8693" s="247"/>
      <c r="AC8693" s="247"/>
      <c r="AT8693" s="247"/>
    </row>
    <row r="8694">
      <c r="C8694" s="277"/>
      <c r="M8694" s="277"/>
      <c r="O8694" s="247"/>
      <c r="AC8694" s="247"/>
      <c r="AT8694" s="247"/>
    </row>
    <row r="8695">
      <c r="C8695" s="277"/>
      <c r="M8695" s="277"/>
      <c r="O8695" s="247"/>
      <c r="AC8695" s="247"/>
      <c r="AT8695" s="247"/>
    </row>
    <row r="8696">
      <c r="C8696" s="277"/>
      <c r="M8696" s="277"/>
      <c r="O8696" s="247"/>
      <c r="AC8696" s="247"/>
      <c r="AT8696" s="247"/>
    </row>
    <row r="8697">
      <c r="C8697" s="277"/>
      <c r="M8697" s="277"/>
      <c r="O8697" s="247"/>
      <c r="AC8697" s="247"/>
      <c r="AT8697" s="247"/>
    </row>
    <row r="8698">
      <c r="C8698" s="277"/>
      <c r="M8698" s="277"/>
      <c r="O8698" s="247"/>
      <c r="AC8698" s="247"/>
      <c r="AT8698" s="247"/>
    </row>
    <row r="8699">
      <c r="C8699" s="277"/>
      <c r="M8699" s="277"/>
      <c r="O8699" s="247"/>
      <c r="AC8699" s="247"/>
      <c r="AT8699" s="247"/>
    </row>
    <row r="8700">
      <c r="C8700" s="277"/>
      <c r="M8700" s="277"/>
      <c r="O8700" s="247"/>
      <c r="AC8700" s="247"/>
      <c r="AT8700" s="247"/>
    </row>
    <row r="8701">
      <c r="C8701" s="277"/>
      <c r="M8701" s="277"/>
      <c r="O8701" s="247"/>
      <c r="AC8701" s="247"/>
      <c r="AT8701" s="247"/>
    </row>
    <row r="8702">
      <c r="C8702" s="277"/>
      <c r="M8702" s="277"/>
      <c r="O8702" s="247"/>
      <c r="AC8702" s="247"/>
      <c r="AT8702" s="247"/>
    </row>
    <row r="8703">
      <c r="C8703" s="277"/>
      <c r="M8703" s="277"/>
      <c r="O8703" s="247"/>
      <c r="AC8703" s="247"/>
      <c r="AT8703" s="247"/>
    </row>
    <row r="8704">
      <c r="C8704" s="277"/>
      <c r="M8704" s="277"/>
      <c r="O8704" s="247"/>
      <c r="AC8704" s="247"/>
      <c r="AT8704" s="247"/>
    </row>
    <row r="8705">
      <c r="C8705" s="277"/>
      <c r="M8705" s="277"/>
      <c r="O8705" s="247"/>
      <c r="AC8705" s="247"/>
      <c r="AT8705" s="247"/>
    </row>
    <row r="8706">
      <c r="C8706" s="277"/>
      <c r="M8706" s="277"/>
      <c r="O8706" s="247"/>
      <c r="AC8706" s="247"/>
      <c r="AT8706" s="247"/>
    </row>
    <row r="8707">
      <c r="C8707" s="277"/>
      <c r="M8707" s="277"/>
      <c r="O8707" s="247"/>
      <c r="AC8707" s="247"/>
      <c r="AT8707" s="247"/>
    </row>
    <row r="8708">
      <c r="C8708" s="277"/>
      <c r="M8708" s="277"/>
      <c r="O8708" s="247"/>
      <c r="AC8708" s="247"/>
      <c r="AT8708" s="247"/>
    </row>
    <row r="8709">
      <c r="C8709" s="277"/>
      <c r="M8709" s="277"/>
      <c r="O8709" s="247"/>
      <c r="AC8709" s="247"/>
      <c r="AT8709" s="247"/>
    </row>
    <row r="8710">
      <c r="C8710" s="277"/>
      <c r="M8710" s="277"/>
      <c r="O8710" s="247"/>
      <c r="AC8710" s="247"/>
      <c r="AT8710" s="247"/>
    </row>
    <row r="8711">
      <c r="C8711" s="277"/>
      <c r="M8711" s="277"/>
      <c r="O8711" s="247"/>
      <c r="AC8711" s="247"/>
      <c r="AT8711" s="247"/>
    </row>
    <row r="8712">
      <c r="C8712" s="277"/>
      <c r="M8712" s="277"/>
      <c r="O8712" s="247"/>
      <c r="AC8712" s="247"/>
      <c r="AT8712" s="247"/>
    </row>
    <row r="8713">
      <c r="C8713" s="277"/>
      <c r="M8713" s="277"/>
      <c r="O8713" s="247"/>
      <c r="AC8713" s="247"/>
      <c r="AT8713" s="247"/>
    </row>
    <row r="8714">
      <c r="C8714" s="277"/>
      <c r="M8714" s="277"/>
      <c r="O8714" s="247"/>
      <c r="AC8714" s="247"/>
      <c r="AT8714" s="247"/>
    </row>
    <row r="8715">
      <c r="C8715" s="277"/>
      <c r="M8715" s="277"/>
      <c r="O8715" s="247"/>
      <c r="AC8715" s="247"/>
      <c r="AT8715" s="247"/>
    </row>
    <row r="8716">
      <c r="C8716" s="277"/>
      <c r="M8716" s="277"/>
      <c r="O8716" s="247"/>
      <c r="AC8716" s="247"/>
      <c r="AT8716" s="247"/>
    </row>
    <row r="8717">
      <c r="C8717" s="277"/>
      <c r="M8717" s="277"/>
      <c r="O8717" s="247"/>
      <c r="AC8717" s="247"/>
      <c r="AT8717" s="247"/>
    </row>
    <row r="8718">
      <c r="C8718" s="277"/>
      <c r="M8718" s="277"/>
      <c r="O8718" s="247"/>
      <c r="AC8718" s="247"/>
      <c r="AT8718" s="247"/>
    </row>
    <row r="8719">
      <c r="C8719" s="277"/>
      <c r="M8719" s="277"/>
      <c r="O8719" s="247"/>
      <c r="AC8719" s="247"/>
      <c r="AT8719" s="247"/>
    </row>
    <row r="8720">
      <c r="C8720" s="277"/>
      <c r="M8720" s="277"/>
      <c r="O8720" s="247"/>
      <c r="AC8720" s="247"/>
      <c r="AT8720" s="247"/>
    </row>
    <row r="8721">
      <c r="C8721" s="277"/>
      <c r="M8721" s="277"/>
      <c r="O8721" s="247"/>
      <c r="AC8721" s="247"/>
      <c r="AT8721" s="247"/>
    </row>
    <row r="8722">
      <c r="C8722" s="277"/>
      <c r="M8722" s="277"/>
      <c r="O8722" s="247"/>
      <c r="AC8722" s="247"/>
      <c r="AT8722" s="247"/>
    </row>
    <row r="8723">
      <c r="C8723" s="277"/>
      <c r="M8723" s="277"/>
      <c r="O8723" s="247"/>
      <c r="AC8723" s="247"/>
      <c r="AT8723" s="247"/>
    </row>
    <row r="8724">
      <c r="C8724" s="277"/>
      <c r="M8724" s="277"/>
      <c r="O8724" s="247"/>
      <c r="AC8724" s="247"/>
      <c r="AT8724" s="247"/>
    </row>
    <row r="8725">
      <c r="C8725" s="277"/>
      <c r="M8725" s="277"/>
      <c r="O8725" s="247"/>
      <c r="AC8725" s="247"/>
      <c r="AT8725" s="247"/>
    </row>
    <row r="8726">
      <c r="C8726" s="277"/>
      <c r="M8726" s="277"/>
      <c r="O8726" s="247"/>
      <c r="AC8726" s="247"/>
      <c r="AT8726" s="247"/>
    </row>
    <row r="8727">
      <c r="C8727" s="277"/>
      <c r="M8727" s="277"/>
      <c r="O8727" s="247"/>
      <c r="AC8727" s="247"/>
      <c r="AT8727" s="247"/>
    </row>
    <row r="8728">
      <c r="C8728" s="277"/>
      <c r="M8728" s="277"/>
      <c r="O8728" s="247"/>
      <c r="AC8728" s="247"/>
      <c r="AT8728" s="247"/>
    </row>
    <row r="8729">
      <c r="C8729" s="277"/>
      <c r="M8729" s="277"/>
      <c r="O8729" s="247"/>
      <c r="AC8729" s="247"/>
      <c r="AT8729" s="247"/>
    </row>
    <row r="8730">
      <c r="C8730" s="277"/>
      <c r="M8730" s="277"/>
      <c r="O8730" s="247"/>
      <c r="AC8730" s="247"/>
      <c r="AT8730" s="247"/>
    </row>
    <row r="8731">
      <c r="C8731" s="277"/>
      <c r="M8731" s="277"/>
      <c r="O8731" s="247"/>
      <c r="AC8731" s="247"/>
      <c r="AT8731" s="247"/>
    </row>
    <row r="8732">
      <c r="C8732" s="277"/>
      <c r="M8732" s="277"/>
      <c r="O8732" s="247"/>
      <c r="AC8732" s="247"/>
      <c r="AT8732" s="247"/>
    </row>
    <row r="8733">
      <c r="C8733" s="277"/>
      <c r="M8733" s="277"/>
      <c r="O8733" s="247"/>
      <c r="AC8733" s="247"/>
      <c r="AT8733" s="247"/>
    </row>
    <row r="8734">
      <c r="C8734" s="277"/>
      <c r="M8734" s="277"/>
      <c r="O8734" s="247"/>
      <c r="AC8734" s="247"/>
      <c r="AT8734" s="247"/>
    </row>
    <row r="8735">
      <c r="C8735" s="277"/>
      <c r="M8735" s="277"/>
      <c r="O8735" s="247"/>
      <c r="AC8735" s="247"/>
      <c r="AT8735" s="247"/>
    </row>
    <row r="8736">
      <c r="C8736" s="277"/>
      <c r="M8736" s="277"/>
      <c r="O8736" s="247"/>
      <c r="AC8736" s="247"/>
      <c r="AT8736" s="247"/>
    </row>
    <row r="8737">
      <c r="C8737" s="277"/>
      <c r="M8737" s="277"/>
      <c r="O8737" s="247"/>
      <c r="AC8737" s="247"/>
      <c r="AT8737" s="247"/>
    </row>
    <row r="8738">
      <c r="C8738" s="277"/>
      <c r="M8738" s="277"/>
      <c r="O8738" s="247"/>
      <c r="AC8738" s="247"/>
      <c r="AT8738" s="247"/>
    </row>
    <row r="8739">
      <c r="C8739" s="277"/>
      <c r="M8739" s="277"/>
      <c r="O8739" s="247"/>
      <c r="AC8739" s="247"/>
      <c r="AT8739" s="247"/>
    </row>
    <row r="8740">
      <c r="C8740" s="277"/>
      <c r="M8740" s="277"/>
      <c r="O8740" s="247"/>
      <c r="AC8740" s="247"/>
      <c r="AT8740" s="247"/>
    </row>
    <row r="8741">
      <c r="C8741" s="277"/>
      <c r="M8741" s="277"/>
      <c r="O8741" s="247"/>
      <c r="AC8741" s="247"/>
      <c r="AT8741" s="247"/>
    </row>
    <row r="8742">
      <c r="C8742" s="277"/>
      <c r="M8742" s="277"/>
      <c r="O8742" s="247"/>
      <c r="AC8742" s="247"/>
      <c r="AT8742" s="247"/>
    </row>
    <row r="8743">
      <c r="C8743" s="277"/>
      <c r="M8743" s="277"/>
      <c r="O8743" s="247"/>
      <c r="AC8743" s="247"/>
      <c r="AT8743" s="247"/>
    </row>
    <row r="8744">
      <c r="C8744" s="277"/>
      <c r="M8744" s="277"/>
      <c r="O8744" s="247"/>
      <c r="AC8744" s="247"/>
      <c r="AT8744" s="247"/>
    </row>
    <row r="8745">
      <c r="C8745" s="277"/>
      <c r="M8745" s="277"/>
      <c r="O8745" s="247"/>
      <c r="AC8745" s="247"/>
      <c r="AT8745" s="247"/>
    </row>
    <row r="8746">
      <c r="C8746" s="277"/>
      <c r="M8746" s="277"/>
      <c r="O8746" s="247"/>
      <c r="AC8746" s="247"/>
      <c r="AT8746" s="247"/>
    </row>
    <row r="8747">
      <c r="C8747" s="277"/>
      <c r="M8747" s="277"/>
      <c r="O8747" s="247"/>
      <c r="AC8747" s="247"/>
      <c r="AT8747" s="247"/>
    </row>
    <row r="8748">
      <c r="C8748" s="277"/>
      <c r="M8748" s="277"/>
      <c r="O8748" s="247"/>
      <c r="AC8748" s="247"/>
      <c r="AT8748" s="247"/>
    </row>
    <row r="8749">
      <c r="C8749" s="277"/>
      <c r="M8749" s="277"/>
      <c r="O8749" s="247"/>
      <c r="AC8749" s="247"/>
      <c r="AT8749" s="247"/>
    </row>
    <row r="8750">
      <c r="C8750" s="277"/>
      <c r="M8750" s="277"/>
      <c r="O8750" s="247"/>
      <c r="AC8750" s="247"/>
      <c r="AT8750" s="247"/>
    </row>
    <row r="8751">
      <c r="C8751" s="277"/>
      <c r="M8751" s="277"/>
      <c r="O8751" s="247"/>
      <c r="AC8751" s="247"/>
      <c r="AT8751" s="247"/>
    </row>
    <row r="8752">
      <c r="C8752" s="277"/>
      <c r="M8752" s="277"/>
      <c r="O8752" s="247"/>
      <c r="AC8752" s="247"/>
      <c r="AT8752" s="247"/>
    </row>
    <row r="8753">
      <c r="C8753" s="277"/>
      <c r="M8753" s="277"/>
      <c r="O8753" s="247"/>
      <c r="AC8753" s="247"/>
      <c r="AT8753" s="247"/>
    </row>
    <row r="8754">
      <c r="C8754" s="277"/>
      <c r="M8754" s="277"/>
      <c r="O8754" s="247"/>
      <c r="AC8754" s="247"/>
      <c r="AT8754" s="247"/>
    </row>
    <row r="8755">
      <c r="C8755" s="277"/>
      <c r="M8755" s="277"/>
      <c r="O8755" s="247"/>
      <c r="AC8755" s="247"/>
      <c r="AT8755" s="247"/>
    </row>
    <row r="8756">
      <c r="C8756" s="277"/>
      <c r="M8756" s="277"/>
      <c r="O8756" s="247"/>
      <c r="AC8756" s="247"/>
      <c r="AT8756" s="247"/>
    </row>
    <row r="8757">
      <c r="C8757" s="277"/>
      <c r="M8757" s="277"/>
      <c r="O8757" s="247"/>
      <c r="AC8757" s="247"/>
      <c r="AT8757" s="247"/>
    </row>
    <row r="8758">
      <c r="C8758" s="277"/>
      <c r="M8758" s="277"/>
      <c r="O8758" s="247"/>
      <c r="AC8758" s="247"/>
      <c r="AT8758" s="247"/>
    </row>
    <row r="8759">
      <c r="C8759" s="277"/>
      <c r="M8759" s="277"/>
      <c r="O8759" s="247"/>
      <c r="AC8759" s="247"/>
      <c r="AT8759" s="247"/>
    </row>
    <row r="8760">
      <c r="C8760" s="277"/>
      <c r="M8760" s="277"/>
      <c r="O8760" s="247"/>
      <c r="AC8760" s="247"/>
      <c r="AT8760" s="247"/>
    </row>
    <row r="8761">
      <c r="C8761" s="277"/>
      <c r="M8761" s="277"/>
      <c r="O8761" s="247"/>
      <c r="AC8761" s="247"/>
      <c r="AT8761" s="247"/>
    </row>
    <row r="8762">
      <c r="C8762" s="277"/>
      <c r="M8762" s="277"/>
      <c r="O8762" s="247"/>
      <c r="AC8762" s="247"/>
      <c r="AT8762" s="247"/>
    </row>
    <row r="8763">
      <c r="C8763" s="277"/>
      <c r="M8763" s="277"/>
      <c r="O8763" s="247"/>
      <c r="AC8763" s="247"/>
      <c r="AT8763" s="247"/>
    </row>
    <row r="8764">
      <c r="C8764" s="277"/>
      <c r="M8764" s="277"/>
      <c r="O8764" s="247"/>
      <c r="AC8764" s="247"/>
      <c r="AT8764" s="247"/>
    </row>
    <row r="8765">
      <c r="C8765" s="277"/>
      <c r="M8765" s="277"/>
      <c r="O8765" s="247"/>
      <c r="AC8765" s="247"/>
      <c r="AT8765" s="247"/>
    </row>
    <row r="8766">
      <c r="C8766" s="277"/>
      <c r="M8766" s="277"/>
      <c r="O8766" s="247"/>
      <c r="AC8766" s="247"/>
      <c r="AT8766" s="247"/>
    </row>
    <row r="8767">
      <c r="C8767" s="277"/>
      <c r="M8767" s="277"/>
      <c r="O8767" s="247"/>
      <c r="AC8767" s="247"/>
      <c r="AT8767" s="247"/>
    </row>
    <row r="8768">
      <c r="C8768" s="277"/>
      <c r="M8768" s="277"/>
      <c r="O8768" s="247"/>
      <c r="AC8768" s="247"/>
      <c r="AT8768" s="247"/>
    </row>
    <row r="8769">
      <c r="C8769" s="277"/>
      <c r="M8769" s="277"/>
      <c r="O8769" s="247"/>
      <c r="AC8769" s="247"/>
      <c r="AT8769" s="247"/>
    </row>
    <row r="8770">
      <c r="C8770" s="277"/>
      <c r="M8770" s="277"/>
      <c r="O8770" s="247"/>
      <c r="AC8770" s="247"/>
      <c r="AT8770" s="247"/>
    </row>
    <row r="8771">
      <c r="C8771" s="277"/>
      <c r="M8771" s="277"/>
      <c r="O8771" s="247"/>
      <c r="AC8771" s="247"/>
      <c r="AT8771" s="247"/>
    </row>
    <row r="8772">
      <c r="C8772" s="277"/>
      <c r="M8772" s="277"/>
      <c r="O8772" s="247"/>
      <c r="AC8772" s="247"/>
      <c r="AT8772" s="247"/>
    </row>
    <row r="8773">
      <c r="C8773" s="277"/>
      <c r="M8773" s="277"/>
      <c r="O8773" s="247"/>
      <c r="AC8773" s="247"/>
      <c r="AT8773" s="247"/>
    </row>
    <row r="8774">
      <c r="C8774" s="277"/>
      <c r="M8774" s="277"/>
      <c r="O8774" s="247"/>
      <c r="AC8774" s="247"/>
      <c r="AT8774" s="247"/>
    </row>
    <row r="8775">
      <c r="C8775" s="277"/>
      <c r="M8775" s="277"/>
      <c r="O8775" s="247"/>
      <c r="AC8775" s="247"/>
      <c r="AT8775" s="247"/>
    </row>
    <row r="8776">
      <c r="C8776" s="277"/>
      <c r="M8776" s="277"/>
      <c r="O8776" s="247"/>
      <c r="AC8776" s="247"/>
      <c r="AT8776" s="247"/>
    </row>
    <row r="8777">
      <c r="C8777" s="277"/>
      <c r="M8777" s="277"/>
      <c r="O8777" s="247"/>
      <c r="AC8777" s="247"/>
      <c r="AT8777" s="247"/>
    </row>
    <row r="8778">
      <c r="C8778" s="277"/>
      <c r="M8778" s="277"/>
      <c r="O8778" s="247"/>
      <c r="AC8778" s="247"/>
      <c r="AT8778" s="247"/>
    </row>
    <row r="8779">
      <c r="C8779" s="277"/>
      <c r="M8779" s="277"/>
      <c r="O8779" s="247"/>
      <c r="AC8779" s="247"/>
      <c r="AT8779" s="247"/>
    </row>
    <row r="8780">
      <c r="C8780" s="277"/>
      <c r="M8780" s="277"/>
      <c r="O8780" s="247"/>
      <c r="AC8780" s="247"/>
      <c r="AT8780" s="247"/>
    </row>
    <row r="8781">
      <c r="C8781" s="277"/>
      <c r="M8781" s="277"/>
      <c r="O8781" s="247"/>
      <c r="AC8781" s="247"/>
      <c r="AT8781" s="247"/>
    </row>
    <row r="8782">
      <c r="C8782" s="277"/>
      <c r="M8782" s="277"/>
      <c r="O8782" s="247"/>
      <c r="AC8782" s="247"/>
      <c r="AT8782" s="247"/>
    </row>
    <row r="8783">
      <c r="C8783" s="277"/>
      <c r="M8783" s="277"/>
      <c r="O8783" s="247"/>
      <c r="AC8783" s="247"/>
      <c r="AT8783" s="247"/>
    </row>
    <row r="8784">
      <c r="C8784" s="277"/>
      <c r="M8784" s="277"/>
      <c r="O8784" s="247"/>
      <c r="AC8784" s="247"/>
      <c r="AT8784" s="247"/>
    </row>
    <row r="8785">
      <c r="C8785" s="277"/>
      <c r="M8785" s="277"/>
      <c r="O8785" s="247"/>
      <c r="AC8785" s="247"/>
      <c r="AT8785" s="247"/>
    </row>
    <row r="8786">
      <c r="C8786" s="277"/>
      <c r="M8786" s="277"/>
      <c r="O8786" s="247"/>
      <c r="AC8786" s="247"/>
      <c r="AT8786" s="247"/>
    </row>
    <row r="8787">
      <c r="C8787" s="277"/>
      <c r="M8787" s="277"/>
      <c r="O8787" s="247"/>
      <c r="AC8787" s="247"/>
      <c r="AT8787" s="247"/>
    </row>
    <row r="8788">
      <c r="C8788" s="277"/>
      <c r="M8788" s="277"/>
      <c r="O8788" s="247"/>
      <c r="AC8788" s="247"/>
      <c r="AT8788" s="247"/>
    </row>
    <row r="8789">
      <c r="C8789" s="277"/>
      <c r="M8789" s="277"/>
      <c r="O8789" s="247"/>
      <c r="AC8789" s="247"/>
      <c r="AT8789" s="247"/>
    </row>
    <row r="8790">
      <c r="C8790" s="277"/>
      <c r="M8790" s="277"/>
      <c r="O8790" s="247"/>
      <c r="AC8790" s="247"/>
      <c r="AT8790" s="247"/>
    </row>
    <row r="8791">
      <c r="C8791" s="277"/>
      <c r="M8791" s="277"/>
      <c r="O8791" s="247"/>
      <c r="AC8791" s="247"/>
      <c r="AT8791" s="247"/>
    </row>
    <row r="8792">
      <c r="C8792" s="277"/>
      <c r="M8792" s="277"/>
      <c r="O8792" s="247"/>
      <c r="AC8792" s="247"/>
      <c r="AT8792" s="247"/>
    </row>
    <row r="8793">
      <c r="C8793" s="277"/>
      <c r="M8793" s="277"/>
      <c r="O8793" s="247"/>
      <c r="AC8793" s="247"/>
      <c r="AT8793" s="247"/>
    </row>
    <row r="8794">
      <c r="C8794" s="277"/>
      <c r="M8794" s="277"/>
      <c r="O8794" s="247"/>
      <c r="AC8794" s="247"/>
      <c r="AT8794" s="247"/>
    </row>
    <row r="8795">
      <c r="C8795" s="277"/>
      <c r="M8795" s="277"/>
      <c r="O8795" s="247"/>
      <c r="AC8795" s="247"/>
      <c r="AT8795" s="247"/>
    </row>
    <row r="8796">
      <c r="C8796" s="277"/>
      <c r="M8796" s="277"/>
      <c r="O8796" s="247"/>
      <c r="AC8796" s="247"/>
      <c r="AT8796" s="247"/>
    </row>
    <row r="8797">
      <c r="C8797" s="277"/>
      <c r="M8797" s="277"/>
      <c r="O8797" s="247"/>
      <c r="AC8797" s="247"/>
      <c r="AT8797" s="247"/>
    </row>
    <row r="8798">
      <c r="C8798" s="277"/>
      <c r="M8798" s="277"/>
      <c r="O8798" s="247"/>
      <c r="AC8798" s="247"/>
      <c r="AT8798" s="247"/>
    </row>
    <row r="8799">
      <c r="C8799" s="277"/>
      <c r="M8799" s="277"/>
      <c r="O8799" s="247"/>
      <c r="AC8799" s="247"/>
      <c r="AT8799" s="247"/>
    </row>
    <row r="8800">
      <c r="C8800" s="277"/>
      <c r="M8800" s="277"/>
      <c r="O8800" s="247"/>
      <c r="AC8800" s="247"/>
      <c r="AT8800" s="247"/>
    </row>
    <row r="8801">
      <c r="C8801" s="277"/>
      <c r="M8801" s="277"/>
      <c r="O8801" s="247"/>
      <c r="AC8801" s="247"/>
      <c r="AT8801" s="247"/>
    </row>
    <row r="8802">
      <c r="C8802" s="277"/>
      <c r="M8802" s="277"/>
      <c r="O8802" s="247"/>
      <c r="AC8802" s="247"/>
      <c r="AT8802" s="247"/>
    </row>
    <row r="8803">
      <c r="C8803" s="277"/>
      <c r="M8803" s="277"/>
      <c r="O8803" s="247"/>
      <c r="AC8803" s="247"/>
      <c r="AT8803" s="247"/>
    </row>
    <row r="8804">
      <c r="C8804" s="277"/>
      <c r="M8804" s="277"/>
      <c r="O8804" s="247"/>
      <c r="AC8804" s="247"/>
      <c r="AT8804" s="247"/>
    </row>
    <row r="8805">
      <c r="C8805" s="277"/>
      <c r="M8805" s="277"/>
      <c r="O8805" s="247"/>
      <c r="AC8805" s="247"/>
      <c r="AT8805" s="247"/>
    </row>
    <row r="8806">
      <c r="C8806" s="277"/>
      <c r="M8806" s="277"/>
      <c r="O8806" s="247"/>
      <c r="AC8806" s="247"/>
      <c r="AT8806" s="247"/>
    </row>
    <row r="8807">
      <c r="C8807" s="277"/>
      <c r="M8807" s="277"/>
      <c r="O8807" s="247"/>
      <c r="AC8807" s="247"/>
      <c r="AT8807" s="247"/>
    </row>
    <row r="8808">
      <c r="C8808" s="277"/>
      <c r="M8808" s="277"/>
      <c r="O8808" s="247"/>
      <c r="AC8808" s="247"/>
      <c r="AT8808" s="247"/>
    </row>
    <row r="8809">
      <c r="C8809" s="277"/>
      <c r="M8809" s="277"/>
      <c r="O8809" s="247"/>
      <c r="AC8809" s="247"/>
      <c r="AT8809" s="247"/>
    </row>
    <row r="8810">
      <c r="C8810" s="277"/>
      <c r="M8810" s="277"/>
      <c r="O8810" s="247"/>
      <c r="AC8810" s="247"/>
      <c r="AT8810" s="247"/>
    </row>
    <row r="8811">
      <c r="C8811" s="277"/>
      <c r="M8811" s="277"/>
      <c r="O8811" s="247"/>
      <c r="AC8811" s="247"/>
      <c r="AT8811" s="247"/>
    </row>
    <row r="8812">
      <c r="C8812" s="277"/>
      <c r="M8812" s="277"/>
      <c r="O8812" s="247"/>
      <c r="AC8812" s="247"/>
      <c r="AT8812" s="247"/>
    </row>
    <row r="8813">
      <c r="C8813" s="277"/>
      <c r="M8813" s="277"/>
      <c r="O8813" s="247"/>
      <c r="AC8813" s="247"/>
      <c r="AT8813" s="247"/>
    </row>
    <row r="8814">
      <c r="C8814" s="277"/>
      <c r="M8814" s="277"/>
      <c r="O8814" s="247"/>
      <c r="AC8814" s="247"/>
      <c r="AT8814" s="247"/>
    </row>
    <row r="8815">
      <c r="C8815" s="277"/>
      <c r="M8815" s="277"/>
      <c r="O8815" s="247"/>
      <c r="AC8815" s="247"/>
      <c r="AT8815" s="247"/>
    </row>
    <row r="8816">
      <c r="C8816" s="277"/>
      <c r="M8816" s="277"/>
      <c r="O8816" s="247"/>
      <c r="AC8816" s="247"/>
      <c r="AT8816" s="247"/>
    </row>
    <row r="8817">
      <c r="C8817" s="277"/>
      <c r="M8817" s="277"/>
      <c r="O8817" s="247"/>
      <c r="AC8817" s="247"/>
      <c r="AT8817" s="247"/>
    </row>
    <row r="8818">
      <c r="C8818" s="277"/>
      <c r="M8818" s="277"/>
      <c r="O8818" s="247"/>
      <c r="AC8818" s="247"/>
      <c r="AT8818" s="247"/>
    </row>
    <row r="8819">
      <c r="C8819" s="277"/>
      <c r="M8819" s="277"/>
      <c r="O8819" s="247"/>
      <c r="AC8819" s="247"/>
      <c r="AT8819" s="247"/>
    </row>
    <row r="8820">
      <c r="C8820" s="277"/>
      <c r="M8820" s="277"/>
      <c r="O8820" s="247"/>
      <c r="AC8820" s="247"/>
      <c r="AT8820" s="247"/>
    </row>
    <row r="8821">
      <c r="C8821" s="277"/>
      <c r="M8821" s="277"/>
      <c r="O8821" s="247"/>
      <c r="AC8821" s="247"/>
      <c r="AT8821" s="247"/>
    </row>
    <row r="8822">
      <c r="C8822" s="277"/>
      <c r="M8822" s="277"/>
      <c r="O8822" s="247"/>
      <c r="AC8822" s="247"/>
      <c r="AT8822" s="247"/>
    </row>
    <row r="8823">
      <c r="C8823" s="277"/>
      <c r="M8823" s="277"/>
      <c r="O8823" s="247"/>
      <c r="AC8823" s="247"/>
      <c r="AT8823" s="247"/>
    </row>
    <row r="8824">
      <c r="C8824" s="277"/>
      <c r="M8824" s="277"/>
      <c r="O8824" s="247"/>
      <c r="AC8824" s="247"/>
      <c r="AT8824" s="247"/>
    </row>
    <row r="8825">
      <c r="C8825" s="277"/>
      <c r="M8825" s="277"/>
      <c r="O8825" s="247"/>
      <c r="AC8825" s="247"/>
      <c r="AT8825" s="247"/>
    </row>
    <row r="8826">
      <c r="C8826" s="277"/>
      <c r="M8826" s="277"/>
      <c r="O8826" s="247"/>
      <c r="AC8826" s="247"/>
      <c r="AT8826" s="247"/>
    </row>
    <row r="8827">
      <c r="C8827" s="277"/>
      <c r="M8827" s="277"/>
      <c r="O8827" s="247"/>
      <c r="AC8827" s="247"/>
      <c r="AT8827" s="247"/>
    </row>
    <row r="8828">
      <c r="C8828" s="277"/>
      <c r="M8828" s="277"/>
      <c r="O8828" s="247"/>
      <c r="AC8828" s="247"/>
      <c r="AT8828" s="247"/>
    </row>
    <row r="8829">
      <c r="C8829" s="277"/>
      <c r="M8829" s="277"/>
      <c r="O8829" s="247"/>
      <c r="AC8829" s="247"/>
      <c r="AT8829" s="247"/>
    </row>
    <row r="8830">
      <c r="C8830" s="277"/>
      <c r="M8830" s="277"/>
      <c r="O8830" s="247"/>
      <c r="AC8830" s="247"/>
      <c r="AT8830" s="247"/>
    </row>
    <row r="8831">
      <c r="C8831" s="277"/>
      <c r="M8831" s="277"/>
      <c r="O8831" s="247"/>
      <c r="AC8831" s="247"/>
      <c r="AT8831" s="247"/>
    </row>
    <row r="8832">
      <c r="C8832" s="277"/>
      <c r="M8832" s="277"/>
      <c r="O8832" s="247"/>
      <c r="AC8832" s="247"/>
      <c r="AT8832" s="247"/>
    </row>
    <row r="8833">
      <c r="C8833" s="277"/>
      <c r="M8833" s="277"/>
      <c r="O8833" s="247"/>
      <c r="AC8833" s="247"/>
      <c r="AT8833" s="247"/>
    </row>
    <row r="8834">
      <c r="C8834" s="277"/>
      <c r="M8834" s="277"/>
      <c r="O8834" s="247"/>
      <c r="AC8834" s="247"/>
      <c r="AT8834" s="247"/>
    </row>
    <row r="8835">
      <c r="C8835" s="277"/>
      <c r="M8835" s="277"/>
      <c r="O8835" s="247"/>
      <c r="AC8835" s="247"/>
      <c r="AT8835" s="247"/>
    </row>
    <row r="8836">
      <c r="C8836" s="277"/>
      <c r="M8836" s="277"/>
      <c r="O8836" s="247"/>
      <c r="AC8836" s="247"/>
      <c r="AT8836" s="247"/>
    </row>
    <row r="8837">
      <c r="C8837" s="277"/>
      <c r="M8837" s="277"/>
      <c r="O8837" s="247"/>
      <c r="AC8837" s="247"/>
      <c r="AT8837" s="247"/>
    </row>
    <row r="8838">
      <c r="C8838" s="277"/>
      <c r="M8838" s="277"/>
      <c r="O8838" s="247"/>
      <c r="AC8838" s="247"/>
      <c r="AT8838" s="247"/>
    </row>
    <row r="8839">
      <c r="C8839" s="277"/>
      <c r="M8839" s="277"/>
      <c r="O8839" s="247"/>
      <c r="AC8839" s="247"/>
      <c r="AT8839" s="247"/>
    </row>
    <row r="8840">
      <c r="C8840" s="277"/>
      <c r="M8840" s="277"/>
      <c r="O8840" s="247"/>
      <c r="AC8840" s="247"/>
      <c r="AT8840" s="247"/>
    </row>
    <row r="8841">
      <c r="C8841" s="277"/>
      <c r="M8841" s="277"/>
      <c r="O8841" s="247"/>
      <c r="AC8841" s="247"/>
      <c r="AT8841" s="247"/>
    </row>
    <row r="8842">
      <c r="C8842" s="277"/>
      <c r="M8842" s="277"/>
      <c r="O8842" s="247"/>
      <c r="AC8842" s="247"/>
      <c r="AT8842" s="247"/>
    </row>
    <row r="8843">
      <c r="C8843" s="277"/>
      <c r="M8843" s="277"/>
      <c r="O8843" s="247"/>
      <c r="AC8843" s="247"/>
      <c r="AT8843" s="247"/>
    </row>
    <row r="8844">
      <c r="C8844" s="277"/>
      <c r="M8844" s="277"/>
      <c r="O8844" s="247"/>
      <c r="AC8844" s="247"/>
      <c r="AT8844" s="247"/>
    </row>
    <row r="8845">
      <c r="C8845" s="277"/>
      <c r="M8845" s="277"/>
      <c r="O8845" s="247"/>
      <c r="AC8845" s="247"/>
      <c r="AT8845" s="247"/>
    </row>
    <row r="8846">
      <c r="C8846" s="277"/>
      <c r="M8846" s="277"/>
      <c r="O8846" s="247"/>
      <c r="AC8846" s="247"/>
      <c r="AT8846" s="247"/>
    </row>
    <row r="8847">
      <c r="C8847" s="277"/>
      <c r="M8847" s="277"/>
      <c r="O8847" s="247"/>
      <c r="AC8847" s="247"/>
      <c r="AT8847" s="247"/>
    </row>
    <row r="8848">
      <c r="C8848" s="277"/>
      <c r="M8848" s="277"/>
      <c r="O8848" s="247"/>
      <c r="AC8848" s="247"/>
      <c r="AT8848" s="247"/>
    </row>
    <row r="8849">
      <c r="C8849" s="277"/>
      <c r="M8849" s="277"/>
      <c r="O8849" s="247"/>
      <c r="AC8849" s="247"/>
      <c r="AT8849" s="247"/>
    </row>
    <row r="8850">
      <c r="C8850" s="277"/>
      <c r="M8850" s="277"/>
      <c r="O8850" s="247"/>
      <c r="AC8850" s="247"/>
      <c r="AT8850" s="247"/>
    </row>
    <row r="8851">
      <c r="C8851" s="277"/>
      <c r="M8851" s="277"/>
      <c r="O8851" s="247"/>
      <c r="AC8851" s="247"/>
      <c r="AT8851" s="247"/>
    </row>
    <row r="8852">
      <c r="C8852" s="277"/>
      <c r="M8852" s="277"/>
      <c r="O8852" s="247"/>
      <c r="AC8852" s="247"/>
      <c r="AT8852" s="247"/>
    </row>
    <row r="8853">
      <c r="C8853" s="277"/>
      <c r="M8853" s="277"/>
      <c r="O8853" s="247"/>
      <c r="AC8853" s="247"/>
      <c r="AT8853" s="247"/>
    </row>
    <row r="8854">
      <c r="C8854" s="277"/>
      <c r="M8854" s="277"/>
      <c r="O8854" s="247"/>
      <c r="AC8854" s="247"/>
      <c r="AT8854" s="247"/>
    </row>
    <row r="8855">
      <c r="C8855" s="277"/>
      <c r="M8855" s="277"/>
      <c r="O8855" s="247"/>
      <c r="AC8855" s="247"/>
      <c r="AT8855" s="247"/>
    </row>
    <row r="8856">
      <c r="C8856" s="277"/>
      <c r="M8856" s="277"/>
      <c r="O8856" s="247"/>
      <c r="AC8856" s="247"/>
      <c r="AT8856" s="247"/>
    </row>
    <row r="8857">
      <c r="C8857" s="277"/>
      <c r="M8857" s="277"/>
      <c r="O8857" s="247"/>
      <c r="AC8857" s="247"/>
      <c r="AT8857" s="247"/>
    </row>
    <row r="8858">
      <c r="C8858" s="277"/>
      <c r="M8858" s="277"/>
      <c r="O8858" s="247"/>
      <c r="AC8858" s="247"/>
      <c r="AT8858" s="247"/>
    </row>
    <row r="8859">
      <c r="C8859" s="277"/>
      <c r="M8859" s="277"/>
      <c r="O8859" s="247"/>
      <c r="AC8859" s="247"/>
      <c r="AT8859" s="247"/>
    </row>
    <row r="8860">
      <c r="C8860" s="277"/>
      <c r="M8860" s="277"/>
      <c r="O8860" s="247"/>
      <c r="AC8860" s="247"/>
      <c r="AT8860" s="247"/>
    </row>
    <row r="8861">
      <c r="C8861" s="277"/>
      <c r="M8861" s="277"/>
      <c r="O8861" s="247"/>
      <c r="AC8861" s="247"/>
      <c r="AT8861" s="247"/>
    </row>
    <row r="8862">
      <c r="C8862" s="277"/>
      <c r="M8862" s="277"/>
      <c r="O8862" s="247"/>
      <c r="AC8862" s="247"/>
      <c r="AT8862" s="247"/>
    </row>
    <row r="8863">
      <c r="C8863" s="277"/>
      <c r="M8863" s="277"/>
      <c r="O8863" s="247"/>
      <c r="AC8863" s="247"/>
      <c r="AT8863" s="247"/>
    </row>
    <row r="8864">
      <c r="C8864" s="277"/>
      <c r="M8864" s="277"/>
      <c r="O8864" s="247"/>
      <c r="AC8864" s="247"/>
      <c r="AT8864" s="247"/>
    </row>
    <row r="8865">
      <c r="C8865" s="277"/>
      <c r="M8865" s="277"/>
      <c r="O8865" s="247"/>
      <c r="AC8865" s="247"/>
      <c r="AT8865" s="247"/>
    </row>
    <row r="8866">
      <c r="C8866" s="277"/>
      <c r="M8866" s="277"/>
      <c r="O8866" s="247"/>
      <c r="AC8866" s="247"/>
      <c r="AT8866" s="247"/>
    </row>
    <row r="8867">
      <c r="C8867" s="277"/>
      <c r="M8867" s="277"/>
      <c r="O8867" s="247"/>
      <c r="AC8867" s="247"/>
      <c r="AT8867" s="247"/>
    </row>
    <row r="8868">
      <c r="C8868" s="277"/>
      <c r="M8868" s="277"/>
      <c r="O8868" s="247"/>
      <c r="AC8868" s="247"/>
      <c r="AT8868" s="247"/>
    </row>
    <row r="8869">
      <c r="C8869" s="277"/>
      <c r="M8869" s="277"/>
      <c r="O8869" s="247"/>
      <c r="AC8869" s="247"/>
      <c r="AT8869" s="247"/>
    </row>
    <row r="8870">
      <c r="C8870" s="277"/>
      <c r="M8870" s="277"/>
      <c r="O8870" s="247"/>
      <c r="AC8870" s="247"/>
      <c r="AT8870" s="247"/>
    </row>
    <row r="8871">
      <c r="C8871" s="277"/>
      <c r="M8871" s="277"/>
      <c r="O8871" s="247"/>
      <c r="AC8871" s="247"/>
      <c r="AT8871" s="247"/>
    </row>
    <row r="8872">
      <c r="C8872" s="277"/>
      <c r="M8872" s="277"/>
      <c r="O8872" s="247"/>
      <c r="AC8872" s="247"/>
      <c r="AT8872" s="247"/>
    </row>
    <row r="8873">
      <c r="C8873" s="277"/>
      <c r="M8873" s="277"/>
      <c r="O8873" s="247"/>
      <c r="AC8873" s="247"/>
      <c r="AT8873" s="247"/>
    </row>
    <row r="8874">
      <c r="C8874" s="277"/>
      <c r="M8874" s="277"/>
      <c r="O8874" s="247"/>
      <c r="AC8874" s="247"/>
      <c r="AT8874" s="247"/>
    </row>
    <row r="8875">
      <c r="C8875" s="277"/>
      <c r="M8875" s="277"/>
      <c r="O8875" s="247"/>
      <c r="AC8875" s="247"/>
      <c r="AT8875" s="247"/>
    </row>
    <row r="8876">
      <c r="C8876" s="277"/>
      <c r="M8876" s="277"/>
      <c r="O8876" s="247"/>
      <c r="AC8876" s="247"/>
      <c r="AT8876" s="247"/>
    </row>
    <row r="8877">
      <c r="C8877" s="277"/>
      <c r="M8877" s="277"/>
      <c r="O8877" s="247"/>
      <c r="AC8877" s="247"/>
      <c r="AT8877" s="247"/>
    </row>
    <row r="8878">
      <c r="C8878" s="277"/>
      <c r="M8878" s="277"/>
      <c r="O8878" s="247"/>
      <c r="AC8878" s="247"/>
      <c r="AT8878" s="247"/>
    </row>
    <row r="8879">
      <c r="C8879" s="277"/>
      <c r="M8879" s="277"/>
      <c r="O8879" s="247"/>
      <c r="AC8879" s="247"/>
      <c r="AT8879" s="247"/>
    </row>
    <row r="8880">
      <c r="C8880" s="277"/>
      <c r="M8880" s="277"/>
      <c r="O8880" s="247"/>
      <c r="AC8880" s="247"/>
      <c r="AT8880" s="247"/>
    </row>
    <row r="8881">
      <c r="C8881" s="277"/>
      <c r="M8881" s="277"/>
      <c r="O8881" s="247"/>
      <c r="AC8881" s="247"/>
      <c r="AT8881" s="247"/>
    </row>
    <row r="8882">
      <c r="C8882" s="277"/>
      <c r="M8882" s="277"/>
      <c r="O8882" s="247"/>
      <c r="AC8882" s="247"/>
      <c r="AT8882" s="247"/>
    </row>
    <row r="8883">
      <c r="C8883" s="277"/>
      <c r="M8883" s="277"/>
      <c r="O8883" s="247"/>
      <c r="AC8883" s="247"/>
      <c r="AT8883" s="247"/>
    </row>
    <row r="8884">
      <c r="C8884" s="277"/>
      <c r="M8884" s="277"/>
      <c r="O8884" s="247"/>
      <c r="AC8884" s="247"/>
      <c r="AT8884" s="247"/>
    </row>
    <row r="8885">
      <c r="C8885" s="277"/>
      <c r="M8885" s="277"/>
      <c r="O8885" s="247"/>
      <c r="AC8885" s="247"/>
      <c r="AT8885" s="247"/>
    </row>
    <row r="8886">
      <c r="C8886" s="277"/>
      <c r="M8886" s="277"/>
      <c r="O8886" s="247"/>
      <c r="AC8886" s="247"/>
      <c r="AT8886" s="247"/>
    </row>
    <row r="8887">
      <c r="C8887" s="277"/>
      <c r="M8887" s="277"/>
      <c r="O8887" s="247"/>
      <c r="AC8887" s="247"/>
      <c r="AT8887" s="247"/>
    </row>
    <row r="8888">
      <c r="C8888" s="277"/>
      <c r="M8888" s="277"/>
      <c r="O8888" s="247"/>
      <c r="AC8888" s="247"/>
      <c r="AT8888" s="247"/>
    </row>
    <row r="8889">
      <c r="C8889" s="277"/>
      <c r="M8889" s="277"/>
      <c r="O8889" s="247"/>
      <c r="AC8889" s="247"/>
      <c r="AT8889" s="247"/>
    </row>
    <row r="8890">
      <c r="C8890" s="277"/>
      <c r="M8890" s="277"/>
      <c r="O8890" s="247"/>
      <c r="AC8890" s="247"/>
      <c r="AT8890" s="247"/>
    </row>
    <row r="8891">
      <c r="C8891" s="277"/>
      <c r="M8891" s="277"/>
      <c r="O8891" s="247"/>
      <c r="AC8891" s="247"/>
      <c r="AT8891" s="247"/>
    </row>
    <row r="8892">
      <c r="C8892" s="277"/>
      <c r="M8892" s="277"/>
      <c r="O8892" s="247"/>
      <c r="AC8892" s="247"/>
      <c r="AT8892" s="247"/>
    </row>
    <row r="8893">
      <c r="C8893" s="277"/>
      <c r="M8893" s="277"/>
      <c r="O8893" s="247"/>
      <c r="AC8893" s="247"/>
      <c r="AT8893" s="247"/>
    </row>
    <row r="8894">
      <c r="C8894" s="277"/>
      <c r="M8894" s="277"/>
      <c r="O8894" s="247"/>
      <c r="AC8894" s="247"/>
      <c r="AT8894" s="247"/>
    </row>
    <row r="8895">
      <c r="C8895" s="277"/>
      <c r="M8895" s="277"/>
      <c r="O8895" s="247"/>
      <c r="AC8895" s="247"/>
      <c r="AT8895" s="247"/>
    </row>
    <row r="8896">
      <c r="C8896" s="277"/>
      <c r="M8896" s="277"/>
      <c r="O8896" s="247"/>
      <c r="AC8896" s="247"/>
      <c r="AT8896" s="247"/>
    </row>
    <row r="8897">
      <c r="C8897" s="277"/>
      <c r="M8897" s="277"/>
      <c r="O8897" s="247"/>
      <c r="AC8897" s="247"/>
      <c r="AT8897" s="247"/>
    </row>
    <row r="8898">
      <c r="C8898" s="277"/>
      <c r="M8898" s="277"/>
      <c r="O8898" s="247"/>
      <c r="AC8898" s="247"/>
      <c r="AT8898" s="247"/>
    </row>
    <row r="8899">
      <c r="C8899" s="277"/>
      <c r="M8899" s="277"/>
      <c r="O8899" s="247"/>
      <c r="AC8899" s="247"/>
      <c r="AT8899" s="247"/>
    </row>
    <row r="8900">
      <c r="C8900" s="277"/>
      <c r="M8900" s="277"/>
      <c r="O8900" s="247"/>
      <c r="AC8900" s="247"/>
      <c r="AT8900" s="247"/>
    </row>
    <row r="8901">
      <c r="C8901" s="277"/>
      <c r="M8901" s="277"/>
      <c r="O8901" s="247"/>
      <c r="AC8901" s="247"/>
      <c r="AT8901" s="247"/>
    </row>
    <row r="8902">
      <c r="C8902" s="277"/>
      <c r="M8902" s="277"/>
      <c r="O8902" s="247"/>
      <c r="AC8902" s="247"/>
      <c r="AT8902" s="247"/>
    </row>
    <row r="8903">
      <c r="C8903" s="277"/>
      <c r="M8903" s="277"/>
      <c r="O8903" s="247"/>
      <c r="AC8903" s="247"/>
      <c r="AT8903" s="247"/>
    </row>
    <row r="8904">
      <c r="C8904" s="277"/>
      <c r="M8904" s="277"/>
      <c r="O8904" s="247"/>
      <c r="AC8904" s="247"/>
      <c r="AT8904" s="247"/>
    </row>
    <row r="8905">
      <c r="C8905" s="277"/>
      <c r="M8905" s="277"/>
      <c r="O8905" s="247"/>
      <c r="AC8905" s="247"/>
      <c r="AT8905" s="247"/>
    </row>
    <row r="8906">
      <c r="C8906" s="277"/>
      <c r="M8906" s="277"/>
      <c r="O8906" s="247"/>
      <c r="AC8906" s="247"/>
      <c r="AT8906" s="247"/>
    </row>
    <row r="8907">
      <c r="C8907" s="277"/>
      <c r="M8907" s="277"/>
      <c r="O8907" s="247"/>
      <c r="AC8907" s="247"/>
      <c r="AT8907" s="247"/>
    </row>
    <row r="8908">
      <c r="C8908" s="277"/>
      <c r="M8908" s="277"/>
      <c r="O8908" s="247"/>
      <c r="AC8908" s="247"/>
      <c r="AT8908" s="247"/>
    </row>
    <row r="8909">
      <c r="C8909" s="277"/>
      <c r="M8909" s="277"/>
      <c r="O8909" s="247"/>
      <c r="AC8909" s="247"/>
      <c r="AT8909" s="247"/>
    </row>
    <row r="8910">
      <c r="C8910" s="277"/>
      <c r="M8910" s="277"/>
      <c r="O8910" s="247"/>
      <c r="AC8910" s="247"/>
      <c r="AT8910" s="247"/>
    </row>
    <row r="8911">
      <c r="C8911" s="277"/>
      <c r="M8911" s="277"/>
      <c r="O8911" s="247"/>
      <c r="AC8911" s="247"/>
      <c r="AT8911" s="247"/>
    </row>
    <row r="8912">
      <c r="C8912" s="277"/>
      <c r="M8912" s="277"/>
      <c r="O8912" s="247"/>
      <c r="AC8912" s="247"/>
      <c r="AT8912" s="247"/>
    </row>
    <row r="8913">
      <c r="C8913" s="277"/>
      <c r="M8913" s="277"/>
      <c r="O8913" s="247"/>
      <c r="AC8913" s="247"/>
      <c r="AT8913" s="247"/>
    </row>
    <row r="8914">
      <c r="C8914" s="277"/>
      <c r="M8914" s="277"/>
      <c r="O8914" s="247"/>
      <c r="AC8914" s="247"/>
      <c r="AT8914" s="247"/>
    </row>
    <row r="8915">
      <c r="C8915" s="277"/>
      <c r="M8915" s="277"/>
      <c r="O8915" s="247"/>
      <c r="AC8915" s="247"/>
      <c r="AT8915" s="247"/>
    </row>
    <row r="8916">
      <c r="C8916" s="277"/>
      <c r="M8916" s="277"/>
      <c r="O8916" s="247"/>
      <c r="AC8916" s="247"/>
      <c r="AT8916" s="247"/>
    </row>
    <row r="8917">
      <c r="C8917" s="277"/>
      <c r="M8917" s="277"/>
      <c r="O8917" s="247"/>
      <c r="AC8917" s="247"/>
      <c r="AT8917" s="247"/>
    </row>
    <row r="8918">
      <c r="C8918" s="277"/>
      <c r="M8918" s="277"/>
      <c r="O8918" s="247"/>
      <c r="AC8918" s="247"/>
      <c r="AT8918" s="247"/>
    </row>
    <row r="8919">
      <c r="C8919" s="277"/>
      <c r="M8919" s="277"/>
      <c r="O8919" s="247"/>
      <c r="AC8919" s="247"/>
      <c r="AT8919" s="247"/>
    </row>
    <row r="8920">
      <c r="C8920" s="277"/>
      <c r="M8920" s="277"/>
      <c r="O8920" s="247"/>
      <c r="AC8920" s="247"/>
      <c r="AT8920" s="247"/>
    </row>
    <row r="8921">
      <c r="C8921" s="277"/>
      <c r="M8921" s="277"/>
      <c r="O8921" s="247"/>
      <c r="AC8921" s="247"/>
      <c r="AT8921" s="247"/>
    </row>
    <row r="8922">
      <c r="C8922" s="277"/>
      <c r="M8922" s="277"/>
      <c r="O8922" s="247"/>
      <c r="AC8922" s="247"/>
      <c r="AT8922" s="247"/>
    </row>
    <row r="8923">
      <c r="C8923" s="277"/>
      <c r="M8923" s="277"/>
      <c r="O8923" s="247"/>
      <c r="AC8923" s="247"/>
      <c r="AT8923" s="247"/>
    </row>
    <row r="8924">
      <c r="C8924" s="277"/>
      <c r="M8924" s="277"/>
      <c r="O8924" s="247"/>
      <c r="AC8924" s="247"/>
      <c r="AT8924" s="247"/>
    </row>
    <row r="8925">
      <c r="C8925" s="277"/>
      <c r="M8925" s="277"/>
      <c r="O8925" s="247"/>
      <c r="AC8925" s="247"/>
      <c r="AT8925" s="247"/>
    </row>
    <row r="8926">
      <c r="C8926" s="277"/>
      <c r="M8926" s="277"/>
      <c r="O8926" s="247"/>
      <c r="AC8926" s="247"/>
      <c r="AT8926" s="247"/>
    </row>
    <row r="8927">
      <c r="C8927" s="277"/>
      <c r="M8927" s="277"/>
      <c r="O8927" s="247"/>
      <c r="AC8927" s="247"/>
      <c r="AT8927" s="247"/>
    </row>
    <row r="8928">
      <c r="C8928" s="277"/>
      <c r="M8928" s="277"/>
      <c r="O8928" s="247"/>
      <c r="AC8928" s="247"/>
      <c r="AT8928" s="247"/>
    </row>
    <row r="8929">
      <c r="C8929" s="277"/>
      <c r="M8929" s="277"/>
      <c r="O8929" s="247"/>
      <c r="AC8929" s="247"/>
      <c r="AT8929" s="247"/>
    </row>
    <row r="8930">
      <c r="C8930" s="277"/>
      <c r="M8930" s="277"/>
      <c r="O8930" s="247"/>
      <c r="AC8930" s="247"/>
      <c r="AT8930" s="247"/>
    </row>
    <row r="8931">
      <c r="C8931" s="277"/>
      <c r="M8931" s="277"/>
      <c r="O8931" s="247"/>
      <c r="AC8931" s="247"/>
      <c r="AT8931" s="247"/>
    </row>
    <row r="8932">
      <c r="C8932" s="277"/>
      <c r="M8932" s="277"/>
      <c r="O8932" s="247"/>
      <c r="AC8932" s="247"/>
      <c r="AT8932" s="247"/>
    </row>
    <row r="8933">
      <c r="C8933" s="277"/>
      <c r="M8933" s="277"/>
      <c r="O8933" s="247"/>
      <c r="AC8933" s="247"/>
      <c r="AT8933" s="247"/>
    </row>
    <row r="8934">
      <c r="C8934" s="277"/>
      <c r="M8934" s="277"/>
      <c r="O8934" s="247"/>
      <c r="AC8934" s="247"/>
      <c r="AT8934" s="247"/>
    </row>
    <row r="8935">
      <c r="C8935" s="277"/>
      <c r="M8935" s="277"/>
      <c r="O8935" s="247"/>
      <c r="AC8935" s="247"/>
      <c r="AT8935" s="247"/>
    </row>
    <row r="8936">
      <c r="C8936" s="277"/>
      <c r="M8936" s="277"/>
      <c r="O8936" s="247"/>
      <c r="AC8936" s="247"/>
      <c r="AT8936" s="247"/>
    </row>
    <row r="8937">
      <c r="C8937" s="277"/>
      <c r="M8937" s="277"/>
      <c r="O8937" s="247"/>
      <c r="AC8937" s="247"/>
      <c r="AT8937" s="247"/>
    </row>
    <row r="8938">
      <c r="C8938" s="277"/>
      <c r="M8938" s="277"/>
      <c r="O8938" s="247"/>
      <c r="AC8938" s="247"/>
      <c r="AT8938" s="247"/>
    </row>
    <row r="8939">
      <c r="C8939" s="277"/>
      <c r="M8939" s="277"/>
      <c r="O8939" s="247"/>
      <c r="AC8939" s="247"/>
      <c r="AT8939" s="247"/>
    </row>
    <row r="8940">
      <c r="C8940" s="277"/>
      <c r="M8940" s="277"/>
      <c r="O8940" s="247"/>
      <c r="AC8940" s="247"/>
      <c r="AT8940" s="247"/>
    </row>
    <row r="8941">
      <c r="C8941" s="277"/>
      <c r="M8941" s="277"/>
      <c r="O8941" s="247"/>
      <c r="AC8941" s="247"/>
      <c r="AT8941" s="247"/>
    </row>
    <row r="8942">
      <c r="C8942" s="277"/>
      <c r="M8942" s="277"/>
      <c r="O8942" s="247"/>
      <c r="AC8942" s="247"/>
      <c r="AT8942" s="247"/>
    </row>
    <row r="8943">
      <c r="C8943" s="277"/>
      <c r="M8943" s="277"/>
      <c r="O8943" s="247"/>
      <c r="AC8943" s="247"/>
      <c r="AT8943" s="247"/>
    </row>
    <row r="8944">
      <c r="C8944" s="277"/>
      <c r="M8944" s="277"/>
      <c r="O8944" s="247"/>
      <c r="AC8944" s="247"/>
      <c r="AT8944" s="247"/>
    </row>
    <row r="8945">
      <c r="C8945" s="277"/>
      <c r="M8945" s="277"/>
      <c r="O8945" s="247"/>
      <c r="AC8945" s="247"/>
      <c r="AT8945" s="247"/>
    </row>
    <row r="8946">
      <c r="C8946" s="277"/>
      <c r="M8946" s="277"/>
      <c r="O8946" s="247"/>
      <c r="AC8946" s="247"/>
      <c r="AT8946" s="247"/>
    </row>
    <row r="8947">
      <c r="C8947" s="277"/>
      <c r="M8947" s="277"/>
      <c r="O8947" s="247"/>
      <c r="AC8947" s="247"/>
      <c r="AT8947" s="247"/>
    </row>
    <row r="8948">
      <c r="C8948" s="277"/>
      <c r="M8948" s="277"/>
      <c r="O8948" s="247"/>
      <c r="AC8948" s="247"/>
      <c r="AT8948" s="247"/>
    </row>
    <row r="8949">
      <c r="C8949" s="277"/>
      <c r="M8949" s="277"/>
      <c r="O8949" s="247"/>
      <c r="AC8949" s="247"/>
      <c r="AT8949" s="247"/>
    </row>
    <row r="8950">
      <c r="C8950" s="277"/>
      <c r="M8950" s="277"/>
      <c r="O8950" s="247"/>
      <c r="AC8950" s="247"/>
      <c r="AT8950" s="247"/>
    </row>
    <row r="8951">
      <c r="C8951" s="277"/>
      <c r="M8951" s="277"/>
      <c r="O8951" s="247"/>
      <c r="AC8951" s="247"/>
      <c r="AT8951" s="247"/>
    </row>
    <row r="8952">
      <c r="C8952" s="277"/>
      <c r="M8952" s="277"/>
      <c r="O8952" s="247"/>
      <c r="AC8952" s="247"/>
      <c r="AT8952" s="247"/>
    </row>
    <row r="8953">
      <c r="C8953" s="277"/>
      <c r="M8953" s="277"/>
      <c r="O8953" s="247"/>
      <c r="AC8953" s="247"/>
      <c r="AT8953" s="247"/>
    </row>
    <row r="8954">
      <c r="C8954" s="277"/>
      <c r="M8954" s="277"/>
      <c r="O8954" s="247"/>
      <c r="AC8954" s="247"/>
      <c r="AT8954" s="247"/>
    </row>
    <row r="8955">
      <c r="C8955" s="277"/>
      <c r="M8955" s="277"/>
      <c r="O8955" s="247"/>
      <c r="AC8955" s="247"/>
      <c r="AT8955" s="247"/>
    </row>
    <row r="8956">
      <c r="C8956" s="277"/>
      <c r="M8956" s="277"/>
      <c r="O8956" s="247"/>
      <c r="AC8956" s="247"/>
      <c r="AT8956" s="247"/>
    </row>
    <row r="8957">
      <c r="C8957" s="277"/>
      <c r="M8957" s="277"/>
      <c r="O8957" s="247"/>
      <c r="AC8957" s="247"/>
      <c r="AT8957" s="247"/>
    </row>
    <row r="8958">
      <c r="C8958" s="277"/>
      <c r="M8958" s="277"/>
      <c r="O8958" s="247"/>
      <c r="AC8958" s="247"/>
      <c r="AT8958" s="247"/>
    </row>
    <row r="8959">
      <c r="C8959" s="277"/>
      <c r="M8959" s="277"/>
      <c r="O8959" s="247"/>
      <c r="AC8959" s="247"/>
      <c r="AT8959" s="247"/>
    </row>
    <row r="8960">
      <c r="C8960" s="277"/>
      <c r="M8960" s="277"/>
      <c r="O8960" s="247"/>
      <c r="AC8960" s="247"/>
      <c r="AT8960" s="247"/>
    </row>
    <row r="8961">
      <c r="C8961" s="277"/>
      <c r="M8961" s="277"/>
      <c r="O8961" s="247"/>
      <c r="AC8961" s="247"/>
      <c r="AT8961" s="247"/>
    </row>
    <row r="8962">
      <c r="C8962" s="277"/>
      <c r="M8962" s="277"/>
      <c r="O8962" s="247"/>
      <c r="AC8962" s="247"/>
      <c r="AT8962" s="247"/>
    </row>
    <row r="8963">
      <c r="C8963" s="277"/>
      <c r="M8963" s="277"/>
      <c r="O8963" s="247"/>
      <c r="AC8963" s="247"/>
      <c r="AT8963" s="247"/>
    </row>
    <row r="8964">
      <c r="C8964" s="277"/>
      <c r="M8964" s="277"/>
      <c r="O8964" s="247"/>
      <c r="AC8964" s="247"/>
      <c r="AT8964" s="247"/>
    </row>
    <row r="8965">
      <c r="C8965" s="277"/>
      <c r="M8965" s="277"/>
      <c r="O8965" s="247"/>
      <c r="AC8965" s="247"/>
      <c r="AT8965" s="247"/>
    </row>
    <row r="8966">
      <c r="C8966" s="277"/>
      <c r="M8966" s="277"/>
      <c r="O8966" s="247"/>
      <c r="AC8966" s="247"/>
      <c r="AT8966" s="247"/>
    </row>
    <row r="8967">
      <c r="C8967" s="277"/>
      <c r="M8967" s="277"/>
      <c r="O8967" s="247"/>
      <c r="AC8967" s="247"/>
      <c r="AT8967" s="247"/>
    </row>
    <row r="8968">
      <c r="C8968" s="277"/>
      <c r="M8968" s="277"/>
      <c r="O8968" s="247"/>
      <c r="AC8968" s="247"/>
      <c r="AT8968" s="247"/>
    </row>
    <row r="8969">
      <c r="C8969" s="277"/>
      <c r="M8969" s="277"/>
      <c r="O8969" s="247"/>
      <c r="AC8969" s="247"/>
      <c r="AT8969" s="247"/>
    </row>
    <row r="8970">
      <c r="C8970" s="277"/>
      <c r="M8970" s="277"/>
      <c r="O8970" s="247"/>
      <c r="AC8970" s="247"/>
      <c r="AT8970" s="247"/>
    </row>
    <row r="8971">
      <c r="C8971" s="277"/>
      <c r="M8971" s="277"/>
      <c r="O8971" s="247"/>
      <c r="AC8971" s="247"/>
      <c r="AT8971" s="247"/>
    </row>
    <row r="8972">
      <c r="C8972" s="277"/>
      <c r="M8972" s="277"/>
      <c r="O8972" s="247"/>
      <c r="AC8972" s="247"/>
      <c r="AT8972" s="247"/>
    </row>
    <row r="8973">
      <c r="C8973" s="277"/>
      <c r="M8973" s="277"/>
      <c r="O8973" s="247"/>
      <c r="AC8973" s="247"/>
      <c r="AT8973" s="247"/>
    </row>
    <row r="8974">
      <c r="C8974" s="277"/>
      <c r="M8974" s="277"/>
      <c r="O8974" s="247"/>
      <c r="AC8974" s="247"/>
      <c r="AT8974" s="247"/>
    </row>
    <row r="8975">
      <c r="C8975" s="277"/>
      <c r="M8975" s="277"/>
      <c r="O8975" s="247"/>
      <c r="AC8975" s="247"/>
      <c r="AT8975" s="247"/>
    </row>
    <row r="8976">
      <c r="C8976" s="277"/>
      <c r="M8976" s="277"/>
      <c r="O8976" s="247"/>
      <c r="AC8976" s="247"/>
      <c r="AT8976" s="247"/>
    </row>
    <row r="8977">
      <c r="C8977" s="277"/>
      <c r="M8977" s="277"/>
      <c r="O8977" s="247"/>
      <c r="AC8977" s="247"/>
      <c r="AT8977" s="247"/>
    </row>
    <row r="8978">
      <c r="C8978" s="277"/>
      <c r="M8978" s="277"/>
      <c r="O8978" s="247"/>
      <c r="AC8978" s="247"/>
      <c r="AT8978" s="247"/>
    </row>
    <row r="8979">
      <c r="C8979" s="277"/>
      <c r="M8979" s="277"/>
      <c r="O8979" s="247"/>
      <c r="AC8979" s="247"/>
      <c r="AT8979" s="247"/>
    </row>
    <row r="8980">
      <c r="C8980" s="277"/>
      <c r="M8980" s="277"/>
      <c r="O8980" s="247"/>
      <c r="AC8980" s="247"/>
      <c r="AT8980" s="247"/>
    </row>
    <row r="8981">
      <c r="C8981" s="277"/>
      <c r="M8981" s="277"/>
      <c r="O8981" s="247"/>
      <c r="AC8981" s="247"/>
      <c r="AT8981" s="247"/>
    </row>
    <row r="8982">
      <c r="C8982" s="277"/>
      <c r="M8982" s="277"/>
      <c r="O8982" s="247"/>
      <c r="AC8982" s="247"/>
      <c r="AT8982" s="247"/>
    </row>
    <row r="8983">
      <c r="C8983" s="277"/>
      <c r="M8983" s="277"/>
      <c r="O8983" s="247"/>
      <c r="AC8983" s="247"/>
      <c r="AT8983" s="247"/>
    </row>
    <row r="8984">
      <c r="C8984" s="277"/>
      <c r="M8984" s="277"/>
      <c r="O8984" s="247"/>
      <c r="AC8984" s="247"/>
      <c r="AT8984" s="247"/>
    </row>
    <row r="8985">
      <c r="C8985" s="277"/>
      <c r="M8985" s="277"/>
      <c r="O8985" s="247"/>
      <c r="AC8985" s="247"/>
      <c r="AT8985" s="247"/>
    </row>
    <row r="8986">
      <c r="C8986" s="277"/>
      <c r="M8986" s="277"/>
      <c r="O8986" s="247"/>
      <c r="AC8986" s="247"/>
      <c r="AT8986" s="247"/>
    </row>
    <row r="8987">
      <c r="C8987" s="277"/>
      <c r="M8987" s="277"/>
      <c r="O8987" s="247"/>
      <c r="AC8987" s="247"/>
      <c r="AT8987" s="247"/>
    </row>
    <row r="8988">
      <c r="C8988" s="277"/>
      <c r="M8988" s="277"/>
      <c r="O8988" s="247"/>
      <c r="AC8988" s="247"/>
      <c r="AT8988" s="247"/>
    </row>
    <row r="8989">
      <c r="C8989" s="277"/>
      <c r="M8989" s="277"/>
      <c r="O8989" s="247"/>
      <c r="AC8989" s="247"/>
      <c r="AT8989" s="247"/>
    </row>
    <row r="8990">
      <c r="C8990" s="277"/>
      <c r="M8990" s="277"/>
      <c r="O8990" s="247"/>
      <c r="AC8990" s="247"/>
      <c r="AT8990" s="247"/>
    </row>
    <row r="8991">
      <c r="C8991" s="277"/>
      <c r="M8991" s="277"/>
      <c r="O8991" s="247"/>
      <c r="AC8991" s="247"/>
      <c r="AT8991" s="247"/>
    </row>
    <row r="8992">
      <c r="C8992" s="277"/>
      <c r="M8992" s="277"/>
      <c r="O8992" s="247"/>
      <c r="AC8992" s="247"/>
      <c r="AT8992" s="247"/>
    </row>
    <row r="8993">
      <c r="C8993" s="277"/>
      <c r="M8993" s="277"/>
      <c r="O8993" s="247"/>
      <c r="AC8993" s="247"/>
      <c r="AT8993" s="247"/>
    </row>
    <row r="8994">
      <c r="C8994" s="277"/>
      <c r="M8994" s="277"/>
      <c r="O8994" s="247"/>
      <c r="AC8994" s="247"/>
      <c r="AT8994" s="247"/>
    </row>
    <row r="8995">
      <c r="C8995" s="277"/>
      <c r="M8995" s="277"/>
      <c r="O8995" s="247"/>
      <c r="AC8995" s="247"/>
      <c r="AT8995" s="247"/>
    </row>
    <row r="8996">
      <c r="C8996" s="277"/>
      <c r="M8996" s="277"/>
      <c r="O8996" s="247"/>
      <c r="AC8996" s="247"/>
      <c r="AT8996" s="247"/>
    </row>
    <row r="8997">
      <c r="C8997" s="277"/>
      <c r="M8997" s="277"/>
      <c r="O8997" s="247"/>
      <c r="AC8997" s="247"/>
      <c r="AT8997" s="247"/>
    </row>
    <row r="8998">
      <c r="C8998" s="277"/>
      <c r="M8998" s="277"/>
      <c r="O8998" s="247"/>
      <c r="AC8998" s="247"/>
      <c r="AT8998" s="247"/>
    </row>
    <row r="8999">
      <c r="C8999" s="277"/>
      <c r="M8999" s="277"/>
      <c r="O8999" s="247"/>
      <c r="AC8999" s="247"/>
      <c r="AT8999" s="247"/>
    </row>
    <row r="9000">
      <c r="C9000" s="277"/>
      <c r="M9000" s="277"/>
      <c r="O9000" s="247"/>
      <c r="AC9000" s="247"/>
      <c r="AT9000" s="247"/>
    </row>
    <row r="9001">
      <c r="C9001" s="277"/>
      <c r="M9001" s="277"/>
      <c r="O9001" s="247"/>
      <c r="AC9001" s="247"/>
      <c r="AT9001" s="247"/>
    </row>
    <row r="9002">
      <c r="C9002" s="277"/>
      <c r="M9002" s="277"/>
      <c r="O9002" s="247"/>
      <c r="AC9002" s="247"/>
      <c r="AT9002" s="247"/>
    </row>
    <row r="9003">
      <c r="C9003" s="277"/>
      <c r="M9003" s="277"/>
      <c r="O9003" s="247"/>
      <c r="AC9003" s="247"/>
      <c r="AT9003" s="247"/>
    </row>
    <row r="9004">
      <c r="C9004" s="277"/>
      <c r="M9004" s="277"/>
      <c r="O9004" s="247"/>
      <c r="AC9004" s="247"/>
      <c r="AT9004" s="247"/>
    </row>
    <row r="9005">
      <c r="C9005" s="277"/>
      <c r="M9005" s="277"/>
      <c r="O9005" s="247"/>
      <c r="AC9005" s="247"/>
      <c r="AT9005" s="247"/>
    </row>
    <row r="9006">
      <c r="C9006" s="277"/>
      <c r="M9006" s="277"/>
      <c r="O9006" s="247"/>
      <c r="AC9006" s="247"/>
      <c r="AT9006" s="247"/>
    </row>
    <row r="9007">
      <c r="C9007" s="277"/>
      <c r="M9007" s="277"/>
      <c r="O9007" s="247"/>
      <c r="AC9007" s="247"/>
      <c r="AT9007" s="247"/>
    </row>
    <row r="9008">
      <c r="C9008" s="277"/>
      <c r="M9008" s="277"/>
      <c r="O9008" s="247"/>
      <c r="AC9008" s="247"/>
      <c r="AT9008" s="247"/>
    </row>
    <row r="9009">
      <c r="C9009" s="277"/>
      <c r="M9009" s="277"/>
      <c r="O9009" s="247"/>
      <c r="AC9009" s="247"/>
      <c r="AT9009" s="247"/>
    </row>
    <row r="9010">
      <c r="C9010" s="277"/>
      <c r="M9010" s="277"/>
      <c r="O9010" s="247"/>
      <c r="AC9010" s="247"/>
      <c r="AT9010" s="247"/>
    </row>
    <row r="9011">
      <c r="C9011" s="277"/>
      <c r="M9011" s="277"/>
      <c r="O9011" s="247"/>
      <c r="AC9011" s="247"/>
      <c r="AT9011" s="247"/>
    </row>
    <row r="9012">
      <c r="C9012" s="277"/>
      <c r="M9012" s="277"/>
      <c r="O9012" s="247"/>
      <c r="AC9012" s="247"/>
      <c r="AT9012" s="247"/>
    </row>
    <row r="9013">
      <c r="C9013" s="277"/>
      <c r="M9013" s="277"/>
      <c r="O9013" s="247"/>
      <c r="AC9013" s="247"/>
      <c r="AT9013" s="247"/>
    </row>
    <row r="9014">
      <c r="C9014" s="277"/>
      <c r="M9014" s="277"/>
      <c r="O9014" s="247"/>
      <c r="AC9014" s="247"/>
      <c r="AT9014" s="247"/>
    </row>
    <row r="9015">
      <c r="C9015" s="277"/>
      <c r="M9015" s="277"/>
      <c r="O9015" s="247"/>
      <c r="AC9015" s="247"/>
      <c r="AT9015" s="247"/>
    </row>
    <row r="9016">
      <c r="C9016" s="277"/>
      <c r="M9016" s="277"/>
      <c r="O9016" s="247"/>
      <c r="AC9016" s="247"/>
      <c r="AT9016" s="247"/>
    </row>
    <row r="9017">
      <c r="C9017" s="277"/>
      <c r="M9017" s="277"/>
      <c r="O9017" s="247"/>
      <c r="AC9017" s="247"/>
      <c r="AT9017" s="247"/>
    </row>
    <row r="9018">
      <c r="C9018" s="277"/>
      <c r="M9018" s="277"/>
      <c r="O9018" s="247"/>
      <c r="AC9018" s="247"/>
      <c r="AT9018" s="247"/>
    </row>
    <row r="9019">
      <c r="C9019" s="277"/>
      <c r="M9019" s="277"/>
      <c r="O9019" s="247"/>
      <c r="AC9019" s="247"/>
      <c r="AT9019" s="247"/>
    </row>
    <row r="9020">
      <c r="C9020" s="277"/>
      <c r="M9020" s="277"/>
      <c r="O9020" s="247"/>
      <c r="AC9020" s="247"/>
      <c r="AT9020" s="247"/>
    </row>
    <row r="9021">
      <c r="C9021" s="277"/>
      <c r="M9021" s="277"/>
      <c r="O9021" s="247"/>
      <c r="AC9021" s="247"/>
      <c r="AT9021" s="247"/>
    </row>
    <row r="9022">
      <c r="C9022" s="277"/>
      <c r="M9022" s="277"/>
      <c r="O9022" s="247"/>
      <c r="AC9022" s="247"/>
      <c r="AT9022" s="247"/>
    </row>
    <row r="9023">
      <c r="C9023" s="277"/>
      <c r="M9023" s="277"/>
      <c r="O9023" s="247"/>
      <c r="AC9023" s="247"/>
      <c r="AT9023" s="247"/>
    </row>
    <row r="9024">
      <c r="C9024" s="277"/>
      <c r="M9024" s="277"/>
      <c r="O9024" s="247"/>
      <c r="AC9024" s="247"/>
      <c r="AT9024" s="247"/>
    </row>
    <row r="9025">
      <c r="C9025" s="277"/>
      <c r="M9025" s="277"/>
      <c r="O9025" s="247"/>
      <c r="AC9025" s="247"/>
      <c r="AT9025" s="247"/>
    </row>
    <row r="9026">
      <c r="C9026" s="277"/>
      <c r="M9026" s="277"/>
      <c r="O9026" s="247"/>
      <c r="AC9026" s="247"/>
      <c r="AT9026" s="247"/>
    </row>
    <row r="9027">
      <c r="C9027" s="277"/>
      <c r="M9027" s="277"/>
      <c r="O9027" s="247"/>
      <c r="AC9027" s="247"/>
      <c r="AT9027" s="247"/>
    </row>
    <row r="9028">
      <c r="C9028" s="277"/>
      <c r="M9028" s="277"/>
      <c r="O9028" s="247"/>
      <c r="AC9028" s="247"/>
      <c r="AT9028" s="247"/>
    </row>
    <row r="9029">
      <c r="C9029" s="277"/>
      <c r="M9029" s="277"/>
      <c r="O9029" s="247"/>
      <c r="AC9029" s="247"/>
      <c r="AT9029" s="247"/>
    </row>
    <row r="9030">
      <c r="C9030" s="277"/>
      <c r="M9030" s="277"/>
      <c r="O9030" s="247"/>
      <c r="AC9030" s="247"/>
      <c r="AT9030" s="247"/>
    </row>
    <row r="9031">
      <c r="C9031" s="277"/>
      <c r="M9031" s="277"/>
      <c r="O9031" s="247"/>
      <c r="AC9031" s="247"/>
      <c r="AT9031" s="247"/>
    </row>
    <row r="9032">
      <c r="C9032" s="277"/>
      <c r="M9032" s="277"/>
      <c r="O9032" s="247"/>
      <c r="AC9032" s="247"/>
      <c r="AT9032" s="247"/>
    </row>
    <row r="9033">
      <c r="C9033" s="277"/>
      <c r="M9033" s="277"/>
      <c r="O9033" s="247"/>
      <c r="AC9033" s="247"/>
      <c r="AT9033" s="247"/>
    </row>
    <row r="9034">
      <c r="C9034" s="277"/>
      <c r="M9034" s="277"/>
      <c r="O9034" s="247"/>
      <c r="AC9034" s="247"/>
      <c r="AT9034" s="247"/>
    </row>
    <row r="9035">
      <c r="C9035" s="277"/>
      <c r="M9035" s="277"/>
      <c r="O9035" s="247"/>
      <c r="AC9035" s="247"/>
      <c r="AT9035" s="247"/>
    </row>
    <row r="9036">
      <c r="C9036" s="277"/>
      <c r="M9036" s="277"/>
      <c r="O9036" s="247"/>
      <c r="AC9036" s="247"/>
      <c r="AT9036" s="247"/>
    </row>
    <row r="9037">
      <c r="C9037" s="277"/>
      <c r="M9037" s="277"/>
      <c r="O9037" s="247"/>
      <c r="AC9037" s="247"/>
      <c r="AT9037" s="247"/>
    </row>
    <row r="9038">
      <c r="C9038" s="277"/>
      <c r="M9038" s="277"/>
      <c r="O9038" s="247"/>
      <c r="AC9038" s="247"/>
      <c r="AT9038" s="247"/>
    </row>
    <row r="9039">
      <c r="C9039" s="277"/>
      <c r="M9039" s="277"/>
      <c r="O9039" s="247"/>
      <c r="AC9039" s="247"/>
      <c r="AT9039" s="247"/>
    </row>
    <row r="9040">
      <c r="C9040" s="277"/>
      <c r="M9040" s="277"/>
      <c r="O9040" s="247"/>
      <c r="AC9040" s="247"/>
      <c r="AT9040" s="247"/>
    </row>
    <row r="9041">
      <c r="C9041" s="277"/>
      <c r="M9041" s="277"/>
      <c r="O9041" s="247"/>
      <c r="AC9041" s="247"/>
      <c r="AT9041" s="247"/>
    </row>
    <row r="9042">
      <c r="C9042" s="277"/>
      <c r="M9042" s="277"/>
      <c r="O9042" s="247"/>
      <c r="AC9042" s="247"/>
      <c r="AT9042" s="247"/>
    </row>
    <row r="9043">
      <c r="C9043" s="277"/>
      <c r="M9043" s="277"/>
      <c r="O9043" s="247"/>
      <c r="AC9043" s="247"/>
      <c r="AT9043" s="247"/>
    </row>
    <row r="9044">
      <c r="C9044" s="277"/>
      <c r="M9044" s="277"/>
      <c r="O9044" s="247"/>
      <c r="AC9044" s="247"/>
      <c r="AT9044" s="247"/>
    </row>
    <row r="9045">
      <c r="C9045" s="277"/>
      <c r="M9045" s="277"/>
      <c r="O9045" s="247"/>
      <c r="AC9045" s="247"/>
      <c r="AT9045" s="247"/>
    </row>
    <row r="9046">
      <c r="C9046" s="277"/>
      <c r="M9046" s="277"/>
      <c r="O9046" s="247"/>
      <c r="AC9046" s="247"/>
      <c r="AT9046" s="247"/>
    </row>
    <row r="9047">
      <c r="C9047" s="277"/>
      <c r="M9047" s="277"/>
      <c r="O9047" s="247"/>
      <c r="AC9047" s="247"/>
      <c r="AT9047" s="247"/>
    </row>
    <row r="9048">
      <c r="C9048" s="277"/>
      <c r="M9048" s="277"/>
      <c r="O9048" s="247"/>
      <c r="AC9048" s="247"/>
      <c r="AT9048" s="247"/>
    </row>
    <row r="9049">
      <c r="C9049" s="277"/>
      <c r="M9049" s="277"/>
      <c r="O9049" s="247"/>
      <c r="AC9049" s="247"/>
      <c r="AT9049" s="247"/>
    </row>
    <row r="9050">
      <c r="C9050" s="277"/>
      <c r="M9050" s="277"/>
      <c r="O9050" s="247"/>
      <c r="AC9050" s="247"/>
      <c r="AT9050" s="247"/>
    </row>
    <row r="9051">
      <c r="C9051" s="277"/>
      <c r="M9051" s="277"/>
      <c r="O9051" s="247"/>
      <c r="AC9051" s="247"/>
      <c r="AT9051" s="247"/>
    </row>
    <row r="9052">
      <c r="C9052" s="277"/>
      <c r="M9052" s="277"/>
      <c r="O9052" s="247"/>
      <c r="AC9052" s="247"/>
      <c r="AT9052" s="247"/>
    </row>
    <row r="9053">
      <c r="C9053" s="277"/>
      <c r="M9053" s="277"/>
      <c r="O9053" s="247"/>
      <c r="AC9053" s="247"/>
      <c r="AT9053" s="247"/>
    </row>
    <row r="9054">
      <c r="C9054" s="277"/>
      <c r="M9054" s="277"/>
      <c r="O9054" s="247"/>
      <c r="AC9054" s="247"/>
      <c r="AT9054" s="247"/>
    </row>
    <row r="9055">
      <c r="C9055" s="277"/>
      <c r="M9055" s="277"/>
      <c r="O9055" s="247"/>
      <c r="AC9055" s="247"/>
      <c r="AT9055" s="247"/>
    </row>
    <row r="9056">
      <c r="C9056" s="277"/>
      <c r="M9056" s="277"/>
      <c r="O9056" s="247"/>
      <c r="AC9056" s="247"/>
      <c r="AT9056" s="247"/>
    </row>
    <row r="9057">
      <c r="C9057" s="277"/>
      <c r="M9057" s="277"/>
      <c r="O9057" s="247"/>
      <c r="AC9057" s="247"/>
      <c r="AT9057" s="247"/>
    </row>
    <row r="9058">
      <c r="C9058" s="277"/>
      <c r="M9058" s="277"/>
      <c r="O9058" s="247"/>
      <c r="AC9058" s="247"/>
      <c r="AT9058" s="247"/>
    </row>
    <row r="9059">
      <c r="C9059" s="277"/>
      <c r="M9059" s="277"/>
      <c r="O9059" s="247"/>
      <c r="AC9059" s="247"/>
      <c r="AT9059" s="247"/>
    </row>
    <row r="9060">
      <c r="C9060" s="277"/>
      <c r="M9060" s="277"/>
      <c r="O9060" s="247"/>
      <c r="AC9060" s="247"/>
      <c r="AT9060" s="247"/>
    </row>
    <row r="9061">
      <c r="C9061" s="277"/>
      <c r="M9061" s="277"/>
      <c r="O9061" s="247"/>
      <c r="AC9061" s="247"/>
      <c r="AT9061" s="247"/>
    </row>
    <row r="9062">
      <c r="C9062" s="277"/>
      <c r="M9062" s="277"/>
      <c r="O9062" s="247"/>
      <c r="AC9062" s="247"/>
      <c r="AT9062" s="247"/>
    </row>
    <row r="9063">
      <c r="C9063" s="277"/>
      <c r="M9063" s="277"/>
      <c r="O9063" s="247"/>
      <c r="AC9063" s="247"/>
      <c r="AT9063" s="247"/>
    </row>
    <row r="9064">
      <c r="C9064" s="277"/>
      <c r="M9064" s="277"/>
      <c r="O9064" s="247"/>
      <c r="AC9064" s="247"/>
      <c r="AT9064" s="247"/>
    </row>
    <row r="9065">
      <c r="C9065" s="277"/>
      <c r="M9065" s="277"/>
      <c r="O9065" s="247"/>
      <c r="AC9065" s="247"/>
      <c r="AT9065" s="247"/>
    </row>
    <row r="9066">
      <c r="C9066" s="277"/>
      <c r="M9066" s="277"/>
      <c r="O9066" s="247"/>
      <c r="AC9066" s="247"/>
      <c r="AT9066" s="247"/>
    </row>
    <row r="9067">
      <c r="C9067" s="277"/>
      <c r="M9067" s="277"/>
      <c r="O9067" s="247"/>
      <c r="AC9067" s="247"/>
      <c r="AT9067" s="247"/>
    </row>
    <row r="9068">
      <c r="C9068" s="277"/>
      <c r="M9068" s="277"/>
      <c r="O9068" s="247"/>
      <c r="AC9068" s="247"/>
      <c r="AT9068" s="247"/>
    </row>
    <row r="9069">
      <c r="C9069" s="277"/>
      <c r="M9069" s="277"/>
      <c r="O9069" s="247"/>
      <c r="AC9069" s="247"/>
      <c r="AT9069" s="247"/>
    </row>
    <row r="9070">
      <c r="C9070" s="277"/>
      <c r="M9070" s="277"/>
      <c r="O9070" s="247"/>
      <c r="AC9070" s="247"/>
      <c r="AT9070" s="247"/>
    </row>
    <row r="9071">
      <c r="C9071" s="277"/>
      <c r="M9071" s="277"/>
      <c r="O9071" s="247"/>
      <c r="AC9071" s="247"/>
      <c r="AT9071" s="247"/>
    </row>
    <row r="9072">
      <c r="C9072" s="277"/>
      <c r="M9072" s="277"/>
      <c r="O9072" s="247"/>
      <c r="AC9072" s="247"/>
      <c r="AT9072" s="247"/>
    </row>
    <row r="9073">
      <c r="C9073" s="277"/>
      <c r="M9073" s="277"/>
      <c r="O9073" s="247"/>
      <c r="AC9073" s="247"/>
      <c r="AT9073" s="247"/>
    </row>
    <row r="9074">
      <c r="C9074" s="277"/>
      <c r="M9074" s="277"/>
      <c r="O9074" s="247"/>
      <c r="AC9074" s="247"/>
      <c r="AT9074" s="247"/>
    </row>
    <row r="9075">
      <c r="C9075" s="277"/>
      <c r="M9075" s="277"/>
      <c r="O9075" s="247"/>
      <c r="AC9075" s="247"/>
      <c r="AT9075" s="247"/>
    </row>
    <row r="9076">
      <c r="C9076" s="277"/>
      <c r="M9076" s="277"/>
      <c r="O9076" s="247"/>
      <c r="AC9076" s="247"/>
      <c r="AT9076" s="247"/>
    </row>
    <row r="9077">
      <c r="C9077" s="277"/>
      <c r="M9077" s="277"/>
      <c r="O9077" s="247"/>
      <c r="AC9077" s="247"/>
      <c r="AT9077" s="247"/>
    </row>
    <row r="9078">
      <c r="C9078" s="277"/>
      <c r="M9078" s="277"/>
      <c r="O9078" s="247"/>
      <c r="AC9078" s="247"/>
      <c r="AT9078" s="247"/>
    </row>
    <row r="9079">
      <c r="C9079" s="277"/>
      <c r="M9079" s="277"/>
      <c r="O9079" s="247"/>
      <c r="AC9079" s="247"/>
      <c r="AT9079" s="247"/>
    </row>
    <row r="9080">
      <c r="C9080" s="277"/>
      <c r="M9080" s="277"/>
      <c r="O9080" s="247"/>
      <c r="AC9080" s="247"/>
      <c r="AT9080" s="247"/>
    </row>
    <row r="9081">
      <c r="C9081" s="277"/>
      <c r="M9081" s="277"/>
      <c r="O9081" s="247"/>
      <c r="AC9081" s="247"/>
      <c r="AT9081" s="247"/>
    </row>
    <row r="9082">
      <c r="C9082" s="277"/>
      <c r="M9082" s="277"/>
      <c r="O9082" s="247"/>
      <c r="AC9082" s="247"/>
      <c r="AT9082" s="247"/>
    </row>
    <row r="9083">
      <c r="C9083" s="277"/>
      <c r="M9083" s="277"/>
      <c r="O9083" s="247"/>
      <c r="AC9083" s="247"/>
      <c r="AT9083" s="247"/>
    </row>
    <row r="9084">
      <c r="C9084" s="277"/>
      <c r="M9084" s="277"/>
      <c r="O9084" s="247"/>
      <c r="AC9084" s="247"/>
      <c r="AT9084" s="247"/>
    </row>
    <row r="9085">
      <c r="C9085" s="277"/>
      <c r="M9085" s="277"/>
      <c r="O9085" s="247"/>
      <c r="AC9085" s="247"/>
      <c r="AT9085" s="247"/>
    </row>
    <row r="9086">
      <c r="C9086" s="277"/>
      <c r="M9086" s="277"/>
      <c r="O9086" s="247"/>
      <c r="AC9086" s="247"/>
      <c r="AT9086" s="247"/>
    </row>
    <row r="9087">
      <c r="C9087" s="277"/>
      <c r="M9087" s="277"/>
      <c r="O9087" s="247"/>
      <c r="AC9087" s="247"/>
      <c r="AT9087" s="247"/>
    </row>
    <row r="9088">
      <c r="C9088" s="277"/>
      <c r="M9088" s="277"/>
      <c r="O9088" s="247"/>
      <c r="AC9088" s="247"/>
      <c r="AT9088" s="247"/>
    </row>
    <row r="9089">
      <c r="C9089" s="277"/>
      <c r="M9089" s="277"/>
      <c r="O9089" s="247"/>
      <c r="AC9089" s="247"/>
      <c r="AT9089" s="247"/>
    </row>
    <row r="9090">
      <c r="C9090" s="277"/>
      <c r="M9090" s="277"/>
      <c r="O9090" s="247"/>
      <c r="AC9090" s="247"/>
      <c r="AT9090" s="247"/>
    </row>
    <row r="9091">
      <c r="C9091" s="277"/>
      <c r="M9091" s="277"/>
      <c r="O9091" s="247"/>
      <c r="AC9091" s="247"/>
      <c r="AT9091" s="247"/>
    </row>
    <row r="9092">
      <c r="C9092" s="277"/>
      <c r="M9092" s="277"/>
      <c r="O9092" s="247"/>
      <c r="AC9092" s="247"/>
      <c r="AT9092" s="247"/>
    </row>
    <row r="9093">
      <c r="C9093" s="277"/>
      <c r="M9093" s="277"/>
      <c r="O9093" s="247"/>
      <c r="AC9093" s="247"/>
      <c r="AT9093" s="247"/>
    </row>
    <row r="9094">
      <c r="C9094" s="277"/>
      <c r="M9094" s="277"/>
      <c r="O9094" s="247"/>
      <c r="AC9094" s="247"/>
      <c r="AT9094" s="247"/>
    </row>
    <row r="9095">
      <c r="C9095" s="277"/>
      <c r="M9095" s="277"/>
      <c r="O9095" s="247"/>
      <c r="AC9095" s="247"/>
      <c r="AT9095" s="247"/>
    </row>
    <row r="9096">
      <c r="C9096" s="277"/>
      <c r="M9096" s="277"/>
      <c r="O9096" s="247"/>
      <c r="AC9096" s="247"/>
      <c r="AT9096" s="247"/>
    </row>
    <row r="9097">
      <c r="C9097" s="277"/>
      <c r="M9097" s="277"/>
      <c r="O9097" s="247"/>
      <c r="AC9097" s="247"/>
      <c r="AT9097" s="247"/>
    </row>
    <row r="9098">
      <c r="C9098" s="277"/>
      <c r="M9098" s="277"/>
      <c r="O9098" s="247"/>
      <c r="AC9098" s="247"/>
      <c r="AT9098" s="247"/>
    </row>
    <row r="9099">
      <c r="C9099" s="277"/>
      <c r="M9099" s="277"/>
      <c r="O9099" s="247"/>
      <c r="AC9099" s="247"/>
      <c r="AT9099" s="247"/>
    </row>
    <row r="9100">
      <c r="C9100" s="277"/>
      <c r="M9100" s="277"/>
      <c r="O9100" s="247"/>
      <c r="AC9100" s="247"/>
      <c r="AT9100" s="247"/>
    </row>
    <row r="9101">
      <c r="C9101" s="277"/>
      <c r="M9101" s="277"/>
      <c r="O9101" s="247"/>
      <c r="AC9101" s="247"/>
      <c r="AT9101" s="247"/>
    </row>
    <row r="9102">
      <c r="C9102" s="277"/>
      <c r="M9102" s="277"/>
      <c r="O9102" s="247"/>
      <c r="AC9102" s="247"/>
      <c r="AT9102" s="247"/>
    </row>
    <row r="9103">
      <c r="C9103" s="277"/>
      <c r="M9103" s="277"/>
      <c r="O9103" s="247"/>
      <c r="AC9103" s="247"/>
      <c r="AT9103" s="247"/>
    </row>
    <row r="9104">
      <c r="C9104" s="277"/>
      <c r="M9104" s="277"/>
      <c r="O9104" s="247"/>
      <c r="AC9104" s="247"/>
      <c r="AT9104" s="247"/>
    </row>
    <row r="9105">
      <c r="C9105" s="277"/>
      <c r="M9105" s="277"/>
      <c r="O9105" s="247"/>
      <c r="AC9105" s="247"/>
      <c r="AT9105" s="247"/>
    </row>
    <row r="9106">
      <c r="C9106" s="277"/>
      <c r="M9106" s="277"/>
      <c r="O9106" s="247"/>
      <c r="AC9106" s="247"/>
      <c r="AT9106" s="247"/>
    </row>
    <row r="9107">
      <c r="C9107" s="277"/>
      <c r="M9107" s="277"/>
      <c r="O9107" s="247"/>
      <c r="AC9107" s="247"/>
      <c r="AT9107" s="247"/>
    </row>
    <row r="9108">
      <c r="C9108" s="277"/>
      <c r="M9108" s="277"/>
      <c r="O9108" s="247"/>
      <c r="AC9108" s="247"/>
      <c r="AT9108" s="247"/>
    </row>
    <row r="9109">
      <c r="C9109" s="277"/>
      <c r="M9109" s="277"/>
      <c r="O9109" s="247"/>
      <c r="AC9109" s="247"/>
      <c r="AT9109" s="247"/>
    </row>
    <row r="9110">
      <c r="C9110" s="277"/>
      <c r="M9110" s="277"/>
      <c r="O9110" s="247"/>
      <c r="AC9110" s="247"/>
      <c r="AT9110" s="247"/>
    </row>
    <row r="9111">
      <c r="C9111" s="277"/>
      <c r="M9111" s="277"/>
      <c r="O9111" s="247"/>
      <c r="AC9111" s="247"/>
      <c r="AT9111" s="247"/>
    </row>
    <row r="9112">
      <c r="C9112" s="277"/>
      <c r="M9112" s="277"/>
      <c r="O9112" s="247"/>
      <c r="AC9112" s="247"/>
      <c r="AT9112" s="247"/>
    </row>
    <row r="9113">
      <c r="C9113" s="277"/>
      <c r="M9113" s="277"/>
      <c r="O9113" s="247"/>
      <c r="AC9113" s="247"/>
      <c r="AT9113" s="247"/>
    </row>
    <row r="9114">
      <c r="C9114" s="277"/>
      <c r="M9114" s="277"/>
      <c r="O9114" s="247"/>
      <c r="AC9114" s="247"/>
      <c r="AT9114" s="247"/>
    </row>
    <row r="9115">
      <c r="C9115" s="277"/>
      <c r="M9115" s="277"/>
      <c r="O9115" s="247"/>
      <c r="AC9115" s="247"/>
      <c r="AT9115" s="247"/>
    </row>
    <row r="9116">
      <c r="C9116" s="277"/>
      <c r="M9116" s="277"/>
      <c r="O9116" s="247"/>
      <c r="AC9116" s="247"/>
      <c r="AT9116" s="247"/>
    </row>
    <row r="9117">
      <c r="C9117" s="277"/>
      <c r="M9117" s="277"/>
      <c r="O9117" s="247"/>
      <c r="AC9117" s="247"/>
      <c r="AT9117" s="247"/>
    </row>
    <row r="9118">
      <c r="C9118" s="277"/>
      <c r="M9118" s="277"/>
      <c r="O9118" s="247"/>
      <c r="AC9118" s="247"/>
      <c r="AT9118" s="247"/>
    </row>
    <row r="9119">
      <c r="C9119" s="277"/>
      <c r="M9119" s="277"/>
      <c r="O9119" s="247"/>
      <c r="AC9119" s="247"/>
      <c r="AT9119" s="247"/>
    </row>
    <row r="9120">
      <c r="C9120" s="277"/>
      <c r="M9120" s="277"/>
      <c r="O9120" s="247"/>
      <c r="AC9120" s="247"/>
      <c r="AT9120" s="247"/>
    </row>
    <row r="9121">
      <c r="C9121" s="277"/>
      <c r="M9121" s="277"/>
      <c r="O9121" s="247"/>
      <c r="AC9121" s="247"/>
      <c r="AT9121" s="247"/>
    </row>
    <row r="9122">
      <c r="C9122" s="277"/>
      <c r="M9122" s="277"/>
      <c r="O9122" s="247"/>
      <c r="AC9122" s="247"/>
      <c r="AT9122" s="247"/>
    </row>
    <row r="9123">
      <c r="C9123" s="277"/>
      <c r="M9123" s="277"/>
      <c r="O9123" s="247"/>
      <c r="AC9123" s="247"/>
      <c r="AT9123" s="247"/>
    </row>
    <row r="9124">
      <c r="C9124" s="277"/>
      <c r="M9124" s="277"/>
      <c r="O9124" s="247"/>
      <c r="AC9124" s="247"/>
      <c r="AT9124" s="247"/>
    </row>
    <row r="9125">
      <c r="C9125" s="277"/>
      <c r="M9125" s="277"/>
      <c r="O9125" s="247"/>
      <c r="AC9125" s="247"/>
      <c r="AT9125" s="247"/>
    </row>
    <row r="9126">
      <c r="C9126" s="277"/>
      <c r="M9126" s="277"/>
      <c r="O9126" s="247"/>
      <c r="AC9126" s="247"/>
      <c r="AT9126" s="247"/>
    </row>
    <row r="9127">
      <c r="C9127" s="277"/>
      <c r="M9127" s="277"/>
      <c r="O9127" s="247"/>
      <c r="AC9127" s="247"/>
      <c r="AT9127" s="247"/>
    </row>
    <row r="9128">
      <c r="C9128" s="277"/>
      <c r="M9128" s="277"/>
      <c r="O9128" s="247"/>
      <c r="AC9128" s="247"/>
      <c r="AT9128" s="247"/>
    </row>
    <row r="9129">
      <c r="C9129" s="277"/>
      <c r="M9129" s="277"/>
      <c r="O9129" s="247"/>
      <c r="AC9129" s="247"/>
      <c r="AT9129" s="247"/>
    </row>
    <row r="9130">
      <c r="C9130" s="277"/>
      <c r="M9130" s="277"/>
      <c r="O9130" s="247"/>
      <c r="AC9130" s="247"/>
      <c r="AT9130" s="247"/>
    </row>
    <row r="9131">
      <c r="C9131" s="277"/>
      <c r="M9131" s="277"/>
      <c r="O9131" s="247"/>
      <c r="AC9131" s="247"/>
      <c r="AT9131" s="247"/>
    </row>
    <row r="9132">
      <c r="C9132" s="277"/>
      <c r="M9132" s="277"/>
      <c r="O9132" s="247"/>
      <c r="AC9132" s="247"/>
      <c r="AT9132" s="247"/>
    </row>
    <row r="9133">
      <c r="C9133" s="277"/>
      <c r="M9133" s="277"/>
      <c r="O9133" s="247"/>
      <c r="AC9133" s="247"/>
      <c r="AT9133" s="247"/>
    </row>
    <row r="9134">
      <c r="C9134" s="277"/>
      <c r="M9134" s="277"/>
      <c r="O9134" s="247"/>
      <c r="AC9134" s="247"/>
      <c r="AT9134" s="247"/>
    </row>
    <row r="9135">
      <c r="C9135" s="277"/>
      <c r="M9135" s="277"/>
      <c r="O9135" s="247"/>
      <c r="AC9135" s="247"/>
      <c r="AT9135" s="247"/>
    </row>
    <row r="9136">
      <c r="C9136" s="277"/>
      <c r="M9136" s="277"/>
      <c r="O9136" s="247"/>
      <c r="AC9136" s="247"/>
      <c r="AT9136" s="247"/>
    </row>
    <row r="9137">
      <c r="C9137" s="277"/>
      <c r="M9137" s="277"/>
      <c r="O9137" s="247"/>
      <c r="AC9137" s="247"/>
      <c r="AT9137" s="247"/>
    </row>
    <row r="9138">
      <c r="C9138" s="277"/>
      <c r="M9138" s="277"/>
      <c r="O9138" s="247"/>
      <c r="AC9138" s="247"/>
      <c r="AT9138" s="247"/>
    </row>
    <row r="9139">
      <c r="C9139" s="277"/>
      <c r="M9139" s="277"/>
      <c r="O9139" s="247"/>
      <c r="AC9139" s="247"/>
      <c r="AT9139" s="247"/>
    </row>
    <row r="9140">
      <c r="C9140" s="277"/>
      <c r="M9140" s="277"/>
      <c r="O9140" s="247"/>
      <c r="AC9140" s="247"/>
      <c r="AT9140" s="247"/>
    </row>
    <row r="9141">
      <c r="C9141" s="277"/>
      <c r="M9141" s="277"/>
      <c r="O9141" s="247"/>
      <c r="AC9141" s="247"/>
      <c r="AT9141" s="247"/>
    </row>
    <row r="9142">
      <c r="C9142" s="277"/>
      <c r="M9142" s="277"/>
      <c r="O9142" s="247"/>
      <c r="AC9142" s="247"/>
      <c r="AT9142" s="247"/>
    </row>
    <row r="9143">
      <c r="C9143" s="277"/>
      <c r="M9143" s="277"/>
      <c r="O9143" s="247"/>
      <c r="AC9143" s="247"/>
      <c r="AT9143" s="247"/>
    </row>
    <row r="9144">
      <c r="C9144" s="277"/>
      <c r="M9144" s="277"/>
      <c r="O9144" s="247"/>
      <c r="AC9144" s="247"/>
      <c r="AT9144" s="247"/>
    </row>
    <row r="9145">
      <c r="C9145" s="277"/>
      <c r="M9145" s="277"/>
      <c r="O9145" s="247"/>
      <c r="AC9145" s="247"/>
      <c r="AT9145" s="247"/>
    </row>
    <row r="9146">
      <c r="C9146" s="277"/>
      <c r="M9146" s="277"/>
      <c r="O9146" s="247"/>
      <c r="AC9146" s="247"/>
      <c r="AT9146" s="247"/>
    </row>
    <row r="9147">
      <c r="C9147" s="277"/>
      <c r="M9147" s="277"/>
      <c r="O9147" s="247"/>
      <c r="AC9147" s="247"/>
      <c r="AT9147" s="247"/>
    </row>
    <row r="9148">
      <c r="C9148" s="277"/>
      <c r="M9148" s="277"/>
      <c r="O9148" s="247"/>
      <c r="AC9148" s="247"/>
      <c r="AT9148" s="247"/>
    </row>
    <row r="9149">
      <c r="C9149" s="277"/>
      <c r="M9149" s="277"/>
      <c r="O9149" s="247"/>
      <c r="AC9149" s="247"/>
      <c r="AT9149" s="247"/>
    </row>
    <row r="9150">
      <c r="C9150" s="277"/>
      <c r="M9150" s="277"/>
      <c r="O9150" s="247"/>
      <c r="AC9150" s="247"/>
      <c r="AT9150" s="247"/>
    </row>
    <row r="9151">
      <c r="C9151" s="277"/>
      <c r="M9151" s="277"/>
      <c r="O9151" s="247"/>
      <c r="AC9151" s="247"/>
      <c r="AT9151" s="247"/>
    </row>
    <row r="9152">
      <c r="C9152" s="277"/>
      <c r="M9152" s="277"/>
      <c r="O9152" s="247"/>
      <c r="AC9152" s="247"/>
      <c r="AT9152" s="247"/>
    </row>
    <row r="9153">
      <c r="C9153" s="277"/>
      <c r="M9153" s="277"/>
      <c r="O9153" s="247"/>
      <c r="AC9153" s="247"/>
      <c r="AT9153" s="247"/>
    </row>
    <row r="9154">
      <c r="C9154" s="277"/>
      <c r="M9154" s="277"/>
      <c r="O9154" s="247"/>
      <c r="AC9154" s="247"/>
      <c r="AT9154" s="247"/>
    </row>
    <row r="9155">
      <c r="C9155" s="277"/>
      <c r="M9155" s="277"/>
      <c r="O9155" s="247"/>
      <c r="AC9155" s="247"/>
      <c r="AT9155" s="247"/>
    </row>
    <row r="9156">
      <c r="C9156" s="277"/>
      <c r="M9156" s="277"/>
      <c r="O9156" s="247"/>
      <c r="AC9156" s="247"/>
      <c r="AT9156" s="247"/>
    </row>
    <row r="9157">
      <c r="C9157" s="277"/>
      <c r="M9157" s="277"/>
      <c r="O9157" s="247"/>
      <c r="AC9157" s="247"/>
      <c r="AT9157" s="247"/>
    </row>
    <row r="9158">
      <c r="C9158" s="277"/>
      <c r="M9158" s="277"/>
      <c r="O9158" s="247"/>
      <c r="AC9158" s="247"/>
      <c r="AT9158" s="247"/>
    </row>
    <row r="9159">
      <c r="C9159" s="277"/>
      <c r="M9159" s="277"/>
      <c r="O9159" s="247"/>
      <c r="AC9159" s="247"/>
      <c r="AT9159" s="247"/>
    </row>
    <row r="9160">
      <c r="C9160" s="277"/>
      <c r="M9160" s="277"/>
      <c r="O9160" s="247"/>
      <c r="AC9160" s="247"/>
      <c r="AT9160" s="247"/>
    </row>
    <row r="9161">
      <c r="C9161" s="277"/>
      <c r="M9161" s="277"/>
      <c r="O9161" s="247"/>
      <c r="AC9161" s="247"/>
      <c r="AT9161" s="247"/>
    </row>
    <row r="9162">
      <c r="C9162" s="277"/>
      <c r="M9162" s="277"/>
      <c r="O9162" s="247"/>
      <c r="AC9162" s="247"/>
      <c r="AT9162" s="247"/>
    </row>
    <row r="9163">
      <c r="C9163" s="277"/>
      <c r="M9163" s="277"/>
      <c r="O9163" s="247"/>
      <c r="AC9163" s="247"/>
      <c r="AT9163" s="247"/>
    </row>
    <row r="9164">
      <c r="C9164" s="277"/>
      <c r="M9164" s="277"/>
      <c r="O9164" s="247"/>
      <c r="AC9164" s="247"/>
      <c r="AT9164" s="247"/>
    </row>
    <row r="9165">
      <c r="C9165" s="277"/>
      <c r="M9165" s="277"/>
      <c r="O9165" s="247"/>
      <c r="AC9165" s="247"/>
      <c r="AT9165" s="247"/>
    </row>
    <row r="9166">
      <c r="C9166" s="277"/>
      <c r="M9166" s="277"/>
      <c r="O9166" s="247"/>
      <c r="AC9166" s="247"/>
      <c r="AT9166" s="247"/>
    </row>
    <row r="9167">
      <c r="C9167" s="277"/>
      <c r="M9167" s="277"/>
      <c r="O9167" s="247"/>
      <c r="AC9167" s="247"/>
      <c r="AT9167" s="247"/>
    </row>
    <row r="9168">
      <c r="C9168" s="277"/>
      <c r="M9168" s="277"/>
      <c r="O9168" s="247"/>
      <c r="AC9168" s="247"/>
      <c r="AT9168" s="247"/>
    </row>
    <row r="9169">
      <c r="C9169" s="277"/>
      <c r="M9169" s="277"/>
      <c r="O9169" s="247"/>
      <c r="AC9169" s="247"/>
      <c r="AT9169" s="247"/>
    </row>
    <row r="9170">
      <c r="C9170" s="277"/>
      <c r="M9170" s="277"/>
      <c r="O9170" s="247"/>
      <c r="AC9170" s="247"/>
      <c r="AT9170" s="247"/>
    </row>
    <row r="9171">
      <c r="C9171" s="277"/>
      <c r="M9171" s="277"/>
      <c r="O9171" s="247"/>
      <c r="AC9171" s="247"/>
      <c r="AT9171" s="247"/>
    </row>
    <row r="9172">
      <c r="C9172" s="277"/>
      <c r="M9172" s="277"/>
      <c r="O9172" s="247"/>
      <c r="AC9172" s="247"/>
      <c r="AT9172" s="247"/>
    </row>
    <row r="9173">
      <c r="C9173" s="277"/>
      <c r="M9173" s="277"/>
      <c r="O9173" s="247"/>
      <c r="AC9173" s="247"/>
      <c r="AT9173" s="247"/>
    </row>
    <row r="9174">
      <c r="C9174" s="277"/>
      <c r="M9174" s="277"/>
      <c r="O9174" s="247"/>
      <c r="AC9174" s="247"/>
      <c r="AT9174" s="247"/>
    </row>
    <row r="9175">
      <c r="C9175" s="277"/>
      <c r="M9175" s="277"/>
      <c r="O9175" s="247"/>
      <c r="AC9175" s="247"/>
      <c r="AT9175" s="247"/>
    </row>
    <row r="9176">
      <c r="C9176" s="277"/>
      <c r="M9176" s="277"/>
      <c r="O9176" s="247"/>
      <c r="AC9176" s="247"/>
      <c r="AT9176" s="247"/>
    </row>
    <row r="9177">
      <c r="C9177" s="277"/>
      <c r="M9177" s="277"/>
      <c r="O9177" s="247"/>
      <c r="AC9177" s="247"/>
      <c r="AT9177" s="247"/>
    </row>
    <row r="9178">
      <c r="C9178" s="277"/>
      <c r="M9178" s="277"/>
      <c r="O9178" s="247"/>
      <c r="AC9178" s="247"/>
      <c r="AT9178" s="247"/>
    </row>
    <row r="9179">
      <c r="C9179" s="277"/>
      <c r="M9179" s="277"/>
      <c r="O9179" s="247"/>
      <c r="AC9179" s="247"/>
      <c r="AT9179" s="247"/>
    </row>
    <row r="9180">
      <c r="C9180" s="277"/>
      <c r="M9180" s="277"/>
      <c r="O9180" s="247"/>
      <c r="AC9180" s="247"/>
      <c r="AT9180" s="247"/>
    </row>
    <row r="9181">
      <c r="C9181" s="277"/>
      <c r="M9181" s="277"/>
      <c r="O9181" s="247"/>
      <c r="AC9181" s="247"/>
      <c r="AT9181" s="247"/>
    </row>
    <row r="9182">
      <c r="C9182" s="277"/>
      <c r="M9182" s="277"/>
      <c r="O9182" s="247"/>
      <c r="AC9182" s="247"/>
      <c r="AT9182" s="247"/>
    </row>
    <row r="9183">
      <c r="C9183" s="277"/>
      <c r="M9183" s="277"/>
      <c r="O9183" s="247"/>
      <c r="AC9183" s="247"/>
      <c r="AT9183" s="247"/>
    </row>
    <row r="9184">
      <c r="C9184" s="277"/>
      <c r="M9184" s="277"/>
      <c r="O9184" s="247"/>
      <c r="AC9184" s="247"/>
      <c r="AT9184" s="247"/>
    </row>
    <row r="9185">
      <c r="C9185" s="277"/>
      <c r="M9185" s="277"/>
      <c r="O9185" s="247"/>
      <c r="AC9185" s="247"/>
      <c r="AT9185" s="247"/>
    </row>
    <row r="9186">
      <c r="C9186" s="277"/>
      <c r="M9186" s="277"/>
      <c r="O9186" s="247"/>
      <c r="AC9186" s="247"/>
      <c r="AT9186" s="247"/>
    </row>
    <row r="9187">
      <c r="C9187" s="277"/>
      <c r="M9187" s="277"/>
      <c r="O9187" s="247"/>
      <c r="AC9187" s="247"/>
      <c r="AT9187" s="247"/>
    </row>
    <row r="9188">
      <c r="C9188" s="277"/>
      <c r="M9188" s="277"/>
      <c r="O9188" s="247"/>
      <c r="AC9188" s="247"/>
      <c r="AT9188" s="247"/>
    </row>
    <row r="9189">
      <c r="C9189" s="277"/>
      <c r="M9189" s="277"/>
      <c r="O9189" s="247"/>
      <c r="AC9189" s="247"/>
      <c r="AT9189" s="247"/>
    </row>
    <row r="9190">
      <c r="C9190" s="277"/>
      <c r="M9190" s="277"/>
      <c r="O9190" s="247"/>
      <c r="AC9190" s="247"/>
      <c r="AT9190" s="247"/>
    </row>
    <row r="9191">
      <c r="C9191" s="277"/>
      <c r="M9191" s="277"/>
      <c r="O9191" s="247"/>
      <c r="AC9191" s="247"/>
      <c r="AT9191" s="247"/>
    </row>
    <row r="9192">
      <c r="C9192" s="277"/>
      <c r="M9192" s="277"/>
      <c r="O9192" s="247"/>
      <c r="AC9192" s="247"/>
      <c r="AT9192" s="247"/>
    </row>
    <row r="9193">
      <c r="C9193" s="277"/>
      <c r="M9193" s="277"/>
      <c r="O9193" s="247"/>
      <c r="AC9193" s="247"/>
      <c r="AT9193" s="247"/>
    </row>
    <row r="9194">
      <c r="C9194" s="277"/>
      <c r="M9194" s="277"/>
      <c r="O9194" s="247"/>
      <c r="AC9194" s="247"/>
      <c r="AT9194" s="247"/>
    </row>
    <row r="9195">
      <c r="C9195" s="277"/>
      <c r="M9195" s="277"/>
      <c r="O9195" s="247"/>
      <c r="AC9195" s="247"/>
      <c r="AT9195" s="247"/>
    </row>
    <row r="9196">
      <c r="C9196" s="277"/>
      <c r="M9196" s="277"/>
      <c r="O9196" s="247"/>
      <c r="AC9196" s="247"/>
      <c r="AT9196" s="247"/>
    </row>
    <row r="9197">
      <c r="C9197" s="277"/>
      <c r="M9197" s="277"/>
      <c r="O9197" s="247"/>
      <c r="AC9197" s="247"/>
      <c r="AT9197" s="247"/>
    </row>
    <row r="9198">
      <c r="C9198" s="277"/>
      <c r="M9198" s="277"/>
      <c r="O9198" s="247"/>
      <c r="AC9198" s="247"/>
      <c r="AT9198" s="247"/>
    </row>
    <row r="9199">
      <c r="C9199" s="277"/>
      <c r="M9199" s="277"/>
      <c r="O9199" s="247"/>
      <c r="AC9199" s="247"/>
      <c r="AT9199" s="247"/>
    </row>
    <row r="9200">
      <c r="C9200" s="277"/>
      <c r="M9200" s="277"/>
      <c r="O9200" s="247"/>
      <c r="AC9200" s="247"/>
      <c r="AT9200" s="247"/>
    </row>
    <row r="9201">
      <c r="C9201" s="277"/>
      <c r="M9201" s="277"/>
      <c r="O9201" s="247"/>
      <c r="AC9201" s="247"/>
      <c r="AT9201" s="247"/>
    </row>
    <row r="9202">
      <c r="C9202" s="277"/>
      <c r="M9202" s="277"/>
      <c r="O9202" s="247"/>
      <c r="AC9202" s="247"/>
      <c r="AT9202" s="247"/>
    </row>
    <row r="9203">
      <c r="C9203" s="277"/>
      <c r="M9203" s="277"/>
      <c r="O9203" s="247"/>
      <c r="AC9203" s="247"/>
      <c r="AT9203" s="247"/>
    </row>
    <row r="9204">
      <c r="C9204" s="277"/>
      <c r="M9204" s="277"/>
      <c r="O9204" s="247"/>
      <c r="AC9204" s="247"/>
      <c r="AT9204" s="247"/>
    </row>
    <row r="9205">
      <c r="C9205" s="277"/>
      <c r="M9205" s="277"/>
      <c r="O9205" s="247"/>
      <c r="AC9205" s="247"/>
      <c r="AT9205" s="247"/>
    </row>
    <row r="9206">
      <c r="C9206" s="277"/>
      <c r="M9206" s="277"/>
      <c r="O9206" s="247"/>
      <c r="AC9206" s="247"/>
      <c r="AT9206" s="247"/>
    </row>
    <row r="9207">
      <c r="C9207" s="277"/>
      <c r="M9207" s="277"/>
      <c r="O9207" s="247"/>
      <c r="AC9207" s="247"/>
      <c r="AT9207" s="247"/>
    </row>
    <row r="9208">
      <c r="C9208" s="277"/>
      <c r="M9208" s="277"/>
      <c r="O9208" s="247"/>
      <c r="AC9208" s="247"/>
      <c r="AT9208" s="247"/>
    </row>
    <row r="9209">
      <c r="C9209" s="277"/>
      <c r="M9209" s="277"/>
      <c r="O9209" s="247"/>
      <c r="AC9209" s="247"/>
      <c r="AT9209" s="247"/>
    </row>
    <row r="9210">
      <c r="C9210" s="277"/>
      <c r="M9210" s="277"/>
      <c r="O9210" s="247"/>
      <c r="AC9210" s="247"/>
      <c r="AT9210" s="247"/>
    </row>
    <row r="9211">
      <c r="C9211" s="277"/>
      <c r="M9211" s="277"/>
      <c r="O9211" s="247"/>
      <c r="AC9211" s="247"/>
      <c r="AT9211" s="247"/>
    </row>
    <row r="9212">
      <c r="C9212" s="277"/>
      <c r="M9212" s="277"/>
      <c r="O9212" s="247"/>
      <c r="AC9212" s="247"/>
      <c r="AT9212" s="247"/>
    </row>
    <row r="9213">
      <c r="C9213" s="277"/>
      <c r="M9213" s="277"/>
      <c r="O9213" s="247"/>
      <c r="AC9213" s="247"/>
      <c r="AT9213" s="247"/>
    </row>
    <row r="9214">
      <c r="C9214" s="277"/>
      <c r="M9214" s="277"/>
      <c r="O9214" s="247"/>
      <c r="AC9214" s="247"/>
      <c r="AT9214" s="247"/>
    </row>
    <row r="9215">
      <c r="C9215" s="277"/>
      <c r="M9215" s="277"/>
      <c r="O9215" s="247"/>
      <c r="AC9215" s="247"/>
      <c r="AT9215" s="247"/>
    </row>
    <row r="9216">
      <c r="C9216" s="277"/>
      <c r="M9216" s="277"/>
      <c r="O9216" s="247"/>
      <c r="AC9216" s="247"/>
      <c r="AT9216" s="247"/>
    </row>
    <row r="9217">
      <c r="C9217" s="277"/>
      <c r="M9217" s="277"/>
      <c r="O9217" s="247"/>
      <c r="AC9217" s="247"/>
      <c r="AT9217" s="247"/>
    </row>
    <row r="9218">
      <c r="C9218" s="277"/>
      <c r="M9218" s="277"/>
      <c r="O9218" s="247"/>
      <c r="AC9218" s="247"/>
      <c r="AT9218" s="247"/>
    </row>
    <row r="9219">
      <c r="C9219" s="277"/>
      <c r="M9219" s="277"/>
      <c r="O9219" s="247"/>
      <c r="AC9219" s="247"/>
      <c r="AT9219" s="247"/>
    </row>
    <row r="9220">
      <c r="C9220" s="277"/>
      <c r="M9220" s="277"/>
      <c r="O9220" s="247"/>
      <c r="AC9220" s="247"/>
      <c r="AT9220" s="247"/>
    </row>
    <row r="9221">
      <c r="C9221" s="277"/>
      <c r="M9221" s="277"/>
      <c r="O9221" s="247"/>
      <c r="AC9221" s="247"/>
      <c r="AT9221" s="247"/>
    </row>
    <row r="9222">
      <c r="C9222" s="277"/>
      <c r="M9222" s="277"/>
      <c r="O9222" s="247"/>
      <c r="AC9222" s="247"/>
      <c r="AT9222" s="247"/>
    </row>
    <row r="9223">
      <c r="C9223" s="277"/>
      <c r="M9223" s="277"/>
      <c r="O9223" s="247"/>
      <c r="AC9223" s="247"/>
      <c r="AT9223" s="247"/>
    </row>
    <row r="9224">
      <c r="C9224" s="277"/>
      <c r="M9224" s="277"/>
      <c r="O9224" s="247"/>
      <c r="AC9224" s="247"/>
      <c r="AT9224" s="247"/>
    </row>
    <row r="9225">
      <c r="C9225" s="277"/>
      <c r="M9225" s="277"/>
      <c r="O9225" s="247"/>
      <c r="AC9225" s="247"/>
      <c r="AT9225" s="247"/>
    </row>
    <row r="9226">
      <c r="C9226" s="277"/>
      <c r="M9226" s="277"/>
      <c r="O9226" s="247"/>
      <c r="AC9226" s="247"/>
      <c r="AT9226" s="247"/>
    </row>
    <row r="9227">
      <c r="C9227" s="277"/>
      <c r="M9227" s="277"/>
      <c r="O9227" s="247"/>
      <c r="AC9227" s="247"/>
      <c r="AT9227" s="247"/>
    </row>
    <row r="9228">
      <c r="C9228" s="277"/>
      <c r="M9228" s="277"/>
      <c r="O9228" s="247"/>
      <c r="AC9228" s="247"/>
      <c r="AT9228" s="247"/>
    </row>
    <row r="9229">
      <c r="C9229" s="277"/>
      <c r="M9229" s="277"/>
      <c r="O9229" s="247"/>
      <c r="AC9229" s="247"/>
      <c r="AT9229" s="247"/>
    </row>
    <row r="9230">
      <c r="C9230" s="277"/>
      <c r="M9230" s="277"/>
      <c r="O9230" s="247"/>
      <c r="AC9230" s="247"/>
      <c r="AT9230" s="247"/>
    </row>
    <row r="9231">
      <c r="C9231" s="277"/>
      <c r="M9231" s="277"/>
      <c r="O9231" s="247"/>
      <c r="AC9231" s="247"/>
      <c r="AT9231" s="247"/>
    </row>
    <row r="9232">
      <c r="C9232" s="277"/>
      <c r="M9232" s="277"/>
      <c r="O9232" s="247"/>
      <c r="AC9232" s="247"/>
      <c r="AT9232" s="247"/>
    </row>
    <row r="9233">
      <c r="C9233" s="277"/>
      <c r="M9233" s="277"/>
      <c r="O9233" s="247"/>
      <c r="AC9233" s="247"/>
      <c r="AT9233" s="247"/>
    </row>
    <row r="9234">
      <c r="C9234" s="277"/>
      <c r="M9234" s="277"/>
      <c r="O9234" s="247"/>
      <c r="AC9234" s="247"/>
      <c r="AT9234" s="247"/>
    </row>
    <row r="9235">
      <c r="C9235" s="277"/>
      <c r="M9235" s="277"/>
      <c r="O9235" s="247"/>
      <c r="AC9235" s="247"/>
      <c r="AT9235" s="247"/>
    </row>
    <row r="9236">
      <c r="C9236" s="277"/>
      <c r="M9236" s="277"/>
      <c r="O9236" s="247"/>
      <c r="AC9236" s="247"/>
      <c r="AT9236" s="247"/>
    </row>
    <row r="9237">
      <c r="C9237" s="277"/>
      <c r="M9237" s="277"/>
      <c r="O9237" s="247"/>
      <c r="AC9237" s="247"/>
      <c r="AT9237" s="247"/>
    </row>
    <row r="9238">
      <c r="C9238" s="277"/>
      <c r="M9238" s="277"/>
      <c r="O9238" s="247"/>
      <c r="AC9238" s="247"/>
      <c r="AT9238" s="247"/>
    </row>
    <row r="9239">
      <c r="C9239" s="277"/>
      <c r="M9239" s="277"/>
      <c r="O9239" s="247"/>
      <c r="AC9239" s="247"/>
      <c r="AT9239" s="247"/>
    </row>
    <row r="9240">
      <c r="C9240" s="277"/>
      <c r="M9240" s="277"/>
      <c r="O9240" s="247"/>
      <c r="AC9240" s="247"/>
      <c r="AT9240" s="247"/>
    </row>
    <row r="9241">
      <c r="C9241" s="277"/>
      <c r="M9241" s="277"/>
      <c r="O9241" s="247"/>
      <c r="AC9241" s="247"/>
      <c r="AT9241" s="247"/>
    </row>
    <row r="9242">
      <c r="C9242" s="277"/>
      <c r="M9242" s="277"/>
      <c r="O9242" s="247"/>
      <c r="AC9242" s="247"/>
      <c r="AT9242" s="247"/>
    </row>
    <row r="9243">
      <c r="C9243" s="277"/>
      <c r="M9243" s="277"/>
      <c r="O9243" s="247"/>
      <c r="AC9243" s="247"/>
      <c r="AT9243" s="247"/>
    </row>
    <row r="9244">
      <c r="C9244" s="277"/>
      <c r="M9244" s="277"/>
      <c r="O9244" s="247"/>
      <c r="AC9244" s="247"/>
      <c r="AT9244" s="247"/>
    </row>
    <row r="9245">
      <c r="C9245" s="277"/>
      <c r="M9245" s="277"/>
      <c r="O9245" s="247"/>
      <c r="AC9245" s="247"/>
      <c r="AT9245" s="247"/>
    </row>
    <row r="9246">
      <c r="C9246" s="277"/>
      <c r="M9246" s="277"/>
      <c r="O9246" s="247"/>
      <c r="AC9246" s="247"/>
      <c r="AT9246" s="247"/>
    </row>
    <row r="9247">
      <c r="C9247" s="277"/>
      <c r="M9247" s="277"/>
      <c r="O9247" s="247"/>
      <c r="AC9247" s="247"/>
      <c r="AT9247" s="247"/>
    </row>
    <row r="9248">
      <c r="C9248" s="277"/>
      <c r="M9248" s="277"/>
      <c r="O9248" s="247"/>
      <c r="AC9248" s="247"/>
      <c r="AT9248" s="247"/>
    </row>
    <row r="9249">
      <c r="C9249" s="277"/>
      <c r="M9249" s="277"/>
      <c r="O9249" s="247"/>
      <c r="AC9249" s="247"/>
      <c r="AT9249" s="247"/>
    </row>
    <row r="9250">
      <c r="C9250" s="277"/>
      <c r="M9250" s="277"/>
      <c r="O9250" s="247"/>
      <c r="AC9250" s="247"/>
      <c r="AT9250" s="247"/>
    </row>
    <row r="9251">
      <c r="C9251" s="277"/>
      <c r="M9251" s="277"/>
      <c r="O9251" s="247"/>
      <c r="AC9251" s="247"/>
      <c r="AT9251" s="247"/>
    </row>
    <row r="9252">
      <c r="C9252" s="277"/>
      <c r="M9252" s="277"/>
      <c r="O9252" s="247"/>
      <c r="AC9252" s="247"/>
      <c r="AT9252" s="247"/>
    </row>
    <row r="9253">
      <c r="C9253" s="277"/>
      <c r="M9253" s="277"/>
      <c r="O9253" s="247"/>
      <c r="AC9253" s="247"/>
      <c r="AT9253" s="247"/>
    </row>
    <row r="9254">
      <c r="C9254" s="277"/>
      <c r="M9254" s="277"/>
      <c r="O9254" s="247"/>
      <c r="AC9254" s="247"/>
      <c r="AT9254" s="247"/>
    </row>
    <row r="9255">
      <c r="C9255" s="277"/>
      <c r="M9255" s="277"/>
      <c r="O9255" s="247"/>
      <c r="AC9255" s="247"/>
      <c r="AT9255" s="247"/>
    </row>
    <row r="9256">
      <c r="C9256" s="277"/>
      <c r="M9256" s="277"/>
      <c r="O9256" s="247"/>
      <c r="AC9256" s="247"/>
      <c r="AT9256" s="247"/>
    </row>
    <row r="9257">
      <c r="C9257" s="277"/>
      <c r="M9257" s="277"/>
      <c r="O9257" s="247"/>
      <c r="AC9257" s="247"/>
      <c r="AT9257" s="247"/>
    </row>
    <row r="9258">
      <c r="C9258" s="277"/>
      <c r="M9258" s="277"/>
      <c r="O9258" s="247"/>
      <c r="AC9258" s="247"/>
      <c r="AT9258" s="247"/>
    </row>
    <row r="9259">
      <c r="C9259" s="277"/>
      <c r="M9259" s="277"/>
      <c r="O9259" s="247"/>
      <c r="AC9259" s="247"/>
      <c r="AT9259" s="247"/>
    </row>
    <row r="9260">
      <c r="C9260" s="277"/>
      <c r="M9260" s="277"/>
      <c r="O9260" s="247"/>
      <c r="AC9260" s="247"/>
      <c r="AT9260" s="247"/>
    </row>
    <row r="9261">
      <c r="C9261" s="277"/>
      <c r="M9261" s="277"/>
      <c r="O9261" s="247"/>
      <c r="AC9261" s="247"/>
      <c r="AT9261" s="247"/>
    </row>
    <row r="9262">
      <c r="C9262" s="277"/>
      <c r="M9262" s="277"/>
      <c r="O9262" s="247"/>
      <c r="AC9262" s="247"/>
      <c r="AT9262" s="247"/>
    </row>
    <row r="9263">
      <c r="C9263" s="277"/>
      <c r="M9263" s="277"/>
      <c r="O9263" s="247"/>
      <c r="AC9263" s="247"/>
      <c r="AT9263" s="247"/>
    </row>
    <row r="9264">
      <c r="C9264" s="277"/>
      <c r="M9264" s="277"/>
      <c r="O9264" s="247"/>
      <c r="AC9264" s="247"/>
      <c r="AT9264" s="247"/>
    </row>
    <row r="9265">
      <c r="C9265" s="277"/>
      <c r="M9265" s="277"/>
      <c r="O9265" s="247"/>
      <c r="AC9265" s="247"/>
      <c r="AT9265" s="247"/>
    </row>
    <row r="9266">
      <c r="C9266" s="277"/>
      <c r="M9266" s="277"/>
      <c r="O9266" s="247"/>
      <c r="AC9266" s="247"/>
      <c r="AT9266" s="247"/>
    </row>
    <row r="9267">
      <c r="C9267" s="277"/>
      <c r="M9267" s="277"/>
      <c r="O9267" s="247"/>
      <c r="AC9267" s="247"/>
      <c r="AT9267" s="247"/>
    </row>
    <row r="9268">
      <c r="C9268" s="277"/>
      <c r="M9268" s="277"/>
      <c r="O9268" s="247"/>
      <c r="AC9268" s="247"/>
      <c r="AT9268" s="247"/>
    </row>
    <row r="9269">
      <c r="C9269" s="277"/>
      <c r="M9269" s="277"/>
      <c r="O9269" s="247"/>
      <c r="AC9269" s="247"/>
      <c r="AT9269" s="247"/>
    </row>
    <row r="9270">
      <c r="C9270" s="277"/>
      <c r="M9270" s="277"/>
      <c r="O9270" s="247"/>
      <c r="AC9270" s="247"/>
      <c r="AT9270" s="247"/>
    </row>
    <row r="9271">
      <c r="C9271" s="277"/>
      <c r="M9271" s="277"/>
      <c r="O9271" s="247"/>
      <c r="AC9271" s="247"/>
      <c r="AT9271" s="247"/>
    </row>
    <row r="9272">
      <c r="C9272" s="277"/>
      <c r="M9272" s="277"/>
      <c r="O9272" s="247"/>
      <c r="AC9272" s="247"/>
      <c r="AT9272" s="247"/>
    </row>
    <row r="9273">
      <c r="C9273" s="277"/>
      <c r="M9273" s="277"/>
      <c r="O9273" s="247"/>
      <c r="AC9273" s="247"/>
      <c r="AT9273" s="247"/>
    </row>
    <row r="9274">
      <c r="C9274" s="277"/>
      <c r="M9274" s="277"/>
      <c r="O9274" s="247"/>
      <c r="AC9274" s="247"/>
      <c r="AT9274" s="247"/>
    </row>
    <row r="9275">
      <c r="C9275" s="277"/>
      <c r="M9275" s="277"/>
      <c r="O9275" s="247"/>
      <c r="AC9275" s="247"/>
      <c r="AT9275" s="247"/>
    </row>
    <row r="9276">
      <c r="C9276" s="277"/>
      <c r="M9276" s="277"/>
      <c r="O9276" s="247"/>
      <c r="AC9276" s="247"/>
      <c r="AT9276" s="247"/>
    </row>
    <row r="9277">
      <c r="C9277" s="277"/>
      <c r="M9277" s="277"/>
      <c r="O9277" s="247"/>
      <c r="AC9277" s="247"/>
      <c r="AT9277" s="247"/>
    </row>
    <row r="9278">
      <c r="C9278" s="277"/>
      <c r="M9278" s="277"/>
      <c r="O9278" s="247"/>
      <c r="AC9278" s="247"/>
      <c r="AT9278" s="247"/>
    </row>
    <row r="9279">
      <c r="C9279" s="277"/>
      <c r="M9279" s="277"/>
      <c r="O9279" s="247"/>
      <c r="AC9279" s="247"/>
      <c r="AT9279" s="247"/>
    </row>
    <row r="9280">
      <c r="C9280" s="277"/>
      <c r="M9280" s="277"/>
      <c r="O9280" s="247"/>
      <c r="AC9280" s="247"/>
      <c r="AT9280" s="247"/>
    </row>
    <row r="9281">
      <c r="C9281" s="277"/>
      <c r="M9281" s="277"/>
      <c r="O9281" s="247"/>
      <c r="AC9281" s="247"/>
      <c r="AT9281" s="247"/>
    </row>
    <row r="9282">
      <c r="C9282" s="277"/>
      <c r="M9282" s="277"/>
      <c r="O9282" s="247"/>
      <c r="AC9282" s="247"/>
      <c r="AT9282" s="247"/>
    </row>
    <row r="9283">
      <c r="C9283" s="277"/>
      <c r="M9283" s="277"/>
      <c r="O9283" s="247"/>
      <c r="AC9283" s="247"/>
      <c r="AT9283" s="247"/>
    </row>
    <row r="9284">
      <c r="C9284" s="277"/>
      <c r="M9284" s="277"/>
      <c r="O9284" s="247"/>
      <c r="AC9284" s="247"/>
      <c r="AT9284" s="247"/>
    </row>
    <row r="9285">
      <c r="C9285" s="277"/>
      <c r="M9285" s="277"/>
      <c r="O9285" s="247"/>
      <c r="AC9285" s="247"/>
      <c r="AT9285" s="247"/>
    </row>
    <row r="9286">
      <c r="C9286" s="277"/>
      <c r="M9286" s="277"/>
      <c r="O9286" s="247"/>
      <c r="AC9286" s="247"/>
      <c r="AT9286" s="247"/>
    </row>
    <row r="9287">
      <c r="C9287" s="277"/>
      <c r="M9287" s="277"/>
      <c r="O9287" s="247"/>
      <c r="AC9287" s="247"/>
      <c r="AT9287" s="247"/>
    </row>
    <row r="9288">
      <c r="C9288" s="277"/>
      <c r="M9288" s="277"/>
      <c r="O9288" s="247"/>
      <c r="AC9288" s="247"/>
      <c r="AT9288" s="247"/>
    </row>
    <row r="9289">
      <c r="C9289" s="277"/>
      <c r="M9289" s="277"/>
      <c r="O9289" s="247"/>
      <c r="AC9289" s="247"/>
      <c r="AT9289" s="247"/>
    </row>
    <row r="9290">
      <c r="C9290" s="277"/>
      <c r="M9290" s="277"/>
      <c r="O9290" s="247"/>
      <c r="AC9290" s="247"/>
      <c r="AT9290" s="247"/>
    </row>
    <row r="9291">
      <c r="C9291" s="277"/>
      <c r="M9291" s="277"/>
      <c r="O9291" s="247"/>
      <c r="AC9291" s="247"/>
      <c r="AT9291" s="247"/>
    </row>
    <row r="9292">
      <c r="C9292" s="277"/>
      <c r="M9292" s="277"/>
      <c r="O9292" s="247"/>
      <c r="AC9292" s="247"/>
      <c r="AT9292" s="247"/>
    </row>
    <row r="9293">
      <c r="C9293" s="277"/>
      <c r="M9293" s="277"/>
      <c r="O9293" s="247"/>
      <c r="AC9293" s="247"/>
      <c r="AT9293" s="247"/>
    </row>
    <row r="9294">
      <c r="C9294" s="277"/>
      <c r="M9294" s="277"/>
      <c r="O9294" s="247"/>
      <c r="AC9294" s="247"/>
      <c r="AT9294" s="247"/>
    </row>
    <row r="9295">
      <c r="C9295" s="277"/>
      <c r="M9295" s="277"/>
      <c r="O9295" s="247"/>
      <c r="AC9295" s="247"/>
      <c r="AT9295" s="247"/>
    </row>
    <row r="9296">
      <c r="C9296" s="277"/>
      <c r="M9296" s="277"/>
      <c r="O9296" s="247"/>
      <c r="AC9296" s="247"/>
      <c r="AT9296" s="247"/>
    </row>
    <row r="9297">
      <c r="C9297" s="277"/>
      <c r="M9297" s="277"/>
      <c r="O9297" s="247"/>
      <c r="AC9297" s="247"/>
      <c r="AT9297" s="247"/>
    </row>
    <row r="9298">
      <c r="C9298" s="277"/>
      <c r="M9298" s="277"/>
      <c r="O9298" s="247"/>
      <c r="AC9298" s="247"/>
      <c r="AT9298" s="247"/>
    </row>
    <row r="9299">
      <c r="C9299" s="277"/>
      <c r="M9299" s="277"/>
      <c r="O9299" s="247"/>
      <c r="AC9299" s="247"/>
      <c r="AT9299" s="247"/>
    </row>
    <row r="9300">
      <c r="C9300" s="277"/>
      <c r="M9300" s="277"/>
      <c r="O9300" s="247"/>
      <c r="AC9300" s="247"/>
      <c r="AT9300" s="247"/>
    </row>
    <row r="9301">
      <c r="C9301" s="277"/>
      <c r="M9301" s="277"/>
      <c r="O9301" s="247"/>
      <c r="AC9301" s="247"/>
      <c r="AT9301" s="247"/>
    </row>
    <row r="9302">
      <c r="C9302" s="277"/>
      <c r="M9302" s="277"/>
      <c r="O9302" s="247"/>
      <c r="AC9302" s="247"/>
      <c r="AT9302" s="247"/>
    </row>
    <row r="9303">
      <c r="C9303" s="277"/>
      <c r="M9303" s="277"/>
      <c r="O9303" s="247"/>
      <c r="AC9303" s="247"/>
      <c r="AT9303" s="247"/>
    </row>
    <row r="9304">
      <c r="C9304" s="277"/>
      <c r="M9304" s="277"/>
      <c r="O9304" s="247"/>
      <c r="AC9304" s="247"/>
      <c r="AT9304" s="247"/>
    </row>
    <row r="9305">
      <c r="C9305" s="277"/>
      <c r="M9305" s="277"/>
      <c r="O9305" s="247"/>
      <c r="AC9305" s="247"/>
      <c r="AT9305" s="247"/>
    </row>
    <row r="9306">
      <c r="C9306" s="277"/>
      <c r="M9306" s="277"/>
      <c r="O9306" s="247"/>
      <c r="AC9306" s="247"/>
      <c r="AT9306" s="247"/>
    </row>
    <row r="9307">
      <c r="C9307" s="277"/>
      <c r="M9307" s="277"/>
      <c r="O9307" s="247"/>
      <c r="AC9307" s="247"/>
      <c r="AT9307" s="247"/>
    </row>
    <row r="9308">
      <c r="C9308" s="277"/>
      <c r="M9308" s="277"/>
      <c r="O9308" s="247"/>
      <c r="AC9308" s="247"/>
      <c r="AT9308" s="247"/>
    </row>
    <row r="9309">
      <c r="C9309" s="277"/>
      <c r="M9309" s="277"/>
      <c r="O9309" s="247"/>
      <c r="AC9309" s="247"/>
      <c r="AT9309" s="247"/>
    </row>
    <row r="9310">
      <c r="C9310" s="277"/>
      <c r="M9310" s="277"/>
      <c r="O9310" s="247"/>
      <c r="AC9310" s="247"/>
      <c r="AT9310" s="247"/>
    </row>
    <row r="9311">
      <c r="C9311" s="277"/>
      <c r="M9311" s="277"/>
      <c r="O9311" s="247"/>
      <c r="AC9311" s="247"/>
      <c r="AT9311" s="247"/>
    </row>
    <row r="9312">
      <c r="C9312" s="277"/>
      <c r="M9312" s="277"/>
      <c r="O9312" s="247"/>
      <c r="AC9312" s="247"/>
      <c r="AT9312" s="247"/>
    </row>
    <row r="9313">
      <c r="C9313" s="277"/>
      <c r="M9313" s="277"/>
      <c r="O9313" s="247"/>
      <c r="AC9313" s="247"/>
      <c r="AT9313" s="247"/>
    </row>
    <row r="9314">
      <c r="C9314" s="277"/>
      <c r="M9314" s="277"/>
      <c r="O9314" s="247"/>
      <c r="AC9314" s="247"/>
      <c r="AT9314" s="247"/>
    </row>
    <row r="9315">
      <c r="C9315" s="277"/>
      <c r="M9315" s="277"/>
      <c r="O9315" s="247"/>
      <c r="AC9315" s="247"/>
      <c r="AT9315" s="247"/>
    </row>
    <row r="9316">
      <c r="C9316" s="277"/>
      <c r="M9316" s="277"/>
      <c r="O9316" s="247"/>
      <c r="AC9316" s="247"/>
      <c r="AT9316" s="247"/>
    </row>
    <row r="9317">
      <c r="C9317" s="277"/>
      <c r="M9317" s="277"/>
      <c r="O9317" s="247"/>
      <c r="AC9317" s="247"/>
      <c r="AT9317" s="247"/>
    </row>
    <row r="9318">
      <c r="C9318" s="277"/>
      <c r="M9318" s="277"/>
      <c r="O9318" s="247"/>
      <c r="AC9318" s="247"/>
      <c r="AT9318" s="247"/>
    </row>
    <row r="9319">
      <c r="C9319" s="277"/>
      <c r="M9319" s="277"/>
      <c r="O9319" s="247"/>
      <c r="AC9319" s="247"/>
      <c r="AT9319" s="247"/>
    </row>
    <row r="9320">
      <c r="C9320" s="277"/>
      <c r="M9320" s="277"/>
      <c r="O9320" s="247"/>
      <c r="AC9320" s="247"/>
      <c r="AT9320" s="247"/>
    </row>
    <row r="9321">
      <c r="C9321" s="277"/>
      <c r="M9321" s="277"/>
      <c r="O9321" s="247"/>
      <c r="AC9321" s="247"/>
      <c r="AT9321" s="247"/>
    </row>
    <row r="9322">
      <c r="C9322" s="277"/>
      <c r="M9322" s="277"/>
      <c r="O9322" s="247"/>
      <c r="AC9322" s="247"/>
      <c r="AT9322" s="247"/>
    </row>
    <row r="9323">
      <c r="C9323" s="277"/>
      <c r="M9323" s="277"/>
      <c r="O9323" s="247"/>
      <c r="AC9323" s="247"/>
      <c r="AT9323" s="247"/>
    </row>
    <row r="9324">
      <c r="C9324" s="277"/>
      <c r="M9324" s="277"/>
      <c r="O9324" s="247"/>
      <c r="AC9324" s="247"/>
      <c r="AT9324" s="247"/>
    </row>
    <row r="9325">
      <c r="C9325" s="277"/>
      <c r="M9325" s="277"/>
      <c r="O9325" s="247"/>
      <c r="AC9325" s="247"/>
      <c r="AT9325" s="247"/>
    </row>
    <row r="9326">
      <c r="C9326" s="277"/>
      <c r="M9326" s="277"/>
      <c r="O9326" s="247"/>
      <c r="AC9326" s="247"/>
      <c r="AT9326" s="247"/>
    </row>
    <row r="9327">
      <c r="C9327" s="277"/>
      <c r="M9327" s="277"/>
      <c r="O9327" s="247"/>
      <c r="AC9327" s="247"/>
      <c r="AT9327" s="247"/>
    </row>
    <row r="9328">
      <c r="C9328" s="277"/>
      <c r="M9328" s="277"/>
      <c r="O9328" s="247"/>
      <c r="AC9328" s="247"/>
      <c r="AT9328" s="247"/>
    </row>
    <row r="9329">
      <c r="C9329" s="277"/>
      <c r="M9329" s="277"/>
      <c r="O9329" s="247"/>
      <c r="AC9329" s="247"/>
      <c r="AT9329" s="247"/>
    </row>
    <row r="9330">
      <c r="C9330" s="277"/>
      <c r="M9330" s="277"/>
      <c r="O9330" s="247"/>
      <c r="AC9330" s="247"/>
      <c r="AT9330" s="247"/>
    </row>
    <row r="9331">
      <c r="C9331" s="277"/>
      <c r="M9331" s="277"/>
      <c r="O9331" s="247"/>
      <c r="AC9331" s="247"/>
      <c r="AT9331" s="247"/>
    </row>
    <row r="9332">
      <c r="C9332" s="277"/>
      <c r="M9332" s="277"/>
      <c r="O9332" s="247"/>
      <c r="AC9332" s="247"/>
      <c r="AT9332" s="247"/>
    </row>
    <row r="9333">
      <c r="C9333" s="277"/>
      <c r="M9333" s="277"/>
      <c r="O9333" s="247"/>
      <c r="AC9333" s="247"/>
      <c r="AT9333" s="247"/>
    </row>
    <row r="9334">
      <c r="C9334" s="277"/>
      <c r="M9334" s="277"/>
      <c r="O9334" s="247"/>
      <c r="AC9334" s="247"/>
      <c r="AT9334" s="247"/>
    </row>
    <row r="9335">
      <c r="C9335" s="277"/>
      <c r="M9335" s="277"/>
      <c r="O9335" s="247"/>
      <c r="AC9335" s="247"/>
      <c r="AT9335" s="247"/>
    </row>
    <row r="9336">
      <c r="C9336" s="277"/>
      <c r="M9336" s="277"/>
      <c r="O9336" s="247"/>
      <c r="AC9336" s="247"/>
      <c r="AT9336" s="247"/>
    </row>
    <row r="9337">
      <c r="C9337" s="277"/>
      <c r="M9337" s="277"/>
      <c r="O9337" s="247"/>
      <c r="AC9337" s="247"/>
      <c r="AT9337" s="247"/>
    </row>
    <row r="9338">
      <c r="C9338" s="277"/>
      <c r="M9338" s="277"/>
      <c r="O9338" s="247"/>
      <c r="AC9338" s="247"/>
      <c r="AT9338" s="247"/>
    </row>
    <row r="9339">
      <c r="C9339" s="277"/>
      <c r="M9339" s="277"/>
      <c r="O9339" s="247"/>
      <c r="AC9339" s="247"/>
      <c r="AT9339" s="247"/>
    </row>
    <row r="9340">
      <c r="C9340" s="277"/>
      <c r="M9340" s="277"/>
      <c r="O9340" s="247"/>
      <c r="AC9340" s="247"/>
      <c r="AT9340" s="247"/>
    </row>
    <row r="9341">
      <c r="C9341" s="277"/>
      <c r="M9341" s="277"/>
      <c r="O9341" s="247"/>
      <c r="AC9341" s="247"/>
      <c r="AT9341" s="247"/>
    </row>
    <row r="9342">
      <c r="C9342" s="277"/>
      <c r="M9342" s="277"/>
      <c r="O9342" s="247"/>
      <c r="AC9342" s="247"/>
      <c r="AT9342" s="247"/>
    </row>
    <row r="9343">
      <c r="C9343" s="277"/>
      <c r="M9343" s="277"/>
      <c r="O9343" s="247"/>
      <c r="AC9343" s="247"/>
      <c r="AT9343" s="247"/>
    </row>
    <row r="9344">
      <c r="C9344" s="277"/>
      <c r="M9344" s="277"/>
      <c r="O9344" s="247"/>
      <c r="AC9344" s="247"/>
      <c r="AT9344" s="247"/>
    </row>
    <row r="9345">
      <c r="C9345" s="277"/>
      <c r="M9345" s="277"/>
      <c r="O9345" s="247"/>
      <c r="AC9345" s="247"/>
      <c r="AT9345" s="247"/>
    </row>
    <row r="9346">
      <c r="C9346" s="277"/>
      <c r="M9346" s="277"/>
      <c r="O9346" s="247"/>
      <c r="AC9346" s="247"/>
      <c r="AT9346" s="247"/>
    </row>
    <row r="9347">
      <c r="C9347" s="277"/>
      <c r="M9347" s="277"/>
      <c r="O9347" s="247"/>
      <c r="AC9347" s="247"/>
      <c r="AT9347" s="247"/>
    </row>
    <row r="9348">
      <c r="C9348" s="277"/>
      <c r="M9348" s="277"/>
      <c r="O9348" s="247"/>
      <c r="AC9348" s="247"/>
      <c r="AT9348" s="247"/>
    </row>
    <row r="9349">
      <c r="C9349" s="277"/>
      <c r="M9349" s="277"/>
      <c r="O9349" s="247"/>
      <c r="AC9349" s="247"/>
      <c r="AT9349" s="247"/>
    </row>
    <row r="9350">
      <c r="C9350" s="277"/>
      <c r="M9350" s="277"/>
      <c r="O9350" s="247"/>
      <c r="AC9350" s="247"/>
      <c r="AT9350" s="247"/>
    </row>
    <row r="9351">
      <c r="C9351" s="277"/>
      <c r="M9351" s="277"/>
      <c r="O9351" s="247"/>
      <c r="AC9351" s="247"/>
      <c r="AT9351" s="247"/>
    </row>
    <row r="9352">
      <c r="C9352" s="277"/>
      <c r="M9352" s="277"/>
      <c r="O9352" s="247"/>
      <c r="AC9352" s="247"/>
      <c r="AT9352" s="247"/>
    </row>
    <row r="9353">
      <c r="C9353" s="277"/>
      <c r="M9353" s="277"/>
      <c r="O9353" s="247"/>
      <c r="AC9353" s="247"/>
      <c r="AT9353" s="247"/>
    </row>
    <row r="9354">
      <c r="C9354" s="277"/>
      <c r="M9354" s="277"/>
      <c r="O9354" s="247"/>
      <c r="AC9354" s="247"/>
      <c r="AT9354" s="247"/>
    </row>
    <row r="9355">
      <c r="C9355" s="277"/>
      <c r="M9355" s="277"/>
      <c r="O9355" s="247"/>
      <c r="AC9355" s="247"/>
      <c r="AT9355" s="247"/>
    </row>
    <row r="9356">
      <c r="C9356" s="277"/>
      <c r="M9356" s="277"/>
      <c r="O9356" s="247"/>
      <c r="AC9356" s="247"/>
      <c r="AT9356" s="247"/>
    </row>
    <row r="9357">
      <c r="C9357" s="277"/>
      <c r="M9357" s="277"/>
      <c r="O9357" s="247"/>
      <c r="AC9357" s="247"/>
      <c r="AT9357" s="247"/>
    </row>
    <row r="9358">
      <c r="C9358" s="277"/>
      <c r="M9358" s="277"/>
      <c r="O9358" s="247"/>
      <c r="AC9358" s="247"/>
      <c r="AT9358" s="247"/>
    </row>
    <row r="9359">
      <c r="C9359" s="277"/>
      <c r="M9359" s="277"/>
      <c r="O9359" s="247"/>
      <c r="AC9359" s="247"/>
      <c r="AT9359" s="247"/>
    </row>
    <row r="9360">
      <c r="C9360" s="277"/>
      <c r="M9360" s="277"/>
      <c r="O9360" s="247"/>
      <c r="AC9360" s="247"/>
      <c r="AT9360" s="247"/>
    </row>
    <row r="9361">
      <c r="C9361" s="277"/>
      <c r="M9361" s="277"/>
      <c r="O9361" s="247"/>
      <c r="AC9361" s="247"/>
      <c r="AT9361" s="247"/>
    </row>
    <row r="9362">
      <c r="C9362" s="277"/>
      <c r="M9362" s="277"/>
      <c r="O9362" s="247"/>
      <c r="AC9362" s="247"/>
      <c r="AT9362" s="247"/>
    </row>
    <row r="9363">
      <c r="C9363" s="277"/>
      <c r="M9363" s="277"/>
      <c r="O9363" s="247"/>
      <c r="AC9363" s="247"/>
      <c r="AT9363" s="247"/>
    </row>
    <row r="9364">
      <c r="C9364" s="277"/>
      <c r="M9364" s="277"/>
      <c r="O9364" s="247"/>
      <c r="AC9364" s="247"/>
      <c r="AT9364" s="247"/>
    </row>
    <row r="9365">
      <c r="C9365" s="277"/>
      <c r="M9365" s="277"/>
      <c r="O9365" s="247"/>
      <c r="AC9365" s="247"/>
      <c r="AT9365" s="247"/>
    </row>
    <row r="9366">
      <c r="C9366" s="277"/>
      <c r="M9366" s="277"/>
      <c r="O9366" s="247"/>
      <c r="AC9366" s="247"/>
      <c r="AT9366" s="247"/>
    </row>
    <row r="9367">
      <c r="C9367" s="277"/>
      <c r="M9367" s="277"/>
      <c r="O9367" s="247"/>
      <c r="AC9367" s="247"/>
      <c r="AT9367" s="247"/>
    </row>
    <row r="9368">
      <c r="C9368" s="277"/>
      <c r="M9368" s="277"/>
      <c r="O9368" s="247"/>
      <c r="AC9368" s="247"/>
      <c r="AT9368" s="247"/>
    </row>
    <row r="9369">
      <c r="C9369" s="277"/>
      <c r="M9369" s="277"/>
      <c r="O9369" s="247"/>
      <c r="AC9369" s="247"/>
      <c r="AT9369" s="247"/>
    </row>
    <row r="9370">
      <c r="C9370" s="277"/>
      <c r="M9370" s="277"/>
      <c r="O9370" s="247"/>
      <c r="AC9370" s="247"/>
      <c r="AT9370" s="247"/>
    </row>
    <row r="9371">
      <c r="C9371" s="277"/>
      <c r="M9371" s="277"/>
      <c r="O9371" s="247"/>
      <c r="AC9371" s="247"/>
      <c r="AT9371" s="247"/>
    </row>
    <row r="9372">
      <c r="C9372" s="277"/>
      <c r="M9372" s="277"/>
      <c r="O9372" s="247"/>
      <c r="AC9372" s="247"/>
      <c r="AT9372" s="247"/>
    </row>
    <row r="9373">
      <c r="C9373" s="277"/>
      <c r="M9373" s="277"/>
      <c r="O9373" s="247"/>
      <c r="AC9373" s="247"/>
      <c r="AT9373" s="247"/>
    </row>
    <row r="9374">
      <c r="C9374" s="277"/>
      <c r="M9374" s="277"/>
      <c r="O9374" s="247"/>
      <c r="AC9374" s="247"/>
      <c r="AT9374" s="247"/>
    </row>
    <row r="9375">
      <c r="C9375" s="277"/>
      <c r="M9375" s="277"/>
      <c r="O9375" s="247"/>
      <c r="AC9375" s="247"/>
      <c r="AT9375" s="247"/>
    </row>
    <row r="9376">
      <c r="C9376" s="277"/>
      <c r="M9376" s="277"/>
      <c r="O9376" s="247"/>
      <c r="AC9376" s="247"/>
      <c r="AT9376" s="247"/>
    </row>
    <row r="9377">
      <c r="C9377" s="277"/>
      <c r="M9377" s="277"/>
      <c r="O9377" s="247"/>
      <c r="AC9377" s="247"/>
      <c r="AT9377" s="247"/>
    </row>
    <row r="9378">
      <c r="C9378" s="277"/>
      <c r="M9378" s="277"/>
      <c r="O9378" s="247"/>
      <c r="AC9378" s="247"/>
      <c r="AT9378" s="247"/>
    </row>
    <row r="9379">
      <c r="C9379" s="277"/>
      <c r="M9379" s="277"/>
      <c r="O9379" s="247"/>
      <c r="AC9379" s="247"/>
      <c r="AT9379" s="247"/>
    </row>
    <row r="9380">
      <c r="C9380" s="277"/>
      <c r="M9380" s="277"/>
      <c r="O9380" s="247"/>
      <c r="AC9380" s="247"/>
      <c r="AT9380" s="247"/>
    </row>
    <row r="9381">
      <c r="C9381" s="277"/>
      <c r="M9381" s="277"/>
      <c r="O9381" s="247"/>
      <c r="AC9381" s="247"/>
      <c r="AT9381" s="247"/>
    </row>
    <row r="9382">
      <c r="C9382" s="277"/>
      <c r="M9382" s="277"/>
      <c r="O9382" s="247"/>
      <c r="AC9382" s="247"/>
      <c r="AT9382" s="247"/>
    </row>
    <row r="9383">
      <c r="C9383" s="277"/>
      <c r="M9383" s="277"/>
      <c r="O9383" s="247"/>
      <c r="AC9383" s="247"/>
      <c r="AT9383" s="247"/>
    </row>
    <row r="9384">
      <c r="C9384" s="277"/>
      <c r="M9384" s="277"/>
      <c r="O9384" s="247"/>
      <c r="AC9384" s="247"/>
      <c r="AT9384" s="247"/>
    </row>
    <row r="9385">
      <c r="C9385" s="277"/>
      <c r="M9385" s="277"/>
      <c r="O9385" s="247"/>
      <c r="AC9385" s="247"/>
      <c r="AT9385" s="247"/>
    </row>
    <row r="9386">
      <c r="C9386" s="277"/>
      <c r="M9386" s="277"/>
      <c r="O9386" s="247"/>
      <c r="AC9386" s="247"/>
      <c r="AT9386" s="247"/>
    </row>
    <row r="9387">
      <c r="C9387" s="277"/>
      <c r="M9387" s="277"/>
      <c r="O9387" s="247"/>
      <c r="AC9387" s="247"/>
      <c r="AT9387" s="247"/>
    </row>
    <row r="9388">
      <c r="C9388" s="277"/>
      <c r="M9388" s="277"/>
      <c r="O9388" s="247"/>
      <c r="AC9388" s="247"/>
      <c r="AT9388" s="247"/>
    </row>
    <row r="9389">
      <c r="C9389" s="277"/>
      <c r="M9389" s="277"/>
      <c r="O9389" s="247"/>
      <c r="AC9389" s="247"/>
      <c r="AT9389" s="247"/>
    </row>
    <row r="9390">
      <c r="C9390" s="277"/>
      <c r="M9390" s="277"/>
      <c r="O9390" s="247"/>
      <c r="AC9390" s="247"/>
      <c r="AT9390" s="247"/>
    </row>
    <row r="9391">
      <c r="C9391" s="277"/>
      <c r="M9391" s="277"/>
      <c r="O9391" s="247"/>
      <c r="AC9391" s="247"/>
      <c r="AT9391" s="247"/>
    </row>
    <row r="9392">
      <c r="C9392" s="277"/>
      <c r="M9392" s="277"/>
      <c r="O9392" s="247"/>
      <c r="AC9392" s="247"/>
      <c r="AT9392" s="247"/>
    </row>
    <row r="9393">
      <c r="C9393" s="277"/>
      <c r="M9393" s="277"/>
      <c r="O9393" s="247"/>
      <c r="AC9393" s="247"/>
      <c r="AT9393" s="247"/>
    </row>
    <row r="9394">
      <c r="C9394" s="277"/>
      <c r="M9394" s="277"/>
      <c r="O9394" s="247"/>
      <c r="AC9394" s="247"/>
      <c r="AT9394" s="247"/>
    </row>
    <row r="9395">
      <c r="C9395" s="277"/>
      <c r="M9395" s="277"/>
      <c r="O9395" s="247"/>
      <c r="AC9395" s="247"/>
      <c r="AT9395" s="247"/>
    </row>
    <row r="9396">
      <c r="C9396" s="277"/>
      <c r="M9396" s="277"/>
      <c r="O9396" s="247"/>
      <c r="AC9396" s="247"/>
      <c r="AT9396" s="247"/>
    </row>
    <row r="9397">
      <c r="C9397" s="277"/>
      <c r="M9397" s="277"/>
      <c r="O9397" s="247"/>
      <c r="AC9397" s="247"/>
      <c r="AT9397" s="247"/>
    </row>
    <row r="9398">
      <c r="C9398" s="277"/>
      <c r="M9398" s="277"/>
      <c r="O9398" s="247"/>
      <c r="AC9398" s="247"/>
      <c r="AT9398" s="247"/>
    </row>
    <row r="9399">
      <c r="C9399" s="277"/>
      <c r="M9399" s="277"/>
      <c r="O9399" s="247"/>
      <c r="AC9399" s="247"/>
      <c r="AT9399" s="247"/>
    </row>
    <row r="9400">
      <c r="C9400" s="277"/>
      <c r="M9400" s="277"/>
      <c r="O9400" s="247"/>
      <c r="AC9400" s="247"/>
      <c r="AT9400" s="247"/>
    </row>
    <row r="9401">
      <c r="C9401" s="277"/>
      <c r="M9401" s="277"/>
      <c r="O9401" s="247"/>
      <c r="AC9401" s="247"/>
      <c r="AT9401" s="247"/>
    </row>
    <row r="9402">
      <c r="C9402" s="277"/>
      <c r="M9402" s="277"/>
      <c r="O9402" s="247"/>
      <c r="AC9402" s="247"/>
      <c r="AT9402" s="247"/>
    </row>
    <row r="9403">
      <c r="C9403" s="277"/>
      <c r="M9403" s="277"/>
      <c r="O9403" s="247"/>
      <c r="AC9403" s="247"/>
      <c r="AT9403" s="247"/>
    </row>
    <row r="9404">
      <c r="C9404" s="277"/>
      <c r="M9404" s="277"/>
      <c r="O9404" s="247"/>
      <c r="AC9404" s="247"/>
      <c r="AT9404" s="247"/>
    </row>
    <row r="9405">
      <c r="C9405" s="277"/>
      <c r="M9405" s="277"/>
      <c r="O9405" s="247"/>
      <c r="AC9405" s="247"/>
      <c r="AT9405" s="247"/>
    </row>
    <row r="9406">
      <c r="C9406" s="277"/>
      <c r="M9406" s="277"/>
      <c r="O9406" s="247"/>
      <c r="AC9406" s="247"/>
      <c r="AT9406" s="247"/>
    </row>
    <row r="9407">
      <c r="C9407" s="277"/>
      <c r="M9407" s="277"/>
      <c r="O9407" s="247"/>
      <c r="AC9407" s="247"/>
      <c r="AT9407" s="247"/>
    </row>
    <row r="9408">
      <c r="C9408" s="277"/>
      <c r="M9408" s="277"/>
      <c r="O9408" s="247"/>
      <c r="AC9408" s="247"/>
      <c r="AT9408" s="247"/>
    </row>
    <row r="9409">
      <c r="C9409" s="277"/>
      <c r="M9409" s="277"/>
      <c r="O9409" s="247"/>
      <c r="AC9409" s="247"/>
      <c r="AT9409" s="247"/>
    </row>
    <row r="9410">
      <c r="C9410" s="277"/>
      <c r="M9410" s="277"/>
      <c r="O9410" s="247"/>
      <c r="AC9410" s="247"/>
      <c r="AT9410" s="247"/>
    </row>
    <row r="9411">
      <c r="C9411" s="277"/>
      <c r="M9411" s="277"/>
      <c r="O9411" s="247"/>
      <c r="AC9411" s="247"/>
      <c r="AT9411" s="247"/>
    </row>
    <row r="9412">
      <c r="C9412" s="277"/>
      <c r="M9412" s="277"/>
      <c r="O9412" s="247"/>
      <c r="AC9412" s="247"/>
      <c r="AT9412" s="247"/>
    </row>
    <row r="9413">
      <c r="C9413" s="277"/>
      <c r="M9413" s="277"/>
      <c r="O9413" s="247"/>
      <c r="AC9413" s="247"/>
      <c r="AT9413" s="247"/>
    </row>
    <row r="9414">
      <c r="C9414" s="277"/>
      <c r="M9414" s="277"/>
      <c r="O9414" s="247"/>
      <c r="AC9414" s="247"/>
      <c r="AT9414" s="247"/>
    </row>
    <row r="9415">
      <c r="C9415" s="277"/>
      <c r="M9415" s="277"/>
      <c r="O9415" s="247"/>
      <c r="AC9415" s="247"/>
      <c r="AT9415" s="247"/>
    </row>
    <row r="9416">
      <c r="C9416" s="277"/>
      <c r="M9416" s="277"/>
      <c r="O9416" s="247"/>
      <c r="AC9416" s="247"/>
      <c r="AT9416" s="247"/>
    </row>
    <row r="9417">
      <c r="C9417" s="277"/>
      <c r="M9417" s="277"/>
      <c r="O9417" s="247"/>
      <c r="AC9417" s="247"/>
      <c r="AT9417" s="247"/>
    </row>
    <row r="9418">
      <c r="C9418" s="277"/>
      <c r="M9418" s="277"/>
      <c r="O9418" s="247"/>
      <c r="AC9418" s="247"/>
      <c r="AT9418" s="247"/>
    </row>
    <row r="9419">
      <c r="C9419" s="277"/>
      <c r="M9419" s="277"/>
      <c r="O9419" s="247"/>
      <c r="AC9419" s="247"/>
      <c r="AT9419" s="247"/>
    </row>
    <row r="9420">
      <c r="C9420" s="277"/>
      <c r="M9420" s="277"/>
      <c r="O9420" s="247"/>
      <c r="AC9420" s="247"/>
      <c r="AT9420" s="247"/>
    </row>
    <row r="9421">
      <c r="C9421" s="277"/>
      <c r="M9421" s="277"/>
      <c r="O9421" s="247"/>
      <c r="AC9421" s="247"/>
      <c r="AT9421" s="247"/>
    </row>
    <row r="9422">
      <c r="C9422" s="277"/>
      <c r="M9422" s="277"/>
      <c r="O9422" s="247"/>
      <c r="AC9422" s="247"/>
      <c r="AT9422" s="247"/>
    </row>
    <row r="9423">
      <c r="C9423" s="277"/>
      <c r="M9423" s="277"/>
      <c r="O9423" s="247"/>
      <c r="AC9423" s="247"/>
      <c r="AT9423" s="247"/>
    </row>
    <row r="9424">
      <c r="C9424" s="277"/>
      <c r="M9424" s="277"/>
      <c r="O9424" s="247"/>
      <c r="AC9424" s="247"/>
      <c r="AT9424" s="247"/>
    </row>
    <row r="9425">
      <c r="C9425" s="277"/>
      <c r="M9425" s="277"/>
      <c r="O9425" s="247"/>
      <c r="AC9425" s="247"/>
      <c r="AT9425" s="247"/>
    </row>
    <row r="9426">
      <c r="C9426" s="277"/>
      <c r="M9426" s="277"/>
      <c r="O9426" s="247"/>
      <c r="AC9426" s="247"/>
      <c r="AT9426" s="247"/>
    </row>
    <row r="9427">
      <c r="C9427" s="277"/>
      <c r="M9427" s="277"/>
      <c r="O9427" s="247"/>
      <c r="AC9427" s="247"/>
      <c r="AT9427" s="247"/>
    </row>
    <row r="9428">
      <c r="C9428" s="277"/>
      <c r="M9428" s="277"/>
      <c r="O9428" s="247"/>
      <c r="AC9428" s="247"/>
      <c r="AT9428" s="247"/>
    </row>
    <row r="9429">
      <c r="C9429" s="277"/>
      <c r="M9429" s="277"/>
      <c r="O9429" s="247"/>
      <c r="AC9429" s="247"/>
      <c r="AT9429" s="247"/>
    </row>
    <row r="9430">
      <c r="C9430" s="277"/>
      <c r="M9430" s="277"/>
      <c r="O9430" s="247"/>
      <c r="AC9430" s="247"/>
      <c r="AT9430" s="247"/>
    </row>
    <row r="9431">
      <c r="C9431" s="277"/>
      <c r="M9431" s="277"/>
      <c r="O9431" s="247"/>
      <c r="AC9431" s="247"/>
      <c r="AT9431" s="247"/>
    </row>
    <row r="9432">
      <c r="C9432" s="277"/>
      <c r="M9432" s="277"/>
      <c r="O9432" s="247"/>
      <c r="AC9432" s="247"/>
      <c r="AT9432" s="247"/>
    </row>
    <row r="9433">
      <c r="C9433" s="277"/>
      <c r="M9433" s="277"/>
      <c r="O9433" s="247"/>
      <c r="AC9433" s="247"/>
      <c r="AT9433" s="247"/>
    </row>
    <row r="9434">
      <c r="C9434" s="277"/>
      <c r="M9434" s="277"/>
      <c r="O9434" s="247"/>
      <c r="AC9434" s="247"/>
      <c r="AT9434" s="247"/>
    </row>
    <row r="9435">
      <c r="C9435" s="277"/>
      <c r="M9435" s="277"/>
      <c r="O9435" s="247"/>
      <c r="AC9435" s="247"/>
      <c r="AT9435" s="247"/>
    </row>
    <row r="9436">
      <c r="C9436" s="277"/>
      <c r="M9436" s="277"/>
      <c r="O9436" s="247"/>
      <c r="AC9436" s="247"/>
      <c r="AT9436" s="247"/>
    </row>
    <row r="9437">
      <c r="C9437" s="277"/>
      <c r="M9437" s="277"/>
      <c r="O9437" s="247"/>
      <c r="AC9437" s="247"/>
      <c r="AT9437" s="247"/>
    </row>
    <row r="9438">
      <c r="C9438" s="277"/>
      <c r="M9438" s="277"/>
      <c r="O9438" s="247"/>
      <c r="AC9438" s="247"/>
      <c r="AT9438" s="247"/>
    </row>
    <row r="9439">
      <c r="C9439" s="277"/>
      <c r="M9439" s="277"/>
      <c r="O9439" s="247"/>
      <c r="AC9439" s="247"/>
      <c r="AT9439" s="247"/>
    </row>
    <row r="9440">
      <c r="C9440" s="277"/>
      <c r="M9440" s="277"/>
      <c r="O9440" s="247"/>
      <c r="AC9440" s="247"/>
      <c r="AT9440" s="247"/>
    </row>
    <row r="9441">
      <c r="C9441" s="277"/>
      <c r="M9441" s="277"/>
      <c r="O9441" s="247"/>
      <c r="AC9441" s="247"/>
      <c r="AT9441" s="247"/>
    </row>
    <row r="9442">
      <c r="C9442" s="277"/>
      <c r="M9442" s="277"/>
      <c r="O9442" s="247"/>
      <c r="AC9442" s="247"/>
      <c r="AT9442" s="247"/>
    </row>
    <row r="9443">
      <c r="C9443" s="277"/>
      <c r="M9443" s="277"/>
      <c r="O9443" s="247"/>
      <c r="AC9443" s="247"/>
      <c r="AT9443" s="247"/>
    </row>
    <row r="9444">
      <c r="C9444" s="277"/>
      <c r="M9444" s="277"/>
      <c r="O9444" s="247"/>
      <c r="AC9444" s="247"/>
      <c r="AT9444" s="247"/>
    </row>
    <row r="9445">
      <c r="C9445" s="277"/>
      <c r="M9445" s="277"/>
      <c r="O9445" s="247"/>
      <c r="AC9445" s="247"/>
      <c r="AT9445" s="247"/>
    </row>
    <row r="9446">
      <c r="C9446" s="277"/>
      <c r="M9446" s="277"/>
      <c r="O9446" s="247"/>
      <c r="AC9446" s="247"/>
      <c r="AT9446" s="247"/>
    </row>
    <row r="9447">
      <c r="C9447" s="277"/>
      <c r="M9447" s="277"/>
      <c r="O9447" s="247"/>
      <c r="AC9447" s="247"/>
      <c r="AT9447" s="247"/>
    </row>
    <row r="9448">
      <c r="C9448" s="277"/>
      <c r="M9448" s="277"/>
      <c r="O9448" s="247"/>
      <c r="AC9448" s="247"/>
      <c r="AT9448" s="247"/>
    </row>
    <row r="9449">
      <c r="C9449" s="277"/>
      <c r="M9449" s="277"/>
      <c r="O9449" s="247"/>
      <c r="AC9449" s="247"/>
      <c r="AT9449" s="247"/>
    </row>
    <row r="9450">
      <c r="C9450" s="277"/>
      <c r="M9450" s="277"/>
      <c r="O9450" s="247"/>
      <c r="AC9450" s="247"/>
      <c r="AT9450" s="247"/>
    </row>
    <row r="9451">
      <c r="C9451" s="277"/>
      <c r="M9451" s="277"/>
      <c r="O9451" s="247"/>
      <c r="AC9451" s="247"/>
      <c r="AT9451" s="247"/>
    </row>
    <row r="9452">
      <c r="C9452" s="277"/>
      <c r="M9452" s="277"/>
      <c r="O9452" s="247"/>
      <c r="AC9452" s="247"/>
      <c r="AT9452" s="247"/>
    </row>
    <row r="9453">
      <c r="C9453" s="277"/>
      <c r="M9453" s="277"/>
      <c r="O9453" s="247"/>
      <c r="AC9453" s="247"/>
      <c r="AT9453" s="247"/>
    </row>
    <row r="9454">
      <c r="C9454" s="277"/>
      <c r="M9454" s="277"/>
      <c r="O9454" s="247"/>
      <c r="AC9454" s="247"/>
      <c r="AT9454" s="247"/>
    </row>
    <row r="9455">
      <c r="C9455" s="277"/>
      <c r="M9455" s="277"/>
      <c r="O9455" s="247"/>
      <c r="AC9455" s="247"/>
      <c r="AT9455" s="247"/>
    </row>
    <row r="9456">
      <c r="C9456" s="277"/>
      <c r="M9456" s="277"/>
      <c r="O9456" s="247"/>
      <c r="AC9456" s="247"/>
      <c r="AT9456" s="247"/>
    </row>
    <row r="9457">
      <c r="C9457" s="277"/>
      <c r="M9457" s="277"/>
      <c r="O9457" s="247"/>
      <c r="AC9457" s="247"/>
      <c r="AT9457" s="247"/>
    </row>
    <row r="9458">
      <c r="C9458" s="277"/>
      <c r="M9458" s="277"/>
      <c r="O9458" s="247"/>
      <c r="AC9458" s="247"/>
      <c r="AT9458" s="247"/>
    </row>
    <row r="9459">
      <c r="C9459" s="277"/>
      <c r="M9459" s="277"/>
      <c r="O9459" s="247"/>
      <c r="AC9459" s="247"/>
      <c r="AT9459" s="247"/>
    </row>
    <row r="9460">
      <c r="C9460" s="277"/>
      <c r="M9460" s="277"/>
      <c r="O9460" s="247"/>
      <c r="AC9460" s="247"/>
      <c r="AT9460" s="247"/>
    </row>
    <row r="9461">
      <c r="C9461" s="277"/>
      <c r="M9461" s="277"/>
      <c r="O9461" s="247"/>
      <c r="AC9461" s="247"/>
      <c r="AT9461" s="247"/>
    </row>
    <row r="9462">
      <c r="C9462" s="277"/>
      <c r="M9462" s="277"/>
      <c r="O9462" s="247"/>
      <c r="AC9462" s="247"/>
      <c r="AT9462" s="247"/>
    </row>
    <row r="9463">
      <c r="C9463" s="277"/>
      <c r="M9463" s="277"/>
      <c r="O9463" s="247"/>
      <c r="AC9463" s="247"/>
      <c r="AT9463" s="247"/>
    </row>
    <row r="9464">
      <c r="C9464" s="277"/>
      <c r="M9464" s="277"/>
      <c r="O9464" s="247"/>
      <c r="AC9464" s="247"/>
      <c r="AT9464" s="247"/>
    </row>
    <row r="9465">
      <c r="C9465" s="277"/>
      <c r="M9465" s="277"/>
      <c r="O9465" s="247"/>
      <c r="AC9465" s="247"/>
      <c r="AT9465" s="247"/>
    </row>
    <row r="9466">
      <c r="C9466" s="277"/>
      <c r="M9466" s="277"/>
      <c r="O9466" s="247"/>
      <c r="AC9466" s="247"/>
      <c r="AT9466" s="247"/>
    </row>
    <row r="9467">
      <c r="C9467" s="277"/>
      <c r="M9467" s="277"/>
      <c r="O9467" s="247"/>
      <c r="AC9467" s="247"/>
      <c r="AT9467" s="247"/>
    </row>
    <row r="9468">
      <c r="C9468" s="277"/>
      <c r="M9468" s="277"/>
      <c r="O9468" s="247"/>
      <c r="AC9468" s="247"/>
      <c r="AT9468" s="247"/>
    </row>
    <row r="9469">
      <c r="C9469" s="277"/>
      <c r="M9469" s="277"/>
      <c r="O9469" s="247"/>
      <c r="AC9469" s="247"/>
      <c r="AT9469" s="247"/>
    </row>
    <row r="9470">
      <c r="C9470" s="277"/>
      <c r="M9470" s="277"/>
      <c r="O9470" s="247"/>
      <c r="AC9470" s="247"/>
      <c r="AT9470" s="247"/>
    </row>
    <row r="9471">
      <c r="C9471" s="277"/>
      <c r="M9471" s="277"/>
      <c r="O9471" s="247"/>
      <c r="AC9471" s="247"/>
      <c r="AT9471" s="247"/>
    </row>
    <row r="9472">
      <c r="C9472" s="277"/>
      <c r="M9472" s="277"/>
      <c r="O9472" s="247"/>
      <c r="AC9472" s="247"/>
      <c r="AT9472" s="247"/>
    </row>
    <row r="9473">
      <c r="C9473" s="277"/>
      <c r="M9473" s="277"/>
      <c r="O9473" s="247"/>
      <c r="AC9473" s="247"/>
      <c r="AT9473" s="247"/>
    </row>
    <row r="9474">
      <c r="C9474" s="277"/>
      <c r="M9474" s="277"/>
      <c r="O9474" s="247"/>
      <c r="AC9474" s="247"/>
      <c r="AT9474" s="247"/>
    </row>
    <row r="9475">
      <c r="C9475" s="277"/>
      <c r="M9475" s="277"/>
      <c r="O9475" s="247"/>
      <c r="AC9475" s="247"/>
      <c r="AT9475" s="247"/>
    </row>
    <row r="9476">
      <c r="C9476" s="277"/>
      <c r="M9476" s="277"/>
      <c r="O9476" s="247"/>
      <c r="AC9476" s="247"/>
      <c r="AT9476" s="247"/>
    </row>
    <row r="9477">
      <c r="C9477" s="277"/>
      <c r="M9477" s="277"/>
      <c r="O9477" s="247"/>
      <c r="AC9477" s="247"/>
      <c r="AT9477" s="247"/>
    </row>
    <row r="9478">
      <c r="C9478" s="277"/>
      <c r="M9478" s="277"/>
      <c r="O9478" s="247"/>
      <c r="AC9478" s="247"/>
      <c r="AT9478" s="247"/>
    </row>
    <row r="9479">
      <c r="C9479" s="277"/>
      <c r="M9479" s="277"/>
      <c r="O9479" s="247"/>
      <c r="AC9479" s="247"/>
      <c r="AT9479" s="247"/>
    </row>
    <row r="9480">
      <c r="C9480" s="277"/>
      <c r="M9480" s="277"/>
      <c r="O9480" s="247"/>
      <c r="AC9480" s="247"/>
      <c r="AT9480" s="247"/>
    </row>
    <row r="9481">
      <c r="C9481" s="277"/>
      <c r="M9481" s="277"/>
      <c r="O9481" s="247"/>
      <c r="AC9481" s="247"/>
      <c r="AT9481" s="247"/>
    </row>
    <row r="9482">
      <c r="C9482" s="277"/>
      <c r="M9482" s="277"/>
      <c r="O9482" s="247"/>
      <c r="AC9482" s="247"/>
      <c r="AT9482" s="247"/>
    </row>
    <row r="9483">
      <c r="C9483" s="277"/>
      <c r="M9483" s="277"/>
      <c r="O9483" s="247"/>
      <c r="AC9483" s="247"/>
      <c r="AT9483" s="247"/>
    </row>
    <row r="9484">
      <c r="C9484" s="277"/>
      <c r="M9484" s="277"/>
      <c r="O9484" s="247"/>
      <c r="AC9484" s="247"/>
      <c r="AT9484" s="247"/>
    </row>
    <row r="9485">
      <c r="C9485" s="277"/>
      <c r="M9485" s="277"/>
      <c r="O9485" s="247"/>
      <c r="AC9485" s="247"/>
      <c r="AT9485" s="247"/>
    </row>
    <row r="9486">
      <c r="C9486" s="277"/>
      <c r="M9486" s="277"/>
      <c r="O9486" s="247"/>
      <c r="AC9486" s="247"/>
      <c r="AT9486" s="247"/>
    </row>
    <row r="9487">
      <c r="C9487" s="277"/>
      <c r="M9487" s="277"/>
      <c r="O9487" s="247"/>
      <c r="AC9487" s="247"/>
      <c r="AT9487" s="247"/>
    </row>
    <row r="9488">
      <c r="C9488" s="277"/>
      <c r="M9488" s="277"/>
      <c r="O9488" s="247"/>
      <c r="AC9488" s="247"/>
      <c r="AT9488" s="247"/>
    </row>
    <row r="9489">
      <c r="C9489" s="277"/>
      <c r="M9489" s="277"/>
      <c r="O9489" s="247"/>
      <c r="AC9489" s="247"/>
      <c r="AT9489" s="247"/>
    </row>
    <row r="9490">
      <c r="C9490" s="277"/>
      <c r="M9490" s="277"/>
      <c r="O9490" s="247"/>
      <c r="AC9490" s="247"/>
      <c r="AT9490" s="247"/>
    </row>
    <row r="9491">
      <c r="C9491" s="277"/>
      <c r="M9491" s="277"/>
      <c r="O9491" s="247"/>
      <c r="AC9491" s="247"/>
      <c r="AT9491" s="247"/>
    </row>
    <row r="9492">
      <c r="C9492" s="277"/>
      <c r="M9492" s="277"/>
      <c r="O9492" s="247"/>
      <c r="AC9492" s="247"/>
      <c r="AT9492" s="247"/>
    </row>
    <row r="9493">
      <c r="C9493" s="277"/>
      <c r="M9493" s="277"/>
      <c r="O9493" s="247"/>
      <c r="AC9493" s="247"/>
      <c r="AT9493" s="247"/>
    </row>
    <row r="9494">
      <c r="C9494" s="277"/>
      <c r="M9494" s="277"/>
      <c r="O9494" s="247"/>
      <c r="AC9494" s="247"/>
      <c r="AT9494" s="247"/>
    </row>
    <row r="9495">
      <c r="C9495" s="277"/>
      <c r="M9495" s="277"/>
      <c r="O9495" s="247"/>
      <c r="AC9495" s="247"/>
      <c r="AT9495" s="247"/>
    </row>
    <row r="9496">
      <c r="C9496" s="277"/>
      <c r="M9496" s="277"/>
      <c r="O9496" s="247"/>
      <c r="AC9496" s="247"/>
      <c r="AT9496" s="247"/>
    </row>
    <row r="9497">
      <c r="C9497" s="277"/>
      <c r="M9497" s="277"/>
      <c r="O9497" s="247"/>
      <c r="AC9497" s="247"/>
      <c r="AT9497" s="247"/>
    </row>
    <row r="9498">
      <c r="C9498" s="277"/>
      <c r="M9498" s="277"/>
      <c r="O9498" s="247"/>
      <c r="AC9498" s="247"/>
      <c r="AT9498" s="247"/>
    </row>
    <row r="9499">
      <c r="C9499" s="277"/>
      <c r="M9499" s="277"/>
      <c r="O9499" s="247"/>
      <c r="AC9499" s="247"/>
      <c r="AT9499" s="247"/>
    </row>
    <row r="9500">
      <c r="C9500" s="277"/>
      <c r="M9500" s="277"/>
      <c r="O9500" s="247"/>
      <c r="AC9500" s="247"/>
      <c r="AT9500" s="247"/>
    </row>
    <row r="9501">
      <c r="C9501" s="277"/>
      <c r="M9501" s="277"/>
      <c r="O9501" s="247"/>
      <c r="AC9501" s="247"/>
      <c r="AT9501" s="247"/>
    </row>
    <row r="9502">
      <c r="C9502" s="277"/>
      <c r="M9502" s="277"/>
      <c r="O9502" s="247"/>
      <c r="AC9502" s="247"/>
      <c r="AT9502" s="247"/>
    </row>
    <row r="9503">
      <c r="C9503" s="277"/>
      <c r="M9503" s="277"/>
      <c r="O9503" s="247"/>
      <c r="AC9503" s="247"/>
      <c r="AT9503" s="247"/>
    </row>
    <row r="9504">
      <c r="C9504" s="277"/>
      <c r="M9504" s="277"/>
      <c r="O9504" s="247"/>
      <c r="AC9504" s="247"/>
      <c r="AT9504" s="247"/>
    </row>
    <row r="9505">
      <c r="C9505" s="277"/>
      <c r="M9505" s="277"/>
      <c r="O9505" s="247"/>
      <c r="AC9505" s="247"/>
      <c r="AT9505" s="247"/>
    </row>
    <row r="9506">
      <c r="C9506" s="277"/>
      <c r="M9506" s="277"/>
      <c r="O9506" s="247"/>
      <c r="AC9506" s="247"/>
      <c r="AT9506" s="247"/>
    </row>
    <row r="9507">
      <c r="C9507" s="277"/>
      <c r="M9507" s="277"/>
      <c r="O9507" s="247"/>
      <c r="AC9507" s="247"/>
      <c r="AT9507" s="247"/>
    </row>
    <row r="9508">
      <c r="C9508" s="277"/>
      <c r="M9508" s="277"/>
      <c r="O9508" s="247"/>
      <c r="AC9508" s="247"/>
      <c r="AT9508" s="247"/>
    </row>
    <row r="9509">
      <c r="C9509" s="277"/>
      <c r="M9509" s="277"/>
      <c r="O9509" s="247"/>
      <c r="AC9509" s="247"/>
      <c r="AT9509" s="247"/>
    </row>
    <row r="9510">
      <c r="C9510" s="277"/>
      <c r="M9510" s="277"/>
      <c r="O9510" s="247"/>
      <c r="AC9510" s="247"/>
      <c r="AT9510" s="247"/>
    </row>
    <row r="9511">
      <c r="C9511" s="277"/>
      <c r="M9511" s="277"/>
      <c r="O9511" s="247"/>
      <c r="AC9511" s="247"/>
      <c r="AT9511" s="247"/>
    </row>
    <row r="9512">
      <c r="C9512" s="277"/>
      <c r="M9512" s="277"/>
      <c r="O9512" s="247"/>
      <c r="AC9512" s="247"/>
      <c r="AT9512" s="247"/>
    </row>
    <row r="9513">
      <c r="C9513" s="277"/>
      <c r="M9513" s="277"/>
      <c r="O9513" s="247"/>
      <c r="AC9513" s="247"/>
      <c r="AT9513" s="247"/>
    </row>
    <row r="9514">
      <c r="C9514" s="277"/>
      <c r="M9514" s="277"/>
      <c r="O9514" s="247"/>
      <c r="AC9514" s="247"/>
      <c r="AT9514" s="247"/>
    </row>
    <row r="9515">
      <c r="C9515" s="277"/>
      <c r="M9515" s="277"/>
      <c r="O9515" s="247"/>
      <c r="AC9515" s="247"/>
      <c r="AT9515" s="247"/>
    </row>
    <row r="9516">
      <c r="C9516" s="277"/>
      <c r="M9516" s="277"/>
      <c r="O9516" s="247"/>
      <c r="AC9516" s="247"/>
      <c r="AT9516" s="247"/>
    </row>
    <row r="9517">
      <c r="C9517" s="277"/>
      <c r="M9517" s="277"/>
      <c r="O9517" s="247"/>
      <c r="AC9517" s="247"/>
      <c r="AT9517" s="247"/>
    </row>
    <row r="9518">
      <c r="C9518" s="277"/>
      <c r="M9518" s="277"/>
      <c r="O9518" s="247"/>
      <c r="AC9518" s="247"/>
      <c r="AT9518" s="247"/>
    </row>
    <row r="9519">
      <c r="C9519" s="277"/>
      <c r="M9519" s="277"/>
      <c r="O9519" s="247"/>
      <c r="AC9519" s="247"/>
      <c r="AT9519" s="247"/>
    </row>
    <row r="9520">
      <c r="C9520" s="277"/>
      <c r="M9520" s="277"/>
      <c r="O9520" s="247"/>
      <c r="AC9520" s="247"/>
      <c r="AT9520" s="247"/>
    </row>
    <row r="9521">
      <c r="C9521" s="277"/>
      <c r="M9521" s="277"/>
      <c r="O9521" s="247"/>
      <c r="AC9521" s="247"/>
      <c r="AT9521" s="247"/>
    </row>
    <row r="9522">
      <c r="C9522" s="277"/>
      <c r="M9522" s="277"/>
      <c r="O9522" s="247"/>
      <c r="AC9522" s="247"/>
      <c r="AT9522" s="247"/>
    </row>
    <row r="9523">
      <c r="C9523" s="277"/>
      <c r="M9523" s="277"/>
      <c r="O9523" s="247"/>
      <c r="AC9523" s="247"/>
      <c r="AT9523" s="247"/>
    </row>
    <row r="9524">
      <c r="C9524" s="277"/>
      <c r="M9524" s="277"/>
      <c r="O9524" s="247"/>
      <c r="AC9524" s="247"/>
      <c r="AT9524" s="247"/>
    </row>
    <row r="9525">
      <c r="C9525" s="277"/>
      <c r="M9525" s="277"/>
      <c r="O9525" s="247"/>
      <c r="AC9525" s="247"/>
      <c r="AT9525" s="247"/>
    </row>
    <row r="9526">
      <c r="C9526" s="277"/>
      <c r="M9526" s="277"/>
      <c r="O9526" s="247"/>
      <c r="AC9526" s="247"/>
      <c r="AT9526" s="247"/>
    </row>
    <row r="9527">
      <c r="C9527" s="277"/>
      <c r="M9527" s="277"/>
      <c r="O9527" s="247"/>
      <c r="AC9527" s="247"/>
      <c r="AT9527" s="247"/>
    </row>
    <row r="9528">
      <c r="C9528" s="277"/>
      <c r="M9528" s="277"/>
      <c r="O9528" s="247"/>
      <c r="AC9528" s="247"/>
      <c r="AT9528" s="247"/>
    </row>
    <row r="9529">
      <c r="C9529" s="277"/>
      <c r="M9529" s="277"/>
      <c r="O9529" s="247"/>
      <c r="AC9529" s="247"/>
      <c r="AT9529" s="247"/>
    </row>
    <row r="9530">
      <c r="C9530" s="277"/>
      <c r="M9530" s="277"/>
      <c r="O9530" s="247"/>
      <c r="AC9530" s="247"/>
      <c r="AT9530" s="247"/>
    </row>
    <row r="9531">
      <c r="C9531" s="277"/>
      <c r="M9531" s="277"/>
      <c r="O9531" s="247"/>
      <c r="AC9531" s="247"/>
      <c r="AT9531" s="247"/>
    </row>
    <row r="9532">
      <c r="C9532" s="277"/>
      <c r="M9532" s="277"/>
      <c r="O9532" s="247"/>
      <c r="AC9532" s="247"/>
      <c r="AT9532" s="247"/>
    </row>
    <row r="9533">
      <c r="C9533" s="277"/>
      <c r="M9533" s="277"/>
      <c r="O9533" s="247"/>
      <c r="AC9533" s="247"/>
      <c r="AT9533" s="247"/>
    </row>
    <row r="9534">
      <c r="C9534" s="277"/>
      <c r="M9534" s="277"/>
      <c r="O9534" s="247"/>
      <c r="AC9534" s="247"/>
      <c r="AT9534" s="247"/>
    </row>
    <row r="9535">
      <c r="C9535" s="277"/>
      <c r="M9535" s="277"/>
      <c r="O9535" s="247"/>
      <c r="AC9535" s="247"/>
      <c r="AT9535" s="247"/>
    </row>
    <row r="9536">
      <c r="C9536" s="277"/>
      <c r="M9536" s="277"/>
      <c r="O9536" s="247"/>
      <c r="AC9536" s="247"/>
      <c r="AT9536" s="247"/>
    </row>
    <row r="9537">
      <c r="C9537" s="277"/>
      <c r="M9537" s="277"/>
      <c r="O9537" s="247"/>
      <c r="AC9537" s="247"/>
      <c r="AT9537" s="247"/>
    </row>
    <row r="9538">
      <c r="C9538" s="277"/>
      <c r="M9538" s="277"/>
      <c r="O9538" s="247"/>
      <c r="AC9538" s="247"/>
      <c r="AT9538" s="247"/>
    </row>
    <row r="9539">
      <c r="C9539" s="277"/>
      <c r="M9539" s="277"/>
      <c r="O9539" s="247"/>
      <c r="AC9539" s="247"/>
      <c r="AT9539" s="247"/>
    </row>
    <row r="9540">
      <c r="C9540" s="277"/>
      <c r="M9540" s="277"/>
      <c r="O9540" s="247"/>
      <c r="AC9540" s="247"/>
      <c r="AT9540" s="247"/>
    </row>
    <row r="9541">
      <c r="C9541" s="277"/>
      <c r="M9541" s="277"/>
      <c r="O9541" s="247"/>
      <c r="AC9541" s="247"/>
      <c r="AT9541" s="247"/>
    </row>
    <row r="9542">
      <c r="C9542" s="277"/>
      <c r="M9542" s="277"/>
      <c r="O9542" s="247"/>
      <c r="AC9542" s="247"/>
      <c r="AT9542" s="247"/>
    </row>
    <row r="9543">
      <c r="C9543" s="277"/>
      <c r="M9543" s="277"/>
      <c r="O9543" s="247"/>
      <c r="AC9543" s="247"/>
      <c r="AT9543" s="247"/>
    </row>
    <row r="9544">
      <c r="C9544" s="277"/>
      <c r="M9544" s="277"/>
      <c r="O9544" s="247"/>
      <c r="AC9544" s="247"/>
      <c r="AT9544" s="247"/>
    </row>
    <row r="9545">
      <c r="C9545" s="277"/>
      <c r="M9545" s="277"/>
      <c r="O9545" s="247"/>
      <c r="AC9545" s="247"/>
      <c r="AT9545" s="247"/>
    </row>
    <row r="9546">
      <c r="C9546" s="277"/>
      <c r="M9546" s="277"/>
      <c r="O9546" s="247"/>
      <c r="AC9546" s="247"/>
      <c r="AT9546" s="247"/>
    </row>
    <row r="9547">
      <c r="C9547" s="277"/>
      <c r="M9547" s="277"/>
      <c r="O9547" s="247"/>
      <c r="AC9547" s="247"/>
      <c r="AT9547" s="247"/>
    </row>
    <row r="9548">
      <c r="C9548" s="277"/>
      <c r="M9548" s="277"/>
      <c r="O9548" s="247"/>
      <c r="AC9548" s="247"/>
      <c r="AT9548" s="247"/>
    </row>
    <row r="9549">
      <c r="C9549" s="277"/>
      <c r="M9549" s="277"/>
      <c r="O9549" s="247"/>
      <c r="AC9549" s="247"/>
      <c r="AT9549" s="247"/>
    </row>
    <row r="9550">
      <c r="C9550" s="277"/>
      <c r="M9550" s="277"/>
      <c r="O9550" s="247"/>
      <c r="AC9550" s="247"/>
      <c r="AT9550" s="247"/>
    </row>
    <row r="9551">
      <c r="C9551" s="277"/>
      <c r="M9551" s="277"/>
      <c r="O9551" s="247"/>
      <c r="AC9551" s="247"/>
      <c r="AT9551" s="247"/>
    </row>
    <row r="9552">
      <c r="C9552" s="277"/>
      <c r="M9552" s="277"/>
      <c r="O9552" s="247"/>
      <c r="AC9552" s="247"/>
      <c r="AT9552" s="247"/>
    </row>
    <row r="9553">
      <c r="C9553" s="277"/>
      <c r="M9553" s="277"/>
      <c r="O9553" s="247"/>
      <c r="AC9553" s="247"/>
      <c r="AT9553" s="247"/>
    </row>
    <row r="9554">
      <c r="C9554" s="277"/>
      <c r="M9554" s="277"/>
      <c r="O9554" s="247"/>
      <c r="AC9554" s="247"/>
      <c r="AT9554" s="247"/>
    </row>
    <row r="9555">
      <c r="C9555" s="277"/>
      <c r="M9555" s="277"/>
      <c r="O9555" s="247"/>
      <c r="AC9555" s="247"/>
      <c r="AT9555" s="247"/>
    </row>
    <row r="9556">
      <c r="C9556" s="277"/>
      <c r="M9556" s="277"/>
      <c r="O9556" s="247"/>
      <c r="AC9556" s="247"/>
      <c r="AT9556" s="247"/>
    </row>
    <row r="9557">
      <c r="C9557" s="277"/>
      <c r="M9557" s="277"/>
      <c r="O9557" s="247"/>
      <c r="AC9557" s="247"/>
      <c r="AT9557" s="247"/>
    </row>
    <row r="9558">
      <c r="C9558" s="277"/>
      <c r="M9558" s="277"/>
      <c r="O9558" s="247"/>
      <c r="AC9558" s="247"/>
      <c r="AT9558" s="247"/>
    </row>
    <row r="9559">
      <c r="C9559" s="277"/>
      <c r="M9559" s="277"/>
      <c r="O9559" s="247"/>
      <c r="AC9559" s="247"/>
      <c r="AT9559" s="247"/>
    </row>
    <row r="9560">
      <c r="C9560" s="277"/>
      <c r="M9560" s="277"/>
      <c r="O9560" s="247"/>
      <c r="AC9560" s="247"/>
      <c r="AT9560" s="247"/>
    </row>
    <row r="9561">
      <c r="C9561" s="277"/>
      <c r="M9561" s="277"/>
      <c r="O9561" s="247"/>
      <c r="AC9561" s="247"/>
      <c r="AT9561" s="247"/>
    </row>
    <row r="9562">
      <c r="C9562" s="277"/>
      <c r="M9562" s="277"/>
      <c r="O9562" s="247"/>
      <c r="AC9562" s="247"/>
      <c r="AT9562" s="247"/>
    </row>
    <row r="9563">
      <c r="C9563" s="277"/>
      <c r="M9563" s="277"/>
      <c r="O9563" s="247"/>
      <c r="AC9563" s="247"/>
      <c r="AT9563" s="247"/>
    </row>
    <row r="9564">
      <c r="C9564" s="277"/>
      <c r="M9564" s="277"/>
      <c r="O9564" s="247"/>
      <c r="AC9564" s="247"/>
      <c r="AT9564" s="247"/>
    </row>
    <row r="9565">
      <c r="C9565" s="277"/>
      <c r="M9565" s="277"/>
      <c r="O9565" s="247"/>
      <c r="AC9565" s="247"/>
      <c r="AT9565" s="247"/>
    </row>
    <row r="9566">
      <c r="C9566" s="277"/>
      <c r="M9566" s="277"/>
      <c r="O9566" s="247"/>
      <c r="AC9566" s="247"/>
      <c r="AT9566" s="247"/>
    </row>
    <row r="9567">
      <c r="C9567" s="277"/>
      <c r="M9567" s="277"/>
      <c r="O9567" s="247"/>
      <c r="AC9567" s="247"/>
      <c r="AT9567" s="247"/>
    </row>
    <row r="9568">
      <c r="C9568" s="277"/>
      <c r="M9568" s="277"/>
      <c r="O9568" s="247"/>
      <c r="AC9568" s="247"/>
      <c r="AT9568" s="247"/>
    </row>
    <row r="9569">
      <c r="C9569" s="277"/>
      <c r="M9569" s="277"/>
      <c r="O9569" s="247"/>
      <c r="AC9569" s="247"/>
      <c r="AT9569" s="247"/>
    </row>
    <row r="9570">
      <c r="C9570" s="277"/>
      <c r="M9570" s="277"/>
      <c r="O9570" s="247"/>
      <c r="AC9570" s="247"/>
      <c r="AT9570" s="247"/>
    </row>
    <row r="9571">
      <c r="C9571" s="277"/>
      <c r="M9571" s="277"/>
      <c r="O9571" s="247"/>
      <c r="AC9571" s="247"/>
      <c r="AT9571" s="247"/>
    </row>
    <row r="9572">
      <c r="C9572" s="277"/>
      <c r="M9572" s="277"/>
      <c r="O9572" s="247"/>
      <c r="AC9572" s="247"/>
      <c r="AT9572" s="247"/>
    </row>
    <row r="9573">
      <c r="C9573" s="277"/>
      <c r="M9573" s="277"/>
      <c r="O9573" s="247"/>
      <c r="AC9573" s="247"/>
      <c r="AT9573" s="247"/>
    </row>
    <row r="9574">
      <c r="C9574" s="277"/>
      <c r="M9574" s="277"/>
      <c r="O9574" s="247"/>
      <c r="AC9574" s="247"/>
      <c r="AT9574" s="247"/>
    </row>
    <row r="9575">
      <c r="C9575" s="277"/>
      <c r="M9575" s="277"/>
      <c r="O9575" s="247"/>
      <c r="AC9575" s="247"/>
      <c r="AT9575" s="247"/>
    </row>
    <row r="9576">
      <c r="C9576" s="277"/>
      <c r="M9576" s="277"/>
      <c r="O9576" s="247"/>
      <c r="AC9576" s="247"/>
      <c r="AT9576" s="247"/>
    </row>
    <row r="9577">
      <c r="C9577" s="277"/>
      <c r="M9577" s="277"/>
      <c r="O9577" s="247"/>
      <c r="AC9577" s="247"/>
      <c r="AT9577" s="247"/>
    </row>
    <row r="9578">
      <c r="C9578" s="277"/>
      <c r="M9578" s="277"/>
      <c r="O9578" s="247"/>
      <c r="AC9578" s="247"/>
      <c r="AT9578" s="247"/>
    </row>
    <row r="9579">
      <c r="C9579" s="277"/>
      <c r="M9579" s="277"/>
      <c r="O9579" s="247"/>
      <c r="AC9579" s="247"/>
      <c r="AT9579" s="247"/>
    </row>
    <row r="9580">
      <c r="C9580" s="277"/>
      <c r="M9580" s="277"/>
      <c r="O9580" s="247"/>
      <c r="AC9580" s="247"/>
      <c r="AT9580" s="247"/>
    </row>
    <row r="9581">
      <c r="C9581" s="277"/>
      <c r="M9581" s="277"/>
      <c r="O9581" s="247"/>
      <c r="AC9581" s="247"/>
      <c r="AT9581" s="247"/>
    </row>
    <row r="9582">
      <c r="C9582" s="277"/>
      <c r="M9582" s="277"/>
      <c r="O9582" s="247"/>
      <c r="AC9582" s="247"/>
      <c r="AT9582" s="247"/>
    </row>
    <row r="9583">
      <c r="C9583" s="277"/>
      <c r="M9583" s="277"/>
      <c r="O9583" s="247"/>
      <c r="AC9583" s="247"/>
      <c r="AT9583" s="247"/>
    </row>
    <row r="9584">
      <c r="C9584" s="277"/>
      <c r="M9584" s="277"/>
      <c r="O9584" s="247"/>
      <c r="AC9584" s="247"/>
      <c r="AT9584" s="247"/>
    </row>
    <row r="9585">
      <c r="C9585" s="277"/>
      <c r="M9585" s="277"/>
      <c r="O9585" s="247"/>
      <c r="AC9585" s="247"/>
      <c r="AT9585" s="247"/>
    </row>
    <row r="9586">
      <c r="C9586" s="277"/>
      <c r="M9586" s="277"/>
      <c r="O9586" s="247"/>
      <c r="AC9586" s="247"/>
      <c r="AT9586" s="247"/>
    </row>
    <row r="9587">
      <c r="C9587" s="277"/>
      <c r="M9587" s="277"/>
      <c r="O9587" s="247"/>
      <c r="AC9587" s="247"/>
      <c r="AT9587" s="247"/>
    </row>
    <row r="9588">
      <c r="C9588" s="277"/>
      <c r="M9588" s="277"/>
      <c r="O9588" s="247"/>
      <c r="AC9588" s="247"/>
      <c r="AT9588" s="247"/>
    </row>
    <row r="9589">
      <c r="C9589" s="277"/>
      <c r="M9589" s="277"/>
      <c r="O9589" s="247"/>
      <c r="AC9589" s="247"/>
      <c r="AT9589" s="247"/>
    </row>
    <row r="9590">
      <c r="C9590" s="277"/>
      <c r="M9590" s="277"/>
      <c r="O9590" s="247"/>
      <c r="AC9590" s="247"/>
      <c r="AT9590" s="247"/>
    </row>
    <row r="9591">
      <c r="C9591" s="277"/>
      <c r="M9591" s="277"/>
      <c r="O9591" s="247"/>
      <c r="AC9591" s="247"/>
      <c r="AT9591" s="247"/>
    </row>
    <row r="9592">
      <c r="C9592" s="277"/>
      <c r="M9592" s="277"/>
      <c r="O9592" s="247"/>
      <c r="AC9592" s="247"/>
      <c r="AT9592" s="247"/>
    </row>
    <row r="9593">
      <c r="C9593" s="277"/>
      <c r="M9593" s="277"/>
      <c r="O9593" s="247"/>
      <c r="AC9593" s="247"/>
      <c r="AT9593" s="247"/>
    </row>
    <row r="9594">
      <c r="C9594" s="277"/>
      <c r="M9594" s="277"/>
      <c r="O9594" s="247"/>
      <c r="AC9594" s="247"/>
      <c r="AT9594" s="247"/>
    </row>
    <row r="9595">
      <c r="C9595" s="277"/>
      <c r="M9595" s="277"/>
      <c r="O9595" s="247"/>
      <c r="AC9595" s="247"/>
      <c r="AT9595" s="247"/>
    </row>
    <row r="9596">
      <c r="C9596" s="277"/>
      <c r="M9596" s="277"/>
      <c r="O9596" s="247"/>
      <c r="AC9596" s="247"/>
      <c r="AT9596" s="247"/>
    </row>
    <row r="9597">
      <c r="C9597" s="277"/>
      <c r="M9597" s="277"/>
      <c r="O9597" s="247"/>
      <c r="AC9597" s="247"/>
      <c r="AT9597" s="247"/>
    </row>
    <row r="9598">
      <c r="C9598" s="277"/>
      <c r="M9598" s="277"/>
      <c r="O9598" s="247"/>
      <c r="AC9598" s="247"/>
      <c r="AT9598" s="247"/>
    </row>
    <row r="9599">
      <c r="C9599" s="277"/>
      <c r="M9599" s="277"/>
      <c r="O9599" s="247"/>
      <c r="AC9599" s="247"/>
      <c r="AT9599" s="247"/>
    </row>
    <row r="9600">
      <c r="C9600" s="277"/>
      <c r="M9600" s="277"/>
      <c r="O9600" s="247"/>
      <c r="AC9600" s="247"/>
      <c r="AT9600" s="247"/>
    </row>
    <row r="9601">
      <c r="C9601" s="277"/>
      <c r="M9601" s="277"/>
      <c r="O9601" s="247"/>
      <c r="AC9601" s="247"/>
      <c r="AT9601" s="247"/>
    </row>
    <row r="9602">
      <c r="C9602" s="277"/>
      <c r="M9602" s="277"/>
      <c r="O9602" s="247"/>
      <c r="AC9602" s="247"/>
      <c r="AT9602" s="247"/>
    </row>
    <row r="9603">
      <c r="C9603" s="277"/>
      <c r="M9603" s="277"/>
      <c r="O9603" s="247"/>
      <c r="AC9603" s="247"/>
      <c r="AT9603" s="247"/>
    </row>
    <row r="9604">
      <c r="C9604" s="277"/>
      <c r="M9604" s="277"/>
      <c r="O9604" s="247"/>
      <c r="AC9604" s="247"/>
      <c r="AT9604" s="247"/>
    </row>
    <row r="9605">
      <c r="C9605" s="277"/>
      <c r="M9605" s="277"/>
      <c r="O9605" s="247"/>
      <c r="AC9605" s="247"/>
      <c r="AT9605" s="247"/>
    </row>
    <row r="9606">
      <c r="C9606" s="277"/>
      <c r="M9606" s="277"/>
      <c r="O9606" s="247"/>
      <c r="AC9606" s="247"/>
      <c r="AT9606" s="247"/>
    </row>
    <row r="9607">
      <c r="C9607" s="277"/>
      <c r="M9607" s="277"/>
      <c r="O9607" s="247"/>
      <c r="AC9607" s="247"/>
      <c r="AT9607" s="247"/>
    </row>
    <row r="9608">
      <c r="C9608" s="277"/>
      <c r="M9608" s="277"/>
      <c r="O9608" s="247"/>
      <c r="AC9608" s="247"/>
      <c r="AT9608" s="247"/>
    </row>
    <row r="9609">
      <c r="C9609" s="277"/>
      <c r="M9609" s="277"/>
      <c r="O9609" s="247"/>
      <c r="AC9609" s="247"/>
      <c r="AT9609" s="247"/>
    </row>
    <row r="9610">
      <c r="C9610" s="277"/>
      <c r="M9610" s="277"/>
      <c r="O9610" s="247"/>
      <c r="AC9610" s="247"/>
      <c r="AT9610" s="247"/>
    </row>
    <row r="9611">
      <c r="C9611" s="277"/>
      <c r="M9611" s="277"/>
      <c r="O9611" s="247"/>
      <c r="AC9611" s="247"/>
      <c r="AT9611" s="247"/>
    </row>
    <row r="9612">
      <c r="C9612" s="277"/>
      <c r="M9612" s="277"/>
      <c r="O9612" s="247"/>
      <c r="AC9612" s="247"/>
      <c r="AT9612" s="247"/>
    </row>
    <row r="9613">
      <c r="C9613" s="277"/>
      <c r="M9613" s="277"/>
      <c r="O9613" s="247"/>
      <c r="AC9613" s="247"/>
      <c r="AT9613" s="247"/>
    </row>
    <row r="9614">
      <c r="C9614" s="277"/>
      <c r="M9614" s="277"/>
      <c r="O9614" s="247"/>
      <c r="AC9614" s="247"/>
      <c r="AT9614" s="247"/>
    </row>
    <row r="9615">
      <c r="C9615" s="277"/>
      <c r="M9615" s="277"/>
      <c r="O9615" s="247"/>
      <c r="AC9615" s="247"/>
      <c r="AT9615" s="247"/>
    </row>
    <row r="9616">
      <c r="C9616" s="277"/>
      <c r="M9616" s="277"/>
      <c r="O9616" s="247"/>
      <c r="AC9616" s="247"/>
      <c r="AT9616" s="247"/>
    </row>
    <row r="9617">
      <c r="C9617" s="277"/>
      <c r="M9617" s="277"/>
      <c r="O9617" s="247"/>
      <c r="AC9617" s="247"/>
      <c r="AT9617" s="247"/>
    </row>
    <row r="9618">
      <c r="C9618" s="277"/>
      <c r="M9618" s="277"/>
      <c r="O9618" s="247"/>
      <c r="AC9618" s="247"/>
      <c r="AT9618" s="247"/>
    </row>
    <row r="9619">
      <c r="C9619" s="277"/>
      <c r="M9619" s="277"/>
      <c r="O9619" s="247"/>
      <c r="AC9619" s="247"/>
      <c r="AT9619" s="247"/>
    </row>
    <row r="9620">
      <c r="C9620" s="277"/>
      <c r="M9620" s="277"/>
      <c r="O9620" s="247"/>
      <c r="AC9620" s="247"/>
      <c r="AT9620" s="247"/>
    </row>
    <row r="9621">
      <c r="C9621" s="277"/>
      <c r="M9621" s="277"/>
      <c r="O9621" s="247"/>
      <c r="AC9621" s="247"/>
      <c r="AT9621" s="247"/>
    </row>
    <row r="9622">
      <c r="C9622" s="277"/>
      <c r="M9622" s="277"/>
      <c r="O9622" s="247"/>
      <c r="AC9622" s="247"/>
      <c r="AT9622" s="247"/>
    </row>
    <row r="9623">
      <c r="C9623" s="277"/>
      <c r="M9623" s="277"/>
      <c r="O9623" s="247"/>
      <c r="AC9623" s="247"/>
      <c r="AT9623" s="247"/>
    </row>
    <row r="9624">
      <c r="C9624" s="277"/>
      <c r="M9624" s="277"/>
      <c r="O9624" s="247"/>
      <c r="AC9624" s="247"/>
      <c r="AT9624" s="247"/>
    </row>
    <row r="9625">
      <c r="C9625" s="277"/>
      <c r="M9625" s="277"/>
      <c r="O9625" s="247"/>
      <c r="AC9625" s="247"/>
      <c r="AT9625" s="247"/>
    </row>
    <row r="9626">
      <c r="C9626" s="277"/>
      <c r="M9626" s="277"/>
      <c r="O9626" s="247"/>
      <c r="AC9626" s="247"/>
      <c r="AT9626" s="247"/>
    </row>
    <row r="9627">
      <c r="C9627" s="277"/>
      <c r="M9627" s="277"/>
      <c r="O9627" s="247"/>
      <c r="AC9627" s="247"/>
      <c r="AT9627" s="247"/>
    </row>
    <row r="9628">
      <c r="C9628" s="277"/>
      <c r="M9628" s="277"/>
      <c r="O9628" s="247"/>
      <c r="AC9628" s="247"/>
      <c r="AT9628" s="247"/>
    </row>
    <row r="9629">
      <c r="C9629" s="277"/>
      <c r="M9629" s="277"/>
      <c r="O9629" s="247"/>
      <c r="AC9629" s="247"/>
      <c r="AT9629" s="247"/>
    </row>
    <row r="9630">
      <c r="C9630" s="277"/>
      <c r="M9630" s="277"/>
      <c r="O9630" s="247"/>
      <c r="AC9630" s="247"/>
      <c r="AT9630" s="247"/>
    </row>
    <row r="9631">
      <c r="C9631" s="277"/>
      <c r="M9631" s="277"/>
      <c r="O9631" s="247"/>
      <c r="AC9631" s="247"/>
      <c r="AT9631" s="247"/>
    </row>
    <row r="9632">
      <c r="C9632" s="277"/>
      <c r="M9632" s="277"/>
      <c r="O9632" s="247"/>
      <c r="AC9632" s="247"/>
      <c r="AT9632" s="247"/>
    </row>
    <row r="9633">
      <c r="C9633" s="277"/>
      <c r="M9633" s="277"/>
      <c r="O9633" s="247"/>
      <c r="AC9633" s="247"/>
      <c r="AT9633" s="247"/>
    </row>
    <row r="9634">
      <c r="C9634" s="277"/>
      <c r="M9634" s="277"/>
      <c r="O9634" s="247"/>
      <c r="AC9634" s="247"/>
      <c r="AT9634" s="247"/>
    </row>
    <row r="9635">
      <c r="C9635" s="277"/>
      <c r="M9635" s="277"/>
      <c r="O9635" s="247"/>
      <c r="AC9635" s="247"/>
      <c r="AT9635" s="247"/>
    </row>
    <row r="9636">
      <c r="C9636" s="277"/>
      <c r="M9636" s="277"/>
      <c r="O9636" s="247"/>
      <c r="AC9636" s="247"/>
      <c r="AT9636" s="247"/>
    </row>
    <row r="9637">
      <c r="C9637" s="277"/>
      <c r="M9637" s="277"/>
      <c r="O9637" s="247"/>
      <c r="AC9637" s="247"/>
      <c r="AT9637" s="247"/>
    </row>
    <row r="9638">
      <c r="C9638" s="277"/>
      <c r="M9638" s="277"/>
      <c r="O9638" s="247"/>
      <c r="AC9638" s="247"/>
      <c r="AT9638" s="247"/>
    </row>
    <row r="9639">
      <c r="C9639" s="277"/>
      <c r="M9639" s="277"/>
      <c r="O9639" s="247"/>
      <c r="AC9639" s="247"/>
      <c r="AT9639" s="247"/>
    </row>
    <row r="9640">
      <c r="C9640" s="277"/>
      <c r="M9640" s="277"/>
      <c r="O9640" s="247"/>
      <c r="AC9640" s="247"/>
      <c r="AT9640" s="247"/>
    </row>
    <row r="9641">
      <c r="C9641" s="277"/>
      <c r="M9641" s="277"/>
      <c r="O9641" s="247"/>
      <c r="AC9641" s="247"/>
      <c r="AT9641" s="247"/>
    </row>
    <row r="9642">
      <c r="C9642" s="277"/>
      <c r="M9642" s="277"/>
      <c r="O9642" s="247"/>
      <c r="AC9642" s="247"/>
      <c r="AT9642" s="247"/>
    </row>
    <row r="9643">
      <c r="C9643" s="277"/>
      <c r="M9643" s="277"/>
      <c r="O9643" s="247"/>
      <c r="AC9643" s="247"/>
      <c r="AT9643" s="247"/>
    </row>
    <row r="9644">
      <c r="C9644" s="277"/>
      <c r="M9644" s="277"/>
      <c r="O9644" s="247"/>
      <c r="AC9644" s="247"/>
      <c r="AT9644" s="247"/>
    </row>
    <row r="9645">
      <c r="C9645" s="277"/>
      <c r="M9645" s="277"/>
      <c r="O9645" s="247"/>
      <c r="AC9645" s="247"/>
      <c r="AT9645" s="247"/>
    </row>
    <row r="9646">
      <c r="C9646" s="277"/>
      <c r="M9646" s="277"/>
      <c r="O9646" s="247"/>
      <c r="AC9646" s="247"/>
      <c r="AT9646" s="247"/>
    </row>
    <row r="9647">
      <c r="C9647" s="277"/>
      <c r="M9647" s="277"/>
      <c r="O9647" s="247"/>
      <c r="AC9647" s="247"/>
      <c r="AT9647" s="247"/>
    </row>
    <row r="9648">
      <c r="C9648" s="277"/>
      <c r="M9648" s="277"/>
      <c r="O9648" s="247"/>
      <c r="AC9648" s="247"/>
      <c r="AT9648" s="247"/>
    </row>
    <row r="9649">
      <c r="C9649" s="277"/>
      <c r="M9649" s="277"/>
      <c r="O9649" s="247"/>
      <c r="AC9649" s="247"/>
      <c r="AT9649" s="247"/>
    </row>
    <row r="9650">
      <c r="C9650" s="277"/>
      <c r="M9650" s="277"/>
      <c r="O9650" s="247"/>
      <c r="AC9650" s="247"/>
      <c r="AT9650" s="247"/>
    </row>
    <row r="9651">
      <c r="C9651" s="277"/>
      <c r="M9651" s="277"/>
      <c r="O9651" s="247"/>
      <c r="AC9651" s="247"/>
      <c r="AT9651" s="247"/>
    </row>
    <row r="9652">
      <c r="C9652" s="277"/>
      <c r="M9652" s="277"/>
      <c r="O9652" s="247"/>
      <c r="AC9652" s="247"/>
      <c r="AT9652" s="247"/>
    </row>
    <row r="9653">
      <c r="C9653" s="277"/>
      <c r="M9653" s="277"/>
      <c r="O9653" s="247"/>
      <c r="AC9653" s="247"/>
      <c r="AT9653" s="247"/>
    </row>
    <row r="9654">
      <c r="C9654" s="277"/>
      <c r="M9654" s="277"/>
      <c r="O9654" s="247"/>
      <c r="AC9654" s="247"/>
      <c r="AT9654" s="247"/>
    </row>
    <row r="9655">
      <c r="C9655" s="277"/>
      <c r="M9655" s="277"/>
      <c r="O9655" s="247"/>
      <c r="AC9655" s="247"/>
      <c r="AT9655" s="247"/>
    </row>
    <row r="9656">
      <c r="C9656" s="277"/>
      <c r="M9656" s="277"/>
      <c r="O9656" s="247"/>
      <c r="AC9656" s="247"/>
      <c r="AT9656" s="247"/>
    </row>
    <row r="9657">
      <c r="C9657" s="277"/>
      <c r="M9657" s="277"/>
      <c r="O9657" s="247"/>
      <c r="AC9657" s="247"/>
      <c r="AT9657" s="247"/>
    </row>
    <row r="9658">
      <c r="C9658" s="277"/>
      <c r="M9658" s="277"/>
      <c r="O9658" s="247"/>
      <c r="AC9658" s="247"/>
      <c r="AT9658" s="247"/>
    </row>
    <row r="9659">
      <c r="C9659" s="277"/>
      <c r="M9659" s="277"/>
      <c r="O9659" s="247"/>
      <c r="AC9659" s="247"/>
      <c r="AT9659" s="247"/>
    </row>
    <row r="9660">
      <c r="C9660" s="277"/>
      <c r="M9660" s="277"/>
      <c r="O9660" s="247"/>
      <c r="AC9660" s="247"/>
      <c r="AT9660" s="247"/>
    </row>
    <row r="9661">
      <c r="C9661" s="277"/>
      <c r="M9661" s="277"/>
      <c r="O9661" s="247"/>
      <c r="AC9661" s="247"/>
      <c r="AT9661" s="247"/>
    </row>
    <row r="9662">
      <c r="C9662" s="277"/>
      <c r="M9662" s="277"/>
      <c r="O9662" s="247"/>
      <c r="AC9662" s="247"/>
      <c r="AT9662" s="247"/>
    </row>
    <row r="9663">
      <c r="C9663" s="277"/>
      <c r="M9663" s="277"/>
      <c r="O9663" s="247"/>
      <c r="AC9663" s="247"/>
      <c r="AT9663" s="247"/>
    </row>
    <row r="9664">
      <c r="C9664" s="277"/>
      <c r="M9664" s="277"/>
      <c r="O9664" s="247"/>
      <c r="AC9664" s="247"/>
      <c r="AT9664" s="247"/>
    </row>
    <row r="9665">
      <c r="C9665" s="277"/>
      <c r="M9665" s="277"/>
      <c r="O9665" s="247"/>
      <c r="AC9665" s="247"/>
      <c r="AT9665" s="247"/>
    </row>
    <row r="9666">
      <c r="C9666" s="277"/>
      <c r="M9666" s="277"/>
      <c r="O9666" s="247"/>
      <c r="AC9666" s="247"/>
      <c r="AT9666" s="247"/>
    </row>
    <row r="9667">
      <c r="C9667" s="277"/>
      <c r="M9667" s="277"/>
      <c r="O9667" s="247"/>
      <c r="AC9667" s="247"/>
      <c r="AT9667" s="247"/>
    </row>
    <row r="9668">
      <c r="C9668" s="277"/>
      <c r="M9668" s="277"/>
      <c r="O9668" s="247"/>
      <c r="AC9668" s="247"/>
      <c r="AT9668" s="247"/>
    </row>
    <row r="9669">
      <c r="C9669" s="277"/>
      <c r="M9669" s="277"/>
      <c r="O9669" s="247"/>
      <c r="AC9669" s="247"/>
      <c r="AT9669" s="247"/>
    </row>
    <row r="9670">
      <c r="C9670" s="277"/>
      <c r="M9670" s="277"/>
      <c r="O9670" s="247"/>
      <c r="AC9670" s="247"/>
      <c r="AT9670" s="247"/>
    </row>
    <row r="9671">
      <c r="C9671" s="277"/>
      <c r="M9671" s="277"/>
      <c r="O9671" s="247"/>
      <c r="AC9671" s="247"/>
      <c r="AT9671" s="247"/>
    </row>
    <row r="9672">
      <c r="C9672" s="277"/>
      <c r="M9672" s="277"/>
      <c r="O9672" s="247"/>
      <c r="AC9672" s="247"/>
      <c r="AT9672" s="247"/>
    </row>
    <row r="9673">
      <c r="C9673" s="277"/>
      <c r="M9673" s="277"/>
      <c r="O9673" s="247"/>
      <c r="AC9673" s="247"/>
      <c r="AT9673" s="247"/>
    </row>
    <row r="9674">
      <c r="C9674" s="277"/>
      <c r="M9674" s="277"/>
      <c r="O9674" s="247"/>
      <c r="AC9674" s="247"/>
      <c r="AT9674" s="247"/>
    </row>
    <row r="9675">
      <c r="C9675" s="277"/>
      <c r="M9675" s="277"/>
      <c r="O9675" s="247"/>
      <c r="AC9675" s="247"/>
      <c r="AT9675" s="247"/>
    </row>
    <row r="9676">
      <c r="C9676" s="277"/>
      <c r="M9676" s="277"/>
      <c r="O9676" s="247"/>
      <c r="AC9676" s="247"/>
      <c r="AT9676" s="247"/>
    </row>
    <row r="9677">
      <c r="C9677" s="277"/>
      <c r="M9677" s="277"/>
      <c r="O9677" s="247"/>
      <c r="AC9677" s="247"/>
      <c r="AT9677" s="247"/>
    </row>
    <row r="9678">
      <c r="C9678" s="277"/>
      <c r="M9678" s="277"/>
      <c r="O9678" s="247"/>
      <c r="AC9678" s="247"/>
      <c r="AT9678" s="247"/>
    </row>
    <row r="9679">
      <c r="C9679" s="277"/>
      <c r="M9679" s="277"/>
      <c r="O9679" s="247"/>
      <c r="AC9679" s="247"/>
      <c r="AT9679" s="247"/>
    </row>
    <row r="9680">
      <c r="C9680" s="277"/>
      <c r="M9680" s="277"/>
      <c r="O9680" s="247"/>
      <c r="AC9680" s="247"/>
      <c r="AT9680" s="247"/>
    </row>
    <row r="9681">
      <c r="C9681" s="277"/>
      <c r="M9681" s="277"/>
      <c r="O9681" s="247"/>
      <c r="AC9681" s="247"/>
      <c r="AT9681" s="247"/>
    </row>
    <row r="9682">
      <c r="C9682" s="277"/>
      <c r="M9682" s="277"/>
      <c r="O9682" s="247"/>
      <c r="AC9682" s="247"/>
      <c r="AT9682" s="247"/>
    </row>
    <row r="9683">
      <c r="C9683" s="277"/>
      <c r="M9683" s="277"/>
      <c r="O9683" s="247"/>
      <c r="AC9683" s="247"/>
      <c r="AT9683" s="247"/>
    </row>
    <row r="9684">
      <c r="C9684" s="277"/>
      <c r="M9684" s="277"/>
      <c r="O9684" s="247"/>
      <c r="AC9684" s="247"/>
      <c r="AT9684" s="247"/>
    </row>
    <row r="9685">
      <c r="C9685" s="277"/>
      <c r="M9685" s="277"/>
      <c r="O9685" s="247"/>
      <c r="AC9685" s="247"/>
      <c r="AT9685" s="247"/>
    </row>
    <row r="9686">
      <c r="C9686" s="277"/>
      <c r="M9686" s="277"/>
      <c r="O9686" s="247"/>
      <c r="AC9686" s="247"/>
      <c r="AT9686" s="247"/>
    </row>
    <row r="9687">
      <c r="C9687" s="277"/>
      <c r="M9687" s="277"/>
      <c r="O9687" s="247"/>
      <c r="AC9687" s="247"/>
      <c r="AT9687" s="247"/>
    </row>
    <row r="9688">
      <c r="C9688" s="277"/>
      <c r="M9688" s="277"/>
      <c r="O9688" s="247"/>
      <c r="AC9688" s="247"/>
      <c r="AT9688" s="247"/>
    </row>
    <row r="9689">
      <c r="C9689" s="277"/>
      <c r="M9689" s="277"/>
      <c r="O9689" s="247"/>
      <c r="AC9689" s="247"/>
      <c r="AT9689" s="247"/>
    </row>
    <row r="9690">
      <c r="C9690" s="277"/>
      <c r="M9690" s="277"/>
      <c r="O9690" s="247"/>
      <c r="AC9690" s="247"/>
      <c r="AT9690" s="247"/>
    </row>
    <row r="9691">
      <c r="C9691" s="277"/>
      <c r="M9691" s="277"/>
      <c r="O9691" s="247"/>
      <c r="AC9691" s="247"/>
      <c r="AT9691" s="247"/>
    </row>
    <row r="9692">
      <c r="C9692" s="277"/>
      <c r="M9692" s="277"/>
      <c r="O9692" s="247"/>
      <c r="AC9692" s="247"/>
      <c r="AT9692" s="247"/>
    </row>
    <row r="9693">
      <c r="C9693" s="277"/>
      <c r="M9693" s="277"/>
      <c r="O9693" s="247"/>
      <c r="AC9693" s="247"/>
      <c r="AT9693" s="247"/>
    </row>
    <row r="9694">
      <c r="C9694" s="277"/>
      <c r="M9694" s="277"/>
      <c r="O9694" s="247"/>
      <c r="AC9694" s="247"/>
      <c r="AT9694" s="247"/>
    </row>
    <row r="9695">
      <c r="C9695" s="277"/>
      <c r="M9695" s="277"/>
      <c r="O9695" s="247"/>
      <c r="AC9695" s="247"/>
      <c r="AT9695" s="247"/>
    </row>
    <row r="9696">
      <c r="C9696" s="277"/>
      <c r="M9696" s="277"/>
      <c r="O9696" s="247"/>
      <c r="AC9696" s="247"/>
      <c r="AT9696" s="247"/>
    </row>
    <row r="9697">
      <c r="C9697" s="277"/>
      <c r="M9697" s="277"/>
      <c r="O9697" s="247"/>
      <c r="AC9697" s="247"/>
      <c r="AT9697" s="247"/>
    </row>
    <row r="9698">
      <c r="C9698" s="277"/>
      <c r="M9698" s="277"/>
      <c r="O9698" s="247"/>
      <c r="AC9698" s="247"/>
      <c r="AT9698" s="247"/>
    </row>
    <row r="9699">
      <c r="C9699" s="277"/>
      <c r="M9699" s="277"/>
      <c r="O9699" s="247"/>
      <c r="AC9699" s="247"/>
      <c r="AT9699" s="247"/>
    </row>
    <row r="9700">
      <c r="C9700" s="277"/>
      <c r="M9700" s="277"/>
      <c r="O9700" s="247"/>
      <c r="AC9700" s="247"/>
      <c r="AT9700" s="247"/>
    </row>
    <row r="9701">
      <c r="C9701" s="277"/>
      <c r="M9701" s="277"/>
      <c r="O9701" s="247"/>
      <c r="AC9701" s="247"/>
      <c r="AT9701" s="247"/>
    </row>
    <row r="9702">
      <c r="C9702" s="277"/>
      <c r="M9702" s="277"/>
      <c r="O9702" s="247"/>
      <c r="AC9702" s="247"/>
      <c r="AT9702" s="247"/>
    </row>
    <row r="9703">
      <c r="C9703" s="277"/>
      <c r="M9703" s="277"/>
      <c r="O9703" s="247"/>
      <c r="AC9703" s="247"/>
      <c r="AT9703" s="247"/>
    </row>
    <row r="9704">
      <c r="C9704" s="277"/>
      <c r="M9704" s="277"/>
      <c r="O9704" s="247"/>
      <c r="AC9704" s="247"/>
      <c r="AT9704" s="247"/>
    </row>
    <row r="9705">
      <c r="C9705" s="277"/>
      <c r="M9705" s="277"/>
      <c r="O9705" s="247"/>
      <c r="AC9705" s="247"/>
      <c r="AT9705" s="247"/>
    </row>
    <row r="9706">
      <c r="C9706" s="277"/>
      <c r="M9706" s="277"/>
      <c r="O9706" s="247"/>
      <c r="AC9706" s="247"/>
      <c r="AT9706" s="247"/>
    </row>
    <row r="9707">
      <c r="C9707" s="277"/>
      <c r="M9707" s="277"/>
      <c r="O9707" s="247"/>
      <c r="AC9707" s="247"/>
      <c r="AT9707" s="247"/>
    </row>
    <row r="9708">
      <c r="C9708" s="277"/>
      <c r="M9708" s="277"/>
      <c r="O9708" s="247"/>
      <c r="AC9708" s="247"/>
      <c r="AT9708" s="247"/>
    </row>
    <row r="9709">
      <c r="C9709" s="277"/>
      <c r="M9709" s="277"/>
      <c r="O9709" s="247"/>
      <c r="AC9709" s="247"/>
      <c r="AT9709" s="247"/>
    </row>
    <row r="9710">
      <c r="C9710" s="277"/>
      <c r="M9710" s="277"/>
      <c r="O9710" s="247"/>
      <c r="AC9710" s="247"/>
      <c r="AT9710" s="247"/>
    </row>
    <row r="9711">
      <c r="C9711" s="277"/>
      <c r="M9711" s="277"/>
      <c r="O9711" s="247"/>
      <c r="AC9711" s="247"/>
      <c r="AT9711" s="247"/>
    </row>
    <row r="9712">
      <c r="C9712" s="277"/>
      <c r="M9712" s="277"/>
      <c r="O9712" s="247"/>
      <c r="AC9712" s="247"/>
      <c r="AT9712" s="247"/>
    </row>
    <row r="9713">
      <c r="C9713" s="277"/>
      <c r="M9713" s="277"/>
      <c r="O9713" s="247"/>
      <c r="AC9713" s="247"/>
      <c r="AT9713" s="247"/>
    </row>
    <row r="9714">
      <c r="C9714" s="277"/>
      <c r="M9714" s="277"/>
      <c r="O9714" s="247"/>
      <c r="AC9714" s="247"/>
      <c r="AT9714" s="247"/>
    </row>
    <row r="9715">
      <c r="C9715" s="277"/>
      <c r="M9715" s="277"/>
      <c r="O9715" s="247"/>
      <c r="AC9715" s="247"/>
      <c r="AT9715" s="247"/>
    </row>
    <row r="9716">
      <c r="C9716" s="277"/>
      <c r="M9716" s="277"/>
      <c r="O9716" s="247"/>
      <c r="AC9716" s="247"/>
      <c r="AT9716" s="247"/>
    </row>
    <row r="9717">
      <c r="C9717" s="277"/>
      <c r="M9717" s="277"/>
      <c r="O9717" s="247"/>
      <c r="AC9717" s="247"/>
      <c r="AT9717" s="247"/>
    </row>
    <row r="9718">
      <c r="C9718" s="277"/>
      <c r="M9718" s="277"/>
      <c r="O9718" s="247"/>
      <c r="AC9718" s="247"/>
      <c r="AT9718" s="247"/>
    </row>
    <row r="9719">
      <c r="C9719" s="277"/>
      <c r="M9719" s="277"/>
      <c r="O9719" s="247"/>
      <c r="AC9719" s="247"/>
      <c r="AT9719" s="247"/>
    </row>
    <row r="9720">
      <c r="C9720" s="277"/>
      <c r="M9720" s="277"/>
      <c r="O9720" s="247"/>
      <c r="AC9720" s="247"/>
      <c r="AT9720" s="247"/>
    </row>
    <row r="9721">
      <c r="C9721" s="277"/>
      <c r="M9721" s="277"/>
      <c r="O9721" s="247"/>
      <c r="AC9721" s="247"/>
      <c r="AT9721" s="247"/>
    </row>
    <row r="9722">
      <c r="C9722" s="277"/>
      <c r="M9722" s="277"/>
      <c r="O9722" s="247"/>
      <c r="AC9722" s="247"/>
      <c r="AT9722" s="247"/>
    </row>
    <row r="9723">
      <c r="C9723" s="277"/>
      <c r="M9723" s="277"/>
      <c r="O9723" s="247"/>
      <c r="AC9723" s="247"/>
      <c r="AT9723" s="247"/>
    </row>
    <row r="9724">
      <c r="C9724" s="277"/>
      <c r="M9724" s="277"/>
      <c r="O9724" s="247"/>
      <c r="AC9724" s="247"/>
      <c r="AT9724" s="247"/>
    </row>
    <row r="9725">
      <c r="C9725" s="277"/>
      <c r="M9725" s="277"/>
      <c r="O9725" s="247"/>
      <c r="AC9725" s="247"/>
      <c r="AT9725" s="247"/>
    </row>
    <row r="9726">
      <c r="C9726" s="277"/>
      <c r="M9726" s="277"/>
      <c r="O9726" s="247"/>
      <c r="AC9726" s="247"/>
      <c r="AT9726" s="247"/>
    </row>
    <row r="9727">
      <c r="C9727" s="277"/>
      <c r="M9727" s="277"/>
      <c r="O9727" s="247"/>
      <c r="AC9727" s="247"/>
      <c r="AT9727" s="247"/>
    </row>
    <row r="9728">
      <c r="C9728" s="277"/>
      <c r="M9728" s="277"/>
      <c r="O9728" s="247"/>
      <c r="AC9728" s="247"/>
      <c r="AT9728" s="247"/>
    </row>
    <row r="9729">
      <c r="C9729" s="277"/>
      <c r="M9729" s="277"/>
      <c r="O9729" s="247"/>
      <c r="AC9729" s="247"/>
      <c r="AT9729" s="247"/>
    </row>
    <row r="9730">
      <c r="C9730" s="277"/>
      <c r="M9730" s="277"/>
      <c r="O9730" s="247"/>
      <c r="AC9730" s="247"/>
      <c r="AT9730" s="247"/>
    </row>
    <row r="9731">
      <c r="C9731" s="277"/>
      <c r="M9731" s="277"/>
      <c r="O9731" s="247"/>
      <c r="AC9731" s="247"/>
      <c r="AT9731" s="247"/>
    </row>
    <row r="9732">
      <c r="C9732" s="277"/>
      <c r="M9732" s="277"/>
      <c r="O9732" s="247"/>
      <c r="AC9732" s="247"/>
      <c r="AT9732" s="247"/>
    </row>
    <row r="9733">
      <c r="C9733" s="277"/>
      <c r="M9733" s="277"/>
      <c r="O9733" s="247"/>
      <c r="AC9733" s="247"/>
      <c r="AT9733" s="247"/>
    </row>
    <row r="9734">
      <c r="C9734" s="277"/>
      <c r="M9734" s="277"/>
      <c r="O9734" s="247"/>
      <c r="AC9734" s="247"/>
      <c r="AT9734" s="247"/>
    </row>
    <row r="9735">
      <c r="C9735" s="277"/>
      <c r="M9735" s="277"/>
      <c r="O9735" s="247"/>
      <c r="AC9735" s="247"/>
      <c r="AT9735" s="247"/>
    </row>
    <row r="9736">
      <c r="C9736" s="277"/>
      <c r="M9736" s="277"/>
      <c r="O9736" s="247"/>
      <c r="AC9736" s="247"/>
      <c r="AT9736" s="247"/>
    </row>
    <row r="9737">
      <c r="C9737" s="277"/>
      <c r="M9737" s="277"/>
      <c r="O9737" s="247"/>
      <c r="AC9737" s="247"/>
      <c r="AT9737" s="247"/>
    </row>
    <row r="9738">
      <c r="C9738" s="277"/>
      <c r="M9738" s="277"/>
      <c r="O9738" s="247"/>
      <c r="AC9738" s="247"/>
      <c r="AT9738" s="247"/>
    </row>
    <row r="9739">
      <c r="C9739" s="277"/>
      <c r="M9739" s="277"/>
      <c r="O9739" s="247"/>
      <c r="AC9739" s="247"/>
      <c r="AT9739" s="247"/>
    </row>
    <row r="9740">
      <c r="C9740" s="277"/>
      <c r="M9740" s="277"/>
      <c r="O9740" s="247"/>
      <c r="AC9740" s="247"/>
      <c r="AT9740" s="247"/>
    </row>
    <row r="9741">
      <c r="C9741" s="277"/>
      <c r="M9741" s="277"/>
      <c r="O9741" s="247"/>
      <c r="AC9741" s="247"/>
      <c r="AT9741" s="247"/>
    </row>
    <row r="9742">
      <c r="C9742" s="277"/>
      <c r="M9742" s="277"/>
      <c r="O9742" s="247"/>
      <c r="AC9742" s="247"/>
      <c r="AT9742" s="247"/>
    </row>
    <row r="9743">
      <c r="C9743" s="277"/>
      <c r="M9743" s="277"/>
      <c r="O9743" s="247"/>
      <c r="AC9743" s="247"/>
      <c r="AT9743" s="247"/>
    </row>
    <row r="9744">
      <c r="C9744" s="277"/>
      <c r="M9744" s="277"/>
      <c r="O9744" s="247"/>
      <c r="AC9744" s="247"/>
      <c r="AT9744" s="247"/>
    </row>
    <row r="9745">
      <c r="C9745" s="277"/>
      <c r="M9745" s="277"/>
      <c r="O9745" s="247"/>
      <c r="AC9745" s="247"/>
      <c r="AT9745" s="247"/>
    </row>
    <row r="9746">
      <c r="C9746" s="277"/>
      <c r="M9746" s="277"/>
      <c r="O9746" s="247"/>
      <c r="AC9746" s="247"/>
      <c r="AT9746" s="247"/>
    </row>
    <row r="9747">
      <c r="C9747" s="277"/>
      <c r="M9747" s="277"/>
      <c r="O9747" s="247"/>
      <c r="AC9747" s="247"/>
      <c r="AT9747" s="247"/>
    </row>
    <row r="9748">
      <c r="C9748" s="277"/>
      <c r="M9748" s="277"/>
      <c r="O9748" s="247"/>
      <c r="AC9748" s="247"/>
      <c r="AT9748" s="247"/>
    </row>
    <row r="9749">
      <c r="C9749" s="277"/>
      <c r="M9749" s="277"/>
      <c r="O9749" s="247"/>
      <c r="AC9749" s="247"/>
      <c r="AT9749" s="247"/>
    </row>
    <row r="9750">
      <c r="C9750" s="277"/>
      <c r="M9750" s="277"/>
      <c r="O9750" s="247"/>
      <c r="AC9750" s="247"/>
      <c r="AT9750" s="247"/>
    </row>
    <row r="9751">
      <c r="C9751" s="277"/>
      <c r="M9751" s="277"/>
      <c r="O9751" s="247"/>
      <c r="AC9751" s="247"/>
      <c r="AT9751" s="247"/>
    </row>
    <row r="9752">
      <c r="C9752" s="277"/>
      <c r="M9752" s="277"/>
      <c r="O9752" s="247"/>
      <c r="AC9752" s="247"/>
      <c r="AT9752" s="247"/>
    </row>
    <row r="9753">
      <c r="C9753" s="277"/>
      <c r="M9753" s="277"/>
      <c r="O9753" s="247"/>
      <c r="AC9753" s="247"/>
      <c r="AT9753" s="247"/>
    </row>
    <row r="9754">
      <c r="C9754" s="277"/>
      <c r="M9754" s="277"/>
      <c r="O9754" s="247"/>
      <c r="AC9754" s="247"/>
      <c r="AT9754" s="247"/>
    </row>
    <row r="9755">
      <c r="C9755" s="277"/>
      <c r="M9755" s="277"/>
      <c r="O9755" s="247"/>
      <c r="AC9755" s="247"/>
      <c r="AT9755" s="247"/>
    </row>
    <row r="9756">
      <c r="C9756" s="277"/>
      <c r="M9756" s="277"/>
      <c r="O9756" s="247"/>
      <c r="AC9756" s="247"/>
      <c r="AT9756" s="247"/>
    </row>
    <row r="9757">
      <c r="C9757" s="277"/>
      <c r="M9757" s="277"/>
      <c r="O9757" s="247"/>
      <c r="AC9757" s="247"/>
      <c r="AT9757" s="247"/>
    </row>
    <row r="9758">
      <c r="C9758" s="277"/>
      <c r="M9758" s="277"/>
      <c r="O9758" s="247"/>
      <c r="AC9758" s="247"/>
      <c r="AT9758" s="247"/>
    </row>
    <row r="9759">
      <c r="C9759" s="277"/>
      <c r="M9759" s="277"/>
      <c r="O9759" s="247"/>
      <c r="AC9759" s="247"/>
      <c r="AT9759" s="247"/>
    </row>
    <row r="9760">
      <c r="C9760" s="277"/>
      <c r="M9760" s="277"/>
      <c r="O9760" s="247"/>
      <c r="AC9760" s="247"/>
      <c r="AT9760" s="247"/>
    </row>
    <row r="9761">
      <c r="C9761" s="277"/>
      <c r="M9761" s="277"/>
      <c r="O9761" s="247"/>
      <c r="AC9761" s="247"/>
      <c r="AT9761" s="247"/>
    </row>
    <row r="9762">
      <c r="C9762" s="277"/>
      <c r="M9762" s="277"/>
      <c r="O9762" s="247"/>
      <c r="AC9762" s="247"/>
      <c r="AT9762" s="247"/>
    </row>
    <row r="9763">
      <c r="C9763" s="277"/>
      <c r="M9763" s="277"/>
      <c r="O9763" s="247"/>
      <c r="AC9763" s="247"/>
      <c r="AT9763" s="247"/>
    </row>
    <row r="9764">
      <c r="C9764" s="277"/>
      <c r="M9764" s="277"/>
      <c r="O9764" s="247"/>
      <c r="AC9764" s="247"/>
      <c r="AT9764" s="247"/>
    </row>
    <row r="9765">
      <c r="C9765" s="277"/>
      <c r="M9765" s="277"/>
      <c r="O9765" s="247"/>
      <c r="AC9765" s="247"/>
      <c r="AT9765" s="247"/>
    </row>
    <row r="9766">
      <c r="C9766" s="277"/>
      <c r="M9766" s="277"/>
      <c r="O9766" s="247"/>
      <c r="AC9766" s="247"/>
      <c r="AT9766" s="247"/>
    </row>
    <row r="9767">
      <c r="C9767" s="277"/>
      <c r="M9767" s="277"/>
      <c r="O9767" s="247"/>
      <c r="AC9767" s="247"/>
      <c r="AT9767" s="247"/>
    </row>
    <row r="9768">
      <c r="C9768" s="277"/>
      <c r="M9768" s="277"/>
      <c r="O9768" s="247"/>
      <c r="AC9768" s="247"/>
      <c r="AT9768" s="247"/>
    </row>
    <row r="9769">
      <c r="C9769" s="277"/>
      <c r="M9769" s="277"/>
      <c r="O9769" s="247"/>
      <c r="AC9769" s="247"/>
      <c r="AT9769" s="247"/>
    </row>
    <row r="9770">
      <c r="C9770" s="277"/>
      <c r="M9770" s="277"/>
      <c r="O9770" s="247"/>
      <c r="AC9770" s="247"/>
      <c r="AT9770" s="247"/>
    </row>
    <row r="9771">
      <c r="C9771" s="277"/>
      <c r="M9771" s="277"/>
      <c r="O9771" s="247"/>
      <c r="AC9771" s="247"/>
      <c r="AT9771" s="247"/>
    </row>
    <row r="9772">
      <c r="C9772" s="277"/>
      <c r="M9772" s="277"/>
      <c r="O9772" s="247"/>
      <c r="AC9772" s="247"/>
      <c r="AT9772" s="247"/>
    </row>
    <row r="9773">
      <c r="C9773" s="277"/>
      <c r="M9773" s="277"/>
      <c r="O9773" s="247"/>
      <c r="AC9773" s="247"/>
      <c r="AT9773" s="247"/>
    </row>
    <row r="9774">
      <c r="C9774" s="277"/>
      <c r="M9774" s="277"/>
      <c r="O9774" s="247"/>
      <c r="AC9774" s="247"/>
      <c r="AT9774" s="247"/>
    </row>
    <row r="9775">
      <c r="C9775" s="277"/>
      <c r="M9775" s="277"/>
      <c r="O9775" s="247"/>
      <c r="AC9775" s="247"/>
      <c r="AT9775" s="247"/>
    </row>
    <row r="9776">
      <c r="C9776" s="277"/>
      <c r="M9776" s="277"/>
      <c r="O9776" s="247"/>
      <c r="AC9776" s="247"/>
      <c r="AT9776" s="247"/>
    </row>
    <row r="9777">
      <c r="C9777" s="277"/>
      <c r="M9777" s="277"/>
      <c r="O9777" s="247"/>
      <c r="AC9777" s="247"/>
      <c r="AT9777" s="247"/>
    </row>
    <row r="9778">
      <c r="C9778" s="277"/>
      <c r="M9778" s="277"/>
      <c r="O9778" s="247"/>
      <c r="AC9778" s="247"/>
      <c r="AT9778" s="247"/>
    </row>
    <row r="9779">
      <c r="C9779" s="277"/>
      <c r="M9779" s="277"/>
      <c r="O9779" s="247"/>
      <c r="AC9779" s="247"/>
      <c r="AT9779" s="247"/>
    </row>
    <row r="9780">
      <c r="C9780" s="277"/>
      <c r="M9780" s="277"/>
      <c r="O9780" s="247"/>
      <c r="AC9780" s="247"/>
      <c r="AT9780" s="247"/>
    </row>
    <row r="9781">
      <c r="C9781" s="277"/>
      <c r="M9781" s="277"/>
      <c r="O9781" s="247"/>
      <c r="AC9781" s="247"/>
      <c r="AT9781" s="247"/>
    </row>
    <row r="9782">
      <c r="C9782" s="277"/>
      <c r="M9782" s="277"/>
      <c r="O9782" s="247"/>
      <c r="AC9782" s="247"/>
      <c r="AT9782" s="247"/>
    </row>
    <row r="9783">
      <c r="C9783" s="277"/>
      <c r="M9783" s="277"/>
      <c r="O9783" s="247"/>
      <c r="AC9783" s="247"/>
      <c r="AT9783" s="247"/>
    </row>
    <row r="9784">
      <c r="C9784" s="277"/>
      <c r="M9784" s="277"/>
      <c r="O9784" s="247"/>
      <c r="AC9784" s="247"/>
      <c r="AT9784" s="247"/>
    </row>
    <row r="9785">
      <c r="C9785" s="277"/>
      <c r="M9785" s="277"/>
      <c r="O9785" s="247"/>
      <c r="AC9785" s="247"/>
      <c r="AT9785" s="247"/>
    </row>
    <row r="9786">
      <c r="C9786" s="277"/>
      <c r="M9786" s="277"/>
      <c r="O9786" s="247"/>
      <c r="AC9786" s="247"/>
      <c r="AT9786" s="247"/>
    </row>
    <row r="9787">
      <c r="C9787" s="277"/>
      <c r="M9787" s="277"/>
      <c r="O9787" s="247"/>
      <c r="AC9787" s="247"/>
      <c r="AT9787" s="247"/>
    </row>
    <row r="9788">
      <c r="C9788" s="277"/>
      <c r="M9788" s="277"/>
      <c r="O9788" s="247"/>
      <c r="AC9788" s="247"/>
      <c r="AT9788" s="247"/>
    </row>
    <row r="9789">
      <c r="C9789" s="277"/>
      <c r="M9789" s="277"/>
      <c r="O9789" s="247"/>
      <c r="AC9789" s="247"/>
      <c r="AT9789" s="247"/>
    </row>
    <row r="9790">
      <c r="C9790" s="277"/>
      <c r="M9790" s="277"/>
      <c r="O9790" s="247"/>
      <c r="AC9790" s="247"/>
      <c r="AT9790" s="247"/>
    </row>
    <row r="9791">
      <c r="C9791" s="277"/>
      <c r="M9791" s="277"/>
      <c r="O9791" s="247"/>
      <c r="AC9791" s="247"/>
      <c r="AT9791" s="247"/>
    </row>
    <row r="9792">
      <c r="C9792" s="277"/>
      <c r="M9792" s="277"/>
      <c r="O9792" s="247"/>
      <c r="AC9792" s="247"/>
      <c r="AT9792" s="247"/>
    </row>
    <row r="9793">
      <c r="C9793" s="277"/>
      <c r="M9793" s="277"/>
      <c r="O9793" s="247"/>
      <c r="AC9793" s="247"/>
      <c r="AT9793" s="247"/>
    </row>
    <row r="9794">
      <c r="C9794" s="277"/>
      <c r="M9794" s="277"/>
      <c r="O9794" s="247"/>
      <c r="AC9794" s="247"/>
      <c r="AT9794" s="247"/>
    </row>
    <row r="9795">
      <c r="C9795" s="277"/>
      <c r="M9795" s="277"/>
      <c r="O9795" s="247"/>
      <c r="AC9795" s="247"/>
      <c r="AT9795" s="247"/>
    </row>
    <row r="9796">
      <c r="C9796" s="277"/>
      <c r="M9796" s="277"/>
      <c r="O9796" s="247"/>
      <c r="AC9796" s="247"/>
      <c r="AT9796" s="247"/>
    </row>
    <row r="9797">
      <c r="C9797" s="277"/>
      <c r="M9797" s="277"/>
      <c r="O9797" s="247"/>
      <c r="AC9797" s="247"/>
      <c r="AT9797" s="247"/>
    </row>
    <row r="9798">
      <c r="C9798" s="277"/>
      <c r="M9798" s="277"/>
      <c r="O9798" s="247"/>
      <c r="AC9798" s="247"/>
      <c r="AT9798" s="247"/>
    </row>
    <row r="9799">
      <c r="C9799" s="277"/>
      <c r="M9799" s="277"/>
      <c r="O9799" s="247"/>
      <c r="AC9799" s="247"/>
      <c r="AT9799" s="247"/>
    </row>
    <row r="9800">
      <c r="C9800" s="277"/>
      <c r="M9800" s="277"/>
      <c r="O9800" s="247"/>
      <c r="AC9800" s="247"/>
      <c r="AT9800" s="247"/>
    </row>
    <row r="9801">
      <c r="C9801" s="277"/>
      <c r="M9801" s="277"/>
      <c r="O9801" s="247"/>
      <c r="AC9801" s="247"/>
      <c r="AT9801" s="247"/>
    </row>
    <row r="9802">
      <c r="C9802" s="277"/>
      <c r="M9802" s="277"/>
      <c r="O9802" s="247"/>
      <c r="AC9802" s="247"/>
      <c r="AT9802" s="247"/>
    </row>
    <row r="9803">
      <c r="C9803" s="277"/>
      <c r="M9803" s="277"/>
      <c r="O9803" s="247"/>
      <c r="AC9803" s="247"/>
      <c r="AT9803" s="247"/>
    </row>
    <row r="9804">
      <c r="C9804" s="277"/>
      <c r="M9804" s="277"/>
      <c r="O9804" s="247"/>
      <c r="AC9804" s="247"/>
      <c r="AT9804" s="247"/>
    </row>
    <row r="9805">
      <c r="C9805" s="277"/>
      <c r="M9805" s="277"/>
      <c r="O9805" s="247"/>
      <c r="AC9805" s="247"/>
      <c r="AT9805" s="247"/>
    </row>
    <row r="9806">
      <c r="C9806" s="277"/>
      <c r="M9806" s="277"/>
      <c r="O9806" s="247"/>
      <c r="AC9806" s="247"/>
      <c r="AT9806" s="247"/>
    </row>
    <row r="9807">
      <c r="C9807" s="277"/>
      <c r="M9807" s="277"/>
      <c r="O9807" s="247"/>
      <c r="AC9807" s="247"/>
      <c r="AT9807" s="247"/>
    </row>
    <row r="9808">
      <c r="C9808" s="277"/>
      <c r="M9808" s="277"/>
      <c r="O9808" s="247"/>
      <c r="AC9808" s="247"/>
      <c r="AT9808" s="247"/>
    </row>
    <row r="9809">
      <c r="C9809" s="277"/>
      <c r="M9809" s="277"/>
      <c r="O9809" s="247"/>
      <c r="AC9809" s="247"/>
      <c r="AT9809" s="247"/>
    </row>
    <row r="9810">
      <c r="C9810" s="277"/>
      <c r="M9810" s="277"/>
      <c r="O9810" s="247"/>
      <c r="AC9810" s="247"/>
      <c r="AT9810" s="247"/>
    </row>
    <row r="9811">
      <c r="C9811" s="277"/>
      <c r="M9811" s="277"/>
      <c r="O9811" s="247"/>
      <c r="AC9811" s="247"/>
      <c r="AT9811" s="247"/>
    </row>
    <row r="9812">
      <c r="C9812" s="277"/>
      <c r="M9812" s="277"/>
      <c r="O9812" s="247"/>
      <c r="AC9812" s="247"/>
      <c r="AT9812" s="247"/>
    </row>
    <row r="9813">
      <c r="C9813" s="277"/>
      <c r="M9813" s="277"/>
      <c r="O9813" s="247"/>
      <c r="AC9813" s="247"/>
      <c r="AT9813" s="247"/>
    </row>
    <row r="9814">
      <c r="C9814" s="277"/>
      <c r="M9814" s="277"/>
      <c r="O9814" s="247"/>
      <c r="AC9814" s="247"/>
      <c r="AT9814" s="247"/>
    </row>
    <row r="9815">
      <c r="C9815" s="277"/>
      <c r="M9815" s="277"/>
      <c r="O9815" s="247"/>
      <c r="AC9815" s="247"/>
      <c r="AT9815" s="247"/>
    </row>
    <row r="9816">
      <c r="C9816" s="277"/>
      <c r="M9816" s="277"/>
      <c r="O9816" s="247"/>
      <c r="AC9816" s="247"/>
      <c r="AT9816" s="247"/>
    </row>
    <row r="9817">
      <c r="C9817" s="277"/>
      <c r="M9817" s="277"/>
      <c r="O9817" s="247"/>
      <c r="AC9817" s="247"/>
      <c r="AT9817" s="247"/>
    </row>
    <row r="9818">
      <c r="C9818" s="277"/>
      <c r="M9818" s="277"/>
      <c r="O9818" s="247"/>
      <c r="AC9818" s="247"/>
      <c r="AT9818" s="247"/>
    </row>
    <row r="9819">
      <c r="C9819" s="277"/>
      <c r="M9819" s="277"/>
      <c r="O9819" s="247"/>
      <c r="AC9819" s="247"/>
      <c r="AT9819" s="247"/>
    </row>
    <row r="9820">
      <c r="C9820" s="277"/>
      <c r="M9820" s="277"/>
      <c r="O9820" s="247"/>
      <c r="AC9820" s="247"/>
      <c r="AT9820" s="247"/>
    </row>
    <row r="9821">
      <c r="C9821" s="277"/>
      <c r="M9821" s="277"/>
      <c r="O9821" s="247"/>
      <c r="AC9821" s="247"/>
      <c r="AT9821" s="247"/>
    </row>
    <row r="9822">
      <c r="C9822" s="277"/>
      <c r="M9822" s="277"/>
      <c r="O9822" s="247"/>
      <c r="AC9822" s="247"/>
      <c r="AT9822" s="247"/>
    </row>
    <row r="9823">
      <c r="C9823" s="277"/>
      <c r="M9823" s="277"/>
      <c r="O9823" s="247"/>
      <c r="AC9823" s="247"/>
      <c r="AT9823" s="247"/>
    </row>
    <row r="9824">
      <c r="C9824" s="277"/>
      <c r="M9824" s="277"/>
      <c r="O9824" s="247"/>
      <c r="AC9824" s="247"/>
      <c r="AT9824" s="247"/>
    </row>
    <row r="9825">
      <c r="C9825" s="277"/>
      <c r="M9825" s="277"/>
      <c r="O9825" s="247"/>
      <c r="AC9825" s="247"/>
      <c r="AT9825" s="247"/>
    </row>
    <row r="9826">
      <c r="C9826" s="277"/>
      <c r="M9826" s="277"/>
      <c r="O9826" s="247"/>
      <c r="AC9826" s="247"/>
      <c r="AT9826" s="247"/>
    </row>
    <row r="9827">
      <c r="C9827" s="277"/>
      <c r="M9827" s="277"/>
      <c r="O9827" s="247"/>
      <c r="AC9827" s="247"/>
      <c r="AT9827" s="247"/>
    </row>
    <row r="9828">
      <c r="C9828" s="277"/>
      <c r="M9828" s="277"/>
      <c r="O9828" s="247"/>
      <c r="AC9828" s="247"/>
      <c r="AT9828" s="247"/>
    </row>
    <row r="9829">
      <c r="C9829" s="277"/>
      <c r="M9829" s="277"/>
      <c r="O9829" s="247"/>
      <c r="AC9829" s="247"/>
      <c r="AT9829" s="247"/>
    </row>
    <row r="9830">
      <c r="C9830" s="277"/>
      <c r="M9830" s="277"/>
      <c r="O9830" s="247"/>
      <c r="AC9830" s="247"/>
      <c r="AT9830" s="247"/>
    </row>
    <row r="9831">
      <c r="C9831" s="277"/>
      <c r="M9831" s="277"/>
      <c r="O9831" s="247"/>
      <c r="AC9831" s="247"/>
      <c r="AT9831" s="247"/>
    </row>
    <row r="9832">
      <c r="C9832" s="277"/>
      <c r="M9832" s="277"/>
      <c r="O9832" s="247"/>
      <c r="AC9832" s="247"/>
      <c r="AT9832" s="247"/>
    </row>
    <row r="9833">
      <c r="C9833" s="277"/>
      <c r="M9833" s="277"/>
      <c r="O9833" s="247"/>
      <c r="AC9833" s="247"/>
      <c r="AT9833" s="247"/>
    </row>
    <row r="9834">
      <c r="C9834" s="277"/>
      <c r="M9834" s="277"/>
      <c r="O9834" s="247"/>
      <c r="AC9834" s="247"/>
      <c r="AT9834" s="247"/>
    </row>
    <row r="9835">
      <c r="C9835" s="277"/>
      <c r="M9835" s="277"/>
      <c r="O9835" s="247"/>
      <c r="AC9835" s="247"/>
      <c r="AT9835" s="247"/>
    </row>
    <row r="9836">
      <c r="C9836" s="277"/>
      <c r="M9836" s="277"/>
      <c r="O9836" s="247"/>
      <c r="AC9836" s="247"/>
      <c r="AT9836" s="247"/>
    </row>
    <row r="9837">
      <c r="C9837" s="277"/>
      <c r="M9837" s="277"/>
      <c r="O9837" s="247"/>
      <c r="AC9837" s="247"/>
      <c r="AT9837" s="247"/>
    </row>
    <row r="9838">
      <c r="C9838" s="277"/>
      <c r="M9838" s="277"/>
      <c r="O9838" s="247"/>
      <c r="AC9838" s="247"/>
      <c r="AT9838" s="247"/>
    </row>
    <row r="9839">
      <c r="C9839" s="277"/>
      <c r="M9839" s="277"/>
      <c r="O9839" s="247"/>
      <c r="AC9839" s="247"/>
      <c r="AT9839" s="247"/>
    </row>
    <row r="9840">
      <c r="C9840" s="277"/>
      <c r="M9840" s="277"/>
      <c r="O9840" s="247"/>
      <c r="AC9840" s="247"/>
      <c r="AT9840" s="247"/>
    </row>
    <row r="9841">
      <c r="C9841" s="277"/>
      <c r="M9841" s="277"/>
      <c r="O9841" s="247"/>
      <c r="AC9841" s="247"/>
      <c r="AT9841" s="247"/>
    </row>
    <row r="9842">
      <c r="C9842" s="277"/>
      <c r="M9842" s="277"/>
      <c r="O9842" s="247"/>
      <c r="AC9842" s="247"/>
      <c r="AT9842" s="247"/>
    </row>
    <row r="9843">
      <c r="C9843" s="277"/>
      <c r="M9843" s="277"/>
      <c r="O9843" s="247"/>
      <c r="AC9843" s="247"/>
      <c r="AT9843" s="247"/>
    </row>
    <row r="9844">
      <c r="C9844" s="277"/>
      <c r="M9844" s="277"/>
      <c r="O9844" s="247"/>
      <c r="AC9844" s="247"/>
      <c r="AT9844" s="247"/>
    </row>
    <row r="9845">
      <c r="C9845" s="277"/>
      <c r="M9845" s="277"/>
      <c r="O9845" s="247"/>
      <c r="AC9845" s="247"/>
      <c r="AT9845" s="247"/>
    </row>
    <row r="9846">
      <c r="C9846" s="277"/>
      <c r="M9846" s="277"/>
      <c r="O9846" s="247"/>
      <c r="AC9846" s="247"/>
      <c r="AT9846" s="247"/>
    </row>
    <row r="9847">
      <c r="C9847" s="277"/>
      <c r="M9847" s="277"/>
      <c r="O9847" s="247"/>
      <c r="AC9847" s="247"/>
      <c r="AT9847" s="247"/>
    </row>
    <row r="9848">
      <c r="C9848" s="277"/>
      <c r="M9848" s="277"/>
      <c r="O9848" s="247"/>
      <c r="AC9848" s="247"/>
      <c r="AT9848" s="247"/>
    </row>
    <row r="9849">
      <c r="C9849" s="277"/>
      <c r="M9849" s="277"/>
      <c r="O9849" s="247"/>
      <c r="AC9849" s="247"/>
      <c r="AT9849" s="247"/>
    </row>
    <row r="9850">
      <c r="C9850" s="277"/>
      <c r="M9850" s="277"/>
      <c r="O9850" s="247"/>
      <c r="AC9850" s="247"/>
      <c r="AT9850" s="247"/>
    </row>
    <row r="9851">
      <c r="C9851" s="277"/>
      <c r="M9851" s="277"/>
      <c r="O9851" s="247"/>
      <c r="AC9851" s="247"/>
      <c r="AT9851" s="247"/>
    </row>
    <row r="9852">
      <c r="C9852" s="277"/>
      <c r="M9852" s="277"/>
      <c r="O9852" s="247"/>
      <c r="AC9852" s="247"/>
      <c r="AT9852" s="247"/>
    </row>
    <row r="9853">
      <c r="C9853" s="277"/>
      <c r="M9853" s="277"/>
      <c r="O9853" s="247"/>
      <c r="AC9853" s="247"/>
      <c r="AT9853" s="247"/>
    </row>
    <row r="9854">
      <c r="C9854" s="277"/>
      <c r="M9854" s="277"/>
      <c r="O9854" s="247"/>
      <c r="AC9854" s="247"/>
      <c r="AT9854" s="247"/>
    </row>
    <row r="9855">
      <c r="C9855" s="277"/>
      <c r="M9855" s="277"/>
      <c r="O9855" s="247"/>
      <c r="AC9855" s="247"/>
      <c r="AT9855" s="247"/>
    </row>
    <row r="9856">
      <c r="C9856" s="277"/>
      <c r="M9856" s="277"/>
      <c r="O9856" s="247"/>
      <c r="AC9856" s="247"/>
      <c r="AT9856" s="247"/>
    </row>
    <row r="9857">
      <c r="C9857" s="277"/>
      <c r="M9857" s="277"/>
      <c r="O9857" s="247"/>
      <c r="AC9857" s="247"/>
      <c r="AT9857" s="247"/>
    </row>
    <row r="9858">
      <c r="C9858" s="277"/>
      <c r="M9858" s="277"/>
      <c r="O9858" s="247"/>
      <c r="AC9858" s="247"/>
      <c r="AT9858" s="247"/>
    </row>
    <row r="9859">
      <c r="C9859" s="277"/>
      <c r="M9859" s="277"/>
      <c r="O9859" s="247"/>
      <c r="AC9859" s="247"/>
      <c r="AT9859" s="247"/>
    </row>
    <row r="9860">
      <c r="C9860" s="277"/>
      <c r="M9860" s="277"/>
      <c r="O9860" s="247"/>
      <c r="AC9860" s="247"/>
      <c r="AT9860" s="247"/>
    </row>
    <row r="9861">
      <c r="C9861" s="277"/>
      <c r="M9861" s="277"/>
      <c r="O9861" s="247"/>
      <c r="AC9861" s="247"/>
      <c r="AT9861" s="247"/>
    </row>
    <row r="9862">
      <c r="C9862" s="277"/>
      <c r="M9862" s="277"/>
      <c r="O9862" s="247"/>
      <c r="AC9862" s="247"/>
      <c r="AT9862" s="247"/>
    </row>
    <row r="9863">
      <c r="C9863" s="277"/>
      <c r="M9863" s="277"/>
      <c r="O9863" s="247"/>
      <c r="AC9863" s="247"/>
      <c r="AT9863" s="247"/>
    </row>
    <row r="9864">
      <c r="C9864" s="277"/>
      <c r="M9864" s="277"/>
      <c r="O9864" s="247"/>
      <c r="AC9864" s="247"/>
      <c r="AT9864" s="247"/>
    </row>
    <row r="9865">
      <c r="C9865" s="277"/>
      <c r="M9865" s="277"/>
      <c r="O9865" s="247"/>
      <c r="AC9865" s="247"/>
      <c r="AT9865" s="247"/>
    </row>
    <row r="9866">
      <c r="C9866" s="277"/>
      <c r="M9866" s="277"/>
      <c r="O9866" s="247"/>
      <c r="AC9866" s="247"/>
      <c r="AT9866" s="247"/>
    </row>
    <row r="9867">
      <c r="C9867" s="277"/>
      <c r="M9867" s="277"/>
      <c r="O9867" s="247"/>
      <c r="AC9867" s="247"/>
      <c r="AT9867" s="247"/>
    </row>
    <row r="9868">
      <c r="C9868" s="277"/>
      <c r="M9868" s="277"/>
      <c r="O9868" s="247"/>
      <c r="AC9868" s="247"/>
      <c r="AT9868" s="247"/>
    </row>
    <row r="9869">
      <c r="C9869" s="277"/>
      <c r="M9869" s="277"/>
      <c r="O9869" s="247"/>
      <c r="AC9869" s="247"/>
      <c r="AT9869" s="247"/>
    </row>
    <row r="9870">
      <c r="C9870" s="277"/>
      <c r="M9870" s="277"/>
      <c r="O9870" s="247"/>
      <c r="AC9870" s="247"/>
      <c r="AT9870" s="247"/>
    </row>
    <row r="9871">
      <c r="C9871" s="277"/>
      <c r="M9871" s="277"/>
      <c r="O9871" s="247"/>
      <c r="AC9871" s="247"/>
      <c r="AT9871" s="247"/>
    </row>
    <row r="9872">
      <c r="C9872" s="277"/>
      <c r="M9872" s="277"/>
      <c r="O9872" s="247"/>
      <c r="AC9872" s="247"/>
      <c r="AT9872" s="247"/>
    </row>
    <row r="9873">
      <c r="C9873" s="277"/>
      <c r="M9873" s="277"/>
      <c r="O9873" s="247"/>
      <c r="AC9873" s="247"/>
      <c r="AT9873" s="247"/>
    </row>
    <row r="9874">
      <c r="C9874" s="277"/>
      <c r="M9874" s="277"/>
      <c r="O9874" s="247"/>
      <c r="AC9874" s="247"/>
      <c r="AT9874" s="247"/>
    </row>
    <row r="9875">
      <c r="C9875" s="277"/>
      <c r="M9875" s="277"/>
      <c r="O9875" s="247"/>
      <c r="AC9875" s="247"/>
      <c r="AT9875" s="247"/>
    </row>
    <row r="9876">
      <c r="C9876" s="277"/>
      <c r="M9876" s="277"/>
      <c r="O9876" s="247"/>
      <c r="AC9876" s="247"/>
      <c r="AT9876" s="247"/>
    </row>
    <row r="9877">
      <c r="C9877" s="277"/>
      <c r="M9877" s="277"/>
      <c r="O9877" s="247"/>
      <c r="AC9877" s="247"/>
      <c r="AT9877" s="247"/>
    </row>
    <row r="9878">
      <c r="C9878" s="277"/>
      <c r="M9878" s="277"/>
      <c r="O9878" s="247"/>
      <c r="AC9878" s="247"/>
      <c r="AT9878" s="247"/>
    </row>
    <row r="9879">
      <c r="C9879" s="277"/>
      <c r="M9879" s="277"/>
      <c r="O9879" s="247"/>
      <c r="AC9879" s="247"/>
      <c r="AT9879" s="247"/>
    </row>
    <row r="9880">
      <c r="C9880" s="277"/>
      <c r="M9880" s="277"/>
      <c r="O9880" s="247"/>
      <c r="AC9880" s="247"/>
      <c r="AT9880" s="247"/>
    </row>
    <row r="9881">
      <c r="C9881" s="277"/>
      <c r="M9881" s="277"/>
      <c r="O9881" s="247"/>
      <c r="AC9881" s="247"/>
      <c r="AT9881" s="247"/>
    </row>
    <row r="9882">
      <c r="C9882" s="277"/>
      <c r="M9882" s="277"/>
      <c r="O9882" s="247"/>
      <c r="AC9882" s="247"/>
      <c r="AT9882" s="247"/>
    </row>
    <row r="9883">
      <c r="C9883" s="277"/>
      <c r="M9883" s="277"/>
      <c r="O9883" s="247"/>
      <c r="AC9883" s="247"/>
      <c r="AT9883" s="247"/>
    </row>
    <row r="9884">
      <c r="C9884" s="277"/>
      <c r="M9884" s="277"/>
      <c r="O9884" s="247"/>
      <c r="AC9884" s="247"/>
      <c r="AT9884" s="247"/>
    </row>
    <row r="9885">
      <c r="C9885" s="277"/>
      <c r="M9885" s="277"/>
      <c r="O9885" s="247"/>
      <c r="AC9885" s="247"/>
      <c r="AT9885" s="247"/>
    </row>
    <row r="9886">
      <c r="C9886" s="277"/>
      <c r="M9886" s="277"/>
      <c r="O9886" s="247"/>
      <c r="AC9886" s="247"/>
      <c r="AT9886" s="247"/>
    </row>
    <row r="9887">
      <c r="C9887" s="277"/>
      <c r="M9887" s="277"/>
      <c r="O9887" s="247"/>
      <c r="AC9887" s="247"/>
      <c r="AT9887" s="247"/>
    </row>
    <row r="9888">
      <c r="C9888" s="277"/>
      <c r="M9888" s="277"/>
      <c r="O9888" s="247"/>
      <c r="AC9888" s="247"/>
      <c r="AT9888" s="247"/>
    </row>
    <row r="9889">
      <c r="C9889" s="277"/>
      <c r="M9889" s="277"/>
      <c r="O9889" s="247"/>
      <c r="AC9889" s="247"/>
      <c r="AT9889" s="247"/>
    </row>
    <row r="9890">
      <c r="C9890" s="277"/>
      <c r="M9890" s="277"/>
      <c r="O9890" s="247"/>
      <c r="AC9890" s="247"/>
      <c r="AT9890" s="247"/>
    </row>
    <row r="9891">
      <c r="C9891" s="277"/>
      <c r="M9891" s="277"/>
      <c r="O9891" s="247"/>
      <c r="AC9891" s="247"/>
      <c r="AT9891" s="247"/>
    </row>
    <row r="9892">
      <c r="C9892" s="277"/>
      <c r="M9892" s="277"/>
      <c r="O9892" s="247"/>
      <c r="AC9892" s="247"/>
      <c r="AT9892" s="247"/>
    </row>
    <row r="9893">
      <c r="C9893" s="277"/>
      <c r="M9893" s="277"/>
      <c r="O9893" s="247"/>
      <c r="AC9893" s="247"/>
      <c r="AT9893" s="247"/>
    </row>
    <row r="9894">
      <c r="C9894" s="277"/>
      <c r="M9894" s="277"/>
      <c r="O9894" s="247"/>
      <c r="AC9894" s="247"/>
      <c r="AT9894" s="247"/>
    </row>
    <row r="9895">
      <c r="C9895" s="277"/>
      <c r="M9895" s="277"/>
      <c r="O9895" s="247"/>
      <c r="AC9895" s="247"/>
      <c r="AT9895" s="247"/>
    </row>
    <row r="9896">
      <c r="C9896" s="277"/>
      <c r="M9896" s="277"/>
      <c r="O9896" s="247"/>
      <c r="AC9896" s="247"/>
      <c r="AT9896" s="247"/>
    </row>
    <row r="9897">
      <c r="C9897" s="277"/>
      <c r="M9897" s="277"/>
      <c r="O9897" s="247"/>
      <c r="AC9897" s="247"/>
      <c r="AT9897" s="247"/>
    </row>
    <row r="9898">
      <c r="C9898" s="277"/>
      <c r="M9898" s="277"/>
      <c r="O9898" s="247"/>
      <c r="AC9898" s="247"/>
      <c r="AT9898" s="247"/>
    </row>
    <row r="9899">
      <c r="C9899" s="277"/>
      <c r="M9899" s="277"/>
      <c r="O9899" s="247"/>
      <c r="AC9899" s="247"/>
      <c r="AT9899" s="247"/>
    </row>
    <row r="9900">
      <c r="C9900" s="277"/>
      <c r="M9900" s="277"/>
      <c r="O9900" s="247"/>
      <c r="AC9900" s="247"/>
      <c r="AT9900" s="247"/>
    </row>
    <row r="9901">
      <c r="C9901" s="277"/>
      <c r="M9901" s="277"/>
      <c r="O9901" s="247"/>
      <c r="AC9901" s="247"/>
      <c r="AT9901" s="247"/>
    </row>
    <row r="9902">
      <c r="C9902" s="277"/>
      <c r="M9902" s="277"/>
      <c r="O9902" s="247"/>
      <c r="AC9902" s="247"/>
      <c r="AT9902" s="247"/>
    </row>
    <row r="9903">
      <c r="C9903" s="277"/>
      <c r="M9903" s="277"/>
      <c r="O9903" s="247"/>
      <c r="AC9903" s="247"/>
      <c r="AT9903" s="247"/>
    </row>
    <row r="9904">
      <c r="C9904" s="277"/>
      <c r="M9904" s="277"/>
      <c r="O9904" s="247"/>
      <c r="AC9904" s="247"/>
      <c r="AT9904" s="247"/>
    </row>
    <row r="9905">
      <c r="C9905" s="277"/>
      <c r="M9905" s="277"/>
      <c r="O9905" s="247"/>
      <c r="AC9905" s="247"/>
      <c r="AT9905" s="247"/>
    </row>
    <row r="9906">
      <c r="C9906" s="277"/>
      <c r="M9906" s="277"/>
      <c r="O9906" s="247"/>
      <c r="AC9906" s="247"/>
      <c r="AT9906" s="247"/>
    </row>
    <row r="9907">
      <c r="C9907" s="277"/>
      <c r="M9907" s="277"/>
      <c r="O9907" s="247"/>
      <c r="AC9907" s="247"/>
      <c r="AT9907" s="247"/>
    </row>
    <row r="9908">
      <c r="C9908" s="277"/>
      <c r="M9908" s="277"/>
      <c r="O9908" s="247"/>
      <c r="AC9908" s="247"/>
      <c r="AT9908" s="247"/>
    </row>
    <row r="9909">
      <c r="C9909" s="277"/>
      <c r="M9909" s="277"/>
      <c r="O9909" s="247"/>
      <c r="AC9909" s="247"/>
      <c r="AT9909" s="247"/>
    </row>
    <row r="9910">
      <c r="C9910" s="277"/>
      <c r="M9910" s="277"/>
      <c r="O9910" s="247"/>
      <c r="AC9910" s="247"/>
      <c r="AT9910" s="247"/>
    </row>
    <row r="9911">
      <c r="C9911" s="277"/>
      <c r="M9911" s="277"/>
      <c r="O9911" s="247"/>
      <c r="AC9911" s="247"/>
      <c r="AT9911" s="247"/>
    </row>
    <row r="9912">
      <c r="C9912" s="277"/>
      <c r="M9912" s="277"/>
      <c r="O9912" s="247"/>
      <c r="AC9912" s="247"/>
      <c r="AT9912" s="247"/>
    </row>
    <row r="9913">
      <c r="C9913" s="277"/>
      <c r="M9913" s="277"/>
      <c r="O9913" s="247"/>
      <c r="AC9913" s="247"/>
      <c r="AT9913" s="247"/>
    </row>
    <row r="9914">
      <c r="C9914" s="277"/>
      <c r="M9914" s="277"/>
      <c r="O9914" s="247"/>
      <c r="AC9914" s="247"/>
      <c r="AT9914" s="247"/>
    </row>
    <row r="9915">
      <c r="C9915" s="277"/>
      <c r="M9915" s="277"/>
      <c r="O9915" s="247"/>
      <c r="AC9915" s="247"/>
      <c r="AT9915" s="247"/>
    </row>
    <row r="9916">
      <c r="C9916" s="277"/>
      <c r="M9916" s="277"/>
      <c r="O9916" s="247"/>
      <c r="AC9916" s="247"/>
      <c r="AT9916" s="247"/>
    </row>
    <row r="9917">
      <c r="C9917" s="277"/>
      <c r="M9917" s="277"/>
      <c r="O9917" s="247"/>
      <c r="AC9917" s="247"/>
      <c r="AT9917" s="247"/>
    </row>
    <row r="9918">
      <c r="C9918" s="277"/>
      <c r="M9918" s="277"/>
      <c r="O9918" s="247"/>
      <c r="AC9918" s="247"/>
      <c r="AT9918" s="247"/>
    </row>
    <row r="9919">
      <c r="C9919" s="277"/>
      <c r="M9919" s="277"/>
      <c r="O9919" s="247"/>
      <c r="AC9919" s="247"/>
      <c r="AT9919" s="247"/>
    </row>
    <row r="9920">
      <c r="C9920" s="277"/>
      <c r="M9920" s="277"/>
      <c r="O9920" s="247"/>
      <c r="AC9920" s="247"/>
      <c r="AT9920" s="247"/>
    </row>
    <row r="9921">
      <c r="C9921" s="277"/>
      <c r="M9921" s="277"/>
      <c r="O9921" s="247"/>
      <c r="AC9921" s="247"/>
      <c r="AT9921" s="247"/>
    </row>
    <row r="9922">
      <c r="C9922" s="277"/>
      <c r="M9922" s="277"/>
      <c r="O9922" s="247"/>
      <c r="AC9922" s="247"/>
      <c r="AT9922" s="247"/>
    </row>
    <row r="9923">
      <c r="C9923" s="277"/>
      <c r="M9923" s="277"/>
      <c r="O9923" s="247"/>
      <c r="AC9923" s="247"/>
      <c r="AT9923" s="247"/>
    </row>
    <row r="9924">
      <c r="C9924" s="277"/>
      <c r="M9924" s="277"/>
      <c r="O9924" s="247"/>
      <c r="AC9924" s="247"/>
      <c r="AT9924" s="247"/>
    </row>
    <row r="9925">
      <c r="C9925" s="277"/>
      <c r="M9925" s="277"/>
      <c r="O9925" s="247"/>
      <c r="AC9925" s="247"/>
      <c r="AT9925" s="247"/>
    </row>
    <row r="9926">
      <c r="C9926" s="277"/>
      <c r="M9926" s="277"/>
      <c r="O9926" s="247"/>
      <c r="AC9926" s="247"/>
      <c r="AT9926" s="247"/>
    </row>
    <row r="9927">
      <c r="C9927" s="277"/>
      <c r="M9927" s="277"/>
      <c r="O9927" s="247"/>
      <c r="AC9927" s="247"/>
      <c r="AT9927" s="247"/>
    </row>
    <row r="9928">
      <c r="C9928" s="277"/>
      <c r="M9928" s="277"/>
      <c r="O9928" s="247"/>
      <c r="AC9928" s="247"/>
      <c r="AT9928" s="247"/>
    </row>
    <row r="9929">
      <c r="C9929" s="277"/>
      <c r="M9929" s="277"/>
      <c r="O9929" s="247"/>
      <c r="AC9929" s="247"/>
      <c r="AT9929" s="247"/>
    </row>
    <row r="9930">
      <c r="C9930" s="277"/>
      <c r="M9930" s="277"/>
      <c r="O9930" s="247"/>
      <c r="AC9930" s="247"/>
      <c r="AT9930" s="247"/>
    </row>
    <row r="9931">
      <c r="C9931" s="277"/>
      <c r="M9931" s="277"/>
      <c r="O9931" s="247"/>
      <c r="AC9931" s="247"/>
      <c r="AT9931" s="247"/>
    </row>
    <row r="9932">
      <c r="C9932" s="277"/>
      <c r="M9932" s="277"/>
      <c r="O9932" s="247"/>
      <c r="AC9932" s="247"/>
      <c r="AT9932" s="247"/>
    </row>
    <row r="9933">
      <c r="C9933" s="277"/>
      <c r="M9933" s="277"/>
      <c r="O9933" s="247"/>
      <c r="AC9933" s="247"/>
      <c r="AT9933" s="247"/>
    </row>
    <row r="9934">
      <c r="C9934" s="277"/>
      <c r="M9934" s="277"/>
      <c r="O9934" s="247"/>
      <c r="AC9934" s="247"/>
      <c r="AT9934" s="247"/>
    </row>
    <row r="9935">
      <c r="C9935" s="277"/>
      <c r="M9935" s="277"/>
      <c r="O9935" s="247"/>
      <c r="AC9935" s="247"/>
      <c r="AT9935" s="247"/>
    </row>
    <row r="9936">
      <c r="C9936" s="277"/>
      <c r="M9936" s="277"/>
      <c r="O9936" s="247"/>
      <c r="AC9936" s="247"/>
      <c r="AT9936" s="247"/>
    </row>
    <row r="9937">
      <c r="C9937" s="277"/>
      <c r="M9937" s="277"/>
      <c r="O9937" s="247"/>
      <c r="AC9937" s="247"/>
      <c r="AT9937" s="247"/>
    </row>
    <row r="9938">
      <c r="C9938" s="277"/>
      <c r="M9938" s="277"/>
      <c r="O9938" s="247"/>
      <c r="AC9938" s="247"/>
      <c r="AT9938" s="247"/>
    </row>
    <row r="9939">
      <c r="C9939" s="277"/>
      <c r="M9939" s="277"/>
      <c r="O9939" s="247"/>
      <c r="AC9939" s="247"/>
      <c r="AT9939" s="247"/>
    </row>
    <row r="9940">
      <c r="C9940" s="277"/>
      <c r="M9940" s="277"/>
      <c r="O9940" s="247"/>
      <c r="AC9940" s="247"/>
      <c r="AT9940" s="247"/>
    </row>
    <row r="9941">
      <c r="C9941" s="277"/>
      <c r="M9941" s="277"/>
      <c r="O9941" s="247"/>
      <c r="AC9941" s="247"/>
      <c r="AT9941" s="247"/>
    </row>
    <row r="9942">
      <c r="C9942" s="277"/>
      <c r="M9942" s="277"/>
      <c r="O9942" s="247"/>
      <c r="AC9942" s="247"/>
      <c r="AT9942" s="247"/>
    </row>
    <row r="9943">
      <c r="C9943" s="277"/>
      <c r="M9943" s="277"/>
      <c r="O9943" s="247"/>
      <c r="AC9943" s="247"/>
      <c r="AT9943" s="247"/>
    </row>
    <row r="9944">
      <c r="C9944" s="277"/>
      <c r="M9944" s="277"/>
      <c r="O9944" s="247"/>
      <c r="AC9944" s="247"/>
      <c r="AT9944" s="247"/>
    </row>
    <row r="9945">
      <c r="C9945" s="277"/>
      <c r="M9945" s="277"/>
      <c r="O9945" s="247"/>
      <c r="AC9945" s="247"/>
      <c r="AT9945" s="247"/>
    </row>
    <row r="9946">
      <c r="C9946" s="277"/>
      <c r="M9946" s="277"/>
      <c r="O9946" s="247"/>
      <c r="AC9946" s="247"/>
      <c r="AT9946" s="247"/>
    </row>
    <row r="9947">
      <c r="C9947" s="277"/>
      <c r="M9947" s="277"/>
      <c r="O9947" s="247"/>
      <c r="AC9947" s="247"/>
      <c r="AT9947" s="247"/>
    </row>
    <row r="9948">
      <c r="C9948" s="277"/>
      <c r="M9948" s="277"/>
      <c r="O9948" s="247"/>
      <c r="AC9948" s="247"/>
      <c r="AT9948" s="247"/>
    </row>
    <row r="9949">
      <c r="C9949" s="277"/>
      <c r="M9949" s="277"/>
      <c r="O9949" s="247"/>
      <c r="AC9949" s="247"/>
      <c r="AT9949" s="247"/>
    </row>
    <row r="9950">
      <c r="C9950" s="277"/>
      <c r="M9950" s="277"/>
      <c r="O9950" s="247"/>
      <c r="AC9950" s="247"/>
      <c r="AT9950" s="247"/>
    </row>
    <row r="9951">
      <c r="C9951" s="277"/>
      <c r="M9951" s="277"/>
      <c r="O9951" s="247"/>
      <c r="AC9951" s="247"/>
      <c r="AT9951" s="247"/>
    </row>
    <row r="9952">
      <c r="C9952" s="277"/>
      <c r="M9952" s="277"/>
      <c r="O9952" s="247"/>
      <c r="AC9952" s="247"/>
      <c r="AT9952" s="247"/>
    </row>
    <row r="9953">
      <c r="C9953" s="277"/>
      <c r="M9953" s="277"/>
      <c r="O9953" s="247"/>
      <c r="AC9953" s="247"/>
      <c r="AT9953" s="247"/>
    </row>
    <row r="9954">
      <c r="C9954" s="277"/>
      <c r="M9954" s="277"/>
      <c r="O9954" s="247"/>
      <c r="AC9954" s="247"/>
      <c r="AT9954" s="247"/>
    </row>
    <row r="9955">
      <c r="C9955" s="277"/>
      <c r="M9955" s="277"/>
      <c r="O9955" s="247"/>
      <c r="AC9955" s="247"/>
      <c r="AT9955" s="247"/>
    </row>
    <row r="9956">
      <c r="C9956" s="277"/>
      <c r="M9956" s="277"/>
      <c r="O9956" s="247"/>
      <c r="AC9956" s="247"/>
      <c r="AT9956" s="247"/>
    </row>
    <row r="9957">
      <c r="C9957" s="277"/>
      <c r="M9957" s="277"/>
      <c r="O9957" s="247"/>
      <c r="AC9957" s="247"/>
      <c r="AT9957" s="247"/>
    </row>
    <row r="9958">
      <c r="C9958" s="277"/>
      <c r="M9958" s="277"/>
      <c r="O9958" s="247"/>
      <c r="AC9958" s="247"/>
      <c r="AT9958" s="247"/>
    </row>
    <row r="9959">
      <c r="C9959" s="277"/>
      <c r="M9959" s="277"/>
      <c r="O9959" s="247"/>
      <c r="AC9959" s="247"/>
      <c r="AT9959" s="247"/>
    </row>
    <row r="9960">
      <c r="C9960" s="277"/>
      <c r="M9960" s="277"/>
      <c r="O9960" s="247"/>
      <c r="AC9960" s="247"/>
      <c r="AT9960" s="247"/>
    </row>
    <row r="9961">
      <c r="C9961" s="277"/>
      <c r="M9961" s="277"/>
      <c r="O9961" s="247"/>
      <c r="AC9961" s="247"/>
      <c r="AT9961" s="247"/>
    </row>
    <row r="9962">
      <c r="C9962" s="277"/>
      <c r="M9962" s="277"/>
      <c r="O9962" s="247"/>
      <c r="AC9962" s="247"/>
      <c r="AT9962" s="247"/>
    </row>
    <row r="9963">
      <c r="C9963" s="277"/>
      <c r="M9963" s="277"/>
      <c r="O9963" s="247"/>
      <c r="AC9963" s="247"/>
      <c r="AT9963" s="247"/>
    </row>
    <row r="9964">
      <c r="C9964" s="277"/>
      <c r="M9964" s="277"/>
      <c r="O9964" s="247"/>
      <c r="AC9964" s="247"/>
      <c r="AT9964" s="247"/>
    </row>
    <row r="9965">
      <c r="C9965" s="277"/>
      <c r="M9965" s="277"/>
      <c r="O9965" s="247"/>
      <c r="AC9965" s="247"/>
      <c r="AT9965" s="247"/>
    </row>
    <row r="9966">
      <c r="C9966" s="277"/>
      <c r="M9966" s="277"/>
      <c r="O9966" s="247"/>
      <c r="AC9966" s="247"/>
      <c r="AT9966" s="247"/>
    </row>
    <row r="9967">
      <c r="C9967" s="277"/>
      <c r="M9967" s="277"/>
      <c r="O9967" s="247"/>
      <c r="AC9967" s="247"/>
      <c r="AT9967" s="247"/>
    </row>
    <row r="9968">
      <c r="C9968" s="277"/>
      <c r="M9968" s="277"/>
      <c r="O9968" s="247"/>
      <c r="AC9968" s="247"/>
      <c r="AT9968" s="247"/>
    </row>
    <row r="9969">
      <c r="C9969" s="277"/>
      <c r="M9969" s="277"/>
      <c r="O9969" s="247"/>
      <c r="AC9969" s="247"/>
      <c r="AT9969" s="247"/>
    </row>
    <row r="9970">
      <c r="C9970" s="277"/>
      <c r="M9970" s="277"/>
      <c r="O9970" s="247"/>
      <c r="AC9970" s="247"/>
      <c r="AT9970" s="247"/>
    </row>
    <row r="9971">
      <c r="C9971" s="277"/>
      <c r="M9971" s="277"/>
      <c r="O9971" s="247"/>
      <c r="AC9971" s="247"/>
      <c r="AT9971" s="247"/>
    </row>
    <row r="9972">
      <c r="C9972" s="277"/>
      <c r="M9972" s="277"/>
      <c r="O9972" s="247"/>
      <c r="AC9972" s="247"/>
      <c r="AT9972" s="247"/>
    </row>
    <row r="9973">
      <c r="C9973" s="277"/>
      <c r="M9973" s="277"/>
      <c r="O9973" s="247"/>
      <c r="AC9973" s="247"/>
      <c r="AT9973" s="247"/>
    </row>
    <row r="9974">
      <c r="C9974" s="277"/>
      <c r="M9974" s="277"/>
      <c r="O9974" s="247"/>
      <c r="AC9974" s="247"/>
      <c r="AT9974" s="247"/>
    </row>
    <row r="9975">
      <c r="C9975" s="277"/>
      <c r="M9975" s="277"/>
      <c r="O9975" s="247"/>
      <c r="AC9975" s="247"/>
      <c r="AT9975" s="247"/>
    </row>
    <row r="9976">
      <c r="C9976" s="277"/>
      <c r="M9976" s="277"/>
      <c r="O9976" s="247"/>
      <c r="AC9976" s="247"/>
      <c r="AT9976" s="247"/>
    </row>
    <row r="9977">
      <c r="C9977" s="277"/>
      <c r="M9977" s="277"/>
      <c r="O9977" s="247"/>
      <c r="AC9977" s="247"/>
      <c r="AT9977" s="247"/>
    </row>
    <row r="9978">
      <c r="C9978" s="277"/>
      <c r="M9978" s="277"/>
      <c r="O9978" s="247"/>
      <c r="AC9978" s="247"/>
      <c r="AT9978" s="247"/>
    </row>
    <row r="9979">
      <c r="C9979" s="277"/>
      <c r="M9979" s="277"/>
      <c r="O9979" s="247"/>
      <c r="AC9979" s="247"/>
      <c r="AT9979" s="247"/>
    </row>
    <row r="9980">
      <c r="C9980" s="277"/>
      <c r="M9980" s="277"/>
      <c r="O9980" s="247"/>
      <c r="AC9980" s="247"/>
      <c r="AT9980" s="247"/>
    </row>
    <row r="9981">
      <c r="C9981" s="277"/>
      <c r="M9981" s="277"/>
      <c r="O9981" s="247"/>
      <c r="AC9981" s="247"/>
      <c r="AT9981" s="247"/>
    </row>
    <row r="9982">
      <c r="C9982" s="277"/>
      <c r="M9982" s="277"/>
      <c r="O9982" s="247"/>
      <c r="AC9982" s="247"/>
      <c r="AT9982" s="247"/>
    </row>
    <row r="9983">
      <c r="C9983" s="277"/>
      <c r="M9983" s="277"/>
      <c r="O9983" s="247"/>
      <c r="AC9983" s="247"/>
      <c r="AT9983" s="247"/>
    </row>
    <row r="9984">
      <c r="C9984" s="277"/>
      <c r="M9984" s="277"/>
      <c r="O9984" s="247"/>
      <c r="AC9984" s="247"/>
      <c r="AT9984" s="247"/>
    </row>
    <row r="9985">
      <c r="C9985" s="277"/>
      <c r="M9985" s="277"/>
      <c r="O9985" s="247"/>
      <c r="AC9985" s="247"/>
      <c r="AT9985" s="247"/>
    </row>
    <row r="9986">
      <c r="C9986" s="277"/>
      <c r="M9986" s="277"/>
      <c r="O9986" s="247"/>
      <c r="AC9986" s="247"/>
      <c r="AT9986" s="247"/>
    </row>
    <row r="9987">
      <c r="C9987" s="277"/>
      <c r="M9987" s="277"/>
      <c r="O9987" s="247"/>
      <c r="AC9987" s="247"/>
      <c r="AT9987" s="247"/>
    </row>
    <row r="9988">
      <c r="C9988" s="277"/>
      <c r="M9988" s="277"/>
      <c r="O9988" s="247"/>
      <c r="AC9988" s="247"/>
      <c r="AT9988" s="247"/>
    </row>
    <row r="9989">
      <c r="C9989" s="277"/>
      <c r="M9989" s="277"/>
      <c r="O9989" s="247"/>
      <c r="AC9989" s="247"/>
      <c r="AT9989" s="247"/>
    </row>
    <row r="9990">
      <c r="C9990" s="277"/>
      <c r="M9990" s="277"/>
      <c r="O9990" s="247"/>
      <c r="AC9990" s="247"/>
      <c r="AT9990" s="247"/>
    </row>
    <row r="9991">
      <c r="C9991" s="277"/>
      <c r="M9991" s="277"/>
      <c r="O9991" s="247"/>
      <c r="AC9991" s="247"/>
      <c r="AT9991" s="247"/>
    </row>
    <row r="9992">
      <c r="C9992" s="277"/>
      <c r="M9992" s="277"/>
      <c r="O9992" s="247"/>
      <c r="AC9992" s="247"/>
      <c r="AT9992" s="247"/>
    </row>
    <row r="9993">
      <c r="C9993" s="277"/>
      <c r="M9993" s="277"/>
      <c r="O9993" s="247"/>
      <c r="AC9993" s="247"/>
      <c r="AT9993" s="247"/>
    </row>
    <row r="9994">
      <c r="C9994" s="277"/>
      <c r="M9994" s="277"/>
      <c r="O9994" s="247"/>
      <c r="AC9994" s="247"/>
      <c r="AT9994" s="247"/>
    </row>
    <row r="9995">
      <c r="C9995" s="277"/>
      <c r="M9995" s="277"/>
      <c r="O9995" s="247"/>
      <c r="AC9995" s="247"/>
      <c r="AT9995" s="247"/>
    </row>
    <row r="9996">
      <c r="C9996" s="277"/>
      <c r="M9996" s="277"/>
      <c r="O9996" s="247"/>
      <c r="AC9996" s="247"/>
      <c r="AT9996" s="247"/>
    </row>
    <row r="9997">
      <c r="C9997" s="277"/>
      <c r="M9997" s="277"/>
      <c r="O9997" s="247"/>
      <c r="AC9997" s="247"/>
      <c r="AT9997" s="247"/>
    </row>
    <row r="9998">
      <c r="C9998" s="277"/>
      <c r="M9998" s="277"/>
      <c r="O9998" s="247"/>
      <c r="AC9998" s="247"/>
      <c r="AT9998" s="247"/>
    </row>
    <row r="9999">
      <c r="C9999" s="277"/>
      <c r="M9999" s="277"/>
      <c r="O9999" s="247"/>
      <c r="AC9999" s="247"/>
      <c r="AT9999" s="247"/>
    </row>
    <row r="10000">
      <c r="C10000" s="277"/>
      <c r="M10000" s="277"/>
      <c r="O10000" s="247"/>
      <c r="AC10000" s="247"/>
      <c r="AT10000" s="247"/>
    </row>
    <row r="10001">
      <c r="C10001" s="277"/>
      <c r="M10001" s="277"/>
      <c r="O10001" s="247"/>
      <c r="AC10001" s="247"/>
      <c r="AT10001" s="247"/>
    </row>
    <row r="10002">
      <c r="C10002" s="277"/>
      <c r="M10002" s="277"/>
      <c r="O10002" s="247"/>
      <c r="AC10002" s="247"/>
      <c r="AT10002" s="247"/>
    </row>
    <row r="10003">
      <c r="C10003" s="277"/>
      <c r="M10003" s="277"/>
      <c r="O10003" s="247"/>
      <c r="AC10003" s="247"/>
      <c r="AT10003" s="247"/>
    </row>
    <row r="10004">
      <c r="C10004" s="277"/>
      <c r="M10004" s="277"/>
      <c r="O10004" s="247"/>
      <c r="AC10004" s="247"/>
      <c r="AT10004" s="247"/>
    </row>
    <row r="10005">
      <c r="C10005" s="277"/>
      <c r="M10005" s="277"/>
      <c r="O10005" s="247"/>
      <c r="AC10005" s="247"/>
      <c r="AT10005" s="247"/>
    </row>
    <row r="10006">
      <c r="C10006" s="277"/>
      <c r="M10006" s="277"/>
      <c r="O10006" s="247"/>
      <c r="AC10006" s="247"/>
      <c r="AT10006" s="247"/>
    </row>
    <row r="10007">
      <c r="C10007" s="277"/>
      <c r="M10007" s="277"/>
      <c r="O10007" s="247"/>
      <c r="AC10007" s="247"/>
      <c r="AT10007" s="247"/>
    </row>
    <row r="10008">
      <c r="C10008" s="277"/>
      <c r="M10008" s="277"/>
      <c r="O10008" s="247"/>
      <c r="AC10008" s="247"/>
      <c r="AT10008" s="247"/>
    </row>
    <row r="10009">
      <c r="C10009" s="277"/>
      <c r="M10009" s="277"/>
      <c r="O10009" s="247"/>
      <c r="AC10009" s="247"/>
      <c r="AT10009" s="247"/>
    </row>
    <row r="10010">
      <c r="C10010" s="277"/>
      <c r="M10010" s="277"/>
      <c r="O10010" s="247"/>
      <c r="AC10010" s="247"/>
      <c r="AT10010" s="247"/>
    </row>
    <row r="10011">
      <c r="C10011" s="277"/>
      <c r="M10011" s="277"/>
      <c r="O10011" s="247"/>
      <c r="AC10011" s="247"/>
      <c r="AT10011" s="247"/>
    </row>
    <row r="10012">
      <c r="C10012" s="277"/>
      <c r="M10012" s="277"/>
      <c r="O10012" s="247"/>
      <c r="AC10012" s="247"/>
      <c r="AT10012" s="247"/>
    </row>
    <row r="10013">
      <c r="C10013" s="277"/>
      <c r="M10013" s="277"/>
      <c r="O10013" s="247"/>
      <c r="AC10013" s="247"/>
      <c r="AT10013" s="247"/>
    </row>
    <row r="10014">
      <c r="C10014" s="277"/>
      <c r="M10014" s="277"/>
      <c r="O10014" s="247"/>
      <c r="AC10014" s="247"/>
      <c r="AT10014" s="247"/>
    </row>
    <row r="10015">
      <c r="C10015" s="277"/>
      <c r="M10015" s="277"/>
      <c r="O10015" s="247"/>
      <c r="AC10015" s="247"/>
      <c r="AT10015" s="247"/>
    </row>
    <row r="10016">
      <c r="C10016" s="277"/>
      <c r="M10016" s="277"/>
      <c r="O10016" s="247"/>
      <c r="AC10016" s="247"/>
      <c r="AT10016" s="247"/>
    </row>
    <row r="10017">
      <c r="C10017" s="277"/>
      <c r="M10017" s="277"/>
      <c r="O10017" s="247"/>
      <c r="AC10017" s="247"/>
      <c r="AT10017" s="247"/>
    </row>
    <row r="10018">
      <c r="C10018" s="277"/>
      <c r="M10018" s="277"/>
      <c r="O10018" s="247"/>
      <c r="AC10018" s="247"/>
      <c r="AT10018" s="247"/>
    </row>
    <row r="10019">
      <c r="C10019" s="277"/>
      <c r="M10019" s="277"/>
      <c r="O10019" s="247"/>
      <c r="AC10019" s="247"/>
      <c r="AT10019" s="247"/>
    </row>
    <row r="10020">
      <c r="C10020" s="277"/>
      <c r="M10020" s="277"/>
      <c r="O10020" s="247"/>
      <c r="AC10020" s="247"/>
      <c r="AT10020" s="247"/>
    </row>
    <row r="10021">
      <c r="C10021" s="277"/>
      <c r="M10021" s="277"/>
      <c r="O10021" s="247"/>
      <c r="AC10021" s="247"/>
      <c r="AT10021" s="247"/>
    </row>
    <row r="10022">
      <c r="C10022" s="277"/>
      <c r="M10022" s="277"/>
      <c r="O10022" s="247"/>
      <c r="AC10022" s="247"/>
      <c r="AT10022" s="247"/>
    </row>
    <row r="10023">
      <c r="C10023" s="277"/>
      <c r="M10023" s="277"/>
      <c r="O10023" s="247"/>
      <c r="AC10023" s="247"/>
      <c r="AT10023" s="247"/>
    </row>
    <row r="10024">
      <c r="C10024" s="277"/>
      <c r="M10024" s="277"/>
      <c r="O10024" s="247"/>
      <c r="AC10024" s="247"/>
      <c r="AT10024" s="247"/>
    </row>
    <row r="10025">
      <c r="C10025" s="277"/>
      <c r="M10025" s="277"/>
      <c r="O10025" s="247"/>
      <c r="AC10025" s="247"/>
      <c r="AT10025" s="247"/>
    </row>
    <row r="10026">
      <c r="C10026" s="277"/>
      <c r="M10026" s="277"/>
      <c r="O10026" s="247"/>
      <c r="AC10026" s="247"/>
      <c r="AT10026" s="247"/>
    </row>
    <row r="10027">
      <c r="C10027" s="277"/>
      <c r="M10027" s="277"/>
      <c r="O10027" s="247"/>
      <c r="AC10027" s="247"/>
      <c r="AT10027" s="247"/>
    </row>
    <row r="10028">
      <c r="C10028" s="277"/>
      <c r="M10028" s="277"/>
      <c r="O10028" s="247"/>
      <c r="AC10028" s="247"/>
      <c r="AT10028" s="247"/>
    </row>
    <row r="10029">
      <c r="C10029" s="277"/>
      <c r="M10029" s="277"/>
      <c r="O10029" s="247"/>
      <c r="AC10029" s="247"/>
      <c r="AT10029" s="247"/>
    </row>
    <row r="10030">
      <c r="C10030" s="277"/>
      <c r="M10030" s="277"/>
      <c r="O10030" s="247"/>
      <c r="AC10030" s="247"/>
      <c r="AT10030" s="247"/>
    </row>
    <row r="10031">
      <c r="C10031" s="277"/>
      <c r="M10031" s="277"/>
      <c r="O10031" s="247"/>
      <c r="AC10031" s="247"/>
      <c r="AT10031" s="247"/>
    </row>
    <row r="10032">
      <c r="C10032" s="277"/>
      <c r="M10032" s="277"/>
      <c r="O10032" s="247"/>
      <c r="AC10032" s="247"/>
      <c r="AT10032" s="247"/>
    </row>
    <row r="10033">
      <c r="C10033" s="277"/>
      <c r="M10033" s="277"/>
      <c r="O10033" s="247"/>
      <c r="AC10033" s="247"/>
      <c r="AT10033" s="247"/>
    </row>
    <row r="10034">
      <c r="C10034" s="277"/>
      <c r="M10034" s="277"/>
      <c r="O10034" s="247"/>
      <c r="AC10034" s="247"/>
      <c r="AT10034" s="247"/>
    </row>
    <row r="10035">
      <c r="C10035" s="277"/>
      <c r="M10035" s="277"/>
      <c r="O10035" s="247"/>
      <c r="AC10035" s="247"/>
      <c r="AT10035" s="247"/>
    </row>
    <row r="10036">
      <c r="C10036" s="277"/>
      <c r="M10036" s="277"/>
      <c r="O10036" s="247"/>
      <c r="AC10036" s="247"/>
      <c r="AT10036" s="247"/>
    </row>
    <row r="10037">
      <c r="C10037" s="277"/>
      <c r="M10037" s="277"/>
      <c r="O10037" s="247"/>
      <c r="AC10037" s="247"/>
      <c r="AT10037" s="247"/>
    </row>
    <row r="10038">
      <c r="C10038" s="277"/>
      <c r="M10038" s="277"/>
      <c r="O10038" s="247"/>
      <c r="AC10038" s="247"/>
      <c r="AT10038" s="247"/>
    </row>
    <row r="10039">
      <c r="C10039" s="277"/>
      <c r="M10039" s="277"/>
      <c r="O10039" s="247"/>
      <c r="AC10039" s="247"/>
      <c r="AT10039" s="247"/>
    </row>
    <row r="10040">
      <c r="C10040" s="277"/>
      <c r="M10040" s="277"/>
      <c r="O10040" s="247"/>
      <c r="AC10040" s="247"/>
      <c r="AT10040" s="247"/>
    </row>
    <row r="10041">
      <c r="C10041" s="277"/>
      <c r="M10041" s="277"/>
      <c r="O10041" s="247"/>
      <c r="AC10041" s="247"/>
      <c r="AT10041" s="247"/>
    </row>
    <row r="10042">
      <c r="C10042" s="277"/>
      <c r="M10042" s="277"/>
      <c r="O10042" s="247"/>
      <c r="AC10042" s="247"/>
      <c r="AT10042" s="247"/>
    </row>
    <row r="10043">
      <c r="C10043" s="277"/>
      <c r="M10043" s="277"/>
      <c r="O10043" s="247"/>
      <c r="AC10043" s="247"/>
      <c r="AT10043" s="247"/>
    </row>
    <row r="10044">
      <c r="C10044" s="277"/>
      <c r="M10044" s="277"/>
      <c r="O10044" s="247"/>
      <c r="AC10044" s="247"/>
      <c r="AT10044" s="247"/>
    </row>
    <row r="10045">
      <c r="C10045" s="277"/>
      <c r="M10045" s="277"/>
      <c r="O10045" s="247"/>
      <c r="AC10045" s="247"/>
      <c r="AT10045" s="247"/>
    </row>
    <row r="10046">
      <c r="C10046" s="277"/>
      <c r="M10046" s="277"/>
      <c r="O10046" s="247"/>
      <c r="AC10046" s="247"/>
      <c r="AT10046" s="247"/>
    </row>
    <row r="10047">
      <c r="C10047" s="277"/>
      <c r="M10047" s="277"/>
      <c r="O10047" s="247"/>
      <c r="AC10047" s="247"/>
      <c r="AT10047" s="247"/>
    </row>
    <row r="10048">
      <c r="C10048" s="277"/>
      <c r="M10048" s="277"/>
      <c r="O10048" s="247"/>
      <c r="AC10048" s="247"/>
      <c r="AT10048" s="247"/>
    </row>
    <row r="10049">
      <c r="C10049" s="277"/>
      <c r="M10049" s="277"/>
      <c r="O10049" s="247"/>
      <c r="AC10049" s="247"/>
      <c r="AT10049" s="247"/>
    </row>
    <row r="10050">
      <c r="C10050" s="277"/>
      <c r="M10050" s="277"/>
      <c r="O10050" s="247"/>
      <c r="AC10050" s="247"/>
      <c r="AT10050" s="247"/>
    </row>
    <row r="10051">
      <c r="C10051" s="277"/>
      <c r="M10051" s="277"/>
      <c r="O10051" s="247"/>
      <c r="AC10051" s="247"/>
      <c r="AT10051" s="247"/>
    </row>
    <row r="10052">
      <c r="C10052" s="277"/>
      <c r="M10052" s="277"/>
      <c r="O10052" s="247"/>
      <c r="AC10052" s="247"/>
      <c r="AT10052" s="247"/>
    </row>
    <row r="10053">
      <c r="C10053" s="277"/>
      <c r="M10053" s="277"/>
      <c r="O10053" s="247"/>
      <c r="AC10053" s="247"/>
      <c r="AT10053" s="247"/>
    </row>
    <row r="10054">
      <c r="C10054" s="277"/>
      <c r="M10054" s="277"/>
      <c r="O10054" s="247"/>
      <c r="AC10054" s="247"/>
      <c r="AT10054" s="247"/>
    </row>
    <row r="10055">
      <c r="C10055" s="277"/>
      <c r="M10055" s="277"/>
      <c r="O10055" s="247"/>
      <c r="AC10055" s="247"/>
      <c r="AT10055" s="247"/>
    </row>
    <row r="10056">
      <c r="C10056" s="277"/>
      <c r="M10056" s="277"/>
      <c r="O10056" s="247"/>
      <c r="AC10056" s="247"/>
      <c r="AT10056" s="247"/>
    </row>
    <row r="10057">
      <c r="C10057" s="277"/>
      <c r="M10057" s="277"/>
      <c r="O10057" s="247"/>
      <c r="AC10057" s="247"/>
      <c r="AT10057" s="247"/>
    </row>
    <row r="10058">
      <c r="C10058" s="277"/>
      <c r="M10058" s="277"/>
      <c r="O10058" s="247"/>
      <c r="AC10058" s="247"/>
      <c r="AT10058" s="247"/>
    </row>
    <row r="10059">
      <c r="C10059" s="277"/>
      <c r="M10059" s="277"/>
      <c r="O10059" s="247"/>
      <c r="AC10059" s="247"/>
      <c r="AT10059" s="247"/>
    </row>
    <row r="10060">
      <c r="C10060" s="277"/>
      <c r="M10060" s="277"/>
      <c r="O10060" s="247"/>
      <c r="AC10060" s="247"/>
      <c r="AT10060" s="247"/>
    </row>
    <row r="10061">
      <c r="C10061" s="277"/>
      <c r="M10061" s="277"/>
      <c r="O10061" s="247"/>
      <c r="AC10061" s="247"/>
      <c r="AT10061" s="247"/>
    </row>
    <row r="10062">
      <c r="C10062" s="277"/>
      <c r="M10062" s="277"/>
      <c r="O10062" s="247"/>
      <c r="AC10062" s="247"/>
      <c r="AT10062" s="247"/>
    </row>
    <row r="10063">
      <c r="C10063" s="277"/>
      <c r="M10063" s="277"/>
      <c r="O10063" s="247"/>
      <c r="AC10063" s="247"/>
      <c r="AT10063" s="247"/>
    </row>
    <row r="10064">
      <c r="C10064" s="277"/>
      <c r="M10064" s="277"/>
      <c r="O10064" s="247"/>
      <c r="AC10064" s="247"/>
      <c r="AT10064" s="247"/>
    </row>
    <row r="10065">
      <c r="C10065" s="277"/>
      <c r="M10065" s="277"/>
      <c r="O10065" s="247"/>
      <c r="AC10065" s="247"/>
      <c r="AT10065" s="247"/>
    </row>
    <row r="10066">
      <c r="C10066" s="277"/>
      <c r="M10066" s="277"/>
      <c r="O10066" s="247"/>
      <c r="AC10066" s="247"/>
      <c r="AT10066" s="247"/>
    </row>
    <row r="10067">
      <c r="C10067" s="277"/>
      <c r="M10067" s="277"/>
      <c r="O10067" s="247"/>
      <c r="AC10067" s="247"/>
      <c r="AT10067" s="247"/>
    </row>
    <row r="10068">
      <c r="C10068" s="277"/>
      <c r="M10068" s="277"/>
      <c r="O10068" s="247"/>
      <c r="AC10068" s="247"/>
      <c r="AT10068" s="247"/>
    </row>
    <row r="10069">
      <c r="C10069" s="277"/>
      <c r="M10069" s="277"/>
      <c r="O10069" s="247"/>
      <c r="AC10069" s="247"/>
      <c r="AT10069" s="247"/>
    </row>
    <row r="10070">
      <c r="C10070" s="277"/>
      <c r="M10070" s="277"/>
      <c r="O10070" s="247"/>
      <c r="AC10070" s="247"/>
      <c r="AT10070" s="247"/>
    </row>
    <row r="10071">
      <c r="C10071" s="277"/>
      <c r="M10071" s="277"/>
      <c r="O10071" s="247"/>
      <c r="AC10071" s="247"/>
      <c r="AT10071" s="247"/>
    </row>
    <row r="10072">
      <c r="C10072" s="277"/>
      <c r="M10072" s="277"/>
      <c r="O10072" s="247"/>
      <c r="AC10072" s="247"/>
      <c r="AT10072" s="247"/>
    </row>
    <row r="10073">
      <c r="C10073" s="277"/>
      <c r="M10073" s="277"/>
      <c r="O10073" s="247"/>
      <c r="AC10073" s="247"/>
      <c r="AT10073" s="247"/>
    </row>
    <row r="10074">
      <c r="C10074" s="277"/>
      <c r="M10074" s="277"/>
      <c r="O10074" s="247"/>
      <c r="AC10074" s="247"/>
      <c r="AT10074" s="247"/>
    </row>
    <row r="10075">
      <c r="C10075" s="277"/>
      <c r="M10075" s="277"/>
      <c r="O10075" s="247"/>
      <c r="AC10075" s="247"/>
      <c r="AT10075" s="247"/>
    </row>
    <row r="10076">
      <c r="C10076" s="277"/>
      <c r="M10076" s="277"/>
      <c r="O10076" s="247"/>
      <c r="AC10076" s="247"/>
      <c r="AT10076" s="247"/>
    </row>
    <row r="10077">
      <c r="C10077" s="277"/>
      <c r="M10077" s="277"/>
      <c r="O10077" s="247"/>
      <c r="AC10077" s="247"/>
      <c r="AT10077" s="247"/>
    </row>
    <row r="10078">
      <c r="C10078" s="277"/>
      <c r="M10078" s="277"/>
      <c r="O10078" s="247"/>
      <c r="AC10078" s="247"/>
      <c r="AT10078" s="247"/>
    </row>
    <row r="10079">
      <c r="C10079" s="277"/>
      <c r="M10079" s="277"/>
      <c r="O10079" s="247"/>
      <c r="AC10079" s="247"/>
      <c r="AT10079" s="247"/>
    </row>
    <row r="10080">
      <c r="C10080" s="277"/>
      <c r="M10080" s="277"/>
      <c r="O10080" s="247"/>
      <c r="AC10080" s="247"/>
      <c r="AT10080" s="247"/>
    </row>
    <row r="10081">
      <c r="C10081" s="277"/>
      <c r="M10081" s="277"/>
      <c r="O10081" s="247"/>
      <c r="AC10081" s="247"/>
      <c r="AT10081" s="247"/>
    </row>
    <row r="10082">
      <c r="C10082" s="277"/>
      <c r="M10082" s="277"/>
      <c r="O10082" s="247"/>
      <c r="AC10082" s="247"/>
      <c r="AT10082" s="247"/>
    </row>
    <row r="10083">
      <c r="C10083" s="277"/>
      <c r="M10083" s="277"/>
      <c r="O10083" s="247"/>
      <c r="AC10083" s="247"/>
      <c r="AT10083" s="247"/>
    </row>
    <row r="10084">
      <c r="C10084" s="277"/>
      <c r="M10084" s="277"/>
      <c r="O10084" s="247"/>
      <c r="AC10084" s="247"/>
      <c r="AT10084" s="247"/>
    </row>
    <row r="10085">
      <c r="C10085" s="277"/>
      <c r="M10085" s="277"/>
      <c r="O10085" s="247"/>
      <c r="AC10085" s="247"/>
      <c r="AT10085" s="247"/>
    </row>
    <row r="10086">
      <c r="C10086" s="277"/>
      <c r="M10086" s="277"/>
      <c r="O10086" s="247"/>
      <c r="AC10086" s="247"/>
      <c r="AT10086" s="247"/>
    </row>
    <row r="10087">
      <c r="C10087" s="277"/>
      <c r="M10087" s="277"/>
      <c r="O10087" s="247"/>
      <c r="AC10087" s="247"/>
      <c r="AT10087" s="247"/>
    </row>
    <row r="10088">
      <c r="C10088" s="277"/>
      <c r="M10088" s="277"/>
      <c r="O10088" s="247"/>
      <c r="AC10088" s="247"/>
      <c r="AT10088" s="247"/>
    </row>
    <row r="10089">
      <c r="C10089" s="277"/>
      <c r="M10089" s="277"/>
      <c r="O10089" s="247"/>
      <c r="AC10089" s="247"/>
      <c r="AT10089" s="247"/>
    </row>
    <row r="10090">
      <c r="C10090" s="277"/>
      <c r="M10090" s="277"/>
      <c r="O10090" s="247"/>
      <c r="AC10090" s="247"/>
      <c r="AT10090" s="247"/>
    </row>
    <row r="10091">
      <c r="C10091" s="277"/>
      <c r="M10091" s="277"/>
      <c r="O10091" s="247"/>
      <c r="AC10091" s="247"/>
      <c r="AT10091" s="247"/>
    </row>
    <row r="10092">
      <c r="C10092" s="277"/>
      <c r="M10092" s="277"/>
      <c r="O10092" s="247"/>
      <c r="AC10092" s="247"/>
      <c r="AT10092" s="247"/>
    </row>
    <row r="10093">
      <c r="C10093" s="277"/>
      <c r="M10093" s="277"/>
      <c r="O10093" s="247"/>
      <c r="AC10093" s="247"/>
      <c r="AT10093" s="247"/>
    </row>
    <row r="10094">
      <c r="C10094" s="277"/>
      <c r="M10094" s="277"/>
      <c r="O10094" s="247"/>
      <c r="AC10094" s="247"/>
      <c r="AT10094" s="247"/>
    </row>
    <row r="10095">
      <c r="C10095" s="277"/>
      <c r="M10095" s="277"/>
      <c r="O10095" s="247"/>
      <c r="AC10095" s="247"/>
      <c r="AT10095" s="247"/>
    </row>
    <row r="10096">
      <c r="C10096" s="277"/>
      <c r="M10096" s="277"/>
      <c r="O10096" s="247"/>
      <c r="AC10096" s="247"/>
      <c r="AT10096" s="247"/>
    </row>
    <row r="10097">
      <c r="C10097" s="277"/>
      <c r="M10097" s="277"/>
      <c r="O10097" s="247"/>
      <c r="AC10097" s="247"/>
      <c r="AT10097" s="247"/>
    </row>
    <row r="10098">
      <c r="C10098" s="277"/>
      <c r="M10098" s="277"/>
      <c r="O10098" s="247"/>
      <c r="AC10098" s="247"/>
      <c r="AT10098" s="247"/>
    </row>
    <row r="10099">
      <c r="C10099" s="277"/>
      <c r="M10099" s="277"/>
      <c r="O10099" s="247"/>
      <c r="AC10099" s="247"/>
      <c r="AT10099" s="247"/>
    </row>
    <row r="10100">
      <c r="C10100" s="277"/>
      <c r="M10100" s="277"/>
      <c r="O10100" s="247"/>
      <c r="AC10100" s="247"/>
      <c r="AT10100" s="247"/>
    </row>
    <row r="10101">
      <c r="C10101" s="277"/>
      <c r="M10101" s="277"/>
      <c r="O10101" s="247"/>
      <c r="AC10101" s="247"/>
      <c r="AT10101" s="247"/>
    </row>
    <row r="10102">
      <c r="C10102" s="277"/>
      <c r="M10102" s="277"/>
      <c r="O10102" s="247"/>
      <c r="AC10102" s="247"/>
      <c r="AT10102" s="247"/>
    </row>
    <row r="10103">
      <c r="C10103" s="277"/>
      <c r="M10103" s="277"/>
      <c r="O10103" s="247"/>
      <c r="AC10103" s="247"/>
      <c r="AT10103" s="247"/>
    </row>
    <row r="10104">
      <c r="C10104" s="277"/>
      <c r="M10104" s="277"/>
      <c r="O10104" s="247"/>
      <c r="AC10104" s="247"/>
      <c r="AT10104" s="247"/>
    </row>
    <row r="10105">
      <c r="C10105" s="277"/>
      <c r="M10105" s="277"/>
      <c r="O10105" s="247"/>
      <c r="AC10105" s="247"/>
      <c r="AT10105" s="247"/>
    </row>
    <row r="10106">
      <c r="C10106" s="277"/>
      <c r="M10106" s="277"/>
      <c r="O10106" s="247"/>
      <c r="AC10106" s="247"/>
      <c r="AT10106" s="247"/>
    </row>
    <row r="10107">
      <c r="C10107" s="277"/>
      <c r="M10107" s="277"/>
      <c r="O10107" s="247"/>
      <c r="AC10107" s="247"/>
      <c r="AT10107" s="247"/>
    </row>
    <row r="10108">
      <c r="C10108" s="277"/>
      <c r="M10108" s="277"/>
      <c r="O10108" s="247"/>
      <c r="AC10108" s="247"/>
      <c r="AT10108" s="247"/>
    </row>
    <row r="10109">
      <c r="C10109" s="277"/>
      <c r="M10109" s="277"/>
      <c r="O10109" s="247"/>
      <c r="AC10109" s="247"/>
      <c r="AT10109" s="247"/>
    </row>
    <row r="10110">
      <c r="C10110" s="277"/>
      <c r="M10110" s="277"/>
      <c r="O10110" s="247"/>
      <c r="AC10110" s="247"/>
      <c r="AT10110" s="247"/>
    </row>
    <row r="10111">
      <c r="C10111" s="277"/>
      <c r="M10111" s="277"/>
      <c r="O10111" s="247"/>
      <c r="AC10111" s="247"/>
      <c r="AT10111" s="247"/>
    </row>
    <row r="10112">
      <c r="C10112" s="277"/>
      <c r="M10112" s="277"/>
      <c r="O10112" s="247"/>
      <c r="AC10112" s="247"/>
      <c r="AT10112" s="247"/>
    </row>
    <row r="10113">
      <c r="C10113" s="277"/>
      <c r="M10113" s="277"/>
      <c r="O10113" s="247"/>
      <c r="AC10113" s="247"/>
      <c r="AT10113" s="247"/>
    </row>
    <row r="10114">
      <c r="C10114" s="277"/>
      <c r="M10114" s="277"/>
      <c r="O10114" s="247"/>
      <c r="AC10114" s="247"/>
      <c r="AT10114" s="247"/>
    </row>
    <row r="10115">
      <c r="C10115" s="277"/>
      <c r="M10115" s="277"/>
      <c r="O10115" s="247"/>
      <c r="AC10115" s="247"/>
      <c r="AT10115" s="247"/>
    </row>
    <row r="10116">
      <c r="C10116" s="277"/>
      <c r="M10116" s="277"/>
      <c r="O10116" s="247"/>
      <c r="AC10116" s="247"/>
      <c r="AT10116" s="247"/>
    </row>
    <row r="10117">
      <c r="C10117" s="277"/>
      <c r="M10117" s="277"/>
      <c r="O10117" s="247"/>
      <c r="AC10117" s="247"/>
      <c r="AT10117" s="247"/>
    </row>
    <row r="10118">
      <c r="C10118" s="277"/>
      <c r="M10118" s="277"/>
      <c r="O10118" s="247"/>
      <c r="AC10118" s="247"/>
      <c r="AT10118" s="247"/>
    </row>
    <row r="10119">
      <c r="C10119" s="277"/>
      <c r="M10119" s="277"/>
      <c r="O10119" s="247"/>
      <c r="AC10119" s="247"/>
      <c r="AT10119" s="247"/>
    </row>
    <row r="10120">
      <c r="C10120" s="277"/>
      <c r="M10120" s="277"/>
      <c r="O10120" s="247"/>
      <c r="AC10120" s="247"/>
      <c r="AT10120" s="247"/>
    </row>
    <row r="10121">
      <c r="C10121" s="277"/>
      <c r="M10121" s="277"/>
      <c r="O10121" s="247"/>
      <c r="AC10121" s="247"/>
      <c r="AT10121" s="247"/>
    </row>
    <row r="10122">
      <c r="C10122" s="277"/>
      <c r="M10122" s="277"/>
      <c r="O10122" s="247"/>
      <c r="AC10122" s="247"/>
      <c r="AT10122" s="247"/>
    </row>
    <row r="10123">
      <c r="C10123" s="277"/>
      <c r="M10123" s="277"/>
      <c r="O10123" s="247"/>
      <c r="AC10123" s="247"/>
      <c r="AT10123" s="247"/>
    </row>
    <row r="10124">
      <c r="C10124" s="277"/>
      <c r="M10124" s="277"/>
      <c r="O10124" s="247"/>
      <c r="AC10124" s="247"/>
      <c r="AT10124" s="247"/>
    </row>
    <row r="10125">
      <c r="C10125" s="277"/>
      <c r="M10125" s="277"/>
      <c r="O10125" s="247"/>
      <c r="AC10125" s="247"/>
      <c r="AT10125" s="247"/>
    </row>
    <row r="10126">
      <c r="C10126" s="277"/>
      <c r="M10126" s="277"/>
      <c r="O10126" s="247"/>
      <c r="AC10126" s="247"/>
      <c r="AT10126" s="247"/>
    </row>
    <row r="10127">
      <c r="C10127" s="277"/>
      <c r="M10127" s="277"/>
      <c r="O10127" s="247"/>
      <c r="AC10127" s="247"/>
      <c r="AT10127" s="247"/>
    </row>
    <row r="10128">
      <c r="C10128" s="277"/>
      <c r="M10128" s="277"/>
      <c r="O10128" s="247"/>
      <c r="AC10128" s="247"/>
      <c r="AT10128" s="247"/>
    </row>
    <row r="10129">
      <c r="C10129" s="277"/>
      <c r="M10129" s="277"/>
      <c r="O10129" s="247"/>
      <c r="AC10129" s="247"/>
      <c r="AT10129" s="247"/>
    </row>
    <row r="10130">
      <c r="C10130" s="277"/>
      <c r="M10130" s="277"/>
      <c r="O10130" s="247"/>
      <c r="AC10130" s="247"/>
      <c r="AT10130" s="247"/>
    </row>
    <row r="10131">
      <c r="C10131" s="277"/>
      <c r="M10131" s="277"/>
      <c r="O10131" s="247"/>
      <c r="AC10131" s="247"/>
      <c r="AT10131" s="247"/>
    </row>
    <row r="10132">
      <c r="C10132" s="277"/>
      <c r="M10132" s="277"/>
      <c r="O10132" s="247"/>
      <c r="AC10132" s="247"/>
      <c r="AT10132" s="247"/>
    </row>
    <row r="10133">
      <c r="C10133" s="277"/>
      <c r="M10133" s="277"/>
      <c r="O10133" s="247"/>
      <c r="AC10133" s="247"/>
      <c r="AT10133" s="247"/>
    </row>
    <row r="10134">
      <c r="C10134" s="277"/>
      <c r="M10134" s="277"/>
      <c r="O10134" s="247"/>
      <c r="AC10134" s="247"/>
      <c r="AT10134" s="247"/>
    </row>
    <row r="10135">
      <c r="C10135" s="277"/>
      <c r="M10135" s="277"/>
      <c r="O10135" s="247"/>
      <c r="AC10135" s="247"/>
      <c r="AT10135" s="247"/>
    </row>
    <row r="10136">
      <c r="C10136" s="277"/>
      <c r="M10136" s="277"/>
      <c r="O10136" s="247"/>
      <c r="AC10136" s="247"/>
      <c r="AT10136" s="247"/>
    </row>
    <row r="10137">
      <c r="C10137" s="277"/>
      <c r="M10137" s="277"/>
      <c r="O10137" s="247"/>
      <c r="AC10137" s="247"/>
      <c r="AT10137" s="247"/>
    </row>
    <row r="10138">
      <c r="C10138" s="277"/>
      <c r="M10138" s="277"/>
      <c r="O10138" s="247"/>
      <c r="AC10138" s="247"/>
      <c r="AT10138" s="247"/>
    </row>
    <row r="10139">
      <c r="C10139" s="277"/>
      <c r="M10139" s="277"/>
      <c r="O10139" s="247"/>
      <c r="AC10139" s="247"/>
      <c r="AT10139" s="247"/>
    </row>
    <row r="10140">
      <c r="C10140" s="277"/>
      <c r="M10140" s="277"/>
      <c r="O10140" s="247"/>
      <c r="AC10140" s="247"/>
      <c r="AT10140" s="247"/>
    </row>
    <row r="10141">
      <c r="C10141" s="277"/>
      <c r="M10141" s="277"/>
      <c r="O10141" s="247"/>
      <c r="AC10141" s="247"/>
      <c r="AT10141" s="247"/>
    </row>
    <row r="10142">
      <c r="C10142" s="277"/>
      <c r="M10142" s="277"/>
      <c r="O10142" s="247"/>
      <c r="AC10142" s="247"/>
      <c r="AT10142" s="247"/>
    </row>
    <row r="10143">
      <c r="C10143" s="277"/>
      <c r="M10143" s="277"/>
      <c r="O10143" s="247"/>
      <c r="AC10143" s="247"/>
      <c r="AT10143" s="247"/>
    </row>
    <row r="10144">
      <c r="C10144" s="277"/>
      <c r="M10144" s="277"/>
      <c r="O10144" s="247"/>
      <c r="AC10144" s="247"/>
      <c r="AT10144" s="247"/>
    </row>
    <row r="10145">
      <c r="C10145" s="277"/>
      <c r="M10145" s="277"/>
      <c r="O10145" s="247"/>
      <c r="AC10145" s="247"/>
      <c r="AT10145" s="247"/>
    </row>
    <row r="10146">
      <c r="C10146" s="277"/>
      <c r="M10146" s="277"/>
      <c r="O10146" s="247"/>
      <c r="AC10146" s="247"/>
      <c r="AT10146" s="247"/>
    </row>
    <row r="10147">
      <c r="C10147" s="277"/>
      <c r="M10147" s="277"/>
      <c r="O10147" s="247"/>
      <c r="AC10147" s="247"/>
      <c r="AT10147" s="247"/>
    </row>
    <row r="10148">
      <c r="C10148" s="277"/>
      <c r="M10148" s="277"/>
      <c r="O10148" s="247"/>
      <c r="AC10148" s="247"/>
      <c r="AT10148" s="247"/>
    </row>
    <row r="10149">
      <c r="C10149" s="277"/>
      <c r="M10149" s="277"/>
      <c r="O10149" s="247"/>
      <c r="AC10149" s="247"/>
      <c r="AT10149" s="247"/>
    </row>
    <row r="10150">
      <c r="C10150" s="277"/>
      <c r="M10150" s="277"/>
      <c r="O10150" s="247"/>
      <c r="AC10150" s="247"/>
      <c r="AT10150" s="247"/>
    </row>
    <row r="10151">
      <c r="C10151" s="277"/>
      <c r="M10151" s="277"/>
      <c r="O10151" s="247"/>
      <c r="AC10151" s="247"/>
      <c r="AT10151" s="247"/>
    </row>
    <row r="10152">
      <c r="C10152" s="277"/>
      <c r="M10152" s="277"/>
      <c r="O10152" s="247"/>
      <c r="AC10152" s="247"/>
      <c r="AT10152" s="247"/>
    </row>
    <row r="10153">
      <c r="C10153" s="277"/>
      <c r="M10153" s="277"/>
      <c r="O10153" s="247"/>
      <c r="AC10153" s="247"/>
      <c r="AT10153" s="247"/>
    </row>
    <row r="10154">
      <c r="C10154" s="277"/>
      <c r="M10154" s="277"/>
      <c r="O10154" s="247"/>
      <c r="AC10154" s="247"/>
      <c r="AT10154" s="247"/>
    </row>
    <row r="10155">
      <c r="C10155" s="277"/>
      <c r="M10155" s="277"/>
      <c r="O10155" s="247"/>
      <c r="AC10155" s="247"/>
      <c r="AT10155" s="247"/>
    </row>
    <row r="10156">
      <c r="C10156" s="277"/>
      <c r="M10156" s="277"/>
      <c r="O10156" s="247"/>
      <c r="AC10156" s="247"/>
      <c r="AT10156" s="247"/>
    </row>
    <row r="10157">
      <c r="C10157" s="277"/>
      <c r="M10157" s="277"/>
      <c r="O10157" s="247"/>
      <c r="AC10157" s="247"/>
      <c r="AT10157" s="247"/>
    </row>
    <row r="10158">
      <c r="C10158" s="277"/>
      <c r="M10158" s="277"/>
      <c r="O10158" s="247"/>
      <c r="AC10158" s="247"/>
      <c r="AT10158" s="247"/>
    </row>
    <row r="10159">
      <c r="C10159" s="277"/>
      <c r="M10159" s="277"/>
      <c r="O10159" s="247"/>
      <c r="AC10159" s="247"/>
      <c r="AT10159" s="247"/>
    </row>
    <row r="10160">
      <c r="C10160" s="277"/>
      <c r="M10160" s="277"/>
      <c r="O10160" s="247"/>
      <c r="AC10160" s="247"/>
      <c r="AT10160" s="247"/>
    </row>
    <row r="10161">
      <c r="C10161" s="277"/>
      <c r="M10161" s="277"/>
      <c r="O10161" s="247"/>
      <c r="AC10161" s="247"/>
      <c r="AT10161" s="247"/>
    </row>
    <row r="10162">
      <c r="C10162" s="277"/>
      <c r="M10162" s="277"/>
      <c r="O10162" s="247"/>
      <c r="AC10162" s="247"/>
      <c r="AT10162" s="247"/>
    </row>
    <row r="10163">
      <c r="C10163" s="277"/>
      <c r="M10163" s="277"/>
      <c r="O10163" s="247"/>
      <c r="AC10163" s="247"/>
      <c r="AT10163" s="247"/>
    </row>
    <row r="10164">
      <c r="C10164" s="277"/>
      <c r="M10164" s="277"/>
      <c r="O10164" s="247"/>
      <c r="AC10164" s="247"/>
      <c r="AT10164" s="247"/>
    </row>
    <row r="10165">
      <c r="C10165" s="277"/>
      <c r="M10165" s="277"/>
      <c r="O10165" s="247"/>
      <c r="AC10165" s="247"/>
      <c r="AT10165" s="247"/>
    </row>
    <row r="10166">
      <c r="C10166" s="277"/>
      <c r="M10166" s="277"/>
      <c r="O10166" s="247"/>
      <c r="AC10166" s="247"/>
      <c r="AT10166" s="247"/>
    </row>
    <row r="10167">
      <c r="C10167" s="277"/>
      <c r="M10167" s="277"/>
      <c r="O10167" s="247"/>
      <c r="AC10167" s="247"/>
      <c r="AT10167" s="247"/>
    </row>
    <row r="10168">
      <c r="C10168" s="277"/>
      <c r="M10168" s="277"/>
      <c r="O10168" s="247"/>
      <c r="AC10168" s="247"/>
      <c r="AT10168" s="247"/>
    </row>
    <row r="10169">
      <c r="C10169" s="277"/>
      <c r="M10169" s="277"/>
      <c r="O10169" s="247"/>
      <c r="AC10169" s="247"/>
      <c r="AT10169" s="247"/>
    </row>
    <row r="10170">
      <c r="C10170" s="277"/>
      <c r="M10170" s="277"/>
      <c r="O10170" s="247"/>
      <c r="AC10170" s="247"/>
      <c r="AT10170" s="247"/>
    </row>
    <row r="10171">
      <c r="C10171" s="277"/>
      <c r="M10171" s="277"/>
      <c r="O10171" s="247"/>
      <c r="AC10171" s="247"/>
      <c r="AT10171" s="247"/>
    </row>
    <row r="10172">
      <c r="C10172" s="277"/>
      <c r="M10172" s="277"/>
      <c r="O10172" s="247"/>
      <c r="AC10172" s="247"/>
      <c r="AT10172" s="247"/>
    </row>
    <row r="10173">
      <c r="C10173" s="277"/>
      <c r="M10173" s="277"/>
      <c r="O10173" s="247"/>
      <c r="AC10173" s="247"/>
      <c r="AT10173" s="247"/>
    </row>
    <row r="10174">
      <c r="C10174" s="277"/>
      <c r="M10174" s="277"/>
      <c r="O10174" s="247"/>
      <c r="AC10174" s="247"/>
      <c r="AT10174" s="247"/>
    </row>
    <row r="10175">
      <c r="C10175" s="277"/>
      <c r="M10175" s="277"/>
      <c r="O10175" s="247"/>
      <c r="AC10175" s="247"/>
      <c r="AT10175" s="247"/>
    </row>
    <row r="10176">
      <c r="C10176" s="277"/>
      <c r="M10176" s="277"/>
      <c r="O10176" s="247"/>
      <c r="AC10176" s="247"/>
      <c r="AT10176" s="247"/>
    </row>
    <row r="10177">
      <c r="C10177" s="277"/>
      <c r="M10177" s="277"/>
      <c r="O10177" s="247"/>
      <c r="AC10177" s="247"/>
      <c r="AT10177" s="247"/>
    </row>
    <row r="10178">
      <c r="C10178" s="277"/>
      <c r="M10178" s="277"/>
      <c r="O10178" s="247"/>
      <c r="AC10178" s="247"/>
      <c r="AT10178" s="247"/>
    </row>
    <row r="10179">
      <c r="C10179" s="277"/>
      <c r="M10179" s="277"/>
      <c r="O10179" s="247"/>
      <c r="AC10179" s="247"/>
      <c r="AT10179" s="247"/>
    </row>
    <row r="10180">
      <c r="C10180" s="277"/>
      <c r="M10180" s="277"/>
      <c r="O10180" s="247"/>
      <c r="AC10180" s="247"/>
      <c r="AT10180" s="247"/>
    </row>
    <row r="10181">
      <c r="C10181" s="277"/>
      <c r="M10181" s="277"/>
      <c r="O10181" s="247"/>
      <c r="AC10181" s="247"/>
      <c r="AT10181" s="247"/>
    </row>
    <row r="10182">
      <c r="C10182" s="277"/>
      <c r="M10182" s="277"/>
      <c r="O10182" s="247"/>
      <c r="AC10182" s="247"/>
      <c r="AT10182" s="247"/>
    </row>
    <row r="10183">
      <c r="C10183" s="277"/>
      <c r="M10183" s="277"/>
      <c r="O10183" s="247"/>
      <c r="AC10183" s="247"/>
      <c r="AT10183" s="247"/>
    </row>
    <row r="10184">
      <c r="C10184" s="277"/>
      <c r="M10184" s="277"/>
      <c r="O10184" s="247"/>
      <c r="AC10184" s="247"/>
      <c r="AT10184" s="247"/>
    </row>
    <row r="10185">
      <c r="C10185" s="277"/>
      <c r="M10185" s="277"/>
      <c r="O10185" s="247"/>
      <c r="AC10185" s="247"/>
      <c r="AT10185" s="247"/>
    </row>
    <row r="10186">
      <c r="C10186" s="277"/>
      <c r="M10186" s="277"/>
      <c r="O10186" s="247"/>
      <c r="AC10186" s="247"/>
      <c r="AT10186" s="247"/>
    </row>
    <row r="10187">
      <c r="C10187" s="277"/>
      <c r="M10187" s="277"/>
      <c r="O10187" s="247"/>
      <c r="AC10187" s="247"/>
      <c r="AT10187" s="247"/>
    </row>
    <row r="10188">
      <c r="C10188" s="277"/>
      <c r="M10188" s="277"/>
      <c r="O10188" s="247"/>
      <c r="AC10188" s="247"/>
      <c r="AT10188" s="247"/>
    </row>
    <row r="10189">
      <c r="C10189" s="277"/>
      <c r="M10189" s="277"/>
      <c r="O10189" s="247"/>
      <c r="AC10189" s="247"/>
      <c r="AT10189" s="247"/>
    </row>
    <row r="10190">
      <c r="C10190" s="277"/>
      <c r="M10190" s="277"/>
      <c r="O10190" s="247"/>
      <c r="AC10190" s="247"/>
      <c r="AT10190" s="247"/>
    </row>
    <row r="10191">
      <c r="C10191" s="277"/>
      <c r="M10191" s="277"/>
      <c r="O10191" s="247"/>
      <c r="AC10191" s="247"/>
      <c r="AT10191" s="247"/>
    </row>
    <row r="10192">
      <c r="C10192" s="277"/>
      <c r="M10192" s="277"/>
      <c r="O10192" s="247"/>
      <c r="AC10192" s="247"/>
      <c r="AT10192" s="247"/>
    </row>
    <row r="10193">
      <c r="C10193" s="277"/>
      <c r="M10193" s="277"/>
      <c r="O10193" s="247"/>
      <c r="AC10193" s="247"/>
      <c r="AT10193" s="247"/>
    </row>
    <row r="10194">
      <c r="C10194" s="277"/>
      <c r="M10194" s="277"/>
      <c r="O10194" s="247"/>
      <c r="AC10194" s="247"/>
      <c r="AT10194" s="247"/>
    </row>
    <row r="10195">
      <c r="C10195" s="277"/>
      <c r="M10195" s="277"/>
      <c r="O10195" s="247"/>
      <c r="AC10195" s="247"/>
      <c r="AT10195" s="247"/>
    </row>
    <row r="10196">
      <c r="C10196" s="277"/>
      <c r="M10196" s="277"/>
      <c r="O10196" s="247"/>
      <c r="AC10196" s="247"/>
      <c r="AT10196" s="247"/>
    </row>
    <row r="10197">
      <c r="C10197" s="277"/>
      <c r="M10197" s="277"/>
      <c r="O10197" s="247"/>
      <c r="AC10197" s="247"/>
      <c r="AT10197" s="247"/>
    </row>
    <row r="10198">
      <c r="C10198" s="277"/>
      <c r="M10198" s="277"/>
      <c r="O10198" s="247"/>
      <c r="AC10198" s="247"/>
      <c r="AT10198" s="247"/>
    </row>
    <row r="10199">
      <c r="C10199" s="277"/>
      <c r="M10199" s="277"/>
      <c r="O10199" s="247"/>
      <c r="AC10199" s="247"/>
      <c r="AT10199" s="247"/>
    </row>
    <row r="10200">
      <c r="C10200" s="277"/>
      <c r="M10200" s="277"/>
      <c r="O10200" s="247"/>
      <c r="AC10200" s="247"/>
      <c r="AT10200" s="247"/>
    </row>
    <row r="10201">
      <c r="C10201" s="277"/>
      <c r="M10201" s="277"/>
      <c r="O10201" s="247"/>
      <c r="AC10201" s="247"/>
      <c r="AT10201" s="247"/>
    </row>
    <row r="10202">
      <c r="C10202" s="277"/>
      <c r="M10202" s="277"/>
      <c r="O10202" s="247"/>
      <c r="AC10202" s="247"/>
      <c r="AT10202" s="247"/>
    </row>
    <row r="10203">
      <c r="C10203" s="277"/>
      <c r="M10203" s="277"/>
      <c r="O10203" s="247"/>
      <c r="AC10203" s="247"/>
      <c r="AT10203" s="247"/>
    </row>
    <row r="10204">
      <c r="C10204" s="277"/>
      <c r="M10204" s="277"/>
      <c r="O10204" s="247"/>
      <c r="AC10204" s="247"/>
      <c r="AT10204" s="247"/>
    </row>
    <row r="10205">
      <c r="C10205" s="277"/>
      <c r="M10205" s="277"/>
      <c r="O10205" s="247"/>
      <c r="AC10205" s="247"/>
      <c r="AT10205" s="247"/>
    </row>
    <row r="10206">
      <c r="C10206" s="277"/>
      <c r="M10206" s="277"/>
      <c r="O10206" s="247"/>
      <c r="AC10206" s="247"/>
      <c r="AT10206" s="247"/>
    </row>
    <row r="10207">
      <c r="C10207" s="277"/>
      <c r="M10207" s="277"/>
      <c r="O10207" s="247"/>
      <c r="AC10207" s="247"/>
      <c r="AT10207" s="247"/>
    </row>
    <row r="10208">
      <c r="C10208" s="277"/>
      <c r="M10208" s="277"/>
      <c r="O10208" s="247"/>
      <c r="AC10208" s="247"/>
      <c r="AT10208" s="247"/>
    </row>
    <row r="10209">
      <c r="C10209" s="277"/>
      <c r="M10209" s="277"/>
      <c r="O10209" s="247"/>
      <c r="AC10209" s="247"/>
      <c r="AT10209" s="247"/>
    </row>
    <row r="10210">
      <c r="C10210" s="277"/>
      <c r="M10210" s="277"/>
      <c r="O10210" s="247"/>
      <c r="AC10210" s="247"/>
      <c r="AT10210" s="247"/>
    </row>
    <row r="10211">
      <c r="C10211" s="277"/>
      <c r="M10211" s="277"/>
      <c r="O10211" s="247"/>
      <c r="AC10211" s="247"/>
      <c r="AT10211" s="247"/>
    </row>
    <row r="10212">
      <c r="C10212" s="277"/>
      <c r="M10212" s="277"/>
      <c r="O10212" s="247"/>
      <c r="AC10212" s="247"/>
      <c r="AT10212" s="247"/>
    </row>
    <row r="10213">
      <c r="C10213" s="277"/>
      <c r="M10213" s="277"/>
      <c r="O10213" s="247"/>
      <c r="AC10213" s="247"/>
      <c r="AT10213" s="247"/>
    </row>
    <row r="10214">
      <c r="C10214" s="277"/>
      <c r="M10214" s="277"/>
      <c r="O10214" s="247"/>
      <c r="AC10214" s="247"/>
      <c r="AT10214" s="247"/>
    </row>
    <row r="10215">
      <c r="C10215" s="277"/>
      <c r="M10215" s="277"/>
      <c r="O10215" s="247"/>
      <c r="AC10215" s="247"/>
      <c r="AT10215" s="247"/>
    </row>
    <row r="10216">
      <c r="C10216" s="277"/>
      <c r="M10216" s="277"/>
      <c r="O10216" s="247"/>
      <c r="AC10216" s="247"/>
      <c r="AT10216" s="247"/>
    </row>
    <row r="10217">
      <c r="C10217" s="277"/>
      <c r="M10217" s="277"/>
      <c r="O10217" s="247"/>
      <c r="AC10217" s="247"/>
      <c r="AT10217" s="247"/>
    </row>
    <row r="10218">
      <c r="C10218" s="277"/>
      <c r="M10218" s="277"/>
      <c r="O10218" s="247"/>
      <c r="AC10218" s="247"/>
      <c r="AT10218" s="247"/>
    </row>
    <row r="10219">
      <c r="C10219" s="277"/>
      <c r="M10219" s="277"/>
      <c r="O10219" s="247"/>
      <c r="AC10219" s="247"/>
      <c r="AT10219" s="247"/>
    </row>
    <row r="10220">
      <c r="C10220" s="277"/>
      <c r="M10220" s="277"/>
      <c r="O10220" s="247"/>
      <c r="AC10220" s="247"/>
      <c r="AT10220" s="247"/>
    </row>
    <row r="10221">
      <c r="C10221" s="277"/>
      <c r="M10221" s="277"/>
      <c r="O10221" s="247"/>
      <c r="AC10221" s="247"/>
      <c r="AT10221" s="247"/>
    </row>
    <row r="10222">
      <c r="C10222" s="277"/>
      <c r="M10222" s="277"/>
      <c r="O10222" s="247"/>
      <c r="AC10222" s="247"/>
      <c r="AT10222" s="247"/>
    </row>
    <row r="10223">
      <c r="C10223" s="277"/>
      <c r="M10223" s="277"/>
      <c r="O10223" s="247"/>
      <c r="AC10223" s="247"/>
      <c r="AT10223" s="247"/>
    </row>
    <row r="10224">
      <c r="C10224" s="277"/>
      <c r="M10224" s="277"/>
      <c r="O10224" s="247"/>
      <c r="AC10224" s="247"/>
      <c r="AT10224" s="247"/>
    </row>
    <row r="10225">
      <c r="C10225" s="277"/>
      <c r="M10225" s="277"/>
      <c r="O10225" s="247"/>
      <c r="AC10225" s="247"/>
      <c r="AT10225" s="247"/>
    </row>
    <row r="10226">
      <c r="C10226" s="277"/>
      <c r="M10226" s="277"/>
      <c r="O10226" s="247"/>
      <c r="AC10226" s="247"/>
      <c r="AT10226" s="247"/>
    </row>
    <row r="10227">
      <c r="C10227" s="277"/>
      <c r="M10227" s="277"/>
      <c r="O10227" s="247"/>
      <c r="AC10227" s="247"/>
      <c r="AT10227" s="247"/>
    </row>
    <row r="10228">
      <c r="C10228" s="277"/>
      <c r="M10228" s="277"/>
      <c r="O10228" s="247"/>
      <c r="AC10228" s="247"/>
      <c r="AT10228" s="247"/>
    </row>
    <row r="10229">
      <c r="C10229" s="277"/>
      <c r="M10229" s="277"/>
      <c r="O10229" s="247"/>
      <c r="AC10229" s="247"/>
      <c r="AT10229" s="247"/>
    </row>
    <row r="10230">
      <c r="C10230" s="277"/>
      <c r="M10230" s="277"/>
      <c r="O10230" s="247"/>
      <c r="AC10230" s="247"/>
      <c r="AT10230" s="247"/>
    </row>
    <row r="10231">
      <c r="C10231" s="277"/>
      <c r="M10231" s="277"/>
      <c r="O10231" s="247"/>
      <c r="AC10231" s="247"/>
      <c r="AT10231" s="247"/>
    </row>
    <row r="10232">
      <c r="C10232" s="277"/>
      <c r="M10232" s="277"/>
      <c r="O10232" s="247"/>
      <c r="AC10232" s="247"/>
      <c r="AT10232" s="247"/>
    </row>
    <row r="10233">
      <c r="C10233" s="277"/>
      <c r="M10233" s="277"/>
      <c r="O10233" s="247"/>
      <c r="AC10233" s="247"/>
      <c r="AT10233" s="247"/>
    </row>
    <row r="10234">
      <c r="C10234" s="277"/>
      <c r="M10234" s="277"/>
      <c r="O10234" s="247"/>
      <c r="AC10234" s="247"/>
      <c r="AT10234" s="247"/>
    </row>
    <row r="10235">
      <c r="C10235" s="277"/>
      <c r="M10235" s="277"/>
      <c r="O10235" s="247"/>
      <c r="AC10235" s="247"/>
      <c r="AT10235" s="247"/>
    </row>
    <row r="10236">
      <c r="C10236" s="277"/>
      <c r="M10236" s="277"/>
      <c r="O10236" s="247"/>
      <c r="AC10236" s="247"/>
      <c r="AT10236" s="247"/>
    </row>
    <row r="10237">
      <c r="C10237" s="277"/>
      <c r="M10237" s="277"/>
      <c r="O10237" s="247"/>
      <c r="AC10237" s="247"/>
      <c r="AT10237" s="247"/>
    </row>
    <row r="10238">
      <c r="C10238" s="277"/>
      <c r="M10238" s="277"/>
      <c r="O10238" s="247"/>
      <c r="AC10238" s="247"/>
      <c r="AT10238" s="247"/>
    </row>
    <row r="10239">
      <c r="C10239" s="277"/>
      <c r="M10239" s="277"/>
      <c r="O10239" s="247"/>
      <c r="AC10239" s="247"/>
      <c r="AT10239" s="247"/>
    </row>
    <row r="10240">
      <c r="C10240" s="277"/>
      <c r="M10240" s="277"/>
      <c r="O10240" s="247"/>
      <c r="AC10240" s="247"/>
      <c r="AT10240" s="247"/>
    </row>
    <row r="10241">
      <c r="C10241" s="277"/>
      <c r="M10241" s="277"/>
      <c r="O10241" s="247"/>
      <c r="AC10241" s="247"/>
      <c r="AT10241" s="247"/>
    </row>
    <row r="10242">
      <c r="C10242" s="277"/>
      <c r="M10242" s="277"/>
      <c r="O10242" s="247"/>
      <c r="AC10242" s="247"/>
      <c r="AT10242" s="247"/>
    </row>
    <row r="10243">
      <c r="C10243" s="277"/>
      <c r="M10243" s="277"/>
      <c r="O10243" s="247"/>
      <c r="AC10243" s="247"/>
      <c r="AT10243" s="247"/>
    </row>
    <row r="10244">
      <c r="C10244" s="277"/>
      <c r="M10244" s="277"/>
      <c r="O10244" s="247"/>
      <c r="AC10244" s="247"/>
      <c r="AT10244" s="247"/>
    </row>
    <row r="10245">
      <c r="C10245" s="277"/>
      <c r="M10245" s="277"/>
      <c r="O10245" s="247"/>
      <c r="AC10245" s="247"/>
      <c r="AT10245" s="247"/>
    </row>
    <row r="10246">
      <c r="C10246" s="277"/>
      <c r="M10246" s="277"/>
      <c r="O10246" s="247"/>
      <c r="AC10246" s="247"/>
      <c r="AT10246" s="247"/>
    </row>
    <row r="10247">
      <c r="C10247" s="277"/>
      <c r="M10247" s="277"/>
      <c r="O10247" s="247"/>
      <c r="AC10247" s="247"/>
      <c r="AT10247" s="247"/>
    </row>
    <row r="10248">
      <c r="C10248" s="277"/>
      <c r="M10248" s="277"/>
      <c r="O10248" s="247"/>
      <c r="AC10248" s="247"/>
      <c r="AT10248" s="247"/>
    </row>
    <row r="10249">
      <c r="C10249" s="277"/>
      <c r="M10249" s="277"/>
      <c r="O10249" s="247"/>
      <c r="AC10249" s="247"/>
      <c r="AT10249" s="247"/>
    </row>
    <row r="10250">
      <c r="C10250" s="277"/>
      <c r="M10250" s="277"/>
      <c r="O10250" s="247"/>
      <c r="AC10250" s="247"/>
      <c r="AT10250" s="247"/>
    </row>
    <row r="10251">
      <c r="C10251" s="277"/>
      <c r="M10251" s="277"/>
      <c r="O10251" s="247"/>
      <c r="AC10251" s="247"/>
      <c r="AT10251" s="247"/>
    </row>
    <row r="10252">
      <c r="C10252" s="277"/>
      <c r="M10252" s="277"/>
      <c r="O10252" s="247"/>
      <c r="AC10252" s="247"/>
      <c r="AT10252" s="247"/>
    </row>
    <row r="10253">
      <c r="C10253" s="277"/>
      <c r="M10253" s="277"/>
      <c r="O10253" s="247"/>
      <c r="AC10253" s="247"/>
      <c r="AT10253" s="247"/>
    </row>
    <row r="10254">
      <c r="C10254" s="277"/>
      <c r="M10254" s="277"/>
      <c r="O10254" s="247"/>
      <c r="AC10254" s="247"/>
      <c r="AT10254" s="247"/>
    </row>
    <row r="10255">
      <c r="C10255" s="277"/>
      <c r="M10255" s="277"/>
      <c r="O10255" s="247"/>
      <c r="AC10255" s="247"/>
      <c r="AT10255" s="247"/>
    </row>
    <row r="10256">
      <c r="C10256" s="277"/>
      <c r="M10256" s="277"/>
      <c r="O10256" s="247"/>
      <c r="AC10256" s="247"/>
      <c r="AT10256" s="247"/>
    </row>
    <row r="10257">
      <c r="C10257" s="277"/>
      <c r="M10257" s="277"/>
      <c r="O10257" s="247"/>
      <c r="AC10257" s="247"/>
      <c r="AT10257" s="247"/>
    </row>
    <row r="10258">
      <c r="C10258" s="277"/>
      <c r="M10258" s="277"/>
      <c r="O10258" s="247"/>
      <c r="AC10258" s="247"/>
      <c r="AT10258" s="247"/>
    </row>
    <row r="10259">
      <c r="C10259" s="277"/>
      <c r="M10259" s="277"/>
      <c r="O10259" s="247"/>
      <c r="AC10259" s="247"/>
      <c r="AT10259" s="247"/>
    </row>
    <row r="10260">
      <c r="C10260" s="277"/>
      <c r="M10260" s="277"/>
      <c r="O10260" s="247"/>
      <c r="AC10260" s="247"/>
      <c r="AT10260" s="247"/>
    </row>
    <row r="10261">
      <c r="C10261" s="277"/>
      <c r="M10261" s="277"/>
      <c r="O10261" s="247"/>
      <c r="AC10261" s="247"/>
      <c r="AT10261" s="247"/>
    </row>
    <row r="10262">
      <c r="C10262" s="277"/>
      <c r="M10262" s="277"/>
      <c r="O10262" s="247"/>
      <c r="AC10262" s="247"/>
      <c r="AT10262" s="247"/>
    </row>
    <row r="10263">
      <c r="C10263" s="277"/>
      <c r="M10263" s="277"/>
      <c r="O10263" s="247"/>
      <c r="AC10263" s="247"/>
      <c r="AT10263" s="247"/>
    </row>
    <row r="10264">
      <c r="C10264" s="277"/>
      <c r="M10264" s="277"/>
      <c r="O10264" s="247"/>
      <c r="AC10264" s="247"/>
      <c r="AT10264" s="247"/>
    </row>
    <row r="10265">
      <c r="C10265" s="277"/>
      <c r="M10265" s="277"/>
      <c r="O10265" s="247"/>
      <c r="AC10265" s="247"/>
      <c r="AT10265" s="247"/>
    </row>
    <row r="10266">
      <c r="C10266" s="277"/>
      <c r="M10266" s="277"/>
      <c r="O10266" s="247"/>
      <c r="AC10266" s="247"/>
      <c r="AT10266" s="247"/>
    </row>
    <row r="10267">
      <c r="C10267" s="277"/>
      <c r="M10267" s="277"/>
      <c r="O10267" s="247"/>
      <c r="AC10267" s="247"/>
      <c r="AT10267" s="247"/>
    </row>
    <row r="10268">
      <c r="C10268" s="277"/>
      <c r="M10268" s="277"/>
      <c r="O10268" s="247"/>
      <c r="AC10268" s="247"/>
      <c r="AT10268" s="247"/>
    </row>
    <row r="10269">
      <c r="C10269" s="277"/>
      <c r="M10269" s="277"/>
      <c r="O10269" s="247"/>
      <c r="AC10269" s="247"/>
      <c r="AT10269" s="247"/>
    </row>
    <row r="10270">
      <c r="C10270" s="277"/>
      <c r="M10270" s="277"/>
      <c r="O10270" s="247"/>
      <c r="AC10270" s="247"/>
      <c r="AT10270" s="247"/>
    </row>
    <row r="10271">
      <c r="C10271" s="277"/>
      <c r="M10271" s="277"/>
      <c r="O10271" s="247"/>
      <c r="AC10271" s="247"/>
      <c r="AT10271" s="247"/>
    </row>
    <row r="10272">
      <c r="C10272" s="277"/>
      <c r="M10272" s="277"/>
      <c r="O10272" s="247"/>
      <c r="AC10272" s="247"/>
      <c r="AT10272" s="247"/>
    </row>
    <row r="10273">
      <c r="C10273" s="277"/>
      <c r="M10273" s="277"/>
      <c r="O10273" s="247"/>
      <c r="AC10273" s="247"/>
      <c r="AT10273" s="247"/>
    </row>
    <row r="10274">
      <c r="C10274" s="277"/>
      <c r="M10274" s="277"/>
      <c r="O10274" s="247"/>
      <c r="AC10274" s="247"/>
      <c r="AT10274" s="247"/>
    </row>
    <row r="10275">
      <c r="C10275" s="277"/>
      <c r="M10275" s="277"/>
      <c r="O10275" s="247"/>
      <c r="AC10275" s="247"/>
      <c r="AT10275" s="247"/>
    </row>
    <row r="10276">
      <c r="C10276" s="277"/>
      <c r="M10276" s="277"/>
      <c r="O10276" s="247"/>
      <c r="AC10276" s="247"/>
      <c r="AT10276" s="247"/>
    </row>
    <row r="10277">
      <c r="C10277" s="277"/>
      <c r="M10277" s="277"/>
      <c r="O10277" s="247"/>
      <c r="AC10277" s="247"/>
      <c r="AT10277" s="247"/>
    </row>
    <row r="10278">
      <c r="C10278" s="277"/>
      <c r="M10278" s="277"/>
      <c r="O10278" s="247"/>
      <c r="AC10278" s="247"/>
      <c r="AT10278" s="247"/>
    </row>
    <row r="10279">
      <c r="C10279" s="277"/>
      <c r="M10279" s="277"/>
      <c r="O10279" s="247"/>
      <c r="AC10279" s="247"/>
      <c r="AT10279" s="247"/>
    </row>
    <row r="10280">
      <c r="C10280" s="277"/>
      <c r="M10280" s="277"/>
      <c r="O10280" s="247"/>
      <c r="AC10280" s="247"/>
      <c r="AT10280" s="247"/>
    </row>
    <row r="10281">
      <c r="C10281" s="277"/>
      <c r="M10281" s="277"/>
      <c r="O10281" s="247"/>
      <c r="AC10281" s="247"/>
      <c r="AT10281" s="247"/>
    </row>
    <row r="10282">
      <c r="C10282" s="277"/>
      <c r="M10282" s="277"/>
      <c r="O10282" s="247"/>
      <c r="AC10282" s="247"/>
      <c r="AT10282" s="247"/>
    </row>
    <row r="10283">
      <c r="C10283" s="277"/>
      <c r="M10283" s="277"/>
      <c r="O10283" s="247"/>
      <c r="AC10283" s="247"/>
      <c r="AT10283" s="247"/>
    </row>
    <row r="10284">
      <c r="C10284" s="277"/>
      <c r="M10284" s="277"/>
      <c r="O10284" s="247"/>
      <c r="AC10284" s="247"/>
      <c r="AT10284" s="247"/>
    </row>
    <row r="10285">
      <c r="C10285" s="277"/>
      <c r="M10285" s="277"/>
      <c r="O10285" s="247"/>
      <c r="AC10285" s="247"/>
      <c r="AT10285" s="247"/>
    </row>
    <row r="10286">
      <c r="C10286" s="277"/>
      <c r="M10286" s="277"/>
      <c r="O10286" s="247"/>
      <c r="AC10286" s="247"/>
      <c r="AT10286" s="247"/>
    </row>
    <row r="10287">
      <c r="C10287" s="277"/>
      <c r="M10287" s="277"/>
      <c r="O10287" s="247"/>
      <c r="AC10287" s="247"/>
      <c r="AT10287" s="247"/>
    </row>
    <row r="10288">
      <c r="C10288" s="277"/>
      <c r="M10288" s="277"/>
      <c r="O10288" s="247"/>
      <c r="AC10288" s="247"/>
      <c r="AT10288" s="247"/>
    </row>
    <row r="10289">
      <c r="C10289" s="277"/>
      <c r="M10289" s="277"/>
      <c r="O10289" s="247"/>
      <c r="AC10289" s="247"/>
      <c r="AT10289" s="247"/>
    </row>
    <row r="10290">
      <c r="C10290" s="277"/>
      <c r="M10290" s="277"/>
      <c r="O10290" s="247"/>
      <c r="AC10290" s="247"/>
      <c r="AT10290" s="247"/>
    </row>
    <row r="10291">
      <c r="C10291" s="277"/>
      <c r="M10291" s="277"/>
      <c r="O10291" s="247"/>
      <c r="AC10291" s="247"/>
      <c r="AT10291" s="247"/>
    </row>
    <row r="10292">
      <c r="C10292" s="277"/>
      <c r="M10292" s="277"/>
      <c r="O10292" s="247"/>
      <c r="AC10292" s="247"/>
      <c r="AT10292" s="247"/>
    </row>
    <row r="10293">
      <c r="C10293" s="277"/>
      <c r="M10293" s="277"/>
      <c r="O10293" s="247"/>
      <c r="AC10293" s="247"/>
      <c r="AT10293" s="247"/>
    </row>
    <row r="10294">
      <c r="C10294" s="277"/>
      <c r="M10294" s="277"/>
      <c r="O10294" s="247"/>
      <c r="AC10294" s="247"/>
      <c r="AT10294" s="247"/>
    </row>
    <row r="10295">
      <c r="C10295" s="277"/>
      <c r="M10295" s="277"/>
      <c r="O10295" s="247"/>
      <c r="AC10295" s="247"/>
      <c r="AT10295" s="247"/>
    </row>
    <row r="10296">
      <c r="C10296" s="277"/>
      <c r="M10296" s="277"/>
      <c r="O10296" s="247"/>
      <c r="AC10296" s="247"/>
      <c r="AT10296" s="247"/>
    </row>
    <row r="10297">
      <c r="C10297" s="277"/>
      <c r="M10297" s="277"/>
      <c r="O10297" s="247"/>
      <c r="AC10297" s="247"/>
      <c r="AT10297" s="247"/>
    </row>
    <row r="10298">
      <c r="C10298" s="277"/>
      <c r="M10298" s="277"/>
      <c r="O10298" s="247"/>
      <c r="AC10298" s="247"/>
      <c r="AT10298" s="247"/>
    </row>
    <row r="10299">
      <c r="C10299" s="277"/>
      <c r="M10299" s="277"/>
      <c r="O10299" s="247"/>
      <c r="AC10299" s="247"/>
      <c r="AT10299" s="247"/>
    </row>
    <row r="10300">
      <c r="C10300" s="277"/>
      <c r="M10300" s="277"/>
      <c r="O10300" s="247"/>
      <c r="AC10300" s="247"/>
      <c r="AT10300" s="247"/>
    </row>
    <row r="10301">
      <c r="C10301" s="277"/>
      <c r="M10301" s="277"/>
      <c r="O10301" s="247"/>
      <c r="AC10301" s="247"/>
      <c r="AT10301" s="247"/>
    </row>
    <row r="10302">
      <c r="C10302" s="277"/>
      <c r="M10302" s="277"/>
      <c r="O10302" s="247"/>
      <c r="AC10302" s="247"/>
      <c r="AT10302" s="247"/>
    </row>
    <row r="10303">
      <c r="C10303" s="277"/>
      <c r="M10303" s="277"/>
      <c r="O10303" s="247"/>
      <c r="AC10303" s="247"/>
      <c r="AT10303" s="247"/>
    </row>
    <row r="10304">
      <c r="C10304" s="277"/>
      <c r="M10304" s="277"/>
      <c r="O10304" s="247"/>
      <c r="AC10304" s="247"/>
      <c r="AT10304" s="247"/>
    </row>
    <row r="10305">
      <c r="C10305" s="277"/>
      <c r="M10305" s="277"/>
      <c r="O10305" s="247"/>
      <c r="AC10305" s="247"/>
      <c r="AT10305" s="247"/>
    </row>
    <row r="10306">
      <c r="C10306" s="277"/>
      <c r="M10306" s="277"/>
      <c r="O10306" s="247"/>
      <c r="AC10306" s="247"/>
      <c r="AT10306" s="247"/>
    </row>
    <row r="10307">
      <c r="C10307" s="277"/>
      <c r="M10307" s="277"/>
      <c r="O10307" s="247"/>
      <c r="AC10307" s="247"/>
      <c r="AT10307" s="247"/>
    </row>
    <row r="10308">
      <c r="C10308" s="277"/>
      <c r="M10308" s="277"/>
      <c r="O10308" s="247"/>
      <c r="AC10308" s="247"/>
      <c r="AT10308" s="247"/>
    </row>
    <row r="10309">
      <c r="C10309" s="277"/>
      <c r="M10309" s="277"/>
      <c r="O10309" s="247"/>
      <c r="AC10309" s="247"/>
      <c r="AT10309" s="247"/>
    </row>
    <row r="10310">
      <c r="C10310" s="277"/>
      <c r="M10310" s="277"/>
      <c r="O10310" s="247"/>
      <c r="AC10310" s="247"/>
      <c r="AT10310" s="247"/>
    </row>
    <row r="10311">
      <c r="C10311" s="277"/>
      <c r="M10311" s="277"/>
      <c r="O10311" s="247"/>
      <c r="AC10311" s="247"/>
      <c r="AT10311" s="247"/>
    </row>
    <row r="10312">
      <c r="C10312" s="277"/>
      <c r="M10312" s="277"/>
      <c r="O10312" s="247"/>
      <c r="AC10312" s="247"/>
      <c r="AT10312" s="247"/>
    </row>
    <row r="10313">
      <c r="C10313" s="277"/>
      <c r="M10313" s="277"/>
      <c r="O10313" s="247"/>
      <c r="AC10313" s="247"/>
      <c r="AT10313" s="247"/>
    </row>
    <row r="10314">
      <c r="C10314" s="277"/>
      <c r="M10314" s="277"/>
      <c r="O10314" s="247"/>
      <c r="AC10314" s="247"/>
      <c r="AT10314" s="247"/>
    </row>
    <row r="10315">
      <c r="C10315" s="277"/>
      <c r="M10315" s="277"/>
      <c r="O10315" s="247"/>
      <c r="AC10315" s="247"/>
      <c r="AT10315" s="247"/>
    </row>
    <row r="10316">
      <c r="C10316" s="277"/>
      <c r="M10316" s="277"/>
      <c r="O10316" s="247"/>
      <c r="AC10316" s="247"/>
      <c r="AT10316" s="247"/>
    </row>
    <row r="10317">
      <c r="C10317" s="277"/>
      <c r="M10317" s="277"/>
      <c r="O10317" s="247"/>
      <c r="AC10317" s="247"/>
      <c r="AT10317" s="247"/>
    </row>
    <row r="10318">
      <c r="C10318" s="277"/>
      <c r="M10318" s="277"/>
      <c r="O10318" s="247"/>
      <c r="AC10318" s="247"/>
      <c r="AT10318" s="247"/>
    </row>
    <row r="10319">
      <c r="C10319" s="277"/>
      <c r="M10319" s="277"/>
      <c r="O10319" s="247"/>
      <c r="AC10319" s="247"/>
      <c r="AT10319" s="247"/>
    </row>
    <row r="10320">
      <c r="C10320" s="277"/>
      <c r="M10320" s="277"/>
      <c r="O10320" s="247"/>
      <c r="AC10320" s="247"/>
      <c r="AT10320" s="247"/>
    </row>
    <row r="10321">
      <c r="C10321" s="277"/>
      <c r="M10321" s="277"/>
      <c r="O10321" s="247"/>
      <c r="AC10321" s="247"/>
      <c r="AT10321" s="247"/>
    </row>
    <row r="10322">
      <c r="C10322" s="277"/>
      <c r="M10322" s="277"/>
      <c r="O10322" s="247"/>
      <c r="AC10322" s="247"/>
      <c r="AT10322" s="247"/>
    </row>
    <row r="10323">
      <c r="C10323" s="277"/>
      <c r="M10323" s="277"/>
      <c r="O10323" s="247"/>
      <c r="AC10323" s="247"/>
      <c r="AT10323" s="247"/>
    </row>
    <row r="10324">
      <c r="C10324" s="277"/>
      <c r="M10324" s="277"/>
      <c r="O10324" s="247"/>
      <c r="AC10324" s="247"/>
      <c r="AT10324" s="247"/>
    </row>
    <row r="10325">
      <c r="C10325" s="277"/>
      <c r="M10325" s="277"/>
      <c r="O10325" s="247"/>
      <c r="AC10325" s="247"/>
      <c r="AT10325" s="247"/>
    </row>
    <row r="10326">
      <c r="C10326" s="277"/>
      <c r="M10326" s="277"/>
      <c r="O10326" s="247"/>
      <c r="AC10326" s="247"/>
      <c r="AT10326" s="247"/>
    </row>
    <row r="10327">
      <c r="C10327" s="277"/>
      <c r="M10327" s="277"/>
      <c r="O10327" s="247"/>
      <c r="AC10327" s="247"/>
      <c r="AT10327" s="247"/>
    </row>
    <row r="10328">
      <c r="C10328" s="277"/>
      <c r="M10328" s="277"/>
      <c r="O10328" s="247"/>
      <c r="AC10328" s="247"/>
      <c r="AT10328" s="247"/>
    </row>
    <row r="10329">
      <c r="C10329" s="277"/>
      <c r="M10329" s="277"/>
      <c r="O10329" s="247"/>
      <c r="AC10329" s="247"/>
      <c r="AT10329" s="247"/>
    </row>
    <row r="10330">
      <c r="C10330" s="277"/>
      <c r="M10330" s="277"/>
      <c r="O10330" s="247"/>
      <c r="AC10330" s="247"/>
      <c r="AT10330" s="247"/>
    </row>
    <row r="10331">
      <c r="C10331" s="277"/>
      <c r="M10331" s="277"/>
      <c r="O10331" s="247"/>
      <c r="AC10331" s="247"/>
      <c r="AT10331" s="247"/>
    </row>
    <row r="10332">
      <c r="C10332" s="277"/>
      <c r="M10332" s="277"/>
      <c r="O10332" s="247"/>
      <c r="AC10332" s="247"/>
      <c r="AT10332" s="247"/>
    </row>
    <row r="10333">
      <c r="C10333" s="277"/>
      <c r="M10333" s="277"/>
      <c r="O10333" s="247"/>
      <c r="AC10333" s="247"/>
      <c r="AT10333" s="247"/>
    </row>
    <row r="10334">
      <c r="C10334" s="277"/>
      <c r="M10334" s="277"/>
      <c r="O10334" s="247"/>
      <c r="AC10334" s="247"/>
      <c r="AT10334" s="247"/>
    </row>
    <row r="10335">
      <c r="C10335" s="277"/>
      <c r="M10335" s="277"/>
      <c r="O10335" s="247"/>
      <c r="AC10335" s="247"/>
      <c r="AT10335" s="247"/>
    </row>
    <row r="10336">
      <c r="C10336" s="277"/>
      <c r="M10336" s="277"/>
      <c r="O10336" s="247"/>
      <c r="AC10336" s="247"/>
      <c r="AT10336" s="247"/>
    </row>
    <row r="10337">
      <c r="C10337" s="277"/>
      <c r="M10337" s="277"/>
      <c r="O10337" s="247"/>
      <c r="AC10337" s="247"/>
      <c r="AT10337" s="247"/>
    </row>
    <row r="10338">
      <c r="C10338" s="277"/>
      <c r="M10338" s="277"/>
      <c r="O10338" s="247"/>
      <c r="AC10338" s="247"/>
      <c r="AT10338" s="247"/>
    </row>
    <row r="10339">
      <c r="C10339" s="277"/>
      <c r="M10339" s="277"/>
      <c r="O10339" s="247"/>
      <c r="AC10339" s="247"/>
      <c r="AT10339" s="247"/>
    </row>
    <row r="10340">
      <c r="C10340" s="277"/>
      <c r="M10340" s="277"/>
      <c r="O10340" s="247"/>
      <c r="AC10340" s="247"/>
      <c r="AT10340" s="247"/>
    </row>
    <row r="10341">
      <c r="C10341" s="277"/>
      <c r="M10341" s="277"/>
      <c r="O10341" s="247"/>
      <c r="AC10341" s="247"/>
      <c r="AT10341" s="247"/>
    </row>
    <row r="10342">
      <c r="C10342" s="277"/>
      <c r="M10342" s="277"/>
      <c r="O10342" s="247"/>
      <c r="AC10342" s="247"/>
      <c r="AT10342" s="247"/>
    </row>
    <row r="10343">
      <c r="C10343" s="277"/>
      <c r="M10343" s="277"/>
      <c r="O10343" s="247"/>
      <c r="AC10343" s="247"/>
      <c r="AT10343" s="247"/>
    </row>
    <row r="10344">
      <c r="C10344" s="277"/>
      <c r="M10344" s="277"/>
      <c r="O10344" s="247"/>
      <c r="AC10344" s="247"/>
      <c r="AT10344" s="247"/>
    </row>
    <row r="10345">
      <c r="C10345" s="277"/>
      <c r="M10345" s="277"/>
      <c r="O10345" s="247"/>
      <c r="AC10345" s="247"/>
      <c r="AT10345" s="247"/>
    </row>
    <row r="10346">
      <c r="C10346" s="277"/>
      <c r="M10346" s="277"/>
      <c r="O10346" s="247"/>
      <c r="AC10346" s="247"/>
      <c r="AT10346" s="247"/>
    </row>
    <row r="10347">
      <c r="C10347" s="277"/>
      <c r="M10347" s="277"/>
      <c r="O10347" s="247"/>
      <c r="AC10347" s="247"/>
      <c r="AT10347" s="247"/>
    </row>
    <row r="10348">
      <c r="C10348" s="277"/>
      <c r="M10348" s="277"/>
      <c r="O10348" s="247"/>
      <c r="AC10348" s="247"/>
      <c r="AT10348" s="247"/>
    </row>
    <row r="10349">
      <c r="C10349" s="277"/>
      <c r="M10349" s="277"/>
      <c r="O10349" s="247"/>
      <c r="AC10349" s="247"/>
      <c r="AT10349" s="247"/>
    </row>
    <row r="10350">
      <c r="C10350" s="277"/>
      <c r="M10350" s="277"/>
      <c r="O10350" s="247"/>
      <c r="AC10350" s="247"/>
      <c r="AT10350" s="247"/>
    </row>
    <row r="10351">
      <c r="C10351" s="277"/>
      <c r="M10351" s="277"/>
      <c r="O10351" s="247"/>
      <c r="AC10351" s="247"/>
      <c r="AT10351" s="247"/>
    </row>
    <row r="10352">
      <c r="C10352" s="277"/>
      <c r="M10352" s="277"/>
      <c r="O10352" s="247"/>
      <c r="AC10352" s="247"/>
      <c r="AT10352" s="247"/>
    </row>
    <row r="10353">
      <c r="C10353" s="277"/>
      <c r="M10353" s="277"/>
      <c r="O10353" s="247"/>
      <c r="AC10353" s="247"/>
      <c r="AT10353" s="247"/>
    </row>
    <row r="10354">
      <c r="C10354" s="277"/>
      <c r="M10354" s="277"/>
      <c r="O10354" s="247"/>
      <c r="AC10354" s="247"/>
      <c r="AT10354" s="247"/>
    </row>
    <row r="10355">
      <c r="C10355" s="277"/>
      <c r="M10355" s="277"/>
      <c r="O10355" s="247"/>
      <c r="AC10355" s="247"/>
      <c r="AT10355" s="247"/>
    </row>
    <row r="10356">
      <c r="C10356" s="277"/>
      <c r="M10356" s="277"/>
      <c r="O10356" s="247"/>
      <c r="AC10356" s="247"/>
      <c r="AT10356" s="247"/>
    </row>
    <row r="10357">
      <c r="C10357" s="277"/>
      <c r="M10357" s="277"/>
      <c r="O10357" s="247"/>
      <c r="AC10357" s="247"/>
      <c r="AT10357" s="247"/>
    </row>
    <row r="10358">
      <c r="C10358" s="277"/>
      <c r="M10358" s="277"/>
      <c r="O10358" s="247"/>
      <c r="AC10358" s="247"/>
      <c r="AT10358" s="247"/>
    </row>
    <row r="10359">
      <c r="C10359" s="277"/>
      <c r="M10359" s="277"/>
      <c r="O10359" s="247"/>
      <c r="AC10359" s="247"/>
      <c r="AT10359" s="247"/>
    </row>
    <row r="10360">
      <c r="C10360" s="277"/>
      <c r="M10360" s="277"/>
      <c r="O10360" s="247"/>
      <c r="AC10360" s="247"/>
      <c r="AT10360" s="247"/>
    </row>
    <row r="10361">
      <c r="C10361" s="277"/>
      <c r="M10361" s="277"/>
      <c r="O10361" s="247"/>
      <c r="AC10361" s="247"/>
      <c r="AT10361" s="247"/>
    </row>
    <row r="10362">
      <c r="C10362" s="277"/>
      <c r="M10362" s="277"/>
      <c r="O10362" s="247"/>
      <c r="AC10362" s="247"/>
      <c r="AT10362" s="247"/>
    </row>
    <row r="10363">
      <c r="C10363" s="277"/>
      <c r="M10363" s="277"/>
      <c r="O10363" s="247"/>
      <c r="AC10363" s="247"/>
      <c r="AT10363" s="247"/>
    </row>
    <row r="10364">
      <c r="C10364" s="277"/>
      <c r="M10364" s="277"/>
      <c r="O10364" s="247"/>
      <c r="AC10364" s="247"/>
      <c r="AT10364" s="247"/>
    </row>
    <row r="10365">
      <c r="C10365" s="277"/>
      <c r="M10365" s="277"/>
      <c r="O10365" s="247"/>
      <c r="AC10365" s="247"/>
      <c r="AT10365" s="247"/>
    </row>
    <row r="10366">
      <c r="C10366" s="277"/>
      <c r="M10366" s="277"/>
      <c r="O10366" s="247"/>
      <c r="AC10366" s="247"/>
      <c r="AT10366" s="247"/>
    </row>
    <row r="10367">
      <c r="C10367" s="277"/>
      <c r="M10367" s="277"/>
      <c r="O10367" s="247"/>
      <c r="AC10367" s="247"/>
      <c r="AT10367" s="247"/>
    </row>
    <row r="10368">
      <c r="C10368" s="277"/>
      <c r="M10368" s="277"/>
      <c r="O10368" s="247"/>
      <c r="AC10368" s="247"/>
      <c r="AT10368" s="247"/>
    </row>
    <row r="10369">
      <c r="C10369" s="277"/>
      <c r="M10369" s="277"/>
      <c r="O10369" s="247"/>
      <c r="AC10369" s="247"/>
      <c r="AT10369" s="247"/>
    </row>
    <row r="10370">
      <c r="C10370" s="277"/>
      <c r="M10370" s="277"/>
      <c r="O10370" s="247"/>
      <c r="AC10370" s="247"/>
      <c r="AT10370" s="247"/>
    </row>
    <row r="10371">
      <c r="C10371" s="277"/>
      <c r="M10371" s="277"/>
      <c r="O10371" s="247"/>
      <c r="AC10371" s="247"/>
      <c r="AT10371" s="247"/>
    </row>
    <row r="10372">
      <c r="C10372" s="277"/>
      <c r="M10372" s="277"/>
      <c r="O10372" s="247"/>
      <c r="AC10372" s="247"/>
      <c r="AT10372" s="247"/>
    </row>
    <row r="10373">
      <c r="C10373" s="277"/>
      <c r="M10373" s="277"/>
      <c r="O10373" s="247"/>
      <c r="AC10373" s="247"/>
      <c r="AT10373" s="247"/>
    </row>
    <row r="10374">
      <c r="C10374" s="277"/>
      <c r="M10374" s="277"/>
      <c r="O10374" s="247"/>
      <c r="AC10374" s="247"/>
      <c r="AT10374" s="247"/>
    </row>
    <row r="10375">
      <c r="C10375" s="277"/>
      <c r="M10375" s="277"/>
      <c r="O10375" s="247"/>
      <c r="AC10375" s="247"/>
      <c r="AT10375" s="247"/>
    </row>
    <row r="10376">
      <c r="C10376" s="277"/>
      <c r="M10376" s="277"/>
      <c r="O10376" s="247"/>
      <c r="AC10376" s="247"/>
      <c r="AT10376" s="247"/>
    </row>
    <row r="10377">
      <c r="C10377" s="277"/>
      <c r="M10377" s="277"/>
      <c r="O10377" s="247"/>
      <c r="AC10377" s="247"/>
      <c r="AT10377" s="247"/>
    </row>
    <row r="10378">
      <c r="C10378" s="277"/>
      <c r="M10378" s="277"/>
      <c r="O10378" s="247"/>
      <c r="AC10378" s="247"/>
      <c r="AT10378" s="247"/>
    </row>
    <row r="10379">
      <c r="C10379" s="277"/>
      <c r="M10379" s="277"/>
      <c r="O10379" s="247"/>
      <c r="AC10379" s="247"/>
      <c r="AT10379" s="247"/>
    </row>
    <row r="10380">
      <c r="C10380" s="277"/>
      <c r="M10380" s="277"/>
      <c r="O10380" s="247"/>
      <c r="AC10380" s="247"/>
      <c r="AT10380" s="247"/>
    </row>
    <row r="10381">
      <c r="C10381" s="277"/>
      <c r="M10381" s="277"/>
      <c r="O10381" s="247"/>
      <c r="AC10381" s="247"/>
      <c r="AT10381" s="247"/>
    </row>
    <row r="10382">
      <c r="C10382" s="277"/>
      <c r="M10382" s="277"/>
      <c r="O10382" s="247"/>
      <c r="AC10382" s="247"/>
      <c r="AT10382" s="247"/>
    </row>
    <row r="10383">
      <c r="C10383" s="277"/>
      <c r="M10383" s="277"/>
      <c r="O10383" s="247"/>
      <c r="AC10383" s="247"/>
      <c r="AT10383" s="247"/>
    </row>
    <row r="10384">
      <c r="C10384" s="277"/>
      <c r="M10384" s="277"/>
      <c r="O10384" s="247"/>
      <c r="AC10384" s="247"/>
      <c r="AT10384" s="247"/>
    </row>
    <row r="10385">
      <c r="C10385" s="277"/>
      <c r="M10385" s="277"/>
      <c r="O10385" s="247"/>
      <c r="AC10385" s="247"/>
      <c r="AT10385" s="247"/>
    </row>
    <row r="10386">
      <c r="C10386" s="277"/>
      <c r="M10386" s="277"/>
      <c r="O10386" s="247"/>
      <c r="AC10386" s="247"/>
      <c r="AT10386" s="247"/>
    </row>
    <row r="10387">
      <c r="C10387" s="277"/>
      <c r="M10387" s="277"/>
      <c r="O10387" s="247"/>
      <c r="AC10387" s="247"/>
      <c r="AT10387" s="247"/>
    </row>
    <row r="10388">
      <c r="C10388" s="277"/>
      <c r="M10388" s="277"/>
      <c r="O10388" s="247"/>
      <c r="AC10388" s="247"/>
      <c r="AT10388" s="247"/>
    </row>
    <row r="10389">
      <c r="C10389" s="277"/>
      <c r="M10389" s="277"/>
      <c r="O10389" s="247"/>
      <c r="AC10389" s="247"/>
      <c r="AT10389" s="247"/>
    </row>
    <row r="10390">
      <c r="C10390" s="277"/>
      <c r="M10390" s="277"/>
      <c r="O10390" s="247"/>
      <c r="AC10390" s="247"/>
      <c r="AT10390" s="247"/>
    </row>
    <row r="10391">
      <c r="C10391" s="277"/>
      <c r="M10391" s="277"/>
      <c r="O10391" s="247"/>
      <c r="AC10391" s="247"/>
      <c r="AT10391" s="247"/>
    </row>
    <row r="10392">
      <c r="C10392" s="277"/>
      <c r="M10392" s="277"/>
      <c r="O10392" s="247"/>
      <c r="AC10392" s="247"/>
      <c r="AT10392" s="247"/>
    </row>
    <row r="10393">
      <c r="C10393" s="277"/>
      <c r="M10393" s="277"/>
      <c r="O10393" s="247"/>
      <c r="AC10393" s="247"/>
      <c r="AT10393" s="247"/>
    </row>
    <row r="10394">
      <c r="C10394" s="277"/>
      <c r="M10394" s="277"/>
      <c r="O10394" s="247"/>
      <c r="AC10394" s="247"/>
      <c r="AT10394" s="247"/>
    </row>
    <row r="10395">
      <c r="C10395" s="277"/>
      <c r="M10395" s="277"/>
      <c r="O10395" s="247"/>
      <c r="AC10395" s="247"/>
      <c r="AT10395" s="247"/>
    </row>
    <row r="10396">
      <c r="C10396" s="277"/>
      <c r="M10396" s="277"/>
      <c r="O10396" s="247"/>
      <c r="AC10396" s="247"/>
      <c r="AT10396" s="247"/>
    </row>
    <row r="10397">
      <c r="C10397" s="277"/>
      <c r="M10397" s="277"/>
      <c r="O10397" s="247"/>
      <c r="AC10397" s="247"/>
      <c r="AT10397" s="247"/>
    </row>
    <row r="10398">
      <c r="C10398" s="277"/>
      <c r="M10398" s="277"/>
      <c r="O10398" s="247"/>
      <c r="AC10398" s="247"/>
      <c r="AT10398" s="247"/>
    </row>
    <row r="10399">
      <c r="C10399" s="277"/>
      <c r="M10399" s="277"/>
      <c r="O10399" s="247"/>
      <c r="AC10399" s="247"/>
      <c r="AT10399" s="247"/>
    </row>
    <row r="10400">
      <c r="C10400" s="277"/>
      <c r="M10400" s="277"/>
      <c r="O10400" s="247"/>
      <c r="AC10400" s="247"/>
      <c r="AT10400" s="247"/>
    </row>
    <row r="10401">
      <c r="C10401" s="277"/>
      <c r="M10401" s="277"/>
      <c r="O10401" s="247"/>
      <c r="AC10401" s="247"/>
      <c r="AT10401" s="247"/>
    </row>
    <row r="10402">
      <c r="C10402" s="277"/>
      <c r="M10402" s="277"/>
      <c r="O10402" s="247"/>
      <c r="AC10402" s="247"/>
      <c r="AT10402" s="247"/>
    </row>
    <row r="10403">
      <c r="C10403" s="277"/>
      <c r="M10403" s="277"/>
      <c r="O10403" s="247"/>
      <c r="AC10403" s="247"/>
      <c r="AT10403" s="247"/>
    </row>
    <row r="10404">
      <c r="C10404" s="277"/>
      <c r="M10404" s="277"/>
      <c r="O10404" s="247"/>
      <c r="AC10404" s="247"/>
      <c r="AT10404" s="247"/>
    </row>
    <row r="10405">
      <c r="C10405" s="277"/>
      <c r="M10405" s="277"/>
      <c r="O10405" s="247"/>
      <c r="AC10405" s="247"/>
      <c r="AT10405" s="247"/>
    </row>
    <row r="10406">
      <c r="C10406" s="277"/>
      <c r="M10406" s="277"/>
      <c r="O10406" s="247"/>
      <c r="AC10406" s="247"/>
      <c r="AT10406" s="247"/>
    </row>
    <row r="10407">
      <c r="C10407" s="277"/>
      <c r="M10407" s="277"/>
      <c r="O10407" s="247"/>
      <c r="AC10407" s="247"/>
      <c r="AT10407" s="247"/>
    </row>
    <row r="10408">
      <c r="C10408" s="277"/>
      <c r="M10408" s="277"/>
      <c r="O10408" s="247"/>
      <c r="AC10408" s="247"/>
      <c r="AT10408" s="247"/>
    </row>
    <row r="10409">
      <c r="C10409" s="277"/>
      <c r="M10409" s="277"/>
      <c r="O10409" s="247"/>
      <c r="AC10409" s="247"/>
      <c r="AT10409" s="247"/>
    </row>
    <row r="10410">
      <c r="C10410" s="277"/>
      <c r="M10410" s="277"/>
      <c r="O10410" s="247"/>
      <c r="AC10410" s="247"/>
      <c r="AT10410" s="247"/>
    </row>
    <row r="10411">
      <c r="C10411" s="277"/>
      <c r="M10411" s="277"/>
      <c r="O10411" s="247"/>
      <c r="AC10411" s="247"/>
      <c r="AT10411" s="247"/>
    </row>
    <row r="10412">
      <c r="C10412" s="277"/>
      <c r="M10412" s="277"/>
      <c r="O10412" s="247"/>
      <c r="AC10412" s="247"/>
      <c r="AT10412" s="247"/>
    </row>
    <row r="10413">
      <c r="C10413" s="277"/>
      <c r="M10413" s="277"/>
      <c r="O10413" s="247"/>
      <c r="AC10413" s="247"/>
      <c r="AT10413" s="247"/>
    </row>
    <row r="10414">
      <c r="C10414" s="277"/>
      <c r="M10414" s="277"/>
      <c r="O10414" s="247"/>
      <c r="AC10414" s="247"/>
      <c r="AT10414" s="247"/>
    </row>
    <row r="10415">
      <c r="C10415" s="277"/>
      <c r="M10415" s="277"/>
      <c r="O10415" s="247"/>
      <c r="AC10415" s="247"/>
      <c r="AT10415" s="247"/>
    </row>
    <row r="10416">
      <c r="C10416" s="277"/>
      <c r="M10416" s="277"/>
      <c r="O10416" s="247"/>
      <c r="AC10416" s="247"/>
      <c r="AT10416" s="247"/>
    </row>
    <row r="10417">
      <c r="C10417" s="277"/>
      <c r="M10417" s="277"/>
      <c r="O10417" s="247"/>
      <c r="AC10417" s="247"/>
      <c r="AT10417" s="247"/>
    </row>
    <row r="10418">
      <c r="C10418" s="277"/>
      <c r="M10418" s="277"/>
      <c r="O10418" s="247"/>
      <c r="AC10418" s="247"/>
      <c r="AT10418" s="247"/>
    </row>
    <row r="10419">
      <c r="C10419" s="277"/>
      <c r="M10419" s="277"/>
      <c r="O10419" s="247"/>
      <c r="AC10419" s="247"/>
      <c r="AT10419" s="247"/>
    </row>
    <row r="10420">
      <c r="C10420" s="277"/>
      <c r="M10420" s="277"/>
      <c r="O10420" s="247"/>
      <c r="AC10420" s="247"/>
      <c r="AT10420" s="247"/>
    </row>
    <row r="10421">
      <c r="C10421" s="277"/>
      <c r="M10421" s="277"/>
      <c r="O10421" s="247"/>
      <c r="AC10421" s="247"/>
      <c r="AT10421" s="247"/>
    </row>
    <row r="10422">
      <c r="C10422" s="277"/>
      <c r="M10422" s="277"/>
      <c r="O10422" s="247"/>
      <c r="AC10422" s="247"/>
      <c r="AT10422" s="247"/>
    </row>
    <row r="10423">
      <c r="C10423" s="277"/>
      <c r="M10423" s="277"/>
      <c r="O10423" s="247"/>
      <c r="AC10423" s="247"/>
      <c r="AT10423" s="247"/>
    </row>
    <row r="10424">
      <c r="C10424" s="277"/>
      <c r="M10424" s="277"/>
      <c r="O10424" s="247"/>
      <c r="AC10424" s="247"/>
      <c r="AT10424" s="247"/>
    </row>
    <row r="10425">
      <c r="C10425" s="277"/>
      <c r="M10425" s="277"/>
      <c r="O10425" s="247"/>
      <c r="AC10425" s="247"/>
      <c r="AT10425" s="247"/>
    </row>
    <row r="10426">
      <c r="C10426" s="277"/>
      <c r="M10426" s="277"/>
      <c r="O10426" s="247"/>
      <c r="AC10426" s="247"/>
      <c r="AT10426" s="247"/>
    </row>
    <row r="10427">
      <c r="C10427" s="277"/>
      <c r="M10427" s="277"/>
      <c r="O10427" s="247"/>
      <c r="AC10427" s="247"/>
      <c r="AT10427" s="247"/>
    </row>
    <row r="10428">
      <c r="C10428" s="277"/>
      <c r="M10428" s="277"/>
      <c r="O10428" s="247"/>
      <c r="AC10428" s="247"/>
      <c r="AT10428" s="247"/>
    </row>
    <row r="10429">
      <c r="C10429" s="277"/>
      <c r="M10429" s="277"/>
      <c r="O10429" s="247"/>
      <c r="AC10429" s="247"/>
      <c r="AT10429" s="247"/>
    </row>
    <row r="10430">
      <c r="C10430" s="277"/>
      <c r="M10430" s="277"/>
      <c r="O10430" s="247"/>
      <c r="AC10430" s="247"/>
      <c r="AT10430" s="247"/>
    </row>
    <row r="10431">
      <c r="C10431" s="277"/>
      <c r="M10431" s="277"/>
      <c r="O10431" s="247"/>
      <c r="AC10431" s="247"/>
      <c r="AT10431" s="247"/>
    </row>
    <row r="10432">
      <c r="C10432" s="277"/>
      <c r="M10432" s="277"/>
      <c r="O10432" s="247"/>
      <c r="AC10432" s="247"/>
      <c r="AT10432" s="247"/>
    </row>
    <row r="10433">
      <c r="C10433" s="277"/>
      <c r="M10433" s="277"/>
      <c r="O10433" s="247"/>
      <c r="AC10433" s="247"/>
      <c r="AT10433" s="247"/>
    </row>
    <row r="10434">
      <c r="C10434" s="277"/>
      <c r="M10434" s="277"/>
      <c r="O10434" s="247"/>
      <c r="AC10434" s="247"/>
      <c r="AT10434" s="247"/>
    </row>
    <row r="10435">
      <c r="C10435" s="277"/>
      <c r="M10435" s="277"/>
      <c r="O10435" s="247"/>
      <c r="AC10435" s="247"/>
      <c r="AT10435" s="247"/>
    </row>
    <row r="10436">
      <c r="C10436" s="277"/>
      <c r="M10436" s="277"/>
      <c r="O10436" s="247"/>
      <c r="AC10436" s="247"/>
      <c r="AT10436" s="247"/>
    </row>
    <row r="10437">
      <c r="C10437" s="277"/>
      <c r="M10437" s="277"/>
      <c r="O10437" s="247"/>
      <c r="AC10437" s="247"/>
      <c r="AT10437" s="247"/>
    </row>
    <row r="10438">
      <c r="C10438" s="277"/>
      <c r="M10438" s="277"/>
      <c r="O10438" s="247"/>
      <c r="AC10438" s="247"/>
      <c r="AT10438" s="247"/>
    </row>
    <row r="10439">
      <c r="C10439" s="277"/>
      <c r="M10439" s="277"/>
      <c r="O10439" s="247"/>
      <c r="AC10439" s="247"/>
      <c r="AT10439" s="247"/>
    </row>
    <row r="10440">
      <c r="C10440" s="277"/>
      <c r="M10440" s="277"/>
      <c r="O10440" s="247"/>
      <c r="AC10440" s="247"/>
      <c r="AT10440" s="247"/>
    </row>
    <row r="10441">
      <c r="C10441" s="277"/>
      <c r="M10441" s="277"/>
      <c r="O10441" s="247"/>
      <c r="AC10441" s="247"/>
      <c r="AT10441" s="247"/>
    </row>
    <row r="10442">
      <c r="C10442" s="277"/>
      <c r="M10442" s="277"/>
      <c r="O10442" s="247"/>
      <c r="AC10442" s="247"/>
      <c r="AT10442" s="247"/>
    </row>
    <row r="10443">
      <c r="C10443" s="277"/>
      <c r="M10443" s="277"/>
      <c r="O10443" s="247"/>
      <c r="AC10443" s="247"/>
      <c r="AT10443" s="247"/>
    </row>
    <row r="10444">
      <c r="C10444" s="277"/>
      <c r="M10444" s="277"/>
      <c r="O10444" s="247"/>
      <c r="AC10444" s="247"/>
      <c r="AT10444" s="247"/>
    </row>
    <row r="10445">
      <c r="C10445" s="277"/>
      <c r="M10445" s="277"/>
      <c r="O10445" s="247"/>
      <c r="AC10445" s="247"/>
      <c r="AT10445" s="247"/>
    </row>
    <row r="10446">
      <c r="C10446" s="277"/>
      <c r="M10446" s="277"/>
      <c r="O10446" s="247"/>
      <c r="AC10446" s="247"/>
      <c r="AT10446" s="247"/>
    </row>
    <row r="10447">
      <c r="C10447" s="277"/>
      <c r="M10447" s="277"/>
      <c r="O10447" s="247"/>
      <c r="AC10447" s="247"/>
      <c r="AT10447" s="247"/>
    </row>
    <row r="10448">
      <c r="C10448" s="277"/>
      <c r="M10448" s="277"/>
      <c r="O10448" s="247"/>
      <c r="AC10448" s="247"/>
      <c r="AT10448" s="247"/>
    </row>
    <row r="10449">
      <c r="C10449" s="277"/>
      <c r="M10449" s="277"/>
      <c r="O10449" s="247"/>
      <c r="AC10449" s="247"/>
      <c r="AT10449" s="247"/>
    </row>
    <row r="10450">
      <c r="C10450" s="277"/>
      <c r="M10450" s="277"/>
      <c r="O10450" s="247"/>
      <c r="AC10450" s="247"/>
      <c r="AT10450" s="247"/>
    </row>
    <row r="10451">
      <c r="C10451" s="277"/>
      <c r="M10451" s="277"/>
      <c r="O10451" s="247"/>
      <c r="AC10451" s="247"/>
      <c r="AT10451" s="247"/>
    </row>
    <row r="10452">
      <c r="C10452" s="277"/>
      <c r="M10452" s="277"/>
      <c r="O10452" s="247"/>
      <c r="AC10452" s="247"/>
      <c r="AT10452" s="247"/>
    </row>
    <row r="10453">
      <c r="C10453" s="277"/>
      <c r="M10453" s="277"/>
      <c r="O10453" s="247"/>
      <c r="AC10453" s="247"/>
      <c r="AT10453" s="247"/>
    </row>
    <row r="10454">
      <c r="C10454" s="277"/>
      <c r="M10454" s="277"/>
      <c r="O10454" s="247"/>
      <c r="AC10454" s="247"/>
      <c r="AT10454" s="247"/>
    </row>
    <row r="10455">
      <c r="C10455" s="277"/>
      <c r="M10455" s="277"/>
      <c r="O10455" s="247"/>
      <c r="AC10455" s="247"/>
      <c r="AT10455" s="247"/>
    </row>
    <row r="10456">
      <c r="C10456" s="277"/>
      <c r="M10456" s="277"/>
      <c r="O10456" s="247"/>
      <c r="AC10456" s="247"/>
      <c r="AT10456" s="247"/>
    </row>
    <row r="10457">
      <c r="C10457" s="277"/>
      <c r="M10457" s="277"/>
      <c r="O10457" s="247"/>
      <c r="AC10457" s="247"/>
      <c r="AT10457" s="247"/>
    </row>
    <row r="10458">
      <c r="C10458" s="277"/>
      <c r="M10458" s="277"/>
      <c r="O10458" s="247"/>
      <c r="AC10458" s="247"/>
      <c r="AT10458" s="247"/>
    </row>
    <row r="10459">
      <c r="C10459" s="277"/>
      <c r="M10459" s="277"/>
      <c r="O10459" s="247"/>
      <c r="AC10459" s="247"/>
      <c r="AT10459" s="247"/>
    </row>
    <row r="10460">
      <c r="C10460" s="277"/>
      <c r="M10460" s="277"/>
      <c r="O10460" s="247"/>
      <c r="AC10460" s="247"/>
      <c r="AT10460" s="247"/>
    </row>
    <row r="10461">
      <c r="C10461" s="277"/>
      <c r="M10461" s="277"/>
      <c r="O10461" s="247"/>
      <c r="AC10461" s="247"/>
      <c r="AT10461" s="247"/>
    </row>
    <row r="10462">
      <c r="C10462" s="277"/>
      <c r="M10462" s="277"/>
      <c r="O10462" s="247"/>
      <c r="AC10462" s="247"/>
      <c r="AT10462" s="247"/>
    </row>
    <row r="10463">
      <c r="C10463" s="277"/>
      <c r="M10463" s="277"/>
      <c r="O10463" s="247"/>
      <c r="AC10463" s="247"/>
      <c r="AT10463" s="247"/>
    </row>
    <row r="10464">
      <c r="C10464" s="277"/>
      <c r="M10464" s="277"/>
      <c r="O10464" s="247"/>
      <c r="AC10464" s="247"/>
      <c r="AT10464" s="247"/>
    </row>
    <row r="10465">
      <c r="C10465" s="277"/>
      <c r="M10465" s="277"/>
      <c r="O10465" s="247"/>
      <c r="AC10465" s="247"/>
      <c r="AT10465" s="247"/>
    </row>
    <row r="10466">
      <c r="C10466" s="277"/>
      <c r="M10466" s="277"/>
      <c r="O10466" s="247"/>
      <c r="AC10466" s="247"/>
      <c r="AT10466" s="247"/>
    </row>
    <row r="10467">
      <c r="C10467" s="277"/>
      <c r="M10467" s="277"/>
      <c r="O10467" s="247"/>
      <c r="AC10467" s="247"/>
      <c r="AT10467" s="247"/>
    </row>
    <row r="10468">
      <c r="C10468" s="277"/>
      <c r="M10468" s="277"/>
      <c r="O10468" s="247"/>
      <c r="AC10468" s="247"/>
      <c r="AT10468" s="247"/>
    </row>
    <row r="10469">
      <c r="C10469" s="277"/>
      <c r="M10469" s="277"/>
      <c r="O10469" s="247"/>
      <c r="AC10469" s="247"/>
      <c r="AT10469" s="247"/>
    </row>
    <row r="10470">
      <c r="C10470" s="277"/>
      <c r="M10470" s="277"/>
      <c r="O10470" s="247"/>
      <c r="AC10470" s="247"/>
      <c r="AT10470" s="247"/>
    </row>
    <row r="10471">
      <c r="C10471" s="277"/>
      <c r="M10471" s="277"/>
      <c r="O10471" s="247"/>
      <c r="AC10471" s="247"/>
      <c r="AT10471" s="247"/>
    </row>
    <row r="10472">
      <c r="C10472" s="277"/>
      <c r="M10472" s="277"/>
      <c r="O10472" s="247"/>
      <c r="AC10472" s="247"/>
      <c r="AT10472" s="247"/>
    </row>
    <row r="10473">
      <c r="C10473" s="277"/>
      <c r="M10473" s="277"/>
      <c r="O10473" s="247"/>
      <c r="AC10473" s="247"/>
      <c r="AT10473" s="247"/>
    </row>
    <row r="10474">
      <c r="C10474" s="277"/>
      <c r="M10474" s="277"/>
      <c r="O10474" s="247"/>
      <c r="AC10474" s="247"/>
      <c r="AT10474" s="247"/>
    </row>
    <row r="10475">
      <c r="C10475" s="277"/>
      <c r="M10475" s="277"/>
      <c r="O10475" s="247"/>
      <c r="AC10475" s="247"/>
      <c r="AT10475" s="247"/>
    </row>
    <row r="10476">
      <c r="C10476" s="277"/>
      <c r="M10476" s="277"/>
      <c r="O10476" s="247"/>
      <c r="AC10476" s="247"/>
      <c r="AT10476" s="247"/>
    </row>
    <row r="10477">
      <c r="C10477" s="277"/>
      <c r="M10477" s="277"/>
      <c r="O10477" s="247"/>
      <c r="AC10477" s="247"/>
      <c r="AT10477" s="247"/>
    </row>
    <row r="10478">
      <c r="C10478" s="277"/>
      <c r="M10478" s="277"/>
      <c r="O10478" s="247"/>
      <c r="AC10478" s="247"/>
      <c r="AT10478" s="247"/>
    </row>
    <row r="10479">
      <c r="C10479" s="277"/>
      <c r="M10479" s="277"/>
      <c r="O10479" s="247"/>
      <c r="AC10479" s="247"/>
      <c r="AT10479" s="247"/>
    </row>
    <row r="10480">
      <c r="C10480" s="277"/>
      <c r="M10480" s="277"/>
      <c r="O10480" s="247"/>
      <c r="AC10480" s="247"/>
      <c r="AT10480" s="247"/>
    </row>
    <row r="10481">
      <c r="C10481" s="277"/>
      <c r="M10481" s="277"/>
      <c r="O10481" s="247"/>
      <c r="AC10481" s="247"/>
      <c r="AT10481" s="247"/>
    </row>
    <row r="10482">
      <c r="C10482" s="277"/>
      <c r="M10482" s="277"/>
      <c r="O10482" s="247"/>
      <c r="AC10482" s="247"/>
      <c r="AT10482" s="247"/>
    </row>
    <row r="10483">
      <c r="C10483" s="277"/>
      <c r="M10483" s="277"/>
      <c r="O10483" s="247"/>
      <c r="AC10483" s="247"/>
      <c r="AT10483" s="247"/>
    </row>
    <row r="10484">
      <c r="C10484" s="277"/>
      <c r="M10484" s="277"/>
      <c r="O10484" s="247"/>
      <c r="AC10484" s="247"/>
      <c r="AT10484" s="247"/>
    </row>
    <row r="10485">
      <c r="C10485" s="277"/>
      <c r="M10485" s="277"/>
      <c r="O10485" s="247"/>
      <c r="AC10485" s="247"/>
      <c r="AT10485" s="247"/>
    </row>
    <row r="10486">
      <c r="C10486" s="277"/>
      <c r="M10486" s="277"/>
      <c r="O10486" s="247"/>
      <c r="AC10486" s="247"/>
      <c r="AT10486" s="247"/>
    </row>
    <row r="10487">
      <c r="C10487" s="277"/>
      <c r="M10487" s="277"/>
      <c r="O10487" s="247"/>
      <c r="AC10487" s="247"/>
      <c r="AT10487" s="247"/>
    </row>
    <row r="10488">
      <c r="C10488" s="277"/>
      <c r="M10488" s="277"/>
      <c r="O10488" s="247"/>
      <c r="AC10488" s="247"/>
      <c r="AT10488" s="247"/>
    </row>
    <row r="10489">
      <c r="C10489" s="277"/>
      <c r="M10489" s="277"/>
      <c r="O10489" s="247"/>
      <c r="AC10489" s="247"/>
      <c r="AT10489" s="247"/>
    </row>
    <row r="10490">
      <c r="C10490" s="277"/>
      <c r="M10490" s="277"/>
      <c r="O10490" s="247"/>
      <c r="AC10490" s="247"/>
      <c r="AT10490" s="247"/>
    </row>
    <row r="10491">
      <c r="C10491" s="277"/>
      <c r="M10491" s="277"/>
      <c r="O10491" s="247"/>
      <c r="AC10491" s="247"/>
      <c r="AT10491" s="247"/>
    </row>
    <row r="10492">
      <c r="C10492" s="277"/>
      <c r="M10492" s="277"/>
      <c r="O10492" s="247"/>
      <c r="AC10492" s="247"/>
      <c r="AT10492" s="247"/>
    </row>
    <row r="10493">
      <c r="C10493" s="277"/>
      <c r="M10493" s="277"/>
      <c r="O10493" s="247"/>
      <c r="AC10493" s="247"/>
      <c r="AT10493" s="247"/>
    </row>
    <row r="10494">
      <c r="C10494" s="277"/>
      <c r="M10494" s="277"/>
      <c r="O10494" s="247"/>
      <c r="AC10494" s="247"/>
      <c r="AT10494" s="247"/>
    </row>
    <row r="10495">
      <c r="C10495" s="277"/>
      <c r="M10495" s="277"/>
      <c r="O10495" s="247"/>
      <c r="AC10495" s="247"/>
      <c r="AT10495" s="247"/>
    </row>
    <row r="10496">
      <c r="C10496" s="277"/>
      <c r="M10496" s="277"/>
      <c r="O10496" s="247"/>
      <c r="AC10496" s="247"/>
      <c r="AT10496" s="247"/>
    </row>
    <row r="10497">
      <c r="C10497" s="277"/>
      <c r="M10497" s="277"/>
      <c r="O10497" s="247"/>
      <c r="AC10497" s="247"/>
      <c r="AT10497" s="247"/>
    </row>
    <row r="10498">
      <c r="C10498" s="277"/>
      <c r="M10498" s="277"/>
      <c r="O10498" s="247"/>
      <c r="AC10498" s="247"/>
      <c r="AT10498" s="247"/>
    </row>
    <row r="10499">
      <c r="C10499" s="277"/>
      <c r="M10499" s="277"/>
      <c r="O10499" s="247"/>
      <c r="AC10499" s="247"/>
      <c r="AT10499" s="247"/>
    </row>
    <row r="10500">
      <c r="C10500" s="277"/>
      <c r="M10500" s="277"/>
      <c r="O10500" s="247"/>
      <c r="AC10500" s="247"/>
      <c r="AT10500" s="247"/>
    </row>
    <row r="10501">
      <c r="C10501" s="277"/>
      <c r="M10501" s="277"/>
      <c r="O10501" s="247"/>
      <c r="AC10501" s="247"/>
      <c r="AT10501" s="247"/>
    </row>
    <row r="10502">
      <c r="C10502" s="277"/>
      <c r="M10502" s="277"/>
      <c r="O10502" s="247"/>
      <c r="AC10502" s="247"/>
      <c r="AT10502" s="247"/>
    </row>
    <row r="10503">
      <c r="C10503" s="277"/>
      <c r="M10503" s="277"/>
      <c r="O10503" s="247"/>
      <c r="AC10503" s="247"/>
      <c r="AT10503" s="247"/>
    </row>
    <row r="10504">
      <c r="C10504" s="277"/>
      <c r="M10504" s="277"/>
      <c r="O10504" s="247"/>
      <c r="AC10504" s="247"/>
      <c r="AT10504" s="247"/>
    </row>
    <row r="10505">
      <c r="C10505" s="277"/>
      <c r="M10505" s="277"/>
      <c r="O10505" s="247"/>
      <c r="AC10505" s="247"/>
      <c r="AT10505" s="247"/>
    </row>
    <row r="10506">
      <c r="C10506" s="277"/>
      <c r="M10506" s="277"/>
      <c r="O10506" s="247"/>
      <c r="AC10506" s="247"/>
      <c r="AT10506" s="247"/>
    </row>
    <row r="10507">
      <c r="C10507" s="277"/>
      <c r="M10507" s="277"/>
      <c r="O10507" s="247"/>
      <c r="AC10507" s="247"/>
      <c r="AT10507" s="247"/>
    </row>
    <row r="10508">
      <c r="C10508" s="277"/>
      <c r="M10508" s="277"/>
      <c r="O10508" s="247"/>
      <c r="AC10508" s="247"/>
      <c r="AT10508" s="247"/>
    </row>
    <row r="10509">
      <c r="C10509" s="277"/>
      <c r="M10509" s="277"/>
      <c r="O10509" s="247"/>
      <c r="AC10509" s="247"/>
      <c r="AT10509" s="247"/>
    </row>
    <row r="10510">
      <c r="C10510" s="277"/>
      <c r="M10510" s="277"/>
      <c r="O10510" s="247"/>
      <c r="AC10510" s="247"/>
      <c r="AT10510" s="247"/>
    </row>
    <row r="10511">
      <c r="C10511" s="277"/>
      <c r="M10511" s="277"/>
      <c r="O10511" s="247"/>
      <c r="AC10511" s="247"/>
      <c r="AT10511" s="247"/>
    </row>
    <row r="10512">
      <c r="C10512" s="277"/>
      <c r="M10512" s="277"/>
      <c r="O10512" s="247"/>
      <c r="AC10512" s="247"/>
      <c r="AT10512" s="247"/>
    </row>
    <row r="10513">
      <c r="C10513" s="277"/>
      <c r="M10513" s="277"/>
      <c r="O10513" s="247"/>
      <c r="AC10513" s="247"/>
      <c r="AT10513" s="247"/>
    </row>
    <row r="10514">
      <c r="C10514" s="277"/>
      <c r="M10514" s="277"/>
      <c r="O10514" s="247"/>
      <c r="AC10514" s="247"/>
      <c r="AT10514" s="247"/>
    </row>
    <row r="10515">
      <c r="C10515" s="277"/>
      <c r="M10515" s="277"/>
      <c r="O10515" s="247"/>
      <c r="AC10515" s="247"/>
      <c r="AT10515" s="247"/>
    </row>
    <row r="10516">
      <c r="C10516" s="277"/>
      <c r="M10516" s="277"/>
      <c r="O10516" s="247"/>
      <c r="AC10516" s="247"/>
      <c r="AT10516" s="247"/>
    </row>
    <row r="10517">
      <c r="C10517" s="277"/>
      <c r="M10517" s="277"/>
      <c r="O10517" s="247"/>
      <c r="AC10517" s="247"/>
      <c r="AT10517" s="247"/>
    </row>
    <row r="10518">
      <c r="C10518" s="277"/>
      <c r="M10518" s="277"/>
      <c r="O10518" s="247"/>
      <c r="AC10518" s="247"/>
      <c r="AT10518" s="247"/>
    </row>
    <row r="10519">
      <c r="C10519" s="277"/>
      <c r="M10519" s="277"/>
      <c r="O10519" s="247"/>
      <c r="AC10519" s="247"/>
      <c r="AT10519" s="247"/>
    </row>
    <row r="10520">
      <c r="C10520" s="277"/>
      <c r="M10520" s="277"/>
      <c r="O10520" s="247"/>
      <c r="AC10520" s="247"/>
      <c r="AT10520" s="247"/>
    </row>
    <row r="10521">
      <c r="C10521" s="277"/>
      <c r="M10521" s="277"/>
      <c r="O10521" s="247"/>
      <c r="AC10521" s="247"/>
      <c r="AT10521" s="247"/>
    </row>
    <row r="10522">
      <c r="C10522" s="277"/>
      <c r="M10522" s="277"/>
      <c r="O10522" s="247"/>
      <c r="AC10522" s="247"/>
      <c r="AT10522" s="247"/>
    </row>
    <row r="10523">
      <c r="C10523" s="277"/>
      <c r="M10523" s="277"/>
      <c r="O10523" s="247"/>
      <c r="AC10523" s="247"/>
      <c r="AT10523" s="247"/>
    </row>
    <row r="10524">
      <c r="C10524" s="277"/>
      <c r="M10524" s="277"/>
      <c r="O10524" s="247"/>
      <c r="AC10524" s="247"/>
      <c r="AT10524" s="247"/>
    </row>
    <row r="10525">
      <c r="C10525" s="277"/>
      <c r="M10525" s="277"/>
      <c r="O10525" s="247"/>
      <c r="AC10525" s="247"/>
      <c r="AT10525" s="247"/>
    </row>
    <row r="10526">
      <c r="C10526" s="277"/>
      <c r="M10526" s="277"/>
      <c r="O10526" s="247"/>
      <c r="AC10526" s="247"/>
      <c r="AT10526" s="247"/>
    </row>
    <row r="10527">
      <c r="C10527" s="277"/>
      <c r="M10527" s="277"/>
      <c r="O10527" s="247"/>
      <c r="AC10527" s="247"/>
      <c r="AT10527" s="247"/>
    </row>
    <row r="10528">
      <c r="C10528" s="277"/>
      <c r="M10528" s="277"/>
      <c r="O10528" s="247"/>
      <c r="AC10528" s="247"/>
      <c r="AT10528" s="247"/>
    </row>
    <row r="10529">
      <c r="C10529" s="277"/>
      <c r="M10529" s="277"/>
      <c r="O10529" s="247"/>
      <c r="AC10529" s="247"/>
      <c r="AT10529" s="247"/>
    </row>
    <row r="10530">
      <c r="C10530" s="277"/>
      <c r="M10530" s="277"/>
      <c r="O10530" s="247"/>
      <c r="AC10530" s="247"/>
      <c r="AT10530" s="247"/>
    </row>
    <row r="10531">
      <c r="C10531" s="277"/>
      <c r="M10531" s="277"/>
      <c r="O10531" s="247"/>
      <c r="AC10531" s="247"/>
      <c r="AT10531" s="247"/>
    </row>
    <row r="10532">
      <c r="C10532" s="277"/>
      <c r="M10532" s="277"/>
      <c r="O10532" s="247"/>
      <c r="AC10532" s="247"/>
      <c r="AT10532" s="247"/>
    </row>
    <row r="10533">
      <c r="C10533" s="277"/>
      <c r="M10533" s="277"/>
      <c r="O10533" s="247"/>
      <c r="AC10533" s="247"/>
      <c r="AT10533" s="247"/>
    </row>
    <row r="10534">
      <c r="C10534" s="277"/>
      <c r="M10534" s="277"/>
      <c r="O10534" s="247"/>
      <c r="AC10534" s="247"/>
      <c r="AT10534" s="247"/>
    </row>
    <row r="10535">
      <c r="C10535" s="277"/>
      <c r="M10535" s="277"/>
      <c r="O10535" s="247"/>
      <c r="AC10535" s="247"/>
      <c r="AT10535" s="247"/>
    </row>
    <row r="10536">
      <c r="C10536" s="277"/>
      <c r="M10536" s="277"/>
      <c r="O10536" s="247"/>
      <c r="AC10536" s="247"/>
      <c r="AT10536" s="247"/>
    </row>
    <row r="10537">
      <c r="C10537" s="277"/>
      <c r="M10537" s="277"/>
      <c r="O10537" s="247"/>
      <c r="AC10537" s="247"/>
      <c r="AT10537" s="247"/>
    </row>
    <row r="10538">
      <c r="C10538" s="277"/>
      <c r="M10538" s="277"/>
      <c r="O10538" s="247"/>
      <c r="AC10538" s="247"/>
      <c r="AT10538" s="247"/>
    </row>
    <row r="10539">
      <c r="C10539" s="277"/>
      <c r="M10539" s="277"/>
      <c r="O10539" s="247"/>
      <c r="AC10539" s="247"/>
      <c r="AT10539" s="247"/>
    </row>
    <row r="10540">
      <c r="C10540" s="277"/>
      <c r="M10540" s="277"/>
      <c r="O10540" s="247"/>
      <c r="AC10540" s="247"/>
      <c r="AT10540" s="247"/>
    </row>
    <row r="10541">
      <c r="C10541" s="277"/>
      <c r="M10541" s="277"/>
      <c r="O10541" s="247"/>
      <c r="AC10541" s="247"/>
      <c r="AT10541" s="247"/>
    </row>
    <row r="10542">
      <c r="C10542" s="277"/>
      <c r="M10542" s="277"/>
      <c r="O10542" s="247"/>
      <c r="AC10542" s="247"/>
      <c r="AT10542" s="247"/>
    </row>
    <row r="10543">
      <c r="C10543" s="277"/>
      <c r="M10543" s="277"/>
      <c r="O10543" s="247"/>
      <c r="AC10543" s="247"/>
      <c r="AT10543" s="247"/>
    </row>
    <row r="10544">
      <c r="C10544" s="277"/>
      <c r="M10544" s="277"/>
      <c r="O10544" s="247"/>
      <c r="AC10544" s="247"/>
      <c r="AT10544" s="247"/>
    </row>
    <row r="10545">
      <c r="C10545" s="277"/>
      <c r="M10545" s="277"/>
      <c r="O10545" s="247"/>
      <c r="AC10545" s="247"/>
      <c r="AT10545" s="247"/>
    </row>
    <row r="10546">
      <c r="C10546" s="277"/>
      <c r="M10546" s="277"/>
      <c r="O10546" s="247"/>
      <c r="AC10546" s="247"/>
      <c r="AT10546" s="247"/>
    </row>
    <row r="10547">
      <c r="C10547" s="277"/>
      <c r="M10547" s="277"/>
      <c r="O10547" s="247"/>
      <c r="AC10547" s="247"/>
      <c r="AT10547" s="247"/>
    </row>
    <row r="10548">
      <c r="C10548" s="277"/>
      <c r="M10548" s="277"/>
      <c r="O10548" s="247"/>
      <c r="AC10548" s="247"/>
      <c r="AT10548" s="247"/>
    </row>
    <row r="10549">
      <c r="C10549" s="277"/>
      <c r="M10549" s="277"/>
      <c r="O10549" s="247"/>
      <c r="AC10549" s="247"/>
      <c r="AT10549" s="247"/>
    </row>
    <row r="10550">
      <c r="C10550" s="277"/>
      <c r="M10550" s="277"/>
      <c r="O10550" s="247"/>
      <c r="AC10550" s="247"/>
      <c r="AT10550" s="247"/>
    </row>
    <row r="10551">
      <c r="C10551" s="277"/>
      <c r="M10551" s="277"/>
      <c r="O10551" s="247"/>
      <c r="AC10551" s="247"/>
      <c r="AT10551" s="247"/>
    </row>
    <row r="10552">
      <c r="C10552" s="277"/>
      <c r="M10552" s="277"/>
      <c r="O10552" s="247"/>
      <c r="AC10552" s="247"/>
      <c r="AT10552" s="247"/>
    </row>
    <row r="10553">
      <c r="C10553" s="277"/>
      <c r="M10553" s="277"/>
      <c r="O10553" s="247"/>
      <c r="AC10553" s="247"/>
      <c r="AT10553" s="247"/>
    </row>
    <row r="10554">
      <c r="C10554" s="277"/>
      <c r="M10554" s="277"/>
      <c r="O10554" s="247"/>
      <c r="AC10554" s="247"/>
      <c r="AT10554" s="247"/>
    </row>
    <row r="10555">
      <c r="C10555" s="277"/>
      <c r="M10555" s="277"/>
      <c r="O10555" s="247"/>
      <c r="AC10555" s="247"/>
      <c r="AT10555" s="247"/>
    </row>
    <row r="10556">
      <c r="C10556" s="277"/>
      <c r="M10556" s="277"/>
      <c r="O10556" s="247"/>
      <c r="AC10556" s="247"/>
      <c r="AT10556" s="247"/>
    </row>
    <row r="10557">
      <c r="C10557" s="277"/>
      <c r="M10557" s="277"/>
      <c r="O10557" s="247"/>
      <c r="AC10557" s="247"/>
      <c r="AT10557" s="247"/>
    </row>
    <row r="10558">
      <c r="C10558" s="277"/>
      <c r="M10558" s="277"/>
      <c r="O10558" s="247"/>
      <c r="AC10558" s="247"/>
      <c r="AT10558" s="247"/>
    </row>
    <row r="10559">
      <c r="C10559" s="277"/>
      <c r="M10559" s="277"/>
      <c r="O10559" s="247"/>
      <c r="AC10559" s="247"/>
      <c r="AT10559" s="247"/>
    </row>
    <row r="10560">
      <c r="C10560" s="277"/>
      <c r="M10560" s="277"/>
      <c r="O10560" s="247"/>
      <c r="AC10560" s="247"/>
      <c r="AT10560" s="247"/>
    </row>
    <row r="10561">
      <c r="C10561" s="277"/>
      <c r="M10561" s="277"/>
      <c r="O10561" s="247"/>
      <c r="AC10561" s="247"/>
      <c r="AT10561" s="247"/>
    </row>
    <row r="10562">
      <c r="C10562" s="277"/>
      <c r="M10562" s="277"/>
      <c r="O10562" s="247"/>
      <c r="AC10562" s="247"/>
      <c r="AT10562" s="247"/>
    </row>
    <row r="10563">
      <c r="C10563" s="277"/>
      <c r="M10563" s="277"/>
      <c r="O10563" s="247"/>
      <c r="AC10563" s="247"/>
      <c r="AT10563" s="247"/>
    </row>
    <row r="10564">
      <c r="C10564" s="277"/>
      <c r="M10564" s="277"/>
      <c r="O10564" s="247"/>
      <c r="AC10564" s="247"/>
      <c r="AT10564" s="247"/>
    </row>
    <row r="10565">
      <c r="C10565" s="277"/>
      <c r="M10565" s="277"/>
      <c r="O10565" s="247"/>
      <c r="AC10565" s="247"/>
      <c r="AT10565" s="247"/>
    </row>
    <row r="10566">
      <c r="C10566" s="277"/>
      <c r="M10566" s="277"/>
      <c r="O10566" s="247"/>
      <c r="AC10566" s="247"/>
      <c r="AT10566" s="247"/>
    </row>
    <row r="10567">
      <c r="C10567" s="277"/>
      <c r="M10567" s="277"/>
      <c r="O10567" s="247"/>
      <c r="AC10567" s="247"/>
      <c r="AT10567" s="247"/>
    </row>
    <row r="10568">
      <c r="C10568" s="277"/>
      <c r="M10568" s="277"/>
      <c r="O10568" s="247"/>
      <c r="AC10568" s="247"/>
      <c r="AT10568" s="247"/>
    </row>
    <row r="10569">
      <c r="C10569" s="277"/>
      <c r="M10569" s="277"/>
      <c r="O10569" s="247"/>
      <c r="AC10569" s="247"/>
      <c r="AT10569" s="247"/>
    </row>
    <row r="10570">
      <c r="C10570" s="277"/>
      <c r="M10570" s="277"/>
      <c r="O10570" s="247"/>
      <c r="AC10570" s="247"/>
      <c r="AT10570" s="247"/>
    </row>
    <row r="10571">
      <c r="C10571" s="277"/>
      <c r="M10571" s="277"/>
      <c r="O10571" s="247"/>
      <c r="AC10571" s="247"/>
      <c r="AT10571" s="247"/>
    </row>
    <row r="10572">
      <c r="C10572" s="277"/>
      <c r="M10572" s="277"/>
      <c r="O10572" s="247"/>
      <c r="AC10572" s="247"/>
      <c r="AT10572" s="247"/>
    </row>
    <row r="10573">
      <c r="C10573" s="277"/>
      <c r="M10573" s="277"/>
      <c r="O10573" s="247"/>
      <c r="AC10573" s="247"/>
      <c r="AT10573" s="247"/>
    </row>
    <row r="10574">
      <c r="C10574" s="277"/>
      <c r="M10574" s="277"/>
      <c r="O10574" s="247"/>
      <c r="AC10574" s="247"/>
      <c r="AT10574" s="247"/>
    </row>
    <row r="10575">
      <c r="C10575" s="277"/>
      <c r="M10575" s="277"/>
      <c r="O10575" s="247"/>
      <c r="AC10575" s="247"/>
      <c r="AT10575" s="247"/>
    </row>
    <row r="10576">
      <c r="C10576" s="277"/>
      <c r="M10576" s="277"/>
      <c r="O10576" s="247"/>
      <c r="AC10576" s="247"/>
      <c r="AT10576" s="247"/>
    </row>
    <row r="10577">
      <c r="C10577" s="277"/>
      <c r="M10577" s="277"/>
      <c r="O10577" s="247"/>
      <c r="AC10577" s="247"/>
      <c r="AT10577" s="247"/>
    </row>
    <row r="10578">
      <c r="C10578" s="277"/>
      <c r="M10578" s="277"/>
      <c r="O10578" s="247"/>
      <c r="AC10578" s="247"/>
      <c r="AT10578" s="247"/>
    </row>
    <row r="10579">
      <c r="C10579" s="277"/>
      <c r="M10579" s="277"/>
      <c r="O10579" s="247"/>
      <c r="AC10579" s="247"/>
      <c r="AT10579" s="247"/>
    </row>
    <row r="10580">
      <c r="C10580" s="277"/>
      <c r="M10580" s="277"/>
      <c r="O10580" s="247"/>
      <c r="AC10580" s="247"/>
      <c r="AT10580" s="247"/>
    </row>
    <row r="10581">
      <c r="C10581" s="277"/>
      <c r="M10581" s="277"/>
      <c r="O10581" s="247"/>
      <c r="AC10581" s="247"/>
      <c r="AT10581" s="247"/>
    </row>
    <row r="10582">
      <c r="C10582" s="277"/>
      <c r="M10582" s="277"/>
      <c r="O10582" s="247"/>
      <c r="AC10582" s="247"/>
      <c r="AT10582" s="247"/>
    </row>
    <row r="10583">
      <c r="C10583" s="277"/>
      <c r="M10583" s="277"/>
      <c r="O10583" s="247"/>
      <c r="AC10583" s="247"/>
      <c r="AT10583" s="247"/>
    </row>
    <row r="10584">
      <c r="C10584" s="277"/>
      <c r="M10584" s="277"/>
      <c r="O10584" s="247"/>
      <c r="AC10584" s="247"/>
      <c r="AT10584" s="247"/>
    </row>
    <row r="10585">
      <c r="C10585" s="277"/>
      <c r="M10585" s="277"/>
      <c r="O10585" s="247"/>
      <c r="AC10585" s="247"/>
      <c r="AT10585" s="247"/>
    </row>
    <row r="10586">
      <c r="C10586" s="277"/>
      <c r="M10586" s="277"/>
      <c r="O10586" s="247"/>
      <c r="AC10586" s="247"/>
      <c r="AT10586" s="247"/>
    </row>
    <row r="10587">
      <c r="C10587" s="277"/>
      <c r="M10587" s="277"/>
      <c r="O10587" s="247"/>
      <c r="AC10587" s="247"/>
      <c r="AT10587" s="247"/>
    </row>
    <row r="10588">
      <c r="C10588" s="277"/>
      <c r="M10588" s="277"/>
      <c r="O10588" s="247"/>
      <c r="AC10588" s="247"/>
      <c r="AT10588" s="247"/>
    </row>
    <row r="10589">
      <c r="C10589" s="277"/>
      <c r="M10589" s="277"/>
      <c r="O10589" s="247"/>
      <c r="AC10589" s="247"/>
      <c r="AT10589" s="247"/>
    </row>
    <row r="10590">
      <c r="C10590" s="277"/>
      <c r="M10590" s="277"/>
      <c r="O10590" s="247"/>
      <c r="AC10590" s="247"/>
      <c r="AT10590" s="247"/>
    </row>
    <row r="10591">
      <c r="C10591" s="277"/>
      <c r="M10591" s="277"/>
      <c r="O10591" s="247"/>
      <c r="AC10591" s="247"/>
      <c r="AT10591" s="247"/>
    </row>
    <row r="10592">
      <c r="C10592" s="277"/>
      <c r="M10592" s="277"/>
      <c r="O10592" s="247"/>
      <c r="AC10592" s="247"/>
      <c r="AT10592" s="247"/>
    </row>
    <row r="10593">
      <c r="C10593" s="277"/>
      <c r="M10593" s="277"/>
      <c r="O10593" s="247"/>
      <c r="AC10593" s="247"/>
      <c r="AT10593" s="247"/>
    </row>
    <row r="10594">
      <c r="C10594" s="277"/>
      <c r="M10594" s="277"/>
      <c r="O10594" s="247"/>
      <c r="AC10594" s="247"/>
      <c r="AT10594" s="247"/>
    </row>
    <row r="10595">
      <c r="C10595" s="277"/>
      <c r="M10595" s="277"/>
      <c r="O10595" s="247"/>
      <c r="AC10595" s="247"/>
      <c r="AT10595" s="247"/>
    </row>
    <row r="10596">
      <c r="C10596" s="277"/>
      <c r="M10596" s="277"/>
      <c r="O10596" s="247"/>
      <c r="AC10596" s="247"/>
      <c r="AT10596" s="247"/>
    </row>
    <row r="10597">
      <c r="C10597" s="277"/>
      <c r="M10597" s="277"/>
      <c r="O10597" s="247"/>
      <c r="AC10597" s="247"/>
      <c r="AT10597" s="247"/>
    </row>
    <row r="10598">
      <c r="C10598" s="277"/>
      <c r="M10598" s="277"/>
      <c r="O10598" s="247"/>
      <c r="AC10598" s="247"/>
      <c r="AT10598" s="247"/>
    </row>
    <row r="10599">
      <c r="C10599" s="277"/>
      <c r="M10599" s="277"/>
      <c r="O10599" s="247"/>
      <c r="AC10599" s="247"/>
      <c r="AT10599" s="247"/>
    </row>
    <row r="10600">
      <c r="C10600" s="277"/>
      <c r="M10600" s="277"/>
      <c r="O10600" s="247"/>
      <c r="AC10600" s="247"/>
      <c r="AT10600" s="247"/>
    </row>
    <row r="10601">
      <c r="C10601" s="277"/>
      <c r="M10601" s="277"/>
      <c r="O10601" s="247"/>
      <c r="AC10601" s="247"/>
      <c r="AT10601" s="247"/>
    </row>
    <row r="10602">
      <c r="C10602" s="277"/>
      <c r="M10602" s="277"/>
      <c r="O10602" s="247"/>
      <c r="AC10602" s="247"/>
      <c r="AT10602" s="247"/>
    </row>
    <row r="10603">
      <c r="C10603" s="277"/>
      <c r="M10603" s="277"/>
      <c r="O10603" s="247"/>
      <c r="AC10603" s="247"/>
      <c r="AT10603" s="247"/>
    </row>
    <row r="10604">
      <c r="C10604" s="277"/>
      <c r="M10604" s="277"/>
      <c r="O10604" s="247"/>
      <c r="AC10604" s="247"/>
      <c r="AT10604" s="247"/>
    </row>
    <row r="10605">
      <c r="C10605" s="277"/>
      <c r="M10605" s="277"/>
      <c r="O10605" s="247"/>
      <c r="AC10605" s="247"/>
      <c r="AT10605" s="247"/>
    </row>
    <row r="10606">
      <c r="C10606" s="277"/>
      <c r="M10606" s="277"/>
      <c r="O10606" s="247"/>
      <c r="AC10606" s="247"/>
      <c r="AT10606" s="247"/>
    </row>
    <row r="10607">
      <c r="C10607" s="277"/>
      <c r="M10607" s="277"/>
      <c r="O10607" s="247"/>
      <c r="AC10607" s="247"/>
      <c r="AT10607" s="247"/>
    </row>
    <row r="10608">
      <c r="C10608" s="277"/>
      <c r="M10608" s="277"/>
      <c r="O10608" s="247"/>
      <c r="AC10608" s="247"/>
      <c r="AT10608" s="247"/>
    </row>
    <row r="10609">
      <c r="C10609" s="277"/>
      <c r="M10609" s="277"/>
      <c r="O10609" s="247"/>
      <c r="AC10609" s="247"/>
      <c r="AT10609" s="247"/>
    </row>
    <row r="10610">
      <c r="C10610" s="277"/>
      <c r="M10610" s="277"/>
      <c r="O10610" s="247"/>
      <c r="AC10610" s="247"/>
      <c r="AT10610" s="247"/>
    </row>
    <row r="10611">
      <c r="C10611" s="277"/>
      <c r="M10611" s="277"/>
      <c r="O10611" s="247"/>
      <c r="AC10611" s="247"/>
      <c r="AT10611" s="247"/>
    </row>
    <row r="10612">
      <c r="C10612" s="277"/>
      <c r="M10612" s="277"/>
      <c r="O10612" s="247"/>
      <c r="AC10612" s="247"/>
      <c r="AT10612" s="247"/>
    </row>
    <row r="10613">
      <c r="C10613" s="277"/>
      <c r="M10613" s="277"/>
      <c r="O10613" s="247"/>
      <c r="AC10613" s="247"/>
      <c r="AT10613" s="247"/>
    </row>
    <row r="10614">
      <c r="C10614" s="277"/>
      <c r="M10614" s="277"/>
      <c r="O10614" s="247"/>
      <c r="AC10614" s="247"/>
      <c r="AT10614" s="247"/>
    </row>
    <row r="10615">
      <c r="C10615" s="277"/>
      <c r="M10615" s="277"/>
      <c r="O10615" s="247"/>
      <c r="AC10615" s="247"/>
      <c r="AT10615" s="247"/>
    </row>
    <row r="10616">
      <c r="C10616" s="277"/>
      <c r="M10616" s="277"/>
      <c r="O10616" s="247"/>
      <c r="AC10616" s="247"/>
      <c r="AT10616" s="247"/>
    </row>
    <row r="10617">
      <c r="C10617" s="277"/>
      <c r="M10617" s="277"/>
      <c r="O10617" s="247"/>
      <c r="AC10617" s="247"/>
      <c r="AT10617" s="247"/>
    </row>
    <row r="10618">
      <c r="C10618" s="277"/>
      <c r="M10618" s="277"/>
      <c r="O10618" s="247"/>
      <c r="AC10618" s="247"/>
      <c r="AT10618" s="247"/>
    </row>
    <row r="10619">
      <c r="C10619" s="277"/>
      <c r="M10619" s="277"/>
      <c r="O10619" s="247"/>
      <c r="AC10619" s="247"/>
      <c r="AT10619" s="247"/>
    </row>
    <row r="10620">
      <c r="C10620" s="277"/>
      <c r="M10620" s="277"/>
      <c r="O10620" s="247"/>
      <c r="AC10620" s="247"/>
      <c r="AT10620" s="247"/>
    </row>
    <row r="10621">
      <c r="C10621" s="277"/>
      <c r="M10621" s="277"/>
      <c r="O10621" s="247"/>
      <c r="AC10621" s="247"/>
      <c r="AT10621" s="247"/>
    </row>
    <row r="10622">
      <c r="C10622" s="277"/>
      <c r="M10622" s="277"/>
      <c r="O10622" s="247"/>
      <c r="AC10622" s="247"/>
      <c r="AT10622" s="247"/>
    </row>
    <row r="10623">
      <c r="C10623" s="277"/>
      <c r="M10623" s="277"/>
      <c r="O10623" s="247"/>
      <c r="AC10623" s="247"/>
      <c r="AT10623" s="247"/>
    </row>
    <row r="10624">
      <c r="C10624" s="277"/>
      <c r="M10624" s="277"/>
      <c r="O10624" s="247"/>
      <c r="AC10624" s="247"/>
      <c r="AT10624" s="247"/>
    </row>
    <row r="10625">
      <c r="C10625" s="277"/>
      <c r="M10625" s="277"/>
      <c r="O10625" s="247"/>
      <c r="AC10625" s="247"/>
      <c r="AT10625" s="247"/>
    </row>
    <row r="10626">
      <c r="C10626" s="277"/>
      <c r="M10626" s="277"/>
      <c r="O10626" s="247"/>
      <c r="AC10626" s="247"/>
      <c r="AT10626" s="247"/>
    </row>
    <row r="10627">
      <c r="C10627" s="277"/>
      <c r="M10627" s="277"/>
      <c r="O10627" s="247"/>
      <c r="AC10627" s="247"/>
      <c r="AT10627" s="247"/>
    </row>
    <row r="10628">
      <c r="C10628" s="277"/>
      <c r="M10628" s="277"/>
      <c r="O10628" s="247"/>
      <c r="AC10628" s="247"/>
      <c r="AT10628" s="247"/>
    </row>
    <row r="10629">
      <c r="C10629" s="277"/>
      <c r="M10629" s="277"/>
      <c r="O10629" s="247"/>
      <c r="AC10629" s="247"/>
      <c r="AT10629" s="247"/>
    </row>
    <row r="10630">
      <c r="C10630" s="277"/>
      <c r="M10630" s="277"/>
      <c r="O10630" s="247"/>
      <c r="AC10630" s="247"/>
      <c r="AT10630" s="247"/>
    </row>
    <row r="10631">
      <c r="C10631" s="277"/>
      <c r="M10631" s="277"/>
      <c r="O10631" s="247"/>
      <c r="AC10631" s="247"/>
      <c r="AT10631" s="247"/>
    </row>
    <row r="10632">
      <c r="C10632" s="277"/>
      <c r="M10632" s="277"/>
      <c r="O10632" s="247"/>
      <c r="AC10632" s="247"/>
      <c r="AT10632" s="247"/>
    </row>
    <row r="10633">
      <c r="C10633" s="277"/>
      <c r="M10633" s="277"/>
      <c r="O10633" s="247"/>
      <c r="AC10633" s="247"/>
      <c r="AT10633" s="247"/>
    </row>
    <row r="10634">
      <c r="C10634" s="277"/>
      <c r="M10634" s="277"/>
      <c r="O10634" s="247"/>
      <c r="AC10634" s="247"/>
      <c r="AT10634" s="247"/>
    </row>
    <row r="10635">
      <c r="C10635" s="277"/>
      <c r="M10635" s="277"/>
      <c r="O10635" s="247"/>
      <c r="AC10635" s="247"/>
      <c r="AT10635" s="247"/>
    </row>
    <row r="10636">
      <c r="C10636" s="277"/>
      <c r="M10636" s="277"/>
      <c r="O10636" s="247"/>
      <c r="AC10636" s="247"/>
      <c r="AT10636" s="247"/>
    </row>
    <row r="10637">
      <c r="C10637" s="277"/>
      <c r="M10637" s="277"/>
      <c r="O10637" s="247"/>
      <c r="AC10637" s="247"/>
      <c r="AT10637" s="247"/>
    </row>
    <row r="10638">
      <c r="C10638" s="277"/>
      <c r="M10638" s="277"/>
      <c r="O10638" s="247"/>
      <c r="AC10638" s="247"/>
      <c r="AT10638" s="247"/>
    </row>
    <row r="10639">
      <c r="C10639" s="277"/>
      <c r="M10639" s="277"/>
      <c r="O10639" s="247"/>
      <c r="AC10639" s="247"/>
      <c r="AT10639" s="247"/>
    </row>
    <row r="10640">
      <c r="C10640" s="277"/>
      <c r="M10640" s="277"/>
      <c r="O10640" s="247"/>
      <c r="AC10640" s="247"/>
      <c r="AT10640" s="247"/>
    </row>
    <row r="10641">
      <c r="C10641" s="277"/>
      <c r="M10641" s="277"/>
      <c r="O10641" s="247"/>
      <c r="AC10641" s="247"/>
      <c r="AT10641" s="247"/>
    </row>
    <row r="10642">
      <c r="C10642" s="277"/>
      <c r="M10642" s="277"/>
      <c r="O10642" s="247"/>
      <c r="AC10642" s="247"/>
      <c r="AT10642" s="247"/>
    </row>
    <row r="10643">
      <c r="C10643" s="277"/>
      <c r="M10643" s="277"/>
      <c r="O10643" s="247"/>
      <c r="AC10643" s="247"/>
      <c r="AT10643" s="247"/>
    </row>
    <row r="10644">
      <c r="C10644" s="277"/>
      <c r="M10644" s="277"/>
      <c r="O10644" s="247"/>
      <c r="AC10644" s="247"/>
      <c r="AT10644" s="247"/>
    </row>
    <row r="10645">
      <c r="C10645" s="277"/>
      <c r="M10645" s="277"/>
      <c r="O10645" s="247"/>
      <c r="AC10645" s="247"/>
      <c r="AT10645" s="247"/>
    </row>
    <row r="10646">
      <c r="C10646" s="277"/>
      <c r="M10646" s="277"/>
      <c r="O10646" s="247"/>
      <c r="AC10646" s="247"/>
      <c r="AT10646" s="247"/>
    </row>
    <row r="10647">
      <c r="C10647" s="277"/>
      <c r="M10647" s="277"/>
      <c r="O10647" s="247"/>
      <c r="AC10647" s="247"/>
      <c r="AT10647" s="247"/>
    </row>
    <row r="10648">
      <c r="C10648" s="277"/>
      <c r="M10648" s="277"/>
      <c r="O10648" s="247"/>
      <c r="AC10648" s="247"/>
      <c r="AT10648" s="247"/>
    </row>
    <row r="10649">
      <c r="C10649" s="277"/>
      <c r="M10649" s="277"/>
      <c r="O10649" s="247"/>
      <c r="AC10649" s="247"/>
      <c r="AT10649" s="247"/>
    </row>
    <row r="10650">
      <c r="C10650" s="277"/>
      <c r="M10650" s="277"/>
      <c r="O10650" s="247"/>
      <c r="AC10650" s="247"/>
      <c r="AT10650" s="247"/>
    </row>
    <row r="10651">
      <c r="C10651" s="277"/>
      <c r="M10651" s="277"/>
      <c r="O10651" s="247"/>
      <c r="AC10651" s="247"/>
      <c r="AT10651" s="247"/>
    </row>
    <row r="10652">
      <c r="C10652" s="277"/>
      <c r="M10652" s="277"/>
      <c r="O10652" s="247"/>
      <c r="AC10652" s="247"/>
      <c r="AT10652" s="247"/>
    </row>
    <row r="10653">
      <c r="C10653" s="277"/>
      <c r="M10653" s="277"/>
      <c r="O10653" s="247"/>
      <c r="AC10653" s="247"/>
      <c r="AT10653" s="247"/>
    </row>
    <row r="10654">
      <c r="C10654" s="277"/>
      <c r="M10654" s="277"/>
      <c r="O10654" s="247"/>
      <c r="AC10654" s="247"/>
      <c r="AT10654" s="247"/>
    </row>
    <row r="10655">
      <c r="C10655" s="277"/>
      <c r="M10655" s="277"/>
      <c r="O10655" s="247"/>
      <c r="AC10655" s="247"/>
      <c r="AT10655" s="247"/>
    </row>
    <row r="10656">
      <c r="C10656" s="277"/>
      <c r="M10656" s="277"/>
      <c r="O10656" s="247"/>
      <c r="AC10656" s="247"/>
      <c r="AT10656" s="247"/>
    </row>
    <row r="10657">
      <c r="C10657" s="277"/>
      <c r="M10657" s="277"/>
      <c r="O10657" s="247"/>
      <c r="AC10657" s="247"/>
      <c r="AT10657" s="247"/>
    </row>
    <row r="10658">
      <c r="C10658" s="277"/>
      <c r="M10658" s="277"/>
      <c r="O10658" s="247"/>
      <c r="AC10658" s="247"/>
      <c r="AT10658" s="247"/>
    </row>
    <row r="10659">
      <c r="C10659" s="277"/>
      <c r="M10659" s="277"/>
      <c r="O10659" s="247"/>
      <c r="AC10659" s="247"/>
      <c r="AT10659" s="247"/>
    </row>
    <row r="10660">
      <c r="C10660" s="277"/>
      <c r="M10660" s="277"/>
      <c r="O10660" s="247"/>
      <c r="AC10660" s="247"/>
      <c r="AT10660" s="247"/>
    </row>
    <row r="10661">
      <c r="C10661" s="277"/>
      <c r="M10661" s="277"/>
      <c r="O10661" s="247"/>
      <c r="AC10661" s="247"/>
      <c r="AT10661" s="247"/>
    </row>
    <row r="10662">
      <c r="C10662" s="277"/>
      <c r="M10662" s="277"/>
      <c r="O10662" s="247"/>
      <c r="AC10662" s="247"/>
      <c r="AT10662" s="247"/>
    </row>
    <row r="10663">
      <c r="C10663" s="277"/>
      <c r="M10663" s="277"/>
      <c r="O10663" s="247"/>
      <c r="AC10663" s="247"/>
      <c r="AT10663" s="247"/>
    </row>
    <row r="10664">
      <c r="C10664" s="277"/>
      <c r="M10664" s="277"/>
      <c r="O10664" s="247"/>
      <c r="AC10664" s="247"/>
      <c r="AT10664" s="247"/>
    </row>
    <row r="10665">
      <c r="C10665" s="277"/>
      <c r="M10665" s="277"/>
      <c r="O10665" s="247"/>
      <c r="AC10665" s="247"/>
      <c r="AT10665" s="247"/>
    </row>
    <row r="10666">
      <c r="C10666" s="277"/>
      <c r="M10666" s="277"/>
      <c r="O10666" s="247"/>
      <c r="AC10666" s="247"/>
      <c r="AT10666" s="247"/>
    </row>
    <row r="10667">
      <c r="C10667" s="277"/>
      <c r="M10667" s="277"/>
      <c r="O10667" s="247"/>
      <c r="AC10667" s="247"/>
      <c r="AT10667" s="247"/>
    </row>
    <row r="10668">
      <c r="C10668" s="277"/>
      <c r="M10668" s="277"/>
      <c r="O10668" s="247"/>
      <c r="AC10668" s="247"/>
      <c r="AT10668" s="247"/>
    </row>
    <row r="10669">
      <c r="C10669" s="277"/>
      <c r="M10669" s="277"/>
      <c r="O10669" s="247"/>
      <c r="AC10669" s="247"/>
      <c r="AT10669" s="247"/>
    </row>
    <row r="10670">
      <c r="C10670" s="277"/>
      <c r="M10670" s="277"/>
      <c r="O10670" s="247"/>
      <c r="AC10670" s="247"/>
      <c r="AT10670" s="247"/>
    </row>
    <row r="10671">
      <c r="C10671" s="277"/>
      <c r="M10671" s="277"/>
      <c r="O10671" s="247"/>
      <c r="AC10671" s="247"/>
      <c r="AT10671" s="247"/>
    </row>
    <row r="10672">
      <c r="C10672" s="277"/>
      <c r="M10672" s="277"/>
      <c r="O10672" s="247"/>
      <c r="AC10672" s="247"/>
      <c r="AT10672" s="247"/>
    </row>
    <row r="10673">
      <c r="C10673" s="277"/>
      <c r="M10673" s="277"/>
      <c r="O10673" s="247"/>
      <c r="AC10673" s="247"/>
      <c r="AT10673" s="247"/>
    </row>
    <row r="10674">
      <c r="C10674" s="277"/>
      <c r="M10674" s="277"/>
      <c r="O10674" s="247"/>
      <c r="AC10674" s="247"/>
      <c r="AT10674" s="247"/>
    </row>
    <row r="10675">
      <c r="C10675" s="277"/>
      <c r="M10675" s="277"/>
      <c r="O10675" s="247"/>
      <c r="AC10675" s="247"/>
      <c r="AT10675" s="247"/>
    </row>
    <row r="10676">
      <c r="C10676" s="277"/>
      <c r="M10676" s="277"/>
      <c r="O10676" s="247"/>
      <c r="AC10676" s="247"/>
      <c r="AT10676" s="247"/>
    </row>
    <row r="10677">
      <c r="C10677" s="277"/>
      <c r="M10677" s="277"/>
      <c r="O10677" s="247"/>
      <c r="AC10677" s="247"/>
      <c r="AT10677" s="247"/>
    </row>
    <row r="10678">
      <c r="C10678" s="277"/>
      <c r="M10678" s="277"/>
      <c r="O10678" s="247"/>
      <c r="AC10678" s="247"/>
      <c r="AT10678" s="247"/>
    </row>
    <row r="10679">
      <c r="C10679" s="277"/>
      <c r="M10679" s="277"/>
      <c r="O10679" s="247"/>
      <c r="AC10679" s="247"/>
      <c r="AT10679" s="247"/>
    </row>
    <row r="10680">
      <c r="C10680" s="277"/>
      <c r="M10680" s="277"/>
      <c r="O10680" s="247"/>
      <c r="AC10680" s="247"/>
      <c r="AT10680" s="247"/>
    </row>
    <row r="10681">
      <c r="C10681" s="277"/>
      <c r="M10681" s="277"/>
      <c r="O10681" s="247"/>
      <c r="AC10681" s="247"/>
      <c r="AT10681" s="247"/>
    </row>
    <row r="10682">
      <c r="C10682" s="277"/>
      <c r="M10682" s="277"/>
      <c r="O10682" s="247"/>
      <c r="AC10682" s="247"/>
      <c r="AT10682" s="247"/>
    </row>
    <row r="10683">
      <c r="C10683" s="277"/>
      <c r="M10683" s="277"/>
      <c r="O10683" s="247"/>
      <c r="AC10683" s="247"/>
      <c r="AT10683" s="247"/>
    </row>
    <row r="10684">
      <c r="C10684" s="277"/>
      <c r="M10684" s="277"/>
      <c r="O10684" s="247"/>
      <c r="AC10684" s="247"/>
      <c r="AT10684" s="247"/>
    </row>
    <row r="10685">
      <c r="C10685" s="277"/>
      <c r="M10685" s="277"/>
      <c r="O10685" s="247"/>
      <c r="AC10685" s="247"/>
      <c r="AT10685" s="247"/>
    </row>
    <row r="10686">
      <c r="C10686" s="277"/>
      <c r="M10686" s="277"/>
      <c r="O10686" s="247"/>
      <c r="AC10686" s="247"/>
      <c r="AT10686" s="247"/>
    </row>
    <row r="10687">
      <c r="C10687" s="277"/>
      <c r="M10687" s="277"/>
      <c r="O10687" s="247"/>
      <c r="AC10687" s="247"/>
      <c r="AT10687" s="247"/>
    </row>
    <row r="10688">
      <c r="C10688" s="277"/>
      <c r="M10688" s="277"/>
      <c r="O10688" s="247"/>
      <c r="AC10688" s="247"/>
      <c r="AT10688" s="247"/>
    </row>
    <row r="10689">
      <c r="C10689" s="277"/>
      <c r="M10689" s="277"/>
      <c r="O10689" s="247"/>
      <c r="AC10689" s="247"/>
      <c r="AT10689" s="247"/>
    </row>
    <row r="10690">
      <c r="C10690" s="277"/>
      <c r="M10690" s="277"/>
      <c r="O10690" s="247"/>
      <c r="AC10690" s="247"/>
      <c r="AT10690" s="247"/>
    </row>
    <row r="10691">
      <c r="C10691" s="277"/>
      <c r="M10691" s="277"/>
      <c r="O10691" s="247"/>
      <c r="AC10691" s="247"/>
      <c r="AT10691" s="247"/>
    </row>
    <row r="10692">
      <c r="C10692" s="277"/>
      <c r="M10692" s="277"/>
      <c r="O10692" s="247"/>
      <c r="AC10692" s="247"/>
      <c r="AT10692" s="247"/>
    </row>
    <row r="10693">
      <c r="C10693" s="277"/>
      <c r="M10693" s="277"/>
      <c r="O10693" s="247"/>
      <c r="AC10693" s="247"/>
      <c r="AT10693" s="247"/>
    </row>
    <row r="10694">
      <c r="C10694" s="277"/>
      <c r="M10694" s="277"/>
      <c r="O10694" s="247"/>
      <c r="AC10694" s="247"/>
      <c r="AT10694" s="247"/>
    </row>
    <row r="10695">
      <c r="C10695" s="277"/>
      <c r="M10695" s="277"/>
      <c r="O10695" s="247"/>
      <c r="AC10695" s="247"/>
      <c r="AT10695" s="247"/>
    </row>
    <row r="10696">
      <c r="C10696" s="277"/>
      <c r="M10696" s="277"/>
      <c r="O10696" s="247"/>
      <c r="AC10696" s="247"/>
      <c r="AT10696" s="247"/>
    </row>
    <row r="10697">
      <c r="C10697" s="277"/>
      <c r="M10697" s="277"/>
      <c r="O10697" s="247"/>
      <c r="AC10697" s="247"/>
      <c r="AT10697" s="247"/>
    </row>
    <row r="10698">
      <c r="C10698" s="277"/>
      <c r="M10698" s="277"/>
      <c r="O10698" s="247"/>
      <c r="AC10698" s="247"/>
      <c r="AT10698" s="247"/>
    </row>
    <row r="10699">
      <c r="C10699" s="277"/>
      <c r="M10699" s="277"/>
      <c r="O10699" s="247"/>
      <c r="AC10699" s="247"/>
      <c r="AT10699" s="247"/>
    </row>
    <row r="10700">
      <c r="C10700" s="277"/>
      <c r="M10700" s="277"/>
      <c r="O10700" s="247"/>
      <c r="AC10700" s="247"/>
      <c r="AT10700" s="247"/>
    </row>
    <row r="10701">
      <c r="C10701" s="277"/>
      <c r="M10701" s="277"/>
      <c r="O10701" s="247"/>
      <c r="AC10701" s="247"/>
      <c r="AT10701" s="247"/>
    </row>
    <row r="10702">
      <c r="C10702" s="277"/>
      <c r="M10702" s="277"/>
      <c r="O10702" s="247"/>
      <c r="AC10702" s="247"/>
      <c r="AT10702" s="247"/>
    </row>
    <row r="10703">
      <c r="C10703" s="277"/>
      <c r="M10703" s="277"/>
      <c r="O10703" s="247"/>
      <c r="AC10703" s="247"/>
      <c r="AT10703" s="247"/>
    </row>
    <row r="10704">
      <c r="C10704" s="277"/>
      <c r="M10704" s="277"/>
      <c r="O10704" s="247"/>
      <c r="AC10704" s="247"/>
      <c r="AT10704" s="247"/>
    </row>
    <row r="10705">
      <c r="C10705" s="277"/>
      <c r="M10705" s="277"/>
      <c r="O10705" s="247"/>
      <c r="AC10705" s="247"/>
      <c r="AT10705" s="247"/>
    </row>
    <row r="10706">
      <c r="C10706" s="277"/>
      <c r="M10706" s="277"/>
      <c r="O10706" s="247"/>
      <c r="AC10706" s="247"/>
      <c r="AT10706" s="247"/>
    </row>
    <row r="10707">
      <c r="C10707" s="277"/>
      <c r="M10707" s="277"/>
      <c r="O10707" s="247"/>
      <c r="AC10707" s="247"/>
      <c r="AT10707" s="247"/>
    </row>
    <row r="10708">
      <c r="C10708" s="277"/>
      <c r="M10708" s="277"/>
      <c r="O10708" s="247"/>
      <c r="AC10708" s="247"/>
      <c r="AT10708" s="247"/>
    </row>
    <row r="10709">
      <c r="C10709" s="277"/>
      <c r="M10709" s="277"/>
      <c r="O10709" s="247"/>
      <c r="AC10709" s="247"/>
      <c r="AT10709" s="247"/>
    </row>
    <row r="10710">
      <c r="C10710" s="277"/>
      <c r="M10710" s="277"/>
      <c r="O10710" s="247"/>
      <c r="AC10710" s="247"/>
      <c r="AT10710" s="247"/>
    </row>
    <row r="10711">
      <c r="C10711" s="277"/>
      <c r="M10711" s="277"/>
      <c r="O10711" s="247"/>
      <c r="AC10711" s="247"/>
      <c r="AT10711" s="247"/>
    </row>
    <row r="10712">
      <c r="C10712" s="277"/>
      <c r="M10712" s="277"/>
      <c r="O10712" s="247"/>
      <c r="AC10712" s="247"/>
      <c r="AT10712" s="247"/>
    </row>
    <row r="10713">
      <c r="C10713" s="277"/>
      <c r="M10713" s="277"/>
      <c r="O10713" s="247"/>
      <c r="AC10713" s="247"/>
      <c r="AT10713" s="247"/>
    </row>
    <row r="10714">
      <c r="C10714" s="277"/>
      <c r="M10714" s="277"/>
      <c r="O10714" s="247"/>
      <c r="AC10714" s="247"/>
      <c r="AT10714" s="247"/>
    </row>
    <row r="10715">
      <c r="C10715" s="277"/>
      <c r="M10715" s="277"/>
      <c r="O10715" s="247"/>
      <c r="AC10715" s="247"/>
      <c r="AT10715" s="247"/>
    </row>
    <row r="10716">
      <c r="C10716" s="277"/>
      <c r="M10716" s="277"/>
      <c r="O10716" s="247"/>
      <c r="AC10716" s="247"/>
      <c r="AT10716" s="247"/>
    </row>
    <row r="10717">
      <c r="C10717" s="277"/>
      <c r="M10717" s="277"/>
      <c r="O10717" s="247"/>
      <c r="AC10717" s="247"/>
      <c r="AT10717" s="247"/>
    </row>
    <row r="10718">
      <c r="C10718" s="277"/>
      <c r="M10718" s="277"/>
      <c r="O10718" s="247"/>
      <c r="AC10718" s="247"/>
      <c r="AT10718" s="247"/>
    </row>
    <row r="10719">
      <c r="C10719" s="277"/>
      <c r="M10719" s="277"/>
      <c r="O10719" s="247"/>
      <c r="AC10719" s="247"/>
      <c r="AT10719" s="247"/>
    </row>
    <row r="10720">
      <c r="C10720" s="277"/>
      <c r="M10720" s="277"/>
      <c r="O10720" s="247"/>
      <c r="AC10720" s="247"/>
      <c r="AT10720" s="247"/>
    </row>
    <row r="10721">
      <c r="C10721" s="277"/>
      <c r="M10721" s="277"/>
      <c r="O10721" s="247"/>
      <c r="AC10721" s="247"/>
      <c r="AT10721" s="247"/>
    </row>
    <row r="10722">
      <c r="C10722" s="277"/>
      <c r="M10722" s="277"/>
      <c r="O10722" s="247"/>
      <c r="AC10722" s="247"/>
      <c r="AT10722" s="247"/>
    </row>
    <row r="10723">
      <c r="C10723" s="277"/>
      <c r="M10723" s="277"/>
      <c r="O10723" s="247"/>
      <c r="AC10723" s="247"/>
      <c r="AT10723" s="247"/>
    </row>
    <row r="10724">
      <c r="C10724" s="277"/>
      <c r="M10724" s="277"/>
      <c r="O10724" s="247"/>
      <c r="AC10724" s="247"/>
      <c r="AT10724" s="247"/>
    </row>
    <row r="10725">
      <c r="C10725" s="277"/>
      <c r="M10725" s="277"/>
      <c r="O10725" s="247"/>
      <c r="AC10725" s="247"/>
      <c r="AT10725" s="247"/>
    </row>
    <row r="10726">
      <c r="C10726" s="277"/>
      <c r="M10726" s="277"/>
      <c r="O10726" s="247"/>
      <c r="AC10726" s="247"/>
      <c r="AT10726" s="247"/>
    </row>
    <row r="10727">
      <c r="C10727" s="277"/>
      <c r="M10727" s="277"/>
      <c r="O10727" s="247"/>
      <c r="AC10727" s="247"/>
      <c r="AT10727" s="247"/>
    </row>
    <row r="10728">
      <c r="C10728" s="277"/>
      <c r="M10728" s="277"/>
      <c r="O10728" s="247"/>
      <c r="AC10728" s="247"/>
      <c r="AT10728" s="247"/>
    </row>
    <row r="10729">
      <c r="C10729" s="277"/>
      <c r="M10729" s="277"/>
      <c r="O10729" s="247"/>
      <c r="AC10729" s="247"/>
      <c r="AT10729" s="247"/>
    </row>
    <row r="10730">
      <c r="C10730" s="277"/>
      <c r="M10730" s="277"/>
      <c r="O10730" s="247"/>
      <c r="AC10730" s="247"/>
      <c r="AT10730" s="247"/>
    </row>
    <row r="10731">
      <c r="C10731" s="277"/>
      <c r="M10731" s="277"/>
      <c r="O10731" s="247"/>
      <c r="AC10731" s="247"/>
      <c r="AT10731" s="247"/>
    </row>
    <row r="10732">
      <c r="C10732" s="277"/>
      <c r="M10732" s="277"/>
      <c r="O10732" s="247"/>
      <c r="AC10732" s="247"/>
      <c r="AT10732" s="247"/>
    </row>
    <row r="10733">
      <c r="C10733" s="277"/>
      <c r="M10733" s="277"/>
      <c r="O10733" s="247"/>
      <c r="AC10733" s="247"/>
      <c r="AT10733" s="247"/>
    </row>
    <row r="10734">
      <c r="C10734" s="277"/>
      <c r="M10734" s="277"/>
      <c r="O10734" s="247"/>
      <c r="AC10734" s="247"/>
      <c r="AT10734" s="247"/>
    </row>
    <row r="10735">
      <c r="C10735" s="277"/>
      <c r="M10735" s="277"/>
      <c r="O10735" s="247"/>
      <c r="AC10735" s="247"/>
      <c r="AT10735" s="247"/>
    </row>
    <row r="10736">
      <c r="C10736" s="277"/>
      <c r="M10736" s="277"/>
      <c r="O10736" s="247"/>
      <c r="AC10736" s="247"/>
      <c r="AT10736" s="247"/>
    </row>
    <row r="10737">
      <c r="C10737" s="277"/>
      <c r="M10737" s="277"/>
      <c r="O10737" s="247"/>
      <c r="AC10737" s="247"/>
      <c r="AT10737" s="247"/>
    </row>
    <row r="10738">
      <c r="C10738" s="277"/>
      <c r="M10738" s="277"/>
      <c r="O10738" s="247"/>
      <c r="AC10738" s="247"/>
      <c r="AT10738" s="247"/>
    </row>
    <row r="10739">
      <c r="C10739" s="277"/>
      <c r="M10739" s="277"/>
      <c r="O10739" s="247"/>
      <c r="AC10739" s="247"/>
      <c r="AT10739" s="247"/>
    </row>
    <row r="10740">
      <c r="C10740" s="277"/>
      <c r="M10740" s="277"/>
      <c r="O10740" s="247"/>
      <c r="AC10740" s="247"/>
      <c r="AT10740" s="247"/>
    </row>
    <row r="10741">
      <c r="C10741" s="277"/>
      <c r="M10741" s="277"/>
      <c r="O10741" s="247"/>
      <c r="AC10741" s="247"/>
      <c r="AT10741" s="247"/>
    </row>
    <row r="10742">
      <c r="C10742" s="277"/>
      <c r="M10742" s="277"/>
      <c r="O10742" s="247"/>
      <c r="AC10742" s="247"/>
      <c r="AT10742" s="247"/>
    </row>
    <row r="10743">
      <c r="C10743" s="277"/>
      <c r="M10743" s="277"/>
      <c r="O10743" s="247"/>
      <c r="AC10743" s="247"/>
      <c r="AT10743" s="247"/>
    </row>
    <row r="10744">
      <c r="C10744" s="277"/>
      <c r="M10744" s="277"/>
      <c r="O10744" s="247"/>
      <c r="AC10744" s="247"/>
      <c r="AT10744" s="247"/>
    </row>
    <row r="10745">
      <c r="C10745" s="277"/>
      <c r="M10745" s="277"/>
      <c r="O10745" s="247"/>
      <c r="AC10745" s="247"/>
      <c r="AT10745" s="247"/>
    </row>
    <row r="10746">
      <c r="C10746" s="277"/>
      <c r="M10746" s="277"/>
      <c r="O10746" s="247"/>
      <c r="AC10746" s="247"/>
      <c r="AT10746" s="247"/>
    </row>
    <row r="10747">
      <c r="C10747" s="277"/>
      <c r="M10747" s="277"/>
      <c r="O10747" s="247"/>
      <c r="AC10747" s="247"/>
      <c r="AT10747" s="247"/>
    </row>
    <row r="10748">
      <c r="C10748" s="277"/>
      <c r="M10748" s="277"/>
      <c r="O10748" s="247"/>
      <c r="AC10748" s="247"/>
      <c r="AT10748" s="247"/>
    </row>
    <row r="10749">
      <c r="C10749" s="277"/>
      <c r="M10749" s="277"/>
      <c r="O10749" s="247"/>
      <c r="AC10749" s="247"/>
      <c r="AT10749" s="247"/>
    </row>
    <row r="10750">
      <c r="C10750" s="277"/>
      <c r="M10750" s="277"/>
      <c r="O10750" s="247"/>
      <c r="AC10750" s="247"/>
      <c r="AT10750" s="247"/>
    </row>
    <row r="10751">
      <c r="C10751" s="277"/>
      <c r="M10751" s="277"/>
      <c r="O10751" s="247"/>
      <c r="AC10751" s="247"/>
      <c r="AT10751" s="247"/>
    </row>
    <row r="10752">
      <c r="C10752" s="277"/>
      <c r="M10752" s="277"/>
      <c r="O10752" s="247"/>
      <c r="AC10752" s="247"/>
      <c r="AT10752" s="247"/>
    </row>
    <row r="10753">
      <c r="C10753" s="277"/>
      <c r="M10753" s="277"/>
      <c r="O10753" s="247"/>
      <c r="AC10753" s="247"/>
      <c r="AT10753" s="247"/>
    </row>
    <row r="10754">
      <c r="C10754" s="277"/>
      <c r="M10754" s="277"/>
      <c r="O10754" s="247"/>
      <c r="AC10754" s="247"/>
      <c r="AT10754" s="247"/>
    </row>
    <row r="10755">
      <c r="C10755" s="277"/>
      <c r="M10755" s="277"/>
      <c r="O10755" s="247"/>
      <c r="AC10755" s="247"/>
      <c r="AT10755" s="247"/>
    </row>
    <row r="10756">
      <c r="C10756" s="277"/>
      <c r="M10756" s="277"/>
      <c r="O10756" s="247"/>
      <c r="AC10756" s="247"/>
      <c r="AT10756" s="247"/>
    </row>
    <row r="10757">
      <c r="C10757" s="277"/>
      <c r="M10757" s="277"/>
      <c r="O10757" s="247"/>
      <c r="AC10757" s="247"/>
      <c r="AT10757" s="247"/>
    </row>
    <row r="10758">
      <c r="C10758" s="277"/>
      <c r="M10758" s="277"/>
      <c r="O10758" s="247"/>
      <c r="AC10758" s="247"/>
      <c r="AT10758" s="247"/>
    </row>
    <row r="10759">
      <c r="C10759" s="277"/>
      <c r="M10759" s="277"/>
      <c r="O10759" s="247"/>
      <c r="AC10759" s="247"/>
      <c r="AT10759" s="247"/>
    </row>
    <row r="10760">
      <c r="C10760" s="277"/>
      <c r="M10760" s="277"/>
      <c r="O10760" s="247"/>
      <c r="AC10760" s="247"/>
      <c r="AT10760" s="247"/>
    </row>
    <row r="10761">
      <c r="C10761" s="277"/>
      <c r="M10761" s="277"/>
      <c r="O10761" s="247"/>
      <c r="AC10761" s="247"/>
      <c r="AT10761" s="247"/>
    </row>
    <row r="10762">
      <c r="C10762" s="277"/>
      <c r="M10762" s="277"/>
      <c r="O10762" s="247"/>
      <c r="AC10762" s="247"/>
      <c r="AT10762" s="247"/>
    </row>
    <row r="10763">
      <c r="C10763" s="277"/>
      <c r="M10763" s="277"/>
      <c r="O10763" s="247"/>
      <c r="AC10763" s="247"/>
      <c r="AT10763" s="247"/>
    </row>
    <row r="10764">
      <c r="C10764" s="277"/>
      <c r="M10764" s="277"/>
      <c r="O10764" s="247"/>
      <c r="AC10764" s="247"/>
      <c r="AT10764" s="247"/>
    </row>
    <row r="10765">
      <c r="C10765" s="277"/>
      <c r="M10765" s="277"/>
      <c r="O10765" s="247"/>
      <c r="AC10765" s="247"/>
      <c r="AT10765" s="247"/>
    </row>
    <row r="10766">
      <c r="C10766" s="277"/>
      <c r="M10766" s="277"/>
      <c r="O10766" s="247"/>
      <c r="AC10766" s="247"/>
      <c r="AT10766" s="247"/>
    </row>
    <row r="10767">
      <c r="C10767" s="277"/>
      <c r="M10767" s="277"/>
      <c r="O10767" s="247"/>
      <c r="AC10767" s="247"/>
      <c r="AT10767" s="247"/>
    </row>
    <row r="10768">
      <c r="C10768" s="277"/>
      <c r="M10768" s="277"/>
      <c r="O10768" s="247"/>
      <c r="AC10768" s="247"/>
      <c r="AT10768" s="247"/>
    </row>
    <row r="10769">
      <c r="C10769" s="277"/>
      <c r="M10769" s="277"/>
      <c r="O10769" s="247"/>
      <c r="AC10769" s="247"/>
      <c r="AT10769" s="247"/>
    </row>
    <row r="10770">
      <c r="C10770" s="277"/>
      <c r="M10770" s="277"/>
      <c r="O10770" s="247"/>
      <c r="AC10770" s="247"/>
      <c r="AT10770" s="247"/>
    </row>
    <row r="10771">
      <c r="C10771" s="277"/>
      <c r="M10771" s="277"/>
      <c r="O10771" s="247"/>
      <c r="AC10771" s="247"/>
      <c r="AT10771" s="247"/>
    </row>
    <row r="10772">
      <c r="C10772" s="277"/>
      <c r="M10772" s="277"/>
      <c r="O10772" s="247"/>
      <c r="AC10772" s="247"/>
      <c r="AT10772" s="247"/>
    </row>
    <row r="10773">
      <c r="C10773" s="277"/>
      <c r="M10773" s="277"/>
      <c r="O10773" s="247"/>
      <c r="AC10773" s="247"/>
      <c r="AT10773" s="247"/>
    </row>
    <row r="10774">
      <c r="C10774" s="277"/>
      <c r="M10774" s="277"/>
      <c r="O10774" s="247"/>
      <c r="AC10774" s="247"/>
      <c r="AT10774" s="247"/>
    </row>
    <row r="10775">
      <c r="C10775" s="277"/>
      <c r="M10775" s="277"/>
      <c r="O10775" s="247"/>
      <c r="AC10775" s="247"/>
      <c r="AT10775" s="247"/>
    </row>
    <row r="10776">
      <c r="C10776" s="277"/>
      <c r="M10776" s="277"/>
      <c r="O10776" s="247"/>
      <c r="AC10776" s="247"/>
      <c r="AT10776" s="247"/>
    </row>
    <row r="10777">
      <c r="C10777" s="277"/>
      <c r="M10777" s="277"/>
      <c r="O10777" s="247"/>
      <c r="AC10777" s="247"/>
      <c r="AT10777" s="247"/>
    </row>
    <row r="10778">
      <c r="C10778" s="277"/>
      <c r="M10778" s="277"/>
      <c r="O10778" s="247"/>
      <c r="AC10778" s="247"/>
      <c r="AT10778" s="247"/>
    </row>
    <row r="10779">
      <c r="C10779" s="277"/>
      <c r="M10779" s="277"/>
      <c r="O10779" s="247"/>
      <c r="AC10779" s="247"/>
      <c r="AT10779" s="247"/>
    </row>
    <row r="10780">
      <c r="C10780" s="277"/>
      <c r="M10780" s="277"/>
      <c r="O10780" s="247"/>
      <c r="AC10780" s="247"/>
      <c r="AT10780" s="247"/>
    </row>
    <row r="10781">
      <c r="C10781" s="277"/>
      <c r="M10781" s="277"/>
      <c r="O10781" s="247"/>
      <c r="AC10781" s="247"/>
      <c r="AT10781" s="247"/>
    </row>
    <row r="10782">
      <c r="C10782" s="277"/>
      <c r="M10782" s="277"/>
      <c r="O10782" s="247"/>
      <c r="AC10782" s="247"/>
      <c r="AT10782" s="247"/>
    </row>
    <row r="10783">
      <c r="C10783" s="277"/>
      <c r="M10783" s="277"/>
      <c r="O10783" s="247"/>
      <c r="AC10783" s="247"/>
      <c r="AT10783" s="247"/>
    </row>
    <row r="10784">
      <c r="C10784" s="277"/>
      <c r="M10784" s="277"/>
      <c r="O10784" s="247"/>
      <c r="AC10784" s="247"/>
      <c r="AT10784" s="247"/>
    </row>
    <row r="10785">
      <c r="C10785" s="277"/>
      <c r="M10785" s="277"/>
      <c r="O10785" s="247"/>
      <c r="AC10785" s="247"/>
      <c r="AT10785" s="247"/>
    </row>
    <row r="10786">
      <c r="C10786" s="277"/>
      <c r="M10786" s="277"/>
      <c r="O10786" s="247"/>
      <c r="AC10786" s="247"/>
      <c r="AT10786" s="247"/>
    </row>
    <row r="10787">
      <c r="C10787" s="277"/>
      <c r="M10787" s="277"/>
      <c r="O10787" s="247"/>
      <c r="AC10787" s="247"/>
      <c r="AT10787" s="247"/>
    </row>
    <row r="10788">
      <c r="C10788" s="277"/>
      <c r="M10788" s="277"/>
      <c r="O10788" s="247"/>
      <c r="AC10788" s="247"/>
      <c r="AT10788" s="247"/>
    </row>
    <row r="10789">
      <c r="C10789" s="277"/>
      <c r="M10789" s="277"/>
      <c r="O10789" s="247"/>
      <c r="AC10789" s="247"/>
      <c r="AT10789" s="247"/>
    </row>
    <row r="10790">
      <c r="C10790" s="277"/>
      <c r="M10790" s="277"/>
      <c r="O10790" s="247"/>
      <c r="AC10790" s="247"/>
      <c r="AT10790" s="247"/>
    </row>
    <row r="10791">
      <c r="C10791" s="277"/>
      <c r="M10791" s="277"/>
      <c r="O10791" s="247"/>
      <c r="AC10791" s="247"/>
      <c r="AT10791" s="247"/>
    </row>
    <row r="10792">
      <c r="C10792" s="277"/>
      <c r="M10792" s="277"/>
      <c r="O10792" s="247"/>
      <c r="AC10792" s="247"/>
      <c r="AT10792" s="247"/>
    </row>
    <row r="10793">
      <c r="C10793" s="277"/>
      <c r="M10793" s="277"/>
      <c r="O10793" s="247"/>
      <c r="AC10793" s="247"/>
      <c r="AT10793" s="247"/>
    </row>
    <row r="10794">
      <c r="C10794" s="277"/>
      <c r="M10794" s="277"/>
      <c r="O10794" s="247"/>
      <c r="AC10794" s="247"/>
      <c r="AT10794" s="247"/>
    </row>
    <row r="10795">
      <c r="C10795" s="277"/>
      <c r="M10795" s="277"/>
      <c r="O10795" s="247"/>
      <c r="AC10795" s="247"/>
      <c r="AT10795" s="247"/>
    </row>
    <row r="10796">
      <c r="C10796" s="277"/>
      <c r="M10796" s="277"/>
      <c r="O10796" s="247"/>
      <c r="AC10796" s="247"/>
      <c r="AT10796" s="247"/>
    </row>
    <row r="10797">
      <c r="C10797" s="277"/>
      <c r="M10797" s="277"/>
      <c r="O10797" s="247"/>
      <c r="AC10797" s="247"/>
      <c r="AT10797" s="247"/>
    </row>
    <row r="10798">
      <c r="C10798" s="277"/>
      <c r="M10798" s="277"/>
      <c r="O10798" s="247"/>
      <c r="AC10798" s="247"/>
      <c r="AT10798" s="247"/>
    </row>
    <row r="10799">
      <c r="C10799" s="277"/>
      <c r="M10799" s="277"/>
      <c r="O10799" s="247"/>
      <c r="AC10799" s="247"/>
      <c r="AT10799" s="247"/>
    </row>
    <row r="10800">
      <c r="C10800" s="277"/>
      <c r="M10800" s="277"/>
      <c r="O10800" s="247"/>
      <c r="AC10800" s="247"/>
      <c r="AT10800" s="247"/>
    </row>
    <row r="10801">
      <c r="C10801" s="277"/>
      <c r="M10801" s="277"/>
      <c r="O10801" s="247"/>
      <c r="AC10801" s="247"/>
      <c r="AT10801" s="247"/>
    </row>
    <row r="10802">
      <c r="C10802" s="277"/>
      <c r="M10802" s="277"/>
      <c r="O10802" s="247"/>
      <c r="AC10802" s="247"/>
      <c r="AT10802" s="247"/>
    </row>
    <row r="10803">
      <c r="C10803" s="277"/>
      <c r="M10803" s="277"/>
      <c r="O10803" s="247"/>
      <c r="AC10803" s="247"/>
      <c r="AT10803" s="247"/>
    </row>
    <row r="10804">
      <c r="C10804" s="277"/>
      <c r="M10804" s="277"/>
      <c r="O10804" s="247"/>
      <c r="AC10804" s="247"/>
      <c r="AT10804" s="247"/>
    </row>
    <row r="10805">
      <c r="C10805" s="277"/>
      <c r="M10805" s="277"/>
      <c r="O10805" s="247"/>
      <c r="AC10805" s="247"/>
      <c r="AT10805" s="247"/>
    </row>
    <row r="10806">
      <c r="C10806" s="277"/>
      <c r="M10806" s="277"/>
      <c r="O10806" s="247"/>
      <c r="AC10806" s="247"/>
      <c r="AT10806" s="247"/>
    </row>
    <row r="10807">
      <c r="C10807" s="277"/>
      <c r="M10807" s="277"/>
      <c r="O10807" s="247"/>
      <c r="AC10807" s="247"/>
      <c r="AT10807" s="247"/>
    </row>
    <row r="10808">
      <c r="C10808" s="277"/>
      <c r="M10808" s="277"/>
      <c r="O10808" s="247"/>
      <c r="AC10808" s="247"/>
      <c r="AT10808" s="247"/>
    </row>
    <row r="10809">
      <c r="C10809" s="277"/>
      <c r="M10809" s="277"/>
      <c r="O10809" s="247"/>
      <c r="AC10809" s="247"/>
      <c r="AT10809" s="247"/>
    </row>
    <row r="10810">
      <c r="C10810" s="277"/>
      <c r="M10810" s="277"/>
      <c r="O10810" s="247"/>
      <c r="AC10810" s="247"/>
      <c r="AT10810" s="247"/>
    </row>
    <row r="10811">
      <c r="C10811" s="277"/>
      <c r="M10811" s="277"/>
      <c r="O10811" s="247"/>
      <c r="AC10811" s="247"/>
      <c r="AT10811" s="247"/>
    </row>
    <row r="10812">
      <c r="C10812" s="277"/>
      <c r="M10812" s="277"/>
      <c r="O10812" s="247"/>
      <c r="AC10812" s="247"/>
      <c r="AT10812" s="247"/>
    </row>
    <row r="10813">
      <c r="C10813" s="277"/>
      <c r="M10813" s="277"/>
      <c r="O10813" s="247"/>
      <c r="AC10813" s="247"/>
      <c r="AT10813" s="247"/>
    </row>
    <row r="10814">
      <c r="C10814" s="277"/>
      <c r="M10814" s="277"/>
      <c r="O10814" s="247"/>
      <c r="AC10814" s="247"/>
      <c r="AT10814" s="247"/>
    </row>
    <row r="10815">
      <c r="C10815" s="277"/>
      <c r="M10815" s="277"/>
      <c r="O10815" s="247"/>
      <c r="AC10815" s="247"/>
      <c r="AT10815" s="247"/>
    </row>
    <row r="10816">
      <c r="C10816" s="277"/>
      <c r="M10816" s="277"/>
      <c r="O10816" s="247"/>
      <c r="AC10816" s="247"/>
      <c r="AT10816" s="247"/>
    </row>
    <row r="10817">
      <c r="C10817" s="277"/>
      <c r="M10817" s="277"/>
      <c r="O10817" s="247"/>
      <c r="AC10817" s="247"/>
      <c r="AT10817" s="247"/>
    </row>
    <row r="10818">
      <c r="C10818" s="277"/>
      <c r="M10818" s="277"/>
      <c r="O10818" s="247"/>
      <c r="AC10818" s="247"/>
      <c r="AT10818" s="247"/>
    </row>
    <row r="10819">
      <c r="C10819" s="277"/>
      <c r="M10819" s="277"/>
      <c r="O10819" s="247"/>
      <c r="AC10819" s="247"/>
      <c r="AT10819" s="247"/>
    </row>
    <row r="10820">
      <c r="C10820" s="277"/>
      <c r="M10820" s="277"/>
      <c r="O10820" s="247"/>
      <c r="AC10820" s="247"/>
      <c r="AT10820" s="247"/>
    </row>
    <row r="10821">
      <c r="C10821" s="277"/>
      <c r="M10821" s="277"/>
      <c r="O10821" s="247"/>
      <c r="AC10821" s="247"/>
      <c r="AT10821" s="247"/>
    </row>
    <row r="10822">
      <c r="C10822" s="277"/>
      <c r="M10822" s="277"/>
      <c r="O10822" s="247"/>
      <c r="AC10822" s="247"/>
      <c r="AT10822" s="247"/>
    </row>
    <row r="10823">
      <c r="C10823" s="277"/>
      <c r="M10823" s="277"/>
      <c r="O10823" s="247"/>
      <c r="AC10823" s="247"/>
      <c r="AT10823" s="247"/>
    </row>
    <row r="10824">
      <c r="C10824" s="277"/>
      <c r="M10824" s="277"/>
      <c r="O10824" s="247"/>
      <c r="AC10824" s="247"/>
      <c r="AT10824" s="247"/>
    </row>
    <row r="10825">
      <c r="C10825" s="277"/>
      <c r="M10825" s="277"/>
      <c r="O10825" s="247"/>
      <c r="AC10825" s="247"/>
      <c r="AT10825" s="247"/>
    </row>
    <row r="10826">
      <c r="C10826" s="277"/>
      <c r="M10826" s="277"/>
      <c r="O10826" s="247"/>
      <c r="AC10826" s="247"/>
      <c r="AT10826" s="247"/>
    </row>
    <row r="10827">
      <c r="C10827" s="277"/>
      <c r="M10827" s="277"/>
      <c r="O10827" s="247"/>
      <c r="AC10827" s="247"/>
      <c r="AT10827" s="247"/>
    </row>
    <row r="10828">
      <c r="C10828" s="277"/>
      <c r="M10828" s="277"/>
      <c r="O10828" s="247"/>
      <c r="AC10828" s="247"/>
      <c r="AT10828" s="247"/>
    </row>
    <row r="10829">
      <c r="C10829" s="277"/>
      <c r="M10829" s="277"/>
      <c r="O10829" s="247"/>
      <c r="AC10829" s="247"/>
      <c r="AT10829" s="247"/>
    </row>
    <row r="10830">
      <c r="C10830" s="277"/>
      <c r="M10830" s="277"/>
      <c r="O10830" s="247"/>
      <c r="AC10830" s="247"/>
      <c r="AT10830" s="247"/>
    </row>
    <row r="10831">
      <c r="C10831" s="277"/>
      <c r="M10831" s="277"/>
      <c r="O10831" s="247"/>
      <c r="AC10831" s="247"/>
      <c r="AT10831" s="247"/>
    </row>
    <row r="10832">
      <c r="C10832" s="277"/>
      <c r="M10832" s="277"/>
      <c r="O10832" s="247"/>
      <c r="AC10832" s="247"/>
      <c r="AT10832" s="247"/>
    </row>
    <row r="10833">
      <c r="C10833" s="277"/>
      <c r="M10833" s="277"/>
      <c r="O10833" s="247"/>
      <c r="AC10833" s="247"/>
      <c r="AT10833" s="247"/>
    </row>
    <row r="10834">
      <c r="C10834" s="277"/>
      <c r="M10834" s="277"/>
      <c r="O10834" s="247"/>
      <c r="AC10834" s="247"/>
      <c r="AT10834" s="247"/>
    </row>
    <row r="10835">
      <c r="C10835" s="277"/>
      <c r="M10835" s="277"/>
      <c r="O10835" s="247"/>
      <c r="AC10835" s="247"/>
      <c r="AT10835" s="247"/>
    </row>
    <row r="10836">
      <c r="C10836" s="277"/>
      <c r="M10836" s="277"/>
      <c r="O10836" s="247"/>
      <c r="AC10836" s="247"/>
      <c r="AT10836" s="247"/>
    </row>
    <row r="10837">
      <c r="C10837" s="277"/>
      <c r="M10837" s="277"/>
      <c r="O10837" s="247"/>
      <c r="AC10837" s="247"/>
      <c r="AT10837" s="247"/>
    </row>
    <row r="10838">
      <c r="C10838" s="277"/>
      <c r="M10838" s="277"/>
      <c r="O10838" s="247"/>
      <c r="AC10838" s="247"/>
      <c r="AT10838" s="247"/>
    </row>
    <row r="10839">
      <c r="C10839" s="277"/>
      <c r="M10839" s="277"/>
      <c r="O10839" s="247"/>
      <c r="AC10839" s="247"/>
      <c r="AT10839" s="247"/>
    </row>
    <row r="10840">
      <c r="C10840" s="277"/>
      <c r="M10840" s="277"/>
      <c r="O10840" s="247"/>
      <c r="AC10840" s="247"/>
      <c r="AT10840" s="247"/>
    </row>
    <row r="10841">
      <c r="C10841" s="277"/>
      <c r="M10841" s="277"/>
      <c r="O10841" s="247"/>
      <c r="AC10841" s="247"/>
      <c r="AT10841" s="247"/>
    </row>
    <row r="10842">
      <c r="C10842" s="277"/>
      <c r="M10842" s="277"/>
      <c r="O10842" s="247"/>
      <c r="AC10842" s="247"/>
      <c r="AT10842" s="247"/>
    </row>
    <row r="10843">
      <c r="C10843" s="277"/>
      <c r="M10843" s="277"/>
      <c r="O10843" s="247"/>
      <c r="AC10843" s="247"/>
      <c r="AT10843" s="247"/>
    </row>
    <row r="10844">
      <c r="C10844" s="277"/>
      <c r="M10844" s="277"/>
      <c r="O10844" s="247"/>
      <c r="AC10844" s="247"/>
      <c r="AT10844" s="247"/>
    </row>
    <row r="10845">
      <c r="C10845" s="277"/>
      <c r="M10845" s="277"/>
      <c r="O10845" s="247"/>
      <c r="AC10845" s="247"/>
      <c r="AT10845" s="247"/>
    </row>
    <row r="10846">
      <c r="C10846" s="277"/>
      <c r="M10846" s="277"/>
      <c r="O10846" s="247"/>
      <c r="AC10846" s="247"/>
      <c r="AT10846" s="247"/>
    </row>
    <row r="10847">
      <c r="C10847" s="277"/>
      <c r="M10847" s="277"/>
      <c r="O10847" s="247"/>
      <c r="AC10847" s="247"/>
      <c r="AT10847" s="247"/>
    </row>
    <row r="10848">
      <c r="C10848" s="277"/>
      <c r="M10848" s="277"/>
      <c r="O10848" s="247"/>
      <c r="AC10848" s="247"/>
      <c r="AT10848" s="247"/>
    </row>
    <row r="10849">
      <c r="C10849" s="277"/>
      <c r="M10849" s="277"/>
      <c r="O10849" s="247"/>
      <c r="AC10849" s="247"/>
      <c r="AT10849" s="247"/>
    </row>
    <row r="10850">
      <c r="C10850" s="277"/>
      <c r="M10850" s="277"/>
      <c r="O10850" s="247"/>
      <c r="AC10850" s="247"/>
      <c r="AT10850" s="247"/>
    </row>
    <row r="10851">
      <c r="C10851" s="277"/>
      <c r="M10851" s="277"/>
      <c r="O10851" s="247"/>
      <c r="AC10851" s="247"/>
      <c r="AT10851" s="247"/>
    </row>
    <row r="10852">
      <c r="C10852" s="277"/>
      <c r="M10852" s="277"/>
      <c r="O10852" s="247"/>
      <c r="AC10852" s="247"/>
      <c r="AT10852" s="247"/>
    </row>
    <row r="10853">
      <c r="C10853" s="277"/>
      <c r="M10853" s="277"/>
      <c r="O10853" s="247"/>
      <c r="AC10853" s="247"/>
      <c r="AT10853" s="247"/>
    </row>
    <row r="10854">
      <c r="C10854" s="277"/>
      <c r="M10854" s="277"/>
      <c r="O10854" s="247"/>
      <c r="AC10854" s="247"/>
      <c r="AT10854" s="247"/>
    </row>
    <row r="10855">
      <c r="C10855" s="277"/>
      <c r="M10855" s="277"/>
      <c r="O10855" s="247"/>
      <c r="AC10855" s="247"/>
      <c r="AT10855" s="247"/>
    </row>
    <row r="10856">
      <c r="C10856" s="277"/>
      <c r="M10856" s="277"/>
      <c r="O10856" s="247"/>
      <c r="AC10856" s="247"/>
      <c r="AT10856" s="247"/>
    </row>
    <row r="10857">
      <c r="C10857" s="277"/>
      <c r="M10857" s="277"/>
      <c r="O10857" s="247"/>
      <c r="AC10857" s="247"/>
      <c r="AT10857" s="247"/>
    </row>
    <row r="10858">
      <c r="C10858" s="277"/>
      <c r="M10858" s="277"/>
      <c r="O10858" s="247"/>
      <c r="AC10858" s="247"/>
      <c r="AT10858" s="247"/>
    </row>
    <row r="10859">
      <c r="C10859" s="277"/>
      <c r="M10859" s="277"/>
      <c r="O10859" s="247"/>
      <c r="AC10859" s="247"/>
      <c r="AT10859" s="247"/>
    </row>
    <row r="10860">
      <c r="C10860" s="277"/>
      <c r="M10860" s="277"/>
      <c r="O10860" s="247"/>
      <c r="AC10860" s="247"/>
      <c r="AT10860" s="247"/>
    </row>
    <row r="10861">
      <c r="C10861" s="277"/>
      <c r="M10861" s="277"/>
      <c r="O10861" s="247"/>
      <c r="AC10861" s="247"/>
      <c r="AT10861" s="247"/>
    </row>
    <row r="10862">
      <c r="C10862" s="277"/>
      <c r="M10862" s="277"/>
      <c r="O10862" s="247"/>
      <c r="AC10862" s="247"/>
      <c r="AT10862" s="247"/>
    </row>
    <row r="10863">
      <c r="C10863" s="277"/>
      <c r="M10863" s="277"/>
      <c r="O10863" s="247"/>
      <c r="AC10863" s="247"/>
      <c r="AT10863" s="247"/>
    </row>
    <row r="10864">
      <c r="C10864" s="277"/>
      <c r="M10864" s="277"/>
      <c r="O10864" s="247"/>
      <c r="AC10864" s="247"/>
      <c r="AT10864" s="247"/>
    </row>
    <row r="10865">
      <c r="C10865" s="277"/>
      <c r="M10865" s="277"/>
      <c r="O10865" s="247"/>
      <c r="AC10865" s="247"/>
      <c r="AT10865" s="247"/>
    </row>
    <row r="10866">
      <c r="C10866" s="277"/>
      <c r="M10866" s="277"/>
      <c r="O10866" s="247"/>
      <c r="AC10866" s="247"/>
      <c r="AT10866" s="247"/>
    </row>
    <row r="10867">
      <c r="C10867" s="277"/>
      <c r="M10867" s="277"/>
      <c r="O10867" s="247"/>
      <c r="AC10867" s="247"/>
      <c r="AT10867" s="247"/>
    </row>
    <row r="10868">
      <c r="C10868" s="277"/>
      <c r="M10868" s="277"/>
      <c r="O10868" s="247"/>
      <c r="AC10868" s="247"/>
      <c r="AT10868" s="247"/>
    </row>
    <row r="10869">
      <c r="C10869" s="277"/>
      <c r="M10869" s="277"/>
      <c r="O10869" s="247"/>
      <c r="AC10869" s="247"/>
      <c r="AT10869" s="247"/>
    </row>
    <row r="10870">
      <c r="C10870" s="277"/>
      <c r="M10870" s="277"/>
      <c r="O10870" s="247"/>
      <c r="AC10870" s="247"/>
      <c r="AT10870" s="247"/>
    </row>
    <row r="10871">
      <c r="C10871" s="277"/>
      <c r="M10871" s="277"/>
      <c r="O10871" s="247"/>
      <c r="AC10871" s="247"/>
      <c r="AT10871" s="247"/>
    </row>
    <row r="10872">
      <c r="C10872" s="277"/>
      <c r="M10872" s="277"/>
      <c r="O10872" s="247"/>
      <c r="AC10872" s="247"/>
      <c r="AT10872" s="247"/>
    </row>
    <row r="10873">
      <c r="C10873" s="277"/>
      <c r="M10873" s="277"/>
      <c r="O10873" s="247"/>
      <c r="AC10873" s="247"/>
      <c r="AT10873" s="247"/>
    </row>
    <row r="10874">
      <c r="C10874" s="277"/>
      <c r="M10874" s="277"/>
      <c r="O10874" s="247"/>
      <c r="AC10874" s="247"/>
      <c r="AT10874" s="247"/>
    </row>
    <row r="10875">
      <c r="C10875" s="277"/>
      <c r="M10875" s="277"/>
      <c r="O10875" s="247"/>
      <c r="AC10875" s="247"/>
      <c r="AT10875" s="247"/>
    </row>
    <row r="10876">
      <c r="C10876" s="277"/>
      <c r="M10876" s="277"/>
      <c r="O10876" s="247"/>
      <c r="AC10876" s="247"/>
      <c r="AT10876" s="247"/>
    </row>
    <row r="10877">
      <c r="C10877" s="277"/>
      <c r="M10877" s="277"/>
      <c r="O10877" s="247"/>
      <c r="AC10877" s="247"/>
      <c r="AT10877" s="247"/>
    </row>
    <row r="10878">
      <c r="C10878" s="277"/>
      <c r="M10878" s="277"/>
      <c r="O10878" s="247"/>
      <c r="AC10878" s="247"/>
      <c r="AT10878" s="247"/>
    </row>
    <row r="10879">
      <c r="C10879" s="277"/>
      <c r="M10879" s="277"/>
      <c r="O10879" s="247"/>
      <c r="AC10879" s="247"/>
      <c r="AT10879" s="247"/>
    </row>
    <row r="10880">
      <c r="C10880" s="277"/>
      <c r="M10880" s="277"/>
      <c r="O10880" s="247"/>
      <c r="AC10880" s="247"/>
      <c r="AT10880" s="247"/>
    </row>
    <row r="10881">
      <c r="C10881" s="277"/>
      <c r="M10881" s="277"/>
      <c r="O10881" s="247"/>
      <c r="AC10881" s="247"/>
      <c r="AT10881" s="247"/>
    </row>
    <row r="10882">
      <c r="C10882" s="277"/>
      <c r="M10882" s="277"/>
      <c r="O10882" s="247"/>
      <c r="AC10882" s="247"/>
      <c r="AT10882" s="247"/>
    </row>
    <row r="10883">
      <c r="C10883" s="277"/>
      <c r="M10883" s="277"/>
      <c r="O10883" s="247"/>
      <c r="AC10883" s="247"/>
      <c r="AT10883" s="247"/>
    </row>
    <row r="10884">
      <c r="C10884" s="277"/>
      <c r="M10884" s="277"/>
      <c r="O10884" s="247"/>
      <c r="AC10884" s="247"/>
      <c r="AT10884" s="247"/>
    </row>
    <row r="10885">
      <c r="C10885" s="277"/>
      <c r="M10885" s="277"/>
      <c r="O10885" s="247"/>
      <c r="AC10885" s="247"/>
      <c r="AT10885" s="247"/>
    </row>
    <row r="10886">
      <c r="C10886" s="277"/>
      <c r="M10886" s="277"/>
      <c r="O10886" s="247"/>
      <c r="AC10886" s="247"/>
      <c r="AT10886" s="247"/>
    </row>
    <row r="10887">
      <c r="C10887" s="277"/>
      <c r="M10887" s="277"/>
      <c r="O10887" s="247"/>
      <c r="AC10887" s="247"/>
      <c r="AT10887" s="247"/>
    </row>
    <row r="10888">
      <c r="C10888" s="277"/>
      <c r="M10888" s="277"/>
      <c r="O10888" s="247"/>
      <c r="AC10888" s="247"/>
      <c r="AT10888" s="247"/>
    </row>
    <row r="10889">
      <c r="C10889" s="277"/>
      <c r="M10889" s="277"/>
      <c r="O10889" s="247"/>
      <c r="AC10889" s="247"/>
      <c r="AT10889" s="247"/>
    </row>
    <row r="10890">
      <c r="C10890" s="277"/>
      <c r="M10890" s="277"/>
      <c r="O10890" s="247"/>
      <c r="AC10890" s="247"/>
      <c r="AT10890" s="247"/>
    </row>
    <row r="10891">
      <c r="C10891" s="277"/>
      <c r="M10891" s="277"/>
      <c r="O10891" s="247"/>
      <c r="AC10891" s="247"/>
      <c r="AT10891" s="247"/>
    </row>
    <row r="10892">
      <c r="C10892" s="277"/>
      <c r="M10892" s="277"/>
      <c r="O10892" s="247"/>
      <c r="AC10892" s="247"/>
      <c r="AT10892" s="247"/>
    </row>
    <row r="10893">
      <c r="C10893" s="277"/>
      <c r="M10893" s="277"/>
      <c r="O10893" s="247"/>
      <c r="AC10893" s="247"/>
      <c r="AT10893" s="247"/>
    </row>
    <row r="10894">
      <c r="C10894" s="277"/>
      <c r="M10894" s="277"/>
      <c r="O10894" s="247"/>
      <c r="AC10894" s="247"/>
      <c r="AT10894" s="247"/>
    </row>
    <row r="10895">
      <c r="C10895" s="277"/>
      <c r="M10895" s="277"/>
      <c r="O10895" s="247"/>
      <c r="AC10895" s="247"/>
      <c r="AT10895" s="247"/>
    </row>
    <row r="10896">
      <c r="C10896" s="277"/>
      <c r="M10896" s="277"/>
      <c r="O10896" s="247"/>
      <c r="AC10896" s="247"/>
      <c r="AT10896" s="247"/>
    </row>
    <row r="10897">
      <c r="C10897" s="277"/>
      <c r="M10897" s="277"/>
      <c r="O10897" s="247"/>
      <c r="AC10897" s="247"/>
      <c r="AT10897" s="247"/>
    </row>
    <row r="10898">
      <c r="C10898" s="277"/>
      <c r="M10898" s="277"/>
      <c r="O10898" s="247"/>
      <c r="AC10898" s="247"/>
      <c r="AT10898" s="247"/>
    </row>
    <row r="10899">
      <c r="C10899" s="277"/>
      <c r="M10899" s="277"/>
      <c r="O10899" s="247"/>
      <c r="AC10899" s="247"/>
      <c r="AT10899" s="247"/>
    </row>
    <row r="10900">
      <c r="C10900" s="277"/>
      <c r="M10900" s="277"/>
      <c r="O10900" s="247"/>
      <c r="AC10900" s="247"/>
      <c r="AT10900" s="247"/>
    </row>
    <row r="10901">
      <c r="C10901" s="277"/>
      <c r="M10901" s="277"/>
      <c r="O10901" s="247"/>
      <c r="AC10901" s="247"/>
      <c r="AT10901" s="247"/>
    </row>
    <row r="10902">
      <c r="C10902" s="277"/>
      <c r="M10902" s="277"/>
      <c r="O10902" s="247"/>
      <c r="AC10902" s="247"/>
      <c r="AT10902" s="247"/>
    </row>
    <row r="10903">
      <c r="C10903" s="277"/>
      <c r="M10903" s="277"/>
      <c r="O10903" s="247"/>
      <c r="AC10903" s="247"/>
      <c r="AT10903" s="247"/>
    </row>
    <row r="10904">
      <c r="C10904" s="277"/>
      <c r="M10904" s="277"/>
      <c r="O10904" s="247"/>
      <c r="AC10904" s="247"/>
      <c r="AT10904" s="247"/>
    </row>
    <row r="10905">
      <c r="C10905" s="277"/>
      <c r="M10905" s="277"/>
      <c r="O10905" s="247"/>
      <c r="AC10905" s="247"/>
      <c r="AT10905" s="247"/>
    </row>
    <row r="10906">
      <c r="C10906" s="277"/>
      <c r="M10906" s="277"/>
      <c r="O10906" s="247"/>
      <c r="AC10906" s="247"/>
      <c r="AT10906" s="247"/>
    </row>
    <row r="10907">
      <c r="C10907" s="277"/>
      <c r="M10907" s="277"/>
      <c r="O10907" s="247"/>
      <c r="AC10907" s="247"/>
      <c r="AT10907" s="247"/>
    </row>
    <row r="10908">
      <c r="C10908" s="277"/>
      <c r="M10908" s="277"/>
      <c r="O10908" s="247"/>
      <c r="AC10908" s="247"/>
      <c r="AT10908" s="247"/>
    </row>
    <row r="10909">
      <c r="C10909" s="277"/>
      <c r="M10909" s="277"/>
      <c r="O10909" s="247"/>
      <c r="AC10909" s="247"/>
      <c r="AT10909" s="247"/>
    </row>
    <row r="10910">
      <c r="C10910" s="277"/>
      <c r="M10910" s="277"/>
      <c r="O10910" s="247"/>
      <c r="AC10910" s="247"/>
      <c r="AT10910" s="247"/>
    </row>
    <row r="10911">
      <c r="C10911" s="277"/>
      <c r="M10911" s="277"/>
      <c r="O10911" s="247"/>
      <c r="AC10911" s="247"/>
      <c r="AT10911" s="247"/>
    </row>
    <row r="10912">
      <c r="C10912" s="277"/>
      <c r="M10912" s="277"/>
      <c r="O10912" s="247"/>
      <c r="AC10912" s="247"/>
      <c r="AT10912" s="247"/>
    </row>
    <row r="10913">
      <c r="C10913" s="277"/>
      <c r="M10913" s="277"/>
      <c r="O10913" s="247"/>
      <c r="AC10913" s="247"/>
      <c r="AT10913" s="247"/>
    </row>
    <row r="10914">
      <c r="C10914" s="277"/>
      <c r="M10914" s="277"/>
      <c r="O10914" s="247"/>
      <c r="AC10914" s="247"/>
      <c r="AT10914" s="247"/>
    </row>
    <row r="10915">
      <c r="C10915" s="277"/>
      <c r="M10915" s="277"/>
      <c r="O10915" s="247"/>
      <c r="AC10915" s="247"/>
      <c r="AT10915" s="247"/>
    </row>
    <row r="10916">
      <c r="C10916" s="277"/>
      <c r="M10916" s="277"/>
      <c r="O10916" s="247"/>
      <c r="AC10916" s="247"/>
      <c r="AT10916" s="247"/>
    </row>
    <row r="10917">
      <c r="C10917" s="277"/>
      <c r="M10917" s="277"/>
      <c r="O10917" s="247"/>
      <c r="AC10917" s="247"/>
      <c r="AT10917" s="247"/>
    </row>
    <row r="10918">
      <c r="C10918" s="277"/>
      <c r="M10918" s="277"/>
      <c r="O10918" s="247"/>
      <c r="AC10918" s="247"/>
      <c r="AT10918" s="247"/>
    </row>
    <row r="10919">
      <c r="C10919" s="277"/>
      <c r="M10919" s="277"/>
      <c r="O10919" s="247"/>
      <c r="AC10919" s="247"/>
      <c r="AT10919" s="247"/>
    </row>
    <row r="10920">
      <c r="C10920" s="277"/>
      <c r="M10920" s="277"/>
      <c r="O10920" s="247"/>
      <c r="AC10920" s="247"/>
      <c r="AT10920" s="247"/>
    </row>
    <row r="10921">
      <c r="C10921" s="277"/>
      <c r="M10921" s="277"/>
      <c r="O10921" s="247"/>
      <c r="AC10921" s="247"/>
      <c r="AT10921" s="247"/>
    </row>
    <row r="10922">
      <c r="C10922" s="277"/>
      <c r="M10922" s="277"/>
      <c r="O10922" s="247"/>
      <c r="AC10922" s="247"/>
      <c r="AT10922" s="247"/>
    </row>
    <row r="10923">
      <c r="C10923" s="277"/>
      <c r="M10923" s="277"/>
      <c r="O10923" s="247"/>
      <c r="AC10923" s="247"/>
      <c r="AT10923" s="247"/>
    </row>
    <row r="10924">
      <c r="C10924" s="277"/>
      <c r="M10924" s="277"/>
      <c r="O10924" s="247"/>
      <c r="AC10924" s="247"/>
      <c r="AT10924" s="247"/>
    </row>
    <row r="10925">
      <c r="C10925" s="277"/>
      <c r="M10925" s="277"/>
      <c r="O10925" s="247"/>
      <c r="AC10925" s="247"/>
      <c r="AT10925" s="247"/>
    </row>
    <row r="10926">
      <c r="C10926" s="277"/>
      <c r="M10926" s="277"/>
      <c r="O10926" s="247"/>
      <c r="AC10926" s="247"/>
      <c r="AT10926" s="247"/>
    </row>
    <row r="10927">
      <c r="C10927" s="277"/>
      <c r="M10927" s="277"/>
      <c r="O10927" s="247"/>
      <c r="AC10927" s="247"/>
      <c r="AT10927" s="247"/>
    </row>
    <row r="10928">
      <c r="C10928" s="277"/>
      <c r="M10928" s="277"/>
      <c r="O10928" s="247"/>
      <c r="AC10928" s="247"/>
      <c r="AT10928" s="247"/>
    </row>
    <row r="10929">
      <c r="C10929" s="277"/>
      <c r="M10929" s="277"/>
      <c r="O10929" s="247"/>
      <c r="AC10929" s="247"/>
      <c r="AT10929" s="247"/>
    </row>
    <row r="10930">
      <c r="C10930" s="277"/>
      <c r="M10930" s="277"/>
      <c r="O10930" s="247"/>
      <c r="AC10930" s="247"/>
      <c r="AT10930" s="247"/>
    </row>
    <row r="10931">
      <c r="C10931" s="277"/>
      <c r="M10931" s="277"/>
      <c r="O10931" s="247"/>
      <c r="AC10931" s="247"/>
      <c r="AT10931" s="247"/>
    </row>
    <row r="10932">
      <c r="C10932" s="277"/>
      <c r="M10932" s="277"/>
      <c r="O10932" s="247"/>
      <c r="AC10932" s="247"/>
      <c r="AT10932" s="247"/>
    </row>
    <row r="10933">
      <c r="C10933" s="277"/>
      <c r="M10933" s="277"/>
      <c r="O10933" s="247"/>
      <c r="AC10933" s="247"/>
      <c r="AT10933" s="247"/>
    </row>
    <row r="10934">
      <c r="C10934" s="277"/>
      <c r="M10934" s="277"/>
      <c r="O10934" s="247"/>
      <c r="AC10934" s="247"/>
      <c r="AT10934" s="247"/>
    </row>
    <row r="10935">
      <c r="C10935" s="277"/>
      <c r="M10935" s="277"/>
      <c r="O10935" s="247"/>
      <c r="AC10935" s="247"/>
      <c r="AT10935" s="247"/>
    </row>
    <row r="10936">
      <c r="C10936" s="277"/>
      <c r="M10936" s="277"/>
      <c r="O10936" s="247"/>
      <c r="AC10936" s="247"/>
      <c r="AT10936" s="247"/>
    </row>
    <row r="10937">
      <c r="C10937" s="277"/>
      <c r="M10937" s="277"/>
      <c r="O10937" s="247"/>
      <c r="AC10937" s="247"/>
      <c r="AT10937" s="247"/>
    </row>
    <row r="10938">
      <c r="C10938" s="277"/>
      <c r="M10938" s="277"/>
      <c r="O10938" s="247"/>
      <c r="AC10938" s="247"/>
      <c r="AT10938" s="247"/>
    </row>
    <row r="10939">
      <c r="C10939" s="277"/>
      <c r="M10939" s="277"/>
      <c r="O10939" s="247"/>
      <c r="AC10939" s="247"/>
      <c r="AT10939" s="247"/>
    </row>
    <row r="10940">
      <c r="C10940" s="277"/>
      <c r="M10940" s="277"/>
      <c r="O10940" s="247"/>
      <c r="AC10940" s="247"/>
      <c r="AT10940" s="247"/>
    </row>
    <row r="10941">
      <c r="C10941" s="277"/>
      <c r="M10941" s="277"/>
      <c r="O10941" s="247"/>
      <c r="AC10941" s="247"/>
      <c r="AT10941" s="247"/>
    </row>
    <row r="10942">
      <c r="C10942" s="277"/>
      <c r="M10942" s="277"/>
      <c r="O10942" s="247"/>
      <c r="AC10942" s="247"/>
      <c r="AT10942" s="247"/>
    </row>
    <row r="10943">
      <c r="C10943" s="277"/>
      <c r="M10943" s="277"/>
      <c r="O10943" s="247"/>
      <c r="AC10943" s="247"/>
      <c r="AT10943" s="247"/>
    </row>
    <row r="10944">
      <c r="C10944" s="277"/>
      <c r="M10944" s="277"/>
      <c r="O10944" s="247"/>
      <c r="AC10944" s="247"/>
      <c r="AT10944" s="247"/>
    </row>
    <row r="10945">
      <c r="C10945" s="277"/>
      <c r="M10945" s="277"/>
      <c r="O10945" s="247"/>
      <c r="AC10945" s="247"/>
      <c r="AT10945" s="247"/>
    </row>
    <row r="10946">
      <c r="C10946" s="277"/>
      <c r="M10946" s="277"/>
      <c r="O10946" s="247"/>
      <c r="AC10946" s="247"/>
      <c r="AT10946" s="247"/>
    </row>
    <row r="10947">
      <c r="C10947" s="277"/>
      <c r="M10947" s="277"/>
      <c r="O10947" s="247"/>
      <c r="AC10947" s="247"/>
      <c r="AT10947" s="247"/>
    </row>
    <row r="10948">
      <c r="C10948" s="277"/>
      <c r="M10948" s="277"/>
      <c r="O10948" s="247"/>
      <c r="AC10948" s="247"/>
      <c r="AT10948" s="247"/>
    </row>
    <row r="10949">
      <c r="C10949" s="277"/>
      <c r="M10949" s="277"/>
      <c r="O10949" s="247"/>
      <c r="AC10949" s="247"/>
      <c r="AT10949" s="247"/>
    </row>
    <row r="10950">
      <c r="C10950" s="277"/>
      <c r="M10950" s="277"/>
      <c r="O10950" s="247"/>
      <c r="AC10950" s="247"/>
      <c r="AT10950" s="247"/>
    </row>
    <row r="10951">
      <c r="C10951" s="277"/>
      <c r="M10951" s="277"/>
      <c r="O10951" s="247"/>
      <c r="AC10951" s="247"/>
      <c r="AT10951" s="247"/>
    </row>
    <row r="10952">
      <c r="C10952" s="277"/>
      <c r="M10952" s="277"/>
      <c r="O10952" s="247"/>
      <c r="AC10952" s="247"/>
      <c r="AT10952" s="247"/>
    </row>
    <row r="10953">
      <c r="C10953" s="277"/>
      <c r="M10953" s="277"/>
      <c r="O10953" s="247"/>
      <c r="AC10953" s="247"/>
      <c r="AT10953" s="247"/>
    </row>
    <row r="10954">
      <c r="C10954" s="277"/>
      <c r="M10954" s="277"/>
      <c r="O10954" s="247"/>
      <c r="AC10954" s="247"/>
      <c r="AT10954" s="247"/>
    </row>
    <row r="10955">
      <c r="C10955" s="277"/>
      <c r="M10955" s="277"/>
      <c r="O10955" s="247"/>
      <c r="AC10955" s="247"/>
      <c r="AT10955" s="247"/>
    </row>
    <row r="10956">
      <c r="C10956" s="277"/>
      <c r="M10956" s="277"/>
      <c r="O10956" s="247"/>
      <c r="AC10956" s="247"/>
      <c r="AT10956" s="247"/>
    </row>
    <row r="10957">
      <c r="C10957" s="277"/>
      <c r="M10957" s="277"/>
      <c r="O10957" s="247"/>
      <c r="AC10957" s="247"/>
      <c r="AT10957" s="247"/>
    </row>
    <row r="10958">
      <c r="C10958" s="277"/>
      <c r="M10958" s="277"/>
      <c r="O10958" s="247"/>
      <c r="AC10958" s="247"/>
      <c r="AT10958" s="247"/>
    </row>
    <row r="10959">
      <c r="C10959" s="277"/>
      <c r="M10959" s="277"/>
      <c r="O10959" s="247"/>
      <c r="AC10959" s="247"/>
      <c r="AT10959" s="247"/>
    </row>
    <row r="10960">
      <c r="C10960" s="277"/>
      <c r="M10960" s="277"/>
      <c r="O10960" s="247"/>
      <c r="AC10960" s="247"/>
      <c r="AT10960" s="247"/>
    </row>
    <row r="10961">
      <c r="C10961" s="277"/>
      <c r="M10961" s="277"/>
      <c r="O10961" s="247"/>
      <c r="AC10961" s="247"/>
      <c r="AT10961" s="247"/>
    </row>
    <row r="10962">
      <c r="C10962" s="277"/>
      <c r="M10962" s="277"/>
      <c r="O10962" s="247"/>
      <c r="AC10962" s="247"/>
      <c r="AT10962" s="247"/>
    </row>
    <row r="10963">
      <c r="C10963" s="277"/>
      <c r="M10963" s="277"/>
      <c r="O10963" s="247"/>
      <c r="AC10963" s="247"/>
      <c r="AT10963" s="247"/>
    </row>
    <row r="10964">
      <c r="C10964" s="277"/>
      <c r="M10964" s="277"/>
      <c r="O10964" s="247"/>
      <c r="AC10964" s="247"/>
      <c r="AT10964" s="247"/>
    </row>
    <row r="10965">
      <c r="C10965" s="277"/>
      <c r="M10965" s="277"/>
      <c r="O10965" s="247"/>
      <c r="AC10965" s="247"/>
      <c r="AT10965" s="247"/>
    </row>
    <row r="10966">
      <c r="C10966" s="277"/>
      <c r="M10966" s="277"/>
      <c r="O10966" s="247"/>
      <c r="AC10966" s="247"/>
      <c r="AT10966" s="247"/>
    </row>
    <row r="10967">
      <c r="C10967" s="277"/>
      <c r="M10967" s="277"/>
      <c r="O10967" s="247"/>
      <c r="AC10967" s="247"/>
      <c r="AT10967" s="247"/>
    </row>
    <row r="10968">
      <c r="C10968" s="277"/>
      <c r="M10968" s="277"/>
      <c r="O10968" s="247"/>
      <c r="AC10968" s="247"/>
      <c r="AT10968" s="247"/>
    </row>
    <row r="10969">
      <c r="C10969" s="277"/>
      <c r="M10969" s="277"/>
      <c r="O10969" s="247"/>
      <c r="AC10969" s="247"/>
      <c r="AT10969" s="247"/>
    </row>
    <row r="10970">
      <c r="C10970" s="277"/>
      <c r="M10970" s="277"/>
      <c r="O10970" s="247"/>
      <c r="AC10970" s="247"/>
      <c r="AT10970" s="247"/>
    </row>
    <row r="10971">
      <c r="C10971" s="277"/>
      <c r="M10971" s="277"/>
      <c r="O10971" s="247"/>
      <c r="AC10971" s="247"/>
      <c r="AT10971" s="247"/>
    </row>
    <row r="10972">
      <c r="C10972" s="277"/>
      <c r="M10972" s="277"/>
      <c r="O10972" s="247"/>
      <c r="AC10972" s="247"/>
      <c r="AT10972" s="247"/>
    </row>
    <row r="10973">
      <c r="C10973" s="277"/>
      <c r="M10973" s="277"/>
      <c r="O10973" s="247"/>
      <c r="AC10973" s="247"/>
      <c r="AT10973" s="247"/>
    </row>
    <row r="10974">
      <c r="C10974" s="277"/>
      <c r="M10974" s="277"/>
      <c r="O10974" s="247"/>
      <c r="AC10974" s="247"/>
      <c r="AT10974" s="247"/>
    </row>
    <row r="10975">
      <c r="C10975" s="277"/>
      <c r="M10975" s="277"/>
      <c r="O10975" s="247"/>
      <c r="AC10975" s="247"/>
      <c r="AT10975" s="247"/>
    </row>
    <row r="10976">
      <c r="C10976" s="277"/>
      <c r="M10976" s="277"/>
      <c r="O10976" s="247"/>
      <c r="AC10976" s="247"/>
      <c r="AT10976" s="247"/>
    </row>
    <row r="10977">
      <c r="C10977" s="277"/>
      <c r="M10977" s="277"/>
      <c r="O10977" s="247"/>
      <c r="AC10977" s="247"/>
      <c r="AT10977" s="247"/>
    </row>
    <row r="10978">
      <c r="C10978" s="277"/>
      <c r="M10978" s="277"/>
      <c r="O10978" s="247"/>
      <c r="AC10978" s="247"/>
      <c r="AT10978" s="247"/>
    </row>
    <row r="10979">
      <c r="C10979" s="277"/>
      <c r="M10979" s="277"/>
      <c r="O10979" s="247"/>
      <c r="AC10979" s="247"/>
      <c r="AT10979" s="247"/>
    </row>
    <row r="10980">
      <c r="C10980" s="277"/>
      <c r="M10980" s="277"/>
      <c r="O10980" s="247"/>
      <c r="AC10980" s="247"/>
      <c r="AT10980" s="247"/>
    </row>
    <row r="10981">
      <c r="C10981" s="277"/>
      <c r="M10981" s="277"/>
      <c r="O10981" s="247"/>
      <c r="AC10981" s="247"/>
      <c r="AT10981" s="247"/>
    </row>
    <row r="10982">
      <c r="C10982" s="277"/>
      <c r="M10982" s="277"/>
      <c r="O10982" s="247"/>
      <c r="AC10982" s="247"/>
      <c r="AT10982" s="247"/>
    </row>
    <row r="10983">
      <c r="C10983" s="277"/>
      <c r="M10983" s="277"/>
      <c r="O10983" s="247"/>
      <c r="AC10983" s="247"/>
      <c r="AT10983" s="247"/>
    </row>
    <row r="10984">
      <c r="C10984" s="277"/>
      <c r="M10984" s="277"/>
      <c r="O10984" s="247"/>
      <c r="AC10984" s="247"/>
      <c r="AT10984" s="247"/>
    </row>
    <row r="10985">
      <c r="C10985" s="277"/>
      <c r="M10985" s="277"/>
      <c r="O10985" s="247"/>
      <c r="AC10985" s="247"/>
      <c r="AT10985" s="247"/>
    </row>
    <row r="10986">
      <c r="C10986" s="277"/>
      <c r="M10986" s="277"/>
      <c r="O10986" s="247"/>
      <c r="AC10986" s="247"/>
      <c r="AT10986" s="247"/>
    </row>
    <row r="10987">
      <c r="C10987" s="277"/>
      <c r="M10987" s="277"/>
      <c r="O10987" s="247"/>
      <c r="AC10987" s="247"/>
      <c r="AT10987" s="247"/>
    </row>
    <row r="10988">
      <c r="C10988" s="277"/>
      <c r="M10988" s="277"/>
      <c r="O10988" s="247"/>
      <c r="AC10988" s="247"/>
      <c r="AT10988" s="247"/>
    </row>
    <row r="10989">
      <c r="C10989" s="277"/>
      <c r="M10989" s="277"/>
      <c r="O10989" s="247"/>
      <c r="AC10989" s="247"/>
      <c r="AT10989" s="247"/>
    </row>
    <row r="10990">
      <c r="C10990" s="277"/>
      <c r="M10990" s="277"/>
      <c r="O10990" s="247"/>
      <c r="AC10990" s="247"/>
      <c r="AT10990" s="247"/>
    </row>
    <row r="10991">
      <c r="C10991" s="277"/>
      <c r="M10991" s="277"/>
      <c r="O10991" s="247"/>
      <c r="AC10991" s="247"/>
      <c r="AT10991" s="247"/>
    </row>
    <row r="10992">
      <c r="C10992" s="277"/>
      <c r="M10992" s="277"/>
      <c r="O10992" s="247"/>
      <c r="AC10992" s="247"/>
      <c r="AT10992" s="247"/>
    </row>
    <row r="10993">
      <c r="C10993" s="277"/>
      <c r="M10993" s="277"/>
      <c r="O10993" s="247"/>
      <c r="AC10993" s="247"/>
      <c r="AT10993" s="247"/>
    </row>
    <row r="10994">
      <c r="C10994" s="277"/>
      <c r="M10994" s="277"/>
      <c r="O10994" s="247"/>
      <c r="AC10994" s="247"/>
      <c r="AT10994" s="247"/>
    </row>
    <row r="10995">
      <c r="C10995" s="277"/>
      <c r="M10995" s="277"/>
      <c r="O10995" s="247"/>
      <c r="AC10995" s="247"/>
      <c r="AT10995" s="247"/>
    </row>
    <row r="10996">
      <c r="C10996" s="277"/>
      <c r="M10996" s="277"/>
      <c r="O10996" s="247"/>
      <c r="AC10996" s="247"/>
      <c r="AT10996" s="247"/>
    </row>
    <row r="10997">
      <c r="C10997" s="277"/>
      <c r="M10997" s="277"/>
      <c r="O10997" s="247"/>
      <c r="AC10997" s="247"/>
      <c r="AT10997" s="247"/>
    </row>
    <row r="10998">
      <c r="C10998" s="277"/>
      <c r="M10998" s="277"/>
      <c r="O10998" s="247"/>
      <c r="AC10998" s="247"/>
      <c r="AT10998" s="247"/>
    </row>
    <row r="10999">
      <c r="C10999" s="277"/>
      <c r="M10999" s="277"/>
      <c r="O10999" s="247"/>
      <c r="AC10999" s="247"/>
      <c r="AT10999" s="247"/>
    </row>
    <row r="11000">
      <c r="C11000" s="277"/>
      <c r="M11000" s="277"/>
      <c r="O11000" s="247"/>
      <c r="AC11000" s="247"/>
      <c r="AT11000" s="247"/>
    </row>
    <row r="11001">
      <c r="C11001" s="277"/>
      <c r="M11001" s="277"/>
      <c r="O11001" s="247"/>
      <c r="AC11001" s="247"/>
      <c r="AT11001" s="247"/>
    </row>
    <row r="11002">
      <c r="C11002" s="277"/>
      <c r="M11002" s="277"/>
      <c r="O11002" s="247"/>
      <c r="AC11002" s="247"/>
      <c r="AT11002" s="247"/>
    </row>
    <row r="11003">
      <c r="C11003" s="277"/>
      <c r="M11003" s="277"/>
      <c r="O11003" s="247"/>
      <c r="AC11003" s="247"/>
      <c r="AT11003" s="247"/>
    </row>
    <row r="11004">
      <c r="C11004" s="277"/>
      <c r="M11004" s="277"/>
      <c r="O11004" s="247"/>
      <c r="AC11004" s="247"/>
      <c r="AT11004" s="247"/>
    </row>
    <row r="11005">
      <c r="C11005" s="277"/>
      <c r="M11005" s="277"/>
      <c r="O11005" s="247"/>
      <c r="AC11005" s="247"/>
      <c r="AT11005" s="247"/>
    </row>
    <row r="11006">
      <c r="C11006" s="277"/>
      <c r="M11006" s="277"/>
      <c r="O11006" s="247"/>
      <c r="AC11006" s="247"/>
      <c r="AT11006" s="247"/>
    </row>
    <row r="11007">
      <c r="C11007" s="277"/>
      <c r="M11007" s="277"/>
      <c r="O11007" s="247"/>
      <c r="AC11007" s="247"/>
      <c r="AT11007" s="247"/>
    </row>
    <row r="11008">
      <c r="C11008" s="277"/>
      <c r="M11008" s="277"/>
      <c r="O11008" s="247"/>
      <c r="AC11008" s="247"/>
      <c r="AT11008" s="247"/>
    </row>
    <row r="11009">
      <c r="C11009" s="277"/>
      <c r="M11009" s="277"/>
      <c r="O11009" s="247"/>
      <c r="AC11009" s="247"/>
      <c r="AT11009" s="247"/>
    </row>
    <row r="11010">
      <c r="C11010" s="277"/>
      <c r="M11010" s="277"/>
      <c r="O11010" s="247"/>
      <c r="AC11010" s="247"/>
      <c r="AT11010" s="247"/>
    </row>
    <row r="11011">
      <c r="C11011" s="277"/>
      <c r="M11011" s="277"/>
      <c r="O11011" s="247"/>
      <c r="AC11011" s="247"/>
      <c r="AT11011" s="247"/>
    </row>
    <row r="11012">
      <c r="C11012" s="277"/>
      <c r="M11012" s="277"/>
      <c r="O11012" s="247"/>
      <c r="AC11012" s="247"/>
      <c r="AT11012" s="247"/>
    </row>
    <row r="11013">
      <c r="C11013" s="277"/>
      <c r="M11013" s="277"/>
      <c r="O11013" s="247"/>
      <c r="AC11013" s="247"/>
      <c r="AT11013" s="247"/>
    </row>
    <row r="11014">
      <c r="C11014" s="277"/>
      <c r="M11014" s="277"/>
      <c r="O11014" s="247"/>
      <c r="AC11014" s="247"/>
      <c r="AT11014" s="247"/>
    </row>
    <row r="11015">
      <c r="C11015" s="277"/>
      <c r="M11015" s="277"/>
      <c r="O11015" s="247"/>
      <c r="AC11015" s="247"/>
      <c r="AT11015" s="247"/>
    </row>
    <row r="11016">
      <c r="C11016" s="277"/>
      <c r="M11016" s="277"/>
      <c r="O11016" s="247"/>
      <c r="AC11016" s="247"/>
      <c r="AT11016" s="247"/>
    </row>
    <row r="11017">
      <c r="C11017" s="277"/>
      <c r="M11017" s="277"/>
      <c r="O11017" s="247"/>
      <c r="AC11017" s="247"/>
      <c r="AT11017" s="247"/>
    </row>
    <row r="11018">
      <c r="C11018" s="277"/>
      <c r="M11018" s="277"/>
      <c r="O11018" s="247"/>
      <c r="AC11018" s="247"/>
      <c r="AT11018" s="247"/>
    </row>
    <row r="11019">
      <c r="C11019" s="277"/>
      <c r="M11019" s="277"/>
      <c r="O11019" s="247"/>
      <c r="AC11019" s="247"/>
      <c r="AT11019" s="247"/>
    </row>
    <row r="11020">
      <c r="C11020" s="277"/>
      <c r="M11020" s="277"/>
      <c r="O11020" s="247"/>
      <c r="AC11020" s="247"/>
      <c r="AT11020" s="247"/>
    </row>
    <row r="11021">
      <c r="C11021" s="277"/>
      <c r="M11021" s="277"/>
      <c r="O11021" s="247"/>
      <c r="AC11021" s="247"/>
      <c r="AT11021" s="247"/>
    </row>
    <row r="11022">
      <c r="C11022" s="277"/>
      <c r="M11022" s="277"/>
      <c r="O11022" s="247"/>
      <c r="AC11022" s="247"/>
      <c r="AT11022" s="247"/>
    </row>
    <row r="11023">
      <c r="C11023" s="277"/>
      <c r="M11023" s="277"/>
      <c r="O11023" s="247"/>
      <c r="AC11023" s="247"/>
      <c r="AT11023" s="247"/>
    </row>
    <row r="11024">
      <c r="C11024" s="277"/>
      <c r="M11024" s="277"/>
      <c r="O11024" s="247"/>
      <c r="AC11024" s="247"/>
      <c r="AT11024" s="247"/>
    </row>
    <row r="11025">
      <c r="C11025" s="277"/>
      <c r="M11025" s="277"/>
      <c r="O11025" s="247"/>
      <c r="AC11025" s="247"/>
      <c r="AT11025" s="247"/>
    </row>
    <row r="11026">
      <c r="C11026" s="277"/>
      <c r="M11026" s="277"/>
      <c r="O11026" s="247"/>
      <c r="AC11026" s="247"/>
      <c r="AT11026" s="247"/>
    </row>
    <row r="11027">
      <c r="C11027" s="277"/>
      <c r="M11027" s="277"/>
      <c r="O11027" s="247"/>
      <c r="AC11027" s="247"/>
      <c r="AT11027" s="247"/>
    </row>
    <row r="11028">
      <c r="C11028" s="277"/>
      <c r="M11028" s="277"/>
      <c r="O11028" s="247"/>
      <c r="AC11028" s="247"/>
      <c r="AT11028" s="247"/>
    </row>
    <row r="11029">
      <c r="C11029" s="277"/>
      <c r="M11029" s="277"/>
      <c r="O11029" s="247"/>
      <c r="AC11029" s="247"/>
      <c r="AT11029" s="247"/>
    </row>
    <row r="11030">
      <c r="C11030" s="277"/>
      <c r="M11030" s="277"/>
      <c r="O11030" s="247"/>
      <c r="AC11030" s="247"/>
      <c r="AT11030" s="247"/>
    </row>
    <row r="11031">
      <c r="C11031" s="277"/>
      <c r="M11031" s="277"/>
      <c r="O11031" s="247"/>
      <c r="AC11031" s="247"/>
      <c r="AT11031" s="247"/>
    </row>
    <row r="11032">
      <c r="C11032" s="277"/>
      <c r="M11032" s="277"/>
      <c r="O11032" s="247"/>
      <c r="AC11032" s="247"/>
      <c r="AT11032" s="247"/>
    </row>
    <row r="11033">
      <c r="C11033" s="277"/>
      <c r="M11033" s="277"/>
      <c r="O11033" s="247"/>
      <c r="AC11033" s="247"/>
      <c r="AT11033" s="247"/>
    </row>
    <row r="11034">
      <c r="C11034" s="277"/>
      <c r="M11034" s="277"/>
      <c r="O11034" s="247"/>
      <c r="AC11034" s="247"/>
      <c r="AT11034" s="247"/>
    </row>
    <row r="11035">
      <c r="C11035" s="277"/>
      <c r="M11035" s="277"/>
      <c r="O11035" s="247"/>
      <c r="AC11035" s="247"/>
      <c r="AT11035" s="247"/>
    </row>
    <row r="11036">
      <c r="C11036" s="277"/>
      <c r="M11036" s="277"/>
      <c r="O11036" s="247"/>
      <c r="AC11036" s="247"/>
      <c r="AT11036" s="247"/>
    </row>
    <row r="11037">
      <c r="C11037" s="277"/>
      <c r="M11037" s="277"/>
      <c r="O11037" s="247"/>
      <c r="AC11037" s="247"/>
      <c r="AT11037" s="247"/>
    </row>
    <row r="11038">
      <c r="C11038" s="277"/>
      <c r="M11038" s="277"/>
      <c r="O11038" s="247"/>
      <c r="AC11038" s="247"/>
      <c r="AT11038" s="247"/>
    </row>
    <row r="11039">
      <c r="C11039" s="277"/>
      <c r="M11039" s="277"/>
      <c r="O11039" s="247"/>
      <c r="AC11039" s="247"/>
      <c r="AT11039" s="247"/>
    </row>
    <row r="11040">
      <c r="C11040" s="277"/>
      <c r="M11040" s="277"/>
      <c r="O11040" s="247"/>
      <c r="AC11040" s="247"/>
      <c r="AT11040" s="247"/>
    </row>
    <row r="11041">
      <c r="C11041" s="277"/>
      <c r="M11041" s="277"/>
      <c r="O11041" s="247"/>
      <c r="AC11041" s="247"/>
      <c r="AT11041" s="247"/>
    </row>
    <row r="11042">
      <c r="C11042" s="277"/>
      <c r="M11042" s="277"/>
      <c r="O11042" s="247"/>
      <c r="AC11042" s="247"/>
      <c r="AT11042" s="247"/>
    </row>
    <row r="11043">
      <c r="C11043" s="277"/>
      <c r="M11043" s="277"/>
      <c r="O11043" s="247"/>
      <c r="AC11043" s="247"/>
      <c r="AT11043" s="247"/>
    </row>
    <row r="11044">
      <c r="C11044" s="277"/>
      <c r="M11044" s="277"/>
      <c r="O11044" s="247"/>
      <c r="AC11044" s="247"/>
      <c r="AT11044" s="247"/>
    </row>
    <row r="11045">
      <c r="C11045" s="277"/>
      <c r="M11045" s="277"/>
      <c r="O11045" s="247"/>
      <c r="AC11045" s="247"/>
      <c r="AT11045" s="247"/>
    </row>
    <row r="11046">
      <c r="C11046" s="277"/>
      <c r="M11046" s="277"/>
      <c r="O11046" s="247"/>
      <c r="AC11046" s="247"/>
      <c r="AT11046" s="247"/>
    </row>
    <row r="11047">
      <c r="C11047" s="277"/>
      <c r="M11047" s="277"/>
      <c r="O11047" s="247"/>
      <c r="AC11047" s="247"/>
      <c r="AT11047" s="247"/>
    </row>
    <row r="11048">
      <c r="C11048" s="277"/>
      <c r="M11048" s="277"/>
      <c r="O11048" s="247"/>
      <c r="AC11048" s="247"/>
      <c r="AT11048" s="247"/>
    </row>
    <row r="11049">
      <c r="C11049" s="277"/>
      <c r="M11049" s="277"/>
      <c r="O11049" s="247"/>
      <c r="AC11049" s="247"/>
      <c r="AT11049" s="247"/>
    </row>
    <row r="11050">
      <c r="C11050" s="277"/>
      <c r="M11050" s="277"/>
      <c r="O11050" s="247"/>
      <c r="AC11050" s="247"/>
      <c r="AT11050" s="247"/>
    </row>
    <row r="11051">
      <c r="C11051" s="277"/>
      <c r="M11051" s="277"/>
      <c r="O11051" s="247"/>
      <c r="AC11051" s="247"/>
      <c r="AT11051" s="247"/>
    </row>
    <row r="11052">
      <c r="C11052" s="277"/>
      <c r="M11052" s="277"/>
      <c r="O11052" s="247"/>
      <c r="AC11052" s="247"/>
      <c r="AT11052" s="247"/>
    </row>
    <row r="11053">
      <c r="C11053" s="277"/>
      <c r="M11053" s="277"/>
      <c r="O11053" s="247"/>
      <c r="AC11053" s="247"/>
      <c r="AT11053" s="247"/>
    </row>
    <row r="11054">
      <c r="C11054" s="277"/>
      <c r="M11054" s="277"/>
      <c r="O11054" s="247"/>
      <c r="AC11054" s="247"/>
      <c r="AT11054" s="247"/>
    </row>
    <row r="11055">
      <c r="C11055" s="277"/>
      <c r="M11055" s="277"/>
      <c r="O11055" s="247"/>
      <c r="AC11055" s="247"/>
      <c r="AT11055" s="247"/>
    </row>
    <row r="11056">
      <c r="C11056" s="277"/>
      <c r="M11056" s="277"/>
      <c r="O11056" s="247"/>
      <c r="AC11056" s="247"/>
      <c r="AT11056" s="247"/>
    </row>
    <row r="11057">
      <c r="C11057" s="277"/>
      <c r="M11057" s="277"/>
      <c r="O11057" s="247"/>
      <c r="AC11057" s="247"/>
      <c r="AT11057" s="247"/>
    </row>
    <row r="11058">
      <c r="C11058" s="277"/>
      <c r="M11058" s="277"/>
      <c r="O11058" s="247"/>
      <c r="AC11058" s="247"/>
      <c r="AT11058" s="247"/>
    </row>
    <row r="11059">
      <c r="C11059" s="277"/>
      <c r="M11059" s="277"/>
      <c r="O11059" s="247"/>
      <c r="AC11059" s="247"/>
      <c r="AT11059" s="247"/>
    </row>
    <row r="11060">
      <c r="C11060" s="277"/>
      <c r="M11060" s="277"/>
      <c r="O11060" s="247"/>
      <c r="AC11060" s="247"/>
      <c r="AT11060" s="247"/>
    </row>
    <row r="11061">
      <c r="C11061" s="277"/>
      <c r="M11061" s="277"/>
      <c r="O11061" s="247"/>
      <c r="AC11061" s="247"/>
      <c r="AT11061" s="247"/>
    </row>
    <row r="11062">
      <c r="C11062" s="277"/>
      <c r="M11062" s="277"/>
      <c r="O11062" s="247"/>
      <c r="AC11062" s="247"/>
      <c r="AT11062" s="247"/>
    </row>
    <row r="11063">
      <c r="C11063" s="277"/>
      <c r="M11063" s="277"/>
      <c r="O11063" s="247"/>
      <c r="AC11063" s="247"/>
      <c r="AT11063" s="247"/>
    </row>
    <row r="11064">
      <c r="C11064" s="277"/>
      <c r="M11064" s="277"/>
      <c r="O11064" s="247"/>
      <c r="AC11064" s="247"/>
      <c r="AT11064" s="247"/>
    </row>
    <row r="11065">
      <c r="C11065" s="277"/>
      <c r="M11065" s="277"/>
      <c r="O11065" s="247"/>
      <c r="AC11065" s="247"/>
      <c r="AT11065" s="247"/>
    </row>
    <row r="11066">
      <c r="C11066" s="277"/>
      <c r="M11066" s="277"/>
      <c r="O11066" s="247"/>
      <c r="AC11066" s="247"/>
      <c r="AT11066" s="247"/>
    </row>
    <row r="11067">
      <c r="C11067" s="277"/>
      <c r="M11067" s="277"/>
      <c r="O11067" s="247"/>
      <c r="AC11067" s="247"/>
      <c r="AT11067" s="247"/>
    </row>
    <row r="11068">
      <c r="C11068" s="277"/>
      <c r="M11068" s="277"/>
      <c r="O11068" s="247"/>
      <c r="AC11068" s="247"/>
      <c r="AT11068" s="247"/>
    </row>
    <row r="11069">
      <c r="C11069" s="277"/>
      <c r="M11069" s="277"/>
      <c r="O11069" s="247"/>
      <c r="AC11069" s="247"/>
      <c r="AT11069" s="247"/>
    </row>
    <row r="11070">
      <c r="C11070" s="277"/>
      <c r="M11070" s="277"/>
      <c r="O11070" s="247"/>
      <c r="AC11070" s="247"/>
      <c r="AT11070" s="247"/>
    </row>
    <row r="11071">
      <c r="C11071" s="277"/>
      <c r="M11071" s="277"/>
      <c r="O11071" s="247"/>
      <c r="AC11071" s="247"/>
      <c r="AT11071" s="247"/>
    </row>
    <row r="11072">
      <c r="C11072" s="277"/>
      <c r="M11072" s="277"/>
      <c r="O11072" s="247"/>
      <c r="AC11072" s="247"/>
      <c r="AT11072" s="247"/>
    </row>
    <row r="11073">
      <c r="C11073" s="277"/>
      <c r="M11073" s="277"/>
      <c r="O11073" s="247"/>
      <c r="AC11073" s="247"/>
      <c r="AT11073" s="247"/>
    </row>
    <row r="11074">
      <c r="C11074" s="277"/>
      <c r="M11074" s="277"/>
      <c r="O11074" s="247"/>
      <c r="AC11074" s="247"/>
      <c r="AT11074" s="247"/>
    </row>
    <row r="11075">
      <c r="C11075" s="277"/>
      <c r="M11075" s="277"/>
      <c r="O11075" s="247"/>
      <c r="AC11075" s="247"/>
      <c r="AT11075" s="247"/>
    </row>
    <row r="11076">
      <c r="C11076" s="277"/>
      <c r="M11076" s="277"/>
      <c r="O11076" s="247"/>
      <c r="AC11076" s="247"/>
      <c r="AT11076" s="247"/>
    </row>
    <row r="11077">
      <c r="C11077" s="277"/>
      <c r="M11077" s="277"/>
      <c r="O11077" s="247"/>
      <c r="AC11077" s="247"/>
      <c r="AT11077" s="247"/>
    </row>
    <row r="11078">
      <c r="C11078" s="277"/>
      <c r="M11078" s="277"/>
      <c r="O11078" s="247"/>
      <c r="AC11078" s="247"/>
      <c r="AT11078" s="247"/>
    </row>
    <row r="11079">
      <c r="C11079" s="277"/>
      <c r="M11079" s="277"/>
      <c r="O11079" s="247"/>
      <c r="AC11079" s="247"/>
      <c r="AT11079" s="247"/>
    </row>
    <row r="11080">
      <c r="C11080" s="277"/>
      <c r="M11080" s="277"/>
      <c r="O11080" s="247"/>
      <c r="AC11080" s="247"/>
      <c r="AT11080" s="247"/>
    </row>
    <row r="11081">
      <c r="C11081" s="277"/>
      <c r="M11081" s="277"/>
      <c r="O11081" s="247"/>
      <c r="AC11081" s="247"/>
      <c r="AT11081" s="247"/>
    </row>
    <row r="11082">
      <c r="C11082" s="277"/>
      <c r="M11082" s="277"/>
      <c r="O11082" s="247"/>
      <c r="AC11082" s="247"/>
      <c r="AT11082" s="247"/>
    </row>
    <row r="11083">
      <c r="C11083" s="277"/>
      <c r="M11083" s="277"/>
      <c r="O11083" s="247"/>
      <c r="AC11083" s="247"/>
      <c r="AT11083" s="247"/>
    </row>
    <row r="11084">
      <c r="C11084" s="277"/>
      <c r="M11084" s="277"/>
      <c r="O11084" s="247"/>
      <c r="AC11084" s="247"/>
      <c r="AT11084" s="247"/>
    </row>
    <row r="11085">
      <c r="C11085" s="277"/>
      <c r="M11085" s="277"/>
      <c r="O11085" s="247"/>
      <c r="AC11085" s="247"/>
      <c r="AT11085" s="247"/>
    </row>
    <row r="11086">
      <c r="C11086" s="277"/>
      <c r="M11086" s="277"/>
      <c r="O11086" s="247"/>
      <c r="AC11086" s="247"/>
      <c r="AT11086" s="247"/>
    </row>
    <row r="11087">
      <c r="C11087" s="277"/>
      <c r="M11087" s="277"/>
      <c r="O11087" s="247"/>
      <c r="AC11087" s="247"/>
      <c r="AT11087" s="247"/>
    </row>
    <row r="11088">
      <c r="C11088" s="277"/>
      <c r="M11088" s="277"/>
      <c r="O11088" s="247"/>
      <c r="AC11088" s="247"/>
      <c r="AT11088" s="247"/>
    </row>
    <row r="11089">
      <c r="C11089" s="277"/>
      <c r="M11089" s="277"/>
      <c r="O11089" s="247"/>
      <c r="AC11089" s="247"/>
      <c r="AT11089" s="247"/>
    </row>
    <row r="11090">
      <c r="C11090" s="277"/>
      <c r="M11090" s="277"/>
      <c r="O11090" s="247"/>
      <c r="AC11090" s="247"/>
      <c r="AT11090" s="247"/>
    </row>
    <row r="11091">
      <c r="C11091" s="277"/>
      <c r="M11091" s="277"/>
      <c r="O11091" s="247"/>
      <c r="AC11091" s="247"/>
      <c r="AT11091" s="247"/>
    </row>
    <row r="11092">
      <c r="C11092" s="277"/>
      <c r="M11092" s="277"/>
      <c r="O11092" s="247"/>
      <c r="AC11092" s="247"/>
      <c r="AT11092" s="247"/>
    </row>
    <row r="11093">
      <c r="C11093" s="277"/>
      <c r="M11093" s="277"/>
      <c r="O11093" s="247"/>
      <c r="AC11093" s="247"/>
      <c r="AT11093" s="247"/>
    </row>
    <row r="11094">
      <c r="C11094" s="277"/>
      <c r="M11094" s="277"/>
      <c r="O11094" s="247"/>
      <c r="AC11094" s="247"/>
      <c r="AT11094" s="247"/>
    </row>
    <row r="11095">
      <c r="C11095" s="277"/>
      <c r="M11095" s="277"/>
      <c r="O11095" s="247"/>
      <c r="AC11095" s="247"/>
      <c r="AT11095" s="247"/>
    </row>
    <row r="11096">
      <c r="C11096" s="277"/>
      <c r="M11096" s="277"/>
      <c r="O11096" s="247"/>
      <c r="AC11096" s="247"/>
      <c r="AT11096" s="247"/>
    </row>
    <row r="11097">
      <c r="C11097" s="277"/>
      <c r="M11097" s="277"/>
      <c r="O11097" s="247"/>
      <c r="AC11097" s="247"/>
      <c r="AT11097" s="247"/>
    </row>
    <row r="11098">
      <c r="C11098" s="277"/>
      <c r="M11098" s="277"/>
      <c r="O11098" s="247"/>
      <c r="AC11098" s="247"/>
      <c r="AT11098" s="247"/>
    </row>
    <row r="11099">
      <c r="C11099" s="277"/>
      <c r="M11099" s="277"/>
      <c r="O11099" s="247"/>
      <c r="AC11099" s="247"/>
      <c r="AT11099" s="247"/>
    </row>
    <row r="11100">
      <c r="C11100" s="277"/>
      <c r="M11100" s="277"/>
      <c r="O11100" s="247"/>
      <c r="AC11100" s="247"/>
      <c r="AT11100" s="247"/>
    </row>
    <row r="11101">
      <c r="C11101" s="277"/>
      <c r="M11101" s="277"/>
      <c r="O11101" s="247"/>
      <c r="AC11101" s="247"/>
      <c r="AT11101" s="247"/>
    </row>
    <row r="11102">
      <c r="C11102" s="277"/>
      <c r="M11102" s="277"/>
      <c r="O11102" s="247"/>
      <c r="AC11102" s="247"/>
      <c r="AT11102" s="247"/>
    </row>
    <row r="11103">
      <c r="C11103" s="277"/>
      <c r="M11103" s="277"/>
      <c r="O11103" s="247"/>
      <c r="AC11103" s="247"/>
      <c r="AT11103" s="247"/>
    </row>
    <row r="11104">
      <c r="C11104" s="277"/>
      <c r="M11104" s="277"/>
      <c r="O11104" s="247"/>
      <c r="AC11104" s="247"/>
      <c r="AT11104" s="247"/>
    </row>
    <row r="11105">
      <c r="C11105" s="277"/>
      <c r="M11105" s="277"/>
      <c r="O11105" s="247"/>
      <c r="AC11105" s="247"/>
      <c r="AT11105" s="247"/>
    </row>
    <row r="11106">
      <c r="C11106" s="277"/>
      <c r="M11106" s="277"/>
      <c r="O11106" s="247"/>
      <c r="AC11106" s="247"/>
      <c r="AT11106" s="247"/>
    </row>
    <row r="11107">
      <c r="C11107" s="277"/>
      <c r="M11107" s="277"/>
      <c r="O11107" s="247"/>
      <c r="AC11107" s="247"/>
      <c r="AT11107" s="247"/>
    </row>
    <row r="11108">
      <c r="C11108" s="277"/>
      <c r="M11108" s="277"/>
      <c r="O11108" s="247"/>
      <c r="AC11108" s="247"/>
      <c r="AT11108" s="247"/>
    </row>
    <row r="11109">
      <c r="C11109" s="277"/>
      <c r="M11109" s="277"/>
      <c r="O11109" s="247"/>
      <c r="AC11109" s="247"/>
      <c r="AT11109" s="247"/>
    </row>
    <row r="11110">
      <c r="C11110" s="277"/>
      <c r="M11110" s="277"/>
      <c r="O11110" s="247"/>
      <c r="AC11110" s="247"/>
      <c r="AT11110" s="247"/>
    </row>
    <row r="11111">
      <c r="C11111" s="277"/>
      <c r="M11111" s="277"/>
      <c r="O11111" s="247"/>
      <c r="AC11111" s="247"/>
      <c r="AT11111" s="247"/>
    </row>
    <row r="11112">
      <c r="C11112" s="277"/>
      <c r="M11112" s="277"/>
      <c r="O11112" s="247"/>
      <c r="AC11112" s="247"/>
      <c r="AT11112" s="247"/>
    </row>
    <row r="11113">
      <c r="C11113" s="277"/>
      <c r="M11113" s="277"/>
      <c r="O11113" s="247"/>
      <c r="AC11113" s="247"/>
      <c r="AT11113" s="247"/>
    </row>
    <row r="11114">
      <c r="C11114" s="277"/>
      <c r="M11114" s="277"/>
      <c r="O11114" s="247"/>
      <c r="AC11114" s="247"/>
      <c r="AT11114" s="247"/>
    </row>
    <row r="11115">
      <c r="C11115" s="277"/>
      <c r="M11115" s="277"/>
      <c r="O11115" s="247"/>
      <c r="AC11115" s="247"/>
      <c r="AT11115" s="247"/>
    </row>
    <row r="11116">
      <c r="C11116" s="277"/>
      <c r="M11116" s="277"/>
      <c r="O11116" s="247"/>
      <c r="AC11116" s="247"/>
      <c r="AT11116" s="247"/>
    </row>
    <row r="11117">
      <c r="C11117" s="277"/>
      <c r="M11117" s="277"/>
      <c r="O11117" s="247"/>
      <c r="AC11117" s="247"/>
      <c r="AT11117" s="247"/>
    </row>
    <row r="11118">
      <c r="C11118" s="277"/>
      <c r="M11118" s="277"/>
      <c r="O11118" s="247"/>
      <c r="AC11118" s="247"/>
      <c r="AT11118" s="247"/>
    </row>
    <row r="11119">
      <c r="C11119" s="277"/>
      <c r="M11119" s="277"/>
      <c r="O11119" s="247"/>
      <c r="AC11119" s="247"/>
      <c r="AT11119" s="247"/>
    </row>
    <row r="11120">
      <c r="C11120" s="277"/>
      <c r="M11120" s="277"/>
      <c r="O11120" s="247"/>
      <c r="AC11120" s="247"/>
      <c r="AT11120" s="247"/>
    </row>
    <row r="11121">
      <c r="C11121" s="277"/>
      <c r="M11121" s="277"/>
      <c r="O11121" s="247"/>
      <c r="AC11121" s="247"/>
      <c r="AT11121" s="247"/>
    </row>
    <row r="11122">
      <c r="C11122" s="277"/>
      <c r="M11122" s="277"/>
      <c r="O11122" s="247"/>
      <c r="AC11122" s="247"/>
      <c r="AT11122" s="247"/>
    </row>
    <row r="11123">
      <c r="C11123" s="277"/>
      <c r="M11123" s="277"/>
      <c r="O11123" s="247"/>
      <c r="AC11123" s="247"/>
      <c r="AT11123" s="247"/>
    </row>
    <row r="11124">
      <c r="C11124" s="277"/>
      <c r="M11124" s="277"/>
      <c r="O11124" s="247"/>
      <c r="AC11124" s="247"/>
      <c r="AT11124" s="247"/>
    </row>
    <row r="11125">
      <c r="C11125" s="277"/>
      <c r="M11125" s="277"/>
      <c r="O11125" s="247"/>
      <c r="AC11125" s="247"/>
      <c r="AT11125" s="247"/>
    </row>
    <row r="11126">
      <c r="C11126" s="277"/>
      <c r="M11126" s="277"/>
      <c r="O11126" s="247"/>
      <c r="AC11126" s="247"/>
      <c r="AT11126" s="247"/>
    </row>
    <row r="11127">
      <c r="C11127" s="277"/>
      <c r="M11127" s="277"/>
      <c r="O11127" s="247"/>
      <c r="AC11127" s="247"/>
      <c r="AT11127" s="247"/>
    </row>
    <row r="11128">
      <c r="C11128" s="277"/>
      <c r="M11128" s="277"/>
      <c r="O11128" s="247"/>
      <c r="AC11128" s="247"/>
      <c r="AT11128" s="247"/>
    </row>
    <row r="11129">
      <c r="C11129" s="277"/>
      <c r="M11129" s="277"/>
      <c r="O11129" s="247"/>
      <c r="AC11129" s="247"/>
      <c r="AT11129" s="247"/>
    </row>
    <row r="11130">
      <c r="C11130" s="277"/>
      <c r="M11130" s="277"/>
      <c r="O11130" s="247"/>
      <c r="AC11130" s="247"/>
      <c r="AT11130" s="247"/>
    </row>
    <row r="11131">
      <c r="C11131" s="277"/>
      <c r="M11131" s="277"/>
      <c r="O11131" s="247"/>
      <c r="AC11131" s="247"/>
      <c r="AT11131" s="247"/>
    </row>
    <row r="11132">
      <c r="C11132" s="277"/>
      <c r="M11132" s="277"/>
      <c r="O11132" s="247"/>
      <c r="AC11132" s="247"/>
      <c r="AT11132" s="247"/>
    </row>
    <row r="11133">
      <c r="C11133" s="277"/>
      <c r="M11133" s="277"/>
      <c r="O11133" s="247"/>
      <c r="AC11133" s="247"/>
      <c r="AT11133" s="247"/>
    </row>
    <row r="11134">
      <c r="C11134" s="277"/>
      <c r="M11134" s="277"/>
      <c r="O11134" s="247"/>
      <c r="AC11134" s="247"/>
      <c r="AT11134" s="247"/>
    </row>
    <row r="11135">
      <c r="C11135" s="277"/>
      <c r="M11135" s="277"/>
      <c r="O11135" s="247"/>
      <c r="AC11135" s="247"/>
      <c r="AT11135" s="247"/>
    </row>
    <row r="11136">
      <c r="C11136" s="277"/>
      <c r="M11136" s="277"/>
      <c r="O11136" s="247"/>
      <c r="AC11136" s="247"/>
      <c r="AT11136" s="247"/>
    </row>
    <row r="11137">
      <c r="C11137" s="277"/>
      <c r="M11137" s="277"/>
      <c r="O11137" s="247"/>
      <c r="AC11137" s="247"/>
      <c r="AT11137" s="247"/>
    </row>
    <row r="11138">
      <c r="C11138" s="277"/>
      <c r="M11138" s="277"/>
      <c r="O11138" s="247"/>
      <c r="AC11138" s="247"/>
      <c r="AT11138" s="247"/>
    </row>
    <row r="11139">
      <c r="C11139" s="277"/>
      <c r="M11139" s="277"/>
      <c r="O11139" s="247"/>
      <c r="AC11139" s="247"/>
      <c r="AT11139" s="247"/>
    </row>
    <row r="11140">
      <c r="C11140" s="277"/>
      <c r="M11140" s="277"/>
      <c r="O11140" s="247"/>
      <c r="AC11140" s="247"/>
      <c r="AT11140" s="247"/>
    </row>
    <row r="11141">
      <c r="C11141" s="277"/>
      <c r="M11141" s="277"/>
      <c r="O11141" s="247"/>
      <c r="AC11141" s="247"/>
      <c r="AT11141" s="247"/>
    </row>
    <row r="11142">
      <c r="C11142" s="277"/>
      <c r="M11142" s="277"/>
      <c r="O11142" s="247"/>
      <c r="AC11142" s="247"/>
      <c r="AT11142" s="247"/>
    </row>
    <row r="11143">
      <c r="C11143" s="277"/>
      <c r="M11143" s="277"/>
      <c r="O11143" s="247"/>
      <c r="AC11143" s="247"/>
      <c r="AT11143" s="247"/>
    </row>
    <row r="11144">
      <c r="C11144" s="277"/>
      <c r="M11144" s="277"/>
      <c r="O11144" s="247"/>
      <c r="AC11144" s="247"/>
      <c r="AT11144" s="247"/>
    </row>
    <row r="11145">
      <c r="C11145" s="277"/>
      <c r="M11145" s="277"/>
      <c r="O11145" s="247"/>
      <c r="AC11145" s="247"/>
      <c r="AT11145" s="247"/>
    </row>
    <row r="11146">
      <c r="C11146" s="277"/>
      <c r="M11146" s="277"/>
      <c r="O11146" s="247"/>
      <c r="AC11146" s="247"/>
      <c r="AT11146" s="247"/>
    </row>
    <row r="11147">
      <c r="C11147" s="277"/>
      <c r="M11147" s="277"/>
      <c r="O11147" s="247"/>
      <c r="AC11147" s="247"/>
      <c r="AT11147" s="247"/>
    </row>
    <row r="11148">
      <c r="C11148" s="277"/>
      <c r="M11148" s="277"/>
      <c r="O11148" s="247"/>
      <c r="AC11148" s="247"/>
      <c r="AT11148" s="247"/>
    </row>
    <row r="11149">
      <c r="C11149" s="277"/>
      <c r="M11149" s="277"/>
      <c r="O11149" s="247"/>
      <c r="AC11149" s="247"/>
      <c r="AT11149" s="247"/>
    </row>
    <row r="11150">
      <c r="C11150" s="277"/>
      <c r="M11150" s="277"/>
      <c r="O11150" s="247"/>
      <c r="AC11150" s="247"/>
      <c r="AT11150" s="247"/>
    </row>
    <row r="11151">
      <c r="C11151" s="277"/>
      <c r="M11151" s="277"/>
      <c r="O11151" s="247"/>
      <c r="AC11151" s="247"/>
      <c r="AT11151" s="247"/>
    </row>
    <row r="11152">
      <c r="C11152" s="277"/>
      <c r="M11152" s="277"/>
      <c r="O11152" s="247"/>
      <c r="AC11152" s="247"/>
      <c r="AT11152" s="247"/>
    </row>
    <row r="11153">
      <c r="C11153" s="277"/>
      <c r="M11153" s="277"/>
      <c r="O11153" s="247"/>
      <c r="AC11153" s="247"/>
      <c r="AT11153" s="247"/>
    </row>
    <row r="11154">
      <c r="C11154" s="277"/>
      <c r="M11154" s="277"/>
      <c r="O11154" s="247"/>
      <c r="AC11154" s="247"/>
      <c r="AT11154" s="247"/>
    </row>
    <row r="11155">
      <c r="C11155" s="277"/>
      <c r="M11155" s="277"/>
      <c r="O11155" s="247"/>
      <c r="AC11155" s="247"/>
      <c r="AT11155" s="247"/>
    </row>
    <row r="11156">
      <c r="C11156" s="277"/>
      <c r="M11156" s="277"/>
      <c r="O11156" s="247"/>
      <c r="AC11156" s="247"/>
      <c r="AT11156" s="247"/>
    </row>
    <row r="11157">
      <c r="C11157" s="277"/>
      <c r="M11157" s="277"/>
      <c r="O11157" s="247"/>
      <c r="AC11157" s="247"/>
      <c r="AT11157" s="247"/>
    </row>
    <row r="11158">
      <c r="C11158" s="277"/>
      <c r="M11158" s="277"/>
      <c r="O11158" s="247"/>
      <c r="AC11158" s="247"/>
      <c r="AT11158" s="247"/>
    </row>
    <row r="11159">
      <c r="C11159" s="277"/>
      <c r="M11159" s="277"/>
      <c r="O11159" s="247"/>
      <c r="AC11159" s="247"/>
      <c r="AT11159" s="247"/>
    </row>
    <row r="11160">
      <c r="C11160" s="277"/>
      <c r="M11160" s="277"/>
      <c r="O11160" s="247"/>
      <c r="AC11160" s="247"/>
      <c r="AT11160" s="247"/>
    </row>
    <row r="11161">
      <c r="C11161" s="277"/>
      <c r="M11161" s="277"/>
      <c r="O11161" s="247"/>
      <c r="AC11161" s="247"/>
      <c r="AT11161" s="247"/>
    </row>
    <row r="11162">
      <c r="C11162" s="277"/>
      <c r="M11162" s="277"/>
      <c r="O11162" s="247"/>
      <c r="AC11162" s="247"/>
      <c r="AT11162" s="247"/>
    </row>
    <row r="11163">
      <c r="C11163" s="277"/>
      <c r="M11163" s="277"/>
      <c r="O11163" s="247"/>
      <c r="AC11163" s="247"/>
      <c r="AT11163" s="247"/>
    </row>
    <row r="11164">
      <c r="C11164" s="277"/>
      <c r="M11164" s="277"/>
      <c r="O11164" s="247"/>
      <c r="AC11164" s="247"/>
      <c r="AT11164" s="247"/>
    </row>
    <row r="11165">
      <c r="C11165" s="277"/>
      <c r="M11165" s="277"/>
      <c r="O11165" s="247"/>
      <c r="AC11165" s="247"/>
      <c r="AT11165" s="247"/>
    </row>
    <row r="11166">
      <c r="C11166" s="277"/>
      <c r="M11166" s="277"/>
      <c r="O11166" s="247"/>
      <c r="AC11166" s="247"/>
      <c r="AT11166" s="247"/>
    </row>
    <row r="11167">
      <c r="C11167" s="277"/>
      <c r="M11167" s="277"/>
      <c r="O11167" s="247"/>
      <c r="AC11167" s="247"/>
      <c r="AT11167" s="247"/>
    </row>
    <row r="11168">
      <c r="C11168" s="277"/>
      <c r="M11168" s="277"/>
      <c r="O11168" s="247"/>
      <c r="AC11168" s="247"/>
      <c r="AT11168" s="247"/>
    </row>
    <row r="11169">
      <c r="C11169" s="277"/>
      <c r="M11169" s="277"/>
      <c r="O11169" s="247"/>
      <c r="AC11169" s="247"/>
      <c r="AT11169" s="247"/>
    </row>
    <row r="11170">
      <c r="C11170" s="277"/>
      <c r="M11170" s="277"/>
      <c r="O11170" s="247"/>
      <c r="AC11170" s="247"/>
      <c r="AT11170" s="247"/>
    </row>
    <row r="11171">
      <c r="C11171" s="277"/>
      <c r="M11171" s="277"/>
      <c r="O11171" s="247"/>
      <c r="AC11171" s="247"/>
      <c r="AT11171" s="247"/>
    </row>
    <row r="11172">
      <c r="C11172" s="277"/>
      <c r="M11172" s="277"/>
      <c r="O11172" s="247"/>
      <c r="AC11172" s="247"/>
      <c r="AT11172" s="247"/>
    </row>
    <row r="11173">
      <c r="C11173" s="277"/>
      <c r="M11173" s="277"/>
      <c r="O11173" s="247"/>
      <c r="AC11173" s="247"/>
      <c r="AT11173" s="247"/>
    </row>
    <row r="11174">
      <c r="C11174" s="277"/>
      <c r="M11174" s="277"/>
      <c r="O11174" s="247"/>
      <c r="AC11174" s="247"/>
      <c r="AT11174" s="247"/>
    </row>
    <row r="11175">
      <c r="C11175" s="277"/>
      <c r="M11175" s="277"/>
      <c r="O11175" s="247"/>
      <c r="AC11175" s="247"/>
      <c r="AT11175" s="247"/>
    </row>
    <row r="11176">
      <c r="C11176" s="277"/>
      <c r="M11176" s="277"/>
      <c r="O11176" s="247"/>
      <c r="AC11176" s="247"/>
      <c r="AT11176" s="247"/>
    </row>
    <row r="11177">
      <c r="C11177" s="277"/>
      <c r="M11177" s="277"/>
      <c r="O11177" s="247"/>
      <c r="AC11177" s="247"/>
      <c r="AT11177" s="247"/>
    </row>
    <row r="11178">
      <c r="C11178" s="277"/>
      <c r="M11178" s="277"/>
      <c r="O11178" s="247"/>
      <c r="AC11178" s="247"/>
      <c r="AT11178" s="247"/>
    </row>
    <row r="11179">
      <c r="C11179" s="277"/>
      <c r="M11179" s="277"/>
      <c r="O11179" s="247"/>
      <c r="AC11179" s="247"/>
      <c r="AT11179" s="247"/>
    </row>
    <row r="11180">
      <c r="C11180" s="277"/>
      <c r="M11180" s="277"/>
      <c r="O11180" s="247"/>
      <c r="AC11180" s="247"/>
      <c r="AT11180" s="247"/>
    </row>
    <row r="11181">
      <c r="C11181" s="277"/>
      <c r="M11181" s="277"/>
      <c r="O11181" s="247"/>
      <c r="AC11181" s="247"/>
      <c r="AT11181" s="247"/>
    </row>
    <row r="11182">
      <c r="C11182" s="277"/>
      <c r="M11182" s="277"/>
      <c r="O11182" s="247"/>
      <c r="AC11182" s="247"/>
      <c r="AT11182" s="247"/>
    </row>
    <row r="11183">
      <c r="C11183" s="277"/>
      <c r="M11183" s="277"/>
      <c r="O11183" s="247"/>
      <c r="AC11183" s="247"/>
      <c r="AT11183" s="247"/>
    </row>
    <row r="11184">
      <c r="C11184" s="277"/>
      <c r="M11184" s="277"/>
      <c r="O11184" s="247"/>
      <c r="AC11184" s="247"/>
      <c r="AT11184" s="247"/>
    </row>
    <row r="11185">
      <c r="C11185" s="277"/>
      <c r="M11185" s="277"/>
      <c r="O11185" s="247"/>
      <c r="AC11185" s="247"/>
      <c r="AT11185" s="247"/>
    </row>
    <row r="11186">
      <c r="C11186" s="277"/>
      <c r="M11186" s="277"/>
      <c r="O11186" s="247"/>
      <c r="AC11186" s="247"/>
      <c r="AT11186" s="247"/>
    </row>
    <row r="11187">
      <c r="C11187" s="277"/>
      <c r="M11187" s="277"/>
      <c r="O11187" s="247"/>
      <c r="AC11187" s="247"/>
      <c r="AT11187" s="247"/>
    </row>
    <row r="11188">
      <c r="C11188" s="277"/>
      <c r="M11188" s="277"/>
      <c r="O11188" s="247"/>
      <c r="AC11188" s="247"/>
      <c r="AT11188" s="247"/>
    </row>
    <row r="11189">
      <c r="C11189" s="277"/>
      <c r="M11189" s="277"/>
      <c r="O11189" s="247"/>
      <c r="AC11189" s="247"/>
      <c r="AT11189" s="247"/>
    </row>
    <row r="11190">
      <c r="C11190" s="277"/>
      <c r="M11190" s="277"/>
      <c r="O11190" s="247"/>
      <c r="AC11190" s="247"/>
      <c r="AT11190" s="247"/>
    </row>
    <row r="11191">
      <c r="C11191" s="277"/>
      <c r="M11191" s="277"/>
      <c r="O11191" s="247"/>
      <c r="AC11191" s="247"/>
      <c r="AT11191" s="247"/>
    </row>
    <row r="11192">
      <c r="C11192" s="277"/>
      <c r="M11192" s="277"/>
      <c r="O11192" s="247"/>
      <c r="AC11192" s="247"/>
      <c r="AT11192" s="247"/>
    </row>
    <row r="11193">
      <c r="C11193" s="277"/>
      <c r="M11193" s="277"/>
      <c r="O11193" s="247"/>
      <c r="AC11193" s="247"/>
      <c r="AT11193" s="247"/>
    </row>
    <row r="11194">
      <c r="C11194" s="277"/>
      <c r="M11194" s="277"/>
      <c r="O11194" s="247"/>
      <c r="AC11194" s="247"/>
      <c r="AT11194" s="247"/>
    </row>
    <row r="11195">
      <c r="C11195" s="277"/>
      <c r="M11195" s="277"/>
      <c r="O11195" s="247"/>
      <c r="AC11195" s="247"/>
      <c r="AT11195" s="247"/>
    </row>
    <row r="11196">
      <c r="C11196" s="277"/>
      <c r="M11196" s="277"/>
      <c r="O11196" s="247"/>
      <c r="AC11196" s="247"/>
      <c r="AT11196" s="247"/>
    </row>
    <row r="11197">
      <c r="C11197" s="277"/>
      <c r="M11197" s="277"/>
      <c r="O11197" s="247"/>
      <c r="AC11197" s="247"/>
      <c r="AT11197" s="247"/>
    </row>
    <row r="11198">
      <c r="C11198" s="277"/>
      <c r="M11198" s="277"/>
      <c r="O11198" s="247"/>
      <c r="AC11198" s="247"/>
      <c r="AT11198" s="247"/>
    </row>
    <row r="11199">
      <c r="C11199" s="277"/>
      <c r="M11199" s="277"/>
      <c r="O11199" s="247"/>
      <c r="AC11199" s="247"/>
      <c r="AT11199" s="247"/>
    </row>
    <row r="11200">
      <c r="C11200" s="277"/>
      <c r="M11200" s="277"/>
      <c r="O11200" s="247"/>
      <c r="AC11200" s="247"/>
      <c r="AT11200" s="247"/>
    </row>
    <row r="11201">
      <c r="C11201" s="277"/>
      <c r="M11201" s="277"/>
      <c r="O11201" s="247"/>
      <c r="AC11201" s="247"/>
      <c r="AT11201" s="247"/>
    </row>
    <row r="11202">
      <c r="C11202" s="277"/>
      <c r="M11202" s="277"/>
      <c r="O11202" s="247"/>
      <c r="AC11202" s="247"/>
      <c r="AT11202" s="247"/>
    </row>
    <row r="11203">
      <c r="C11203" s="277"/>
      <c r="M11203" s="277"/>
      <c r="O11203" s="247"/>
      <c r="AC11203" s="247"/>
      <c r="AT11203" s="247"/>
    </row>
    <row r="11204">
      <c r="C11204" s="277"/>
      <c r="M11204" s="277"/>
      <c r="O11204" s="247"/>
      <c r="AC11204" s="247"/>
      <c r="AT11204" s="247"/>
    </row>
    <row r="11205">
      <c r="C11205" s="277"/>
      <c r="M11205" s="277"/>
      <c r="O11205" s="247"/>
      <c r="AC11205" s="247"/>
      <c r="AT11205" s="247"/>
    </row>
    <row r="11206">
      <c r="C11206" s="277"/>
      <c r="M11206" s="277"/>
      <c r="O11206" s="247"/>
      <c r="AC11206" s="247"/>
      <c r="AT11206" s="247"/>
    </row>
    <row r="11207">
      <c r="C11207" s="277"/>
      <c r="M11207" s="277"/>
      <c r="O11207" s="247"/>
      <c r="AC11207" s="247"/>
      <c r="AT11207" s="247"/>
    </row>
    <row r="11208">
      <c r="C11208" s="277"/>
      <c r="M11208" s="277"/>
      <c r="O11208" s="247"/>
      <c r="AC11208" s="247"/>
      <c r="AT11208" s="247"/>
    </row>
    <row r="11209">
      <c r="C11209" s="277"/>
      <c r="M11209" s="277"/>
      <c r="O11209" s="247"/>
      <c r="AC11209" s="247"/>
      <c r="AT11209" s="247"/>
    </row>
    <row r="11210">
      <c r="C11210" s="277"/>
      <c r="M11210" s="277"/>
      <c r="O11210" s="247"/>
      <c r="AC11210" s="247"/>
      <c r="AT11210" s="247"/>
    </row>
    <row r="11211">
      <c r="C11211" s="277"/>
      <c r="M11211" s="277"/>
      <c r="O11211" s="247"/>
      <c r="AC11211" s="247"/>
      <c r="AT11211" s="247"/>
    </row>
    <row r="11212">
      <c r="C11212" s="277"/>
      <c r="M11212" s="277"/>
      <c r="O11212" s="247"/>
      <c r="AC11212" s="247"/>
      <c r="AT11212" s="247"/>
    </row>
    <row r="11213">
      <c r="C11213" s="277"/>
      <c r="M11213" s="277"/>
      <c r="O11213" s="247"/>
      <c r="AC11213" s="247"/>
      <c r="AT11213" s="247"/>
    </row>
    <row r="11214">
      <c r="C11214" s="277"/>
      <c r="M11214" s="277"/>
      <c r="O11214" s="247"/>
      <c r="AC11214" s="247"/>
      <c r="AT11214" s="247"/>
    </row>
    <row r="11215">
      <c r="C11215" s="277"/>
      <c r="M11215" s="277"/>
      <c r="O11215" s="247"/>
      <c r="AC11215" s="247"/>
      <c r="AT11215" s="247"/>
    </row>
    <row r="11216">
      <c r="C11216" s="277"/>
      <c r="M11216" s="277"/>
      <c r="O11216" s="247"/>
      <c r="AC11216" s="247"/>
      <c r="AT11216" s="247"/>
    </row>
    <row r="11217">
      <c r="C11217" s="277"/>
      <c r="M11217" s="277"/>
      <c r="O11217" s="247"/>
      <c r="AC11217" s="247"/>
      <c r="AT11217" s="247"/>
    </row>
    <row r="11218">
      <c r="C11218" s="277"/>
      <c r="M11218" s="277"/>
      <c r="O11218" s="247"/>
      <c r="AC11218" s="247"/>
      <c r="AT11218" s="247"/>
    </row>
    <row r="11219">
      <c r="C11219" s="277"/>
      <c r="M11219" s="277"/>
      <c r="O11219" s="247"/>
      <c r="AC11219" s="247"/>
      <c r="AT11219" s="247"/>
    </row>
    <row r="11220">
      <c r="C11220" s="277"/>
      <c r="M11220" s="277"/>
      <c r="O11220" s="247"/>
      <c r="AC11220" s="247"/>
      <c r="AT11220" s="247"/>
    </row>
    <row r="11221">
      <c r="C11221" s="277"/>
      <c r="M11221" s="277"/>
      <c r="O11221" s="247"/>
      <c r="AC11221" s="247"/>
      <c r="AT11221" s="247"/>
    </row>
    <row r="11222">
      <c r="C11222" s="277"/>
      <c r="M11222" s="277"/>
      <c r="O11222" s="247"/>
      <c r="AC11222" s="247"/>
      <c r="AT11222" s="247"/>
    </row>
    <row r="11223">
      <c r="C11223" s="277"/>
      <c r="M11223" s="277"/>
      <c r="O11223" s="247"/>
      <c r="AC11223" s="247"/>
      <c r="AT11223" s="247"/>
    </row>
    <row r="11224">
      <c r="C11224" s="277"/>
      <c r="M11224" s="277"/>
      <c r="O11224" s="247"/>
      <c r="AC11224" s="247"/>
      <c r="AT11224" s="247"/>
    </row>
    <row r="11225">
      <c r="C11225" s="277"/>
      <c r="M11225" s="277"/>
      <c r="O11225" s="247"/>
      <c r="AC11225" s="247"/>
      <c r="AT11225" s="247"/>
    </row>
    <row r="11226">
      <c r="C11226" s="277"/>
      <c r="M11226" s="277"/>
      <c r="O11226" s="247"/>
      <c r="AC11226" s="247"/>
      <c r="AT11226" s="247"/>
    </row>
    <row r="11227">
      <c r="C11227" s="277"/>
      <c r="M11227" s="277"/>
      <c r="O11227" s="247"/>
      <c r="AC11227" s="247"/>
      <c r="AT11227" s="247"/>
    </row>
    <row r="11228">
      <c r="C11228" s="277"/>
      <c r="M11228" s="277"/>
      <c r="O11228" s="247"/>
      <c r="AC11228" s="247"/>
      <c r="AT11228" s="247"/>
    </row>
    <row r="11229">
      <c r="C11229" s="277"/>
      <c r="M11229" s="277"/>
      <c r="O11229" s="247"/>
      <c r="AC11229" s="247"/>
      <c r="AT11229" s="247"/>
    </row>
    <row r="11230">
      <c r="C11230" s="277"/>
      <c r="M11230" s="277"/>
      <c r="O11230" s="247"/>
      <c r="AC11230" s="247"/>
      <c r="AT11230" s="247"/>
    </row>
    <row r="11231">
      <c r="C11231" s="277"/>
      <c r="M11231" s="277"/>
      <c r="O11231" s="247"/>
      <c r="AC11231" s="247"/>
      <c r="AT11231" s="247"/>
    </row>
    <row r="11232">
      <c r="C11232" s="277"/>
      <c r="M11232" s="277"/>
      <c r="O11232" s="247"/>
      <c r="AC11232" s="247"/>
      <c r="AT11232" s="247"/>
    </row>
    <row r="11233">
      <c r="C11233" s="277"/>
      <c r="M11233" s="277"/>
      <c r="O11233" s="247"/>
      <c r="AC11233" s="247"/>
      <c r="AT11233" s="247"/>
    </row>
    <row r="11234">
      <c r="C11234" s="277"/>
      <c r="M11234" s="277"/>
      <c r="O11234" s="247"/>
      <c r="AC11234" s="247"/>
      <c r="AT11234" s="247"/>
    </row>
    <row r="11235">
      <c r="C11235" s="277"/>
      <c r="M11235" s="277"/>
      <c r="O11235" s="247"/>
      <c r="AC11235" s="247"/>
      <c r="AT11235" s="247"/>
    </row>
    <row r="11236">
      <c r="C11236" s="277"/>
      <c r="M11236" s="277"/>
      <c r="O11236" s="247"/>
      <c r="AC11236" s="247"/>
      <c r="AT11236" s="247"/>
    </row>
    <row r="11237">
      <c r="C11237" s="277"/>
      <c r="M11237" s="277"/>
      <c r="O11237" s="247"/>
      <c r="AC11237" s="247"/>
      <c r="AT11237" s="247"/>
    </row>
    <row r="11238">
      <c r="C11238" s="277"/>
      <c r="M11238" s="277"/>
      <c r="O11238" s="247"/>
      <c r="AC11238" s="247"/>
      <c r="AT11238" s="247"/>
    </row>
    <row r="11239">
      <c r="C11239" s="277"/>
      <c r="M11239" s="277"/>
      <c r="O11239" s="247"/>
      <c r="AC11239" s="247"/>
      <c r="AT11239" s="247"/>
    </row>
    <row r="11240">
      <c r="C11240" s="277"/>
      <c r="M11240" s="277"/>
      <c r="O11240" s="247"/>
      <c r="AC11240" s="247"/>
      <c r="AT11240" s="247"/>
    </row>
    <row r="11241">
      <c r="C11241" s="277"/>
      <c r="M11241" s="277"/>
      <c r="O11241" s="247"/>
      <c r="AC11241" s="247"/>
      <c r="AT11241" s="247"/>
    </row>
    <row r="11242">
      <c r="C11242" s="277"/>
      <c r="M11242" s="277"/>
      <c r="O11242" s="247"/>
      <c r="AC11242" s="247"/>
      <c r="AT11242" s="247"/>
    </row>
    <row r="11243">
      <c r="C11243" s="277"/>
      <c r="M11243" s="277"/>
      <c r="O11243" s="247"/>
      <c r="AC11243" s="247"/>
      <c r="AT11243" s="247"/>
    </row>
    <row r="11244">
      <c r="C11244" s="277"/>
      <c r="M11244" s="277"/>
      <c r="O11244" s="247"/>
      <c r="AC11244" s="247"/>
      <c r="AT11244" s="247"/>
    </row>
    <row r="11245">
      <c r="C11245" s="277"/>
      <c r="M11245" s="277"/>
      <c r="O11245" s="247"/>
      <c r="AC11245" s="247"/>
      <c r="AT11245" s="247"/>
    </row>
    <row r="11246">
      <c r="C11246" s="277"/>
      <c r="M11246" s="277"/>
      <c r="O11246" s="247"/>
      <c r="AC11246" s="247"/>
      <c r="AT11246" s="247"/>
    </row>
    <row r="11247">
      <c r="C11247" s="277"/>
      <c r="M11247" s="277"/>
      <c r="O11247" s="247"/>
      <c r="AC11247" s="247"/>
      <c r="AT11247" s="247"/>
    </row>
    <row r="11248">
      <c r="C11248" s="277"/>
      <c r="M11248" s="277"/>
      <c r="O11248" s="247"/>
      <c r="AC11248" s="247"/>
      <c r="AT11248" s="247"/>
    </row>
    <row r="11249">
      <c r="C11249" s="277"/>
      <c r="M11249" s="277"/>
      <c r="O11249" s="247"/>
      <c r="AC11249" s="247"/>
      <c r="AT11249" s="247"/>
    </row>
    <row r="11250">
      <c r="C11250" s="277"/>
      <c r="M11250" s="277"/>
      <c r="O11250" s="247"/>
      <c r="AC11250" s="247"/>
      <c r="AT11250" s="247"/>
    </row>
    <row r="11251">
      <c r="C11251" s="277"/>
      <c r="M11251" s="277"/>
      <c r="O11251" s="247"/>
      <c r="AC11251" s="247"/>
      <c r="AT11251" s="247"/>
    </row>
    <row r="11252">
      <c r="C11252" s="277"/>
      <c r="M11252" s="277"/>
      <c r="O11252" s="247"/>
      <c r="AC11252" s="247"/>
      <c r="AT11252" s="247"/>
    </row>
    <row r="11253">
      <c r="C11253" s="277"/>
      <c r="M11253" s="277"/>
      <c r="O11253" s="247"/>
      <c r="AC11253" s="247"/>
      <c r="AT11253" s="247"/>
    </row>
    <row r="11254">
      <c r="C11254" s="277"/>
      <c r="M11254" s="277"/>
      <c r="O11254" s="247"/>
      <c r="AC11254" s="247"/>
      <c r="AT11254" s="247"/>
    </row>
    <row r="11255">
      <c r="C11255" s="277"/>
      <c r="M11255" s="277"/>
      <c r="O11255" s="247"/>
      <c r="AC11255" s="247"/>
      <c r="AT11255" s="247"/>
    </row>
    <row r="11256">
      <c r="C11256" s="277"/>
      <c r="M11256" s="277"/>
      <c r="O11256" s="247"/>
      <c r="AC11256" s="247"/>
      <c r="AT11256" s="247"/>
    </row>
    <row r="11257">
      <c r="C11257" s="277"/>
      <c r="M11257" s="277"/>
      <c r="O11257" s="247"/>
      <c r="AC11257" s="247"/>
      <c r="AT11257" s="247"/>
    </row>
    <row r="11258">
      <c r="C11258" s="277"/>
      <c r="M11258" s="277"/>
      <c r="O11258" s="247"/>
      <c r="AC11258" s="247"/>
      <c r="AT11258" s="247"/>
    </row>
    <row r="11259">
      <c r="C11259" s="277"/>
      <c r="M11259" s="277"/>
      <c r="O11259" s="247"/>
      <c r="AC11259" s="247"/>
      <c r="AT11259" s="247"/>
    </row>
    <row r="11260">
      <c r="C11260" s="277"/>
      <c r="M11260" s="277"/>
      <c r="O11260" s="247"/>
      <c r="AC11260" s="247"/>
      <c r="AT11260" s="247"/>
    </row>
    <row r="11261">
      <c r="C11261" s="277"/>
      <c r="M11261" s="277"/>
      <c r="O11261" s="247"/>
      <c r="AC11261" s="247"/>
      <c r="AT11261" s="247"/>
    </row>
    <row r="11262">
      <c r="C11262" s="277"/>
      <c r="M11262" s="277"/>
      <c r="O11262" s="247"/>
      <c r="AC11262" s="247"/>
      <c r="AT11262" s="247"/>
    </row>
    <row r="11263">
      <c r="C11263" s="277"/>
      <c r="M11263" s="277"/>
      <c r="O11263" s="247"/>
      <c r="AC11263" s="247"/>
      <c r="AT11263" s="247"/>
    </row>
    <row r="11264">
      <c r="C11264" s="277"/>
      <c r="M11264" s="277"/>
      <c r="O11264" s="247"/>
      <c r="AC11264" s="247"/>
      <c r="AT11264" s="247"/>
    </row>
    <row r="11265">
      <c r="C11265" s="277"/>
      <c r="M11265" s="277"/>
      <c r="O11265" s="247"/>
      <c r="AC11265" s="247"/>
      <c r="AT11265" s="247"/>
    </row>
    <row r="11266">
      <c r="C11266" s="277"/>
      <c r="M11266" s="277"/>
      <c r="O11266" s="247"/>
      <c r="AC11266" s="247"/>
      <c r="AT11266" s="247"/>
    </row>
    <row r="11267">
      <c r="C11267" s="277"/>
      <c r="M11267" s="277"/>
      <c r="O11267" s="247"/>
      <c r="AC11267" s="247"/>
      <c r="AT11267" s="247"/>
    </row>
    <row r="11268">
      <c r="C11268" s="277"/>
      <c r="M11268" s="277"/>
      <c r="O11268" s="247"/>
      <c r="AC11268" s="247"/>
      <c r="AT11268" s="247"/>
    </row>
    <row r="11269">
      <c r="C11269" s="277"/>
      <c r="M11269" s="277"/>
      <c r="O11269" s="247"/>
      <c r="AC11269" s="247"/>
      <c r="AT11269" s="247"/>
    </row>
    <row r="11270">
      <c r="C11270" s="277"/>
      <c r="M11270" s="277"/>
      <c r="O11270" s="247"/>
      <c r="AC11270" s="247"/>
      <c r="AT11270" s="247"/>
    </row>
    <row r="11271">
      <c r="C11271" s="277"/>
      <c r="M11271" s="277"/>
      <c r="O11271" s="247"/>
      <c r="AC11271" s="247"/>
      <c r="AT11271" s="247"/>
    </row>
    <row r="11272">
      <c r="C11272" s="277"/>
      <c r="M11272" s="277"/>
      <c r="O11272" s="247"/>
      <c r="AC11272" s="247"/>
      <c r="AT11272" s="247"/>
    </row>
    <row r="11273">
      <c r="C11273" s="277"/>
      <c r="M11273" s="277"/>
      <c r="O11273" s="247"/>
      <c r="AC11273" s="247"/>
      <c r="AT11273" s="247"/>
    </row>
    <row r="11274">
      <c r="C11274" s="277"/>
      <c r="M11274" s="277"/>
      <c r="O11274" s="247"/>
      <c r="AC11274" s="247"/>
      <c r="AT11274" s="247"/>
    </row>
    <row r="11275">
      <c r="C11275" s="277"/>
      <c r="M11275" s="277"/>
      <c r="O11275" s="247"/>
      <c r="AC11275" s="247"/>
      <c r="AT11275" s="247"/>
    </row>
    <row r="11276">
      <c r="C11276" s="277"/>
      <c r="M11276" s="277"/>
      <c r="O11276" s="247"/>
      <c r="AC11276" s="247"/>
      <c r="AT11276" s="247"/>
    </row>
    <row r="11277">
      <c r="C11277" s="277"/>
      <c r="M11277" s="277"/>
      <c r="O11277" s="247"/>
      <c r="AC11277" s="247"/>
      <c r="AT11277" s="247"/>
    </row>
    <row r="11278">
      <c r="C11278" s="277"/>
      <c r="M11278" s="277"/>
      <c r="O11278" s="247"/>
      <c r="AC11278" s="247"/>
      <c r="AT11278" s="247"/>
    </row>
    <row r="11279">
      <c r="C11279" s="277"/>
      <c r="M11279" s="277"/>
      <c r="O11279" s="247"/>
      <c r="AC11279" s="247"/>
      <c r="AT11279" s="247"/>
    </row>
    <row r="11280">
      <c r="C11280" s="277"/>
      <c r="M11280" s="277"/>
      <c r="O11280" s="247"/>
      <c r="AC11280" s="247"/>
      <c r="AT11280" s="247"/>
    </row>
    <row r="11281">
      <c r="C11281" s="277"/>
      <c r="M11281" s="277"/>
      <c r="O11281" s="247"/>
      <c r="AC11281" s="247"/>
      <c r="AT11281" s="247"/>
    </row>
    <row r="11282">
      <c r="C11282" s="277"/>
      <c r="M11282" s="277"/>
      <c r="O11282" s="247"/>
      <c r="AC11282" s="247"/>
      <c r="AT11282" s="247"/>
    </row>
    <row r="11283">
      <c r="C11283" s="277"/>
      <c r="M11283" s="277"/>
      <c r="O11283" s="247"/>
      <c r="AC11283" s="247"/>
      <c r="AT11283" s="247"/>
    </row>
    <row r="11284">
      <c r="C11284" s="277"/>
      <c r="M11284" s="277"/>
      <c r="O11284" s="247"/>
      <c r="AC11284" s="247"/>
      <c r="AT11284" s="247"/>
    </row>
    <row r="11285">
      <c r="C11285" s="277"/>
      <c r="M11285" s="277"/>
      <c r="O11285" s="247"/>
      <c r="AC11285" s="247"/>
      <c r="AT11285" s="247"/>
    </row>
    <row r="11286">
      <c r="C11286" s="277"/>
      <c r="M11286" s="277"/>
      <c r="O11286" s="247"/>
      <c r="AC11286" s="247"/>
      <c r="AT11286" s="247"/>
    </row>
    <row r="11287">
      <c r="C11287" s="277"/>
      <c r="M11287" s="277"/>
      <c r="O11287" s="247"/>
      <c r="AC11287" s="247"/>
      <c r="AT11287" s="247"/>
    </row>
    <row r="11288">
      <c r="C11288" s="277"/>
      <c r="M11288" s="277"/>
      <c r="O11288" s="247"/>
      <c r="AC11288" s="247"/>
      <c r="AT11288" s="247"/>
    </row>
    <row r="11289">
      <c r="C11289" s="277"/>
      <c r="M11289" s="277"/>
      <c r="O11289" s="247"/>
      <c r="AC11289" s="247"/>
      <c r="AT11289" s="247"/>
    </row>
    <row r="11290">
      <c r="C11290" s="277"/>
      <c r="M11290" s="277"/>
      <c r="O11290" s="247"/>
      <c r="AC11290" s="247"/>
      <c r="AT11290" s="247"/>
    </row>
    <row r="11291">
      <c r="C11291" s="277"/>
      <c r="M11291" s="277"/>
      <c r="O11291" s="247"/>
      <c r="AC11291" s="247"/>
      <c r="AT11291" s="247"/>
    </row>
    <row r="11292">
      <c r="C11292" s="277"/>
      <c r="M11292" s="277"/>
      <c r="O11292" s="247"/>
      <c r="AC11292" s="247"/>
      <c r="AT11292" s="247"/>
    </row>
    <row r="11293">
      <c r="C11293" s="277"/>
      <c r="M11293" s="277"/>
      <c r="O11293" s="247"/>
      <c r="AC11293" s="247"/>
      <c r="AT11293" s="247"/>
    </row>
    <row r="11294">
      <c r="C11294" s="277"/>
      <c r="M11294" s="277"/>
      <c r="O11294" s="247"/>
      <c r="AC11294" s="247"/>
      <c r="AT11294" s="247"/>
    </row>
    <row r="11295">
      <c r="C11295" s="277"/>
      <c r="M11295" s="277"/>
      <c r="O11295" s="247"/>
      <c r="AC11295" s="247"/>
      <c r="AT11295" s="247"/>
    </row>
    <row r="11296">
      <c r="C11296" s="277"/>
      <c r="M11296" s="277"/>
      <c r="O11296" s="247"/>
      <c r="AC11296" s="247"/>
      <c r="AT11296" s="247"/>
    </row>
    <row r="11297">
      <c r="C11297" s="277"/>
      <c r="M11297" s="277"/>
      <c r="O11297" s="247"/>
      <c r="AC11297" s="247"/>
      <c r="AT11297" s="247"/>
    </row>
    <row r="11298">
      <c r="C11298" s="277"/>
      <c r="M11298" s="277"/>
      <c r="O11298" s="247"/>
      <c r="AC11298" s="247"/>
      <c r="AT11298" s="247"/>
    </row>
    <row r="11299">
      <c r="C11299" s="277"/>
      <c r="M11299" s="277"/>
      <c r="O11299" s="247"/>
      <c r="AC11299" s="247"/>
      <c r="AT11299" s="247"/>
    </row>
    <row r="11300">
      <c r="C11300" s="277"/>
      <c r="M11300" s="277"/>
      <c r="O11300" s="247"/>
      <c r="AC11300" s="247"/>
      <c r="AT11300" s="247"/>
    </row>
    <row r="11301">
      <c r="C11301" s="277"/>
      <c r="M11301" s="277"/>
      <c r="O11301" s="247"/>
      <c r="AC11301" s="247"/>
      <c r="AT11301" s="247"/>
    </row>
    <row r="11302">
      <c r="C11302" s="277"/>
      <c r="M11302" s="277"/>
      <c r="O11302" s="247"/>
      <c r="AC11302" s="247"/>
      <c r="AT11302" s="247"/>
    </row>
    <row r="11303">
      <c r="C11303" s="277"/>
      <c r="M11303" s="277"/>
      <c r="O11303" s="247"/>
      <c r="AC11303" s="247"/>
      <c r="AT11303" s="247"/>
    </row>
    <row r="11304">
      <c r="C11304" s="277"/>
      <c r="M11304" s="277"/>
      <c r="O11304" s="247"/>
      <c r="AC11304" s="247"/>
      <c r="AT11304" s="247"/>
    </row>
    <row r="11305">
      <c r="C11305" s="277"/>
      <c r="M11305" s="277"/>
      <c r="O11305" s="247"/>
      <c r="AC11305" s="247"/>
      <c r="AT11305" s="247"/>
    </row>
    <row r="11306">
      <c r="C11306" s="277"/>
      <c r="M11306" s="277"/>
      <c r="O11306" s="247"/>
      <c r="AC11306" s="247"/>
      <c r="AT11306" s="247"/>
    </row>
    <row r="11307">
      <c r="C11307" s="277"/>
      <c r="M11307" s="277"/>
      <c r="O11307" s="247"/>
      <c r="AC11307" s="247"/>
      <c r="AT11307" s="247"/>
    </row>
    <row r="11308">
      <c r="C11308" s="277"/>
      <c r="M11308" s="277"/>
      <c r="O11308" s="247"/>
      <c r="AC11308" s="247"/>
      <c r="AT11308" s="247"/>
    </row>
    <row r="11309">
      <c r="C11309" s="277"/>
      <c r="M11309" s="277"/>
      <c r="O11309" s="247"/>
      <c r="AC11309" s="247"/>
      <c r="AT11309" s="247"/>
    </row>
    <row r="11310">
      <c r="C11310" s="277"/>
      <c r="M11310" s="277"/>
      <c r="O11310" s="247"/>
      <c r="AC11310" s="247"/>
      <c r="AT11310" s="247"/>
    </row>
    <row r="11311">
      <c r="C11311" s="277"/>
      <c r="M11311" s="277"/>
      <c r="O11311" s="247"/>
      <c r="AC11311" s="247"/>
      <c r="AT11311" s="247"/>
    </row>
    <row r="11312">
      <c r="C11312" s="277"/>
      <c r="M11312" s="277"/>
      <c r="O11312" s="247"/>
      <c r="AC11312" s="247"/>
      <c r="AT11312" s="247"/>
    </row>
    <row r="11313">
      <c r="C11313" s="277"/>
      <c r="M11313" s="277"/>
      <c r="O11313" s="247"/>
      <c r="AC11313" s="247"/>
      <c r="AT11313" s="247"/>
    </row>
    <row r="11314">
      <c r="C11314" s="277"/>
      <c r="M11314" s="277"/>
      <c r="O11314" s="247"/>
      <c r="AC11314" s="247"/>
      <c r="AT11314" s="247"/>
    </row>
    <row r="11315">
      <c r="C11315" s="277"/>
      <c r="M11315" s="277"/>
      <c r="O11315" s="247"/>
      <c r="AC11315" s="247"/>
      <c r="AT11315" s="247"/>
    </row>
    <row r="11316">
      <c r="C11316" s="277"/>
      <c r="M11316" s="277"/>
      <c r="O11316" s="247"/>
      <c r="AC11316" s="247"/>
      <c r="AT11316" s="247"/>
    </row>
    <row r="11317">
      <c r="C11317" s="277"/>
      <c r="M11317" s="277"/>
      <c r="O11317" s="247"/>
      <c r="AC11317" s="247"/>
      <c r="AT11317" s="247"/>
    </row>
    <row r="11318">
      <c r="C11318" s="277"/>
      <c r="M11318" s="277"/>
      <c r="O11318" s="247"/>
      <c r="AC11318" s="247"/>
      <c r="AT11318" s="247"/>
    </row>
    <row r="11319">
      <c r="C11319" s="277"/>
      <c r="M11319" s="277"/>
      <c r="O11319" s="247"/>
      <c r="AC11319" s="247"/>
      <c r="AT11319" s="247"/>
    </row>
    <row r="11320">
      <c r="C11320" s="277"/>
      <c r="M11320" s="277"/>
      <c r="O11320" s="247"/>
      <c r="AC11320" s="247"/>
      <c r="AT11320" s="247"/>
    </row>
    <row r="11321">
      <c r="C11321" s="277"/>
      <c r="M11321" s="277"/>
      <c r="O11321" s="247"/>
      <c r="AC11321" s="247"/>
      <c r="AT11321" s="247"/>
    </row>
    <row r="11322">
      <c r="C11322" s="277"/>
      <c r="M11322" s="277"/>
      <c r="O11322" s="247"/>
      <c r="AC11322" s="247"/>
      <c r="AT11322" s="247"/>
    </row>
    <row r="11323">
      <c r="C11323" s="277"/>
      <c r="M11323" s="277"/>
      <c r="O11323" s="247"/>
      <c r="AC11323" s="247"/>
      <c r="AT11323" s="247"/>
    </row>
    <row r="11324">
      <c r="C11324" s="277"/>
      <c r="M11324" s="277"/>
      <c r="O11324" s="247"/>
      <c r="AC11324" s="247"/>
      <c r="AT11324" s="247"/>
    </row>
    <row r="11325">
      <c r="C11325" s="277"/>
      <c r="M11325" s="277"/>
      <c r="O11325" s="247"/>
      <c r="AC11325" s="247"/>
      <c r="AT11325" s="247"/>
    </row>
    <row r="11326">
      <c r="C11326" s="277"/>
      <c r="M11326" s="277"/>
      <c r="O11326" s="247"/>
      <c r="AC11326" s="247"/>
      <c r="AT11326" s="247"/>
    </row>
    <row r="11327">
      <c r="C11327" s="277"/>
      <c r="M11327" s="277"/>
      <c r="O11327" s="247"/>
      <c r="AC11327" s="247"/>
      <c r="AT11327" s="247"/>
    </row>
    <row r="11328">
      <c r="C11328" s="277"/>
      <c r="M11328" s="277"/>
      <c r="O11328" s="247"/>
      <c r="AC11328" s="247"/>
      <c r="AT11328" s="247"/>
    </row>
    <row r="11329">
      <c r="C11329" s="277"/>
      <c r="M11329" s="277"/>
      <c r="O11329" s="247"/>
      <c r="AC11329" s="247"/>
      <c r="AT11329" s="247"/>
    </row>
    <row r="11330">
      <c r="C11330" s="277"/>
      <c r="M11330" s="277"/>
      <c r="O11330" s="247"/>
      <c r="AC11330" s="247"/>
      <c r="AT11330" s="247"/>
    </row>
    <row r="11331">
      <c r="C11331" s="277"/>
      <c r="M11331" s="277"/>
      <c r="O11331" s="247"/>
      <c r="AC11331" s="247"/>
      <c r="AT11331" s="247"/>
    </row>
    <row r="11332">
      <c r="C11332" s="277"/>
      <c r="M11332" s="277"/>
      <c r="O11332" s="247"/>
      <c r="AC11332" s="247"/>
      <c r="AT11332" s="247"/>
    </row>
    <row r="11333">
      <c r="C11333" s="277"/>
      <c r="M11333" s="277"/>
      <c r="O11333" s="247"/>
      <c r="AC11333" s="247"/>
      <c r="AT11333" s="247"/>
    </row>
    <row r="11334">
      <c r="C11334" s="277"/>
      <c r="M11334" s="277"/>
      <c r="O11334" s="247"/>
      <c r="AC11334" s="247"/>
      <c r="AT11334" s="247"/>
    </row>
    <row r="11335">
      <c r="C11335" s="277"/>
      <c r="M11335" s="277"/>
      <c r="O11335" s="247"/>
      <c r="AC11335" s="247"/>
      <c r="AT11335" s="247"/>
    </row>
    <row r="11336">
      <c r="C11336" s="277"/>
      <c r="M11336" s="277"/>
      <c r="O11336" s="247"/>
      <c r="AC11336" s="247"/>
      <c r="AT11336" s="247"/>
    </row>
    <row r="11337">
      <c r="C11337" s="277"/>
      <c r="M11337" s="277"/>
      <c r="O11337" s="247"/>
      <c r="AC11337" s="247"/>
      <c r="AT11337" s="247"/>
    </row>
    <row r="11338">
      <c r="C11338" s="277"/>
      <c r="M11338" s="277"/>
      <c r="O11338" s="247"/>
      <c r="AC11338" s="247"/>
      <c r="AT11338" s="247"/>
    </row>
    <row r="11339">
      <c r="C11339" s="277"/>
      <c r="M11339" s="277"/>
      <c r="O11339" s="247"/>
      <c r="AC11339" s="247"/>
      <c r="AT11339" s="247"/>
    </row>
    <row r="11340">
      <c r="C11340" s="277"/>
      <c r="M11340" s="277"/>
      <c r="O11340" s="247"/>
      <c r="AC11340" s="247"/>
      <c r="AT11340" s="247"/>
    </row>
    <row r="11341">
      <c r="C11341" s="277"/>
      <c r="M11341" s="277"/>
      <c r="O11341" s="247"/>
      <c r="AC11341" s="247"/>
      <c r="AT11341" s="247"/>
    </row>
    <row r="11342">
      <c r="C11342" s="277"/>
      <c r="M11342" s="277"/>
      <c r="O11342" s="247"/>
      <c r="AC11342" s="247"/>
      <c r="AT11342" s="247"/>
    </row>
    <row r="11343">
      <c r="C11343" s="277"/>
      <c r="M11343" s="277"/>
      <c r="O11343" s="247"/>
      <c r="AC11343" s="247"/>
      <c r="AT11343" s="247"/>
    </row>
    <row r="11344">
      <c r="C11344" s="277"/>
      <c r="M11344" s="277"/>
      <c r="O11344" s="247"/>
      <c r="AC11344" s="247"/>
      <c r="AT11344" s="247"/>
    </row>
    <row r="11345">
      <c r="C11345" s="277"/>
      <c r="M11345" s="277"/>
      <c r="O11345" s="247"/>
      <c r="AC11345" s="247"/>
      <c r="AT11345" s="247"/>
    </row>
    <row r="11346">
      <c r="C11346" s="277"/>
      <c r="M11346" s="277"/>
      <c r="O11346" s="247"/>
      <c r="AC11346" s="247"/>
      <c r="AT11346" s="247"/>
    </row>
    <row r="11347">
      <c r="C11347" s="277"/>
      <c r="M11347" s="277"/>
      <c r="O11347" s="247"/>
      <c r="AC11347" s="247"/>
      <c r="AT11347" s="247"/>
    </row>
    <row r="11348">
      <c r="C11348" s="277"/>
      <c r="M11348" s="277"/>
      <c r="O11348" s="247"/>
      <c r="AC11348" s="247"/>
      <c r="AT11348" s="247"/>
    </row>
    <row r="11349">
      <c r="C11349" s="277"/>
      <c r="M11349" s="277"/>
      <c r="O11349" s="247"/>
      <c r="AC11349" s="247"/>
      <c r="AT11349" s="247"/>
    </row>
    <row r="11350">
      <c r="C11350" s="277"/>
      <c r="M11350" s="277"/>
      <c r="O11350" s="247"/>
      <c r="AC11350" s="247"/>
      <c r="AT11350" s="247"/>
    </row>
    <row r="11351">
      <c r="C11351" s="277"/>
      <c r="M11351" s="277"/>
      <c r="O11351" s="247"/>
      <c r="AC11351" s="247"/>
      <c r="AT11351" s="247"/>
    </row>
    <row r="11352">
      <c r="C11352" s="277"/>
      <c r="M11352" s="277"/>
      <c r="O11352" s="247"/>
      <c r="AC11352" s="247"/>
      <c r="AT11352" s="247"/>
    </row>
    <row r="11353">
      <c r="C11353" s="277"/>
      <c r="M11353" s="277"/>
      <c r="O11353" s="247"/>
      <c r="AC11353" s="247"/>
      <c r="AT11353" s="247"/>
    </row>
    <row r="11354">
      <c r="C11354" s="277"/>
      <c r="M11354" s="277"/>
      <c r="O11354" s="247"/>
      <c r="AC11354" s="247"/>
      <c r="AT11354" s="247"/>
    </row>
    <row r="11355">
      <c r="C11355" s="277"/>
      <c r="M11355" s="277"/>
      <c r="O11355" s="247"/>
      <c r="AC11355" s="247"/>
      <c r="AT11355" s="247"/>
    </row>
    <row r="11356">
      <c r="C11356" s="277"/>
      <c r="M11356" s="277"/>
      <c r="O11356" s="247"/>
      <c r="AC11356" s="247"/>
      <c r="AT11356" s="247"/>
    </row>
    <row r="11357">
      <c r="C11357" s="277"/>
      <c r="M11357" s="277"/>
      <c r="O11357" s="247"/>
      <c r="AC11357" s="247"/>
      <c r="AT11357" s="247"/>
    </row>
    <row r="11358">
      <c r="C11358" s="277"/>
      <c r="M11358" s="277"/>
      <c r="O11358" s="247"/>
      <c r="AC11358" s="247"/>
      <c r="AT11358" s="247"/>
    </row>
    <row r="11359">
      <c r="C11359" s="277"/>
      <c r="M11359" s="277"/>
      <c r="O11359" s="247"/>
      <c r="AC11359" s="247"/>
      <c r="AT11359" s="247"/>
    </row>
    <row r="11360">
      <c r="C11360" s="277"/>
      <c r="M11360" s="277"/>
      <c r="O11360" s="247"/>
      <c r="AC11360" s="247"/>
      <c r="AT11360" s="247"/>
    </row>
    <row r="11361">
      <c r="C11361" s="277"/>
      <c r="M11361" s="277"/>
      <c r="O11361" s="247"/>
      <c r="AC11361" s="247"/>
      <c r="AT11361" s="247"/>
    </row>
    <row r="11362">
      <c r="C11362" s="277"/>
      <c r="M11362" s="277"/>
      <c r="O11362" s="247"/>
      <c r="AC11362" s="247"/>
      <c r="AT11362" s="247"/>
    </row>
    <row r="11363">
      <c r="C11363" s="277"/>
      <c r="M11363" s="277"/>
      <c r="O11363" s="247"/>
      <c r="AC11363" s="247"/>
      <c r="AT11363" s="247"/>
    </row>
    <row r="11364">
      <c r="C11364" s="277"/>
      <c r="M11364" s="277"/>
      <c r="O11364" s="247"/>
      <c r="AC11364" s="247"/>
      <c r="AT11364" s="247"/>
    </row>
    <row r="11365">
      <c r="C11365" s="277"/>
      <c r="M11365" s="277"/>
      <c r="O11365" s="247"/>
      <c r="AC11365" s="247"/>
      <c r="AT11365" s="247"/>
    </row>
    <row r="11366">
      <c r="C11366" s="277"/>
      <c r="M11366" s="277"/>
      <c r="O11366" s="247"/>
      <c r="AC11366" s="247"/>
      <c r="AT11366" s="247"/>
    </row>
    <row r="11367">
      <c r="C11367" s="277"/>
      <c r="M11367" s="277"/>
      <c r="O11367" s="247"/>
      <c r="AC11367" s="247"/>
      <c r="AT11367" s="247"/>
    </row>
    <row r="11368">
      <c r="C11368" s="277"/>
      <c r="M11368" s="277"/>
      <c r="O11368" s="247"/>
      <c r="AC11368" s="247"/>
      <c r="AT11368" s="247"/>
    </row>
    <row r="11369">
      <c r="C11369" s="277"/>
      <c r="M11369" s="277"/>
      <c r="O11369" s="247"/>
      <c r="AC11369" s="247"/>
      <c r="AT11369" s="247"/>
    </row>
    <row r="11370">
      <c r="C11370" s="277"/>
      <c r="M11370" s="277"/>
      <c r="O11370" s="247"/>
      <c r="AC11370" s="247"/>
      <c r="AT11370" s="247"/>
    </row>
    <row r="11371">
      <c r="C11371" s="277"/>
      <c r="M11371" s="277"/>
      <c r="O11371" s="247"/>
      <c r="AC11371" s="247"/>
      <c r="AT11371" s="247"/>
    </row>
    <row r="11372">
      <c r="C11372" s="277"/>
      <c r="M11372" s="277"/>
      <c r="O11372" s="247"/>
      <c r="AC11372" s="247"/>
      <c r="AT11372" s="247"/>
    </row>
    <row r="11373">
      <c r="C11373" s="277"/>
      <c r="M11373" s="277"/>
      <c r="O11373" s="247"/>
      <c r="AC11373" s="247"/>
      <c r="AT11373" s="247"/>
    </row>
    <row r="11374">
      <c r="C11374" s="277"/>
      <c r="M11374" s="277"/>
      <c r="O11374" s="247"/>
      <c r="AC11374" s="247"/>
      <c r="AT11374" s="247"/>
    </row>
    <row r="11375">
      <c r="C11375" s="277"/>
      <c r="M11375" s="277"/>
      <c r="O11375" s="247"/>
      <c r="AC11375" s="247"/>
      <c r="AT11375" s="247"/>
    </row>
    <row r="11376">
      <c r="C11376" s="277"/>
      <c r="M11376" s="277"/>
      <c r="O11376" s="247"/>
      <c r="AC11376" s="247"/>
      <c r="AT11376" s="247"/>
    </row>
    <row r="11377">
      <c r="C11377" s="277"/>
      <c r="M11377" s="277"/>
      <c r="O11377" s="247"/>
      <c r="AC11377" s="247"/>
      <c r="AT11377" s="247"/>
    </row>
    <row r="11378">
      <c r="C11378" s="277"/>
      <c r="M11378" s="277"/>
      <c r="O11378" s="247"/>
      <c r="AC11378" s="247"/>
      <c r="AT11378" s="247"/>
    </row>
    <row r="11379">
      <c r="C11379" s="277"/>
      <c r="M11379" s="277"/>
      <c r="O11379" s="247"/>
      <c r="AC11379" s="247"/>
      <c r="AT11379" s="247"/>
    </row>
    <row r="11380">
      <c r="C11380" s="277"/>
      <c r="M11380" s="277"/>
      <c r="O11380" s="247"/>
      <c r="AC11380" s="247"/>
      <c r="AT11380" s="247"/>
    </row>
    <row r="11381">
      <c r="C11381" s="277"/>
      <c r="M11381" s="277"/>
      <c r="O11381" s="247"/>
      <c r="AC11381" s="247"/>
      <c r="AT11381" s="247"/>
    </row>
    <row r="11382">
      <c r="C11382" s="277"/>
      <c r="M11382" s="277"/>
      <c r="O11382" s="247"/>
      <c r="AC11382" s="247"/>
      <c r="AT11382" s="247"/>
    </row>
    <row r="11383">
      <c r="C11383" s="277"/>
      <c r="M11383" s="277"/>
      <c r="O11383" s="247"/>
      <c r="AC11383" s="247"/>
      <c r="AT11383" s="247"/>
    </row>
    <row r="11384">
      <c r="C11384" s="277"/>
      <c r="M11384" s="277"/>
      <c r="O11384" s="247"/>
      <c r="AC11384" s="247"/>
      <c r="AT11384" s="247"/>
    </row>
    <row r="11385">
      <c r="C11385" s="277"/>
      <c r="M11385" s="277"/>
      <c r="O11385" s="247"/>
      <c r="AC11385" s="247"/>
      <c r="AT11385" s="247"/>
    </row>
    <row r="11386">
      <c r="C11386" s="277"/>
      <c r="M11386" s="277"/>
      <c r="O11386" s="247"/>
      <c r="AC11386" s="247"/>
      <c r="AT11386" s="247"/>
    </row>
    <row r="11387">
      <c r="C11387" s="277"/>
      <c r="M11387" s="277"/>
      <c r="O11387" s="247"/>
      <c r="AC11387" s="247"/>
      <c r="AT11387" s="247"/>
    </row>
    <row r="11388">
      <c r="C11388" s="277"/>
      <c r="M11388" s="277"/>
      <c r="O11388" s="247"/>
      <c r="AC11388" s="247"/>
      <c r="AT11388" s="247"/>
    </row>
    <row r="11389">
      <c r="C11389" s="277"/>
      <c r="M11389" s="277"/>
      <c r="O11389" s="247"/>
      <c r="AC11389" s="247"/>
      <c r="AT11389" s="247"/>
    </row>
    <row r="11390">
      <c r="C11390" s="277"/>
      <c r="M11390" s="277"/>
      <c r="O11390" s="247"/>
      <c r="AC11390" s="247"/>
      <c r="AT11390" s="247"/>
    </row>
    <row r="11391">
      <c r="C11391" s="277"/>
      <c r="M11391" s="277"/>
      <c r="O11391" s="247"/>
      <c r="AC11391" s="247"/>
      <c r="AT11391" s="247"/>
    </row>
    <row r="11392">
      <c r="C11392" s="277"/>
      <c r="M11392" s="277"/>
      <c r="O11392" s="247"/>
      <c r="AC11392" s="247"/>
      <c r="AT11392" s="247"/>
    </row>
    <row r="11393">
      <c r="C11393" s="277"/>
      <c r="M11393" s="277"/>
      <c r="O11393" s="247"/>
      <c r="AC11393" s="247"/>
      <c r="AT11393" s="247"/>
    </row>
    <row r="11394">
      <c r="C11394" s="277"/>
      <c r="M11394" s="277"/>
      <c r="O11394" s="247"/>
      <c r="AC11394" s="247"/>
      <c r="AT11394" s="247"/>
    </row>
    <row r="11395">
      <c r="C11395" s="277"/>
      <c r="M11395" s="277"/>
      <c r="O11395" s="247"/>
      <c r="AC11395" s="247"/>
      <c r="AT11395" s="247"/>
    </row>
    <row r="11396">
      <c r="C11396" s="277"/>
      <c r="M11396" s="277"/>
      <c r="O11396" s="247"/>
      <c r="AC11396" s="247"/>
      <c r="AT11396" s="247"/>
    </row>
    <row r="11397">
      <c r="C11397" s="277"/>
      <c r="M11397" s="277"/>
      <c r="O11397" s="247"/>
      <c r="AC11397" s="247"/>
      <c r="AT11397" s="247"/>
    </row>
    <row r="11398">
      <c r="C11398" s="277"/>
      <c r="M11398" s="277"/>
      <c r="O11398" s="247"/>
      <c r="AC11398" s="247"/>
      <c r="AT11398" s="247"/>
    </row>
    <row r="11399">
      <c r="C11399" s="277"/>
      <c r="M11399" s="277"/>
      <c r="O11399" s="247"/>
      <c r="AC11399" s="247"/>
      <c r="AT11399" s="247"/>
    </row>
    <row r="11400">
      <c r="C11400" s="277"/>
      <c r="M11400" s="277"/>
      <c r="O11400" s="247"/>
      <c r="AC11400" s="247"/>
      <c r="AT11400" s="247"/>
    </row>
    <row r="11401">
      <c r="C11401" s="277"/>
      <c r="M11401" s="277"/>
      <c r="O11401" s="247"/>
      <c r="AC11401" s="247"/>
      <c r="AT11401" s="247"/>
    </row>
    <row r="11402">
      <c r="C11402" s="277"/>
      <c r="M11402" s="277"/>
      <c r="O11402" s="247"/>
      <c r="AC11402" s="247"/>
      <c r="AT11402" s="247"/>
    </row>
    <row r="11403">
      <c r="C11403" s="277"/>
      <c r="M11403" s="277"/>
      <c r="O11403" s="247"/>
      <c r="AC11403" s="247"/>
      <c r="AT11403" s="247"/>
    </row>
    <row r="11404">
      <c r="C11404" s="277"/>
      <c r="M11404" s="277"/>
      <c r="O11404" s="247"/>
      <c r="AC11404" s="247"/>
      <c r="AT11404" s="247"/>
    </row>
    <row r="11405">
      <c r="C11405" s="277"/>
      <c r="M11405" s="277"/>
      <c r="O11405" s="247"/>
      <c r="AC11405" s="247"/>
      <c r="AT11405" s="247"/>
    </row>
    <row r="11406">
      <c r="C11406" s="277"/>
      <c r="M11406" s="277"/>
      <c r="O11406" s="247"/>
      <c r="AC11406" s="247"/>
      <c r="AT11406" s="247"/>
    </row>
    <row r="11407">
      <c r="C11407" s="277"/>
      <c r="M11407" s="277"/>
      <c r="O11407" s="247"/>
      <c r="AC11407" s="247"/>
      <c r="AT11407" s="247"/>
    </row>
    <row r="11408">
      <c r="C11408" s="277"/>
      <c r="M11408" s="277"/>
      <c r="O11408" s="247"/>
      <c r="AC11408" s="247"/>
      <c r="AT11408" s="247"/>
    </row>
    <row r="11409">
      <c r="C11409" s="277"/>
      <c r="M11409" s="277"/>
      <c r="O11409" s="247"/>
      <c r="AC11409" s="247"/>
      <c r="AT11409" s="247"/>
    </row>
    <row r="11410">
      <c r="C11410" s="277"/>
      <c r="M11410" s="277"/>
      <c r="O11410" s="247"/>
      <c r="AC11410" s="247"/>
      <c r="AT11410" s="247"/>
    </row>
    <row r="11411">
      <c r="C11411" s="277"/>
      <c r="M11411" s="277"/>
      <c r="O11411" s="247"/>
      <c r="AC11411" s="247"/>
      <c r="AT11411" s="247"/>
    </row>
    <row r="11412">
      <c r="C11412" s="277"/>
      <c r="M11412" s="277"/>
      <c r="O11412" s="247"/>
      <c r="AC11412" s="247"/>
      <c r="AT11412" s="247"/>
    </row>
    <row r="11413">
      <c r="C11413" s="277"/>
      <c r="M11413" s="277"/>
      <c r="O11413" s="247"/>
      <c r="AC11413" s="247"/>
      <c r="AT11413" s="247"/>
    </row>
    <row r="11414">
      <c r="C11414" s="277"/>
      <c r="M11414" s="277"/>
      <c r="O11414" s="247"/>
      <c r="AC11414" s="247"/>
      <c r="AT11414" s="247"/>
    </row>
    <row r="11415">
      <c r="C11415" s="277"/>
      <c r="M11415" s="277"/>
      <c r="O11415" s="247"/>
      <c r="AC11415" s="247"/>
      <c r="AT11415" s="247"/>
    </row>
    <row r="11416">
      <c r="C11416" s="277"/>
      <c r="M11416" s="277"/>
      <c r="O11416" s="247"/>
      <c r="AC11416" s="247"/>
      <c r="AT11416" s="247"/>
    </row>
    <row r="11417">
      <c r="C11417" s="277"/>
      <c r="M11417" s="277"/>
      <c r="O11417" s="247"/>
      <c r="AC11417" s="247"/>
      <c r="AT11417" s="247"/>
    </row>
    <row r="11418">
      <c r="C11418" s="277"/>
      <c r="M11418" s="277"/>
      <c r="O11418" s="247"/>
      <c r="AC11418" s="247"/>
      <c r="AT11418" s="247"/>
    </row>
    <row r="11419">
      <c r="C11419" s="277"/>
      <c r="M11419" s="277"/>
      <c r="O11419" s="247"/>
      <c r="AC11419" s="247"/>
      <c r="AT11419" s="247"/>
    </row>
    <row r="11420">
      <c r="C11420" s="277"/>
      <c r="M11420" s="277"/>
      <c r="O11420" s="247"/>
      <c r="AC11420" s="247"/>
      <c r="AT11420" s="247"/>
    </row>
    <row r="11421">
      <c r="C11421" s="277"/>
      <c r="M11421" s="277"/>
      <c r="O11421" s="247"/>
      <c r="AC11421" s="247"/>
      <c r="AT11421" s="247"/>
    </row>
    <row r="11422">
      <c r="C11422" s="277"/>
      <c r="M11422" s="277"/>
      <c r="O11422" s="247"/>
      <c r="AC11422" s="247"/>
      <c r="AT11422" s="247"/>
    </row>
    <row r="11423">
      <c r="C11423" s="277"/>
      <c r="M11423" s="277"/>
      <c r="O11423" s="247"/>
      <c r="AC11423" s="247"/>
      <c r="AT11423" s="247"/>
    </row>
    <row r="11424">
      <c r="C11424" s="277"/>
      <c r="M11424" s="277"/>
      <c r="O11424" s="247"/>
      <c r="AC11424" s="247"/>
      <c r="AT11424" s="247"/>
    </row>
    <row r="11425">
      <c r="C11425" s="277"/>
      <c r="M11425" s="277"/>
      <c r="O11425" s="247"/>
      <c r="AC11425" s="247"/>
      <c r="AT11425" s="247"/>
    </row>
    <row r="11426">
      <c r="C11426" s="277"/>
      <c r="M11426" s="277"/>
      <c r="O11426" s="247"/>
      <c r="AC11426" s="247"/>
      <c r="AT11426" s="247"/>
    </row>
    <row r="11427">
      <c r="C11427" s="277"/>
      <c r="M11427" s="277"/>
      <c r="O11427" s="247"/>
      <c r="AC11427" s="247"/>
      <c r="AT11427" s="247"/>
    </row>
    <row r="11428">
      <c r="C11428" s="277"/>
      <c r="M11428" s="277"/>
      <c r="O11428" s="247"/>
      <c r="AC11428" s="247"/>
      <c r="AT11428" s="247"/>
    </row>
    <row r="11429">
      <c r="C11429" s="277"/>
      <c r="M11429" s="277"/>
      <c r="O11429" s="247"/>
      <c r="AC11429" s="247"/>
      <c r="AT11429" s="247"/>
    </row>
    <row r="11430">
      <c r="C11430" s="277"/>
      <c r="M11430" s="277"/>
      <c r="O11430" s="247"/>
      <c r="AC11430" s="247"/>
      <c r="AT11430" s="247"/>
    </row>
    <row r="11431">
      <c r="C11431" s="277"/>
      <c r="M11431" s="277"/>
      <c r="O11431" s="247"/>
      <c r="AC11431" s="247"/>
      <c r="AT11431" s="247"/>
    </row>
    <row r="11432">
      <c r="C11432" s="277"/>
      <c r="M11432" s="277"/>
      <c r="O11432" s="247"/>
      <c r="AC11432" s="247"/>
      <c r="AT11432" s="247"/>
    </row>
    <row r="11433">
      <c r="C11433" s="277"/>
      <c r="M11433" s="277"/>
      <c r="O11433" s="247"/>
      <c r="AC11433" s="247"/>
      <c r="AT11433" s="247"/>
    </row>
    <row r="11434">
      <c r="C11434" s="277"/>
      <c r="M11434" s="277"/>
      <c r="O11434" s="247"/>
      <c r="AC11434" s="247"/>
      <c r="AT11434" s="247"/>
    </row>
    <row r="11435">
      <c r="C11435" s="277"/>
      <c r="M11435" s="277"/>
      <c r="O11435" s="247"/>
      <c r="AC11435" s="247"/>
      <c r="AT11435" s="247"/>
    </row>
    <row r="11436">
      <c r="C11436" s="277"/>
      <c r="M11436" s="277"/>
      <c r="O11436" s="247"/>
      <c r="AC11436" s="247"/>
      <c r="AT11436" s="247"/>
    </row>
    <row r="11437">
      <c r="C11437" s="277"/>
      <c r="M11437" s="277"/>
      <c r="O11437" s="247"/>
      <c r="AC11437" s="247"/>
      <c r="AT11437" s="247"/>
    </row>
    <row r="11438">
      <c r="C11438" s="277"/>
      <c r="M11438" s="277"/>
      <c r="O11438" s="247"/>
      <c r="AC11438" s="247"/>
      <c r="AT11438" s="247"/>
    </row>
    <row r="11439">
      <c r="C11439" s="277"/>
      <c r="M11439" s="277"/>
      <c r="O11439" s="247"/>
      <c r="AC11439" s="247"/>
      <c r="AT11439" s="247"/>
    </row>
    <row r="11440">
      <c r="C11440" s="277"/>
      <c r="M11440" s="277"/>
      <c r="O11440" s="247"/>
      <c r="AC11440" s="247"/>
      <c r="AT11440" s="247"/>
    </row>
    <row r="11441">
      <c r="C11441" s="277"/>
      <c r="M11441" s="277"/>
      <c r="O11441" s="247"/>
      <c r="AC11441" s="247"/>
      <c r="AT11441" s="247"/>
    </row>
    <row r="11442">
      <c r="C11442" s="277"/>
      <c r="M11442" s="277"/>
      <c r="O11442" s="247"/>
      <c r="AC11442" s="247"/>
      <c r="AT11442" s="247"/>
    </row>
    <row r="11443">
      <c r="C11443" s="277"/>
      <c r="M11443" s="277"/>
      <c r="O11443" s="247"/>
      <c r="AC11443" s="247"/>
      <c r="AT11443" s="247"/>
    </row>
    <row r="11444">
      <c r="C11444" s="277"/>
      <c r="M11444" s="277"/>
      <c r="O11444" s="247"/>
      <c r="AC11444" s="247"/>
      <c r="AT11444" s="247"/>
    </row>
    <row r="11445">
      <c r="C11445" s="277"/>
      <c r="M11445" s="277"/>
      <c r="O11445" s="247"/>
      <c r="AC11445" s="247"/>
      <c r="AT11445" s="247"/>
    </row>
    <row r="11446">
      <c r="C11446" s="277"/>
      <c r="M11446" s="277"/>
      <c r="O11446" s="247"/>
      <c r="AC11446" s="247"/>
      <c r="AT11446" s="247"/>
    </row>
    <row r="11447">
      <c r="C11447" s="277"/>
      <c r="M11447" s="277"/>
      <c r="O11447" s="247"/>
      <c r="AC11447" s="247"/>
      <c r="AT11447" s="247"/>
    </row>
    <row r="11448">
      <c r="C11448" s="277"/>
      <c r="M11448" s="277"/>
      <c r="O11448" s="247"/>
      <c r="AC11448" s="247"/>
      <c r="AT11448" s="247"/>
    </row>
    <row r="11449">
      <c r="C11449" s="277"/>
      <c r="M11449" s="277"/>
      <c r="O11449" s="247"/>
      <c r="AC11449" s="247"/>
      <c r="AT11449" s="247"/>
    </row>
    <row r="11450">
      <c r="C11450" s="277"/>
      <c r="M11450" s="277"/>
      <c r="O11450" s="247"/>
      <c r="AC11450" s="247"/>
      <c r="AT11450" s="247"/>
    </row>
    <row r="11451">
      <c r="C11451" s="277"/>
      <c r="M11451" s="277"/>
      <c r="O11451" s="247"/>
      <c r="AC11451" s="247"/>
      <c r="AT11451" s="247"/>
    </row>
    <row r="11452">
      <c r="C11452" s="277"/>
      <c r="M11452" s="277"/>
      <c r="O11452" s="247"/>
      <c r="AC11452" s="247"/>
      <c r="AT11452" s="247"/>
    </row>
    <row r="11453">
      <c r="C11453" s="277"/>
      <c r="M11453" s="277"/>
      <c r="O11453" s="247"/>
      <c r="AC11453" s="247"/>
      <c r="AT11453" s="247"/>
    </row>
    <row r="11454">
      <c r="C11454" s="277"/>
      <c r="M11454" s="277"/>
      <c r="O11454" s="247"/>
      <c r="AC11454" s="247"/>
      <c r="AT11454" s="247"/>
    </row>
    <row r="11455">
      <c r="C11455" s="277"/>
      <c r="M11455" s="277"/>
      <c r="O11455" s="247"/>
      <c r="AC11455" s="247"/>
      <c r="AT11455" s="247"/>
    </row>
    <row r="11456">
      <c r="C11456" s="277"/>
      <c r="M11456" s="277"/>
      <c r="O11456" s="247"/>
      <c r="AC11456" s="247"/>
      <c r="AT11456" s="247"/>
    </row>
    <row r="11457">
      <c r="C11457" s="277"/>
      <c r="M11457" s="277"/>
      <c r="O11457" s="247"/>
      <c r="AC11457" s="247"/>
      <c r="AT11457" s="247"/>
    </row>
    <row r="11458">
      <c r="C11458" s="277"/>
      <c r="M11458" s="277"/>
      <c r="O11458" s="247"/>
      <c r="AC11458" s="247"/>
      <c r="AT11458" s="247"/>
    </row>
    <row r="11459">
      <c r="C11459" s="277"/>
      <c r="M11459" s="277"/>
      <c r="O11459" s="247"/>
      <c r="AC11459" s="247"/>
      <c r="AT11459" s="247"/>
    </row>
    <row r="11460">
      <c r="C11460" s="277"/>
      <c r="M11460" s="277"/>
      <c r="O11460" s="247"/>
      <c r="AC11460" s="247"/>
      <c r="AT11460" s="247"/>
    </row>
    <row r="11461">
      <c r="C11461" s="277"/>
      <c r="M11461" s="277"/>
      <c r="O11461" s="247"/>
      <c r="AC11461" s="247"/>
      <c r="AT11461" s="247"/>
    </row>
    <row r="11462">
      <c r="C11462" s="277"/>
      <c r="M11462" s="277"/>
      <c r="O11462" s="247"/>
      <c r="AC11462" s="247"/>
      <c r="AT11462" s="247"/>
    </row>
    <row r="11463">
      <c r="C11463" s="277"/>
      <c r="M11463" s="277"/>
      <c r="O11463" s="247"/>
      <c r="AC11463" s="247"/>
      <c r="AT11463" s="247"/>
    </row>
    <row r="11464">
      <c r="C11464" s="277"/>
      <c r="M11464" s="277"/>
      <c r="O11464" s="247"/>
      <c r="AC11464" s="247"/>
      <c r="AT11464" s="247"/>
    </row>
    <row r="11465">
      <c r="C11465" s="277"/>
      <c r="M11465" s="277"/>
      <c r="O11465" s="247"/>
      <c r="AC11465" s="247"/>
      <c r="AT11465" s="247"/>
    </row>
    <row r="11466">
      <c r="C11466" s="277"/>
      <c r="M11466" s="277"/>
      <c r="O11466" s="247"/>
      <c r="AC11466" s="247"/>
      <c r="AT11466" s="247"/>
    </row>
    <row r="11467">
      <c r="C11467" s="277"/>
      <c r="M11467" s="277"/>
      <c r="O11467" s="247"/>
      <c r="AC11467" s="247"/>
      <c r="AT11467" s="247"/>
    </row>
    <row r="11468">
      <c r="C11468" s="277"/>
      <c r="M11468" s="277"/>
      <c r="O11468" s="247"/>
      <c r="AC11468" s="247"/>
      <c r="AT11468" s="247"/>
    </row>
    <row r="11469">
      <c r="C11469" s="277"/>
      <c r="M11469" s="277"/>
      <c r="O11469" s="247"/>
      <c r="AC11469" s="247"/>
      <c r="AT11469" s="247"/>
    </row>
    <row r="11470">
      <c r="C11470" s="277"/>
      <c r="M11470" s="277"/>
      <c r="O11470" s="247"/>
      <c r="AC11470" s="247"/>
      <c r="AT11470" s="247"/>
    </row>
    <row r="11471">
      <c r="C11471" s="277"/>
      <c r="M11471" s="277"/>
      <c r="O11471" s="247"/>
      <c r="AC11471" s="247"/>
      <c r="AT11471" s="247"/>
    </row>
    <row r="11472">
      <c r="C11472" s="277"/>
      <c r="M11472" s="277"/>
      <c r="O11472" s="247"/>
      <c r="AC11472" s="247"/>
      <c r="AT11472" s="247"/>
    </row>
    <row r="11473">
      <c r="C11473" s="277"/>
      <c r="M11473" s="277"/>
      <c r="O11473" s="247"/>
      <c r="AC11473" s="247"/>
      <c r="AT11473" s="247"/>
    </row>
    <row r="11474">
      <c r="C11474" s="277"/>
      <c r="M11474" s="277"/>
      <c r="O11474" s="247"/>
      <c r="AC11474" s="247"/>
      <c r="AT11474" s="247"/>
    </row>
    <row r="11475">
      <c r="C11475" s="277"/>
      <c r="M11475" s="277"/>
      <c r="O11475" s="247"/>
      <c r="AC11475" s="247"/>
      <c r="AT11475" s="247"/>
    </row>
    <row r="11476">
      <c r="C11476" s="277"/>
      <c r="M11476" s="277"/>
      <c r="O11476" s="247"/>
      <c r="AC11476" s="247"/>
      <c r="AT11476" s="247"/>
    </row>
    <row r="11477">
      <c r="C11477" s="277"/>
      <c r="M11477" s="277"/>
      <c r="O11477" s="247"/>
      <c r="AC11477" s="247"/>
      <c r="AT11477" s="247"/>
    </row>
    <row r="11478">
      <c r="C11478" s="277"/>
      <c r="M11478" s="277"/>
      <c r="O11478" s="247"/>
      <c r="AC11478" s="247"/>
      <c r="AT11478" s="247"/>
    </row>
    <row r="11479">
      <c r="C11479" s="277"/>
      <c r="M11479" s="277"/>
      <c r="O11479" s="247"/>
      <c r="AC11479" s="247"/>
      <c r="AT11479" s="247"/>
    </row>
    <row r="11480">
      <c r="C11480" s="277"/>
      <c r="M11480" s="277"/>
      <c r="O11480" s="247"/>
      <c r="AC11480" s="247"/>
      <c r="AT11480" s="247"/>
    </row>
    <row r="11481">
      <c r="C11481" s="277"/>
      <c r="M11481" s="277"/>
      <c r="O11481" s="247"/>
      <c r="AC11481" s="247"/>
      <c r="AT11481" s="247"/>
    </row>
    <row r="11482">
      <c r="C11482" s="277"/>
      <c r="M11482" s="277"/>
      <c r="O11482" s="247"/>
      <c r="AC11482" s="247"/>
      <c r="AT11482" s="247"/>
    </row>
    <row r="11483">
      <c r="C11483" s="277"/>
      <c r="M11483" s="277"/>
      <c r="O11483" s="247"/>
      <c r="AC11483" s="247"/>
      <c r="AT11483" s="247"/>
    </row>
    <row r="11484">
      <c r="C11484" s="277"/>
      <c r="M11484" s="277"/>
      <c r="O11484" s="247"/>
      <c r="AC11484" s="247"/>
      <c r="AT11484" s="247"/>
    </row>
    <row r="11485">
      <c r="C11485" s="277"/>
      <c r="M11485" s="277"/>
      <c r="O11485" s="247"/>
      <c r="AC11485" s="247"/>
      <c r="AT11485" s="247"/>
    </row>
    <row r="11486">
      <c r="C11486" s="277"/>
      <c r="M11486" s="277"/>
      <c r="O11486" s="247"/>
      <c r="AC11486" s="247"/>
      <c r="AT11486" s="247"/>
    </row>
    <row r="11487">
      <c r="C11487" s="277"/>
      <c r="M11487" s="277"/>
      <c r="O11487" s="247"/>
      <c r="AC11487" s="247"/>
      <c r="AT11487" s="247"/>
    </row>
    <row r="11488">
      <c r="C11488" s="277"/>
      <c r="M11488" s="277"/>
      <c r="O11488" s="247"/>
      <c r="AC11488" s="247"/>
      <c r="AT11488" s="247"/>
    </row>
    <row r="11489">
      <c r="C11489" s="277"/>
      <c r="M11489" s="277"/>
      <c r="O11489" s="247"/>
      <c r="AC11489" s="247"/>
      <c r="AT11489" s="247"/>
    </row>
    <row r="11490">
      <c r="C11490" s="277"/>
      <c r="M11490" s="277"/>
      <c r="O11490" s="247"/>
      <c r="AC11490" s="247"/>
      <c r="AT11490" s="247"/>
    </row>
    <row r="11491">
      <c r="C11491" s="277"/>
      <c r="M11491" s="277"/>
      <c r="O11491" s="247"/>
      <c r="AC11491" s="247"/>
      <c r="AT11491" s="247"/>
    </row>
    <row r="11492">
      <c r="C11492" s="277"/>
      <c r="M11492" s="277"/>
      <c r="O11492" s="247"/>
      <c r="AC11492" s="247"/>
      <c r="AT11492" s="247"/>
    </row>
    <row r="11493">
      <c r="C11493" s="277"/>
      <c r="M11493" s="277"/>
      <c r="O11493" s="247"/>
      <c r="AC11493" s="247"/>
      <c r="AT11493" s="247"/>
    </row>
    <row r="11494">
      <c r="C11494" s="277"/>
      <c r="M11494" s="277"/>
      <c r="O11494" s="247"/>
      <c r="AC11494" s="247"/>
      <c r="AT11494" s="247"/>
    </row>
    <row r="11495">
      <c r="C11495" s="277"/>
      <c r="M11495" s="277"/>
      <c r="O11495" s="247"/>
      <c r="AC11495" s="247"/>
      <c r="AT11495" s="247"/>
    </row>
    <row r="11496">
      <c r="C11496" s="277"/>
      <c r="M11496" s="277"/>
      <c r="O11496" s="247"/>
      <c r="AC11496" s="247"/>
      <c r="AT11496" s="247"/>
    </row>
    <row r="11497">
      <c r="C11497" s="277"/>
      <c r="M11497" s="277"/>
      <c r="O11497" s="247"/>
      <c r="AC11497" s="247"/>
      <c r="AT11497" s="247"/>
    </row>
    <row r="11498">
      <c r="C11498" s="277"/>
      <c r="M11498" s="277"/>
      <c r="O11498" s="247"/>
      <c r="AC11498" s="247"/>
      <c r="AT11498" s="247"/>
    </row>
    <row r="11499">
      <c r="C11499" s="277"/>
      <c r="M11499" s="277"/>
      <c r="O11499" s="247"/>
      <c r="AC11499" s="247"/>
      <c r="AT11499" s="247"/>
    </row>
    <row r="11500">
      <c r="C11500" s="277"/>
      <c r="M11500" s="277"/>
      <c r="O11500" s="247"/>
      <c r="AC11500" s="247"/>
      <c r="AT11500" s="247"/>
    </row>
    <row r="11501">
      <c r="C11501" s="277"/>
      <c r="M11501" s="277"/>
      <c r="O11501" s="247"/>
      <c r="AC11501" s="247"/>
      <c r="AT11501" s="247"/>
    </row>
    <row r="11502">
      <c r="C11502" s="277"/>
      <c r="M11502" s="277"/>
      <c r="O11502" s="247"/>
      <c r="AC11502" s="247"/>
      <c r="AT11502" s="247"/>
    </row>
    <row r="11503">
      <c r="C11503" s="277"/>
      <c r="M11503" s="277"/>
      <c r="O11503" s="247"/>
      <c r="AC11503" s="247"/>
      <c r="AT11503" s="247"/>
    </row>
    <row r="11504">
      <c r="C11504" s="277"/>
      <c r="M11504" s="277"/>
      <c r="O11504" s="247"/>
      <c r="AC11504" s="247"/>
      <c r="AT11504" s="247"/>
    </row>
    <row r="11505">
      <c r="C11505" s="277"/>
      <c r="M11505" s="277"/>
      <c r="O11505" s="247"/>
      <c r="AC11505" s="247"/>
      <c r="AT11505" s="247"/>
    </row>
    <row r="11506">
      <c r="C11506" s="277"/>
      <c r="M11506" s="277"/>
      <c r="O11506" s="247"/>
      <c r="AC11506" s="247"/>
      <c r="AT11506" s="247"/>
    </row>
    <row r="11507">
      <c r="C11507" s="277"/>
      <c r="M11507" s="277"/>
      <c r="O11507" s="247"/>
      <c r="AC11507" s="247"/>
      <c r="AT11507" s="247"/>
    </row>
    <row r="11508">
      <c r="C11508" s="277"/>
      <c r="M11508" s="277"/>
      <c r="O11508" s="247"/>
      <c r="AC11508" s="247"/>
      <c r="AT11508" s="247"/>
    </row>
    <row r="11509">
      <c r="C11509" s="277"/>
      <c r="M11509" s="277"/>
      <c r="O11509" s="247"/>
      <c r="AC11509" s="247"/>
      <c r="AT11509" s="247"/>
    </row>
    <row r="11510">
      <c r="C11510" s="277"/>
      <c r="M11510" s="277"/>
      <c r="O11510" s="247"/>
      <c r="AC11510" s="247"/>
      <c r="AT11510" s="247"/>
    </row>
    <row r="11511">
      <c r="C11511" s="277"/>
      <c r="M11511" s="277"/>
      <c r="O11511" s="247"/>
      <c r="AC11511" s="247"/>
      <c r="AT11511" s="247"/>
    </row>
    <row r="11512">
      <c r="C11512" s="277"/>
      <c r="M11512" s="277"/>
      <c r="O11512" s="247"/>
      <c r="AC11512" s="247"/>
      <c r="AT11512" s="247"/>
    </row>
    <row r="11513">
      <c r="C11513" s="277"/>
      <c r="M11513" s="277"/>
      <c r="O11513" s="247"/>
      <c r="AC11513" s="247"/>
      <c r="AT11513" s="247"/>
    </row>
    <row r="11514">
      <c r="C11514" s="277"/>
      <c r="M11514" s="277"/>
      <c r="O11514" s="247"/>
      <c r="AC11514" s="247"/>
      <c r="AT11514" s="247"/>
    </row>
    <row r="11515">
      <c r="C11515" s="277"/>
      <c r="M11515" s="277"/>
      <c r="O11515" s="247"/>
      <c r="AC11515" s="247"/>
      <c r="AT11515" s="247"/>
    </row>
    <row r="11516">
      <c r="C11516" s="277"/>
      <c r="M11516" s="277"/>
      <c r="O11516" s="247"/>
      <c r="AC11516" s="247"/>
      <c r="AT11516" s="247"/>
    </row>
    <row r="11517">
      <c r="C11517" s="277"/>
      <c r="M11517" s="277"/>
      <c r="O11517" s="247"/>
      <c r="AC11517" s="247"/>
      <c r="AT11517" s="247"/>
    </row>
    <row r="11518">
      <c r="C11518" s="277"/>
      <c r="M11518" s="277"/>
      <c r="O11518" s="247"/>
      <c r="AC11518" s="247"/>
      <c r="AT11518" s="247"/>
    </row>
    <row r="11519">
      <c r="C11519" s="277"/>
      <c r="M11519" s="277"/>
      <c r="O11519" s="247"/>
      <c r="AC11519" s="247"/>
      <c r="AT11519" s="247"/>
    </row>
    <row r="11520">
      <c r="C11520" s="277"/>
      <c r="M11520" s="277"/>
      <c r="O11520" s="247"/>
      <c r="AC11520" s="247"/>
      <c r="AT11520" s="247"/>
    </row>
    <row r="11521">
      <c r="C11521" s="277"/>
      <c r="M11521" s="277"/>
      <c r="O11521" s="247"/>
      <c r="AC11521" s="247"/>
      <c r="AT11521" s="247"/>
    </row>
    <row r="11522">
      <c r="C11522" s="277"/>
      <c r="M11522" s="277"/>
      <c r="O11522" s="247"/>
      <c r="AC11522" s="247"/>
      <c r="AT11522" s="247"/>
    </row>
    <row r="11523">
      <c r="C11523" s="277"/>
      <c r="M11523" s="277"/>
      <c r="O11523" s="247"/>
      <c r="AC11523" s="247"/>
      <c r="AT11523" s="247"/>
    </row>
    <row r="11524">
      <c r="C11524" s="277"/>
      <c r="M11524" s="277"/>
      <c r="O11524" s="247"/>
      <c r="AC11524" s="247"/>
      <c r="AT11524" s="247"/>
    </row>
    <row r="11525">
      <c r="C11525" s="277"/>
      <c r="M11525" s="277"/>
      <c r="O11525" s="247"/>
      <c r="AC11525" s="247"/>
      <c r="AT11525" s="247"/>
    </row>
    <row r="11526">
      <c r="C11526" s="277"/>
      <c r="M11526" s="277"/>
      <c r="O11526" s="247"/>
      <c r="AC11526" s="247"/>
      <c r="AT11526" s="247"/>
    </row>
    <row r="11527">
      <c r="C11527" s="277"/>
      <c r="M11527" s="277"/>
      <c r="O11527" s="247"/>
      <c r="AC11527" s="247"/>
      <c r="AT11527" s="247"/>
    </row>
    <row r="11528">
      <c r="C11528" s="277"/>
      <c r="M11528" s="277"/>
      <c r="O11528" s="247"/>
      <c r="AC11528" s="247"/>
      <c r="AT11528" s="247"/>
    </row>
    <row r="11529">
      <c r="C11529" s="277"/>
      <c r="M11529" s="277"/>
      <c r="O11529" s="247"/>
      <c r="AC11529" s="247"/>
      <c r="AT11529" s="247"/>
    </row>
    <row r="11530">
      <c r="C11530" s="277"/>
      <c r="M11530" s="277"/>
      <c r="O11530" s="247"/>
      <c r="AC11530" s="247"/>
      <c r="AT11530" s="247"/>
    </row>
    <row r="11531">
      <c r="C11531" s="277"/>
      <c r="M11531" s="277"/>
      <c r="O11531" s="247"/>
      <c r="AC11531" s="247"/>
      <c r="AT11531" s="247"/>
    </row>
    <row r="11532">
      <c r="C11532" s="277"/>
      <c r="M11532" s="277"/>
      <c r="O11532" s="247"/>
      <c r="AC11532" s="247"/>
      <c r="AT11532" s="247"/>
    </row>
    <row r="11533">
      <c r="C11533" s="277"/>
      <c r="M11533" s="277"/>
      <c r="O11533" s="247"/>
      <c r="AC11533" s="247"/>
      <c r="AT11533" s="247"/>
    </row>
    <row r="11534">
      <c r="C11534" s="277"/>
      <c r="M11534" s="277"/>
      <c r="O11534" s="247"/>
      <c r="AC11534" s="247"/>
      <c r="AT11534" s="247"/>
    </row>
    <row r="11535">
      <c r="C11535" s="277"/>
      <c r="M11535" s="277"/>
      <c r="O11535" s="247"/>
      <c r="AC11535" s="247"/>
      <c r="AT11535" s="247"/>
    </row>
    <row r="11536">
      <c r="C11536" s="277"/>
      <c r="M11536" s="277"/>
      <c r="O11536" s="247"/>
      <c r="AC11536" s="247"/>
      <c r="AT11536" s="247"/>
    </row>
    <row r="11537">
      <c r="C11537" s="277"/>
      <c r="M11537" s="277"/>
      <c r="O11537" s="247"/>
      <c r="AC11537" s="247"/>
      <c r="AT11537" s="247"/>
    </row>
    <row r="11538">
      <c r="C11538" s="277"/>
      <c r="M11538" s="277"/>
      <c r="O11538" s="247"/>
      <c r="AC11538" s="247"/>
      <c r="AT11538" s="247"/>
    </row>
    <row r="11539">
      <c r="C11539" s="277"/>
      <c r="M11539" s="277"/>
      <c r="O11539" s="247"/>
      <c r="AC11539" s="247"/>
      <c r="AT11539" s="247"/>
    </row>
    <row r="11540">
      <c r="C11540" s="277"/>
      <c r="M11540" s="277"/>
      <c r="O11540" s="247"/>
      <c r="AC11540" s="247"/>
      <c r="AT11540" s="247"/>
    </row>
    <row r="11541">
      <c r="C11541" s="277"/>
      <c r="M11541" s="277"/>
      <c r="O11541" s="247"/>
      <c r="AC11541" s="247"/>
      <c r="AT11541" s="247"/>
    </row>
    <row r="11542">
      <c r="C11542" s="277"/>
      <c r="M11542" s="277"/>
      <c r="O11542" s="247"/>
      <c r="AC11542" s="247"/>
      <c r="AT11542" s="247"/>
    </row>
    <row r="11543">
      <c r="C11543" s="277"/>
      <c r="M11543" s="277"/>
      <c r="O11543" s="247"/>
      <c r="AC11543" s="247"/>
      <c r="AT11543" s="247"/>
    </row>
    <row r="11544">
      <c r="C11544" s="277"/>
      <c r="M11544" s="277"/>
      <c r="O11544" s="247"/>
      <c r="AC11544" s="247"/>
      <c r="AT11544" s="247"/>
    </row>
    <row r="11545">
      <c r="C11545" s="277"/>
      <c r="M11545" s="277"/>
      <c r="O11545" s="247"/>
      <c r="AC11545" s="247"/>
      <c r="AT11545" s="247"/>
    </row>
    <row r="11546">
      <c r="C11546" s="277"/>
      <c r="M11546" s="277"/>
      <c r="O11546" s="247"/>
      <c r="AC11546" s="247"/>
      <c r="AT11546" s="247"/>
    </row>
    <row r="11547">
      <c r="C11547" s="277"/>
      <c r="M11547" s="277"/>
      <c r="O11547" s="247"/>
      <c r="AC11547" s="247"/>
      <c r="AT11547" s="247"/>
    </row>
    <row r="11548">
      <c r="C11548" s="277"/>
      <c r="M11548" s="277"/>
      <c r="O11548" s="247"/>
      <c r="AC11548" s="247"/>
      <c r="AT11548" s="247"/>
    </row>
    <row r="11549">
      <c r="C11549" s="277"/>
      <c r="M11549" s="277"/>
      <c r="O11549" s="247"/>
      <c r="AC11549" s="247"/>
      <c r="AT11549" s="247"/>
    </row>
    <row r="11550">
      <c r="C11550" s="277"/>
      <c r="M11550" s="277"/>
      <c r="O11550" s="247"/>
      <c r="AC11550" s="247"/>
      <c r="AT11550" s="247"/>
    </row>
    <row r="11551">
      <c r="C11551" s="277"/>
      <c r="M11551" s="277"/>
      <c r="O11551" s="247"/>
      <c r="AC11551" s="247"/>
      <c r="AT11551" s="247"/>
    </row>
    <row r="11552">
      <c r="C11552" s="277"/>
      <c r="M11552" s="277"/>
      <c r="O11552" s="247"/>
      <c r="AC11552" s="247"/>
      <c r="AT11552" s="247"/>
    </row>
    <row r="11553">
      <c r="C11553" s="277"/>
      <c r="M11553" s="277"/>
      <c r="O11553" s="247"/>
      <c r="AC11553" s="247"/>
      <c r="AT11553" s="247"/>
    </row>
    <row r="11554">
      <c r="C11554" s="277"/>
      <c r="M11554" s="277"/>
      <c r="O11554" s="247"/>
      <c r="AC11554" s="247"/>
      <c r="AT11554" s="247"/>
    </row>
    <row r="11555">
      <c r="C11555" s="277"/>
      <c r="M11555" s="277"/>
      <c r="O11555" s="247"/>
      <c r="AC11555" s="247"/>
      <c r="AT11555" s="247"/>
    </row>
    <row r="11556">
      <c r="C11556" s="277"/>
      <c r="M11556" s="277"/>
      <c r="O11556" s="247"/>
      <c r="AC11556" s="247"/>
      <c r="AT11556" s="247"/>
    </row>
    <row r="11557">
      <c r="C11557" s="277"/>
      <c r="M11557" s="277"/>
      <c r="O11557" s="247"/>
      <c r="AC11557" s="247"/>
      <c r="AT11557" s="247"/>
    </row>
    <row r="11558">
      <c r="C11558" s="277"/>
      <c r="M11558" s="277"/>
      <c r="O11558" s="247"/>
      <c r="AC11558" s="247"/>
      <c r="AT11558" s="247"/>
    </row>
    <row r="11559">
      <c r="C11559" s="277"/>
      <c r="M11559" s="277"/>
      <c r="O11559" s="247"/>
      <c r="AC11559" s="247"/>
      <c r="AT11559" s="247"/>
    </row>
    <row r="11560">
      <c r="C11560" s="277"/>
      <c r="M11560" s="277"/>
      <c r="O11560" s="247"/>
      <c r="AC11560" s="247"/>
      <c r="AT11560" s="247"/>
    </row>
    <row r="11561">
      <c r="C11561" s="277"/>
      <c r="M11561" s="277"/>
      <c r="O11561" s="247"/>
      <c r="AC11561" s="247"/>
      <c r="AT11561" s="247"/>
    </row>
    <row r="11562">
      <c r="C11562" s="277"/>
      <c r="M11562" s="277"/>
      <c r="O11562" s="247"/>
      <c r="AC11562" s="247"/>
      <c r="AT11562" s="247"/>
    </row>
    <row r="11563">
      <c r="C11563" s="277"/>
      <c r="M11563" s="277"/>
      <c r="O11563" s="247"/>
      <c r="AC11563" s="247"/>
      <c r="AT11563" s="247"/>
    </row>
    <row r="11564">
      <c r="C11564" s="277"/>
      <c r="M11564" s="277"/>
      <c r="O11564" s="247"/>
      <c r="AC11564" s="247"/>
      <c r="AT11564" s="247"/>
    </row>
    <row r="11565">
      <c r="C11565" s="277"/>
      <c r="M11565" s="277"/>
      <c r="O11565" s="247"/>
      <c r="AC11565" s="247"/>
      <c r="AT11565" s="247"/>
    </row>
    <row r="11566">
      <c r="C11566" s="277"/>
      <c r="M11566" s="277"/>
      <c r="O11566" s="247"/>
      <c r="AC11566" s="247"/>
      <c r="AT11566" s="247"/>
    </row>
    <row r="11567">
      <c r="C11567" s="277"/>
      <c r="M11567" s="277"/>
      <c r="O11567" s="247"/>
      <c r="AC11567" s="247"/>
      <c r="AT11567" s="247"/>
    </row>
    <row r="11568">
      <c r="C11568" s="277"/>
      <c r="M11568" s="277"/>
      <c r="O11568" s="247"/>
      <c r="AC11568" s="247"/>
      <c r="AT11568" s="247"/>
    </row>
    <row r="11569">
      <c r="C11569" s="277"/>
      <c r="M11569" s="277"/>
      <c r="O11569" s="247"/>
      <c r="AC11569" s="247"/>
      <c r="AT11569" s="247"/>
    </row>
    <row r="11570">
      <c r="C11570" s="277"/>
      <c r="M11570" s="277"/>
      <c r="O11570" s="247"/>
      <c r="AC11570" s="247"/>
      <c r="AT11570" s="247"/>
    </row>
    <row r="11571">
      <c r="C11571" s="277"/>
      <c r="M11571" s="277"/>
      <c r="O11571" s="247"/>
      <c r="AC11571" s="247"/>
      <c r="AT11571" s="247"/>
    </row>
    <row r="11572">
      <c r="C11572" s="277"/>
      <c r="M11572" s="277"/>
      <c r="O11572" s="247"/>
      <c r="AC11572" s="247"/>
      <c r="AT11572" s="247"/>
    </row>
    <row r="11573">
      <c r="C11573" s="277"/>
      <c r="M11573" s="277"/>
      <c r="O11573" s="247"/>
      <c r="AC11573" s="247"/>
      <c r="AT11573" s="247"/>
    </row>
    <row r="11574">
      <c r="C11574" s="277"/>
      <c r="M11574" s="277"/>
      <c r="O11574" s="247"/>
      <c r="AC11574" s="247"/>
      <c r="AT11574" s="247"/>
    </row>
    <row r="11575">
      <c r="C11575" s="277"/>
      <c r="M11575" s="277"/>
      <c r="O11575" s="247"/>
      <c r="AC11575" s="247"/>
      <c r="AT11575" s="247"/>
    </row>
    <row r="11576">
      <c r="C11576" s="277"/>
      <c r="M11576" s="277"/>
      <c r="O11576" s="247"/>
      <c r="AC11576" s="247"/>
      <c r="AT11576" s="247"/>
    </row>
    <row r="11577">
      <c r="C11577" s="277"/>
      <c r="M11577" s="277"/>
      <c r="O11577" s="247"/>
      <c r="AC11577" s="247"/>
      <c r="AT11577" s="247"/>
    </row>
    <row r="11578">
      <c r="C11578" s="277"/>
      <c r="M11578" s="277"/>
      <c r="O11578" s="247"/>
      <c r="AC11578" s="247"/>
      <c r="AT11578" s="247"/>
    </row>
    <row r="11579">
      <c r="C11579" s="277"/>
      <c r="M11579" s="277"/>
      <c r="O11579" s="247"/>
      <c r="AC11579" s="247"/>
      <c r="AT11579" s="247"/>
    </row>
    <row r="11580">
      <c r="C11580" s="277"/>
      <c r="M11580" s="277"/>
      <c r="O11580" s="247"/>
      <c r="AC11580" s="247"/>
      <c r="AT11580" s="247"/>
    </row>
    <row r="11581">
      <c r="C11581" s="277"/>
      <c r="M11581" s="277"/>
      <c r="O11581" s="247"/>
      <c r="AC11581" s="247"/>
      <c r="AT11581" s="247"/>
    </row>
    <row r="11582">
      <c r="C11582" s="277"/>
      <c r="M11582" s="277"/>
      <c r="O11582" s="247"/>
      <c r="AC11582" s="247"/>
      <c r="AT11582" s="247"/>
    </row>
    <row r="11583">
      <c r="C11583" s="277"/>
      <c r="M11583" s="277"/>
      <c r="O11583" s="247"/>
      <c r="AC11583" s="247"/>
      <c r="AT11583" s="247"/>
    </row>
    <row r="11584">
      <c r="C11584" s="277"/>
      <c r="M11584" s="277"/>
      <c r="O11584" s="247"/>
      <c r="AC11584" s="247"/>
      <c r="AT11584" s="247"/>
    </row>
    <row r="11585">
      <c r="C11585" s="277"/>
      <c r="M11585" s="277"/>
      <c r="O11585" s="247"/>
      <c r="AC11585" s="247"/>
      <c r="AT11585" s="247"/>
    </row>
    <row r="11586">
      <c r="C11586" s="277"/>
      <c r="M11586" s="277"/>
      <c r="O11586" s="247"/>
      <c r="AC11586" s="247"/>
      <c r="AT11586" s="247"/>
    </row>
    <row r="11587">
      <c r="C11587" s="277"/>
      <c r="M11587" s="277"/>
      <c r="O11587" s="247"/>
      <c r="AC11587" s="247"/>
      <c r="AT11587" s="247"/>
    </row>
    <row r="11588">
      <c r="C11588" s="277"/>
      <c r="M11588" s="277"/>
      <c r="O11588" s="247"/>
      <c r="AC11588" s="247"/>
      <c r="AT11588" s="247"/>
    </row>
    <row r="11589">
      <c r="C11589" s="277"/>
      <c r="M11589" s="277"/>
      <c r="O11589" s="247"/>
      <c r="AC11589" s="247"/>
      <c r="AT11589" s="247"/>
    </row>
    <row r="11590">
      <c r="C11590" s="277"/>
      <c r="M11590" s="277"/>
      <c r="O11590" s="247"/>
      <c r="AC11590" s="247"/>
      <c r="AT11590" s="247"/>
    </row>
    <row r="11591">
      <c r="C11591" s="277"/>
      <c r="M11591" s="277"/>
      <c r="O11591" s="247"/>
      <c r="AC11591" s="247"/>
      <c r="AT11591" s="247"/>
    </row>
    <row r="11592">
      <c r="C11592" s="277"/>
      <c r="M11592" s="277"/>
      <c r="O11592" s="247"/>
      <c r="AC11592" s="247"/>
      <c r="AT11592" s="247"/>
    </row>
    <row r="11593">
      <c r="C11593" s="277"/>
      <c r="M11593" s="277"/>
      <c r="O11593" s="247"/>
      <c r="AC11593" s="247"/>
      <c r="AT11593" s="247"/>
    </row>
    <row r="11594">
      <c r="C11594" s="277"/>
      <c r="M11594" s="277"/>
      <c r="O11594" s="247"/>
      <c r="AC11594" s="247"/>
      <c r="AT11594" s="247"/>
    </row>
    <row r="11595">
      <c r="C11595" s="277"/>
      <c r="M11595" s="277"/>
      <c r="O11595" s="247"/>
      <c r="AC11595" s="247"/>
      <c r="AT11595" s="247"/>
    </row>
    <row r="11596">
      <c r="C11596" s="277"/>
      <c r="M11596" s="277"/>
      <c r="O11596" s="247"/>
      <c r="AC11596" s="247"/>
      <c r="AT11596" s="247"/>
    </row>
    <row r="11597">
      <c r="C11597" s="277"/>
      <c r="M11597" s="277"/>
      <c r="O11597" s="247"/>
      <c r="AC11597" s="247"/>
      <c r="AT11597" s="247"/>
    </row>
    <row r="11598">
      <c r="C11598" s="277"/>
      <c r="M11598" s="277"/>
      <c r="O11598" s="247"/>
      <c r="AC11598" s="247"/>
      <c r="AT11598" s="247"/>
    </row>
    <row r="11599">
      <c r="C11599" s="277"/>
      <c r="M11599" s="277"/>
      <c r="O11599" s="247"/>
      <c r="AC11599" s="247"/>
      <c r="AT11599" s="247"/>
    </row>
    <row r="11600">
      <c r="C11600" s="277"/>
      <c r="M11600" s="277"/>
      <c r="O11600" s="247"/>
      <c r="AC11600" s="247"/>
      <c r="AT11600" s="247"/>
    </row>
    <row r="11601">
      <c r="C11601" s="277"/>
      <c r="M11601" s="277"/>
      <c r="O11601" s="247"/>
      <c r="AC11601" s="247"/>
      <c r="AT11601" s="247"/>
    </row>
    <row r="11602">
      <c r="C11602" s="277"/>
      <c r="M11602" s="277"/>
      <c r="O11602" s="247"/>
      <c r="AC11602" s="247"/>
      <c r="AT11602" s="247"/>
    </row>
    <row r="11603">
      <c r="C11603" s="277"/>
      <c r="M11603" s="277"/>
      <c r="O11603" s="247"/>
      <c r="AC11603" s="247"/>
      <c r="AT11603" s="247"/>
    </row>
    <row r="11604">
      <c r="C11604" s="277"/>
      <c r="M11604" s="277"/>
      <c r="O11604" s="247"/>
      <c r="AC11604" s="247"/>
      <c r="AT11604" s="247"/>
    </row>
    <row r="11605">
      <c r="C11605" s="277"/>
      <c r="M11605" s="277"/>
      <c r="O11605" s="247"/>
      <c r="AC11605" s="247"/>
      <c r="AT11605" s="247"/>
    </row>
    <row r="11606">
      <c r="C11606" s="277"/>
      <c r="M11606" s="277"/>
      <c r="O11606" s="247"/>
      <c r="AC11606" s="247"/>
      <c r="AT11606" s="247"/>
    </row>
    <row r="11607">
      <c r="C11607" s="277"/>
      <c r="M11607" s="277"/>
      <c r="O11607" s="247"/>
      <c r="AC11607" s="247"/>
      <c r="AT11607" s="247"/>
    </row>
    <row r="11608">
      <c r="C11608" s="277"/>
      <c r="M11608" s="277"/>
      <c r="O11608" s="247"/>
      <c r="AC11608" s="247"/>
      <c r="AT11608" s="247"/>
    </row>
    <row r="11609">
      <c r="C11609" s="277"/>
      <c r="M11609" s="277"/>
      <c r="O11609" s="247"/>
      <c r="AC11609" s="247"/>
      <c r="AT11609" s="247"/>
    </row>
    <row r="11610">
      <c r="C11610" s="277"/>
      <c r="M11610" s="277"/>
      <c r="O11610" s="247"/>
      <c r="AC11610" s="247"/>
      <c r="AT11610" s="247"/>
    </row>
    <row r="11611">
      <c r="C11611" s="277"/>
      <c r="M11611" s="277"/>
      <c r="O11611" s="247"/>
      <c r="AC11611" s="247"/>
      <c r="AT11611" s="247"/>
    </row>
    <row r="11612">
      <c r="C11612" s="277"/>
      <c r="M11612" s="277"/>
      <c r="O11612" s="247"/>
      <c r="AC11612" s="247"/>
      <c r="AT11612" s="247"/>
    </row>
    <row r="11613">
      <c r="C11613" s="277"/>
      <c r="M11613" s="277"/>
      <c r="O11613" s="247"/>
      <c r="AC11613" s="247"/>
      <c r="AT11613" s="247"/>
    </row>
    <row r="11614">
      <c r="C11614" s="277"/>
      <c r="M11614" s="277"/>
      <c r="O11614" s="247"/>
      <c r="AC11614" s="247"/>
      <c r="AT11614" s="247"/>
    </row>
    <row r="11615">
      <c r="C11615" s="277"/>
      <c r="M11615" s="277"/>
      <c r="O11615" s="247"/>
      <c r="AC11615" s="247"/>
      <c r="AT11615" s="247"/>
    </row>
    <row r="11616">
      <c r="C11616" s="277"/>
      <c r="M11616" s="277"/>
      <c r="O11616" s="247"/>
      <c r="AC11616" s="247"/>
      <c r="AT11616" s="247"/>
    </row>
    <row r="11617">
      <c r="C11617" s="277"/>
      <c r="M11617" s="277"/>
      <c r="O11617" s="247"/>
      <c r="AC11617" s="247"/>
      <c r="AT11617" s="247"/>
    </row>
    <row r="11618">
      <c r="C11618" s="277"/>
      <c r="M11618" s="277"/>
      <c r="O11618" s="247"/>
      <c r="AC11618" s="247"/>
      <c r="AT11618" s="247"/>
    </row>
    <row r="11619">
      <c r="C11619" s="277"/>
      <c r="M11619" s="277"/>
      <c r="O11619" s="247"/>
      <c r="AC11619" s="247"/>
      <c r="AT11619" s="247"/>
    </row>
    <row r="11620">
      <c r="C11620" s="277"/>
      <c r="M11620" s="277"/>
      <c r="O11620" s="247"/>
      <c r="AC11620" s="247"/>
      <c r="AT11620" s="247"/>
    </row>
    <row r="11621">
      <c r="C11621" s="277"/>
      <c r="M11621" s="277"/>
      <c r="O11621" s="247"/>
      <c r="AC11621" s="247"/>
      <c r="AT11621" s="247"/>
    </row>
    <row r="11622">
      <c r="C11622" s="277"/>
      <c r="M11622" s="277"/>
      <c r="O11622" s="247"/>
      <c r="AC11622" s="247"/>
      <c r="AT11622" s="247"/>
    </row>
    <row r="11623">
      <c r="C11623" s="277"/>
      <c r="M11623" s="277"/>
      <c r="O11623" s="247"/>
      <c r="AC11623" s="247"/>
      <c r="AT11623" s="247"/>
    </row>
    <row r="11624">
      <c r="C11624" s="277"/>
      <c r="M11624" s="277"/>
      <c r="O11624" s="247"/>
      <c r="AC11624" s="247"/>
      <c r="AT11624" s="247"/>
    </row>
    <row r="11625">
      <c r="C11625" s="277"/>
      <c r="M11625" s="277"/>
      <c r="O11625" s="247"/>
      <c r="AC11625" s="247"/>
      <c r="AT11625" s="247"/>
    </row>
    <row r="11626">
      <c r="C11626" s="277"/>
      <c r="M11626" s="277"/>
      <c r="O11626" s="247"/>
      <c r="AC11626" s="247"/>
      <c r="AT11626" s="247"/>
    </row>
    <row r="11627">
      <c r="C11627" s="277"/>
      <c r="M11627" s="277"/>
      <c r="O11627" s="247"/>
      <c r="AC11627" s="247"/>
      <c r="AT11627" s="247"/>
    </row>
    <row r="11628">
      <c r="C11628" s="277"/>
      <c r="M11628" s="277"/>
      <c r="O11628" s="247"/>
      <c r="AC11628" s="247"/>
      <c r="AT11628" s="247"/>
    </row>
    <row r="11629">
      <c r="C11629" s="277"/>
      <c r="M11629" s="277"/>
      <c r="O11629" s="247"/>
      <c r="AC11629" s="247"/>
      <c r="AT11629" s="247"/>
    </row>
    <row r="11630">
      <c r="C11630" s="277"/>
      <c r="M11630" s="277"/>
      <c r="O11630" s="247"/>
      <c r="AC11630" s="247"/>
      <c r="AT11630" s="247"/>
    </row>
    <row r="11631">
      <c r="C11631" s="277"/>
      <c r="M11631" s="277"/>
      <c r="O11631" s="247"/>
      <c r="AC11631" s="247"/>
      <c r="AT11631" s="247"/>
    </row>
    <row r="11632">
      <c r="C11632" s="277"/>
      <c r="M11632" s="277"/>
      <c r="O11632" s="247"/>
      <c r="AC11632" s="247"/>
      <c r="AT11632" s="247"/>
    </row>
    <row r="11633">
      <c r="C11633" s="277"/>
      <c r="M11633" s="277"/>
      <c r="O11633" s="247"/>
      <c r="AC11633" s="247"/>
      <c r="AT11633" s="247"/>
    </row>
    <row r="11634">
      <c r="C11634" s="277"/>
      <c r="M11634" s="277"/>
      <c r="O11634" s="247"/>
      <c r="AC11634" s="247"/>
      <c r="AT11634" s="247"/>
    </row>
    <row r="11635">
      <c r="C11635" s="277"/>
      <c r="M11635" s="277"/>
      <c r="O11635" s="247"/>
      <c r="AC11635" s="247"/>
      <c r="AT11635" s="247"/>
    </row>
    <row r="11636">
      <c r="C11636" s="277"/>
      <c r="M11636" s="277"/>
      <c r="O11636" s="247"/>
      <c r="AC11636" s="247"/>
      <c r="AT11636" s="247"/>
    </row>
    <row r="11637">
      <c r="C11637" s="277"/>
      <c r="M11637" s="277"/>
      <c r="O11637" s="247"/>
      <c r="AC11637" s="247"/>
      <c r="AT11637" s="247"/>
    </row>
    <row r="11638">
      <c r="C11638" s="277"/>
      <c r="M11638" s="277"/>
      <c r="O11638" s="247"/>
      <c r="AC11638" s="247"/>
      <c r="AT11638" s="247"/>
    </row>
    <row r="11639">
      <c r="C11639" s="277"/>
      <c r="M11639" s="277"/>
      <c r="O11639" s="247"/>
      <c r="AC11639" s="247"/>
      <c r="AT11639" s="247"/>
    </row>
    <row r="11640">
      <c r="C11640" s="277"/>
      <c r="M11640" s="277"/>
      <c r="O11640" s="247"/>
      <c r="AC11640" s="247"/>
      <c r="AT11640" s="247"/>
    </row>
    <row r="11641">
      <c r="C11641" s="277"/>
      <c r="M11641" s="277"/>
      <c r="O11641" s="247"/>
      <c r="AC11641" s="247"/>
      <c r="AT11641" s="247"/>
    </row>
    <row r="11642">
      <c r="C11642" s="277"/>
      <c r="M11642" s="277"/>
      <c r="O11642" s="247"/>
      <c r="AC11642" s="247"/>
      <c r="AT11642" s="247"/>
    </row>
    <row r="11643">
      <c r="C11643" s="277"/>
      <c r="M11643" s="277"/>
      <c r="O11643" s="247"/>
      <c r="AC11643" s="247"/>
      <c r="AT11643" s="247"/>
    </row>
    <row r="11644">
      <c r="C11644" s="277"/>
      <c r="M11644" s="277"/>
      <c r="O11644" s="247"/>
      <c r="AC11644" s="247"/>
      <c r="AT11644" s="247"/>
    </row>
    <row r="11645">
      <c r="C11645" s="277"/>
      <c r="M11645" s="277"/>
      <c r="O11645" s="247"/>
      <c r="AC11645" s="247"/>
      <c r="AT11645" s="247"/>
    </row>
    <row r="11646">
      <c r="C11646" s="277"/>
      <c r="M11646" s="277"/>
      <c r="O11646" s="247"/>
      <c r="AC11646" s="247"/>
      <c r="AT11646" s="247"/>
    </row>
    <row r="11647">
      <c r="C11647" s="277"/>
      <c r="M11647" s="277"/>
      <c r="O11647" s="247"/>
      <c r="AC11647" s="247"/>
      <c r="AT11647" s="247"/>
    </row>
    <row r="11648">
      <c r="C11648" s="277"/>
      <c r="M11648" s="277"/>
      <c r="O11648" s="247"/>
      <c r="AC11648" s="247"/>
      <c r="AT11648" s="247"/>
    </row>
    <row r="11649">
      <c r="C11649" s="277"/>
      <c r="M11649" s="277"/>
      <c r="O11649" s="247"/>
      <c r="AC11649" s="247"/>
      <c r="AT11649" s="247"/>
    </row>
    <row r="11650">
      <c r="C11650" s="277"/>
      <c r="M11650" s="277"/>
      <c r="O11650" s="247"/>
      <c r="AC11650" s="247"/>
      <c r="AT11650" s="247"/>
    </row>
    <row r="11651">
      <c r="C11651" s="277"/>
      <c r="M11651" s="277"/>
      <c r="O11651" s="247"/>
      <c r="AC11651" s="247"/>
      <c r="AT11651" s="247"/>
    </row>
    <row r="11652">
      <c r="C11652" s="277"/>
      <c r="M11652" s="277"/>
      <c r="O11652" s="247"/>
      <c r="AC11652" s="247"/>
      <c r="AT11652" s="247"/>
    </row>
    <row r="11653">
      <c r="C11653" s="277"/>
      <c r="M11653" s="277"/>
      <c r="O11653" s="247"/>
      <c r="AC11653" s="247"/>
      <c r="AT11653" s="247"/>
    </row>
    <row r="11654">
      <c r="C11654" s="277"/>
      <c r="M11654" s="277"/>
      <c r="O11654" s="247"/>
      <c r="AC11654" s="247"/>
      <c r="AT11654" s="247"/>
    </row>
    <row r="11655">
      <c r="C11655" s="277"/>
      <c r="M11655" s="277"/>
      <c r="O11655" s="247"/>
      <c r="AC11655" s="247"/>
      <c r="AT11655" s="247"/>
    </row>
    <row r="11656">
      <c r="C11656" s="277"/>
      <c r="M11656" s="277"/>
      <c r="O11656" s="247"/>
      <c r="AC11656" s="247"/>
      <c r="AT11656" s="247"/>
    </row>
    <row r="11657">
      <c r="C11657" s="277"/>
      <c r="M11657" s="277"/>
      <c r="O11657" s="247"/>
      <c r="AC11657" s="247"/>
      <c r="AT11657" s="247"/>
    </row>
    <row r="11658">
      <c r="C11658" s="277"/>
      <c r="M11658" s="277"/>
      <c r="O11658" s="247"/>
      <c r="AC11658" s="247"/>
      <c r="AT11658" s="247"/>
    </row>
    <row r="11659">
      <c r="C11659" s="277"/>
      <c r="M11659" s="277"/>
      <c r="O11659" s="247"/>
      <c r="AC11659" s="247"/>
      <c r="AT11659" s="247"/>
    </row>
    <row r="11660">
      <c r="C11660" s="277"/>
      <c r="M11660" s="277"/>
      <c r="O11660" s="247"/>
      <c r="AC11660" s="247"/>
      <c r="AT11660" s="247"/>
    </row>
    <row r="11661">
      <c r="C11661" s="277"/>
      <c r="M11661" s="277"/>
      <c r="O11661" s="247"/>
      <c r="AC11661" s="247"/>
      <c r="AT11661" s="247"/>
    </row>
    <row r="11662">
      <c r="C11662" s="277"/>
      <c r="M11662" s="277"/>
      <c r="O11662" s="247"/>
      <c r="AC11662" s="247"/>
      <c r="AT11662" s="247"/>
    </row>
    <row r="11663">
      <c r="C11663" s="277"/>
      <c r="M11663" s="277"/>
      <c r="O11663" s="247"/>
      <c r="AC11663" s="247"/>
      <c r="AT11663" s="247"/>
    </row>
    <row r="11664">
      <c r="C11664" s="277"/>
      <c r="M11664" s="277"/>
      <c r="O11664" s="247"/>
      <c r="AC11664" s="247"/>
      <c r="AT11664" s="247"/>
    </row>
    <row r="11665">
      <c r="C11665" s="277"/>
      <c r="M11665" s="277"/>
      <c r="O11665" s="247"/>
      <c r="AC11665" s="247"/>
      <c r="AT11665" s="247"/>
    </row>
    <row r="11666">
      <c r="C11666" s="277"/>
      <c r="M11666" s="277"/>
      <c r="O11666" s="247"/>
      <c r="AC11666" s="247"/>
      <c r="AT11666" s="247"/>
    </row>
    <row r="11667">
      <c r="C11667" s="277"/>
      <c r="M11667" s="277"/>
      <c r="O11667" s="247"/>
      <c r="AC11667" s="247"/>
      <c r="AT11667" s="247"/>
    </row>
    <row r="11668">
      <c r="C11668" s="277"/>
      <c r="M11668" s="277"/>
      <c r="O11668" s="247"/>
      <c r="AC11668" s="247"/>
      <c r="AT11668" s="247"/>
    </row>
    <row r="11669">
      <c r="C11669" s="277"/>
      <c r="M11669" s="277"/>
      <c r="O11669" s="247"/>
      <c r="AC11669" s="247"/>
      <c r="AT11669" s="247"/>
    </row>
    <row r="11670">
      <c r="C11670" s="277"/>
      <c r="M11670" s="277"/>
      <c r="O11670" s="247"/>
      <c r="AC11670" s="247"/>
      <c r="AT11670" s="247"/>
    </row>
    <row r="11671">
      <c r="C11671" s="277"/>
      <c r="M11671" s="277"/>
      <c r="O11671" s="247"/>
      <c r="AC11671" s="247"/>
      <c r="AT11671" s="247"/>
    </row>
    <row r="11672">
      <c r="C11672" s="277"/>
      <c r="M11672" s="277"/>
      <c r="O11672" s="247"/>
      <c r="AC11672" s="247"/>
      <c r="AT11672" s="247"/>
    </row>
    <row r="11673">
      <c r="C11673" s="277"/>
      <c r="M11673" s="277"/>
      <c r="O11673" s="247"/>
      <c r="AC11673" s="247"/>
      <c r="AT11673" s="247"/>
    </row>
    <row r="11674">
      <c r="C11674" s="277"/>
      <c r="M11674" s="277"/>
      <c r="O11674" s="247"/>
      <c r="AC11674" s="247"/>
      <c r="AT11674" s="247"/>
    </row>
    <row r="11675">
      <c r="C11675" s="277"/>
      <c r="M11675" s="277"/>
      <c r="O11675" s="247"/>
      <c r="AC11675" s="247"/>
      <c r="AT11675" s="247"/>
    </row>
    <row r="11676">
      <c r="C11676" s="277"/>
      <c r="M11676" s="277"/>
      <c r="O11676" s="247"/>
      <c r="AC11676" s="247"/>
      <c r="AT11676" s="247"/>
    </row>
    <row r="11677">
      <c r="C11677" s="277"/>
      <c r="M11677" s="277"/>
      <c r="O11677" s="247"/>
      <c r="AC11677" s="247"/>
      <c r="AT11677" s="247"/>
    </row>
    <row r="11678">
      <c r="C11678" s="277"/>
      <c r="M11678" s="277"/>
      <c r="O11678" s="247"/>
      <c r="AC11678" s="247"/>
      <c r="AT11678" s="247"/>
    </row>
    <row r="11679">
      <c r="C11679" s="277"/>
      <c r="M11679" s="277"/>
      <c r="O11679" s="247"/>
      <c r="AC11679" s="247"/>
      <c r="AT11679" s="247"/>
    </row>
    <row r="11680">
      <c r="C11680" s="277"/>
      <c r="M11680" s="277"/>
      <c r="O11680" s="247"/>
      <c r="AC11680" s="247"/>
      <c r="AT11680" s="247"/>
    </row>
    <row r="11681">
      <c r="C11681" s="277"/>
      <c r="M11681" s="277"/>
      <c r="O11681" s="247"/>
      <c r="AC11681" s="247"/>
      <c r="AT11681" s="247"/>
    </row>
    <row r="11682">
      <c r="C11682" s="277"/>
      <c r="M11682" s="277"/>
      <c r="O11682" s="247"/>
      <c r="AC11682" s="247"/>
      <c r="AT11682" s="247"/>
    </row>
    <row r="11683">
      <c r="C11683" s="277"/>
      <c r="M11683" s="277"/>
      <c r="O11683" s="247"/>
      <c r="AC11683" s="247"/>
      <c r="AT11683" s="247"/>
    </row>
    <row r="11684">
      <c r="C11684" s="277"/>
      <c r="M11684" s="277"/>
      <c r="O11684" s="247"/>
      <c r="AC11684" s="247"/>
      <c r="AT11684" s="247"/>
    </row>
    <row r="11685">
      <c r="C11685" s="277"/>
      <c r="M11685" s="277"/>
      <c r="O11685" s="247"/>
      <c r="AC11685" s="247"/>
      <c r="AT11685" s="247"/>
    </row>
    <row r="11686">
      <c r="C11686" s="277"/>
      <c r="M11686" s="277"/>
      <c r="O11686" s="247"/>
      <c r="AC11686" s="247"/>
      <c r="AT11686" s="247"/>
    </row>
    <row r="11687">
      <c r="C11687" s="277"/>
      <c r="M11687" s="277"/>
      <c r="O11687" s="247"/>
      <c r="AC11687" s="247"/>
      <c r="AT11687" s="247"/>
    </row>
    <row r="11688">
      <c r="C11688" s="277"/>
      <c r="M11688" s="277"/>
      <c r="O11688" s="247"/>
      <c r="AC11688" s="247"/>
      <c r="AT11688" s="247"/>
    </row>
    <row r="11689">
      <c r="C11689" s="277"/>
      <c r="M11689" s="277"/>
      <c r="O11689" s="247"/>
      <c r="AC11689" s="247"/>
      <c r="AT11689" s="247"/>
    </row>
    <row r="11690">
      <c r="C11690" s="277"/>
      <c r="M11690" s="277"/>
      <c r="O11690" s="247"/>
      <c r="AC11690" s="247"/>
      <c r="AT11690" s="247"/>
    </row>
    <row r="11691">
      <c r="C11691" s="277"/>
      <c r="M11691" s="277"/>
      <c r="O11691" s="247"/>
      <c r="AC11691" s="247"/>
      <c r="AT11691" s="247"/>
    </row>
    <row r="11692">
      <c r="C11692" s="277"/>
      <c r="M11692" s="277"/>
      <c r="O11692" s="247"/>
      <c r="AC11692" s="247"/>
      <c r="AT11692" s="247"/>
    </row>
    <row r="11693">
      <c r="C11693" s="277"/>
      <c r="M11693" s="277"/>
      <c r="O11693" s="247"/>
      <c r="AC11693" s="247"/>
      <c r="AT11693" s="247"/>
    </row>
    <row r="11694">
      <c r="C11694" s="277"/>
      <c r="M11694" s="277"/>
      <c r="O11694" s="247"/>
      <c r="AC11694" s="247"/>
      <c r="AT11694" s="247"/>
    </row>
    <row r="11695">
      <c r="C11695" s="277"/>
      <c r="M11695" s="277"/>
      <c r="O11695" s="247"/>
      <c r="AC11695" s="247"/>
      <c r="AT11695" s="247"/>
    </row>
    <row r="11696">
      <c r="C11696" s="277"/>
      <c r="M11696" s="277"/>
      <c r="O11696" s="247"/>
      <c r="AC11696" s="247"/>
      <c r="AT11696" s="247"/>
    </row>
    <row r="11697">
      <c r="C11697" s="277"/>
      <c r="M11697" s="277"/>
      <c r="O11697" s="247"/>
      <c r="AC11697" s="247"/>
      <c r="AT11697" s="247"/>
    </row>
    <row r="11698">
      <c r="C11698" s="277"/>
      <c r="M11698" s="277"/>
      <c r="O11698" s="247"/>
      <c r="AC11698" s="247"/>
      <c r="AT11698" s="247"/>
    </row>
    <row r="11699">
      <c r="C11699" s="277"/>
      <c r="M11699" s="277"/>
      <c r="O11699" s="247"/>
      <c r="AC11699" s="247"/>
      <c r="AT11699" s="247"/>
    </row>
    <row r="11700">
      <c r="C11700" s="277"/>
      <c r="M11700" s="277"/>
      <c r="O11700" s="247"/>
      <c r="AC11700" s="247"/>
      <c r="AT11700" s="247"/>
    </row>
    <row r="11701">
      <c r="C11701" s="277"/>
      <c r="M11701" s="277"/>
      <c r="O11701" s="247"/>
      <c r="AC11701" s="247"/>
      <c r="AT11701" s="247"/>
    </row>
    <row r="11702">
      <c r="C11702" s="277"/>
      <c r="M11702" s="277"/>
      <c r="O11702" s="247"/>
      <c r="AC11702" s="247"/>
      <c r="AT11702" s="247"/>
    </row>
    <row r="11703">
      <c r="C11703" s="277"/>
      <c r="M11703" s="277"/>
      <c r="O11703" s="247"/>
      <c r="AC11703" s="247"/>
      <c r="AT11703" s="247"/>
    </row>
    <row r="11704">
      <c r="C11704" s="277"/>
      <c r="M11704" s="277"/>
      <c r="O11704" s="247"/>
      <c r="AC11704" s="247"/>
      <c r="AT11704" s="247"/>
    </row>
    <row r="11705">
      <c r="C11705" s="277"/>
      <c r="M11705" s="277"/>
      <c r="O11705" s="247"/>
      <c r="AC11705" s="247"/>
      <c r="AT11705" s="247"/>
    </row>
    <row r="11706">
      <c r="C11706" s="277"/>
      <c r="M11706" s="277"/>
      <c r="O11706" s="247"/>
      <c r="AC11706" s="247"/>
      <c r="AT11706" s="247"/>
    </row>
    <row r="11707">
      <c r="C11707" s="277"/>
      <c r="M11707" s="277"/>
      <c r="O11707" s="247"/>
      <c r="AC11707" s="247"/>
      <c r="AT11707" s="247"/>
    </row>
    <row r="11708">
      <c r="C11708" s="277"/>
      <c r="M11708" s="277"/>
      <c r="O11708" s="247"/>
      <c r="AC11708" s="247"/>
      <c r="AT11708" s="247"/>
    </row>
    <row r="11709">
      <c r="C11709" s="277"/>
      <c r="M11709" s="277"/>
      <c r="O11709" s="247"/>
      <c r="AC11709" s="247"/>
      <c r="AT11709" s="247"/>
    </row>
    <row r="11710">
      <c r="C11710" s="277"/>
      <c r="M11710" s="277"/>
      <c r="O11710" s="247"/>
      <c r="AC11710" s="247"/>
      <c r="AT11710" s="247"/>
    </row>
    <row r="11711">
      <c r="C11711" s="277"/>
      <c r="M11711" s="277"/>
      <c r="O11711" s="247"/>
      <c r="AC11711" s="247"/>
      <c r="AT11711" s="247"/>
    </row>
    <row r="11712">
      <c r="C11712" s="277"/>
      <c r="M11712" s="277"/>
      <c r="O11712" s="247"/>
      <c r="AC11712" s="247"/>
      <c r="AT11712" s="247"/>
    </row>
    <row r="11713">
      <c r="C11713" s="277"/>
      <c r="M11713" s="277"/>
      <c r="O11713" s="247"/>
      <c r="AC11713" s="247"/>
      <c r="AT11713" s="247"/>
    </row>
    <row r="11714">
      <c r="C11714" s="277"/>
      <c r="M11714" s="277"/>
      <c r="O11714" s="247"/>
      <c r="AC11714" s="247"/>
      <c r="AT11714" s="247"/>
    </row>
    <row r="11715">
      <c r="C11715" s="277"/>
      <c r="M11715" s="277"/>
      <c r="O11715" s="247"/>
      <c r="AC11715" s="247"/>
      <c r="AT11715" s="247"/>
    </row>
    <row r="11716">
      <c r="C11716" s="277"/>
      <c r="M11716" s="277"/>
      <c r="O11716" s="247"/>
      <c r="AC11716" s="247"/>
      <c r="AT11716" s="247"/>
    </row>
    <row r="11717">
      <c r="C11717" s="277"/>
      <c r="M11717" s="277"/>
      <c r="O11717" s="247"/>
      <c r="AC11717" s="247"/>
      <c r="AT11717" s="247"/>
    </row>
    <row r="11718">
      <c r="C11718" s="277"/>
      <c r="M11718" s="277"/>
      <c r="O11718" s="247"/>
      <c r="AC11718" s="247"/>
      <c r="AT11718" s="247"/>
    </row>
    <row r="11719">
      <c r="C11719" s="277"/>
      <c r="M11719" s="277"/>
      <c r="O11719" s="247"/>
      <c r="AC11719" s="247"/>
      <c r="AT11719" s="247"/>
    </row>
    <row r="11720">
      <c r="C11720" s="277"/>
      <c r="M11720" s="277"/>
      <c r="O11720" s="247"/>
      <c r="AC11720" s="247"/>
      <c r="AT11720" s="247"/>
    </row>
    <row r="11721">
      <c r="C11721" s="277"/>
      <c r="M11721" s="277"/>
      <c r="O11721" s="247"/>
      <c r="AC11721" s="247"/>
      <c r="AT11721" s="247"/>
    </row>
    <row r="11722">
      <c r="C11722" s="277"/>
      <c r="M11722" s="277"/>
      <c r="O11722" s="247"/>
      <c r="AC11722" s="247"/>
      <c r="AT11722" s="247"/>
    </row>
    <row r="11723">
      <c r="C11723" s="277"/>
      <c r="M11723" s="277"/>
      <c r="O11723" s="247"/>
      <c r="AC11723" s="247"/>
      <c r="AT11723" s="247"/>
    </row>
    <row r="11724">
      <c r="C11724" s="277"/>
      <c r="M11724" s="277"/>
      <c r="O11724" s="247"/>
      <c r="AC11724" s="247"/>
      <c r="AT11724" s="247"/>
    </row>
    <row r="11725">
      <c r="C11725" s="277"/>
      <c r="M11725" s="277"/>
      <c r="O11725" s="247"/>
      <c r="AC11725" s="247"/>
      <c r="AT11725" s="247"/>
    </row>
    <row r="11726">
      <c r="C11726" s="277"/>
      <c r="M11726" s="277"/>
      <c r="O11726" s="247"/>
      <c r="AC11726" s="247"/>
      <c r="AT11726" s="247"/>
    </row>
    <row r="11727">
      <c r="C11727" s="277"/>
      <c r="M11727" s="277"/>
      <c r="O11727" s="247"/>
      <c r="AC11727" s="247"/>
      <c r="AT11727" s="247"/>
    </row>
    <row r="11728">
      <c r="C11728" s="277"/>
      <c r="M11728" s="277"/>
      <c r="O11728" s="247"/>
      <c r="AC11728" s="247"/>
      <c r="AT11728" s="247"/>
    </row>
    <row r="11729">
      <c r="C11729" s="277"/>
      <c r="M11729" s="277"/>
      <c r="O11729" s="247"/>
      <c r="AC11729" s="247"/>
      <c r="AT11729" s="247"/>
    </row>
    <row r="11730">
      <c r="C11730" s="277"/>
      <c r="M11730" s="277"/>
      <c r="O11730" s="247"/>
      <c r="AC11730" s="247"/>
      <c r="AT11730" s="247"/>
    </row>
    <row r="11731">
      <c r="C11731" s="277"/>
      <c r="M11731" s="277"/>
      <c r="O11731" s="247"/>
      <c r="AC11731" s="247"/>
      <c r="AT11731" s="247"/>
    </row>
    <row r="11732">
      <c r="C11732" s="277"/>
      <c r="M11732" s="277"/>
      <c r="O11732" s="247"/>
      <c r="AC11732" s="247"/>
      <c r="AT11732" s="247"/>
    </row>
    <row r="11733">
      <c r="C11733" s="277"/>
      <c r="M11733" s="277"/>
      <c r="O11733" s="247"/>
      <c r="AC11733" s="247"/>
      <c r="AT11733" s="247"/>
    </row>
    <row r="11734">
      <c r="C11734" s="277"/>
      <c r="M11734" s="277"/>
      <c r="O11734" s="247"/>
      <c r="AC11734" s="247"/>
      <c r="AT11734" s="247"/>
    </row>
    <row r="11735">
      <c r="C11735" s="277"/>
      <c r="M11735" s="277"/>
      <c r="O11735" s="247"/>
      <c r="AC11735" s="247"/>
      <c r="AT11735" s="247"/>
    </row>
    <row r="11736">
      <c r="C11736" s="277"/>
      <c r="M11736" s="277"/>
      <c r="O11736" s="247"/>
      <c r="AC11736" s="247"/>
      <c r="AT11736" s="247"/>
    </row>
    <row r="11737">
      <c r="C11737" s="277"/>
      <c r="M11737" s="277"/>
      <c r="O11737" s="247"/>
      <c r="AC11737" s="247"/>
      <c r="AT11737" s="247"/>
    </row>
    <row r="11738">
      <c r="C11738" s="277"/>
      <c r="M11738" s="277"/>
      <c r="O11738" s="247"/>
      <c r="AC11738" s="247"/>
      <c r="AT11738" s="247"/>
    </row>
    <row r="11739">
      <c r="C11739" s="277"/>
      <c r="M11739" s="277"/>
      <c r="O11739" s="247"/>
      <c r="AC11739" s="247"/>
      <c r="AT11739" s="247"/>
    </row>
    <row r="11740">
      <c r="C11740" s="277"/>
      <c r="M11740" s="277"/>
      <c r="O11740" s="247"/>
      <c r="AC11740" s="247"/>
      <c r="AT11740" s="247"/>
    </row>
    <row r="11741">
      <c r="C11741" s="277"/>
      <c r="M11741" s="277"/>
      <c r="O11741" s="247"/>
      <c r="AC11741" s="247"/>
      <c r="AT11741" s="247"/>
    </row>
    <row r="11742">
      <c r="C11742" s="277"/>
      <c r="M11742" s="277"/>
      <c r="O11742" s="247"/>
      <c r="AC11742" s="247"/>
      <c r="AT11742" s="247"/>
    </row>
    <row r="11743">
      <c r="C11743" s="277"/>
      <c r="M11743" s="277"/>
      <c r="O11743" s="247"/>
      <c r="AC11743" s="247"/>
      <c r="AT11743" s="247"/>
    </row>
    <row r="11744">
      <c r="C11744" s="277"/>
      <c r="M11744" s="277"/>
      <c r="O11744" s="247"/>
      <c r="AC11744" s="247"/>
      <c r="AT11744" s="247"/>
    </row>
    <row r="11745">
      <c r="C11745" s="277"/>
      <c r="M11745" s="277"/>
      <c r="O11745" s="247"/>
      <c r="AC11745" s="247"/>
      <c r="AT11745" s="247"/>
    </row>
    <row r="11746">
      <c r="C11746" s="277"/>
      <c r="M11746" s="277"/>
      <c r="O11746" s="247"/>
      <c r="AC11746" s="247"/>
      <c r="AT11746" s="247"/>
    </row>
    <row r="11747">
      <c r="C11747" s="277"/>
      <c r="M11747" s="277"/>
      <c r="O11747" s="247"/>
      <c r="AC11747" s="247"/>
      <c r="AT11747" s="247"/>
    </row>
    <row r="11748">
      <c r="C11748" s="277"/>
      <c r="M11748" s="277"/>
      <c r="O11748" s="247"/>
      <c r="AC11748" s="247"/>
      <c r="AT11748" s="247"/>
    </row>
    <row r="11749">
      <c r="C11749" s="277"/>
      <c r="M11749" s="277"/>
      <c r="O11749" s="247"/>
      <c r="AC11749" s="247"/>
      <c r="AT11749" s="247"/>
    </row>
    <row r="11750">
      <c r="C11750" s="277"/>
      <c r="M11750" s="277"/>
      <c r="O11750" s="247"/>
      <c r="AC11750" s="247"/>
      <c r="AT11750" s="247"/>
    </row>
    <row r="11751">
      <c r="C11751" s="277"/>
      <c r="M11751" s="277"/>
      <c r="O11751" s="247"/>
      <c r="AC11751" s="247"/>
      <c r="AT11751" s="247"/>
    </row>
    <row r="11752">
      <c r="C11752" s="277"/>
      <c r="M11752" s="277"/>
      <c r="O11752" s="247"/>
      <c r="AC11752" s="247"/>
      <c r="AT11752" s="247"/>
    </row>
    <row r="11753">
      <c r="C11753" s="277"/>
      <c r="M11753" s="277"/>
      <c r="O11753" s="247"/>
      <c r="AC11753" s="247"/>
      <c r="AT11753" s="247"/>
    </row>
    <row r="11754">
      <c r="C11754" s="277"/>
      <c r="M11754" s="277"/>
      <c r="O11754" s="247"/>
      <c r="AC11754" s="247"/>
      <c r="AT11754" s="247"/>
    </row>
    <row r="11755">
      <c r="C11755" s="277"/>
      <c r="M11755" s="277"/>
      <c r="O11755" s="247"/>
      <c r="AC11755" s="247"/>
      <c r="AT11755" s="247"/>
    </row>
    <row r="11756">
      <c r="C11756" s="277"/>
      <c r="M11756" s="277"/>
      <c r="O11756" s="247"/>
      <c r="AC11756" s="247"/>
      <c r="AT11756" s="247"/>
    </row>
    <row r="11757">
      <c r="C11757" s="277"/>
      <c r="M11757" s="277"/>
      <c r="O11757" s="247"/>
      <c r="AC11757" s="247"/>
      <c r="AT11757" s="247"/>
    </row>
    <row r="11758">
      <c r="C11758" s="277"/>
      <c r="M11758" s="277"/>
      <c r="O11758" s="247"/>
      <c r="AC11758" s="247"/>
      <c r="AT11758" s="247"/>
    </row>
    <row r="11759">
      <c r="C11759" s="277"/>
      <c r="M11759" s="277"/>
      <c r="O11759" s="247"/>
      <c r="AC11759" s="247"/>
      <c r="AT11759" s="247"/>
    </row>
    <row r="11760">
      <c r="C11760" s="277"/>
      <c r="M11760" s="277"/>
      <c r="O11760" s="247"/>
      <c r="AC11760" s="247"/>
      <c r="AT11760" s="247"/>
    </row>
    <row r="11761">
      <c r="C11761" s="277"/>
      <c r="M11761" s="277"/>
      <c r="O11761" s="247"/>
      <c r="AC11761" s="247"/>
      <c r="AT11761" s="247"/>
    </row>
    <row r="11762">
      <c r="C11762" s="277"/>
      <c r="M11762" s="277"/>
      <c r="O11762" s="247"/>
      <c r="AC11762" s="247"/>
      <c r="AT11762" s="247"/>
    </row>
    <row r="11763">
      <c r="C11763" s="277"/>
      <c r="M11763" s="277"/>
      <c r="O11763" s="247"/>
      <c r="AC11763" s="247"/>
      <c r="AT11763" s="247"/>
    </row>
    <row r="11764">
      <c r="C11764" s="277"/>
      <c r="M11764" s="277"/>
      <c r="O11764" s="247"/>
      <c r="AC11764" s="247"/>
      <c r="AT11764" s="247"/>
    </row>
    <row r="11765">
      <c r="C11765" s="277"/>
      <c r="M11765" s="277"/>
      <c r="O11765" s="247"/>
      <c r="AC11765" s="247"/>
      <c r="AT11765" s="247"/>
    </row>
    <row r="11766">
      <c r="C11766" s="277"/>
      <c r="M11766" s="277"/>
      <c r="O11766" s="247"/>
      <c r="AC11766" s="247"/>
      <c r="AT11766" s="247"/>
    </row>
    <row r="11767">
      <c r="C11767" s="277"/>
      <c r="M11767" s="277"/>
      <c r="O11767" s="247"/>
      <c r="AC11767" s="247"/>
      <c r="AT11767" s="247"/>
    </row>
    <row r="11768">
      <c r="C11768" s="277"/>
      <c r="M11768" s="277"/>
      <c r="O11768" s="247"/>
      <c r="AC11768" s="247"/>
      <c r="AT11768" s="247"/>
    </row>
    <row r="11769">
      <c r="C11769" s="277"/>
      <c r="M11769" s="277"/>
      <c r="O11769" s="247"/>
      <c r="AC11769" s="247"/>
      <c r="AT11769" s="247"/>
    </row>
    <row r="11770">
      <c r="C11770" s="277"/>
      <c r="M11770" s="277"/>
      <c r="O11770" s="247"/>
      <c r="AC11770" s="247"/>
      <c r="AT11770" s="247"/>
    </row>
    <row r="11771">
      <c r="C11771" s="277"/>
      <c r="M11771" s="277"/>
      <c r="O11771" s="247"/>
      <c r="AC11771" s="247"/>
      <c r="AT11771" s="247"/>
    </row>
    <row r="11772">
      <c r="C11772" s="277"/>
      <c r="M11772" s="277"/>
      <c r="O11772" s="247"/>
      <c r="AC11772" s="247"/>
      <c r="AT11772" s="247"/>
    </row>
    <row r="11773">
      <c r="C11773" s="277"/>
      <c r="M11773" s="277"/>
      <c r="O11773" s="247"/>
      <c r="AC11773" s="247"/>
      <c r="AT11773" s="247"/>
    </row>
    <row r="11774">
      <c r="C11774" s="277"/>
      <c r="M11774" s="277"/>
      <c r="O11774" s="247"/>
      <c r="AC11774" s="247"/>
      <c r="AT11774" s="247"/>
    </row>
    <row r="11775">
      <c r="C11775" s="277"/>
      <c r="M11775" s="277"/>
      <c r="O11775" s="247"/>
      <c r="AC11775" s="247"/>
      <c r="AT11775" s="247"/>
    </row>
    <row r="11776">
      <c r="C11776" s="277"/>
      <c r="M11776" s="277"/>
      <c r="O11776" s="247"/>
      <c r="AC11776" s="247"/>
      <c r="AT11776" s="247"/>
    </row>
    <row r="11777">
      <c r="C11777" s="277"/>
      <c r="M11777" s="277"/>
      <c r="O11777" s="247"/>
      <c r="AC11777" s="247"/>
      <c r="AT11777" s="247"/>
    </row>
    <row r="11778">
      <c r="C11778" s="277"/>
      <c r="M11778" s="277"/>
      <c r="O11778" s="247"/>
      <c r="AC11778" s="247"/>
      <c r="AT11778" s="247"/>
    </row>
    <row r="11779">
      <c r="C11779" s="277"/>
      <c r="M11779" s="277"/>
      <c r="O11779" s="247"/>
      <c r="AC11779" s="247"/>
      <c r="AT11779" s="247"/>
    </row>
    <row r="11780">
      <c r="C11780" s="277"/>
      <c r="M11780" s="277"/>
      <c r="O11780" s="247"/>
      <c r="AC11780" s="247"/>
      <c r="AT11780" s="247"/>
    </row>
    <row r="11781">
      <c r="C11781" s="277"/>
      <c r="M11781" s="277"/>
      <c r="O11781" s="247"/>
      <c r="AC11781" s="247"/>
      <c r="AT11781" s="247"/>
    </row>
    <row r="11782">
      <c r="C11782" s="277"/>
      <c r="M11782" s="277"/>
      <c r="O11782" s="247"/>
      <c r="AC11782" s="247"/>
      <c r="AT11782" s="247"/>
    </row>
    <row r="11783">
      <c r="C11783" s="277"/>
      <c r="M11783" s="277"/>
      <c r="O11783" s="247"/>
      <c r="AC11783" s="247"/>
      <c r="AT11783" s="247"/>
    </row>
    <row r="11784">
      <c r="C11784" s="277"/>
      <c r="M11784" s="277"/>
      <c r="O11784" s="247"/>
      <c r="AC11784" s="247"/>
      <c r="AT11784" s="247"/>
    </row>
    <row r="11785">
      <c r="C11785" s="277"/>
      <c r="M11785" s="277"/>
      <c r="O11785" s="247"/>
      <c r="AC11785" s="247"/>
      <c r="AT11785" s="247"/>
    </row>
    <row r="11786">
      <c r="C11786" s="277"/>
      <c r="M11786" s="277"/>
      <c r="O11786" s="247"/>
      <c r="AC11786" s="247"/>
      <c r="AT11786" s="247"/>
    </row>
    <row r="11787">
      <c r="C11787" s="277"/>
      <c r="M11787" s="277"/>
      <c r="O11787" s="247"/>
      <c r="AC11787" s="247"/>
      <c r="AT11787" s="247"/>
    </row>
    <row r="11788">
      <c r="C11788" s="277"/>
      <c r="M11788" s="277"/>
      <c r="O11788" s="247"/>
      <c r="AC11788" s="247"/>
      <c r="AT11788" s="247"/>
    </row>
    <row r="11789">
      <c r="C11789" s="277"/>
      <c r="M11789" s="277"/>
      <c r="O11789" s="247"/>
      <c r="AC11789" s="247"/>
      <c r="AT11789" s="247"/>
    </row>
    <row r="11790">
      <c r="C11790" s="277"/>
      <c r="M11790" s="277"/>
      <c r="O11790" s="247"/>
      <c r="AC11790" s="247"/>
      <c r="AT11790" s="247"/>
    </row>
    <row r="11791">
      <c r="C11791" s="277"/>
      <c r="M11791" s="277"/>
      <c r="O11791" s="247"/>
      <c r="AC11791" s="247"/>
      <c r="AT11791" s="247"/>
    </row>
    <row r="11792">
      <c r="C11792" s="277"/>
      <c r="M11792" s="277"/>
      <c r="O11792" s="247"/>
      <c r="AC11792" s="247"/>
      <c r="AT11792" s="247"/>
    </row>
    <row r="11793">
      <c r="C11793" s="277"/>
      <c r="M11793" s="277"/>
      <c r="O11793" s="247"/>
      <c r="AC11793" s="247"/>
      <c r="AT11793" s="247"/>
    </row>
    <row r="11794">
      <c r="C11794" s="277"/>
      <c r="M11794" s="277"/>
      <c r="O11794" s="247"/>
      <c r="AC11794" s="247"/>
      <c r="AT11794" s="247"/>
    </row>
    <row r="11795">
      <c r="C11795" s="277"/>
      <c r="M11795" s="277"/>
      <c r="O11795" s="247"/>
      <c r="AC11795" s="247"/>
      <c r="AT11795" s="247"/>
    </row>
    <row r="11796">
      <c r="C11796" s="277"/>
      <c r="M11796" s="277"/>
      <c r="O11796" s="247"/>
      <c r="AC11796" s="247"/>
      <c r="AT11796" s="247"/>
    </row>
    <row r="11797">
      <c r="C11797" s="277"/>
      <c r="M11797" s="277"/>
      <c r="O11797" s="247"/>
      <c r="AC11797" s="247"/>
      <c r="AT11797" s="247"/>
    </row>
    <row r="11798">
      <c r="C11798" s="277"/>
      <c r="M11798" s="277"/>
      <c r="O11798" s="247"/>
      <c r="AC11798" s="247"/>
      <c r="AT11798" s="247"/>
    </row>
    <row r="11799">
      <c r="C11799" s="277"/>
      <c r="M11799" s="277"/>
      <c r="O11799" s="247"/>
      <c r="AC11799" s="247"/>
      <c r="AT11799" s="247"/>
    </row>
    <row r="11800">
      <c r="C11800" s="277"/>
      <c r="M11800" s="277"/>
      <c r="O11800" s="247"/>
      <c r="AC11800" s="247"/>
      <c r="AT11800" s="247"/>
    </row>
    <row r="11801">
      <c r="C11801" s="277"/>
      <c r="M11801" s="277"/>
      <c r="O11801" s="247"/>
      <c r="AC11801" s="247"/>
      <c r="AT11801" s="247"/>
    </row>
    <row r="11802">
      <c r="C11802" s="277"/>
      <c r="M11802" s="277"/>
      <c r="O11802" s="247"/>
      <c r="AC11802" s="247"/>
      <c r="AT11802" s="247"/>
    </row>
    <row r="11803">
      <c r="C11803" s="277"/>
      <c r="M11803" s="277"/>
      <c r="O11803" s="247"/>
      <c r="AC11803" s="247"/>
      <c r="AT11803" s="247"/>
    </row>
    <row r="11804">
      <c r="C11804" s="277"/>
      <c r="M11804" s="277"/>
      <c r="O11804" s="247"/>
      <c r="AC11804" s="247"/>
      <c r="AT11804" s="247"/>
    </row>
    <row r="11805">
      <c r="C11805" s="277"/>
      <c r="M11805" s="277"/>
      <c r="O11805" s="247"/>
      <c r="AC11805" s="247"/>
      <c r="AT11805" s="247"/>
    </row>
    <row r="11806">
      <c r="C11806" s="277"/>
      <c r="M11806" s="277"/>
      <c r="O11806" s="247"/>
      <c r="AC11806" s="247"/>
      <c r="AT11806" s="247"/>
    </row>
    <row r="11807">
      <c r="C11807" s="277"/>
      <c r="M11807" s="277"/>
      <c r="O11807" s="247"/>
      <c r="AC11807" s="247"/>
      <c r="AT11807" s="247"/>
    </row>
    <row r="11808">
      <c r="C11808" s="277"/>
      <c r="M11808" s="277"/>
      <c r="O11808" s="247"/>
      <c r="AC11808" s="247"/>
      <c r="AT11808" s="247"/>
    </row>
    <row r="11809">
      <c r="C11809" s="277"/>
      <c r="M11809" s="277"/>
      <c r="O11809" s="247"/>
      <c r="AC11809" s="247"/>
      <c r="AT11809" s="247"/>
    </row>
    <row r="11810">
      <c r="C11810" s="277"/>
      <c r="M11810" s="277"/>
      <c r="O11810" s="247"/>
      <c r="AC11810" s="247"/>
      <c r="AT11810" s="247"/>
    </row>
    <row r="11811">
      <c r="C11811" s="277"/>
      <c r="M11811" s="277"/>
      <c r="O11811" s="247"/>
      <c r="AC11811" s="247"/>
      <c r="AT11811" s="247"/>
    </row>
    <row r="11812">
      <c r="C11812" s="277"/>
      <c r="M11812" s="277"/>
      <c r="O11812" s="247"/>
      <c r="AC11812" s="247"/>
      <c r="AT11812" s="247"/>
    </row>
    <row r="11813">
      <c r="C11813" s="277"/>
      <c r="M11813" s="277"/>
      <c r="O11813" s="247"/>
      <c r="AC11813" s="247"/>
      <c r="AT11813" s="247"/>
    </row>
    <row r="11814">
      <c r="C11814" s="277"/>
      <c r="M11814" s="277"/>
      <c r="O11814" s="247"/>
      <c r="AC11814" s="247"/>
      <c r="AT11814" s="247"/>
    </row>
    <row r="11815">
      <c r="C11815" s="277"/>
      <c r="M11815" s="277"/>
      <c r="O11815" s="247"/>
      <c r="AC11815" s="247"/>
      <c r="AT11815" s="247"/>
    </row>
    <row r="11816">
      <c r="C11816" s="277"/>
      <c r="M11816" s="277"/>
      <c r="O11816" s="247"/>
      <c r="AC11816" s="247"/>
      <c r="AT11816" s="247"/>
    </row>
    <row r="11817">
      <c r="C11817" s="277"/>
      <c r="M11817" s="277"/>
      <c r="O11817" s="247"/>
      <c r="AC11817" s="247"/>
      <c r="AT11817" s="247"/>
    </row>
    <row r="11818">
      <c r="C11818" s="277"/>
      <c r="M11818" s="277"/>
      <c r="O11818" s="247"/>
      <c r="AC11818" s="247"/>
      <c r="AT11818" s="247"/>
    </row>
    <row r="11819">
      <c r="C11819" s="277"/>
      <c r="M11819" s="277"/>
      <c r="O11819" s="247"/>
      <c r="AC11819" s="247"/>
      <c r="AT11819" s="247"/>
    </row>
    <row r="11820">
      <c r="C11820" s="277"/>
      <c r="M11820" s="277"/>
      <c r="O11820" s="247"/>
      <c r="AC11820" s="247"/>
      <c r="AT11820" s="247"/>
    </row>
    <row r="11821">
      <c r="C11821" s="277"/>
      <c r="M11821" s="277"/>
      <c r="O11821" s="247"/>
      <c r="AC11821" s="247"/>
      <c r="AT11821" s="247"/>
    </row>
    <row r="11822">
      <c r="C11822" s="277"/>
      <c r="M11822" s="277"/>
      <c r="O11822" s="247"/>
      <c r="AC11822" s="247"/>
      <c r="AT11822" s="247"/>
    </row>
    <row r="11823">
      <c r="C11823" s="277"/>
      <c r="M11823" s="277"/>
      <c r="O11823" s="247"/>
      <c r="AC11823" s="247"/>
      <c r="AT11823" s="247"/>
    </row>
    <row r="11824">
      <c r="C11824" s="277"/>
      <c r="M11824" s="277"/>
      <c r="O11824" s="247"/>
      <c r="AC11824" s="247"/>
      <c r="AT11824" s="247"/>
    </row>
    <row r="11825">
      <c r="C11825" s="277"/>
      <c r="M11825" s="277"/>
      <c r="O11825" s="247"/>
      <c r="AC11825" s="247"/>
      <c r="AT11825" s="247"/>
    </row>
    <row r="11826">
      <c r="C11826" s="277"/>
      <c r="M11826" s="277"/>
      <c r="O11826" s="247"/>
      <c r="AC11826" s="247"/>
      <c r="AT11826" s="247"/>
    </row>
    <row r="11827">
      <c r="C11827" s="277"/>
      <c r="M11827" s="277"/>
      <c r="O11827" s="247"/>
      <c r="AC11827" s="247"/>
      <c r="AT11827" s="247"/>
    </row>
    <row r="11828">
      <c r="C11828" s="277"/>
      <c r="M11828" s="277"/>
      <c r="O11828" s="247"/>
      <c r="AC11828" s="247"/>
      <c r="AT11828" s="247"/>
    </row>
    <row r="11829">
      <c r="C11829" s="277"/>
      <c r="M11829" s="277"/>
      <c r="O11829" s="247"/>
      <c r="AC11829" s="247"/>
      <c r="AT11829" s="247"/>
    </row>
    <row r="11830">
      <c r="C11830" s="277"/>
      <c r="M11830" s="277"/>
      <c r="O11830" s="247"/>
      <c r="AC11830" s="247"/>
      <c r="AT11830" s="247"/>
    </row>
    <row r="11831">
      <c r="C11831" s="277"/>
      <c r="M11831" s="277"/>
      <c r="O11831" s="247"/>
      <c r="AC11831" s="247"/>
      <c r="AT11831" s="247"/>
    </row>
    <row r="11832">
      <c r="C11832" s="277"/>
      <c r="M11832" s="277"/>
      <c r="O11832" s="247"/>
      <c r="AC11832" s="247"/>
      <c r="AT11832" s="247"/>
    </row>
    <row r="11833">
      <c r="C11833" s="277"/>
      <c r="M11833" s="277"/>
      <c r="O11833" s="247"/>
      <c r="AC11833" s="247"/>
      <c r="AT11833" s="247"/>
    </row>
    <row r="11834">
      <c r="C11834" s="277"/>
      <c r="M11834" s="277"/>
      <c r="O11834" s="247"/>
      <c r="AC11834" s="247"/>
      <c r="AT11834" s="247"/>
    </row>
    <row r="11835">
      <c r="C11835" s="277"/>
      <c r="M11835" s="277"/>
      <c r="O11835" s="247"/>
      <c r="AC11835" s="247"/>
      <c r="AT11835" s="247"/>
    </row>
    <row r="11836">
      <c r="C11836" s="277"/>
      <c r="M11836" s="277"/>
      <c r="O11836" s="247"/>
      <c r="AC11836" s="247"/>
      <c r="AT11836" s="247"/>
    </row>
    <row r="11837">
      <c r="C11837" s="277"/>
      <c r="M11837" s="277"/>
      <c r="O11837" s="247"/>
      <c r="AC11837" s="247"/>
      <c r="AT11837" s="247"/>
    </row>
    <row r="11838">
      <c r="C11838" s="277"/>
      <c r="M11838" s="277"/>
      <c r="O11838" s="247"/>
      <c r="AC11838" s="247"/>
      <c r="AT11838" s="247"/>
    </row>
    <row r="11839">
      <c r="C11839" s="277"/>
      <c r="M11839" s="277"/>
      <c r="O11839" s="247"/>
      <c r="AC11839" s="247"/>
      <c r="AT11839" s="247"/>
    </row>
    <row r="11840">
      <c r="C11840" s="277"/>
      <c r="M11840" s="277"/>
      <c r="O11840" s="247"/>
      <c r="AC11840" s="247"/>
      <c r="AT11840" s="247"/>
    </row>
    <row r="11841">
      <c r="C11841" s="277"/>
      <c r="M11841" s="277"/>
      <c r="O11841" s="247"/>
      <c r="AC11841" s="247"/>
      <c r="AT11841" s="247"/>
    </row>
    <row r="11842">
      <c r="C11842" s="277"/>
      <c r="M11842" s="277"/>
      <c r="O11842" s="247"/>
      <c r="AC11842" s="247"/>
      <c r="AT11842" s="247"/>
    </row>
    <row r="11843">
      <c r="C11843" s="277"/>
      <c r="M11843" s="277"/>
      <c r="O11843" s="247"/>
      <c r="AC11843" s="247"/>
      <c r="AT11843" s="247"/>
    </row>
    <row r="11844">
      <c r="C11844" s="277"/>
      <c r="M11844" s="277"/>
      <c r="O11844" s="247"/>
      <c r="AC11844" s="247"/>
      <c r="AT11844" s="247"/>
    </row>
    <row r="11845">
      <c r="C11845" s="277"/>
      <c r="M11845" s="277"/>
      <c r="O11845" s="247"/>
      <c r="AC11845" s="247"/>
      <c r="AT11845" s="247"/>
    </row>
    <row r="11846">
      <c r="C11846" s="277"/>
      <c r="M11846" s="277"/>
      <c r="O11846" s="247"/>
      <c r="AC11846" s="247"/>
      <c r="AT11846" s="247"/>
    </row>
    <row r="11847">
      <c r="C11847" s="277"/>
      <c r="M11847" s="277"/>
      <c r="O11847" s="247"/>
      <c r="AC11847" s="247"/>
      <c r="AT11847" s="247"/>
    </row>
    <row r="11848">
      <c r="C11848" s="277"/>
      <c r="M11848" s="277"/>
      <c r="O11848" s="247"/>
      <c r="AC11848" s="247"/>
      <c r="AT11848" s="247"/>
    </row>
    <row r="11849">
      <c r="C11849" s="277"/>
      <c r="M11849" s="277"/>
      <c r="O11849" s="247"/>
      <c r="AC11849" s="247"/>
      <c r="AT11849" s="247"/>
    </row>
    <row r="11850">
      <c r="C11850" s="277"/>
      <c r="M11850" s="277"/>
      <c r="O11850" s="247"/>
      <c r="AC11850" s="247"/>
      <c r="AT11850" s="247"/>
    </row>
    <row r="11851">
      <c r="C11851" s="277"/>
      <c r="M11851" s="277"/>
      <c r="O11851" s="247"/>
      <c r="AC11851" s="247"/>
      <c r="AT11851" s="247"/>
    </row>
    <row r="11852">
      <c r="C11852" s="277"/>
      <c r="M11852" s="277"/>
      <c r="O11852" s="247"/>
      <c r="AC11852" s="247"/>
      <c r="AT11852" s="247"/>
    </row>
    <row r="11853">
      <c r="C11853" s="277"/>
      <c r="M11853" s="277"/>
      <c r="O11853" s="247"/>
      <c r="AC11853" s="247"/>
      <c r="AT11853" s="247"/>
    </row>
    <row r="11854">
      <c r="C11854" s="277"/>
      <c r="M11854" s="277"/>
      <c r="O11854" s="247"/>
      <c r="AC11854" s="247"/>
      <c r="AT11854" s="247"/>
    </row>
    <row r="11855">
      <c r="C11855" s="277"/>
      <c r="M11855" s="277"/>
      <c r="O11855" s="247"/>
      <c r="AC11855" s="247"/>
      <c r="AT11855" s="247"/>
    </row>
    <row r="11856">
      <c r="C11856" s="277"/>
      <c r="M11856" s="277"/>
      <c r="O11856" s="247"/>
      <c r="AC11856" s="247"/>
      <c r="AT11856" s="247"/>
    </row>
    <row r="11857">
      <c r="C11857" s="277"/>
      <c r="M11857" s="277"/>
      <c r="O11857" s="247"/>
      <c r="AC11857" s="247"/>
      <c r="AT11857" s="247"/>
    </row>
    <row r="11858">
      <c r="C11858" s="277"/>
      <c r="M11858" s="277"/>
      <c r="O11858" s="247"/>
      <c r="AC11858" s="247"/>
      <c r="AT11858" s="247"/>
    </row>
    <row r="11859">
      <c r="C11859" s="277"/>
      <c r="M11859" s="277"/>
      <c r="O11859" s="247"/>
      <c r="AC11859" s="247"/>
      <c r="AT11859" s="247"/>
    </row>
    <row r="11860">
      <c r="C11860" s="277"/>
      <c r="M11860" s="277"/>
      <c r="O11860" s="247"/>
      <c r="AC11860" s="247"/>
      <c r="AT11860" s="247"/>
    </row>
    <row r="11861">
      <c r="C11861" s="277"/>
      <c r="M11861" s="277"/>
      <c r="O11861" s="247"/>
      <c r="AC11861" s="247"/>
      <c r="AT11861" s="247"/>
    </row>
    <row r="11862">
      <c r="C11862" s="277"/>
      <c r="M11862" s="277"/>
      <c r="O11862" s="247"/>
      <c r="AC11862" s="247"/>
      <c r="AT11862" s="247"/>
    </row>
    <row r="11863">
      <c r="C11863" s="277"/>
      <c r="M11863" s="277"/>
      <c r="O11863" s="247"/>
      <c r="AC11863" s="247"/>
      <c r="AT11863" s="247"/>
    </row>
    <row r="11864">
      <c r="C11864" s="277"/>
      <c r="M11864" s="277"/>
      <c r="O11864" s="247"/>
      <c r="AC11864" s="247"/>
      <c r="AT11864" s="247"/>
    </row>
    <row r="11865">
      <c r="C11865" s="277"/>
      <c r="M11865" s="277"/>
      <c r="O11865" s="247"/>
      <c r="AC11865" s="247"/>
      <c r="AT11865" s="247"/>
    </row>
    <row r="11866">
      <c r="C11866" s="277"/>
      <c r="M11866" s="277"/>
      <c r="O11866" s="247"/>
      <c r="AC11866" s="247"/>
      <c r="AT11866" s="247"/>
    </row>
    <row r="11867">
      <c r="C11867" s="277"/>
      <c r="M11867" s="277"/>
      <c r="O11867" s="247"/>
      <c r="AC11867" s="247"/>
      <c r="AT11867" s="247"/>
    </row>
    <row r="11868">
      <c r="C11868" s="277"/>
      <c r="M11868" s="277"/>
      <c r="O11868" s="247"/>
      <c r="AC11868" s="247"/>
      <c r="AT11868" s="247"/>
    </row>
    <row r="11869">
      <c r="C11869" s="277"/>
      <c r="M11869" s="277"/>
      <c r="O11869" s="247"/>
      <c r="AC11869" s="247"/>
      <c r="AT11869" s="247"/>
    </row>
    <row r="11870">
      <c r="C11870" s="277"/>
      <c r="M11870" s="277"/>
      <c r="O11870" s="247"/>
      <c r="AC11870" s="247"/>
      <c r="AT11870" s="247"/>
    </row>
    <row r="11871">
      <c r="C11871" s="277"/>
      <c r="M11871" s="277"/>
      <c r="O11871" s="247"/>
      <c r="AC11871" s="247"/>
      <c r="AT11871" s="247"/>
    </row>
    <row r="11872">
      <c r="C11872" s="277"/>
      <c r="M11872" s="277"/>
      <c r="O11872" s="247"/>
      <c r="AC11872" s="247"/>
      <c r="AT11872" s="247"/>
    </row>
    <row r="11873">
      <c r="C11873" s="277"/>
      <c r="M11873" s="277"/>
      <c r="O11873" s="247"/>
      <c r="AC11873" s="247"/>
      <c r="AT11873" s="247"/>
    </row>
    <row r="11874">
      <c r="C11874" s="277"/>
      <c r="M11874" s="277"/>
      <c r="O11874" s="247"/>
      <c r="AC11874" s="247"/>
      <c r="AT11874" s="247"/>
    </row>
    <row r="11875">
      <c r="C11875" s="277"/>
      <c r="M11875" s="277"/>
      <c r="O11875" s="247"/>
      <c r="AC11875" s="247"/>
      <c r="AT11875" s="247"/>
    </row>
    <row r="11876">
      <c r="C11876" s="277"/>
      <c r="M11876" s="277"/>
      <c r="O11876" s="247"/>
      <c r="AC11876" s="247"/>
      <c r="AT11876" s="247"/>
    </row>
    <row r="11877">
      <c r="C11877" s="277"/>
      <c r="M11877" s="277"/>
      <c r="O11877" s="247"/>
      <c r="AC11877" s="247"/>
      <c r="AT11877" s="247"/>
    </row>
    <row r="11878">
      <c r="C11878" s="277"/>
      <c r="M11878" s="277"/>
      <c r="O11878" s="247"/>
      <c r="AC11878" s="247"/>
      <c r="AT11878" s="247"/>
    </row>
    <row r="11879">
      <c r="C11879" s="277"/>
      <c r="M11879" s="277"/>
      <c r="O11879" s="247"/>
      <c r="AC11879" s="247"/>
      <c r="AT11879" s="247"/>
    </row>
    <row r="11880">
      <c r="C11880" s="277"/>
      <c r="M11880" s="277"/>
      <c r="O11880" s="247"/>
      <c r="AC11880" s="247"/>
      <c r="AT11880" s="247"/>
    </row>
    <row r="11881">
      <c r="C11881" s="277"/>
      <c r="M11881" s="277"/>
      <c r="O11881" s="247"/>
      <c r="AC11881" s="247"/>
      <c r="AT11881" s="247"/>
    </row>
    <row r="11882">
      <c r="C11882" s="277"/>
      <c r="M11882" s="277"/>
      <c r="O11882" s="247"/>
      <c r="AC11882" s="247"/>
      <c r="AT11882" s="247"/>
    </row>
    <row r="11883">
      <c r="C11883" s="277"/>
      <c r="M11883" s="277"/>
      <c r="O11883" s="247"/>
      <c r="AC11883" s="247"/>
      <c r="AT11883" s="247"/>
    </row>
    <row r="11884">
      <c r="C11884" s="277"/>
      <c r="M11884" s="277"/>
      <c r="O11884" s="247"/>
      <c r="AC11884" s="247"/>
      <c r="AT11884" s="247"/>
    </row>
    <row r="11885">
      <c r="C11885" s="277"/>
      <c r="M11885" s="277"/>
      <c r="O11885" s="247"/>
      <c r="AC11885" s="247"/>
      <c r="AT11885" s="247"/>
    </row>
    <row r="11886">
      <c r="C11886" s="277"/>
      <c r="M11886" s="277"/>
      <c r="O11886" s="247"/>
      <c r="AC11886" s="247"/>
      <c r="AT11886" s="247"/>
    </row>
    <row r="11887">
      <c r="C11887" s="277"/>
      <c r="M11887" s="277"/>
      <c r="O11887" s="247"/>
      <c r="AC11887" s="247"/>
      <c r="AT11887" s="247"/>
    </row>
    <row r="11888">
      <c r="C11888" s="277"/>
      <c r="M11888" s="277"/>
      <c r="O11888" s="247"/>
      <c r="AC11888" s="247"/>
      <c r="AT11888" s="247"/>
    </row>
    <row r="11889">
      <c r="C11889" s="277"/>
      <c r="M11889" s="277"/>
      <c r="O11889" s="247"/>
      <c r="AC11889" s="247"/>
      <c r="AT11889" s="247"/>
    </row>
    <row r="11890">
      <c r="C11890" s="277"/>
      <c r="M11890" s="277"/>
      <c r="O11890" s="247"/>
      <c r="AC11890" s="247"/>
      <c r="AT11890" s="247"/>
    </row>
    <row r="11891">
      <c r="C11891" s="277"/>
      <c r="M11891" s="277"/>
      <c r="O11891" s="247"/>
      <c r="AC11891" s="247"/>
      <c r="AT11891" s="247"/>
    </row>
    <row r="11892">
      <c r="C11892" s="277"/>
      <c r="M11892" s="277"/>
      <c r="O11892" s="247"/>
      <c r="AC11892" s="247"/>
      <c r="AT11892" s="247"/>
    </row>
    <row r="11893">
      <c r="C11893" s="277"/>
      <c r="M11893" s="277"/>
      <c r="O11893" s="247"/>
      <c r="AC11893" s="247"/>
      <c r="AT11893" s="247"/>
    </row>
    <row r="11894">
      <c r="C11894" s="277"/>
      <c r="M11894" s="277"/>
      <c r="O11894" s="247"/>
      <c r="AC11894" s="247"/>
      <c r="AT11894" s="247"/>
    </row>
    <row r="11895">
      <c r="C11895" s="277"/>
      <c r="M11895" s="277"/>
      <c r="O11895" s="247"/>
      <c r="AC11895" s="247"/>
      <c r="AT11895" s="247"/>
    </row>
    <row r="11896">
      <c r="C11896" s="277"/>
      <c r="M11896" s="277"/>
      <c r="O11896" s="247"/>
      <c r="AC11896" s="247"/>
      <c r="AT11896" s="247"/>
    </row>
    <row r="11897">
      <c r="C11897" s="277"/>
      <c r="M11897" s="277"/>
      <c r="O11897" s="247"/>
      <c r="AC11897" s="247"/>
      <c r="AT11897" s="247"/>
    </row>
    <row r="11898">
      <c r="C11898" s="277"/>
      <c r="M11898" s="277"/>
      <c r="O11898" s="247"/>
      <c r="AC11898" s="247"/>
      <c r="AT11898" s="247"/>
    </row>
    <row r="11899">
      <c r="C11899" s="277"/>
      <c r="M11899" s="277"/>
      <c r="O11899" s="247"/>
      <c r="AC11899" s="247"/>
      <c r="AT11899" s="247"/>
    </row>
    <row r="11900">
      <c r="C11900" s="277"/>
      <c r="M11900" s="277"/>
      <c r="O11900" s="247"/>
      <c r="AC11900" s="247"/>
      <c r="AT11900" s="247"/>
    </row>
    <row r="11901">
      <c r="C11901" s="277"/>
      <c r="M11901" s="277"/>
      <c r="O11901" s="247"/>
      <c r="AC11901" s="247"/>
      <c r="AT11901" s="247"/>
    </row>
    <row r="11902">
      <c r="C11902" s="277"/>
      <c r="M11902" s="277"/>
      <c r="O11902" s="247"/>
      <c r="AC11902" s="247"/>
      <c r="AT11902" s="247"/>
    </row>
    <row r="11903">
      <c r="C11903" s="277"/>
      <c r="M11903" s="277"/>
      <c r="O11903" s="247"/>
      <c r="AC11903" s="247"/>
      <c r="AT11903" s="247"/>
    </row>
    <row r="11904">
      <c r="C11904" s="277"/>
      <c r="M11904" s="277"/>
      <c r="O11904" s="247"/>
      <c r="AC11904" s="247"/>
      <c r="AT11904" s="247"/>
    </row>
    <row r="11905">
      <c r="C11905" s="277"/>
      <c r="M11905" s="277"/>
      <c r="O11905" s="247"/>
      <c r="AC11905" s="247"/>
      <c r="AT11905" s="247"/>
    </row>
    <row r="11906">
      <c r="C11906" s="277"/>
      <c r="M11906" s="277"/>
      <c r="O11906" s="247"/>
      <c r="AC11906" s="247"/>
      <c r="AT11906" s="247"/>
    </row>
    <row r="11907">
      <c r="C11907" s="277"/>
      <c r="M11907" s="277"/>
      <c r="O11907" s="247"/>
      <c r="AC11907" s="247"/>
      <c r="AT11907" s="247"/>
    </row>
    <row r="11908">
      <c r="C11908" s="277"/>
      <c r="M11908" s="277"/>
      <c r="O11908" s="247"/>
      <c r="AC11908" s="247"/>
      <c r="AT11908" s="247"/>
    </row>
    <row r="11909">
      <c r="C11909" s="277"/>
      <c r="M11909" s="277"/>
      <c r="O11909" s="247"/>
      <c r="AC11909" s="247"/>
      <c r="AT11909" s="247"/>
    </row>
    <row r="11910">
      <c r="C11910" s="277"/>
      <c r="M11910" s="277"/>
      <c r="O11910" s="247"/>
      <c r="AC11910" s="247"/>
      <c r="AT11910" s="247"/>
    </row>
    <row r="11911">
      <c r="C11911" s="277"/>
      <c r="M11911" s="277"/>
      <c r="O11911" s="247"/>
      <c r="AC11911" s="247"/>
      <c r="AT11911" s="247"/>
    </row>
    <row r="11912">
      <c r="C11912" s="277"/>
      <c r="M11912" s="277"/>
      <c r="O11912" s="247"/>
      <c r="AC11912" s="247"/>
      <c r="AT11912" s="247"/>
    </row>
    <row r="11913">
      <c r="C11913" s="277"/>
      <c r="M11913" s="277"/>
      <c r="O11913" s="247"/>
      <c r="AC11913" s="247"/>
      <c r="AT11913" s="247"/>
    </row>
    <row r="11914">
      <c r="C11914" s="277"/>
      <c r="M11914" s="277"/>
      <c r="O11914" s="247"/>
      <c r="AC11914" s="247"/>
      <c r="AT11914" s="247"/>
    </row>
    <row r="11915">
      <c r="C11915" s="277"/>
      <c r="M11915" s="277"/>
      <c r="O11915" s="247"/>
      <c r="AC11915" s="247"/>
      <c r="AT11915" s="247"/>
    </row>
    <row r="11916">
      <c r="C11916" s="277"/>
      <c r="M11916" s="277"/>
      <c r="O11916" s="247"/>
      <c r="AC11916" s="247"/>
      <c r="AT11916" s="247"/>
    </row>
    <row r="11917">
      <c r="C11917" s="277"/>
      <c r="M11917" s="277"/>
      <c r="O11917" s="247"/>
      <c r="AC11917" s="247"/>
      <c r="AT11917" s="247"/>
    </row>
    <row r="11918">
      <c r="C11918" s="277"/>
      <c r="M11918" s="277"/>
      <c r="O11918" s="247"/>
      <c r="AC11918" s="247"/>
      <c r="AT11918" s="247"/>
    </row>
    <row r="11919">
      <c r="C11919" s="277"/>
      <c r="M11919" s="277"/>
      <c r="O11919" s="247"/>
      <c r="AC11919" s="247"/>
      <c r="AT11919" s="247"/>
    </row>
    <row r="11920">
      <c r="C11920" s="277"/>
      <c r="M11920" s="277"/>
      <c r="O11920" s="247"/>
      <c r="AC11920" s="247"/>
      <c r="AT11920" s="247"/>
    </row>
    <row r="11921">
      <c r="C11921" s="277"/>
      <c r="M11921" s="277"/>
      <c r="O11921" s="247"/>
      <c r="AC11921" s="247"/>
      <c r="AT11921" s="247"/>
    </row>
    <row r="11922">
      <c r="C11922" s="277"/>
      <c r="M11922" s="277"/>
      <c r="O11922" s="247"/>
      <c r="AC11922" s="247"/>
      <c r="AT11922" s="247"/>
    </row>
    <row r="11923">
      <c r="C11923" s="277"/>
      <c r="M11923" s="277"/>
      <c r="O11923" s="247"/>
      <c r="AC11923" s="247"/>
      <c r="AT11923" s="247"/>
    </row>
    <row r="11924">
      <c r="C11924" s="277"/>
      <c r="M11924" s="277"/>
      <c r="O11924" s="247"/>
      <c r="AC11924" s="247"/>
      <c r="AT11924" s="247"/>
    </row>
    <row r="11925">
      <c r="C11925" s="277"/>
      <c r="M11925" s="277"/>
      <c r="O11925" s="247"/>
      <c r="AC11925" s="247"/>
      <c r="AT11925" s="247"/>
    </row>
    <row r="11926">
      <c r="C11926" s="277"/>
      <c r="M11926" s="277"/>
      <c r="O11926" s="247"/>
      <c r="AC11926" s="247"/>
      <c r="AT11926" s="247"/>
    </row>
    <row r="11927">
      <c r="C11927" s="277"/>
      <c r="M11927" s="277"/>
      <c r="O11927" s="247"/>
      <c r="AC11927" s="247"/>
      <c r="AT11927" s="247"/>
    </row>
    <row r="11928">
      <c r="C11928" s="277"/>
      <c r="M11928" s="277"/>
      <c r="O11928" s="247"/>
      <c r="AC11928" s="247"/>
      <c r="AT11928" s="247"/>
    </row>
    <row r="11929">
      <c r="C11929" s="277"/>
      <c r="M11929" s="277"/>
      <c r="O11929" s="247"/>
      <c r="AC11929" s="247"/>
      <c r="AT11929" s="247"/>
    </row>
    <row r="11930">
      <c r="C11930" s="277"/>
      <c r="M11930" s="277"/>
      <c r="O11930" s="247"/>
      <c r="AC11930" s="247"/>
      <c r="AT11930" s="247"/>
    </row>
    <row r="11931">
      <c r="C11931" s="277"/>
      <c r="M11931" s="277"/>
      <c r="O11931" s="247"/>
      <c r="AC11931" s="247"/>
      <c r="AT11931" s="247"/>
    </row>
    <row r="11932">
      <c r="C11932" s="277"/>
      <c r="M11932" s="277"/>
      <c r="O11932" s="247"/>
      <c r="AC11932" s="247"/>
      <c r="AT11932" s="247"/>
    </row>
    <row r="11933">
      <c r="C11933" s="277"/>
      <c r="M11933" s="277"/>
      <c r="O11933" s="247"/>
      <c r="AC11933" s="247"/>
      <c r="AT11933" s="247"/>
    </row>
    <row r="11934">
      <c r="C11934" s="277"/>
      <c r="M11934" s="277"/>
      <c r="O11934" s="247"/>
      <c r="AC11934" s="247"/>
      <c r="AT11934" s="247"/>
    </row>
    <row r="11935">
      <c r="C11935" s="277"/>
      <c r="M11935" s="277"/>
      <c r="O11935" s="247"/>
      <c r="AC11935" s="247"/>
      <c r="AT11935" s="247"/>
    </row>
    <row r="11936">
      <c r="C11936" s="277"/>
      <c r="M11936" s="277"/>
      <c r="O11936" s="247"/>
      <c r="AC11936" s="247"/>
      <c r="AT11936" s="247"/>
    </row>
    <row r="11937">
      <c r="C11937" s="277"/>
      <c r="M11937" s="277"/>
      <c r="O11937" s="247"/>
      <c r="AC11937" s="247"/>
      <c r="AT11937" s="247"/>
    </row>
    <row r="11938">
      <c r="C11938" s="277"/>
      <c r="M11938" s="277"/>
      <c r="O11938" s="247"/>
      <c r="AC11938" s="247"/>
      <c r="AT11938" s="247"/>
    </row>
    <row r="11939">
      <c r="C11939" s="277"/>
      <c r="M11939" s="277"/>
      <c r="O11939" s="247"/>
      <c r="AC11939" s="247"/>
      <c r="AT11939" s="247"/>
    </row>
    <row r="11940">
      <c r="C11940" s="277"/>
      <c r="M11940" s="277"/>
      <c r="O11940" s="247"/>
      <c r="AC11940" s="247"/>
      <c r="AT11940" s="247"/>
    </row>
    <row r="11941">
      <c r="C11941" s="277"/>
      <c r="M11941" s="277"/>
      <c r="O11941" s="247"/>
      <c r="AC11941" s="247"/>
      <c r="AT11941" s="247"/>
    </row>
    <row r="11942">
      <c r="C11942" s="277"/>
      <c r="M11942" s="277"/>
      <c r="O11942" s="247"/>
      <c r="AC11942" s="247"/>
      <c r="AT11942" s="247"/>
    </row>
    <row r="11943">
      <c r="C11943" s="277"/>
      <c r="M11943" s="277"/>
      <c r="O11943" s="247"/>
      <c r="AC11943" s="247"/>
      <c r="AT11943" s="247"/>
    </row>
    <row r="11944">
      <c r="C11944" s="277"/>
      <c r="M11944" s="277"/>
      <c r="O11944" s="247"/>
      <c r="AC11944" s="247"/>
      <c r="AT11944" s="247"/>
    </row>
    <row r="11945">
      <c r="C11945" s="277"/>
      <c r="M11945" s="277"/>
      <c r="O11945" s="247"/>
      <c r="AC11945" s="247"/>
      <c r="AT11945" s="247"/>
    </row>
    <row r="11946">
      <c r="C11946" s="277"/>
      <c r="M11946" s="277"/>
      <c r="O11946" s="247"/>
      <c r="AC11946" s="247"/>
      <c r="AT11946" s="247"/>
    </row>
    <row r="11947">
      <c r="C11947" s="277"/>
      <c r="M11947" s="277"/>
      <c r="O11947" s="247"/>
      <c r="AC11947" s="247"/>
      <c r="AT11947" s="247"/>
    </row>
    <row r="11948">
      <c r="C11948" s="277"/>
      <c r="M11948" s="277"/>
      <c r="O11948" s="247"/>
      <c r="AC11948" s="247"/>
      <c r="AT11948" s="247"/>
    </row>
    <row r="11949">
      <c r="C11949" s="277"/>
      <c r="M11949" s="277"/>
      <c r="O11949" s="247"/>
      <c r="AC11949" s="247"/>
      <c r="AT11949" s="247"/>
    </row>
    <row r="11950">
      <c r="C11950" s="277"/>
      <c r="M11950" s="277"/>
      <c r="O11950" s="247"/>
      <c r="AC11950" s="247"/>
      <c r="AT11950" s="247"/>
    </row>
    <row r="11951">
      <c r="C11951" s="277"/>
      <c r="M11951" s="277"/>
      <c r="O11951" s="247"/>
      <c r="AC11951" s="247"/>
      <c r="AT11951" s="247"/>
    </row>
    <row r="11952">
      <c r="C11952" s="277"/>
      <c r="M11952" s="277"/>
      <c r="O11952" s="247"/>
      <c r="AC11952" s="247"/>
      <c r="AT11952" s="247"/>
    </row>
    <row r="11953">
      <c r="C11953" s="277"/>
      <c r="M11953" s="277"/>
      <c r="O11953" s="247"/>
      <c r="AC11953" s="247"/>
      <c r="AT11953" s="247"/>
    </row>
    <row r="11954">
      <c r="C11954" s="277"/>
      <c r="M11954" s="277"/>
      <c r="O11954" s="247"/>
      <c r="AC11954" s="247"/>
      <c r="AT11954" s="247"/>
    </row>
    <row r="11955">
      <c r="C11955" s="277"/>
      <c r="M11955" s="277"/>
      <c r="O11955" s="247"/>
      <c r="AC11955" s="247"/>
      <c r="AT11955" s="247"/>
    </row>
    <row r="11956">
      <c r="C11956" s="277"/>
      <c r="M11956" s="277"/>
      <c r="O11956" s="247"/>
      <c r="AC11956" s="247"/>
      <c r="AT11956" s="247"/>
    </row>
    <row r="11957">
      <c r="C11957" s="277"/>
      <c r="M11957" s="277"/>
      <c r="O11957" s="247"/>
      <c r="AC11957" s="247"/>
      <c r="AT11957" s="247"/>
    </row>
    <row r="11958">
      <c r="C11958" s="277"/>
      <c r="M11958" s="277"/>
      <c r="O11958" s="247"/>
      <c r="AC11958" s="247"/>
      <c r="AT11958" s="247"/>
    </row>
    <row r="11959">
      <c r="C11959" s="277"/>
      <c r="M11959" s="277"/>
      <c r="O11959" s="247"/>
      <c r="AC11959" s="247"/>
      <c r="AT11959" s="247"/>
    </row>
    <row r="11960">
      <c r="C11960" s="277"/>
      <c r="M11960" s="277"/>
      <c r="O11960" s="247"/>
      <c r="AC11960" s="247"/>
      <c r="AT11960" s="247"/>
    </row>
    <row r="11961">
      <c r="C11961" s="277"/>
      <c r="M11961" s="277"/>
      <c r="O11961" s="247"/>
      <c r="AC11961" s="247"/>
      <c r="AT11961" s="247"/>
    </row>
    <row r="11962">
      <c r="C11962" s="277"/>
      <c r="M11962" s="277"/>
      <c r="O11962" s="247"/>
      <c r="AC11962" s="247"/>
      <c r="AT11962" s="247"/>
    </row>
    <row r="11963">
      <c r="C11963" s="277"/>
      <c r="M11963" s="277"/>
      <c r="O11963" s="247"/>
      <c r="AC11963" s="247"/>
      <c r="AT11963" s="247"/>
    </row>
    <row r="11964">
      <c r="C11964" s="277"/>
      <c r="M11964" s="277"/>
      <c r="O11964" s="247"/>
      <c r="AC11964" s="247"/>
      <c r="AT11964" s="247"/>
    </row>
    <row r="11965">
      <c r="C11965" s="277"/>
      <c r="M11965" s="277"/>
      <c r="O11965" s="247"/>
      <c r="AC11965" s="247"/>
      <c r="AT11965" s="247"/>
    </row>
    <row r="11966">
      <c r="C11966" s="277"/>
      <c r="M11966" s="277"/>
      <c r="O11966" s="247"/>
      <c r="AC11966" s="247"/>
      <c r="AT11966" s="247"/>
    </row>
    <row r="11967">
      <c r="C11967" s="277"/>
      <c r="M11967" s="277"/>
      <c r="O11967" s="247"/>
      <c r="AC11967" s="247"/>
      <c r="AT11967" s="247"/>
    </row>
    <row r="11968">
      <c r="C11968" s="277"/>
      <c r="M11968" s="277"/>
      <c r="O11968" s="247"/>
      <c r="AC11968" s="247"/>
      <c r="AT11968" s="247"/>
    </row>
    <row r="11969">
      <c r="C11969" s="277"/>
      <c r="M11969" s="277"/>
      <c r="O11969" s="247"/>
      <c r="AC11969" s="247"/>
      <c r="AT11969" s="247"/>
    </row>
    <row r="11970">
      <c r="C11970" s="277"/>
      <c r="M11970" s="277"/>
      <c r="O11970" s="247"/>
      <c r="AC11970" s="247"/>
      <c r="AT11970" s="247"/>
    </row>
    <row r="11971">
      <c r="C11971" s="277"/>
      <c r="M11971" s="277"/>
      <c r="O11971" s="247"/>
      <c r="AC11971" s="247"/>
      <c r="AT11971" s="247"/>
    </row>
    <row r="11972">
      <c r="C11972" s="277"/>
      <c r="M11972" s="277"/>
      <c r="O11972" s="247"/>
      <c r="AC11972" s="247"/>
      <c r="AT11972" s="247"/>
    </row>
    <row r="11973">
      <c r="C11973" s="277"/>
      <c r="M11973" s="277"/>
      <c r="O11973" s="247"/>
      <c r="AC11973" s="247"/>
      <c r="AT11973" s="247"/>
    </row>
    <row r="11974">
      <c r="C11974" s="277"/>
      <c r="M11974" s="277"/>
      <c r="O11974" s="247"/>
      <c r="AC11974" s="247"/>
      <c r="AT11974" s="247"/>
    </row>
    <row r="11975">
      <c r="C11975" s="277"/>
      <c r="M11975" s="277"/>
      <c r="O11975" s="247"/>
      <c r="AC11975" s="247"/>
      <c r="AT11975" s="247"/>
    </row>
    <row r="11976">
      <c r="C11976" s="277"/>
      <c r="M11976" s="277"/>
      <c r="O11976" s="247"/>
      <c r="AC11976" s="247"/>
      <c r="AT11976" s="247"/>
    </row>
    <row r="11977">
      <c r="C11977" s="277"/>
      <c r="M11977" s="277"/>
      <c r="O11977" s="247"/>
      <c r="AC11977" s="247"/>
      <c r="AT11977" s="247"/>
    </row>
    <row r="11978">
      <c r="C11978" s="277"/>
      <c r="M11978" s="277"/>
      <c r="O11978" s="247"/>
      <c r="AC11978" s="247"/>
      <c r="AT11978" s="247"/>
    </row>
    <row r="11979">
      <c r="C11979" s="277"/>
      <c r="M11979" s="277"/>
      <c r="O11979" s="247"/>
      <c r="AC11979" s="247"/>
      <c r="AT11979" s="247"/>
    </row>
    <row r="11980">
      <c r="C11980" s="277"/>
      <c r="M11980" s="277"/>
      <c r="O11980" s="247"/>
      <c r="AC11980" s="247"/>
      <c r="AT11980" s="247"/>
    </row>
    <row r="11981">
      <c r="C11981" s="277"/>
      <c r="M11981" s="277"/>
      <c r="O11981" s="247"/>
      <c r="AC11981" s="247"/>
      <c r="AT11981" s="247"/>
    </row>
    <row r="11982">
      <c r="C11982" s="277"/>
      <c r="M11982" s="277"/>
      <c r="O11982" s="247"/>
      <c r="AC11982" s="247"/>
      <c r="AT11982" s="247"/>
    </row>
    <row r="11983">
      <c r="C11983" s="277"/>
      <c r="M11983" s="277"/>
      <c r="O11983" s="247"/>
      <c r="AC11983" s="247"/>
      <c r="AT11983" s="247"/>
    </row>
    <row r="11984">
      <c r="C11984" s="277"/>
      <c r="M11984" s="277"/>
      <c r="O11984" s="247"/>
      <c r="AC11984" s="247"/>
      <c r="AT11984" s="247"/>
    </row>
    <row r="11985">
      <c r="C11985" s="277"/>
      <c r="M11985" s="277"/>
      <c r="O11985" s="247"/>
      <c r="AC11985" s="247"/>
      <c r="AT11985" s="247"/>
    </row>
    <row r="11986">
      <c r="C11986" s="277"/>
      <c r="M11986" s="277"/>
      <c r="O11986" s="247"/>
      <c r="AC11986" s="247"/>
      <c r="AT11986" s="247"/>
    </row>
    <row r="11987">
      <c r="C11987" s="277"/>
      <c r="M11987" s="277"/>
      <c r="O11987" s="247"/>
      <c r="AC11987" s="247"/>
      <c r="AT11987" s="247"/>
    </row>
    <row r="11988">
      <c r="C11988" s="277"/>
      <c r="M11988" s="277"/>
      <c r="O11988" s="247"/>
      <c r="AC11988" s="247"/>
      <c r="AT11988" s="247"/>
    </row>
    <row r="11989">
      <c r="C11989" s="277"/>
      <c r="M11989" s="277"/>
      <c r="O11989" s="247"/>
      <c r="AC11989" s="247"/>
      <c r="AT11989" s="247"/>
    </row>
    <row r="11990">
      <c r="C11990" s="277"/>
      <c r="M11990" s="277"/>
      <c r="O11990" s="247"/>
      <c r="AC11990" s="247"/>
      <c r="AT11990" s="247"/>
    </row>
    <row r="11991">
      <c r="C11991" s="277"/>
      <c r="M11991" s="277"/>
      <c r="O11991" s="247"/>
      <c r="AC11991" s="247"/>
      <c r="AT11991" s="247"/>
    </row>
    <row r="11992">
      <c r="C11992" s="277"/>
      <c r="M11992" s="277"/>
      <c r="O11992" s="247"/>
      <c r="AC11992" s="247"/>
      <c r="AT11992" s="247"/>
    </row>
    <row r="11993">
      <c r="C11993" s="277"/>
      <c r="M11993" s="277"/>
      <c r="O11993" s="247"/>
      <c r="AC11993" s="247"/>
      <c r="AT11993" s="247"/>
    </row>
    <row r="11994">
      <c r="C11994" s="277"/>
      <c r="M11994" s="277"/>
      <c r="O11994" s="247"/>
      <c r="AC11994" s="247"/>
      <c r="AT11994" s="247"/>
    </row>
    <row r="11995">
      <c r="C11995" s="277"/>
      <c r="M11995" s="277"/>
      <c r="O11995" s="247"/>
      <c r="AC11995" s="247"/>
      <c r="AT11995" s="247"/>
    </row>
    <row r="11996">
      <c r="C11996" s="277"/>
      <c r="M11996" s="277"/>
      <c r="O11996" s="247"/>
      <c r="AC11996" s="247"/>
      <c r="AT11996" s="247"/>
    </row>
    <row r="11997">
      <c r="C11997" s="277"/>
      <c r="M11997" s="277"/>
      <c r="O11997" s="247"/>
      <c r="AC11997" s="247"/>
      <c r="AT11997" s="247"/>
    </row>
    <row r="11998">
      <c r="C11998" s="277"/>
      <c r="M11998" s="277"/>
      <c r="O11998" s="247"/>
      <c r="AC11998" s="247"/>
      <c r="AT11998" s="247"/>
    </row>
    <row r="11999">
      <c r="C11999" s="277"/>
      <c r="M11999" s="277"/>
      <c r="O11999" s="247"/>
      <c r="AC11999" s="247"/>
      <c r="AT11999" s="247"/>
    </row>
    <row r="12000">
      <c r="C12000" s="277"/>
      <c r="M12000" s="277"/>
      <c r="O12000" s="247"/>
      <c r="AC12000" s="247"/>
      <c r="AT12000" s="247"/>
    </row>
    <row r="12001">
      <c r="C12001" s="277"/>
      <c r="M12001" s="277"/>
      <c r="O12001" s="247"/>
      <c r="AC12001" s="247"/>
      <c r="AT12001" s="247"/>
    </row>
    <row r="12002">
      <c r="C12002" s="277"/>
      <c r="M12002" s="277"/>
      <c r="O12002" s="247"/>
      <c r="AC12002" s="247"/>
      <c r="AT12002" s="247"/>
    </row>
    <row r="12003">
      <c r="C12003" s="277"/>
      <c r="M12003" s="277"/>
      <c r="O12003" s="247"/>
      <c r="AC12003" s="247"/>
      <c r="AT12003" s="247"/>
    </row>
    <row r="12004">
      <c r="C12004" s="277"/>
      <c r="M12004" s="277"/>
      <c r="O12004" s="247"/>
      <c r="AC12004" s="247"/>
      <c r="AT12004" s="247"/>
    </row>
    <row r="12005">
      <c r="C12005" s="277"/>
      <c r="M12005" s="277"/>
      <c r="O12005" s="247"/>
      <c r="AC12005" s="247"/>
      <c r="AT12005" s="247"/>
    </row>
    <row r="12006">
      <c r="C12006" s="277"/>
      <c r="M12006" s="277"/>
      <c r="O12006" s="247"/>
      <c r="AC12006" s="247"/>
      <c r="AT12006" s="247"/>
    </row>
    <row r="12007">
      <c r="C12007" s="277"/>
      <c r="M12007" s="277"/>
      <c r="O12007" s="247"/>
      <c r="AC12007" s="247"/>
      <c r="AT12007" s="247"/>
    </row>
    <row r="12008">
      <c r="C12008" s="277"/>
      <c r="M12008" s="277"/>
      <c r="O12008" s="247"/>
      <c r="AC12008" s="247"/>
      <c r="AT12008" s="247"/>
    </row>
    <row r="12009">
      <c r="C12009" s="277"/>
      <c r="M12009" s="277"/>
      <c r="O12009" s="247"/>
      <c r="AC12009" s="247"/>
      <c r="AT12009" s="247"/>
    </row>
    <row r="12010">
      <c r="C12010" s="277"/>
      <c r="M12010" s="277"/>
      <c r="O12010" s="247"/>
      <c r="AC12010" s="247"/>
      <c r="AT12010" s="247"/>
    </row>
    <row r="12011">
      <c r="C12011" s="277"/>
      <c r="M12011" s="277"/>
      <c r="O12011" s="247"/>
      <c r="AC12011" s="247"/>
      <c r="AT12011" s="247"/>
    </row>
    <row r="12012">
      <c r="C12012" s="277"/>
      <c r="M12012" s="277"/>
      <c r="O12012" s="247"/>
      <c r="AC12012" s="247"/>
      <c r="AT12012" s="247"/>
    </row>
    <row r="12013">
      <c r="C12013" s="277"/>
      <c r="M12013" s="277"/>
      <c r="O12013" s="247"/>
      <c r="AC12013" s="247"/>
      <c r="AT12013" s="247"/>
    </row>
    <row r="12014">
      <c r="C12014" s="277"/>
      <c r="M12014" s="277"/>
      <c r="O12014" s="247"/>
      <c r="AC12014" s="247"/>
      <c r="AT12014" s="247"/>
    </row>
    <row r="12015">
      <c r="C12015" s="277"/>
      <c r="M12015" s="277"/>
      <c r="O12015" s="247"/>
      <c r="AC12015" s="247"/>
      <c r="AT12015" s="247"/>
    </row>
    <row r="12016">
      <c r="C12016" s="277"/>
      <c r="M12016" s="277"/>
      <c r="O12016" s="247"/>
      <c r="AC12016" s="247"/>
      <c r="AT12016" s="247"/>
    </row>
    <row r="12017">
      <c r="C12017" s="277"/>
      <c r="M12017" s="277"/>
      <c r="O12017" s="247"/>
      <c r="AC12017" s="247"/>
      <c r="AT12017" s="247"/>
    </row>
    <row r="12018">
      <c r="C12018" s="277"/>
      <c r="M12018" s="277"/>
      <c r="O12018" s="247"/>
      <c r="AC12018" s="247"/>
      <c r="AT12018" s="247"/>
    </row>
    <row r="12019">
      <c r="C12019" s="277"/>
      <c r="M12019" s="277"/>
      <c r="O12019" s="247"/>
      <c r="AC12019" s="247"/>
      <c r="AT12019" s="247"/>
    </row>
    <row r="12020">
      <c r="C12020" s="277"/>
      <c r="M12020" s="277"/>
      <c r="O12020" s="247"/>
      <c r="AC12020" s="247"/>
      <c r="AT12020" s="247"/>
    </row>
    <row r="12021">
      <c r="C12021" s="277"/>
      <c r="M12021" s="277"/>
      <c r="O12021" s="247"/>
      <c r="AC12021" s="247"/>
      <c r="AT12021" s="247"/>
    </row>
    <row r="12022">
      <c r="C12022" s="277"/>
      <c r="M12022" s="277"/>
      <c r="O12022" s="247"/>
      <c r="AC12022" s="247"/>
      <c r="AT12022" s="247"/>
    </row>
    <row r="12023">
      <c r="C12023" s="277"/>
      <c r="M12023" s="277"/>
      <c r="O12023" s="247"/>
      <c r="AC12023" s="247"/>
      <c r="AT12023" s="247"/>
    </row>
    <row r="12024">
      <c r="C12024" s="277"/>
      <c r="M12024" s="277"/>
      <c r="O12024" s="247"/>
      <c r="AC12024" s="247"/>
      <c r="AT12024" s="247"/>
    </row>
    <row r="12025">
      <c r="C12025" s="277"/>
      <c r="M12025" s="277"/>
      <c r="O12025" s="247"/>
      <c r="AC12025" s="247"/>
      <c r="AT12025" s="247"/>
    </row>
    <row r="12026">
      <c r="C12026" s="277"/>
      <c r="M12026" s="277"/>
      <c r="O12026" s="247"/>
      <c r="AC12026" s="247"/>
      <c r="AT12026" s="247"/>
    </row>
    <row r="12027">
      <c r="C12027" s="277"/>
      <c r="M12027" s="277"/>
      <c r="O12027" s="247"/>
      <c r="AC12027" s="247"/>
      <c r="AT12027" s="247"/>
    </row>
    <row r="12028">
      <c r="C12028" s="277"/>
      <c r="M12028" s="277"/>
      <c r="O12028" s="247"/>
      <c r="AC12028" s="247"/>
      <c r="AT12028" s="247"/>
    </row>
    <row r="12029">
      <c r="C12029" s="277"/>
      <c r="M12029" s="277"/>
      <c r="O12029" s="247"/>
      <c r="AC12029" s="247"/>
      <c r="AT12029" s="247"/>
    </row>
    <row r="12030">
      <c r="C12030" s="277"/>
      <c r="M12030" s="277"/>
      <c r="O12030" s="247"/>
      <c r="AC12030" s="247"/>
      <c r="AT12030" s="247"/>
    </row>
    <row r="12031">
      <c r="C12031" s="277"/>
      <c r="M12031" s="277"/>
      <c r="O12031" s="247"/>
      <c r="AC12031" s="247"/>
      <c r="AT12031" s="247"/>
    </row>
    <row r="12032">
      <c r="C12032" s="277"/>
      <c r="M12032" s="277"/>
      <c r="O12032" s="247"/>
      <c r="AC12032" s="247"/>
      <c r="AT12032" s="247"/>
    </row>
    <row r="12033">
      <c r="C12033" s="277"/>
      <c r="M12033" s="277"/>
      <c r="O12033" s="247"/>
      <c r="AC12033" s="247"/>
      <c r="AT12033" s="247"/>
    </row>
    <row r="12034">
      <c r="C12034" s="277"/>
      <c r="M12034" s="277"/>
      <c r="O12034" s="247"/>
      <c r="AC12034" s="247"/>
      <c r="AT12034" s="247"/>
    </row>
    <row r="12035">
      <c r="C12035" s="277"/>
      <c r="M12035" s="277"/>
      <c r="O12035" s="247"/>
      <c r="AC12035" s="247"/>
      <c r="AT12035" s="247"/>
    </row>
    <row r="12036">
      <c r="C12036" s="277"/>
      <c r="M12036" s="277"/>
      <c r="O12036" s="247"/>
      <c r="AC12036" s="247"/>
      <c r="AT12036" s="247"/>
    </row>
    <row r="12037">
      <c r="C12037" s="277"/>
      <c r="M12037" s="277"/>
      <c r="O12037" s="247"/>
      <c r="AC12037" s="247"/>
      <c r="AT12037" s="247"/>
    </row>
    <row r="12038">
      <c r="C12038" s="277"/>
      <c r="M12038" s="277"/>
      <c r="O12038" s="247"/>
      <c r="AC12038" s="247"/>
      <c r="AT12038" s="247"/>
    </row>
    <row r="12039">
      <c r="C12039" s="277"/>
      <c r="M12039" s="277"/>
      <c r="O12039" s="247"/>
      <c r="AC12039" s="247"/>
      <c r="AT12039" s="247"/>
    </row>
    <row r="12040">
      <c r="C12040" s="277"/>
      <c r="M12040" s="277"/>
      <c r="O12040" s="247"/>
      <c r="AC12040" s="247"/>
      <c r="AT12040" s="247"/>
    </row>
    <row r="12041">
      <c r="C12041" s="277"/>
      <c r="M12041" s="277"/>
      <c r="O12041" s="247"/>
      <c r="AC12041" s="247"/>
      <c r="AT12041" s="247"/>
    </row>
    <row r="12042">
      <c r="C12042" s="277"/>
      <c r="M12042" s="277"/>
      <c r="O12042" s="247"/>
      <c r="AC12042" s="247"/>
      <c r="AT12042" s="247"/>
    </row>
    <row r="12043">
      <c r="C12043" s="277"/>
      <c r="M12043" s="277"/>
      <c r="O12043" s="247"/>
      <c r="AC12043" s="247"/>
      <c r="AT12043" s="247"/>
    </row>
    <row r="12044">
      <c r="C12044" s="277"/>
      <c r="M12044" s="277"/>
      <c r="O12044" s="247"/>
      <c r="AC12044" s="247"/>
      <c r="AT12044" s="247"/>
    </row>
    <row r="12045">
      <c r="C12045" s="277"/>
      <c r="M12045" s="277"/>
      <c r="O12045" s="247"/>
      <c r="AC12045" s="247"/>
      <c r="AT12045" s="247"/>
    </row>
    <row r="12046">
      <c r="C12046" s="277"/>
      <c r="M12046" s="277"/>
      <c r="O12046" s="247"/>
      <c r="AC12046" s="247"/>
      <c r="AT12046" s="247"/>
    </row>
    <row r="12047">
      <c r="C12047" s="277"/>
      <c r="M12047" s="277"/>
      <c r="O12047" s="247"/>
      <c r="AC12047" s="247"/>
      <c r="AT12047" s="247"/>
    </row>
    <row r="12048">
      <c r="C12048" s="277"/>
      <c r="M12048" s="277"/>
      <c r="O12048" s="247"/>
      <c r="AC12048" s="247"/>
      <c r="AT12048" s="247"/>
    </row>
    <row r="12049">
      <c r="C12049" s="277"/>
      <c r="M12049" s="277"/>
      <c r="O12049" s="247"/>
      <c r="AC12049" s="247"/>
      <c r="AT12049" s="247"/>
    </row>
    <row r="12050">
      <c r="C12050" s="277"/>
      <c r="M12050" s="277"/>
      <c r="O12050" s="247"/>
      <c r="AC12050" s="247"/>
      <c r="AT12050" s="247"/>
    </row>
    <row r="12051">
      <c r="C12051" s="277"/>
      <c r="M12051" s="277"/>
      <c r="O12051" s="247"/>
      <c r="AC12051" s="247"/>
      <c r="AT12051" s="247"/>
    </row>
    <row r="12052">
      <c r="C12052" s="277"/>
      <c r="M12052" s="277"/>
      <c r="O12052" s="247"/>
      <c r="AC12052" s="247"/>
      <c r="AT12052" s="247"/>
    </row>
    <row r="12053">
      <c r="C12053" s="277"/>
      <c r="M12053" s="277"/>
      <c r="O12053" s="247"/>
      <c r="AC12053" s="247"/>
      <c r="AT12053" s="247"/>
    </row>
    <row r="12054">
      <c r="C12054" s="277"/>
      <c r="M12054" s="277"/>
      <c r="O12054" s="247"/>
      <c r="AC12054" s="247"/>
      <c r="AT12054" s="247"/>
    </row>
    <row r="12055">
      <c r="C12055" s="277"/>
      <c r="M12055" s="277"/>
      <c r="O12055" s="247"/>
      <c r="AC12055" s="247"/>
      <c r="AT12055" s="247"/>
    </row>
    <row r="12056">
      <c r="C12056" s="277"/>
      <c r="M12056" s="277"/>
      <c r="O12056" s="247"/>
      <c r="AC12056" s="247"/>
      <c r="AT12056" s="247"/>
    </row>
    <row r="12057">
      <c r="C12057" s="277"/>
      <c r="M12057" s="277"/>
      <c r="O12057" s="247"/>
      <c r="AC12057" s="247"/>
      <c r="AT12057" s="247"/>
    </row>
    <row r="12058">
      <c r="C12058" s="277"/>
      <c r="M12058" s="277"/>
      <c r="O12058" s="247"/>
      <c r="AC12058" s="247"/>
      <c r="AT12058" s="247"/>
    </row>
    <row r="12059">
      <c r="C12059" s="277"/>
      <c r="M12059" s="277"/>
      <c r="O12059" s="247"/>
      <c r="AC12059" s="247"/>
      <c r="AT12059" s="247"/>
    </row>
    <row r="12060">
      <c r="C12060" s="277"/>
      <c r="M12060" s="277"/>
      <c r="O12060" s="247"/>
      <c r="AC12060" s="247"/>
      <c r="AT12060" s="247"/>
    </row>
    <row r="12061">
      <c r="C12061" s="277"/>
      <c r="M12061" s="277"/>
      <c r="O12061" s="247"/>
      <c r="AC12061" s="247"/>
      <c r="AT12061" s="247"/>
    </row>
    <row r="12062">
      <c r="C12062" s="277"/>
      <c r="M12062" s="277"/>
      <c r="O12062" s="247"/>
      <c r="AC12062" s="247"/>
      <c r="AT12062" s="247"/>
    </row>
    <row r="12063">
      <c r="C12063" s="277"/>
      <c r="M12063" s="277"/>
      <c r="O12063" s="247"/>
      <c r="AC12063" s="247"/>
      <c r="AT12063" s="247"/>
    </row>
    <row r="12064">
      <c r="C12064" s="277"/>
      <c r="M12064" s="277"/>
      <c r="O12064" s="247"/>
      <c r="AC12064" s="247"/>
      <c r="AT12064" s="247"/>
    </row>
    <row r="12065">
      <c r="C12065" s="277"/>
      <c r="M12065" s="277"/>
      <c r="O12065" s="247"/>
      <c r="AC12065" s="247"/>
      <c r="AT12065" s="247"/>
    </row>
    <row r="12066">
      <c r="C12066" s="277"/>
      <c r="M12066" s="277"/>
      <c r="O12066" s="247"/>
      <c r="AC12066" s="247"/>
      <c r="AT12066" s="247"/>
    </row>
    <row r="12067">
      <c r="C12067" s="277"/>
      <c r="M12067" s="277"/>
      <c r="O12067" s="247"/>
      <c r="AC12067" s="247"/>
      <c r="AT12067" s="247"/>
    </row>
    <row r="12068">
      <c r="C12068" s="277"/>
      <c r="M12068" s="277"/>
      <c r="O12068" s="247"/>
      <c r="AC12068" s="247"/>
      <c r="AT12068" s="247"/>
    </row>
    <row r="12069">
      <c r="C12069" s="277"/>
      <c r="M12069" s="277"/>
      <c r="O12069" s="247"/>
      <c r="AC12069" s="247"/>
      <c r="AT12069" s="247"/>
    </row>
    <row r="12070">
      <c r="C12070" s="277"/>
      <c r="M12070" s="277"/>
      <c r="O12070" s="247"/>
      <c r="AC12070" s="247"/>
      <c r="AT12070" s="247"/>
    </row>
    <row r="12071">
      <c r="C12071" s="277"/>
      <c r="M12071" s="277"/>
      <c r="O12071" s="247"/>
      <c r="AC12071" s="247"/>
      <c r="AT12071" s="247"/>
    </row>
    <row r="12072">
      <c r="C12072" s="277"/>
      <c r="M12072" s="277"/>
      <c r="O12072" s="247"/>
      <c r="AC12072" s="247"/>
      <c r="AT12072" s="247"/>
    </row>
    <row r="12073">
      <c r="C12073" s="277"/>
      <c r="M12073" s="277"/>
      <c r="O12073" s="247"/>
      <c r="AC12073" s="247"/>
      <c r="AT12073" s="247"/>
    </row>
    <row r="12074">
      <c r="C12074" s="277"/>
      <c r="M12074" s="277"/>
      <c r="O12074" s="247"/>
      <c r="AC12074" s="247"/>
      <c r="AT12074" s="247"/>
    </row>
    <row r="12075">
      <c r="C12075" s="277"/>
      <c r="M12075" s="277"/>
      <c r="O12075" s="247"/>
      <c r="AC12075" s="247"/>
      <c r="AT12075" s="247"/>
    </row>
    <row r="12076">
      <c r="C12076" s="277"/>
      <c r="M12076" s="277"/>
      <c r="O12076" s="247"/>
      <c r="AC12076" s="247"/>
      <c r="AT12076" s="247"/>
    </row>
    <row r="12077">
      <c r="C12077" s="277"/>
      <c r="M12077" s="277"/>
      <c r="O12077" s="247"/>
      <c r="AC12077" s="247"/>
      <c r="AT12077" s="247"/>
    </row>
    <row r="12078">
      <c r="C12078" s="277"/>
      <c r="M12078" s="277"/>
      <c r="O12078" s="247"/>
      <c r="AC12078" s="247"/>
      <c r="AT12078" s="247"/>
    </row>
    <row r="12079">
      <c r="C12079" s="277"/>
      <c r="M12079" s="277"/>
      <c r="O12079" s="247"/>
      <c r="AC12079" s="247"/>
      <c r="AT12079" s="247"/>
    </row>
    <row r="12080">
      <c r="C12080" s="277"/>
      <c r="M12080" s="277"/>
      <c r="O12080" s="247"/>
      <c r="AC12080" s="247"/>
      <c r="AT12080" s="247"/>
    </row>
    <row r="12081">
      <c r="C12081" s="277"/>
      <c r="M12081" s="277"/>
      <c r="O12081" s="247"/>
      <c r="AC12081" s="247"/>
      <c r="AT12081" s="247"/>
    </row>
    <row r="12082">
      <c r="C12082" s="277"/>
      <c r="M12082" s="277"/>
      <c r="O12082" s="247"/>
      <c r="AC12082" s="247"/>
      <c r="AT12082" s="247"/>
    </row>
    <row r="12083">
      <c r="C12083" s="277"/>
      <c r="M12083" s="277"/>
      <c r="O12083" s="247"/>
      <c r="AC12083" s="247"/>
      <c r="AT12083" s="247"/>
    </row>
    <row r="12084">
      <c r="C12084" s="277"/>
      <c r="M12084" s="277"/>
      <c r="O12084" s="247"/>
      <c r="AC12084" s="247"/>
      <c r="AT12084" s="247"/>
    </row>
    <row r="12085">
      <c r="C12085" s="277"/>
      <c r="M12085" s="277"/>
      <c r="O12085" s="247"/>
      <c r="AC12085" s="247"/>
      <c r="AT12085" s="247"/>
    </row>
    <row r="12086">
      <c r="C12086" s="277"/>
      <c r="M12086" s="277"/>
      <c r="O12086" s="247"/>
      <c r="AC12086" s="247"/>
      <c r="AT12086" s="247"/>
    </row>
    <row r="12087">
      <c r="C12087" s="277"/>
      <c r="M12087" s="277"/>
      <c r="O12087" s="247"/>
      <c r="AC12087" s="247"/>
      <c r="AT12087" s="247"/>
    </row>
    <row r="12088">
      <c r="C12088" s="277"/>
      <c r="M12088" s="277"/>
      <c r="O12088" s="247"/>
      <c r="AC12088" s="247"/>
      <c r="AT12088" s="247"/>
    </row>
    <row r="12089">
      <c r="C12089" s="277"/>
      <c r="M12089" s="277"/>
      <c r="O12089" s="247"/>
      <c r="AC12089" s="247"/>
      <c r="AT12089" s="247"/>
    </row>
    <row r="12090">
      <c r="C12090" s="277"/>
      <c r="M12090" s="277"/>
      <c r="O12090" s="247"/>
      <c r="AC12090" s="247"/>
      <c r="AT12090" s="247"/>
    </row>
    <row r="12091">
      <c r="C12091" s="277"/>
      <c r="M12091" s="277"/>
      <c r="O12091" s="247"/>
      <c r="AC12091" s="247"/>
      <c r="AT12091" s="247"/>
    </row>
    <row r="12092">
      <c r="C12092" s="277"/>
      <c r="M12092" s="277"/>
      <c r="O12092" s="247"/>
      <c r="AC12092" s="247"/>
      <c r="AT12092" s="247"/>
    </row>
    <row r="12093">
      <c r="C12093" s="277"/>
      <c r="M12093" s="277"/>
      <c r="O12093" s="247"/>
      <c r="AC12093" s="247"/>
      <c r="AT12093" s="247"/>
    </row>
    <row r="12094">
      <c r="C12094" s="277"/>
      <c r="M12094" s="277"/>
      <c r="O12094" s="247"/>
      <c r="AC12094" s="247"/>
      <c r="AT12094" s="247"/>
    </row>
    <row r="12095">
      <c r="C12095" s="277"/>
      <c r="M12095" s="277"/>
      <c r="O12095" s="247"/>
      <c r="AC12095" s="247"/>
      <c r="AT12095" s="247"/>
    </row>
    <row r="12096">
      <c r="C12096" s="277"/>
      <c r="M12096" s="277"/>
      <c r="O12096" s="247"/>
      <c r="AC12096" s="247"/>
      <c r="AT12096" s="247"/>
    </row>
    <row r="12097">
      <c r="C12097" s="277"/>
      <c r="M12097" s="277"/>
      <c r="O12097" s="247"/>
      <c r="AC12097" s="247"/>
      <c r="AT12097" s="247"/>
    </row>
    <row r="12098">
      <c r="C12098" s="277"/>
      <c r="M12098" s="277"/>
      <c r="O12098" s="247"/>
      <c r="AC12098" s="247"/>
      <c r="AT12098" s="247"/>
    </row>
    <row r="12099">
      <c r="C12099" s="277"/>
      <c r="M12099" s="277"/>
      <c r="O12099" s="247"/>
      <c r="AC12099" s="247"/>
      <c r="AT12099" s="247"/>
    </row>
    <row r="12100">
      <c r="C12100" s="277"/>
      <c r="M12100" s="277"/>
      <c r="O12100" s="247"/>
      <c r="AC12100" s="247"/>
      <c r="AT12100" s="247"/>
    </row>
    <row r="12101">
      <c r="C12101" s="277"/>
      <c r="M12101" s="277"/>
      <c r="O12101" s="247"/>
      <c r="AC12101" s="247"/>
      <c r="AT12101" s="247"/>
    </row>
    <row r="12102">
      <c r="C12102" s="277"/>
      <c r="M12102" s="277"/>
      <c r="O12102" s="247"/>
      <c r="AC12102" s="247"/>
      <c r="AT12102" s="247"/>
    </row>
    <row r="12103">
      <c r="C12103" s="277"/>
      <c r="M12103" s="277"/>
      <c r="O12103" s="247"/>
      <c r="AC12103" s="247"/>
      <c r="AT12103" s="247"/>
    </row>
    <row r="12104">
      <c r="C12104" s="277"/>
      <c r="M12104" s="277"/>
      <c r="O12104" s="247"/>
      <c r="AC12104" s="247"/>
      <c r="AT12104" s="247"/>
    </row>
    <row r="12105">
      <c r="C12105" s="277"/>
      <c r="M12105" s="277"/>
      <c r="O12105" s="247"/>
      <c r="AC12105" s="247"/>
      <c r="AT12105" s="247"/>
    </row>
    <row r="12106">
      <c r="C12106" s="277"/>
      <c r="M12106" s="277"/>
      <c r="O12106" s="247"/>
      <c r="AC12106" s="247"/>
      <c r="AT12106" s="247"/>
    </row>
    <row r="12107">
      <c r="C12107" s="277"/>
      <c r="M12107" s="277"/>
      <c r="O12107" s="247"/>
      <c r="AC12107" s="247"/>
      <c r="AT12107" s="247"/>
    </row>
    <row r="12108">
      <c r="C12108" s="277"/>
      <c r="M12108" s="277"/>
      <c r="O12108" s="247"/>
      <c r="AC12108" s="247"/>
      <c r="AT12108" s="247"/>
    </row>
    <row r="12109">
      <c r="C12109" s="277"/>
      <c r="M12109" s="277"/>
      <c r="O12109" s="247"/>
      <c r="AC12109" s="247"/>
      <c r="AT12109" s="247"/>
    </row>
    <row r="12110">
      <c r="C12110" s="277"/>
      <c r="M12110" s="277"/>
      <c r="O12110" s="247"/>
      <c r="AC12110" s="247"/>
      <c r="AT12110" s="247"/>
    </row>
    <row r="12111">
      <c r="C12111" s="277"/>
      <c r="M12111" s="277"/>
      <c r="O12111" s="247"/>
      <c r="AC12111" s="247"/>
      <c r="AT12111" s="247"/>
    </row>
    <row r="12112">
      <c r="C12112" s="277"/>
      <c r="M12112" s="277"/>
      <c r="O12112" s="247"/>
      <c r="AC12112" s="247"/>
      <c r="AT12112" s="247"/>
    </row>
    <row r="12113">
      <c r="C12113" s="277"/>
      <c r="M12113" s="277"/>
      <c r="O12113" s="247"/>
      <c r="AC12113" s="247"/>
      <c r="AT12113" s="247"/>
    </row>
    <row r="12114">
      <c r="C12114" s="277"/>
      <c r="M12114" s="277"/>
      <c r="O12114" s="247"/>
      <c r="AC12114" s="247"/>
      <c r="AT12114" s="247"/>
    </row>
    <row r="12115">
      <c r="C12115" s="277"/>
      <c r="M12115" s="277"/>
      <c r="O12115" s="247"/>
      <c r="AC12115" s="247"/>
      <c r="AT12115" s="247"/>
    </row>
    <row r="12116">
      <c r="C12116" s="277"/>
      <c r="M12116" s="277"/>
      <c r="O12116" s="247"/>
      <c r="AC12116" s="247"/>
      <c r="AT12116" s="247"/>
    </row>
    <row r="12117">
      <c r="C12117" s="277"/>
      <c r="M12117" s="277"/>
      <c r="O12117" s="247"/>
      <c r="AC12117" s="247"/>
      <c r="AT12117" s="247"/>
    </row>
    <row r="12118">
      <c r="C12118" s="277"/>
      <c r="M12118" s="277"/>
      <c r="O12118" s="247"/>
      <c r="AC12118" s="247"/>
      <c r="AT12118" s="247"/>
    </row>
    <row r="12119">
      <c r="C12119" s="277"/>
      <c r="M12119" s="277"/>
      <c r="O12119" s="247"/>
      <c r="AC12119" s="247"/>
      <c r="AT12119" s="247"/>
    </row>
    <row r="12120">
      <c r="C12120" s="277"/>
      <c r="M12120" s="277"/>
      <c r="O12120" s="247"/>
      <c r="AC12120" s="247"/>
      <c r="AT12120" s="247"/>
    </row>
    <row r="12121">
      <c r="C12121" s="277"/>
      <c r="M12121" s="277"/>
      <c r="O12121" s="247"/>
      <c r="AC12121" s="247"/>
      <c r="AT12121" s="247"/>
    </row>
    <row r="12122">
      <c r="C12122" s="277"/>
      <c r="M12122" s="277"/>
      <c r="O12122" s="247"/>
      <c r="AC12122" s="247"/>
      <c r="AT12122" s="247"/>
    </row>
    <row r="12123">
      <c r="C12123" s="277"/>
      <c r="M12123" s="277"/>
      <c r="O12123" s="247"/>
      <c r="AC12123" s="247"/>
      <c r="AT12123" s="247"/>
    </row>
    <row r="12124">
      <c r="C12124" s="277"/>
      <c r="M12124" s="277"/>
      <c r="O12124" s="247"/>
      <c r="AC12124" s="247"/>
      <c r="AT12124" s="247"/>
    </row>
    <row r="12125">
      <c r="C12125" s="277"/>
      <c r="M12125" s="277"/>
      <c r="O12125" s="247"/>
      <c r="AC12125" s="247"/>
      <c r="AT12125" s="247"/>
    </row>
    <row r="12126">
      <c r="C12126" s="277"/>
      <c r="M12126" s="277"/>
      <c r="O12126" s="247"/>
      <c r="AC12126" s="247"/>
      <c r="AT12126" s="247"/>
    </row>
    <row r="12127">
      <c r="C12127" s="277"/>
      <c r="M12127" s="277"/>
      <c r="O12127" s="247"/>
      <c r="AC12127" s="247"/>
      <c r="AT12127" s="247"/>
    </row>
    <row r="12128">
      <c r="C12128" s="277"/>
      <c r="M12128" s="277"/>
      <c r="O12128" s="247"/>
      <c r="AC12128" s="247"/>
      <c r="AT12128" s="247"/>
    </row>
    <row r="12129">
      <c r="C12129" s="277"/>
      <c r="M12129" s="277"/>
      <c r="O12129" s="247"/>
      <c r="AC12129" s="247"/>
      <c r="AT12129" s="247"/>
    </row>
    <row r="12130">
      <c r="C12130" s="277"/>
      <c r="M12130" s="277"/>
      <c r="O12130" s="247"/>
      <c r="AC12130" s="247"/>
      <c r="AT12130" s="247"/>
    </row>
    <row r="12131">
      <c r="C12131" s="277"/>
      <c r="M12131" s="277"/>
      <c r="O12131" s="247"/>
      <c r="AC12131" s="247"/>
      <c r="AT12131" s="247"/>
    </row>
    <row r="12132">
      <c r="C12132" s="277"/>
      <c r="M12132" s="277"/>
      <c r="O12132" s="247"/>
      <c r="AC12132" s="247"/>
      <c r="AT12132" s="247"/>
    </row>
    <row r="12133">
      <c r="C12133" s="277"/>
      <c r="M12133" s="277"/>
      <c r="O12133" s="247"/>
      <c r="AC12133" s="247"/>
      <c r="AT12133" s="247"/>
    </row>
    <row r="12134">
      <c r="C12134" s="277"/>
      <c r="M12134" s="277"/>
      <c r="O12134" s="247"/>
      <c r="AC12134" s="247"/>
      <c r="AT12134" s="247"/>
    </row>
    <row r="12135">
      <c r="C12135" s="277"/>
      <c r="M12135" s="277"/>
      <c r="O12135" s="247"/>
      <c r="AC12135" s="247"/>
      <c r="AT12135" s="247"/>
    </row>
    <row r="12136">
      <c r="C12136" s="277"/>
      <c r="M12136" s="277"/>
      <c r="O12136" s="247"/>
      <c r="AC12136" s="247"/>
      <c r="AT12136" s="247"/>
    </row>
    <row r="12137">
      <c r="C12137" s="277"/>
      <c r="M12137" s="277"/>
      <c r="O12137" s="247"/>
      <c r="AC12137" s="247"/>
      <c r="AT12137" s="247"/>
    </row>
    <row r="12138">
      <c r="C12138" s="277"/>
      <c r="M12138" s="277"/>
      <c r="O12138" s="247"/>
      <c r="AC12138" s="247"/>
      <c r="AT12138" s="247"/>
    </row>
    <row r="12139">
      <c r="C12139" s="277"/>
      <c r="M12139" s="277"/>
      <c r="O12139" s="247"/>
      <c r="AC12139" s="247"/>
      <c r="AT12139" s="247"/>
    </row>
    <row r="12140">
      <c r="C12140" s="277"/>
      <c r="M12140" s="277"/>
      <c r="O12140" s="247"/>
      <c r="AC12140" s="247"/>
      <c r="AT12140" s="247"/>
    </row>
    <row r="12141">
      <c r="C12141" s="277"/>
      <c r="M12141" s="277"/>
      <c r="O12141" s="247"/>
      <c r="AC12141" s="247"/>
      <c r="AT12141" s="247"/>
    </row>
    <row r="12142">
      <c r="C12142" s="277"/>
      <c r="M12142" s="277"/>
      <c r="O12142" s="247"/>
      <c r="AC12142" s="247"/>
      <c r="AT12142" s="247"/>
    </row>
    <row r="12143">
      <c r="C12143" s="277"/>
      <c r="M12143" s="277"/>
      <c r="O12143" s="247"/>
      <c r="AC12143" s="247"/>
      <c r="AT12143" s="247"/>
    </row>
    <row r="12144">
      <c r="C12144" s="277"/>
      <c r="M12144" s="277"/>
      <c r="O12144" s="247"/>
      <c r="AC12144" s="247"/>
      <c r="AT12144" s="247"/>
    </row>
    <row r="12145">
      <c r="C12145" s="277"/>
      <c r="M12145" s="277"/>
      <c r="O12145" s="247"/>
      <c r="AC12145" s="247"/>
      <c r="AT12145" s="247"/>
    </row>
    <row r="12146">
      <c r="C12146" s="277"/>
      <c r="M12146" s="277"/>
      <c r="O12146" s="247"/>
      <c r="AC12146" s="247"/>
      <c r="AT12146" s="247"/>
    </row>
    <row r="12147">
      <c r="C12147" s="277"/>
      <c r="M12147" s="277"/>
      <c r="O12147" s="247"/>
      <c r="AC12147" s="247"/>
      <c r="AT12147" s="247"/>
    </row>
    <row r="12148">
      <c r="C12148" s="277"/>
      <c r="M12148" s="277"/>
      <c r="O12148" s="247"/>
      <c r="AC12148" s="247"/>
      <c r="AT12148" s="247"/>
    </row>
    <row r="12149">
      <c r="C12149" s="277"/>
      <c r="M12149" s="277"/>
      <c r="O12149" s="247"/>
      <c r="AC12149" s="247"/>
      <c r="AT12149" s="247"/>
    </row>
    <row r="12150">
      <c r="C12150" s="277"/>
      <c r="M12150" s="277"/>
      <c r="O12150" s="247"/>
      <c r="AC12150" s="247"/>
      <c r="AT12150" s="247"/>
    </row>
    <row r="12151">
      <c r="C12151" s="277"/>
      <c r="M12151" s="277"/>
      <c r="O12151" s="247"/>
      <c r="AC12151" s="247"/>
      <c r="AT12151" s="247"/>
    </row>
    <row r="12152">
      <c r="C12152" s="277"/>
      <c r="M12152" s="277"/>
      <c r="O12152" s="247"/>
      <c r="AC12152" s="247"/>
      <c r="AT12152" s="247"/>
    </row>
    <row r="12153">
      <c r="C12153" s="277"/>
      <c r="M12153" s="277"/>
      <c r="O12153" s="247"/>
      <c r="AC12153" s="247"/>
      <c r="AT12153" s="247"/>
    </row>
    <row r="12154">
      <c r="C12154" s="277"/>
      <c r="M12154" s="277"/>
      <c r="O12154" s="247"/>
      <c r="AC12154" s="247"/>
      <c r="AT12154" s="247"/>
    </row>
    <row r="12155">
      <c r="C12155" s="277"/>
      <c r="M12155" s="277"/>
      <c r="O12155" s="247"/>
      <c r="AC12155" s="247"/>
      <c r="AT12155" s="247"/>
    </row>
    <row r="12156">
      <c r="C12156" s="277"/>
      <c r="M12156" s="277"/>
      <c r="O12156" s="247"/>
      <c r="AC12156" s="247"/>
      <c r="AT12156" s="247"/>
    </row>
    <row r="12157">
      <c r="C12157" s="277"/>
      <c r="M12157" s="277"/>
      <c r="O12157" s="247"/>
      <c r="AC12157" s="247"/>
      <c r="AT12157" s="247"/>
    </row>
    <row r="12158">
      <c r="C12158" s="277"/>
      <c r="M12158" s="277"/>
      <c r="O12158" s="247"/>
      <c r="AC12158" s="247"/>
      <c r="AT12158" s="247"/>
    </row>
    <row r="12159">
      <c r="C12159" s="277"/>
      <c r="M12159" s="277"/>
      <c r="O12159" s="247"/>
      <c r="AC12159" s="247"/>
      <c r="AT12159" s="247"/>
    </row>
    <row r="12160">
      <c r="C12160" s="277"/>
      <c r="M12160" s="277"/>
      <c r="O12160" s="247"/>
      <c r="AC12160" s="247"/>
      <c r="AT12160" s="247"/>
    </row>
    <row r="12161">
      <c r="C12161" s="277"/>
      <c r="M12161" s="277"/>
      <c r="O12161" s="247"/>
      <c r="AC12161" s="247"/>
      <c r="AT12161" s="247"/>
    </row>
    <row r="12162">
      <c r="C12162" s="277"/>
      <c r="M12162" s="277"/>
      <c r="O12162" s="247"/>
      <c r="AC12162" s="247"/>
      <c r="AT12162" s="247"/>
    </row>
    <row r="12163">
      <c r="C12163" s="277"/>
      <c r="M12163" s="277"/>
      <c r="O12163" s="247"/>
      <c r="AC12163" s="247"/>
      <c r="AT12163" s="247"/>
    </row>
    <row r="12164">
      <c r="C12164" s="277"/>
      <c r="M12164" s="277"/>
      <c r="O12164" s="247"/>
      <c r="AC12164" s="247"/>
      <c r="AT12164" s="247"/>
    </row>
    <row r="12165">
      <c r="C12165" s="277"/>
      <c r="M12165" s="277"/>
      <c r="O12165" s="247"/>
      <c r="AC12165" s="247"/>
      <c r="AT12165" s="247"/>
    </row>
    <row r="12166">
      <c r="C12166" s="277"/>
      <c r="M12166" s="277"/>
      <c r="O12166" s="247"/>
      <c r="AC12166" s="247"/>
      <c r="AT12166" s="247"/>
    </row>
    <row r="12167">
      <c r="C12167" s="277"/>
      <c r="M12167" s="277"/>
      <c r="O12167" s="247"/>
      <c r="AC12167" s="247"/>
      <c r="AT12167" s="247"/>
    </row>
    <row r="12168">
      <c r="C12168" s="277"/>
      <c r="M12168" s="277"/>
      <c r="O12168" s="247"/>
      <c r="AC12168" s="247"/>
      <c r="AT12168" s="247"/>
    </row>
    <row r="12169">
      <c r="C12169" s="277"/>
      <c r="M12169" s="277"/>
      <c r="O12169" s="247"/>
      <c r="AC12169" s="247"/>
      <c r="AT12169" s="247"/>
    </row>
    <row r="12170">
      <c r="C12170" s="277"/>
      <c r="M12170" s="277"/>
      <c r="O12170" s="247"/>
      <c r="AC12170" s="247"/>
      <c r="AT12170" s="247"/>
    </row>
    <row r="12171">
      <c r="C12171" s="277"/>
      <c r="M12171" s="277"/>
      <c r="O12171" s="247"/>
      <c r="AC12171" s="247"/>
      <c r="AT12171" s="247"/>
    </row>
    <row r="12172">
      <c r="C12172" s="277"/>
      <c r="M12172" s="277"/>
      <c r="O12172" s="247"/>
      <c r="AC12172" s="247"/>
      <c r="AT12172" s="247"/>
    </row>
    <row r="12173">
      <c r="C12173" s="277"/>
      <c r="M12173" s="277"/>
      <c r="O12173" s="247"/>
      <c r="AC12173" s="247"/>
      <c r="AT12173" s="247"/>
    </row>
    <row r="12174">
      <c r="C12174" s="277"/>
      <c r="M12174" s="277"/>
      <c r="O12174" s="247"/>
      <c r="AC12174" s="247"/>
      <c r="AT12174" s="247"/>
    </row>
    <row r="12175">
      <c r="C12175" s="277"/>
      <c r="M12175" s="277"/>
      <c r="O12175" s="247"/>
      <c r="AC12175" s="247"/>
      <c r="AT12175" s="247"/>
    </row>
    <row r="12176">
      <c r="C12176" s="277"/>
      <c r="M12176" s="277"/>
      <c r="O12176" s="247"/>
      <c r="AC12176" s="247"/>
      <c r="AT12176" s="247"/>
    </row>
    <row r="12177">
      <c r="C12177" s="277"/>
      <c r="M12177" s="277"/>
      <c r="O12177" s="247"/>
      <c r="AC12177" s="247"/>
      <c r="AT12177" s="247"/>
    </row>
    <row r="12178">
      <c r="C12178" s="277"/>
      <c r="M12178" s="277"/>
      <c r="O12178" s="247"/>
      <c r="AC12178" s="247"/>
      <c r="AT12178" s="247"/>
    </row>
    <row r="12179">
      <c r="C12179" s="277"/>
      <c r="M12179" s="277"/>
      <c r="O12179" s="247"/>
      <c r="AC12179" s="247"/>
      <c r="AT12179" s="247"/>
    </row>
    <row r="12180">
      <c r="C12180" s="277"/>
      <c r="M12180" s="277"/>
      <c r="O12180" s="247"/>
      <c r="AC12180" s="247"/>
      <c r="AT12180" s="247"/>
    </row>
    <row r="12181">
      <c r="C12181" s="277"/>
      <c r="M12181" s="277"/>
      <c r="O12181" s="247"/>
      <c r="AC12181" s="247"/>
      <c r="AT12181" s="247"/>
    </row>
    <row r="12182">
      <c r="C12182" s="277"/>
      <c r="M12182" s="277"/>
      <c r="O12182" s="247"/>
      <c r="AC12182" s="247"/>
      <c r="AT12182" s="247"/>
    </row>
    <row r="12183">
      <c r="C12183" s="277"/>
      <c r="M12183" s="277"/>
      <c r="O12183" s="247"/>
      <c r="AC12183" s="247"/>
      <c r="AT12183" s="247"/>
    </row>
    <row r="12184">
      <c r="C12184" s="277"/>
      <c r="M12184" s="277"/>
      <c r="O12184" s="247"/>
      <c r="AC12184" s="247"/>
      <c r="AT12184" s="247"/>
    </row>
    <row r="12185">
      <c r="C12185" s="277"/>
      <c r="M12185" s="277"/>
      <c r="O12185" s="247"/>
      <c r="AC12185" s="247"/>
      <c r="AT12185" s="247"/>
    </row>
    <row r="12186">
      <c r="C12186" s="277"/>
      <c r="M12186" s="277"/>
      <c r="O12186" s="247"/>
      <c r="AC12186" s="247"/>
      <c r="AT12186" s="247"/>
    </row>
    <row r="12187">
      <c r="C12187" s="277"/>
      <c r="M12187" s="277"/>
      <c r="O12187" s="247"/>
      <c r="AC12187" s="247"/>
      <c r="AT12187" s="247"/>
    </row>
    <row r="12188">
      <c r="C12188" s="277"/>
      <c r="M12188" s="277"/>
      <c r="O12188" s="247"/>
      <c r="AC12188" s="247"/>
      <c r="AT12188" s="247"/>
    </row>
    <row r="12189">
      <c r="C12189" s="277"/>
      <c r="M12189" s="277"/>
      <c r="O12189" s="247"/>
      <c r="AC12189" s="247"/>
      <c r="AT12189" s="247"/>
    </row>
    <row r="12190">
      <c r="C12190" s="277"/>
      <c r="M12190" s="277"/>
      <c r="O12190" s="247"/>
      <c r="AC12190" s="247"/>
      <c r="AT12190" s="247"/>
    </row>
    <row r="12191">
      <c r="C12191" s="277"/>
      <c r="M12191" s="277"/>
      <c r="O12191" s="247"/>
      <c r="AC12191" s="247"/>
      <c r="AT12191" s="247"/>
    </row>
    <row r="12192">
      <c r="C12192" s="277"/>
      <c r="M12192" s="277"/>
      <c r="O12192" s="247"/>
      <c r="AC12192" s="247"/>
      <c r="AT12192" s="247"/>
    </row>
    <row r="12193">
      <c r="C12193" s="277"/>
      <c r="M12193" s="277"/>
      <c r="O12193" s="247"/>
      <c r="AC12193" s="247"/>
      <c r="AT12193" s="247"/>
    </row>
    <row r="12194">
      <c r="C12194" s="277"/>
      <c r="M12194" s="277"/>
      <c r="O12194" s="247"/>
      <c r="AC12194" s="247"/>
      <c r="AT12194" s="247"/>
    </row>
    <row r="12195">
      <c r="C12195" s="277"/>
      <c r="M12195" s="277"/>
      <c r="O12195" s="247"/>
      <c r="AC12195" s="247"/>
      <c r="AT12195" s="247"/>
    </row>
    <row r="12196">
      <c r="C12196" s="277"/>
      <c r="M12196" s="277"/>
      <c r="O12196" s="247"/>
      <c r="AC12196" s="247"/>
      <c r="AT12196" s="247"/>
    </row>
    <row r="12197">
      <c r="C12197" s="277"/>
      <c r="M12197" s="277"/>
      <c r="O12197" s="247"/>
      <c r="AC12197" s="247"/>
      <c r="AT12197" s="247"/>
    </row>
    <row r="12198">
      <c r="C12198" s="277"/>
      <c r="M12198" s="277"/>
      <c r="O12198" s="247"/>
      <c r="AC12198" s="247"/>
      <c r="AT12198" s="247"/>
    </row>
    <row r="12199">
      <c r="C12199" s="277"/>
      <c r="M12199" s="277"/>
      <c r="O12199" s="247"/>
      <c r="AC12199" s="247"/>
      <c r="AT12199" s="247"/>
    </row>
    <row r="12200">
      <c r="C12200" s="277"/>
      <c r="M12200" s="277"/>
      <c r="O12200" s="247"/>
      <c r="AC12200" s="247"/>
      <c r="AT12200" s="247"/>
    </row>
    <row r="12201">
      <c r="C12201" s="277"/>
      <c r="M12201" s="277"/>
      <c r="O12201" s="247"/>
      <c r="AC12201" s="247"/>
      <c r="AT12201" s="247"/>
    </row>
    <row r="12202">
      <c r="C12202" s="277"/>
      <c r="M12202" s="277"/>
      <c r="O12202" s="247"/>
      <c r="AC12202" s="247"/>
      <c r="AT12202" s="247"/>
    </row>
    <row r="12203">
      <c r="C12203" s="277"/>
      <c r="M12203" s="277"/>
      <c r="O12203" s="247"/>
      <c r="AC12203" s="247"/>
      <c r="AT12203" s="247"/>
    </row>
    <row r="12204">
      <c r="C12204" s="277"/>
      <c r="M12204" s="277"/>
      <c r="O12204" s="247"/>
      <c r="AC12204" s="247"/>
      <c r="AT12204" s="247"/>
    </row>
    <row r="12205">
      <c r="C12205" s="277"/>
      <c r="M12205" s="277"/>
      <c r="O12205" s="247"/>
      <c r="AC12205" s="247"/>
      <c r="AT12205" s="247"/>
    </row>
    <row r="12206">
      <c r="C12206" s="277"/>
      <c r="M12206" s="277"/>
      <c r="O12206" s="247"/>
      <c r="AC12206" s="247"/>
      <c r="AT12206" s="247"/>
    </row>
    <row r="12207">
      <c r="C12207" s="277"/>
      <c r="M12207" s="277"/>
      <c r="O12207" s="247"/>
      <c r="AC12207" s="247"/>
      <c r="AT12207" s="247"/>
    </row>
    <row r="12208">
      <c r="C12208" s="277"/>
      <c r="M12208" s="277"/>
      <c r="O12208" s="247"/>
      <c r="AC12208" s="247"/>
      <c r="AT12208" s="247"/>
    </row>
    <row r="12209">
      <c r="C12209" s="277"/>
      <c r="M12209" s="277"/>
      <c r="O12209" s="247"/>
      <c r="AC12209" s="247"/>
      <c r="AT12209" s="247"/>
    </row>
    <row r="12210">
      <c r="C12210" s="277"/>
      <c r="M12210" s="277"/>
      <c r="O12210" s="247"/>
      <c r="AC12210" s="247"/>
      <c r="AT12210" s="247"/>
    </row>
    <row r="12211">
      <c r="C12211" s="277"/>
      <c r="M12211" s="277"/>
      <c r="O12211" s="247"/>
      <c r="AC12211" s="247"/>
      <c r="AT12211" s="247"/>
    </row>
    <row r="12212">
      <c r="C12212" s="277"/>
      <c r="M12212" s="277"/>
      <c r="O12212" s="247"/>
      <c r="AC12212" s="247"/>
      <c r="AT12212" s="247"/>
    </row>
    <row r="12213">
      <c r="C12213" s="277"/>
      <c r="M12213" s="277"/>
      <c r="O12213" s="247"/>
      <c r="AC12213" s="247"/>
      <c r="AT12213" s="247"/>
    </row>
    <row r="12214">
      <c r="C12214" s="277"/>
      <c r="M12214" s="277"/>
      <c r="O12214" s="247"/>
      <c r="AC12214" s="247"/>
      <c r="AT12214" s="247"/>
    </row>
    <row r="12215">
      <c r="C12215" s="277"/>
      <c r="M12215" s="277"/>
      <c r="O12215" s="247"/>
      <c r="AC12215" s="247"/>
      <c r="AT12215" s="247"/>
    </row>
    <row r="12216">
      <c r="C12216" s="277"/>
      <c r="M12216" s="277"/>
      <c r="O12216" s="247"/>
      <c r="AC12216" s="247"/>
      <c r="AT12216" s="247"/>
    </row>
    <row r="12217">
      <c r="C12217" s="277"/>
      <c r="M12217" s="277"/>
      <c r="O12217" s="247"/>
      <c r="AC12217" s="247"/>
      <c r="AT12217" s="247"/>
    </row>
    <row r="12218">
      <c r="C12218" s="277"/>
      <c r="M12218" s="277"/>
      <c r="O12218" s="247"/>
      <c r="AC12218" s="247"/>
      <c r="AT12218" s="247"/>
    </row>
    <row r="12219">
      <c r="C12219" s="277"/>
      <c r="M12219" s="277"/>
      <c r="O12219" s="247"/>
      <c r="AC12219" s="247"/>
      <c r="AT12219" s="247"/>
    </row>
    <row r="12220">
      <c r="C12220" s="277"/>
      <c r="M12220" s="277"/>
      <c r="O12220" s="247"/>
      <c r="AC12220" s="247"/>
      <c r="AT12220" s="247"/>
    </row>
    <row r="12221">
      <c r="C12221" s="277"/>
      <c r="M12221" s="277"/>
      <c r="O12221" s="247"/>
      <c r="AC12221" s="247"/>
      <c r="AT12221" s="247"/>
    </row>
    <row r="12222">
      <c r="C12222" s="277"/>
      <c r="M12222" s="277"/>
      <c r="O12222" s="247"/>
      <c r="AC12222" s="247"/>
      <c r="AT12222" s="247"/>
    </row>
    <row r="12223">
      <c r="C12223" s="277"/>
      <c r="M12223" s="277"/>
      <c r="O12223" s="247"/>
      <c r="AC12223" s="247"/>
      <c r="AT12223" s="247"/>
    </row>
    <row r="12224">
      <c r="C12224" s="277"/>
      <c r="M12224" s="277"/>
      <c r="O12224" s="247"/>
      <c r="AC12224" s="247"/>
      <c r="AT12224" s="247"/>
    </row>
    <row r="12225">
      <c r="C12225" s="277"/>
      <c r="M12225" s="277"/>
      <c r="O12225" s="247"/>
      <c r="AC12225" s="247"/>
      <c r="AT12225" s="247"/>
    </row>
    <row r="12226">
      <c r="C12226" s="277"/>
      <c r="M12226" s="277"/>
      <c r="O12226" s="247"/>
      <c r="AC12226" s="247"/>
      <c r="AT12226" s="247"/>
    </row>
    <row r="12227">
      <c r="C12227" s="277"/>
      <c r="M12227" s="277"/>
      <c r="O12227" s="247"/>
      <c r="AC12227" s="247"/>
      <c r="AT12227" s="247"/>
    </row>
    <row r="12228">
      <c r="C12228" s="277"/>
      <c r="M12228" s="277"/>
      <c r="O12228" s="247"/>
      <c r="AC12228" s="247"/>
      <c r="AT12228" s="247"/>
    </row>
    <row r="12229">
      <c r="C12229" s="277"/>
      <c r="M12229" s="277"/>
      <c r="O12229" s="247"/>
      <c r="AC12229" s="247"/>
      <c r="AT12229" s="247"/>
    </row>
    <row r="12230">
      <c r="C12230" s="277"/>
      <c r="M12230" s="277"/>
      <c r="O12230" s="247"/>
      <c r="AC12230" s="247"/>
      <c r="AT12230" s="247"/>
    </row>
    <row r="12231">
      <c r="C12231" s="277"/>
      <c r="M12231" s="277"/>
      <c r="O12231" s="247"/>
      <c r="AC12231" s="247"/>
      <c r="AT12231" s="247"/>
    </row>
    <row r="12232">
      <c r="C12232" s="277"/>
      <c r="M12232" s="277"/>
      <c r="O12232" s="247"/>
      <c r="AC12232" s="247"/>
      <c r="AT12232" s="247"/>
    </row>
    <row r="12233">
      <c r="C12233" s="277"/>
      <c r="M12233" s="277"/>
      <c r="O12233" s="247"/>
      <c r="AC12233" s="247"/>
      <c r="AT12233" s="247"/>
    </row>
    <row r="12234">
      <c r="C12234" s="277"/>
      <c r="M12234" s="277"/>
      <c r="O12234" s="247"/>
      <c r="AC12234" s="247"/>
      <c r="AT12234" s="247"/>
    </row>
    <row r="12235">
      <c r="C12235" s="277"/>
      <c r="M12235" s="277"/>
      <c r="O12235" s="247"/>
      <c r="AC12235" s="247"/>
      <c r="AT12235" s="247"/>
    </row>
    <row r="12236">
      <c r="C12236" s="277"/>
      <c r="M12236" s="277"/>
      <c r="O12236" s="247"/>
      <c r="AC12236" s="247"/>
      <c r="AT12236" s="247"/>
    </row>
    <row r="12237">
      <c r="C12237" s="277"/>
      <c r="M12237" s="277"/>
      <c r="O12237" s="247"/>
      <c r="AC12237" s="247"/>
      <c r="AT12237" s="247"/>
    </row>
    <row r="12238">
      <c r="C12238" s="277"/>
      <c r="M12238" s="277"/>
      <c r="O12238" s="247"/>
      <c r="AC12238" s="247"/>
      <c r="AT12238" s="247"/>
    </row>
    <row r="12239">
      <c r="C12239" s="277"/>
      <c r="M12239" s="277"/>
      <c r="O12239" s="247"/>
      <c r="AC12239" s="247"/>
      <c r="AT12239" s="247"/>
    </row>
    <row r="12240">
      <c r="C12240" s="277"/>
      <c r="M12240" s="277"/>
      <c r="O12240" s="247"/>
      <c r="AC12240" s="247"/>
      <c r="AT12240" s="247"/>
    </row>
    <row r="12241">
      <c r="C12241" s="277"/>
      <c r="M12241" s="277"/>
      <c r="O12241" s="247"/>
      <c r="AC12241" s="247"/>
      <c r="AT12241" s="247"/>
    </row>
    <row r="12242">
      <c r="C12242" s="277"/>
      <c r="M12242" s="277"/>
      <c r="O12242" s="247"/>
      <c r="AC12242" s="247"/>
      <c r="AT12242" s="247"/>
    </row>
    <row r="12243">
      <c r="C12243" s="277"/>
      <c r="M12243" s="277"/>
      <c r="O12243" s="247"/>
      <c r="AC12243" s="247"/>
      <c r="AT12243" s="247"/>
    </row>
    <row r="12244">
      <c r="C12244" s="277"/>
      <c r="M12244" s="277"/>
      <c r="O12244" s="247"/>
      <c r="AC12244" s="247"/>
      <c r="AT12244" s="247"/>
    </row>
    <row r="12245">
      <c r="C12245" s="277"/>
      <c r="M12245" s="277"/>
      <c r="O12245" s="247"/>
      <c r="AC12245" s="247"/>
      <c r="AT12245" s="247"/>
    </row>
    <row r="12246">
      <c r="C12246" s="277"/>
      <c r="M12246" s="277"/>
      <c r="O12246" s="247"/>
      <c r="AC12246" s="247"/>
      <c r="AT12246" s="247"/>
    </row>
    <row r="12247">
      <c r="C12247" s="277"/>
      <c r="M12247" s="277"/>
      <c r="O12247" s="247"/>
      <c r="AC12247" s="247"/>
      <c r="AT12247" s="247"/>
    </row>
    <row r="12248">
      <c r="C12248" s="277"/>
      <c r="M12248" s="277"/>
      <c r="O12248" s="247"/>
      <c r="AC12248" s="247"/>
      <c r="AT12248" s="247"/>
    </row>
    <row r="12249">
      <c r="C12249" s="277"/>
      <c r="M12249" s="277"/>
      <c r="O12249" s="247"/>
      <c r="AC12249" s="247"/>
      <c r="AT12249" s="247"/>
    </row>
    <row r="12250">
      <c r="C12250" s="277"/>
      <c r="M12250" s="277"/>
      <c r="O12250" s="247"/>
      <c r="AC12250" s="247"/>
      <c r="AT12250" s="247"/>
    </row>
    <row r="12251">
      <c r="C12251" s="277"/>
      <c r="M12251" s="277"/>
      <c r="O12251" s="247"/>
      <c r="AC12251" s="247"/>
      <c r="AT12251" s="247"/>
    </row>
    <row r="12252">
      <c r="C12252" s="277"/>
      <c r="M12252" s="277"/>
      <c r="O12252" s="247"/>
      <c r="AC12252" s="247"/>
      <c r="AT12252" s="247"/>
    </row>
    <row r="12253">
      <c r="C12253" s="277"/>
      <c r="M12253" s="277"/>
      <c r="O12253" s="247"/>
      <c r="AC12253" s="247"/>
      <c r="AT12253" s="247"/>
    </row>
    <row r="12254">
      <c r="C12254" s="277"/>
      <c r="M12254" s="277"/>
      <c r="O12254" s="247"/>
      <c r="AC12254" s="247"/>
      <c r="AT12254" s="247"/>
    </row>
    <row r="12255">
      <c r="C12255" s="277"/>
      <c r="M12255" s="277"/>
      <c r="O12255" s="247"/>
      <c r="AC12255" s="247"/>
      <c r="AT12255" s="247"/>
    </row>
    <row r="12256">
      <c r="C12256" s="277"/>
      <c r="M12256" s="277"/>
      <c r="O12256" s="247"/>
      <c r="AC12256" s="247"/>
      <c r="AT12256" s="247"/>
    </row>
    <row r="12257">
      <c r="C12257" s="277"/>
      <c r="M12257" s="277"/>
      <c r="O12257" s="247"/>
      <c r="AC12257" s="247"/>
      <c r="AT12257" s="247"/>
    </row>
    <row r="12258">
      <c r="C12258" s="277"/>
      <c r="M12258" s="277"/>
      <c r="O12258" s="247"/>
      <c r="AC12258" s="247"/>
      <c r="AT12258" s="247"/>
    </row>
    <row r="12259">
      <c r="C12259" s="277"/>
      <c r="M12259" s="277"/>
      <c r="O12259" s="247"/>
      <c r="AC12259" s="247"/>
      <c r="AT12259" s="247"/>
    </row>
    <row r="12260">
      <c r="C12260" s="277"/>
      <c r="M12260" s="277"/>
      <c r="O12260" s="247"/>
      <c r="AC12260" s="247"/>
      <c r="AT12260" s="247"/>
    </row>
    <row r="12261">
      <c r="C12261" s="277"/>
      <c r="M12261" s="277"/>
      <c r="O12261" s="247"/>
      <c r="AC12261" s="247"/>
      <c r="AT12261" s="247"/>
    </row>
    <row r="12262">
      <c r="C12262" s="277"/>
      <c r="M12262" s="277"/>
      <c r="O12262" s="247"/>
      <c r="AC12262" s="247"/>
      <c r="AT12262" s="247"/>
    </row>
    <row r="12263">
      <c r="C12263" s="277"/>
      <c r="M12263" s="277"/>
      <c r="O12263" s="247"/>
      <c r="AC12263" s="247"/>
      <c r="AT12263" s="247"/>
    </row>
    <row r="12264">
      <c r="C12264" s="277"/>
      <c r="M12264" s="277"/>
      <c r="O12264" s="247"/>
      <c r="AC12264" s="247"/>
      <c r="AT12264" s="247"/>
    </row>
    <row r="12265">
      <c r="C12265" s="277"/>
      <c r="M12265" s="277"/>
      <c r="O12265" s="247"/>
      <c r="AC12265" s="247"/>
      <c r="AT12265" s="247"/>
    </row>
    <row r="12266">
      <c r="C12266" s="277"/>
      <c r="M12266" s="277"/>
      <c r="O12266" s="247"/>
      <c r="AC12266" s="247"/>
      <c r="AT12266" s="247"/>
    </row>
    <row r="12267">
      <c r="C12267" s="277"/>
      <c r="M12267" s="277"/>
      <c r="O12267" s="247"/>
      <c r="AC12267" s="247"/>
      <c r="AT12267" s="247"/>
    </row>
    <row r="12268">
      <c r="C12268" s="277"/>
      <c r="M12268" s="277"/>
      <c r="O12268" s="247"/>
      <c r="AC12268" s="247"/>
      <c r="AT12268" s="247"/>
    </row>
    <row r="12269">
      <c r="C12269" s="277"/>
      <c r="M12269" s="277"/>
      <c r="O12269" s="247"/>
      <c r="AC12269" s="247"/>
      <c r="AT12269" s="247"/>
    </row>
    <row r="12270">
      <c r="C12270" s="277"/>
      <c r="M12270" s="277"/>
      <c r="O12270" s="247"/>
      <c r="AC12270" s="247"/>
      <c r="AT12270" s="247"/>
    </row>
    <row r="12271">
      <c r="C12271" s="277"/>
      <c r="M12271" s="277"/>
      <c r="O12271" s="247"/>
      <c r="AC12271" s="247"/>
      <c r="AT12271" s="247"/>
    </row>
    <row r="12272">
      <c r="C12272" s="277"/>
      <c r="M12272" s="277"/>
      <c r="O12272" s="247"/>
      <c r="AC12272" s="247"/>
      <c r="AT12272" s="247"/>
    </row>
    <row r="12273">
      <c r="C12273" s="277"/>
      <c r="M12273" s="277"/>
      <c r="O12273" s="247"/>
      <c r="AC12273" s="247"/>
      <c r="AT12273" s="247"/>
    </row>
    <row r="12274">
      <c r="C12274" s="277"/>
      <c r="M12274" s="277"/>
      <c r="O12274" s="247"/>
      <c r="AC12274" s="247"/>
      <c r="AT12274" s="247"/>
    </row>
    <row r="12275">
      <c r="C12275" s="277"/>
      <c r="M12275" s="277"/>
      <c r="O12275" s="247"/>
      <c r="AC12275" s="247"/>
      <c r="AT12275" s="247"/>
    </row>
    <row r="12276">
      <c r="C12276" s="277"/>
      <c r="M12276" s="277"/>
      <c r="O12276" s="247"/>
      <c r="AC12276" s="247"/>
      <c r="AT12276" s="247"/>
    </row>
    <row r="12277">
      <c r="C12277" s="277"/>
      <c r="M12277" s="277"/>
      <c r="O12277" s="247"/>
      <c r="AC12277" s="247"/>
      <c r="AT12277" s="247"/>
    </row>
    <row r="12278">
      <c r="C12278" s="277"/>
      <c r="M12278" s="277"/>
      <c r="O12278" s="247"/>
      <c r="AC12278" s="247"/>
      <c r="AT12278" s="247"/>
    </row>
    <row r="12279">
      <c r="C12279" s="277"/>
      <c r="M12279" s="277"/>
      <c r="O12279" s="247"/>
      <c r="AC12279" s="247"/>
      <c r="AT12279" s="247"/>
    </row>
    <row r="12280">
      <c r="C12280" s="277"/>
      <c r="M12280" s="277"/>
      <c r="O12280" s="247"/>
      <c r="AC12280" s="247"/>
      <c r="AT12280" s="247"/>
    </row>
    <row r="12281">
      <c r="C12281" s="277"/>
      <c r="M12281" s="277"/>
      <c r="O12281" s="247"/>
      <c r="AC12281" s="247"/>
      <c r="AT12281" s="247"/>
    </row>
    <row r="12282">
      <c r="C12282" s="277"/>
      <c r="M12282" s="277"/>
      <c r="O12282" s="247"/>
      <c r="AC12282" s="247"/>
      <c r="AT12282" s="247"/>
    </row>
    <row r="12283">
      <c r="C12283" s="277"/>
      <c r="M12283" s="277"/>
      <c r="O12283" s="247"/>
      <c r="AC12283" s="247"/>
      <c r="AT12283" s="247"/>
    </row>
    <row r="12284">
      <c r="C12284" s="277"/>
      <c r="M12284" s="277"/>
      <c r="O12284" s="247"/>
      <c r="AC12284" s="247"/>
      <c r="AT12284" s="247"/>
    </row>
    <row r="12285">
      <c r="C12285" s="277"/>
      <c r="M12285" s="277"/>
      <c r="O12285" s="247"/>
      <c r="AC12285" s="247"/>
      <c r="AT12285" s="247"/>
    </row>
    <row r="12286">
      <c r="C12286" s="277"/>
      <c r="M12286" s="277"/>
      <c r="O12286" s="247"/>
      <c r="AC12286" s="247"/>
      <c r="AT12286" s="247"/>
    </row>
    <row r="12287">
      <c r="C12287" s="277"/>
      <c r="M12287" s="277"/>
      <c r="O12287" s="247"/>
      <c r="AC12287" s="247"/>
      <c r="AT12287" s="247"/>
    </row>
    <row r="12288">
      <c r="C12288" s="277"/>
      <c r="M12288" s="277"/>
      <c r="O12288" s="247"/>
      <c r="AC12288" s="247"/>
      <c r="AT12288" s="247"/>
    </row>
    <row r="12289">
      <c r="C12289" s="277"/>
      <c r="M12289" s="277"/>
      <c r="O12289" s="247"/>
      <c r="AC12289" s="247"/>
      <c r="AT12289" s="247"/>
    </row>
    <row r="12290">
      <c r="C12290" s="277"/>
      <c r="M12290" s="277"/>
      <c r="O12290" s="247"/>
      <c r="AC12290" s="247"/>
      <c r="AT12290" s="247"/>
    </row>
    <row r="12291">
      <c r="C12291" s="277"/>
      <c r="M12291" s="277"/>
      <c r="O12291" s="247"/>
      <c r="AC12291" s="247"/>
      <c r="AT12291" s="247"/>
    </row>
    <row r="12292">
      <c r="C12292" s="277"/>
      <c r="M12292" s="277"/>
      <c r="O12292" s="247"/>
      <c r="AC12292" s="247"/>
      <c r="AT12292" s="247"/>
    </row>
    <row r="12293">
      <c r="C12293" s="277"/>
      <c r="M12293" s="277"/>
      <c r="O12293" s="247"/>
      <c r="AC12293" s="247"/>
      <c r="AT12293" s="247"/>
    </row>
    <row r="12294">
      <c r="C12294" s="277"/>
      <c r="M12294" s="277"/>
      <c r="O12294" s="247"/>
      <c r="AC12294" s="247"/>
      <c r="AT12294" s="247"/>
    </row>
    <row r="12295">
      <c r="C12295" s="277"/>
      <c r="M12295" s="277"/>
      <c r="O12295" s="247"/>
      <c r="AC12295" s="247"/>
      <c r="AT12295" s="247"/>
    </row>
    <row r="12296">
      <c r="C12296" s="277"/>
      <c r="M12296" s="277"/>
      <c r="O12296" s="247"/>
      <c r="AC12296" s="247"/>
      <c r="AT12296" s="247"/>
    </row>
    <row r="12297">
      <c r="C12297" s="277"/>
      <c r="M12297" s="277"/>
      <c r="O12297" s="247"/>
      <c r="AC12297" s="247"/>
      <c r="AT12297" s="247"/>
    </row>
    <row r="12298">
      <c r="C12298" s="277"/>
      <c r="M12298" s="277"/>
      <c r="O12298" s="247"/>
      <c r="AC12298" s="247"/>
      <c r="AT12298" s="247"/>
    </row>
    <row r="12299">
      <c r="C12299" s="277"/>
      <c r="M12299" s="277"/>
      <c r="O12299" s="247"/>
      <c r="AC12299" s="247"/>
      <c r="AT12299" s="247"/>
    </row>
    <row r="12300">
      <c r="C12300" s="277"/>
      <c r="M12300" s="277"/>
      <c r="O12300" s="247"/>
      <c r="AC12300" s="247"/>
      <c r="AT12300" s="247"/>
    </row>
    <row r="12301">
      <c r="C12301" s="277"/>
      <c r="M12301" s="277"/>
      <c r="O12301" s="247"/>
      <c r="AC12301" s="247"/>
      <c r="AT12301" s="247"/>
    </row>
    <row r="12302">
      <c r="C12302" s="277"/>
      <c r="M12302" s="277"/>
      <c r="O12302" s="247"/>
      <c r="AC12302" s="247"/>
      <c r="AT12302" s="247"/>
    </row>
    <row r="12303">
      <c r="C12303" s="277"/>
      <c r="M12303" s="277"/>
      <c r="O12303" s="247"/>
      <c r="AC12303" s="247"/>
      <c r="AT12303" s="247"/>
    </row>
    <row r="12304">
      <c r="C12304" s="277"/>
      <c r="M12304" s="277"/>
      <c r="O12304" s="247"/>
      <c r="AC12304" s="247"/>
      <c r="AT12304" s="247"/>
    </row>
    <row r="12305">
      <c r="C12305" s="277"/>
      <c r="M12305" s="277"/>
      <c r="O12305" s="247"/>
      <c r="AC12305" s="247"/>
      <c r="AT12305" s="247"/>
    </row>
    <row r="12306">
      <c r="C12306" s="277"/>
      <c r="M12306" s="277"/>
      <c r="O12306" s="247"/>
      <c r="AC12306" s="247"/>
      <c r="AT12306" s="247"/>
    </row>
    <row r="12307">
      <c r="C12307" s="277"/>
      <c r="M12307" s="277"/>
      <c r="O12307" s="247"/>
      <c r="AC12307" s="247"/>
      <c r="AT12307" s="247"/>
    </row>
    <row r="12308">
      <c r="C12308" s="277"/>
      <c r="M12308" s="277"/>
      <c r="O12308" s="247"/>
      <c r="AC12308" s="247"/>
      <c r="AT12308" s="247"/>
    </row>
    <row r="12309">
      <c r="C12309" s="277"/>
      <c r="M12309" s="277"/>
      <c r="O12309" s="247"/>
      <c r="AC12309" s="247"/>
      <c r="AT12309" s="247"/>
    </row>
    <row r="12310">
      <c r="C12310" s="277"/>
      <c r="M12310" s="277"/>
      <c r="O12310" s="247"/>
      <c r="AC12310" s="247"/>
      <c r="AT12310" s="247"/>
    </row>
    <row r="12311">
      <c r="C12311" s="277"/>
      <c r="M12311" s="277"/>
      <c r="O12311" s="247"/>
      <c r="AC12311" s="247"/>
      <c r="AT12311" s="247"/>
    </row>
    <row r="12312">
      <c r="C12312" s="277"/>
      <c r="M12312" s="277"/>
      <c r="O12312" s="247"/>
      <c r="AC12312" s="247"/>
      <c r="AT12312" s="247"/>
    </row>
    <row r="12313">
      <c r="C12313" s="277"/>
      <c r="M12313" s="277"/>
      <c r="O12313" s="247"/>
      <c r="AC12313" s="247"/>
      <c r="AT12313" s="247"/>
    </row>
    <row r="12314">
      <c r="C12314" s="277"/>
      <c r="M12314" s="277"/>
      <c r="O12314" s="247"/>
      <c r="AC12314" s="247"/>
      <c r="AT12314" s="247"/>
    </row>
    <row r="12315">
      <c r="C12315" s="277"/>
      <c r="M12315" s="277"/>
      <c r="O12315" s="247"/>
      <c r="AC12315" s="247"/>
      <c r="AT12315" s="247"/>
    </row>
    <row r="12316">
      <c r="C12316" s="277"/>
      <c r="M12316" s="277"/>
      <c r="O12316" s="247"/>
      <c r="AC12316" s="247"/>
      <c r="AT12316" s="247"/>
    </row>
    <row r="12317">
      <c r="C12317" s="277"/>
      <c r="M12317" s="277"/>
      <c r="O12317" s="247"/>
      <c r="AC12317" s="247"/>
      <c r="AT12317" s="247"/>
    </row>
    <row r="12318">
      <c r="C12318" s="277"/>
      <c r="M12318" s="277"/>
      <c r="O12318" s="247"/>
      <c r="AC12318" s="247"/>
      <c r="AT12318" s="247"/>
    </row>
    <row r="12319">
      <c r="C12319" s="277"/>
      <c r="M12319" s="277"/>
      <c r="O12319" s="247"/>
      <c r="AC12319" s="247"/>
      <c r="AT12319" s="247"/>
    </row>
    <row r="12320">
      <c r="C12320" s="277"/>
      <c r="M12320" s="277"/>
      <c r="O12320" s="247"/>
      <c r="AC12320" s="247"/>
      <c r="AT12320" s="247"/>
    </row>
    <row r="12321">
      <c r="C12321" s="277"/>
      <c r="M12321" s="277"/>
      <c r="O12321" s="247"/>
      <c r="AC12321" s="247"/>
      <c r="AT12321" s="247"/>
    </row>
    <row r="12322">
      <c r="C12322" s="277"/>
      <c r="M12322" s="277"/>
      <c r="O12322" s="247"/>
      <c r="AC12322" s="247"/>
      <c r="AT12322" s="247"/>
    </row>
    <row r="12323">
      <c r="C12323" s="277"/>
      <c r="M12323" s="277"/>
      <c r="O12323" s="247"/>
      <c r="AC12323" s="247"/>
      <c r="AT12323" s="247"/>
    </row>
    <row r="12324">
      <c r="C12324" s="277"/>
      <c r="M12324" s="277"/>
      <c r="O12324" s="247"/>
      <c r="AC12324" s="247"/>
      <c r="AT12324" s="247"/>
    </row>
    <row r="12325">
      <c r="C12325" s="277"/>
      <c r="M12325" s="277"/>
      <c r="O12325" s="247"/>
      <c r="AC12325" s="247"/>
      <c r="AT12325" s="247"/>
    </row>
    <row r="12326">
      <c r="C12326" s="277"/>
      <c r="M12326" s="277"/>
      <c r="O12326" s="247"/>
      <c r="AC12326" s="247"/>
      <c r="AT12326" s="247"/>
    </row>
    <row r="12327">
      <c r="C12327" s="277"/>
      <c r="M12327" s="277"/>
      <c r="O12327" s="247"/>
      <c r="AC12327" s="247"/>
      <c r="AT12327" s="247"/>
    </row>
    <row r="12328">
      <c r="C12328" s="277"/>
      <c r="M12328" s="277"/>
      <c r="O12328" s="247"/>
      <c r="AC12328" s="247"/>
      <c r="AT12328" s="247"/>
    </row>
    <row r="12329">
      <c r="C12329" s="277"/>
      <c r="M12329" s="277"/>
      <c r="O12329" s="247"/>
      <c r="AC12329" s="247"/>
      <c r="AT12329" s="247"/>
    </row>
    <row r="12330">
      <c r="C12330" s="277"/>
      <c r="M12330" s="277"/>
      <c r="O12330" s="247"/>
      <c r="AC12330" s="247"/>
      <c r="AT12330" s="247"/>
    </row>
    <row r="12331">
      <c r="C12331" s="277"/>
      <c r="M12331" s="277"/>
      <c r="O12331" s="247"/>
      <c r="AC12331" s="247"/>
      <c r="AT12331" s="247"/>
    </row>
    <row r="12332">
      <c r="C12332" s="277"/>
      <c r="M12332" s="277"/>
      <c r="O12332" s="247"/>
      <c r="AC12332" s="247"/>
      <c r="AT12332" s="247"/>
    </row>
    <row r="12333">
      <c r="C12333" s="277"/>
      <c r="M12333" s="277"/>
      <c r="O12333" s="247"/>
      <c r="AC12333" s="247"/>
      <c r="AT12333" s="247"/>
    </row>
    <row r="12334">
      <c r="C12334" s="277"/>
      <c r="M12334" s="277"/>
      <c r="O12334" s="247"/>
      <c r="AC12334" s="247"/>
      <c r="AT12334" s="247"/>
    </row>
    <row r="12335">
      <c r="C12335" s="277"/>
      <c r="M12335" s="277"/>
      <c r="O12335" s="247"/>
      <c r="AC12335" s="247"/>
      <c r="AT12335" s="247"/>
    </row>
    <row r="12336">
      <c r="C12336" s="277"/>
      <c r="M12336" s="277"/>
      <c r="O12336" s="247"/>
      <c r="AC12336" s="247"/>
      <c r="AT12336" s="247"/>
    </row>
    <row r="12337">
      <c r="C12337" s="277"/>
      <c r="M12337" s="277"/>
      <c r="O12337" s="247"/>
      <c r="AC12337" s="247"/>
      <c r="AT12337" s="247"/>
    </row>
    <row r="12338">
      <c r="C12338" s="277"/>
      <c r="M12338" s="277"/>
      <c r="O12338" s="247"/>
      <c r="AC12338" s="247"/>
      <c r="AT12338" s="247"/>
    </row>
    <row r="12339">
      <c r="C12339" s="277"/>
      <c r="M12339" s="277"/>
      <c r="O12339" s="247"/>
      <c r="AC12339" s="247"/>
      <c r="AT12339" s="247"/>
    </row>
    <row r="12340">
      <c r="C12340" s="277"/>
      <c r="M12340" s="277"/>
      <c r="O12340" s="247"/>
      <c r="AC12340" s="247"/>
      <c r="AT12340" s="247"/>
    </row>
    <row r="12341">
      <c r="C12341" s="277"/>
      <c r="M12341" s="277"/>
      <c r="O12341" s="247"/>
      <c r="AC12341" s="247"/>
      <c r="AT12341" s="247"/>
    </row>
    <row r="12342">
      <c r="C12342" s="277"/>
      <c r="M12342" s="277"/>
      <c r="O12342" s="247"/>
      <c r="AC12342" s="247"/>
      <c r="AT12342" s="247"/>
    </row>
    <row r="12343">
      <c r="C12343" s="277"/>
      <c r="M12343" s="277"/>
      <c r="O12343" s="247"/>
      <c r="AC12343" s="247"/>
      <c r="AT12343" s="247"/>
    </row>
    <row r="12344">
      <c r="C12344" s="277"/>
      <c r="M12344" s="277"/>
      <c r="O12344" s="247"/>
      <c r="AC12344" s="247"/>
      <c r="AT12344" s="247"/>
    </row>
    <row r="12345">
      <c r="C12345" s="277"/>
      <c r="M12345" s="277"/>
      <c r="O12345" s="247"/>
      <c r="AC12345" s="247"/>
      <c r="AT12345" s="247"/>
    </row>
    <row r="12346">
      <c r="C12346" s="277"/>
      <c r="M12346" s="277"/>
      <c r="O12346" s="247"/>
      <c r="AC12346" s="247"/>
      <c r="AT12346" s="247"/>
    </row>
    <row r="12347">
      <c r="C12347" s="277"/>
      <c r="M12347" s="277"/>
      <c r="O12347" s="247"/>
      <c r="AC12347" s="247"/>
      <c r="AT12347" s="247"/>
    </row>
    <row r="12348">
      <c r="C12348" s="277"/>
      <c r="M12348" s="277"/>
      <c r="O12348" s="247"/>
      <c r="AC12348" s="247"/>
      <c r="AT12348" s="247"/>
    </row>
    <row r="12349">
      <c r="C12349" s="277"/>
      <c r="M12349" s="277"/>
      <c r="O12349" s="247"/>
      <c r="AC12349" s="247"/>
      <c r="AT12349" s="247"/>
    </row>
    <row r="12350">
      <c r="C12350" s="277"/>
      <c r="M12350" s="277"/>
      <c r="O12350" s="247"/>
      <c r="AC12350" s="247"/>
      <c r="AT12350" s="247"/>
    </row>
    <row r="12351">
      <c r="C12351" s="277"/>
      <c r="M12351" s="277"/>
      <c r="O12351" s="247"/>
      <c r="AC12351" s="247"/>
      <c r="AT12351" s="247"/>
    </row>
    <row r="12352">
      <c r="C12352" s="277"/>
      <c r="M12352" s="277"/>
      <c r="O12352" s="247"/>
      <c r="AC12352" s="247"/>
      <c r="AT12352" s="247"/>
    </row>
    <row r="12353">
      <c r="C12353" s="277"/>
      <c r="M12353" s="277"/>
      <c r="O12353" s="247"/>
      <c r="AC12353" s="247"/>
      <c r="AT12353" s="247"/>
    </row>
    <row r="12354">
      <c r="C12354" s="277"/>
      <c r="M12354" s="277"/>
      <c r="O12354" s="247"/>
      <c r="AC12354" s="247"/>
      <c r="AT12354" s="247"/>
    </row>
    <row r="12355">
      <c r="C12355" s="277"/>
      <c r="M12355" s="277"/>
      <c r="O12355" s="247"/>
      <c r="AC12355" s="247"/>
      <c r="AT12355" s="247"/>
    </row>
    <row r="12356">
      <c r="C12356" s="277"/>
      <c r="M12356" s="277"/>
      <c r="O12356" s="247"/>
      <c r="AC12356" s="247"/>
      <c r="AT12356" s="247"/>
    </row>
    <row r="12357">
      <c r="C12357" s="277"/>
      <c r="M12357" s="277"/>
      <c r="O12357" s="247"/>
      <c r="AC12357" s="247"/>
      <c r="AT12357" s="247"/>
    </row>
    <row r="12358">
      <c r="C12358" s="277"/>
      <c r="M12358" s="277"/>
      <c r="O12358" s="247"/>
      <c r="AC12358" s="247"/>
      <c r="AT12358" s="247"/>
    </row>
    <row r="12359">
      <c r="C12359" s="277"/>
      <c r="M12359" s="277"/>
      <c r="O12359" s="247"/>
      <c r="AC12359" s="247"/>
      <c r="AT12359" s="247"/>
    </row>
    <row r="12360">
      <c r="C12360" s="277"/>
      <c r="M12360" s="277"/>
      <c r="O12360" s="247"/>
      <c r="AC12360" s="247"/>
      <c r="AT12360" s="247"/>
    </row>
    <row r="12361">
      <c r="C12361" s="277"/>
      <c r="M12361" s="277"/>
      <c r="O12361" s="247"/>
      <c r="AC12361" s="247"/>
      <c r="AT12361" s="247"/>
    </row>
    <row r="12362">
      <c r="C12362" s="277"/>
      <c r="M12362" s="277"/>
      <c r="O12362" s="247"/>
      <c r="AC12362" s="247"/>
      <c r="AT12362" s="247"/>
    </row>
    <row r="12363">
      <c r="C12363" s="277"/>
      <c r="M12363" s="277"/>
      <c r="O12363" s="247"/>
      <c r="AC12363" s="247"/>
      <c r="AT12363" s="247"/>
    </row>
    <row r="12364">
      <c r="C12364" s="277"/>
      <c r="M12364" s="277"/>
      <c r="O12364" s="247"/>
      <c r="AC12364" s="247"/>
      <c r="AT12364" s="247"/>
    </row>
    <row r="12365">
      <c r="C12365" s="277"/>
      <c r="M12365" s="277"/>
      <c r="O12365" s="247"/>
      <c r="AC12365" s="247"/>
      <c r="AT12365" s="247"/>
    </row>
    <row r="12366">
      <c r="C12366" s="277"/>
      <c r="M12366" s="277"/>
      <c r="O12366" s="247"/>
      <c r="AC12366" s="247"/>
      <c r="AT12366" s="247"/>
    </row>
    <row r="12367">
      <c r="C12367" s="277"/>
      <c r="M12367" s="277"/>
      <c r="O12367" s="247"/>
      <c r="AC12367" s="247"/>
      <c r="AT12367" s="247"/>
    </row>
    <row r="12368">
      <c r="C12368" s="277"/>
      <c r="M12368" s="277"/>
      <c r="O12368" s="247"/>
      <c r="AC12368" s="247"/>
      <c r="AT12368" s="247"/>
    </row>
    <row r="12369">
      <c r="C12369" s="277"/>
      <c r="M12369" s="277"/>
      <c r="O12369" s="247"/>
      <c r="AC12369" s="247"/>
      <c r="AT12369" s="247"/>
    </row>
    <row r="12370">
      <c r="C12370" s="277"/>
      <c r="M12370" s="277"/>
      <c r="O12370" s="247"/>
      <c r="AC12370" s="247"/>
      <c r="AT12370" s="247"/>
    </row>
    <row r="12371">
      <c r="C12371" s="277"/>
      <c r="M12371" s="277"/>
      <c r="O12371" s="247"/>
      <c r="AC12371" s="247"/>
      <c r="AT12371" s="247"/>
    </row>
    <row r="12372">
      <c r="C12372" s="277"/>
      <c r="M12372" s="277"/>
      <c r="O12372" s="247"/>
      <c r="AC12372" s="247"/>
      <c r="AT12372" s="247"/>
    </row>
    <row r="12373">
      <c r="C12373" s="277"/>
      <c r="M12373" s="277"/>
      <c r="O12373" s="247"/>
      <c r="AC12373" s="247"/>
      <c r="AT12373" s="247"/>
    </row>
    <row r="12374">
      <c r="C12374" s="277"/>
      <c r="M12374" s="277"/>
      <c r="O12374" s="247"/>
      <c r="AC12374" s="247"/>
      <c r="AT12374" s="247"/>
    </row>
    <row r="12375">
      <c r="C12375" s="277"/>
      <c r="M12375" s="277"/>
      <c r="O12375" s="247"/>
      <c r="AC12375" s="247"/>
      <c r="AT12375" s="247"/>
    </row>
    <row r="12376">
      <c r="C12376" s="277"/>
      <c r="M12376" s="277"/>
      <c r="O12376" s="247"/>
      <c r="AC12376" s="247"/>
      <c r="AT12376" s="247"/>
    </row>
    <row r="12377">
      <c r="C12377" s="277"/>
      <c r="M12377" s="277"/>
      <c r="O12377" s="247"/>
      <c r="AC12377" s="247"/>
      <c r="AT12377" s="247"/>
    </row>
    <row r="12378">
      <c r="C12378" s="277"/>
      <c r="M12378" s="277"/>
      <c r="O12378" s="247"/>
      <c r="AC12378" s="247"/>
      <c r="AT12378" s="247"/>
    </row>
    <row r="12379">
      <c r="C12379" s="277"/>
      <c r="M12379" s="277"/>
      <c r="O12379" s="247"/>
      <c r="AC12379" s="247"/>
      <c r="AT12379" s="247"/>
    </row>
    <row r="12380">
      <c r="C12380" s="277"/>
      <c r="M12380" s="277"/>
      <c r="O12380" s="247"/>
      <c r="AC12380" s="247"/>
      <c r="AT12380" s="247"/>
    </row>
    <row r="12381">
      <c r="C12381" s="277"/>
      <c r="M12381" s="277"/>
      <c r="O12381" s="247"/>
      <c r="AC12381" s="247"/>
      <c r="AT12381" s="247"/>
    </row>
    <row r="12382">
      <c r="C12382" s="277"/>
      <c r="M12382" s="277"/>
      <c r="O12382" s="247"/>
      <c r="AC12382" s="247"/>
      <c r="AT12382" s="247"/>
    </row>
    <row r="12383">
      <c r="C12383" s="277"/>
      <c r="M12383" s="277"/>
      <c r="O12383" s="247"/>
      <c r="AC12383" s="247"/>
      <c r="AT12383" s="247"/>
    </row>
    <row r="12384">
      <c r="C12384" s="277"/>
      <c r="M12384" s="277"/>
      <c r="O12384" s="247"/>
      <c r="AC12384" s="247"/>
      <c r="AT12384" s="247"/>
    </row>
    <row r="12385">
      <c r="C12385" s="277"/>
      <c r="M12385" s="277"/>
      <c r="O12385" s="247"/>
      <c r="AC12385" s="247"/>
      <c r="AT12385" s="247"/>
    </row>
    <row r="12386">
      <c r="C12386" s="277"/>
      <c r="M12386" s="277"/>
      <c r="O12386" s="247"/>
      <c r="AC12386" s="247"/>
      <c r="AT12386" s="247"/>
    </row>
    <row r="12387">
      <c r="C12387" s="277"/>
      <c r="M12387" s="277"/>
      <c r="O12387" s="247"/>
      <c r="AC12387" s="247"/>
      <c r="AT12387" s="247"/>
    </row>
    <row r="12388">
      <c r="C12388" s="277"/>
      <c r="M12388" s="277"/>
      <c r="O12388" s="247"/>
      <c r="AC12388" s="247"/>
      <c r="AT12388" s="247"/>
    </row>
    <row r="12389">
      <c r="C12389" s="277"/>
      <c r="M12389" s="277"/>
      <c r="O12389" s="247"/>
      <c r="AC12389" s="247"/>
      <c r="AT12389" s="247"/>
    </row>
    <row r="12390">
      <c r="C12390" s="277"/>
      <c r="M12390" s="277"/>
      <c r="O12390" s="247"/>
      <c r="AC12390" s="247"/>
      <c r="AT12390" s="247"/>
    </row>
    <row r="12391">
      <c r="C12391" s="277"/>
      <c r="M12391" s="277"/>
      <c r="O12391" s="247"/>
      <c r="AC12391" s="247"/>
      <c r="AT12391" s="247"/>
    </row>
    <row r="12392">
      <c r="C12392" s="277"/>
      <c r="M12392" s="277"/>
      <c r="O12392" s="247"/>
      <c r="AC12392" s="247"/>
      <c r="AT12392" s="247"/>
    </row>
    <row r="12393">
      <c r="C12393" s="277"/>
      <c r="M12393" s="277"/>
      <c r="O12393" s="247"/>
      <c r="AC12393" s="247"/>
      <c r="AT12393" s="247"/>
    </row>
    <row r="12394">
      <c r="C12394" s="277"/>
      <c r="M12394" s="277"/>
      <c r="O12394" s="247"/>
      <c r="AC12394" s="247"/>
      <c r="AT12394" s="247"/>
    </row>
    <row r="12395">
      <c r="C12395" s="277"/>
      <c r="M12395" s="277"/>
      <c r="O12395" s="247"/>
      <c r="AC12395" s="247"/>
      <c r="AT12395" s="247"/>
    </row>
    <row r="12396">
      <c r="C12396" s="277"/>
      <c r="M12396" s="277"/>
      <c r="O12396" s="247"/>
      <c r="AC12396" s="247"/>
      <c r="AT12396" s="247"/>
    </row>
    <row r="12397">
      <c r="C12397" s="277"/>
      <c r="M12397" s="277"/>
      <c r="O12397" s="247"/>
      <c r="AC12397" s="247"/>
      <c r="AT12397" s="247"/>
    </row>
    <row r="12398">
      <c r="C12398" s="277"/>
      <c r="M12398" s="277"/>
      <c r="O12398" s="247"/>
      <c r="AC12398" s="247"/>
      <c r="AT12398" s="247"/>
    </row>
    <row r="12399">
      <c r="C12399" s="277"/>
      <c r="M12399" s="277"/>
      <c r="O12399" s="247"/>
      <c r="AC12399" s="247"/>
      <c r="AT12399" s="247"/>
    </row>
    <row r="12400">
      <c r="C12400" s="277"/>
      <c r="M12400" s="277"/>
      <c r="O12400" s="247"/>
      <c r="AC12400" s="247"/>
      <c r="AT12400" s="247"/>
    </row>
    <row r="12401">
      <c r="C12401" s="277"/>
      <c r="M12401" s="277"/>
      <c r="O12401" s="247"/>
      <c r="AC12401" s="247"/>
      <c r="AT12401" s="247"/>
    </row>
    <row r="12402">
      <c r="C12402" s="277"/>
      <c r="M12402" s="277"/>
      <c r="O12402" s="247"/>
      <c r="AC12402" s="247"/>
      <c r="AT12402" s="247"/>
    </row>
    <row r="12403">
      <c r="C12403" s="277"/>
      <c r="M12403" s="277"/>
      <c r="O12403" s="247"/>
      <c r="AC12403" s="247"/>
      <c r="AT12403" s="247"/>
    </row>
    <row r="12404">
      <c r="C12404" s="277"/>
      <c r="M12404" s="277"/>
      <c r="O12404" s="247"/>
      <c r="AC12404" s="247"/>
      <c r="AT12404" s="247"/>
    </row>
    <row r="12405">
      <c r="C12405" s="277"/>
      <c r="M12405" s="277"/>
      <c r="O12405" s="247"/>
      <c r="AC12405" s="247"/>
      <c r="AT12405" s="247"/>
    </row>
    <row r="12406">
      <c r="C12406" s="277"/>
      <c r="M12406" s="277"/>
      <c r="O12406" s="247"/>
      <c r="AC12406" s="247"/>
      <c r="AT12406" s="247"/>
    </row>
    <row r="12407">
      <c r="C12407" s="277"/>
      <c r="M12407" s="277"/>
      <c r="O12407" s="247"/>
      <c r="AC12407" s="247"/>
      <c r="AT12407" s="247"/>
    </row>
    <row r="12408">
      <c r="C12408" s="277"/>
      <c r="M12408" s="277"/>
      <c r="O12408" s="247"/>
      <c r="AC12408" s="247"/>
      <c r="AT12408" s="247"/>
    </row>
    <row r="12409">
      <c r="C12409" s="277"/>
      <c r="M12409" s="277"/>
      <c r="O12409" s="247"/>
      <c r="AC12409" s="247"/>
      <c r="AT12409" s="247"/>
    </row>
    <row r="12410">
      <c r="C12410" s="277"/>
      <c r="M12410" s="277"/>
      <c r="O12410" s="247"/>
      <c r="AC12410" s="247"/>
      <c r="AT12410" s="247"/>
    </row>
    <row r="12411">
      <c r="C12411" s="277"/>
      <c r="M12411" s="277"/>
      <c r="O12411" s="247"/>
      <c r="AC12411" s="247"/>
      <c r="AT12411" s="247"/>
    </row>
    <row r="12412">
      <c r="C12412" s="278"/>
      <c r="M12412" s="277"/>
      <c r="O12412" s="247"/>
      <c r="AC12412" s="247"/>
      <c r="AT12412" s="247"/>
    </row>
    <row r="12413">
      <c r="C12413" s="277"/>
      <c r="M12413" s="277"/>
      <c r="O12413" s="247"/>
      <c r="AC12413" s="247"/>
      <c r="AT12413" s="247"/>
    </row>
    <row r="12414">
      <c r="C12414" s="277"/>
      <c r="M12414" s="277"/>
      <c r="O12414" s="247"/>
      <c r="AC12414" s="247"/>
      <c r="AT12414" s="247"/>
    </row>
    <row r="12415">
      <c r="C12415" s="277"/>
      <c r="M12415" s="277"/>
      <c r="O12415" s="247"/>
      <c r="AC12415" s="247"/>
      <c r="AT12415" s="247"/>
    </row>
    <row r="12416">
      <c r="C12416" s="277"/>
      <c r="M12416" s="277"/>
      <c r="O12416" s="247"/>
      <c r="AC12416" s="247"/>
      <c r="AT12416" s="247"/>
    </row>
    <row r="12417">
      <c r="C12417" s="277"/>
      <c r="M12417" s="277"/>
      <c r="O12417" s="247"/>
      <c r="AC12417" s="247"/>
      <c r="AT12417" s="247"/>
    </row>
    <row r="12418">
      <c r="C12418" s="277"/>
      <c r="M12418" s="277"/>
      <c r="O12418" s="247"/>
      <c r="AC12418" s="247"/>
      <c r="AT12418" s="247"/>
    </row>
    <row r="12419">
      <c r="C12419" s="277"/>
      <c r="M12419" s="277"/>
      <c r="O12419" s="247"/>
      <c r="AC12419" s="247"/>
      <c r="AT12419" s="247"/>
    </row>
    <row r="12420">
      <c r="C12420" s="277"/>
      <c r="M12420" s="277"/>
      <c r="O12420" s="247"/>
      <c r="AC12420" s="247"/>
      <c r="AT12420" s="247"/>
    </row>
    <row r="12421">
      <c r="C12421" s="277"/>
      <c r="M12421" s="277"/>
      <c r="O12421" s="247"/>
      <c r="AC12421" s="247"/>
      <c r="AT12421" s="247"/>
    </row>
    <row r="12422">
      <c r="C12422" s="277"/>
      <c r="M12422" s="277"/>
      <c r="O12422" s="247"/>
      <c r="AC12422" s="247"/>
      <c r="AT12422" s="247"/>
    </row>
    <row r="12423">
      <c r="C12423" s="277"/>
      <c r="M12423" s="277"/>
      <c r="O12423" s="247"/>
      <c r="AC12423" s="247"/>
      <c r="AT12423" s="247"/>
    </row>
    <row r="12424">
      <c r="C12424" s="277"/>
      <c r="M12424" s="277"/>
      <c r="O12424" s="247"/>
      <c r="AC12424" s="247"/>
      <c r="AT12424" s="247"/>
    </row>
    <row r="12425">
      <c r="C12425" s="277"/>
      <c r="M12425" s="277"/>
      <c r="O12425" s="247"/>
      <c r="AC12425" s="247"/>
      <c r="AT12425" s="247"/>
    </row>
    <row r="12426">
      <c r="C12426" s="277"/>
      <c r="M12426" s="277"/>
      <c r="O12426" s="247"/>
      <c r="AC12426" s="247"/>
      <c r="AT12426" s="247"/>
    </row>
    <row r="12427">
      <c r="C12427" s="277"/>
      <c r="M12427" s="277"/>
      <c r="O12427" s="247"/>
      <c r="AC12427" s="247"/>
      <c r="AT12427" s="247"/>
    </row>
    <row r="12428">
      <c r="C12428" s="277"/>
      <c r="M12428" s="277"/>
      <c r="O12428" s="247"/>
      <c r="AC12428" s="247"/>
      <c r="AT12428" s="247"/>
    </row>
    <row r="12429">
      <c r="C12429" s="277"/>
      <c r="M12429" s="277"/>
      <c r="O12429" s="247"/>
      <c r="AC12429" s="247"/>
      <c r="AT12429" s="247"/>
    </row>
    <row r="12430">
      <c r="C12430" s="277"/>
      <c r="M12430" s="277"/>
      <c r="O12430" s="247"/>
      <c r="AC12430" s="247"/>
      <c r="AT12430" s="247"/>
    </row>
    <row r="12431">
      <c r="C12431" s="277"/>
      <c r="M12431" s="277"/>
      <c r="O12431" s="247"/>
      <c r="AC12431" s="247"/>
      <c r="AT12431" s="247"/>
    </row>
    <row r="12432">
      <c r="C12432" s="277"/>
      <c r="M12432" s="277"/>
      <c r="O12432" s="247"/>
      <c r="AC12432" s="247"/>
      <c r="AT12432" s="247"/>
    </row>
    <row r="12433">
      <c r="C12433" s="277"/>
      <c r="M12433" s="277"/>
      <c r="O12433" s="247"/>
      <c r="AC12433" s="247"/>
      <c r="AT12433" s="247"/>
    </row>
    <row r="12434">
      <c r="C12434" s="277"/>
      <c r="M12434" s="277"/>
      <c r="O12434" s="247"/>
      <c r="AC12434" s="247"/>
      <c r="AT12434" s="247"/>
    </row>
    <row r="12435">
      <c r="C12435" s="277"/>
      <c r="M12435" s="277"/>
      <c r="O12435" s="247"/>
      <c r="AC12435" s="247"/>
      <c r="AT12435" s="247"/>
    </row>
    <row r="12436">
      <c r="C12436" s="277"/>
      <c r="M12436" s="277"/>
      <c r="O12436" s="247"/>
      <c r="AC12436" s="247"/>
      <c r="AT12436" s="247"/>
    </row>
    <row r="12437">
      <c r="C12437" s="277"/>
      <c r="M12437" s="277"/>
      <c r="O12437" s="247"/>
      <c r="AC12437" s="247"/>
      <c r="AT12437" s="247"/>
    </row>
    <row r="12438">
      <c r="C12438" s="277"/>
      <c r="M12438" s="277"/>
      <c r="O12438" s="247"/>
      <c r="AC12438" s="247"/>
      <c r="AT12438" s="247"/>
    </row>
    <row r="12439">
      <c r="C12439" s="277"/>
      <c r="M12439" s="277"/>
      <c r="O12439" s="247"/>
      <c r="AC12439" s="247"/>
      <c r="AT12439" s="247"/>
    </row>
    <row r="12440">
      <c r="C12440" s="277"/>
      <c r="M12440" s="277"/>
      <c r="O12440" s="247"/>
      <c r="AC12440" s="247"/>
      <c r="AT12440" s="247"/>
    </row>
    <row r="12441">
      <c r="C12441" s="277"/>
      <c r="M12441" s="277"/>
      <c r="O12441" s="247"/>
      <c r="AC12441" s="247"/>
      <c r="AT12441" s="247"/>
    </row>
    <row r="12442">
      <c r="C12442" s="277"/>
      <c r="M12442" s="277"/>
      <c r="O12442" s="247"/>
      <c r="AC12442" s="247"/>
      <c r="AT12442" s="247"/>
    </row>
    <row r="12443">
      <c r="C12443" s="277"/>
      <c r="M12443" s="277"/>
      <c r="O12443" s="247"/>
      <c r="AC12443" s="247"/>
      <c r="AT12443" s="247"/>
    </row>
    <row r="12444">
      <c r="C12444" s="277"/>
      <c r="M12444" s="277"/>
      <c r="O12444" s="247"/>
      <c r="AC12444" s="247"/>
      <c r="AT12444" s="247"/>
    </row>
    <row r="12445">
      <c r="C12445" s="277"/>
      <c r="M12445" s="277"/>
      <c r="O12445" s="247"/>
      <c r="AC12445" s="247"/>
      <c r="AT12445" s="247"/>
    </row>
    <row r="12446">
      <c r="C12446" s="277"/>
      <c r="M12446" s="277"/>
      <c r="O12446" s="247"/>
      <c r="AC12446" s="247"/>
      <c r="AT12446" s="247"/>
    </row>
    <row r="12447">
      <c r="C12447" s="277"/>
      <c r="M12447" s="277"/>
      <c r="O12447" s="247"/>
      <c r="AC12447" s="247"/>
      <c r="AT12447" s="247"/>
    </row>
    <row r="12448">
      <c r="C12448" s="277"/>
      <c r="M12448" s="277"/>
      <c r="O12448" s="247"/>
      <c r="AC12448" s="247"/>
      <c r="AT12448" s="247"/>
    </row>
    <row r="12449">
      <c r="C12449" s="277"/>
      <c r="M12449" s="277"/>
      <c r="O12449" s="247"/>
      <c r="AC12449" s="247"/>
      <c r="AT12449" s="247"/>
    </row>
    <row r="12450">
      <c r="C12450" s="277"/>
      <c r="M12450" s="277"/>
      <c r="O12450" s="247"/>
      <c r="AC12450" s="247"/>
      <c r="AT12450" s="247"/>
    </row>
    <row r="12451">
      <c r="C12451" s="277"/>
      <c r="M12451" s="277"/>
      <c r="O12451" s="247"/>
      <c r="AC12451" s="247"/>
      <c r="AT12451" s="247"/>
    </row>
    <row r="12452">
      <c r="C12452" s="277"/>
      <c r="M12452" s="277"/>
      <c r="O12452" s="247"/>
      <c r="AC12452" s="247"/>
      <c r="AT12452" s="247"/>
    </row>
    <row r="12453">
      <c r="C12453" s="277"/>
      <c r="M12453" s="277"/>
      <c r="O12453" s="247"/>
      <c r="AC12453" s="247"/>
      <c r="AT12453" s="247"/>
    </row>
    <row r="12454">
      <c r="C12454" s="277"/>
      <c r="M12454" s="277"/>
      <c r="O12454" s="247"/>
      <c r="AC12454" s="247"/>
      <c r="AT12454" s="247"/>
    </row>
    <row r="12455">
      <c r="C12455" s="277"/>
      <c r="M12455" s="277"/>
      <c r="O12455" s="247"/>
      <c r="AC12455" s="247"/>
      <c r="AT12455" s="247"/>
    </row>
    <row r="12456">
      <c r="C12456" s="277"/>
      <c r="M12456" s="277"/>
      <c r="O12456" s="247"/>
      <c r="AC12456" s="247"/>
      <c r="AT12456" s="247"/>
    </row>
    <row r="12457">
      <c r="C12457" s="277"/>
      <c r="M12457" s="277"/>
      <c r="O12457" s="247"/>
      <c r="AC12457" s="247"/>
      <c r="AT12457" s="247"/>
    </row>
    <row r="12458">
      <c r="C12458" s="277"/>
      <c r="M12458" s="277"/>
      <c r="O12458" s="247"/>
      <c r="AC12458" s="247"/>
      <c r="AT12458" s="247"/>
    </row>
    <row r="12459">
      <c r="C12459" s="277"/>
      <c r="M12459" s="277"/>
      <c r="O12459" s="247"/>
      <c r="AC12459" s="247"/>
      <c r="AT12459" s="247"/>
    </row>
    <row r="12460">
      <c r="C12460" s="277"/>
      <c r="M12460" s="277"/>
      <c r="O12460" s="247"/>
      <c r="AC12460" s="247"/>
      <c r="AT12460" s="247"/>
    </row>
    <row r="12461">
      <c r="C12461" s="277"/>
      <c r="M12461" s="277"/>
      <c r="O12461" s="247"/>
      <c r="AC12461" s="247"/>
      <c r="AT12461" s="247"/>
    </row>
    <row r="12462">
      <c r="C12462" s="277"/>
      <c r="M12462" s="277"/>
      <c r="O12462" s="247"/>
      <c r="AC12462" s="247"/>
      <c r="AT12462" s="247"/>
    </row>
    <row r="12463">
      <c r="C12463" s="277"/>
      <c r="M12463" s="277"/>
      <c r="O12463" s="247"/>
      <c r="AC12463" s="247"/>
      <c r="AT12463" s="247"/>
    </row>
    <row r="12464">
      <c r="C12464" s="277"/>
      <c r="M12464" s="277"/>
      <c r="O12464" s="247"/>
      <c r="AC12464" s="247"/>
      <c r="AT12464" s="247"/>
    </row>
    <row r="12465">
      <c r="C12465" s="277"/>
      <c r="M12465" s="277"/>
      <c r="O12465" s="247"/>
      <c r="AC12465" s="247"/>
      <c r="AT12465" s="247"/>
    </row>
    <row r="12466">
      <c r="C12466" s="277"/>
      <c r="M12466" s="277"/>
      <c r="O12466" s="247"/>
      <c r="AC12466" s="247"/>
      <c r="AT12466" s="247"/>
    </row>
    <row r="12467">
      <c r="C12467" s="277"/>
      <c r="M12467" s="277"/>
      <c r="O12467" s="247"/>
      <c r="AC12467" s="247"/>
      <c r="AT12467" s="247"/>
    </row>
    <row r="12468">
      <c r="C12468" s="277"/>
      <c r="M12468" s="277"/>
      <c r="O12468" s="247"/>
      <c r="AC12468" s="247"/>
      <c r="AT12468" s="247"/>
    </row>
    <row r="12469">
      <c r="C12469" s="277"/>
      <c r="M12469" s="277"/>
      <c r="O12469" s="247"/>
      <c r="AC12469" s="247"/>
      <c r="AT12469" s="247"/>
    </row>
    <row r="12470">
      <c r="C12470" s="277"/>
      <c r="M12470" s="277"/>
      <c r="O12470" s="247"/>
      <c r="AC12470" s="247"/>
      <c r="AT12470" s="247"/>
    </row>
    <row r="12471">
      <c r="C12471" s="277"/>
      <c r="M12471" s="277"/>
      <c r="O12471" s="247"/>
      <c r="AC12471" s="247"/>
      <c r="AT12471" s="247"/>
    </row>
    <row r="12472">
      <c r="C12472" s="277"/>
      <c r="M12472" s="277"/>
      <c r="O12472" s="247"/>
      <c r="AC12472" s="247"/>
      <c r="AT12472" s="247"/>
    </row>
    <row r="12473">
      <c r="C12473" s="277"/>
      <c r="M12473" s="277"/>
      <c r="O12473" s="247"/>
      <c r="AC12473" s="247"/>
      <c r="AT12473" s="247"/>
    </row>
    <row r="12474">
      <c r="C12474" s="277"/>
      <c r="M12474" s="277"/>
      <c r="O12474" s="247"/>
      <c r="AC12474" s="247"/>
      <c r="AT12474" s="247"/>
    </row>
    <row r="12475">
      <c r="C12475" s="277"/>
      <c r="M12475" s="277"/>
      <c r="O12475" s="247"/>
      <c r="AC12475" s="247"/>
      <c r="AT12475" s="247"/>
    </row>
    <row r="12476">
      <c r="C12476" s="277"/>
      <c r="M12476" s="277"/>
      <c r="O12476" s="247"/>
      <c r="AC12476" s="247"/>
      <c r="AT12476" s="247"/>
    </row>
    <row r="12477">
      <c r="C12477" s="277"/>
      <c r="M12477" s="277"/>
      <c r="O12477" s="247"/>
      <c r="AC12477" s="247"/>
      <c r="AT12477" s="247"/>
    </row>
    <row r="12478">
      <c r="C12478" s="277"/>
      <c r="M12478" s="277"/>
      <c r="O12478" s="247"/>
      <c r="AC12478" s="247"/>
      <c r="AT12478" s="247"/>
    </row>
    <row r="12479">
      <c r="C12479" s="277"/>
      <c r="M12479" s="277"/>
      <c r="O12479" s="247"/>
      <c r="AC12479" s="247"/>
      <c r="AT12479" s="247"/>
    </row>
    <row r="12480">
      <c r="C12480" s="277"/>
      <c r="M12480" s="277"/>
      <c r="O12480" s="247"/>
      <c r="AC12480" s="247"/>
      <c r="AT12480" s="247"/>
    </row>
    <row r="12481">
      <c r="C12481" s="277"/>
      <c r="M12481" s="277"/>
      <c r="O12481" s="247"/>
      <c r="AC12481" s="247"/>
      <c r="AT12481" s="247"/>
    </row>
    <row r="12482">
      <c r="C12482" s="277"/>
      <c r="M12482" s="277"/>
      <c r="O12482" s="247"/>
      <c r="AC12482" s="247"/>
      <c r="AT12482" s="247"/>
    </row>
    <row r="12483">
      <c r="C12483" s="277"/>
      <c r="M12483" s="277"/>
      <c r="O12483" s="247"/>
      <c r="AC12483" s="247"/>
      <c r="AT12483" s="247"/>
    </row>
    <row r="12484">
      <c r="C12484" s="277"/>
      <c r="M12484" s="277"/>
      <c r="O12484" s="247"/>
      <c r="AC12484" s="247"/>
      <c r="AT12484" s="247"/>
    </row>
    <row r="12485">
      <c r="C12485" s="277"/>
      <c r="M12485" s="277"/>
      <c r="O12485" s="247"/>
      <c r="AC12485" s="247"/>
      <c r="AT12485" s="247"/>
    </row>
    <row r="12486">
      <c r="C12486" s="277"/>
      <c r="M12486" s="277"/>
      <c r="O12486" s="247"/>
      <c r="AC12486" s="247"/>
      <c r="AT12486" s="247"/>
    </row>
    <row r="12487">
      <c r="C12487" s="277"/>
      <c r="M12487" s="277"/>
      <c r="O12487" s="247"/>
      <c r="AC12487" s="247"/>
      <c r="AT12487" s="247"/>
    </row>
    <row r="12488">
      <c r="C12488" s="277"/>
      <c r="M12488" s="277"/>
      <c r="O12488" s="247"/>
      <c r="AC12488" s="247"/>
      <c r="AT12488" s="247"/>
    </row>
    <row r="12489">
      <c r="C12489" s="277"/>
      <c r="M12489" s="277"/>
      <c r="O12489" s="247"/>
      <c r="AC12489" s="247"/>
      <c r="AT12489" s="247"/>
    </row>
    <row r="12490">
      <c r="C12490" s="277"/>
      <c r="M12490" s="277"/>
      <c r="O12490" s="247"/>
      <c r="AC12490" s="247"/>
      <c r="AT12490" s="247"/>
    </row>
    <row r="12491">
      <c r="C12491" s="277"/>
      <c r="M12491" s="277"/>
      <c r="O12491" s="247"/>
      <c r="AC12491" s="247"/>
      <c r="AT12491" s="247"/>
    </row>
    <row r="12492">
      <c r="C12492" s="277"/>
      <c r="M12492" s="277"/>
      <c r="O12492" s="247"/>
      <c r="AC12492" s="247"/>
      <c r="AT12492" s="247"/>
    </row>
    <row r="12493">
      <c r="C12493" s="277"/>
      <c r="M12493" s="277"/>
      <c r="O12493" s="247"/>
      <c r="AC12493" s="247"/>
      <c r="AT12493" s="247"/>
    </row>
    <row r="12494">
      <c r="C12494" s="277"/>
      <c r="M12494" s="277"/>
      <c r="O12494" s="247"/>
      <c r="AC12494" s="247"/>
      <c r="AT12494" s="247"/>
    </row>
    <row r="12495">
      <c r="C12495" s="277"/>
      <c r="M12495" s="277"/>
      <c r="O12495" s="247"/>
      <c r="AC12495" s="247"/>
      <c r="AT12495" s="247"/>
    </row>
    <row r="12496">
      <c r="C12496" s="277"/>
      <c r="M12496" s="277"/>
      <c r="O12496" s="247"/>
      <c r="AC12496" s="247"/>
      <c r="AT12496" s="247"/>
    </row>
    <row r="12497">
      <c r="C12497" s="277"/>
      <c r="M12497" s="277"/>
      <c r="O12497" s="247"/>
      <c r="AC12497" s="247"/>
      <c r="AT12497" s="247"/>
    </row>
    <row r="12498">
      <c r="C12498" s="277"/>
      <c r="M12498" s="277"/>
      <c r="O12498" s="247"/>
      <c r="AC12498" s="247"/>
      <c r="AT12498" s="247"/>
    </row>
    <row r="12499">
      <c r="C12499" s="277"/>
      <c r="M12499" s="277"/>
      <c r="O12499" s="247"/>
      <c r="AC12499" s="247"/>
      <c r="AT12499" s="247"/>
    </row>
    <row r="12500">
      <c r="C12500" s="277"/>
      <c r="M12500" s="277"/>
      <c r="O12500" s="247"/>
      <c r="AC12500" s="247"/>
      <c r="AT12500" s="247"/>
    </row>
    <row r="12501">
      <c r="C12501" s="277"/>
      <c r="M12501" s="277"/>
      <c r="O12501" s="247"/>
      <c r="AC12501" s="247"/>
      <c r="AT12501" s="247"/>
    </row>
    <row r="12502">
      <c r="C12502" s="277"/>
      <c r="M12502" s="277"/>
      <c r="O12502" s="247"/>
      <c r="AC12502" s="247"/>
      <c r="AT12502" s="247"/>
    </row>
    <row r="12503">
      <c r="C12503" s="277"/>
      <c r="M12503" s="277"/>
      <c r="O12503" s="247"/>
      <c r="AC12503" s="247"/>
      <c r="AT12503" s="247"/>
    </row>
    <row r="12504">
      <c r="C12504" s="277"/>
      <c r="M12504" s="277"/>
      <c r="O12504" s="247"/>
      <c r="AC12504" s="247"/>
      <c r="AT12504" s="247"/>
    </row>
    <row r="12505">
      <c r="C12505" s="277"/>
      <c r="M12505" s="277"/>
      <c r="O12505" s="247"/>
      <c r="AC12505" s="247"/>
      <c r="AT12505" s="247"/>
    </row>
    <row r="12506">
      <c r="C12506" s="277"/>
      <c r="M12506" s="277"/>
      <c r="O12506" s="247"/>
      <c r="AC12506" s="247"/>
      <c r="AT12506" s="247"/>
    </row>
    <row r="12507">
      <c r="C12507" s="277"/>
      <c r="M12507" s="277"/>
      <c r="O12507" s="247"/>
      <c r="AC12507" s="247"/>
      <c r="AT12507" s="247"/>
    </row>
    <row r="12508">
      <c r="C12508" s="277"/>
      <c r="M12508" s="277"/>
      <c r="O12508" s="247"/>
      <c r="AC12508" s="247"/>
      <c r="AT12508" s="247"/>
    </row>
    <row r="12509">
      <c r="C12509" s="277"/>
      <c r="M12509" s="277"/>
      <c r="O12509" s="247"/>
      <c r="AC12509" s="247"/>
      <c r="AT12509" s="247"/>
    </row>
    <row r="12510">
      <c r="C12510" s="277"/>
      <c r="M12510" s="277"/>
      <c r="O12510" s="247"/>
      <c r="AC12510" s="247"/>
      <c r="AT12510" s="247"/>
    </row>
    <row r="12511">
      <c r="C12511" s="277"/>
      <c r="M12511" s="277"/>
      <c r="O12511" s="247"/>
      <c r="AC12511" s="247"/>
      <c r="AT12511" s="247"/>
    </row>
    <row r="12512">
      <c r="C12512" s="277"/>
      <c r="M12512" s="277"/>
      <c r="O12512" s="247"/>
      <c r="AC12512" s="247"/>
      <c r="AT12512" s="247"/>
    </row>
    <row r="12513">
      <c r="C12513" s="277"/>
      <c r="M12513" s="277"/>
      <c r="O12513" s="247"/>
      <c r="AC12513" s="247"/>
      <c r="AT12513" s="247"/>
    </row>
    <row r="12514">
      <c r="C12514" s="277"/>
      <c r="M12514" s="277"/>
      <c r="O12514" s="247"/>
      <c r="AC12514" s="247"/>
      <c r="AT12514" s="247"/>
    </row>
    <row r="12515">
      <c r="C12515" s="277"/>
      <c r="M12515" s="277"/>
      <c r="O12515" s="247"/>
      <c r="AC12515" s="247"/>
      <c r="AT12515" s="247"/>
    </row>
    <row r="12516">
      <c r="C12516" s="277"/>
      <c r="M12516" s="277"/>
      <c r="O12516" s="247"/>
      <c r="AC12516" s="247"/>
      <c r="AT12516" s="247"/>
    </row>
    <row r="12517">
      <c r="C12517" s="277"/>
      <c r="M12517" s="277"/>
      <c r="O12517" s="247"/>
      <c r="AC12517" s="247"/>
      <c r="AT12517" s="247"/>
    </row>
    <row r="12518">
      <c r="C12518" s="277"/>
      <c r="M12518" s="277"/>
      <c r="O12518" s="247"/>
      <c r="AC12518" s="247"/>
      <c r="AT12518" s="247"/>
    </row>
    <row r="12519">
      <c r="C12519" s="277"/>
      <c r="M12519" s="277"/>
      <c r="O12519" s="247"/>
      <c r="AC12519" s="247"/>
      <c r="AT12519" s="247"/>
    </row>
    <row r="12520">
      <c r="C12520" s="277"/>
      <c r="M12520" s="277"/>
      <c r="O12520" s="247"/>
      <c r="AC12520" s="247"/>
      <c r="AT12520" s="247"/>
    </row>
    <row r="12521">
      <c r="C12521" s="277"/>
      <c r="M12521" s="277"/>
      <c r="O12521" s="247"/>
      <c r="AC12521" s="247"/>
      <c r="AT12521" s="247"/>
    </row>
    <row r="12522">
      <c r="C12522" s="277"/>
      <c r="M12522" s="277"/>
      <c r="O12522" s="247"/>
      <c r="AC12522" s="247"/>
      <c r="AT12522" s="247"/>
    </row>
    <row r="12523">
      <c r="C12523" s="277"/>
      <c r="M12523" s="277"/>
      <c r="O12523" s="247"/>
      <c r="AC12523" s="247"/>
      <c r="AT12523" s="247"/>
    </row>
    <row r="12524">
      <c r="C12524" s="277"/>
      <c r="M12524" s="277"/>
      <c r="O12524" s="247"/>
      <c r="AC12524" s="247"/>
      <c r="AT12524" s="247"/>
    </row>
    <row r="12525">
      <c r="C12525" s="277"/>
      <c r="M12525" s="277"/>
      <c r="O12525" s="247"/>
      <c r="AC12525" s="247"/>
      <c r="AT12525" s="247"/>
    </row>
    <row r="12526">
      <c r="C12526" s="277"/>
      <c r="M12526" s="277"/>
      <c r="O12526" s="247"/>
      <c r="AC12526" s="247"/>
      <c r="AT12526" s="247"/>
    </row>
    <row r="12527">
      <c r="C12527" s="277"/>
      <c r="M12527" s="277"/>
      <c r="O12527" s="247"/>
      <c r="AC12527" s="247"/>
      <c r="AT12527" s="247"/>
    </row>
    <row r="12528">
      <c r="C12528" s="277"/>
      <c r="M12528" s="277"/>
      <c r="O12528" s="247"/>
      <c r="AC12528" s="247"/>
      <c r="AT12528" s="247"/>
    </row>
    <row r="12529">
      <c r="C12529" s="277"/>
      <c r="M12529" s="277"/>
      <c r="O12529" s="247"/>
      <c r="AC12529" s="247"/>
      <c r="AT12529" s="247"/>
    </row>
    <row r="12530">
      <c r="C12530" s="277"/>
      <c r="M12530" s="277"/>
      <c r="O12530" s="247"/>
      <c r="AC12530" s="247"/>
      <c r="AT12530" s="247"/>
    </row>
    <row r="12531">
      <c r="C12531" s="277"/>
      <c r="M12531" s="277"/>
      <c r="O12531" s="247"/>
      <c r="AC12531" s="247"/>
      <c r="AT12531" s="247"/>
    </row>
    <row r="12532">
      <c r="C12532" s="277"/>
      <c r="M12532" s="277"/>
      <c r="O12532" s="247"/>
      <c r="AC12532" s="247"/>
      <c r="AT12532" s="247"/>
    </row>
    <row r="12533">
      <c r="C12533" s="277"/>
      <c r="M12533" s="277"/>
      <c r="O12533" s="247"/>
      <c r="AC12533" s="247"/>
      <c r="AT12533" s="247"/>
    </row>
    <row r="12534">
      <c r="C12534" s="277"/>
      <c r="M12534" s="277"/>
      <c r="O12534" s="247"/>
      <c r="AC12534" s="247"/>
      <c r="AT12534" s="247"/>
    </row>
    <row r="12535">
      <c r="C12535" s="277"/>
      <c r="M12535" s="277"/>
      <c r="O12535" s="247"/>
      <c r="AC12535" s="247"/>
      <c r="AT12535" s="247"/>
    </row>
    <row r="12536">
      <c r="C12536" s="277"/>
      <c r="M12536" s="277"/>
      <c r="O12536" s="247"/>
      <c r="AC12536" s="247"/>
      <c r="AT12536" s="247"/>
    </row>
    <row r="12537">
      <c r="C12537" s="277"/>
      <c r="M12537" s="277"/>
      <c r="O12537" s="247"/>
      <c r="AC12537" s="247"/>
      <c r="AT12537" s="247"/>
    </row>
    <row r="12538">
      <c r="C12538" s="277"/>
      <c r="M12538" s="277"/>
      <c r="O12538" s="247"/>
      <c r="AC12538" s="247"/>
      <c r="AT12538" s="247"/>
    </row>
    <row r="12539">
      <c r="C12539" s="277"/>
      <c r="M12539" s="277"/>
      <c r="O12539" s="247"/>
      <c r="AC12539" s="247"/>
      <c r="AT12539" s="247"/>
    </row>
    <row r="12540">
      <c r="C12540" s="277"/>
      <c r="M12540" s="277"/>
      <c r="O12540" s="247"/>
      <c r="AC12540" s="247"/>
      <c r="AT12540" s="247"/>
    </row>
    <row r="12541">
      <c r="C12541" s="277"/>
      <c r="M12541" s="277"/>
      <c r="O12541" s="247"/>
      <c r="AC12541" s="247"/>
      <c r="AT12541" s="247"/>
    </row>
    <row r="12542">
      <c r="C12542" s="277"/>
      <c r="M12542" s="277"/>
      <c r="O12542" s="247"/>
      <c r="AC12542" s="247"/>
      <c r="AT12542" s="247"/>
    </row>
    <row r="12543">
      <c r="C12543" s="277"/>
      <c r="M12543" s="277"/>
      <c r="O12543" s="247"/>
      <c r="AC12543" s="247"/>
      <c r="AT12543" s="247"/>
    </row>
    <row r="12544">
      <c r="C12544" s="277"/>
      <c r="M12544" s="277"/>
      <c r="O12544" s="247"/>
      <c r="AC12544" s="247"/>
      <c r="AT12544" s="247"/>
    </row>
    <row r="12545">
      <c r="C12545" s="277"/>
      <c r="M12545" s="277"/>
      <c r="O12545" s="247"/>
      <c r="AC12545" s="247"/>
      <c r="AT12545" s="247"/>
    </row>
    <row r="12546">
      <c r="C12546" s="277"/>
      <c r="M12546" s="277"/>
      <c r="O12546" s="247"/>
      <c r="AC12546" s="247"/>
      <c r="AT12546" s="247"/>
    </row>
    <row r="12547">
      <c r="C12547" s="277"/>
      <c r="M12547" s="277"/>
      <c r="O12547" s="247"/>
      <c r="AC12547" s="247"/>
      <c r="AT12547" s="247"/>
    </row>
    <row r="12548">
      <c r="C12548" s="277"/>
      <c r="M12548" s="277"/>
      <c r="O12548" s="247"/>
      <c r="AC12548" s="247"/>
      <c r="AT12548" s="247"/>
    </row>
    <row r="12549">
      <c r="C12549" s="277"/>
      <c r="M12549" s="277"/>
      <c r="O12549" s="247"/>
      <c r="AC12549" s="247"/>
      <c r="AT12549" s="247"/>
    </row>
    <row r="12550">
      <c r="C12550" s="277"/>
      <c r="M12550" s="277"/>
      <c r="O12550" s="247"/>
      <c r="AC12550" s="247"/>
      <c r="AT12550" s="247"/>
    </row>
    <row r="12551">
      <c r="C12551" s="277"/>
      <c r="M12551" s="277"/>
      <c r="O12551" s="247"/>
      <c r="AC12551" s="247"/>
      <c r="AT12551" s="247"/>
    </row>
    <row r="12552">
      <c r="C12552" s="277"/>
      <c r="M12552" s="277"/>
      <c r="O12552" s="247"/>
      <c r="AC12552" s="247"/>
      <c r="AT12552" s="247"/>
    </row>
    <row r="12553">
      <c r="C12553" s="277"/>
      <c r="M12553" s="277"/>
      <c r="O12553" s="247"/>
      <c r="AC12553" s="247"/>
      <c r="AT12553" s="247"/>
    </row>
    <row r="12554">
      <c r="C12554" s="277"/>
      <c r="M12554" s="277"/>
      <c r="O12554" s="247"/>
      <c r="AC12554" s="247"/>
      <c r="AT12554" s="247"/>
    </row>
    <row r="12555">
      <c r="C12555" s="277"/>
      <c r="M12555" s="277"/>
      <c r="O12555" s="247"/>
      <c r="AC12555" s="247"/>
      <c r="AT12555" s="247"/>
    </row>
    <row r="12556">
      <c r="C12556" s="277"/>
      <c r="M12556" s="277"/>
      <c r="O12556" s="247"/>
      <c r="AC12556" s="247"/>
      <c r="AT12556" s="247"/>
    </row>
    <row r="12557">
      <c r="C12557" s="277"/>
      <c r="M12557" s="277"/>
      <c r="O12557" s="247"/>
      <c r="AC12557" s="247"/>
      <c r="AT12557" s="247"/>
    </row>
    <row r="12558">
      <c r="C12558" s="277"/>
      <c r="M12558" s="277"/>
      <c r="O12558" s="247"/>
      <c r="AC12558" s="247"/>
      <c r="AT12558" s="247"/>
    </row>
    <row r="12559">
      <c r="C12559" s="277"/>
      <c r="M12559" s="277"/>
      <c r="O12559" s="247"/>
      <c r="AC12559" s="247"/>
      <c r="AT12559" s="247"/>
    </row>
    <row r="12560">
      <c r="C12560" s="277"/>
      <c r="M12560" s="277"/>
      <c r="O12560" s="247"/>
      <c r="AC12560" s="247"/>
      <c r="AT12560" s="247"/>
    </row>
    <row r="12561">
      <c r="C12561" s="277"/>
      <c r="M12561" s="277"/>
      <c r="O12561" s="247"/>
      <c r="AC12561" s="247"/>
      <c r="AT12561" s="247"/>
    </row>
    <row r="12562">
      <c r="C12562" s="277"/>
      <c r="M12562" s="277"/>
      <c r="O12562" s="247"/>
      <c r="AC12562" s="247"/>
      <c r="AT12562" s="247"/>
    </row>
    <row r="12563">
      <c r="C12563" s="277"/>
      <c r="M12563" s="277"/>
      <c r="O12563" s="247"/>
      <c r="AC12563" s="247"/>
      <c r="AT12563" s="247"/>
    </row>
    <row r="12564">
      <c r="C12564" s="277"/>
      <c r="M12564" s="277"/>
      <c r="O12564" s="247"/>
      <c r="AC12564" s="247"/>
      <c r="AT12564" s="247"/>
    </row>
    <row r="12565">
      <c r="C12565" s="277"/>
      <c r="M12565" s="277"/>
      <c r="O12565" s="247"/>
      <c r="AC12565" s="247"/>
      <c r="AT12565" s="247"/>
    </row>
    <row r="12566">
      <c r="C12566" s="277"/>
      <c r="M12566" s="277"/>
      <c r="O12566" s="247"/>
      <c r="AC12566" s="247"/>
      <c r="AT12566" s="247"/>
    </row>
    <row r="12567">
      <c r="C12567" s="277"/>
      <c r="M12567" s="277"/>
      <c r="O12567" s="247"/>
      <c r="AC12567" s="247"/>
      <c r="AT12567" s="247"/>
    </row>
    <row r="12568">
      <c r="C12568" s="277"/>
      <c r="M12568" s="277"/>
      <c r="O12568" s="247"/>
      <c r="AC12568" s="247"/>
      <c r="AT12568" s="247"/>
    </row>
    <row r="12569">
      <c r="C12569" s="277"/>
      <c r="M12569" s="277"/>
      <c r="O12569" s="247"/>
      <c r="AC12569" s="247"/>
      <c r="AT12569" s="247"/>
    </row>
    <row r="12570">
      <c r="C12570" s="277"/>
      <c r="M12570" s="277"/>
      <c r="O12570" s="247"/>
      <c r="AC12570" s="247"/>
      <c r="AT12570" s="247"/>
    </row>
    <row r="12571">
      <c r="C12571" s="277"/>
      <c r="M12571" s="277"/>
      <c r="O12571" s="247"/>
      <c r="AC12571" s="247"/>
      <c r="AT12571" s="247"/>
    </row>
    <row r="12572">
      <c r="C12572" s="277"/>
      <c r="M12572" s="277"/>
      <c r="O12572" s="247"/>
      <c r="AC12572" s="247"/>
      <c r="AT12572" s="247"/>
    </row>
    <row r="12573">
      <c r="C12573" s="277"/>
      <c r="M12573" s="277"/>
      <c r="O12573" s="247"/>
      <c r="AC12573" s="247"/>
      <c r="AT12573" s="247"/>
    </row>
    <row r="12574">
      <c r="C12574" s="277"/>
      <c r="M12574" s="277"/>
      <c r="O12574" s="247"/>
      <c r="AC12574" s="247"/>
      <c r="AT12574" s="247"/>
    </row>
    <row r="12575">
      <c r="C12575" s="277"/>
      <c r="M12575" s="277"/>
      <c r="O12575" s="247"/>
      <c r="AC12575" s="247"/>
      <c r="AT12575" s="247"/>
    </row>
    <row r="12576">
      <c r="C12576" s="277"/>
      <c r="M12576" s="277"/>
      <c r="O12576" s="247"/>
      <c r="AC12576" s="247"/>
      <c r="AT12576" s="247"/>
    </row>
    <row r="12577">
      <c r="C12577" s="277"/>
      <c r="M12577" s="277"/>
      <c r="O12577" s="247"/>
      <c r="AC12577" s="247"/>
      <c r="AT12577" s="247"/>
    </row>
    <row r="12578">
      <c r="C12578" s="277"/>
      <c r="M12578" s="277"/>
      <c r="O12578" s="247"/>
      <c r="AC12578" s="247"/>
      <c r="AT12578" s="247"/>
    </row>
    <row r="12579">
      <c r="C12579" s="277"/>
      <c r="M12579" s="277"/>
      <c r="O12579" s="247"/>
      <c r="AC12579" s="247"/>
      <c r="AT12579" s="247"/>
    </row>
    <row r="12580">
      <c r="C12580" s="277"/>
      <c r="M12580" s="277"/>
      <c r="O12580" s="247"/>
      <c r="AC12580" s="247"/>
      <c r="AT12580" s="247"/>
    </row>
    <row r="12581">
      <c r="C12581" s="277"/>
      <c r="M12581" s="277"/>
      <c r="O12581" s="247"/>
      <c r="AC12581" s="247"/>
      <c r="AT12581" s="247"/>
    </row>
    <row r="12582">
      <c r="C12582" s="277"/>
      <c r="M12582" s="277"/>
      <c r="O12582" s="247"/>
      <c r="AC12582" s="247"/>
      <c r="AT12582" s="247"/>
    </row>
    <row r="12583">
      <c r="C12583" s="277"/>
      <c r="M12583" s="277"/>
      <c r="O12583" s="247"/>
      <c r="AC12583" s="247"/>
      <c r="AT12583" s="247"/>
    </row>
    <row r="12584">
      <c r="C12584" s="277"/>
      <c r="M12584" s="277"/>
      <c r="O12584" s="247"/>
      <c r="AC12584" s="247"/>
      <c r="AT12584" s="247"/>
    </row>
    <row r="12585">
      <c r="C12585" s="277"/>
      <c r="M12585" s="277"/>
      <c r="O12585" s="247"/>
      <c r="AC12585" s="247"/>
      <c r="AT12585" s="247"/>
    </row>
    <row r="12586">
      <c r="C12586" s="277"/>
      <c r="M12586" s="277"/>
      <c r="O12586" s="247"/>
      <c r="AC12586" s="247"/>
      <c r="AT12586" s="247"/>
    </row>
    <row r="12587">
      <c r="C12587" s="277"/>
      <c r="M12587" s="277"/>
      <c r="O12587" s="247"/>
      <c r="AC12587" s="247"/>
      <c r="AT12587" s="247"/>
    </row>
    <row r="12588">
      <c r="C12588" s="277"/>
      <c r="M12588" s="277"/>
      <c r="O12588" s="247"/>
      <c r="AC12588" s="247"/>
      <c r="AT12588" s="247"/>
    </row>
    <row r="12589">
      <c r="C12589" s="277"/>
      <c r="M12589" s="277"/>
      <c r="O12589" s="247"/>
      <c r="AC12589" s="247"/>
      <c r="AT12589" s="247"/>
    </row>
    <row r="12590">
      <c r="C12590" s="277"/>
      <c r="M12590" s="277"/>
      <c r="O12590" s="247"/>
      <c r="AC12590" s="247"/>
      <c r="AT12590" s="247"/>
    </row>
    <row r="12591">
      <c r="C12591" s="277"/>
      <c r="M12591" s="277"/>
      <c r="O12591" s="247"/>
      <c r="AC12591" s="247"/>
      <c r="AT12591" s="247"/>
    </row>
    <row r="12592">
      <c r="C12592" s="277"/>
      <c r="M12592" s="277"/>
      <c r="O12592" s="247"/>
      <c r="AC12592" s="247"/>
      <c r="AT12592" s="247"/>
    </row>
    <row r="12593">
      <c r="C12593" s="277"/>
      <c r="M12593" s="277"/>
      <c r="O12593" s="247"/>
      <c r="AC12593" s="247"/>
      <c r="AT12593" s="247"/>
    </row>
    <row r="12594">
      <c r="C12594" s="277"/>
      <c r="M12594" s="277"/>
      <c r="O12594" s="247"/>
      <c r="AC12594" s="247"/>
      <c r="AT12594" s="247"/>
    </row>
    <row r="12595">
      <c r="C12595" s="277"/>
      <c r="M12595" s="277"/>
      <c r="O12595" s="247"/>
      <c r="AC12595" s="247"/>
      <c r="AT12595" s="247"/>
    </row>
    <row r="12596">
      <c r="C12596" s="277"/>
      <c r="M12596" s="277"/>
      <c r="O12596" s="247"/>
      <c r="AC12596" s="247"/>
      <c r="AT12596" s="247"/>
    </row>
    <row r="12597">
      <c r="C12597" s="277"/>
      <c r="M12597" s="277"/>
      <c r="O12597" s="247"/>
      <c r="AC12597" s="247"/>
      <c r="AT12597" s="247"/>
    </row>
    <row r="12598">
      <c r="C12598" s="277"/>
      <c r="M12598" s="277"/>
      <c r="O12598" s="247"/>
      <c r="AC12598" s="247"/>
      <c r="AT12598" s="247"/>
    </row>
    <row r="12599">
      <c r="C12599" s="277"/>
      <c r="M12599" s="277"/>
      <c r="O12599" s="247"/>
      <c r="AC12599" s="247"/>
      <c r="AT12599" s="247"/>
    </row>
    <row r="12600">
      <c r="C12600" s="277"/>
      <c r="M12600" s="277"/>
      <c r="O12600" s="247"/>
      <c r="AC12600" s="247"/>
      <c r="AT12600" s="247"/>
    </row>
    <row r="12601">
      <c r="C12601" s="277"/>
      <c r="M12601" s="277"/>
      <c r="O12601" s="247"/>
      <c r="AC12601" s="247"/>
      <c r="AT12601" s="247"/>
    </row>
    <row r="12602">
      <c r="C12602" s="277"/>
      <c r="M12602" s="277"/>
      <c r="O12602" s="247"/>
      <c r="AC12602" s="247"/>
      <c r="AT12602" s="247"/>
    </row>
    <row r="12603">
      <c r="C12603" s="277"/>
      <c r="M12603" s="277"/>
      <c r="O12603" s="247"/>
      <c r="AC12603" s="247"/>
      <c r="AT12603" s="247"/>
    </row>
    <row r="12604">
      <c r="C12604" s="277"/>
      <c r="M12604" s="277"/>
      <c r="O12604" s="247"/>
      <c r="AC12604" s="247"/>
      <c r="AT12604" s="247"/>
    </row>
    <row r="12605">
      <c r="C12605" s="277"/>
      <c r="M12605" s="277"/>
      <c r="O12605" s="247"/>
      <c r="AC12605" s="247"/>
      <c r="AT12605" s="247"/>
    </row>
    <row r="12606">
      <c r="C12606" s="277"/>
      <c r="M12606" s="277"/>
      <c r="O12606" s="247"/>
      <c r="AC12606" s="247"/>
      <c r="AT12606" s="247"/>
    </row>
    <row r="12607">
      <c r="C12607" s="277"/>
      <c r="M12607" s="277"/>
      <c r="O12607" s="247"/>
      <c r="AC12607" s="247"/>
      <c r="AT12607" s="247"/>
    </row>
    <row r="12608">
      <c r="C12608" s="277"/>
      <c r="M12608" s="277"/>
      <c r="O12608" s="247"/>
      <c r="AC12608" s="247"/>
      <c r="AT12608" s="247"/>
    </row>
    <row r="12609">
      <c r="C12609" s="277"/>
      <c r="M12609" s="277"/>
      <c r="O12609" s="247"/>
      <c r="AC12609" s="247"/>
      <c r="AT12609" s="247"/>
    </row>
    <row r="12610">
      <c r="C12610" s="277"/>
      <c r="M12610" s="277"/>
      <c r="O12610" s="247"/>
      <c r="AC12610" s="247"/>
      <c r="AT12610" s="247"/>
    </row>
    <row r="12611">
      <c r="C12611" s="277"/>
      <c r="M12611" s="277"/>
      <c r="O12611" s="247"/>
      <c r="AC12611" s="247"/>
      <c r="AT12611" s="247"/>
    </row>
    <row r="12612">
      <c r="C12612" s="277"/>
      <c r="M12612" s="277"/>
      <c r="O12612" s="247"/>
      <c r="AC12612" s="247"/>
      <c r="AT12612" s="247"/>
    </row>
    <row r="12613">
      <c r="C12613" s="277"/>
      <c r="M12613" s="277"/>
      <c r="O12613" s="247"/>
      <c r="AC12613" s="247"/>
      <c r="AT12613" s="247"/>
    </row>
    <row r="12614">
      <c r="C12614" s="277"/>
      <c r="M12614" s="277"/>
      <c r="O12614" s="247"/>
      <c r="AC12614" s="247"/>
      <c r="AT12614" s="247"/>
    </row>
    <row r="12615">
      <c r="C12615" s="277"/>
      <c r="M12615" s="277"/>
      <c r="O12615" s="247"/>
      <c r="AC12615" s="247"/>
      <c r="AT12615" s="247"/>
    </row>
    <row r="12616">
      <c r="C12616" s="277"/>
      <c r="M12616" s="277"/>
      <c r="O12616" s="247"/>
      <c r="AC12616" s="247"/>
      <c r="AT12616" s="247"/>
    </row>
    <row r="12617">
      <c r="C12617" s="277"/>
      <c r="M12617" s="277"/>
      <c r="O12617" s="247"/>
      <c r="AC12617" s="247"/>
      <c r="AT12617" s="247"/>
    </row>
    <row r="12618">
      <c r="C12618" s="277"/>
      <c r="M12618" s="277"/>
      <c r="O12618" s="247"/>
      <c r="AC12618" s="247"/>
      <c r="AT12618" s="247"/>
    </row>
    <row r="12619">
      <c r="C12619" s="277"/>
      <c r="M12619" s="277"/>
      <c r="O12619" s="247"/>
      <c r="AC12619" s="247"/>
      <c r="AT12619" s="247"/>
    </row>
    <row r="12620">
      <c r="C12620" s="277"/>
      <c r="M12620" s="277"/>
      <c r="O12620" s="247"/>
      <c r="AC12620" s="247"/>
      <c r="AT12620" s="247"/>
    </row>
    <row r="12621">
      <c r="C12621" s="277"/>
      <c r="M12621" s="277"/>
      <c r="O12621" s="247"/>
      <c r="AC12621" s="247"/>
      <c r="AT12621" s="247"/>
    </row>
    <row r="12622">
      <c r="C12622" s="277"/>
      <c r="M12622" s="277"/>
      <c r="O12622" s="247"/>
      <c r="AC12622" s="247"/>
      <c r="AT12622" s="247"/>
    </row>
    <row r="12623">
      <c r="C12623" s="277"/>
      <c r="M12623" s="277"/>
      <c r="O12623" s="247"/>
      <c r="AC12623" s="247"/>
      <c r="AT12623" s="247"/>
    </row>
    <row r="12624">
      <c r="C12624" s="277"/>
      <c r="M12624" s="277"/>
      <c r="O12624" s="247"/>
      <c r="AC12624" s="247"/>
      <c r="AT12624" s="247"/>
    </row>
    <row r="12625">
      <c r="C12625" s="277"/>
      <c r="M12625" s="277"/>
      <c r="O12625" s="247"/>
      <c r="AC12625" s="247"/>
      <c r="AT12625" s="247"/>
    </row>
    <row r="12626">
      <c r="C12626" s="277"/>
      <c r="M12626" s="277"/>
      <c r="O12626" s="247"/>
      <c r="AC12626" s="247"/>
      <c r="AT12626" s="247"/>
    </row>
    <row r="12627">
      <c r="C12627" s="277"/>
      <c r="M12627" s="277"/>
      <c r="O12627" s="247"/>
      <c r="AC12627" s="247"/>
      <c r="AT12627" s="247"/>
    </row>
    <row r="12628">
      <c r="C12628" s="277"/>
      <c r="M12628" s="277"/>
      <c r="O12628" s="247"/>
      <c r="AC12628" s="247"/>
      <c r="AT12628" s="247"/>
    </row>
    <row r="12629">
      <c r="C12629" s="277"/>
      <c r="M12629" s="277"/>
      <c r="O12629" s="247"/>
      <c r="AC12629" s="247"/>
      <c r="AT12629" s="247"/>
    </row>
    <row r="12630">
      <c r="C12630" s="277"/>
      <c r="M12630" s="277"/>
      <c r="O12630" s="247"/>
      <c r="AC12630" s="247"/>
      <c r="AT12630" s="247"/>
    </row>
    <row r="12631">
      <c r="C12631" s="277"/>
      <c r="M12631" s="277"/>
      <c r="O12631" s="247"/>
      <c r="AC12631" s="247"/>
      <c r="AT12631" s="247"/>
    </row>
    <row r="12632">
      <c r="C12632" s="277"/>
      <c r="M12632" s="277"/>
      <c r="O12632" s="247"/>
      <c r="AC12632" s="247"/>
      <c r="AT12632" s="247"/>
    </row>
    <row r="12633">
      <c r="C12633" s="277"/>
      <c r="M12633" s="277"/>
      <c r="O12633" s="247"/>
      <c r="AC12633" s="247"/>
      <c r="AT12633" s="247"/>
    </row>
    <row r="12634">
      <c r="C12634" s="277"/>
      <c r="M12634" s="277"/>
      <c r="O12634" s="247"/>
      <c r="AC12634" s="247"/>
      <c r="AT12634" s="247"/>
    </row>
    <row r="12635">
      <c r="C12635" s="277"/>
      <c r="M12635" s="277"/>
      <c r="O12635" s="247"/>
      <c r="AC12635" s="247"/>
      <c r="AT12635" s="247"/>
    </row>
    <row r="12636">
      <c r="C12636" s="277"/>
      <c r="M12636" s="277"/>
      <c r="O12636" s="247"/>
      <c r="AC12636" s="247"/>
      <c r="AT12636" s="247"/>
    </row>
    <row r="12637">
      <c r="C12637" s="277"/>
      <c r="M12637" s="277"/>
      <c r="O12637" s="247"/>
      <c r="AC12637" s="247"/>
      <c r="AT12637" s="247"/>
    </row>
    <row r="12638">
      <c r="C12638" s="277"/>
      <c r="M12638" s="277"/>
      <c r="O12638" s="247"/>
      <c r="AC12638" s="247"/>
      <c r="AT12638" s="247"/>
    </row>
    <row r="12639">
      <c r="C12639" s="277"/>
      <c r="M12639" s="277"/>
      <c r="O12639" s="247"/>
      <c r="AC12639" s="247"/>
      <c r="AT12639" s="247"/>
    </row>
    <row r="12640">
      <c r="C12640" s="277"/>
      <c r="M12640" s="277"/>
      <c r="O12640" s="247"/>
      <c r="AC12640" s="247"/>
      <c r="AT12640" s="247"/>
    </row>
    <row r="12641">
      <c r="C12641" s="277"/>
      <c r="M12641" s="277"/>
      <c r="O12641" s="247"/>
      <c r="AC12641" s="247"/>
      <c r="AT12641" s="247"/>
    </row>
    <row r="12642">
      <c r="C12642" s="277"/>
      <c r="M12642" s="277"/>
      <c r="O12642" s="247"/>
      <c r="AC12642" s="247"/>
      <c r="AT12642" s="247"/>
    </row>
    <row r="12643">
      <c r="C12643" s="277"/>
      <c r="M12643" s="277"/>
      <c r="O12643" s="247"/>
      <c r="AC12643" s="247"/>
      <c r="AT12643" s="247"/>
    </row>
    <row r="12644">
      <c r="C12644" s="277"/>
      <c r="M12644" s="277"/>
      <c r="O12644" s="247"/>
      <c r="AC12644" s="247"/>
      <c r="AT12644" s="247"/>
    </row>
    <row r="12645">
      <c r="C12645" s="277"/>
      <c r="M12645" s="277"/>
      <c r="O12645" s="247"/>
      <c r="AC12645" s="247"/>
      <c r="AT12645" s="247"/>
    </row>
    <row r="12646">
      <c r="C12646" s="277"/>
      <c r="M12646" s="277"/>
      <c r="O12646" s="247"/>
      <c r="AC12646" s="247"/>
      <c r="AT12646" s="247"/>
    </row>
    <row r="12647">
      <c r="C12647" s="277"/>
      <c r="M12647" s="277"/>
      <c r="O12647" s="247"/>
      <c r="AC12647" s="247"/>
      <c r="AT12647" s="247"/>
    </row>
    <row r="12648">
      <c r="C12648" s="277"/>
      <c r="M12648" s="277"/>
      <c r="O12648" s="247"/>
      <c r="AC12648" s="247"/>
      <c r="AT12648" s="247"/>
    </row>
    <row r="12649">
      <c r="C12649" s="277"/>
      <c r="M12649" s="277"/>
      <c r="O12649" s="247"/>
      <c r="AC12649" s="247"/>
      <c r="AT12649" s="247"/>
    </row>
    <row r="12650">
      <c r="C12650" s="277"/>
      <c r="M12650" s="277"/>
      <c r="O12650" s="247"/>
      <c r="AC12650" s="247"/>
      <c r="AT12650" s="247"/>
    </row>
    <row r="12651">
      <c r="C12651" s="277"/>
      <c r="M12651" s="277"/>
      <c r="O12651" s="247"/>
      <c r="AC12651" s="247"/>
      <c r="AT12651" s="247"/>
    </row>
    <row r="12652">
      <c r="C12652" s="277"/>
      <c r="M12652" s="277"/>
      <c r="O12652" s="247"/>
      <c r="AC12652" s="247"/>
      <c r="AT12652" s="247"/>
    </row>
    <row r="12653">
      <c r="C12653" s="277"/>
      <c r="M12653" s="277"/>
      <c r="O12653" s="247"/>
      <c r="AC12653" s="247"/>
      <c r="AT12653" s="247"/>
    </row>
    <row r="12654">
      <c r="C12654" s="277"/>
      <c r="M12654" s="277"/>
      <c r="O12654" s="247"/>
      <c r="AC12654" s="247"/>
      <c r="AT12654" s="247"/>
    </row>
    <row r="12655">
      <c r="C12655" s="277"/>
      <c r="M12655" s="277"/>
      <c r="O12655" s="247"/>
      <c r="AC12655" s="247"/>
      <c r="AT12655" s="247"/>
    </row>
    <row r="12656">
      <c r="C12656" s="277"/>
      <c r="M12656" s="277"/>
      <c r="O12656" s="247"/>
      <c r="AC12656" s="247"/>
      <c r="AT12656" s="247"/>
    </row>
    <row r="12657">
      <c r="C12657" s="277"/>
      <c r="M12657" s="277"/>
      <c r="O12657" s="247"/>
      <c r="AC12657" s="247"/>
      <c r="AT12657" s="247"/>
    </row>
    <row r="12658">
      <c r="C12658" s="277"/>
      <c r="M12658" s="277"/>
      <c r="O12658" s="247"/>
      <c r="AC12658" s="247"/>
      <c r="AT12658" s="247"/>
    </row>
    <row r="12659">
      <c r="C12659" s="277"/>
      <c r="M12659" s="277"/>
      <c r="O12659" s="247"/>
      <c r="AC12659" s="247"/>
      <c r="AT12659" s="247"/>
    </row>
    <row r="12660">
      <c r="C12660" s="277"/>
      <c r="M12660" s="277"/>
      <c r="O12660" s="247"/>
      <c r="AC12660" s="247"/>
      <c r="AT12660" s="247"/>
    </row>
    <row r="12661">
      <c r="C12661" s="277"/>
      <c r="M12661" s="277"/>
      <c r="O12661" s="247"/>
      <c r="AC12661" s="247"/>
      <c r="AT12661" s="247"/>
    </row>
    <row r="12662">
      <c r="C12662" s="277"/>
      <c r="M12662" s="277"/>
      <c r="O12662" s="247"/>
      <c r="AC12662" s="247"/>
      <c r="AT12662" s="247"/>
    </row>
    <row r="12663">
      <c r="C12663" s="277"/>
      <c r="M12663" s="277"/>
      <c r="O12663" s="247"/>
      <c r="AC12663" s="247"/>
      <c r="AT12663" s="247"/>
    </row>
    <row r="12664">
      <c r="C12664" s="277"/>
      <c r="M12664" s="277"/>
      <c r="O12664" s="247"/>
      <c r="AC12664" s="247"/>
      <c r="AT12664" s="247"/>
    </row>
    <row r="12665">
      <c r="C12665" s="277"/>
      <c r="M12665" s="277"/>
      <c r="O12665" s="247"/>
      <c r="AC12665" s="247"/>
      <c r="AT12665" s="247"/>
    </row>
    <row r="12666">
      <c r="C12666" s="277"/>
      <c r="M12666" s="277"/>
      <c r="O12666" s="247"/>
      <c r="AC12666" s="247"/>
      <c r="AT12666" s="247"/>
    </row>
    <row r="12667">
      <c r="C12667" s="277"/>
      <c r="M12667" s="277"/>
      <c r="O12667" s="247"/>
      <c r="AC12667" s="247"/>
      <c r="AT12667" s="247"/>
    </row>
    <row r="12668">
      <c r="C12668" s="277"/>
      <c r="M12668" s="277"/>
      <c r="O12668" s="247"/>
      <c r="AC12668" s="247"/>
      <c r="AT12668" s="247"/>
    </row>
    <row r="12669">
      <c r="C12669" s="277"/>
      <c r="M12669" s="277"/>
      <c r="O12669" s="247"/>
      <c r="AC12669" s="247"/>
      <c r="AT12669" s="247"/>
    </row>
    <row r="12670">
      <c r="C12670" s="277"/>
      <c r="M12670" s="277"/>
      <c r="O12670" s="247"/>
      <c r="AC12670" s="247"/>
      <c r="AT12670" s="247"/>
    </row>
    <row r="12671">
      <c r="C12671" s="277"/>
      <c r="M12671" s="277"/>
      <c r="O12671" s="247"/>
      <c r="AC12671" s="247"/>
      <c r="AT12671" s="247"/>
    </row>
    <row r="12672">
      <c r="C12672" s="277"/>
      <c r="M12672" s="277"/>
      <c r="O12672" s="247"/>
      <c r="AC12672" s="247"/>
      <c r="AT12672" s="247"/>
    </row>
    <row r="12673">
      <c r="C12673" s="277"/>
      <c r="M12673" s="277"/>
      <c r="O12673" s="247"/>
      <c r="AC12673" s="247"/>
      <c r="AT12673" s="247"/>
    </row>
    <row r="12674">
      <c r="C12674" s="277"/>
      <c r="M12674" s="277"/>
      <c r="O12674" s="247"/>
      <c r="AC12674" s="247"/>
      <c r="AT12674" s="247"/>
    </row>
    <row r="12675">
      <c r="C12675" s="277"/>
      <c r="M12675" s="277"/>
      <c r="O12675" s="247"/>
      <c r="AC12675" s="247"/>
      <c r="AT12675" s="247"/>
    </row>
    <row r="12676">
      <c r="C12676" s="277"/>
      <c r="M12676" s="277"/>
      <c r="O12676" s="247"/>
      <c r="AC12676" s="247"/>
      <c r="AT12676" s="247"/>
    </row>
    <row r="12677">
      <c r="C12677" s="277"/>
      <c r="M12677" s="277"/>
      <c r="O12677" s="247"/>
      <c r="AC12677" s="247"/>
      <c r="AT12677" s="247"/>
    </row>
    <row r="12678">
      <c r="C12678" s="277"/>
      <c r="M12678" s="277"/>
      <c r="O12678" s="247"/>
      <c r="AC12678" s="247"/>
      <c r="AT12678" s="247"/>
    </row>
    <row r="12679">
      <c r="C12679" s="277"/>
      <c r="M12679" s="277"/>
      <c r="O12679" s="247"/>
      <c r="AC12679" s="247"/>
      <c r="AT12679" s="247"/>
    </row>
    <row r="12680">
      <c r="C12680" s="277"/>
      <c r="M12680" s="277"/>
      <c r="O12680" s="247"/>
      <c r="AC12680" s="247"/>
      <c r="AT12680" s="247"/>
    </row>
    <row r="12681">
      <c r="C12681" s="277"/>
      <c r="M12681" s="277"/>
      <c r="O12681" s="247"/>
      <c r="AC12681" s="247"/>
      <c r="AT12681" s="247"/>
    </row>
    <row r="12682">
      <c r="C12682" s="277"/>
      <c r="M12682" s="277"/>
      <c r="O12682" s="247"/>
      <c r="AC12682" s="247"/>
      <c r="AT12682" s="247"/>
    </row>
    <row r="12683">
      <c r="C12683" s="277"/>
      <c r="M12683" s="277"/>
      <c r="O12683" s="247"/>
      <c r="AC12683" s="247"/>
      <c r="AT12683" s="247"/>
    </row>
    <row r="12684">
      <c r="C12684" s="277"/>
      <c r="M12684" s="277"/>
      <c r="O12684" s="247"/>
      <c r="AC12684" s="247"/>
      <c r="AT12684" s="247"/>
    </row>
    <row r="12685">
      <c r="C12685" s="277"/>
      <c r="M12685" s="277"/>
      <c r="O12685" s="247"/>
      <c r="AC12685" s="247"/>
      <c r="AT12685" s="247"/>
    </row>
    <row r="12686">
      <c r="C12686" s="277"/>
      <c r="M12686" s="277"/>
      <c r="O12686" s="247"/>
      <c r="AC12686" s="247"/>
      <c r="AT12686" s="247"/>
    </row>
    <row r="12687">
      <c r="C12687" s="277"/>
      <c r="M12687" s="277"/>
      <c r="O12687" s="247"/>
      <c r="AC12687" s="247"/>
      <c r="AT12687" s="247"/>
    </row>
    <row r="12688">
      <c r="C12688" s="277"/>
      <c r="M12688" s="277"/>
      <c r="O12688" s="247"/>
      <c r="AC12688" s="247"/>
      <c r="AT12688" s="247"/>
    </row>
    <row r="12689">
      <c r="C12689" s="277"/>
      <c r="M12689" s="277"/>
      <c r="O12689" s="247"/>
      <c r="AC12689" s="247"/>
      <c r="AT12689" s="247"/>
    </row>
    <row r="12690">
      <c r="C12690" s="277"/>
      <c r="M12690" s="277"/>
      <c r="O12690" s="247"/>
      <c r="AC12690" s="247"/>
      <c r="AT12690" s="247"/>
    </row>
    <row r="12691">
      <c r="C12691" s="277"/>
      <c r="M12691" s="277"/>
      <c r="O12691" s="247"/>
      <c r="AC12691" s="247"/>
      <c r="AT12691" s="247"/>
    </row>
    <row r="12692">
      <c r="C12692" s="277"/>
      <c r="M12692" s="277"/>
      <c r="O12692" s="247"/>
      <c r="AC12692" s="247"/>
      <c r="AT12692" s="247"/>
    </row>
    <row r="12693">
      <c r="C12693" s="277"/>
      <c r="M12693" s="277"/>
      <c r="O12693" s="247"/>
      <c r="AC12693" s="247"/>
      <c r="AT12693" s="247"/>
    </row>
    <row r="12694">
      <c r="C12694" s="277"/>
      <c r="M12694" s="277"/>
      <c r="O12694" s="247"/>
      <c r="AC12694" s="247"/>
      <c r="AT12694" s="247"/>
    </row>
    <row r="12695">
      <c r="C12695" s="277"/>
      <c r="M12695" s="277"/>
      <c r="O12695" s="247"/>
      <c r="AC12695" s="247"/>
      <c r="AT12695" s="247"/>
    </row>
    <row r="12696">
      <c r="C12696" s="277"/>
      <c r="M12696" s="277"/>
      <c r="O12696" s="247"/>
      <c r="AC12696" s="247"/>
      <c r="AT12696" s="247"/>
    </row>
    <row r="12697">
      <c r="C12697" s="277"/>
      <c r="M12697" s="277"/>
      <c r="O12697" s="247"/>
      <c r="AC12697" s="247"/>
      <c r="AT12697" s="247"/>
    </row>
    <row r="12698">
      <c r="C12698" s="277"/>
      <c r="M12698" s="277"/>
      <c r="O12698" s="247"/>
      <c r="AC12698" s="247"/>
      <c r="AT12698" s="247"/>
    </row>
    <row r="12699">
      <c r="C12699" s="277"/>
      <c r="M12699" s="277"/>
      <c r="O12699" s="247"/>
      <c r="AC12699" s="247"/>
      <c r="AT12699" s="247"/>
    </row>
    <row r="12700">
      <c r="C12700" s="277"/>
      <c r="M12700" s="277"/>
      <c r="O12700" s="247"/>
      <c r="AC12700" s="247"/>
      <c r="AT12700" s="247"/>
    </row>
    <row r="12701">
      <c r="C12701" s="277"/>
      <c r="M12701" s="277"/>
      <c r="O12701" s="247"/>
      <c r="AC12701" s="247"/>
      <c r="AT12701" s="247"/>
    </row>
    <row r="12702">
      <c r="C12702" s="277"/>
      <c r="M12702" s="277"/>
      <c r="O12702" s="247"/>
      <c r="AC12702" s="247"/>
      <c r="AT12702" s="247"/>
    </row>
    <row r="12703">
      <c r="C12703" s="277"/>
      <c r="M12703" s="277"/>
      <c r="O12703" s="247"/>
      <c r="AC12703" s="247"/>
      <c r="AT12703" s="247"/>
    </row>
    <row r="12704">
      <c r="C12704" s="277"/>
      <c r="M12704" s="277"/>
      <c r="O12704" s="247"/>
      <c r="AC12704" s="247"/>
      <c r="AT12704" s="247"/>
    </row>
    <row r="12705">
      <c r="C12705" s="277"/>
      <c r="M12705" s="277"/>
      <c r="O12705" s="247"/>
      <c r="AC12705" s="247"/>
      <c r="AT12705" s="247"/>
    </row>
    <row r="12706">
      <c r="C12706" s="277"/>
      <c r="M12706" s="277"/>
      <c r="O12706" s="247"/>
      <c r="AC12706" s="247"/>
      <c r="AT12706" s="247"/>
    </row>
    <row r="12707">
      <c r="C12707" s="277"/>
      <c r="M12707" s="277"/>
      <c r="O12707" s="247"/>
      <c r="AC12707" s="247"/>
      <c r="AT12707" s="247"/>
    </row>
    <row r="12708">
      <c r="C12708" s="277"/>
      <c r="M12708" s="277"/>
      <c r="O12708" s="247"/>
      <c r="AC12708" s="247"/>
      <c r="AT12708" s="247"/>
    </row>
    <row r="12709">
      <c r="C12709" s="277"/>
      <c r="M12709" s="277"/>
      <c r="O12709" s="247"/>
      <c r="AC12709" s="247"/>
      <c r="AT12709" s="247"/>
    </row>
    <row r="12710">
      <c r="C12710" s="277"/>
      <c r="M12710" s="277"/>
      <c r="O12710" s="247"/>
      <c r="AC12710" s="247"/>
      <c r="AT12710" s="247"/>
    </row>
    <row r="12711">
      <c r="C12711" s="277"/>
      <c r="M12711" s="277"/>
      <c r="O12711" s="247"/>
      <c r="AC12711" s="247"/>
      <c r="AT12711" s="247"/>
    </row>
    <row r="12712">
      <c r="C12712" s="277"/>
      <c r="M12712" s="277"/>
      <c r="O12712" s="247"/>
      <c r="AC12712" s="247"/>
      <c r="AT12712" s="247"/>
    </row>
    <row r="12713">
      <c r="C12713" s="277"/>
      <c r="M12713" s="277"/>
      <c r="O12713" s="247"/>
      <c r="AC12713" s="247"/>
      <c r="AT12713" s="247"/>
    </row>
    <row r="12714">
      <c r="C12714" s="277"/>
      <c r="M12714" s="277"/>
      <c r="O12714" s="247"/>
      <c r="AC12714" s="247"/>
      <c r="AT12714" s="247"/>
    </row>
    <row r="12715">
      <c r="C12715" s="277"/>
      <c r="M12715" s="277"/>
      <c r="O12715" s="247"/>
      <c r="AC12715" s="247"/>
      <c r="AT12715" s="247"/>
    </row>
    <row r="12716">
      <c r="C12716" s="277"/>
      <c r="M12716" s="277"/>
      <c r="O12716" s="247"/>
      <c r="AC12716" s="247"/>
      <c r="AT12716" s="247"/>
    </row>
    <row r="12717">
      <c r="C12717" s="277"/>
      <c r="M12717" s="277"/>
      <c r="O12717" s="247"/>
      <c r="AC12717" s="247"/>
      <c r="AT12717" s="247"/>
    </row>
    <row r="12718">
      <c r="C12718" s="277"/>
      <c r="M12718" s="277"/>
      <c r="O12718" s="247"/>
      <c r="AC12718" s="247"/>
      <c r="AT12718" s="247"/>
    </row>
    <row r="12719">
      <c r="C12719" s="277"/>
      <c r="M12719" s="277"/>
      <c r="O12719" s="247"/>
      <c r="AC12719" s="247"/>
      <c r="AT12719" s="247"/>
    </row>
    <row r="12720">
      <c r="C12720" s="277"/>
      <c r="M12720" s="277"/>
      <c r="O12720" s="247"/>
      <c r="AC12720" s="247"/>
      <c r="AT12720" s="247"/>
    </row>
    <row r="12721">
      <c r="C12721" s="277"/>
      <c r="M12721" s="277"/>
      <c r="O12721" s="247"/>
      <c r="AC12721" s="247"/>
      <c r="AT12721" s="247"/>
    </row>
    <row r="12722">
      <c r="C12722" s="277"/>
      <c r="M12722" s="277"/>
      <c r="O12722" s="247"/>
      <c r="AC12722" s="247"/>
      <c r="AT12722" s="247"/>
    </row>
    <row r="12723">
      <c r="C12723" s="277"/>
      <c r="M12723" s="277"/>
      <c r="O12723" s="247"/>
      <c r="AC12723" s="247"/>
      <c r="AT12723" s="247"/>
    </row>
    <row r="12724">
      <c r="C12724" s="277"/>
      <c r="M12724" s="277"/>
      <c r="O12724" s="247"/>
      <c r="AC12724" s="247"/>
      <c r="AT12724" s="247"/>
    </row>
    <row r="12725">
      <c r="C12725" s="277"/>
      <c r="M12725" s="277"/>
      <c r="O12725" s="247"/>
      <c r="AC12725" s="247"/>
      <c r="AT12725" s="247"/>
    </row>
    <row r="12726">
      <c r="C12726" s="277"/>
      <c r="M12726" s="277"/>
      <c r="O12726" s="247"/>
      <c r="AC12726" s="247"/>
      <c r="AT12726" s="247"/>
    </row>
    <row r="12727">
      <c r="C12727" s="277"/>
      <c r="M12727" s="277"/>
      <c r="O12727" s="247"/>
      <c r="AC12727" s="247"/>
      <c r="AT12727" s="247"/>
    </row>
    <row r="12728">
      <c r="C12728" s="277"/>
      <c r="M12728" s="277"/>
      <c r="O12728" s="247"/>
      <c r="AC12728" s="247"/>
      <c r="AT12728" s="247"/>
    </row>
    <row r="12729">
      <c r="C12729" s="277"/>
      <c r="M12729" s="277"/>
      <c r="O12729" s="247"/>
      <c r="AC12729" s="247"/>
      <c r="AT12729" s="247"/>
    </row>
    <row r="12730">
      <c r="C12730" s="277"/>
      <c r="M12730" s="277"/>
      <c r="O12730" s="247"/>
      <c r="AC12730" s="247"/>
      <c r="AT12730" s="247"/>
    </row>
    <row r="12731">
      <c r="C12731" s="277"/>
      <c r="M12731" s="277"/>
      <c r="O12731" s="247"/>
      <c r="AC12731" s="247"/>
      <c r="AT12731" s="247"/>
    </row>
    <row r="12732">
      <c r="C12732" s="277"/>
      <c r="M12732" s="277"/>
      <c r="O12732" s="247"/>
      <c r="AC12732" s="247"/>
      <c r="AT12732" s="247"/>
    </row>
    <row r="12733">
      <c r="C12733" s="277"/>
      <c r="M12733" s="277"/>
      <c r="O12733" s="247"/>
      <c r="AC12733" s="247"/>
      <c r="AT12733" s="247"/>
    </row>
    <row r="12734">
      <c r="C12734" s="277"/>
      <c r="M12734" s="277"/>
      <c r="O12734" s="247"/>
      <c r="AC12734" s="247"/>
      <c r="AT12734" s="247"/>
    </row>
    <row r="12735">
      <c r="C12735" s="277"/>
      <c r="M12735" s="277"/>
      <c r="O12735" s="247"/>
      <c r="AC12735" s="247"/>
      <c r="AT12735" s="247"/>
    </row>
    <row r="12736">
      <c r="C12736" s="277"/>
      <c r="M12736" s="277"/>
      <c r="O12736" s="247"/>
      <c r="AC12736" s="247"/>
      <c r="AT12736" s="247"/>
    </row>
    <row r="12737">
      <c r="C12737" s="277"/>
      <c r="M12737" s="277"/>
      <c r="O12737" s="247"/>
      <c r="AC12737" s="247"/>
      <c r="AT12737" s="247"/>
    </row>
    <row r="12738">
      <c r="C12738" s="277"/>
      <c r="M12738" s="277"/>
      <c r="O12738" s="247"/>
      <c r="AC12738" s="247"/>
      <c r="AT12738" s="247"/>
    </row>
    <row r="12739">
      <c r="C12739" s="277"/>
      <c r="M12739" s="277"/>
      <c r="O12739" s="247"/>
      <c r="AC12739" s="247"/>
      <c r="AT12739" s="247"/>
    </row>
    <row r="12740">
      <c r="C12740" s="277"/>
      <c r="M12740" s="277"/>
      <c r="O12740" s="247"/>
      <c r="AC12740" s="247"/>
      <c r="AT12740" s="247"/>
    </row>
    <row r="12741">
      <c r="C12741" s="277"/>
      <c r="M12741" s="277"/>
      <c r="O12741" s="247"/>
      <c r="AC12741" s="247"/>
      <c r="AT12741" s="247"/>
    </row>
    <row r="12742">
      <c r="C12742" s="277"/>
      <c r="M12742" s="277"/>
      <c r="O12742" s="247"/>
      <c r="AC12742" s="247"/>
      <c r="AT12742" s="247"/>
    </row>
    <row r="12743">
      <c r="C12743" s="277"/>
      <c r="M12743" s="277"/>
      <c r="O12743" s="247"/>
      <c r="AC12743" s="247"/>
      <c r="AT12743" s="247"/>
    </row>
    <row r="12744">
      <c r="C12744" s="277"/>
      <c r="M12744" s="277"/>
      <c r="O12744" s="247"/>
      <c r="AC12744" s="247"/>
      <c r="AT12744" s="247"/>
    </row>
    <row r="12745">
      <c r="C12745" s="277"/>
      <c r="M12745" s="277"/>
      <c r="O12745" s="247"/>
      <c r="AC12745" s="247"/>
      <c r="AT12745" s="247"/>
    </row>
    <row r="12746">
      <c r="C12746" s="277"/>
      <c r="M12746" s="277"/>
      <c r="O12746" s="247"/>
      <c r="AC12746" s="247"/>
      <c r="AT12746" s="247"/>
    </row>
    <row r="12747">
      <c r="C12747" s="277"/>
      <c r="M12747" s="277"/>
      <c r="O12747" s="247"/>
      <c r="AC12747" s="247"/>
      <c r="AT12747" s="247"/>
    </row>
    <row r="12748">
      <c r="C12748" s="277"/>
      <c r="M12748" s="277"/>
      <c r="O12748" s="247"/>
      <c r="AC12748" s="247"/>
      <c r="AT12748" s="247"/>
    </row>
    <row r="12749">
      <c r="C12749" s="277"/>
      <c r="M12749" s="277"/>
      <c r="O12749" s="247"/>
      <c r="AC12749" s="247"/>
      <c r="AT12749" s="247"/>
    </row>
    <row r="12750">
      <c r="C12750" s="277"/>
      <c r="M12750" s="277"/>
      <c r="O12750" s="247"/>
      <c r="AC12750" s="247"/>
      <c r="AT12750" s="247"/>
    </row>
    <row r="12751">
      <c r="C12751" s="277"/>
      <c r="M12751" s="277"/>
      <c r="O12751" s="247"/>
      <c r="AC12751" s="247"/>
      <c r="AT12751" s="247"/>
    </row>
    <row r="12752">
      <c r="C12752" s="277"/>
      <c r="M12752" s="277"/>
      <c r="O12752" s="247"/>
      <c r="AC12752" s="247"/>
      <c r="AT12752" s="247"/>
    </row>
    <row r="12753">
      <c r="C12753" s="277"/>
      <c r="M12753" s="277"/>
      <c r="O12753" s="247"/>
      <c r="AC12753" s="247"/>
      <c r="AT12753" s="247"/>
    </row>
    <row r="12754">
      <c r="C12754" s="277"/>
      <c r="M12754" s="277"/>
      <c r="O12754" s="247"/>
      <c r="AC12754" s="247"/>
      <c r="AT12754" s="247"/>
    </row>
    <row r="12755">
      <c r="C12755" s="277"/>
      <c r="M12755" s="277"/>
      <c r="O12755" s="247"/>
      <c r="AC12755" s="247"/>
      <c r="AT12755" s="247"/>
    </row>
    <row r="12756">
      <c r="C12756" s="277"/>
      <c r="M12756" s="277"/>
      <c r="O12756" s="247"/>
      <c r="AC12756" s="247"/>
      <c r="AT12756" s="247"/>
    </row>
    <row r="12757">
      <c r="C12757" s="277"/>
      <c r="M12757" s="277"/>
      <c r="O12757" s="247"/>
      <c r="AC12757" s="247"/>
      <c r="AT12757" s="247"/>
    </row>
    <row r="12758">
      <c r="C12758" s="277"/>
      <c r="M12758" s="277"/>
      <c r="O12758" s="247"/>
      <c r="AC12758" s="247"/>
      <c r="AT12758" s="247"/>
    </row>
    <row r="12759">
      <c r="C12759" s="277"/>
      <c r="M12759" s="277"/>
      <c r="O12759" s="247"/>
      <c r="AC12759" s="247"/>
      <c r="AT12759" s="247"/>
    </row>
    <row r="12760">
      <c r="C12760" s="277"/>
      <c r="M12760" s="277"/>
      <c r="O12760" s="247"/>
      <c r="AC12760" s="247"/>
      <c r="AT12760" s="247"/>
    </row>
    <row r="12761">
      <c r="C12761" s="277"/>
      <c r="M12761" s="277"/>
      <c r="O12761" s="247"/>
      <c r="AC12761" s="247"/>
      <c r="AT12761" s="247"/>
    </row>
    <row r="12762">
      <c r="C12762" s="277"/>
      <c r="M12762" s="277"/>
      <c r="O12762" s="247"/>
      <c r="AC12762" s="247"/>
      <c r="AT12762" s="247"/>
    </row>
    <row r="12763">
      <c r="C12763" s="277"/>
      <c r="M12763" s="277"/>
      <c r="O12763" s="247"/>
      <c r="AC12763" s="247"/>
      <c r="AT12763" s="247"/>
    </row>
    <row r="12764">
      <c r="C12764" s="277"/>
      <c r="M12764" s="277"/>
      <c r="O12764" s="247"/>
      <c r="AC12764" s="247"/>
      <c r="AT12764" s="247"/>
    </row>
    <row r="12765">
      <c r="C12765" s="277"/>
      <c r="M12765" s="277"/>
      <c r="O12765" s="247"/>
      <c r="AC12765" s="247"/>
      <c r="AT12765" s="247"/>
    </row>
    <row r="12766">
      <c r="C12766" s="277"/>
      <c r="M12766" s="277"/>
      <c r="O12766" s="247"/>
      <c r="AC12766" s="247"/>
      <c r="AT12766" s="247"/>
    </row>
    <row r="12767">
      <c r="C12767" s="277"/>
      <c r="M12767" s="277"/>
      <c r="O12767" s="247"/>
      <c r="AC12767" s="247"/>
      <c r="AT12767" s="247"/>
    </row>
    <row r="12768">
      <c r="C12768" s="277"/>
      <c r="M12768" s="277"/>
      <c r="O12768" s="247"/>
      <c r="AC12768" s="247"/>
      <c r="AT12768" s="247"/>
    </row>
    <row r="12769">
      <c r="C12769" s="277"/>
      <c r="M12769" s="277"/>
      <c r="O12769" s="247"/>
      <c r="AC12769" s="247"/>
      <c r="AT12769" s="247"/>
    </row>
    <row r="12770">
      <c r="C12770" s="277"/>
      <c r="M12770" s="277"/>
      <c r="O12770" s="247"/>
      <c r="AC12770" s="247"/>
      <c r="AT12770" s="247"/>
    </row>
    <row r="12771">
      <c r="C12771" s="277"/>
      <c r="M12771" s="277"/>
      <c r="O12771" s="247"/>
      <c r="AC12771" s="247"/>
      <c r="AT12771" s="247"/>
    </row>
    <row r="12772">
      <c r="C12772" s="277"/>
      <c r="M12772" s="277"/>
      <c r="O12772" s="247"/>
      <c r="AC12772" s="247"/>
      <c r="AT12772" s="247"/>
    </row>
    <row r="12773">
      <c r="C12773" s="277"/>
      <c r="M12773" s="277"/>
      <c r="O12773" s="247"/>
      <c r="AC12773" s="247"/>
      <c r="AT12773" s="247"/>
    </row>
    <row r="12774">
      <c r="C12774" s="277"/>
      <c r="M12774" s="277"/>
      <c r="O12774" s="247"/>
      <c r="AC12774" s="247"/>
      <c r="AT12774" s="247"/>
    </row>
    <row r="12775">
      <c r="C12775" s="277"/>
      <c r="M12775" s="277"/>
      <c r="O12775" s="247"/>
      <c r="AC12775" s="247"/>
      <c r="AT12775" s="247"/>
    </row>
    <row r="12776">
      <c r="C12776" s="277"/>
      <c r="M12776" s="277"/>
      <c r="O12776" s="247"/>
      <c r="AC12776" s="247"/>
      <c r="AT12776" s="247"/>
    </row>
    <row r="12777">
      <c r="C12777" s="277"/>
      <c r="M12777" s="277"/>
      <c r="O12777" s="247"/>
      <c r="AC12777" s="247"/>
      <c r="AT12777" s="247"/>
    </row>
    <row r="12778">
      <c r="C12778" s="277"/>
      <c r="M12778" s="277"/>
      <c r="O12778" s="247"/>
      <c r="AC12778" s="247"/>
      <c r="AT12778" s="247"/>
    </row>
    <row r="12779">
      <c r="C12779" s="277"/>
      <c r="M12779" s="277"/>
      <c r="O12779" s="247"/>
      <c r="AC12779" s="247"/>
      <c r="AT12779" s="247"/>
    </row>
    <row r="12780">
      <c r="C12780" s="277"/>
      <c r="M12780" s="277"/>
      <c r="O12780" s="247"/>
      <c r="AC12780" s="247"/>
      <c r="AT12780" s="247"/>
    </row>
    <row r="12781">
      <c r="C12781" s="277"/>
      <c r="M12781" s="277"/>
      <c r="O12781" s="247"/>
      <c r="AC12781" s="247"/>
      <c r="AT12781" s="247"/>
    </row>
    <row r="12782">
      <c r="C12782" s="277"/>
      <c r="M12782" s="277"/>
      <c r="O12782" s="247"/>
      <c r="AC12782" s="247"/>
      <c r="AT12782" s="247"/>
    </row>
    <row r="12783">
      <c r="C12783" s="277"/>
      <c r="M12783" s="277"/>
      <c r="O12783" s="247"/>
      <c r="AC12783" s="247"/>
      <c r="AT12783" s="247"/>
    </row>
    <row r="12784">
      <c r="C12784" s="277"/>
      <c r="M12784" s="277"/>
      <c r="O12784" s="247"/>
      <c r="AC12784" s="247"/>
      <c r="AT12784" s="247"/>
    </row>
    <row r="12785">
      <c r="C12785" s="277"/>
      <c r="M12785" s="277"/>
      <c r="O12785" s="247"/>
      <c r="AC12785" s="247"/>
      <c r="AT12785" s="247"/>
    </row>
    <row r="12786">
      <c r="C12786" s="277"/>
      <c r="M12786" s="277"/>
      <c r="O12786" s="247"/>
      <c r="AC12786" s="247"/>
      <c r="AT12786" s="247"/>
    </row>
    <row r="12787">
      <c r="C12787" s="277"/>
      <c r="M12787" s="277"/>
      <c r="O12787" s="247"/>
      <c r="AC12787" s="247"/>
      <c r="AT12787" s="247"/>
    </row>
    <row r="12788">
      <c r="C12788" s="277"/>
      <c r="M12788" s="277"/>
      <c r="O12788" s="247"/>
      <c r="AC12788" s="247"/>
      <c r="AT12788" s="247"/>
    </row>
    <row r="12789">
      <c r="C12789" s="277"/>
      <c r="M12789" s="277"/>
      <c r="O12789" s="247"/>
      <c r="AC12789" s="247"/>
      <c r="AT12789" s="247"/>
    </row>
    <row r="12790">
      <c r="C12790" s="277"/>
      <c r="M12790" s="277"/>
      <c r="O12790" s="247"/>
      <c r="AC12790" s="247"/>
      <c r="AT12790" s="247"/>
    </row>
    <row r="12791">
      <c r="C12791" s="277"/>
      <c r="M12791" s="277"/>
      <c r="O12791" s="247"/>
      <c r="AC12791" s="247"/>
      <c r="AT12791" s="247"/>
    </row>
    <row r="12792">
      <c r="C12792" s="277"/>
      <c r="M12792" s="277"/>
      <c r="O12792" s="247"/>
      <c r="AC12792" s="247"/>
      <c r="AT12792" s="247"/>
    </row>
    <row r="12793">
      <c r="C12793" s="277"/>
      <c r="M12793" s="277"/>
      <c r="O12793" s="247"/>
      <c r="AC12793" s="247"/>
      <c r="AT12793" s="247"/>
    </row>
    <row r="12794">
      <c r="C12794" s="277"/>
      <c r="M12794" s="277"/>
      <c r="O12794" s="247"/>
      <c r="AC12794" s="247"/>
      <c r="AT12794" s="247"/>
    </row>
    <row r="12795">
      <c r="C12795" s="277"/>
      <c r="M12795" s="277"/>
      <c r="O12795" s="247"/>
      <c r="AC12795" s="247"/>
      <c r="AT12795" s="247"/>
    </row>
    <row r="12796">
      <c r="C12796" s="277"/>
      <c r="M12796" s="277"/>
      <c r="O12796" s="247"/>
      <c r="AC12796" s="247"/>
      <c r="AT12796" s="247"/>
    </row>
    <row r="12797">
      <c r="C12797" s="277"/>
      <c r="M12797" s="277"/>
      <c r="O12797" s="247"/>
      <c r="AC12797" s="247"/>
      <c r="AT12797" s="247"/>
    </row>
    <row r="12798">
      <c r="C12798" s="277"/>
      <c r="M12798" s="277"/>
      <c r="O12798" s="247"/>
      <c r="AC12798" s="247"/>
      <c r="AT12798" s="247"/>
    </row>
    <row r="12799">
      <c r="C12799" s="277"/>
      <c r="M12799" s="277"/>
      <c r="O12799" s="247"/>
      <c r="AC12799" s="247"/>
      <c r="AT12799" s="247"/>
    </row>
    <row r="12800">
      <c r="C12800" s="277"/>
      <c r="M12800" s="277"/>
      <c r="O12800" s="247"/>
      <c r="AC12800" s="247"/>
      <c r="AT12800" s="247"/>
    </row>
    <row r="12801">
      <c r="C12801" s="277"/>
      <c r="M12801" s="277"/>
      <c r="O12801" s="247"/>
      <c r="AC12801" s="247"/>
      <c r="AT12801" s="247"/>
    </row>
    <row r="12802">
      <c r="C12802" s="277"/>
      <c r="M12802" s="277"/>
      <c r="O12802" s="247"/>
      <c r="AC12802" s="247"/>
      <c r="AT12802" s="247"/>
    </row>
    <row r="12803">
      <c r="C12803" s="277"/>
      <c r="M12803" s="277"/>
      <c r="O12803" s="247"/>
      <c r="AC12803" s="247"/>
      <c r="AT12803" s="247"/>
    </row>
    <row r="12804">
      <c r="C12804" s="277"/>
      <c r="M12804" s="277"/>
      <c r="O12804" s="247"/>
      <c r="AC12804" s="247"/>
      <c r="AT12804" s="247"/>
    </row>
    <row r="12805">
      <c r="C12805" s="277"/>
      <c r="M12805" s="277"/>
      <c r="O12805" s="247"/>
      <c r="AC12805" s="247"/>
      <c r="AT12805" s="247"/>
    </row>
    <row r="12806">
      <c r="C12806" s="277"/>
      <c r="M12806" s="277"/>
      <c r="O12806" s="247"/>
      <c r="AC12806" s="247"/>
      <c r="AT12806" s="247"/>
    </row>
    <row r="12807">
      <c r="C12807" s="277"/>
      <c r="M12807" s="277"/>
      <c r="O12807" s="247"/>
      <c r="AC12807" s="247"/>
      <c r="AT12807" s="247"/>
    </row>
    <row r="12808">
      <c r="C12808" s="277"/>
      <c r="M12808" s="277"/>
      <c r="O12808" s="247"/>
      <c r="AC12808" s="247"/>
      <c r="AT12808" s="247"/>
    </row>
    <row r="12809">
      <c r="C12809" s="277"/>
      <c r="M12809" s="277"/>
      <c r="O12809" s="247"/>
      <c r="AC12809" s="247"/>
      <c r="AT12809" s="247"/>
    </row>
    <row r="12810">
      <c r="C12810" s="277"/>
      <c r="M12810" s="277"/>
      <c r="O12810" s="247"/>
      <c r="AC12810" s="247"/>
      <c r="AT12810" s="247"/>
    </row>
    <row r="12811">
      <c r="C12811" s="277"/>
      <c r="M12811" s="277"/>
      <c r="O12811" s="247"/>
      <c r="AC12811" s="247"/>
      <c r="AT12811" s="247"/>
    </row>
    <row r="12812">
      <c r="C12812" s="277"/>
      <c r="M12812" s="277"/>
      <c r="O12812" s="247"/>
      <c r="AC12812" s="247"/>
      <c r="AT12812" s="247"/>
    </row>
    <row r="12813">
      <c r="C12813" s="277"/>
      <c r="M12813" s="277"/>
      <c r="O12813" s="247"/>
      <c r="AC12813" s="247"/>
      <c r="AT12813" s="247"/>
    </row>
    <row r="12814">
      <c r="C12814" s="277"/>
      <c r="M12814" s="277"/>
      <c r="O12814" s="247"/>
      <c r="AC12814" s="247"/>
      <c r="AT12814" s="247"/>
    </row>
    <row r="12815">
      <c r="C12815" s="277"/>
      <c r="M12815" s="277"/>
      <c r="O12815" s="247"/>
      <c r="AC12815" s="247"/>
      <c r="AT12815" s="247"/>
    </row>
    <row r="12816">
      <c r="C12816" s="277"/>
      <c r="M12816" s="277"/>
      <c r="O12816" s="247"/>
      <c r="AC12816" s="247"/>
      <c r="AT12816" s="247"/>
    </row>
    <row r="12817">
      <c r="C12817" s="277"/>
      <c r="M12817" s="277"/>
      <c r="O12817" s="247"/>
      <c r="AC12817" s="247"/>
      <c r="AT12817" s="247"/>
    </row>
    <row r="12818">
      <c r="C12818" s="277"/>
      <c r="M12818" s="277"/>
      <c r="O12818" s="247"/>
      <c r="AC12818" s="247"/>
      <c r="AT12818" s="247"/>
    </row>
    <row r="12819">
      <c r="C12819" s="277"/>
      <c r="M12819" s="277"/>
      <c r="O12819" s="247"/>
      <c r="AC12819" s="247"/>
      <c r="AT12819" s="247"/>
    </row>
    <row r="12820">
      <c r="C12820" s="277"/>
      <c r="M12820" s="277"/>
      <c r="O12820" s="247"/>
      <c r="AC12820" s="247"/>
      <c r="AT12820" s="247"/>
    </row>
    <row r="12821">
      <c r="C12821" s="277"/>
      <c r="M12821" s="277"/>
      <c r="O12821" s="247"/>
      <c r="AC12821" s="247"/>
      <c r="AT12821" s="247"/>
    </row>
    <row r="12822">
      <c r="C12822" s="277"/>
      <c r="M12822" s="277"/>
      <c r="O12822" s="247"/>
      <c r="AC12822" s="247"/>
      <c r="AT12822" s="247"/>
    </row>
    <row r="12823">
      <c r="C12823" s="277"/>
      <c r="M12823" s="277"/>
      <c r="O12823" s="247"/>
      <c r="AC12823" s="247"/>
      <c r="AT12823" s="247"/>
    </row>
    <row r="12824">
      <c r="C12824" s="277"/>
      <c r="M12824" s="277"/>
      <c r="O12824" s="247"/>
      <c r="AC12824" s="247"/>
      <c r="AT12824" s="247"/>
    </row>
    <row r="12825">
      <c r="C12825" s="277"/>
      <c r="M12825" s="277"/>
      <c r="O12825" s="247"/>
      <c r="AC12825" s="247"/>
      <c r="AT12825" s="247"/>
    </row>
    <row r="12826">
      <c r="C12826" s="277"/>
      <c r="M12826" s="277"/>
      <c r="O12826" s="247"/>
      <c r="AC12826" s="247"/>
      <c r="AT12826" s="247"/>
    </row>
    <row r="12827">
      <c r="C12827" s="277"/>
      <c r="M12827" s="277"/>
      <c r="O12827" s="247"/>
      <c r="AC12827" s="247"/>
      <c r="AT12827" s="247"/>
    </row>
    <row r="12828">
      <c r="C12828" s="277"/>
      <c r="M12828" s="277"/>
      <c r="O12828" s="247"/>
      <c r="AC12828" s="247"/>
      <c r="AT12828" s="247"/>
    </row>
    <row r="12829">
      <c r="C12829" s="277"/>
      <c r="M12829" s="277"/>
      <c r="O12829" s="247"/>
      <c r="AC12829" s="247"/>
      <c r="AT12829" s="247"/>
    </row>
    <row r="12830">
      <c r="C12830" s="277"/>
      <c r="M12830" s="277"/>
      <c r="O12830" s="247"/>
      <c r="AC12830" s="247"/>
      <c r="AT12830" s="247"/>
    </row>
    <row r="12831">
      <c r="C12831" s="277"/>
      <c r="M12831" s="277"/>
      <c r="O12831" s="247"/>
      <c r="AC12831" s="247"/>
      <c r="AT12831" s="247"/>
    </row>
    <row r="12832">
      <c r="C12832" s="277"/>
      <c r="M12832" s="277"/>
      <c r="O12832" s="247"/>
      <c r="AC12832" s="247"/>
      <c r="AT12832" s="247"/>
    </row>
    <row r="12833">
      <c r="C12833" s="277"/>
      <c r="M12833" s="277"/>
      <c r="O12833" s="247"/>
      <c r="AC12833" s="247"/>
      <c r="AT12833" s="247"/>
    </row>
    <row r="12834">
      <c r="C12834" s="277"/>
      <c r="M12834" s="277"/>
      <c r="O12834" s="247"/>
      <c r="AC12834" s="247"/>
      <c r="AT12834" s="247"/>
    </row>
    <row r="12835">
      <c r="C12835" s="277"/>
      <c r="M12835" s="277"/>
      <c r="O12835" s="247"/>
      <c r="AC12835" s="247"/>
      <c r="AT12835" s="247"/>
    </row>
    <row r="12836">
      <c r="C12836" s="277"/>
      <c r="M12836" s="277"/>
      <c r="O12836" s="247"/>
      <c r="AC12836" s="247"/>
      <c r="AT12836" s="247"/>
    </row>
    <row r="12837">
      <c r="C12837" s="277"/>
      <c r="M12837" s="277"/>
      <c r="O12837" s="247"/>
      <c r="AC12837" s="247"/>
      <c r="AT12837" s="247"/>
    </row>
    <row r="12838">
      <c r="C12838" s="277"/>
      <c r="M12838" s="277"/>
      <c r="O12838" s="247"/>
      <c r="AC12838" s="247"/>
      <c r="AT12838" s="247"/>
    </row>
    <row r="12839">
      <c r="C12839" s="277"/>
      <c r="M12839" s="277"/>
      <c r="O12839" s="247"/>
      <c r="AC12839" s="247"/>
      <c r="AT12839" s="247"/>
    </row>
    <row r="12840">
      <c r="C12840" s="277"/>
      <c r="M12840" s="277"/>
      <c r="O12840" s="247"/>
      <c r="AC12840" s="247"/>
      <c r="AT12840" s="247"/>
    </row>
    <row r="12841">
      <c r="C12841" s="277"/>
      <c r="M12841" s="277"/>
      <c r="O12841" s="247"/>
      <c r="AC12841" s="247"/>
      <c r="AT12841" s="247"/>
    </row>
    <row r="12842">
      <c r="C12842" s="277"/>
      <c r="M12842" s="277"/>
      <c r="O12842" s="247"/>
      <c r="AC12842" s="247"/>
      <c r="AT12842" s="247"/>
    </row>
    <row r="12843">
      <c r="C12843" s="277"/>
      <c r="M12843" s="277"/>
      <c r="O12843" s="247"/>
      <c r="AC12843" s="247"/>
      <c r="AT12843" s="247"/>
    </row>
    <row r="12844">
      <c r="C12844" s="277"/>
      <c r="M12844" s="277"/>
      <c r="O12844" s="247"/>
      <c r="AC12844" s="247"/>
      <c r="AT12844" s="247"/>
    </row>
    <row r="12845">
      <c r="C12845" s="277"/>
      <c r="M12845" s="277"/>
      <c r="O12845" s="247"/>
      <c r="AC12845" s="247"/>
      <c r="AT12845" s="247"/>
    </row>
    <row r="12846">
      <c r="C12846" s="277"/>
      <c r="M12846" s="277"/>
      <c r="O12846" s="247"/>
      <c r="AC12846" s="247"/>
      <c r="AT12846" s="247"/>
    </row>
    <row r="12847">
      <c r="C12847" s="277"/>
      <c r="M12847" s="277"/>
      <c r="O12847" s="247"/>
      <c r="AC12847" s="247"/>
      <c r="AT12847" s="247"/>
    </row>
    <row r="12848">
      <c r="C12848" s="277"/>
      <c r="M12848" s="277"/>
      <c r="O12848" s="247"/>
      <c r="AC12848" s="247"/>
      <c r="AT12848" s="247"/>
    </row>
    <row r="12849">
      <c r="C12849" s="277"/>
      <c r="M12849" s="277"/>
      <c r="O12849" s="247"/>
      <c r="AC12849" s="247"/>
      <c r="AT12849" s="247"/>
    </row>
    <row r="12850">
      <c r="C12850" s="277"/>
      <c r="M12850" s="277"/>
      <c r="O12850" s="247"/>
      <c r="AC12850" s="247"/>
      <c r="AT12850" s="247"/>
    </row>
    <row r="12851">
      <c r="C12851" s="277"/>
      <c r="M12851" s="277"/>
      <c r="O12851" s="247"/>
      <c r="AC12851" s="247"/>
      <c r="AT12851" s="247"/>
    </row>
    <row r="12852">
      <c r="C12852" s="277"/>
      <c r="M12852" s="277"/>
      <c r="O12852" s="247"/>
      <c r="AC12852" s="247"/>
      <c r="AT12852" s="247"/>
    </row>
    <row r="12853">
      <c r="C12853" s="277"/>
      <c r="M12853" s="277"/>
      <c r="O12853" s="247"/>
      <c r="AC12853" s="247"/>
      <c r="AT12853" s="247"/>
    </row>
    <row r="12854">
      <c r="C12854" s="277"/>
      <c r="M12854" s="277"/>
      <c r="O12854" s="247"/>
      <c r="AC12854" s="247"/>
      <c r="AT12854" s="247"/>
    </row>
    <row r="12855">
      <c r="C12855" s="277"/>
      <c r="M12855" s="277"/>
      <c r="O12855" s="247"/>
      <c r="AC12855" s="247"/>
      <c r="AT12855" s="247"/>
    </row>
    <row r="12856">
      <c r="C12856" s="277"/>
      <c r="M12856" s="277"/>
      <c r="O12856" s="247"/>
      <c r="AC12856" s="247"/>
      <c r="AT12856" s="247"/>
    </row>
    <row r="12857">
      <c r="C12857" s="277"/>
      <c r="M12857" s="277"/>
      <c r="O12857" s="247"/>
      <c r="AC12857" s="247"/>
      <c r="AT12857" s="247"/>
    </row>
    <row r="12858">
      <c r="C12858" s="277"/>
      <c r="M12858" s="277"/>
      <c r="O12858" s="247"/>
      <c r="AC12858" s="247"/>
      <c r="AT12858" s="247"/>
    </row>
    <row r="12859">
      <c r="C12859" s="277"/>
      <c r="M12859" s="277"/>
      <c r="O12859" s="247"/>
      <c r="AC12859" s="247"/>
      <c r="AT12859" s="247"/>
    </row>
    <row r="12860">
      <c r="C12860" s="277"/>
      <c r="M12860" s="277"/>
      <c r="O12860" s="247"/>
      <c r="AC12860" s="247"/>
      <c r="AT12860" s="247"/>
    </row>
    <row r="12861">
      <c r="C12861" s="277"/>
      <c r="M12861" s="277"/>
      <c r="O12861" s="247"/>
      <c r="AC12861" s="247"/>
      <c r="AT12861" s="247"/>
    </row>
    <row r="12862">
      <c r="C12862" s="277"/>
      <c r="M12862" s="277"/>
      <c r="O12862" s="247"/>
      <c r="AC12862" s="247"/>
      <c r="AT12862" s="247"/>
    </row>
    <row r="12863">
      <c r="C12863" s="277"/>
      <c r="M12863" s="277"/>
      <c r="O12863" s="247"/>
      <c r="AC12863" s="247"/>
      <c r="AT12863" s="247"/>
    </row>
    <row r="12864">
      <c r="C12864" s="277"/>
      <c r="M12864" s="277"/>
      <c r="O12864" s="247"/>
      <c r="AC12864" s="247"/>
      <c r="AT12864" s="247"/>
    </row>
    <row r="12865">
      <c r="C12865" s="277"/>
      <c r="M12865" s="277"/>
      <c r="O12865" s="247"/>
      <c r="AC12865" s="247"/>
      <c r="AT12865" s="247"/>
    </row>
    <row r="12866">
      <c r="C12866" s="277"/>
      <c r="M12866" s="277"/>
      <c r="O12866" s="247"/>
      <c r="AC12866" s="247"/>
      <c r="AT12866" s="247"/>
    </row>
    <row r="12867">
      <c r="C12867" s="277"/>
      <c r="M12867" s="277"/>
      <c r="O12867" s="247"/>
      <c r="AC12867" s="247"/>
      <c r="AT12867" s="247"/>
    </row>
    <row r="12868">
      <c r="C12868" s="277"/>
      <c r="M12868" s="277"/>
      <c r="O12868" s="247"/>
      <c r="AC12868" s="247"/>
      <c r="AT12868" s="247"/>
    </row>
    <row r="12869">
      <c r="C12869" s="277"/>
      <c r="M12869" s="277"/>
      <c r="O12869" s="247"/>
      <c r="AC12869" s="247"/>
      <c r="AT12869" s="247"/>
    </row>
    <row r="12870">
      <c r="C12870" s="277"/>
      <c r="M12870" s="277"/>
      <c r="O12870" s="247"/>
      <c r="AC12870" s="247"/>
      <c r="AT12870" s="247"/>
    </row>
    <row r="12871">
      <c r="C12871" s="277"/>
      <c r="M12871" s="277"/>
      <c r="O12871" s="247"/>
      <c r="AC12871" s="247"/>
      <c r="AT12871" s="247"/>
    </row>
    <row r="12872">
      <c r="C12872" s="277"/>
      <c r="M12872" s="277"/>
      <c r="O12872" s="247"/>
      <c r="AC12872" s="247"/>
      <c r="AT12872" s="247"/>
    </row>
    <row r="12873">
      <c r="C12873" s="277"/>
      <c r="M12873" s="277"/>
      <c r="O12873" s="247"/>
      <c r="AC12873" s="247"/>
      <c r="AT12873" s="247"/>
    </row>
    <row r="12874">
      <c r="C12874" s="277"/>
      <c r="M12874" s="277"/>
      <c r="O12874" s="247"/>
      <c r="AC12874" s="247"/>
      <c r="AT12874" s="247"/>
    </row>
    <row r="12875">
      <c r="C12875" s="277"/>
      <c r="M12875" s="277"/>
      <c r="O12875" s="247"/>
      <c r="AC12875" s="247"/>
      <c r="AT12875" s="247"/>
    </row>
    <row r="12876">
      <c r="C12876" s="277"/>
      <c r="M12876" s="277"/>
      <c r="O12876" s="247"/>
      <c r="AC12876" s="247"/>
      <c r="AT12876" s="247"/>
    </row>
    <row r="12877">
      <c r="C12877" s="277"/>
      <c r="M12877" s="277"/>
      <c r="O12877" s="247"/>
      <c r="AC12877" s="247"/>
      <c r="AT12877" s="247"/>
    </row>
    <row r="12878">
      <c r="C12878" s="277"/>
      <c r="M12878" s="277"/>
      <c r="O12878" s="247"/>
      <c r="AC12878" s="247"/>
      <c r="AT12878" s="247"/>
    </row>
    <row r="12879">
      <c r="C12879" s="277"/>
      <c r="M12879" s="277"/>
      <c r="O12879" s="247"/>
      <c r="AC12879" s="247"/>
      <c r="AT12879" s="247"/>
    </row>
    <row r="12880">
      <c r="C12880" s="277"/>
      <c r="M12880" s="277"/>
      <c r="O12880" s="247"/>
      <c r="AC12880" s="247"/>
      <c r="AT12880" s="247"/>
    </row>
    <row r="12881">
      <c r="C12881" s="277"/>
      <c r="M12881" s="277"/>
      <c r="O12881" s="247"/>
      <c r="AC12881" s="247"/>
      <c r="AT12881" s="247"/>
    </row>
    <row r="12882">
      <c r="C12882" s="277"/>
      <c r="M12882" s="277"/>
      <c r="O12882" s="247"/>
      <c r="AC12882" s="247"/>
      <c r="AT12882" s="247"/>
    </row>
    <row r="12883">
      <c r="C12883" s="277"/>
      <c r="M12883" s="277"/>
      <c r="O12883" s="247"/>
      <c r="AC12883" s="247"/>
      <c r="AT12883" s="247"/>
    </row>
    <row r="12884">
      <c r="C12884" s="277"/>
      <c r="M12884" s="277"/>
      <c r="O12884" s="247"/>
      <c r="AC12884" s="247"/>
      <c r="AT12884" s="247"/>
    </row>
    <row r="12885">
      <c r="C12885" s="277"/>
      <c r="M12885" s="277"/>
      <c r="O12885" s="247"/>
      <c r="AC12885" s="247"/>
      <c r="AT12885" s="247"/>
    </row>
    <row r="12886">
      <c r="C12886" s="277"/>
      <c r="M12886" s="277"/>
      <c r="O12886" s="247"/>
      <c r="AC12886" s="247"/>
      <c r="AT12886" s="247"/>
    </row>
    <row r="12887">
      <c r="C12887" s="277"/>
      <c r="M12887" s="277"/>
      <c r="O12887" s="247"/>
      <c r="AC12887" s="247"/>
      <c r="AT12887" s="247"/>
    </row>
    <row r="12888">
      <c r="C12888" s="277"/>
      <c r="M12888" s="277"/>
      <c r="O12888" s="247"/>
      <c r="AC12888" s="247"/>
      <c r="AT12888" s="247"/>
    </row>
    <row r="12889">
      <c r="C12889" s="277"/>
      <c r="M12889" s="277"/>
      <c r="O12889" s="247"/>
      <c r="AC12889" s="247"/>
      <c r="AT12889" s="247"/>
    </row>
    <row r="12890">
      <c r="C12890" s="277"/>
      <c r="M12890" s="277"/>
      <c r="O12890" s="247"/>
      <c r="AC12890" s="247"/>
      <c r="AT12890" s="247"/>
    </row>
    <row r="12891">
      <c r="C12891" s="277"/>
      <c r="M12891" s="277"/>
      <c r="O12891" s="247"/>
      <c r="AC12891" s="247"/>
      <c r="AT12891" s="247"/>
    </row>
    <row r="12892">
      <c r="C12892" s="277"/>
      <c r="M12892" s="277"/>
      <c r="O12892" s="247"/>
      <c r="AC12892" s="247"/>
      <c r="AT12892" s="247"/>
    </row>
    <row r="12893">
      <c r="C12893" s="277"/>
      <c r="M12893" s="277"/>
      <c r="O12893" s="247"/>
      <c r="AC12893" s="247"/>
      <c r="AT12893" s="247"/>
    </row>
    <row r="12894">
      <c r="C12894" s="277"/>
      <c r="M12894" s="277"/>
      <c r="O12894" s="247"/>
      <c r="AC12894" s="247"/>
      <c r="AT12894" s="247"/>
    </row>
    <row r="12895">
      <c r="C12895" s="277"/>
      <c r="M12895" s="277"/>
      <c r="O12895" s="247"/>
      <c r="AC12895" s="247"/>
      <c r="AT12895" s="247"/>
    </row>
    <row r="12896">
      <c r="C12896" s="277"/>
      <c r="M12896" s="277"/>
      <c r="O12896" s="247"/>
      <c r="AC12896" s="247"/>
      <c r="AT12896" s="247"/>
    </row>
    <row r="12897">
      <c r="C12897" s="277"/>
      <c r="M12897" s="277"/>
      <c r="O12897" s="247"/>
      <c r="AC12897" s="247"/>
      <c r="AT12897" s="247"/>
    </row>
    <row r="12898">
      <c r="C12898" s="277"/>
      <c r="M12898" s="277"/>
      <c r="O12898" s="247"/>
      <c r="AC12898" s="247"/>
      <c r="AT12898" s="247"/>
    </row>
    <row r="12899">
      <c r="C12899" s="277"/>
      <c r="M12899" s="277"/>
      <c r="O12899" s="247"/>
      <c r="AC12899" s="247"/>
      <c r="AT12899" s="247"/>
    </row>
    <row r="12900">
      <c r="C12900" s="277"/>
      <c r="M12900" s="277"/>
      <c r="O12900" s="247"/>
      <c r="AC12900" s="247"/>
      <c r="AT12900" s="247"/>
    </row>
    <row r="12901">
      <c r="C12901" s="277"/>
      <c r="M12901" s="277"/>
      <c r="O12901" s="247"/>
      <c r="AC12901" s="247"/>
      <c r="AT12901" s="247"/>
    </row>
    <row r="12902">
      <c r="C12902" s="277"/>
      <c r="M12902" s="277"/>
      <c r="O12902" s="247"/>
      <c r="AC12902" s="247"/>
      <c r="AT12902" s="247"/>
    </row>
    <row r="12903">
      <c r="C12903" s="277"/>
      <c r="M12903" s="277"/>
      <c r="O12903" s="247"/>
      <c r="AC12903" s="247"/>
      <c r="AT12903" s="247"/>
    </row>
    <row r="12904">
      <c r="C12904" s="277"/>
      <c r="M12904" s="277"/>
      <c r="O12904" s="247"/>
      <c r="AC12904" s="247"/>
      <c r="AT12904" s="247"/>
    </row>
    <row r="12905">
      <c r="C12905" s="277"/>
      <c r="M12905" s="277"/>
      <c r="O12905" s="247"/>
      <c r="AC12905" s="247"/>
      <c r="AT12905" s="247"/>
    </row>
    <row r="12906">
      <c r="C12906" s="277"/>
      <c r="M12906" s="277"/>
      <c r="O12906" s="247"/>
      <c r="AC12906" s="247"/>
      <c r="AT12906" s="247"/>
    </row>
    <row r="12907">
      <c r="C12907" s="277"/>
      <c r="M12907" s="277"/>
      <c r="O12907" s="247"/>
      <c r="AC12907" s="247"/>
      <c r="AT12907" s="247"/>
    </row>
    <row r="12908">
      <c r="C12908" s="277"/>
      <c r="M12908" s="277"/>
      <c r="O12908" s="247"/>
      <c r="AC12908" s="247"/>
      <c r="AT12908" s="247"/>
    </row>
    <row r="12909">
      <c r="C12909" s="277"/>
      <c r="M12909" s="277"/>
      <c r="O12909" s="247"/>
      <c r="AC12909" s="247"/>
      <c r="AT12909" s="247"/>
    </row>
    <row r="12910">
      <c r="C12910" s="277"/>
      <c r="M12910" s="277"/>
      <c r="O12910" s="247"/>
      <c r="AC12910" s="247"/>
      <c r="AT12910" s="247"/>
    </row>
    <row r="12911">
      <c r="C12911" s="277"/>
      <c r="M12911" s="277"/>
      <c r="O12911" s="247"/>
      <c r="AC12911" s="247"/>
      <c r="AT12911" s="247"/>
    </row>
    <row r="12912">
      <c r="C12912" s="277"/>
      <c r="M12912" s="277"/>
      <c r="O12912" s="247"/>
      <c r="AC12912" s="247"/>
      <c r="AT12912" s="247"/>
    </row>
    <row r="12913">
      <c r="C12913" s="277"/>
      <c r="M12913" s="277"/>
      <c r="O12913" s="247"/>
      <c r="AC12913" s="247"/>
      <c r="AT12913" s="247"/>
    </row>
    <row r="12914">
      <c r="C12914" s="277"/>
      <c r="M12914" s="277"/>
      <c r="O12914" s="247"/>
      <c r="AC12914" s="247"/>
      <c r="AT12914" s="247"/>
    </row>
    <row r="12915">
      <c r="C12915" s="277"/>
      <c r="M12915" s="277"/>
      <c r="O12915" s="247"/>
      <c r="AC12915" s="247"/>
      <c r="AT12915" s="247"/>
    </row>
    <row r="12916">
      <c r="C12916" s="277"/>
      <c r="M12916" s="277"/>
      <c r="O12916" s="247"/>
      <c r="AC12916" s="247"/>
      <c r="AT12916" s="247"/>
    </row>
    <row r="12917">
      <c r="C12917" s="277"/>
      <c r="M12917" s="277"/>
      <c r="O12917" s="247"/>
      <c r="AC12917" s="247"/>
      <c r="AT12917" s="247"/>
    </row>
    <row r="12918">
      <c r="C12918" s="277"/>
      <c r="M12918" s="277"/>
      <c r="O12918" s="247"/>
      <c r="AC12918" s="247"/>
      <c r="AT12918" s="247"/>
    </row>
    <row r="12919">
      <c r="C12919" s="277"/>
      <c r="M12919" s="277"/>
      <c r="O12919" s="247"/>
      <c r="AC12919" s="247"/>
      <c r="AT12919" s="247"/>
    </row>
    <row r="12920">
      <c r="C12920" s="277"/>
      <c r="M12920" s="277"/>
      <c r="O12920" s="247"/>
      <c r="AC12920" s="247"/>
      <c r="AT12920" s="247"/>
    </row>
    <row r="12921">
      <c r="C12921" s="277"/>
      <c r="M12921" s="277"/>
      <c r="O12921" s="247"/>
      <c r="AC12921" s="247"/>
      <c r="AT12921" s="247"/>
    </row>
    <row r="12922">
      <c r="C12922" s="277"/>
      <c r="M12922" s="277"/>
      <c r="O12922" s="247"/>
      <c r="AC12922" s="247"/>
      <c r="AT12922" s="247"/>
    </row>
    <row r="12923">
      <c r="C12923" s="277"/>
      <c r="M12923" s="277"/>
      <c r="O12923" s="247"/>
      <c r="AC12923" s="247"/>
      <c r="AT12923" s="247"/>
    </row>
    <row r="12924">
      <c r="C12924" s="277"/>
      <c r="M12924" s="277"/>
      <c r="O12924" s="247"/>
      <c r="AC12924" s="247"/>
      <c r="AT12924" s="247"/>
    </row>
    <row r="12925">
      <c r="C12925" s="277"/>
      <c r="M12925" s="277"/>
      <c r="O12925" s="247"/>
      <c r="AC12925" s="247"/>
      <c r="AT12925" s="247"/>
    </row>
    <row r="12926">
      <c r="C12926" s="277"/>
      <c r="M12926" s="277"/>
      <c r="O12926" s="247"/>
      <c r="AC12926" s="247"/>
      <c r="AT12926" s="247"/>
    </row>
    <row r="12927">
      <c r="C12927" s="277"/>
      <c r="M12927" s="277"/>
      <c r="O12927" s="247"/>
      <c r="AC12927" s="247"/>
      <c r="AT12927" s="247"/>
    </row>
    <row r="12928">
      <c r="C12928" s="277"/>
      <c r="M12928" s="277"/>
      <c r="O12928" s="247"/>
      <c r="AC12928" s="247"/>
      <c r="AT12928" s="247"/>
    </row>
    <row r="12929">
      <c r="C12929" s="277"/>
      <c r="M12929" s="277"/>
      <c r="O12929" s="247"/>
      <c r="AC12929" s="247"/>
      <c r="AT12929" s="247"/>
    </row>
    <row r="12930">
      <c r="C12930" s="277"/>
      <c r="M12930" s="277"/>
      <c r="O12930" s="247"/>
      <c r="AC12930" s="247"/>
      <c r="AT12930" s="247"/>
    </row>
    <row r="12931">
      <c r="C12931" s="277"/>
      <c r="M12931" s="277"/>
      <c r="O12931" s="247"/>
      <c r="AC12931" s="247"/>
      <c r="AT12931" s="247"/>
    </row>
    <row r="12932">
      <c r="C12932" s="277"/>
      <c r="M12932" s="277"/>
      <c r="O12932" s="247"/>
      <c r="AC12932" s="247"/>
      <c r="AT12932" s="247"/>
    </row>
    <row r="12933">
      <c r="C12933" s="277"/>
      <c r="M12933" s="277"/>
      <c r="O12933" s="247"/>
      <c r="AC12933" s="247"/>
      <c r="AT12933" s="247"/>
    </row>
    <row r="12934">
      <c r="C12934" s="277"/>
      <c r="M12934" s="277"/>
      <c r="O12934" s="247"/>
      <c r="AC12934" s="247"/>
      <c r="AT12934" s="247"/>
    </row>
    <row r="12935">
      <c r="C12935" s="277"/>
      <c r="M12935" s="277"/>
      <c r="O12935" s="247"/>
      <c r="AC12935" s="247"/>
      <c r="AT12935" s="247"/>
    </row>
    <row r="12936">
      <c r="C12936" s="277"/>
      <c r="M12936" s="277"/>
      <c r="O12936" s="247"/>
      <c r="AC12936" s="247"/>
      <c r="AT12936" s="247"/>
    </row>
    <row r="12937">
      <c r="C12937" s="277"/>
      <c r="M12937" s="277"/>
      <c r="O12937" s="247"/>
      <c r="AC12937" s="247"/>
      <c r="AT12937" s="247"/>
    </row>
    <row r="12938">
      <c r="C12938" s="277"/>
      <c r="M12938" s="277"/>
      <c r="O12938" s="247"/>
      <c r="AC12938" s="247"/>
      <c r="AT12938" s="247"/>
    </row>
    <row r="12939">
      <c r="C12939" s="277"/>
      <c r="M12939" s="277"/>
      <c r="O12939" s="247"/>
      <c r="AC12939" s="247"/>
      <c r="AT12939" s="247"/>
    </row>
    <row r="12940">
      <c r="C12940" s="277"/>
      <c r="M12940" s="277"/>
      <c r="O12940" s="247"/>
      <c r="AC12940" s="247"/>
      <c r="AT12940" s="247"/>
    </row>
    <row r="12941">
      <c r="C12941" s="277"/>
      <c r="M12941" s="277"/>
      <c r="O12941" s="247"/>
      <c r="AC12941" s="247"/>
      <c r="AT12941" s="247"/>
    </row>
    <row r="12942">
      <c r="C12942" s="277"/>
      <c r="M12942" s="277"/>
      <c r="O12942" s="247"/>
      <c r="AC12942" s="247"/>
      <c r="AT12942" s="247"/>
    </row>
    <row r="12943">
      <c r="C12943" s="277"/>
      <c r="M12943" s="277"/>
      <c r="O12943" s="247"/>
      <c r="AC12943" s="247"/>
      <c r="AT12943" s="247"/>
    </row>
    <row r="12944">
      <c r="C12944" s="277"/>
      <c r="M12944" s="277"/>
      <c r="O12944" s="247"/>
      <c r="AC12944" s="247"/>
      <c r="AT12944" s="247"/>
    </row>
    <row r="12945">
      <c r="C12945" s="277"/>
      <c r="M12945" s="277"/>
      <c r="O12945" s="247"/>
      <c r="AC12945" s="247"/>
      <c r="AT12945" s="247"/>
    </row>
    <row r="12946">
      <c r="C12946" s="277"/>
      <c r="M12946" s="277"/>
      <c r="O12946" s="247"/>
      <c r="AC12946" s="247"/>
      <c r="AT12946" s="247"/>
    </row>
    <row r="12947">
      <c r="C12947" s="277"/>
      <c r="M12947" s="277"/>
      <c r="O12947" s="247"/>
      <c r="AC12947" s="247"/>
      <c r="AT12947" s="247"/>
    </row>
    <row r="12948">
      <c r="C12948" s="277"/>
      <c r="M12948" s="277"/>
      <c r="O12948" s="247"/>
      <c r="AC12948" s="247"/>
      <c r="AT12948" s="247"/>
    </row>
    <row r="12949">
      <c r="C12949" s="277"/>
      <c r="M12949" s="277"/>
      <c r="O12949" s="247"/>
      <c r="AC12949" s="247"/>
      <c r="AT12949" s="247"/>
    </row>
    <row r="12950">
      <c r="C12950" s="277"/>
      <c r="M12950" s="277"/>
      <c r="O12950" s="247"/>
      <c r="AC12950" s="247"/>
      <c r="AT12950" s="247"/>
    </row>
    <row r="12951">
      <c r="C12951" s="277"/>
      <c r="M12951" s="277"/>
      <c r="O12951" s="247"/>
      <c r="AC12951" s="247"/>
      <c r="AT12951" s="247"/>
    </row>
    <row r="12952">
      <c r="C12952" s="277"/>
      <c r="M12952" s="277"/>
      <c r="O12952" s="247"/>
      <c r="AC12952" s="247"/>
      <c r="AT12952" s="247"/>
    </row>
    <row r="12953">
      <c r="C12953" s="277"/>
      <c r="M12953" s="277"/>
      <c r="O12953" s="247"/>
      <c r="AC12953" s="247"/>
      <c r="AT12953" s="247"/>
    </row>
    <row r="12954">
      <c r="C12954" s="277"/>
      <c r="M12954" s="277"/>
      <c r="O12954" s="247"/>
      <c r="AC12954" s="247"/>
      <c r="AT12954" s="247"/>
    </row>
    <row r="12955">
      <c r="C12955" s="277"/>
      <c r="M12955" s="277"/>
      <c r="O12955" s="247"/>
      <c r="AC12955" s="247"/>
      <c r="AT12955" s="247"/>
    </row>
    <row r="12956">
      <c r="C12956" s="277"/>
      <c r="M12956" s="277"/>
      <c r="O12956" s="247"/>
      <c r="AC12956" s="247"/>
      <c r="AT12956" s="247"/>
    </row>
    <row r="12957">
      <c r="C12957" s="277"/>
      <c r="M12957" s="277"/>
      <c r="O12957" s="247"/>
      <c r="AC12957" s="247"/>
      <c r="AT12957" s="247"/>
    </row>
    <row r="12958">
      <c r="C12958" s="277"/>
      <c r="M12958" s="277"/>
      <c r="O12958" s="247"/>
      <c r="AC12958" s="247"/>
      <c r="AT12958" s="247"/>
    </row>
    <row r="12959">
      <c r="C12959" s="277"/>
      <c r="M12959" s="277"/>
      <c r="O12959" s="247"/>
      <c r="AC12959" s="247"/>
      <c r="AT12959" s="247"/>
    </row>
    <row r="12960">
      <c r="C12960" s="277"/>
      <c r="M12960" s="277"/>
      <c r="O12960" s="247"/>
      <c r="AC12960" s="247"/>
      <c r="AT12960" s="247"/>
    </row>
    <row r="12961">
      <c r="C12961" s="277"/>
      <c r="M12961" s="277"/>
      <c r="O12961" s="247"/>
      <c r="AC12961" s="247"/>
      <c r="AT12961" s="247"/>
    </row>
    <row r="12962">
      <c r="C12962" s="277"/>
      <c r="M12962" s="277"/>
      <c r="O12962" s="247"/>
      <c r="AC12962" s="247"/>
      <c r="AT12962" s="247"/>
    </row>
    <row r="12963">
      <c r="C12963" s="277"/>
      <c r="M12963" s="277"/>
      <c r="O12963" s="247"/>
      <c r="AC12963" s="247"/>
      <c r="AT12963" s="247"/>
    </row>
    <row r="12964">
      <c r="C12964" s="277"/>
      <c r="M12964" s="277"/>
      <c r="O12964" s="247"/>
      <c r="AC12964" s="247"/>
      <c r="AT12964" s="247"/>
    </row>
    <row r="12965">
      <c r="C12965" s="277"/>
      <c r="M12965" s="277"/>
      <c r="O12965" s="247"/>
      <c r="AC12965" s="247"/>
      <c r="AT12965" s="247"/>
    </row>
    <row r="12966">
      <c r="C12966" s="277"/>
      <c r="M12966" s="277"/>
      <c r="O12966" s="247"/>
      <c r="AC12966" s="247"/>
      <c r="AT12966" s="247"/>
    </row>
    <row r="12967">
      <c r="C12967" s="277"/>
      <c r="M12967" s="277"/>
      <c r="O12967" s="247"/>
      <c r="AC12967" s="247"/>
      <c r="AT12967" s="247"/>
    </row>
    <row r="12968">
      <c r="C12968" s="277"/>
      <c r="M12968" s="277"/>
      <c r="O12968" s="247"/>
      <c r="AC12968" s="247"/>
      <c r="AT12968" s="247"/>
    </row>
    <row r="12969">
      <c r="C12969" s="277"/>
      <c r="M12969" s="277"/>
      <c r="O12969" s="247"/>
      <c r="AC12969" s="247"/>
      <c r="AT12969" s="247"/>
    </row>
    <row r="12970">
      <c r="C12970" s="277"/>
      <c r="M12970" s="277"/>
      <c r="O12970" s="247"/>
      <c r="AC12970" s="247"/>
      <c r="AT12970" s="247"/>
    </row>
    <row r="12971">
      <c r="C12971" s="277"/>
      <c r="M12971" s="277"/>
      <c r="O12971" s="247"/>
      <c r="AC12971" s="247"/>
      <c r="AT12971" s="247"/>
    </row>
    <row r="12972">
      <c r="C12972" s="277"/>
      <c r="M12972" s="277"/>
      <c r="O12972" s="247"/>
      <c r="AC12972" s="247"/>
      <c r="AT12972" s="247"/>
    </row>
    <row r="12973">
      <c r="C12973" s="277"/>
      <c r="M12973" s="277"/>
      <c r="O12973" s="247"/>
      <c r="AC12973" s="247"/>
      <c r="AT12973" s="247"/>
    </row>
    <row r="12974">
      <c r="C12974" s="277"/>
      <c r="M12974" s="277"/>
      <c r="O12974" s="247"/>
      <c r="AC12974" s="247"/>
      <c r="AT12974" s="247"/>
    </row>
    <row r="12975">
      <c r="C12975" s="277"/>
      <c r="M12975" s="277"/>
      <c r="O12975" s="247"/>
      <c r="AC12975" s="247"/>
      <c r="AT12975" s="247"/>
    </row>
    <row r="12976">
      <c r="C12976" s="277"/>
      <c r="M12976" s="277"/>
      <c r="O12976" s="247"/>
      <c r="AC12976" s="247"/>
      <c r="AT12976" s="247"/>
    </row>
    <row r="12977">
      <c r="C12977" s="277"/>
      <c r="M12977" s="277"/>
      <c r="O12977" s="247"/>
      <c r="AC12977" s="247"/>
      <c r="AT12977" s="247"/>
    </row>
    <row r="12978">
      <c r="C12978" s="277"/>
      <c r="M12978" s="277"/>
      <c r="O12978" s="247"/>
      <c r="AC12978" s="247"/>
      <c r="AT12978" s="247"/>
    </row>
    <row r="12979">
      <c r="C12979" s="277"/>
      <c r="M12979" s="277"/>
      <c r="O12979" s="247"/>
      <c r="AC12979" s="247"/>
      <c r="AT12979" s="247"/>
    </row>
    <row r="12980">
      <c r="C12980" s="277"/>
      <c r="M12980" s="277"/>
      <c r="O12980" s="247"/>
      <c r="AC12980" s="247"/>
      <c r="AT12980" s="247"/>
    </row>
    <row r="12981">
      <c r="C12981" s="277"/>
      <c r="M12981" s="277"/>
      <c r="O12981" s="247"/>
      <c r="AC12981" s="247"/>
      <c r="AT12981" s="247"/>
    </row>
    <row r="12982">
      <c r="C12982" s="277"/>
      <c r="M12982" s="277"/>
      <c r="O12982" s="247"/>
      <c r="AC12982" s="247"/>
      <c r="AT12982" s="247"/>
    </row>
    <row r="12983">
      <c r="C12983" s="277"/>
      <c r="M12983" s="277"/>
      <c r="O12983" s="247"/>
      <c r="AC12983" s="247"/>
      <c r="AT12983" s="247"/>
    </row>
    <row r="12984">
      <c r="C12984" s="277"/>
      <c r="M12984" s="277"/>
      <c r="O12984" s="247"/>
      <c r="AC12984" s="247"/>
      <c r="AT12984" s="247"/>
    </row>
    <row r="12985">
      <c r="C12985" s="277"/>
      <c r="M12985" s="277"/>
      <c r="O12985" s="247"/>
      <c r="AC12985" s="247"/>
      <c r="AT12985" s="247"/>
    </row>
    <row r="12986">
      <c r="C12986" s="277"/>
      <c r="M12986" s="277"/>
      <c r="O12986" s="247"/>
      <c r="AC12986" s="247"/>
      <c r="AT12986" s="247"/>
    </row>
    <row r="12987">
      <c r="C12987" s="277"/>
      <c r="M12987" s="277"/>
      <c r="O12987" s="247"/>
      <c r="AC12987" s="247"/>
      <c r="AT12987" s="247"/>
    </row>
    <row r="12988">
      <c r="C12988" s="277"/>
      <c r="M12988" s="277"/>
      <c r="O12988" s="247"/>
      <c r="AC12988" s="247"/>
      <c r="AT12988" s="247"/>
    </row>
    <row r="12989">
      <c r="C12989" s="277"/>
      <c r="M12989" s="277"/>
      <c r="O12989" s="247"/>
      <c r="AC12989" s="247"/>
      <c r="AT12989" s="247"/>
    </row>
    <row r="12990">
      <c r="C12990" s="277"/>
      <c r="M12990" s="277"/>
      <c r="O12990" s="247"/>
      <c r="AC12990" s="247"/>
      <c r="AT12990" s="247"/>
    </row>
    <row r="12991">
      <c r="C12991" s="277"/>
      <c r="M12991" s="277"/>
      <c r="O12991" s="247"/>
      <c r="AC12991" s="247"/>
      <c r="AT12991" s="247"/>
    </row>
    <row r="12992">
      <c r="C12992" s="277"/>
      <c r="M12992" s="277"/>
      <c r="O12992" s="247"/>
      <c r="AC12992" s="247"/>
      <c r="AT12992" s="247"/>
    </row>
    <row r="12993">
      <c r="C12993" s="277"/>
      <c r="M12993" s="277"/>
      <c r="O12993" s="247"/>
      <c r="AC12993" s="247"/>
      <c r="AT12993" s="247"/>
    </row>
    <row r="12994">
      <c r="C12994" s="277"/>
      <c r="M12994" s="277"/>
      <c r="O12994" s="247"/>
      <c r="AC12994" s="247"/>
      <c r="AT12994" s="247"/>
    </row>
    <row r="12995">
      <c r="C12995" s="277"/>
      <c r="M12995" s="277"/>
      <c r="O12995" s="247"/>
      <c r="AC12995" s="247"/>
      <c r="AT12995" s="247"/>
    </row>
    <row r="12996">
      <c r="C12996" s="277"/>
      <c r="M12996" s="277"/>
      <c r="O12996" s="247"/>
      <c r="AC12996" s="247"/>
      <c r="AT12996" s="247"/>
    </row>
    <row r="12997">
      <c r="C12997" s="277"/>
      <c r="M12997" s="277"/>
      <c r="O12997" s="247"/>
      <c r="AC12997" s="247"/>
      <c r="AT12997" s="247"/>
    </row>
    <row r="12998">
      <c r="C12998" s="277"/>
      <c r="M12998" s="277"/>
      <c r="O12998" s="247"/>
      <c r="AC12998" s="247"/>
      <c r="AT12998" s="247"/>
    </row>
    <row r="12999">
      <c r="C12999" s="277"/>
      <c r="M12999" s="277"/>
      <c r="O12999" s="247"/>
      <c r="AC12999" s="247"/>
      <c r="AT12999" s="247"/>
    </row>
    <row r="13000">
      <c r="C13000" s="277"/>
      <c r="M13000" s="277"/>
      <c r="O13000" s="247"/>
      <c r="AC13000" s="247"/>
      <c r="AT13000" s="247"/>
    </row>
    <row r="13001">
      <c r="C13001" s="277"/>
      <c r="M13001" s="277"/>
      <c r="O13001" s="247"/>
      <c r="AC13001" s="247"/>
      <c r="AT13001" s="247"/>
    </row>
    <row r="13002">
      <c r="C13002" s="277"/>
      <c r="M13002" s="277"/>
      <c r="O13002" s="247"/>
      <c r="AC13002" s="247"/>
      <c r="AT13002" s="247"/>
    </row>
    <row r="13003">
      <c r="C13003" s="277"/>
      <c r="M13003" s="277"/>
      <c r="O13003" s="247"/>
      <c r="AC13003" s="247"/>
      <c r="AT13003" s="247"/>
    </row>
    <row r="13004">
      <c r="C13004" s="277"/>
      <c r="M13004" s="277"/>
      <c r="O13004" s="247"/>
      <c r="AC13004" s="247"/>
      <c r="AT13004" s="247"/>
    </row>
    <row r="13005">
      <c r="C13005" s="277"/>
      <c r="M13005" s="277"/>
      <c r="O13005" s="247"/>
      <c r="AC13005" s="247"/>
      <c r="AT13005" s="247"/>
    </row>
    <row r="13006">
      <c r="C13006" s="277"/>
      <c r="M13006" s="277"/>
      <c r="O13006" s="247"/>
      <c r="AC13006" s="247"/>
      <c r="AT13006" s="247"/>
    </row>
    <row r="13007">
      <c r="C13007" s="277"/>
      <c r="M13007" s="277"/>
      <c r="O13007" s="247"/>
      <c r="AC13007" s="247"/>
      <c r="AT13007" s="247"/>
    </row>
    <row r="13008">
      <c r="C13008" s="277"/>
      <c r="M13008" s="277"/>
      <c r="O13008" s="247"/>
      <c r="AC13008" s="247"/>
      <c r="AT13008" s="247"/>
    </row>
    <row r="13009">
      <c r="C13009" s="277"/>
      <c r="M13009" s="277"/>
      <c r="O13009" s="247"/>
      <c r="AC13009" s="247"/>
      <c r="AT13009" s="247"/>
    </row>
    <row r="13010">
      <c r="C13010" s="277"/>
      <c r="M13010" s="277"/>
      <c r="O13010" s="247"/>
      <c r="AC13010" s="247"/>
      <c r="AT13010" s="247"/>
    </row>
    <row r="13011">
      <c r="C13011" s="277"/>
      <c r="M13011" s="277"/>
      <c r="O13011" s="247"/>
      <c r="AC13011" s="247"/>
      <c r="AT13011" s="247"/>
    </row>
    <row r="13012">
      <c r="C13012" s="277"/>
      <c r="M13012" s="277"/>
      <c r="O13012" s="247"/>
      <c r="AC13012" s="247"/>
      <c r="AT13012" s="247"/>
    </row>
    <row r="13013">
      <c r="C13013" s="277"/>
      <c r="M13013" s="277"/>
      <c r="O13013" s="247"/>
      <c r="AC13013" s="247"/>
      <c r="AT13013" s="247"/>
    </row>
    <row r="13014">
      <c r="C13014" s="277"/>
      <c r="M13014" s="277"/>
      <c r="O13014" s="247"/>
      <c r="AC13014" s="247"/>
      <c r="AT13014" s="247"/>
    </row>
    <row r="13015">
      <c r="C13015" s="277"/>
      <c r="M13015" s="277"/>
      <c r="O13015" s="247"/>
      <c r="AC13015" s="247"/>
      <c r="AT13015" s="247"/>
    </row>
    <row r="13016">
      <c r="C13016" s="277"/>
      <c r="M13016" s="277"/>
      <c r="O13016" s="247"/>
      <c r="AC13016" s="247"/>
      <c r="AT13016" s="247"/>
    </row>
    <row r="13017">
      <c r="C13017" s="277"/>
      <c r="M13017" s="277"/>
      <c r="O13017" s="247"/>
      <c r="AC13017" s="247"/>
      <c r="AT13017" s="247"/>
    </row>
    <row r="13018">
      <c r="C13018" s="277"/>
      <c r="M13018" s="277"/>
      <c r="O13018" s="247"/>
      <c r="AC13018" s="247"/>
      <c r="AT13018" s="247"/>
    </row>
    <row r="13019">
      <c r="C13019" s="277"/>
      <c r="M13019" s="277"/>
      <c r="O13019" s="247"/>
      <c r="AC13019" s="247"/>
      <c r="AT13019" s="247"/>
    </row>
    <row r="13020">
      <c r="C13020" s="277"/>
      <c r="M13020" s="277"/>
      <c r="O13020" s="247"/>
      <c r="AC13020" s="247"/>
      <c r="AT13020" s="247"/>
    </row>
    <row r="13021">
      <c r="C13021" s="277"/>
      <c r="M13021" s="277"/>
      <c r="O13021" s="247"/>
      <c r="AC13021" s="247"/>
      <c r="AT13021" s="247"/>
    </row>
    <row r="13022">
      <c r="C13022" s="277"/>
      <c r="M13022" s="277"/>
      <c r="O13022" s="247"/>
      <c r="AC13022" s="247"/>
      <c r="AT13022" s="247"/>
    </row>
    <row r="13023">
      <c r="C13023" s="277"/>
      <c r="M13023" s="277"/>
      <c r="O13023" s="247"/>
      <c r="AC13023" s="247"/>
      <c r="AT13023" s="247"/>
    </row>
    <row r="13024">
      <c r="C13024" s="277"/>
      <c r="M13024" s="277"/>
      <c r="O13024" s="247"/>
      <c r="AC13024" s="247"/>
      <c r="AT13024" s="247"/>
    </row>
    <row r="13025">
      <c r="C13025" s="277"/>
      <c r="M13025" s="277"/>
      <c r="O13025" s="247"/>
      <c r="AC13025" s="247"/>
      <c r="AT13025" s="247"/>
    </row>
    <row r="13026">
      <c r="C13026" s="277"/>
      <c r="M13026" s="277"/>
      <c r="O13026" s="247"/>
      <c r="AC13026" s="247"/>
      <c r="AT13026" s="247"/>
    </row>
    <row r="13027">
      <c r="C13027" s="277"/>
      <c r="M13027" s="277"/>
      <c r="O13027" s="247"/>
      <c r="AC13027" s="247"/>
      <c r="AT13027" s="247"/>
    </row>
    <row r="13028">
      <c r="C13028" s="277"/>
      <c r="M13028" s="277"/>
      <c r="O13028" s="247"/>
      <c r="AC13028" s="247"/>
      <c r="AT13028" s="247"/>
    </row>
    <row r="13029">
      <c r="C13029" s="277"/>
      <c r="M13029" s="277"/>
      <c r="O13029" s="247"/>
      <c r="AC13029" s="247"/>
      <c r="AT13029" s="247"/>
    </row>
    <row r="13030">
      <c r="C13030" s="277"/>
      <c r="M13030" s="277"/>
      <c r="O13030" s="247"/>
      <c r="AC13030" s="247"/>
      <c r="AT13030" s="247"/>
    </row>
    <row r="13031">
      <c r="C13031" s="277"/>
      <c r="M13031" s="277"/>
      <c r="O13031" s="247"/>
      <c r="AC13031" s="247"/>
      <c r="AT13031" s="247"/>
    </row>
    <row r="13032">
      <c r="C13032" s="277"/>
      <c r="M13032" s="277"/>
      <c r="O13032" s="247"/>
      <c r="AC13032" s="247"/>
      <c r="AT13032" s="247"/>
    </row>
    <row r="13033">
      <c r="C13033" s="277"/>
      <c r="M13033" s="277"/>
      <c r="O13033" s="247"/>
      <c r="AC13033" s="247"/>
      <c r="AT13033" s="247"/>
    </row>
    <row r="13034">
      <c r="C13034" s="277"/>
      <c r="M13034" s="277"/>
      <c r="O13034" s="247"/>
      <c r="AC13034" s="247"/>
      <c r="AT13034" s="247"/>
    </row>
    <row r="13035">
      <c r="C13035" s="277"/>
      <c r="M13035" s="277"/>
      <c r="O13035" s="247"/>
      <c r="AC13035" s="247"/>
      <c r="AT13035" s="247"/>
    </row>
    <row r="13036">
      <c r="C13036" s="277"/>
      <c r="M13036" s="277"/>
      <c r="O13036" s="247"/>
      <c r="AC13036" s="247"/>
      <c r="AT13036" s="247"/>
    </row>
    <row r="13037">
      <c r="C13037" s="277"/>
      <c r="M13037" s="277"/>
      <c r="O13037" s="247"/>
      <c r="AC13037" s="247"/>
      <c r="AT13037" s="247"/>
    </row>
    <row r="13038">
      <c r="C13038" s="277"/>
      <c r="M13038" s="277"/>
      <c r="O13038" s="247"/>
      <c r="AC13038" s="247"/>
      <c r="AT13038" s="247"/>
    </row>
    <row r="13039">
      <c r="C13039" s="277"/>
      <c r="M13039" s="277"/>
      <c r="O13039" s="247"/>
      <c r="AC13039" s="247"/>
      <c r="AT13039" s="247"/>
    </row>
    <row r="13040">
      <c r="C13040" s="277"/>
      <c r="M13040" s="277"/>
      <c r="O13040" s="247"/>
      <c r="AC13040" s="247"/>
      <c r="AT13040" s="247"/>
    </row>
    <row r="13041">
      <c r="C13041" s="277"/>
      <c r="M13041" s="277"/>
      <c r="O13041" s="247"/>
      <c r="AC13041" s="247"/>
      <c r="AT13041" s="247"/>
    </row>
    <row r="13042">
      <c r="C13042" s="277"/>
      <c r="M13042" s="277"/>
      <c r="O13042" s="247"/>
      <c r="AC13042" s="247"/>
      <c r="AT13042" s="247"/>
    </row>
    <row r="13043">
      <c r="C13043" s="277"/>
      <c r="M13043" s="277"/>
      <c r="O13043" s="247"/>
      <c r="AC13043" s="247"/>
      <c r="AT13043" s="247"/>
    </row>
    <row r="13044">
      <c r="C13044" s="277"/>
      <c r="M13044" s="277"/>
      <c r="O13044" s="247"/>
      <c r="AC13044" s="247"/>
      <c r="AT13044" s="247"/>
    </row>
    <row r="13045">
      <c r="C13045" s="277"/>
      <c r="M13045" s="277"/>
      <c r="O13045" s="247"/>
      <c r="AC13045" s="247"/>
      <c r="AT13045" s="247"/>
    </row>
    <row r="13046">
      <c r="C13046" s="277"/>
      <c r="M13046" s="277"/>
      <c r="O13046" s="247"/>
      <c r="AC13046" s="247"/>
      <c r="AT13046" s="247"/>
    </row>
    <row r="13047">
      <c r="C13047" s="277"/>
      <c r="M13047" s="277"/>
      <c r="O13047" s="247"/>
      <c r="AC13047" s="247"/>
      <c r="AT13047" s="247"/>
    </row>
    <row r="13048">
      <c r="C13048" s="277"/>
      <c r="M13048" s="277"/>
      <c r="O13048" s="247"/>
      <c r="AC13048" s="247"/>
      <c r="AT13048" s="247"/>
    </row>
    <row r="13049">
      <c r="C13049" s="277"/>
      <c r="M13049" s="277"/>
      <c r="O13049" s="247"/>
      <c r="AC13049" s="247"/>
      <c r="AT13049" s="247"/>
    </row>
    <row r="13050">
      <c r="C13050" s="277"/>
      <c r="M13050" s="277"/>
      <c r="O13050" s="247"/>
      <c r="AC13050" s="247"/>
      <c r="AT13050" s="247"/>
    </row>
    <row r="13051">
      <c r="C13051" s="277"/>
      <c r="M13051" s="277"/>
      <c r="O13051" s="247"/>
      <c r="AC13051" s="247"/>
      <c r="AT13051" s="247"/>
    </row>
    <row r="13052">
      <c r="C13052" s="277"/>
      <c r="M13052" s="277"/>
      <c r="O13052" s="247"/>
      <c r="AC13052" s="247"/>
      <c r="AT13052" s="247"/>
    </row>
    <row r="13053">
      <c r="C13053" s="277"/>
      <c r="M13053" s="277"/>
      <c r="O13053" s="247"/>
      <c r="AC13053" s="247"/>
      <c r="AT13053" s="247"/>
    </row>
    <row r="13054">
      <c r="C13054" s="277"/>
      <c r="M13054" s="277"/>
      <c r="O13054" s="247"/>
      <c r="AC13054" s="247"/>
      <c r="AT13054" s="247"/>
    </row>
    <row r="13055">
      <c r="C13055" s="277"/>
      <c r="M13055" s="277"/>
      <c r="O13055" s="247"/>
      <c r="AC13055" s="247"/>
      <c r="AT13055" s="247"/>
    </row>
    <row r="13056">
      <c r="C13056" s="277"/>
      <c r="M13056" s="277"/>
      <c r="O13056" s="247"/>
      <c r="AC13056" s="247"/>
      <c r="AT13056" s="247"/>
    </row>
    <row r="13057">
      <c r="C13057" s="277"/>
      <c r="M13057" s="277"/>
      <c r="O13057" s="247"/>
      <c r="AC13057" s="247"/>
      <c r="AT13057" s="247"/>
    </row>
    <row r="13058">
      <c r="C13058" s="277"/>
      <c r="M13058" s="277"/>
      <c r="O13058" s="247"/>
      <c r="AC13058" s="247"/>
      <c r="AT13058" s="247"/>
    </row>
    <row r="13059">
      <c r="C13059" s="277"/>
      <c r="M13059" s="277"/>
      <c r="O13059" s="247"/>
      <c r="AC13059" s="247"/>
      <c r="AT13059" s="247"/>
    </row>
    <row r="13060">
      <c r="C13060" s="277"/>
      <c r="M13060" s="277"/>
      <c r="O13060" s="247"/>
      <c r="AC13060" s="247"/>
      <c r="AT13060" s="247"/>
    </row>
    <row r="13061">
      <c r="C13061" s="277"/>
      <c r="M13061" s="277"/>
      <c r="O13061" s="247"/>
      <c r="AC13061" s="247"/>
      <c r="AT13061" s="247"/>
    </row>
    <row r="13062">
      <c r="C13062" s="277"/>
      <c r="M13062" s="277"/>
      <c r="O13062" s="247"/>
      <c r="AC13062" s="247"/>
      <c r="AT13062" s="247"/>
    </row>
    <row r="13063">
      <c r="C13063" s="277"/>
      <c r="M13063" s="277"/>
      <c r="O13063" s="247"/>
      <c r="AC13063" s="247"/>
      <c r="AT13063" s="247"/>
    </row>
    <row r="13064">
      <c r="C13064" s="277"/>
      <c r="M13064" s="277"/>
      <c r="O13064" s="247"/>
      <c r="AC13064" s="247"/>
      <c r="AT13064" s="247"/>
    </row>
    <row r="13065">
      <c r="C13065" s="277"/>
      <c r="M13065" s="277"/>
      <c r="O13065" s="247"/>
      <c r="AC13065" s="247"/>
      <c r="AT13065" s="247"/>
    </row>
    <row r="13066">
      <c r="C13066" s="277"/>
      <c r="M13066" s="277"/>
      <c r="O13066" s="247"/>
      <c r="AC13066" s="247"/>
      <c r="AT13066" s="247"/>
    </row>
    <row r="13067">
      <c r="C13067" s="277"/>
      <c r="M13067" s="277"/>
      <c r="O13067" s="247"/>
      <c r="AC13067" s="247"/>
      <c r="AT13067" s="247"/>
    </row>
    <row r="13068">
      <c r="C13068" s="277"/>
      <c r="M13068" s="277"/>
      <c r="O13068" s="247"/>
      <c r="AC13068" s="247"/>
      <c r="AT13068" s="247"/>
    </row>
    <row r="13069">
      <c r="C13069" s="277"/>
      <c r="M13069" s="277"/>
      <c r="O13069" s="247"/>
      <c r="AC13069" s="247"/>
      <c r="AT13069" s="247"/>
    </row>
    <row r="13070">
      <c r="C13070" s="277"/>
      <c r="M13070" s="277"/>
      <c r="O13070" s="247"/>
      <c r="AC13070" s="247"/>
      <c r="AT13070" s="247"/>
    </row>
    <row r="13071">
      <c r="C13071" s="277"/>
      <c r="M13071" s="277"/>
      <c r="O13071" s="247"/>
      <c r="AC13071" s="247"/>
      <c r="AT13071" s="247"/>
    </row>
    <row r="13072">
      <c r="C13072" s="277"/>
      <c r="M13072" s="277"/>
      <c r="O13072" s="247"/>
      <c r="AC13072" s="247"/>
      <c r="AT13072" s="247"/>
    </row>
    <row r="13073">
      <c r="C13073" s="277"/>
      <c r="M13073" s="277"/>
      <c r="O13073" s="247"/>
      <c r="AC13073" s="247"/>
      <c r="AT13073" s="247"/>
    </row>
    <row r="13074">
      <c r="C13074" s="277"/>
      <c r="M13074" s="277"/>
      <c r="O13074" s="247"/>
      <c r="AC13074" s="247"/>
      <c r="AT13074" s="247"/>
    </row>
    <row r="13075">
      <c r="C13075" s="277"/>
      <c r="M13075" s="277"/>
      <c r="O13075" s="247"/>
      <c r="AC13075" s="247"/>
      <c r="AT13075" s="247"/>
    </row>
    <row r="13076">
      <c r="C13076" s="277"/>
      <c r="M13076" s="277"/>
      <c r="O13076" s="247"/>
      <c r="AC13076" s="247"/>
      <c r="AT13076" s="247"/>
    </row>
    <row r="13077">
      <c r="C13077" s="277"/>
      <c r="M13077" s="277"/>
      <c r="O13077" s="247"/>
      <c r="AC13077" s="247"/>
      <c r="AT13077" s="247"/>
    </row>
    <row r="13078">
      <c r="C13078" s="277"/>
      <c r="M13078" s="277"/>
      <c r="O13078" s="247"/>
      <c r="AC13078" s="247"/>
      <c r="AT13078" s="247"/>
    </row>
    <row r="13079">
      <c r="C13079" s="277"/>
      <c r="M13079" s="277"/>
      <c r="O13079" s="247"/>
      <c r="AC13079" s="247"/>
      <c r="AT13079" s="247"/>
    </row>
    <row r="13080">
      <c r="C13080" s="277"/>
      <c r="M13080" s="277"/>
      <c r="O13080" s="247"/>
      <c r="AC13080" s="247"/>
      <c r="AT13080" s="247"/>
    </row>
    <row r="13081">
      <c r="C13081" s="277"/>
      <c r="M13081" s="277"/>
      <c r="O13081" s="247"/>
      <c r="AC13081" s="247"/>
      <c r="AT13081" s="247"/>
    </row>
    <row r="13082">
      <c r="C13082" s="277"/>
      <c r="M13082" s="277"/>
      <c r="O13082" s="247"/>
      <c r="AC13082" s="247"/>
      <c r="AT13082" s="247"/>
    </row>
    <row r="13083">
      <c r="C13083" s="277"/>
      <c r="M13083" s="277"/>
      <c r="O13083" s="247"/>
      <c r="AC13083" s="247"/>
      <c r="AT13083" s="247"/>
    </row>
    <row r="13084">
      <c r="C13084" s="277"/>
      <c r="M13084" s="277"/>
      <c r="O13084" s="247"/>
      <c r="AC13084" s="247"/>
      <c r="AT13084" s="247"/>
    </row>
    <row r="13085">
      <c r="C13085" s="277"/>
      <c r="M13085" s="277"/>
      <c r="O13085" s="247"/>
      <c r="AC13085" s="247"/>
      <c r="AT13085" s="247"/>
    </row>
    <row r="13086">
      <c r="C13086" s="277"/>
      <c r="M13086" s="277"/>
      <c r="O13086" s="247"/>
      <c r="AC13086" s="247"/>
      <c r="AT13086" s="247"/>
    </row>
    <row r="13087">
      <c r="C13087" s="277"/>
      <c r="M13087" s="277"/>
      <c r="O13087" s="247"/>
      <c r="AC13087" s="247"/>
      <c r="AT13087" s="247"/>
    </row>
    <row r="13088">
      <c r="C13088" s="277"/>
      <c r="M13088" s="277"/>
      <c r="O13088" s="247"/>
      <c r="AC13088" s="247"/>
      <c r="AT13088" s="247"/>
    </row>
    <row r="13089">
      <c r="C13089" s="277"/>
      <c r="M13089" s="277"/>
      <c r="O13089" s="247"/>
      <c r="AC13089" s="247"/>
      <c r="AT13089" s="247"/>
    </row>
    <row r="13090">
      <c r="C13090" s="277"/>
      <c r="M13090" s="277"/>
      <c r="O13090" s="247"/>
      <c r="AC13090" s="247"/>
      <c r="AT13090" s="247"/>
    </row>
    <row r="13091">
      <c r="C13091" s="277"/>
      <c r="M13091" s="277"/>
      <c r="O13091" s="247"/>
      <c r="AC13091" s="247"/>
      <c r="AT13091" s="247"/>
    </row>
    <row r="13092">
      <c r="C13092" s="277"/>
      <c r="M13092" s="277"/>
      <c r="O13092" s="247"/>
      <c r="AC13092" s="247"/>
      <c r="AT13092" s="247"/>
    </row>
    <row r="13093">
      <c r="C13093" s="277"/>
      <c r="M13093" s="277"/>
      <c r="O13093" s="247"/>
      <c r="AC13093" s="247"/>
      <c r="AT13093" s="247"/>
    </row>
    <row r="13094">
      <c r="C13094" s="277"/>
      <c r="M13094" s="277"/>
      <c r="O13094" s="247"/>
      <c r="AC13094" s="247"/>
      <c r="AT13094" s="247"/>
    </row>
    <row r="13095">
      <c r="C13095" s="277"/>
      <c r="M13095" s="277"/>
      <c r="O13095" s="247"/>
      <c r="AC13095" s="247"/>
      <c r="AT13095" s="247"/>
    </row>
    <row r="13096">
      <c r="C13096" s="277"/>
      <c r="M13096" s="277"/>
      <c r="O13096" s="247"/>
      <c r="AC13096" s="247"/>
      <c r="AT13096" s="247"/>
    </row>
    <row r="13097">
      <c r="C13097" s="277"/>
      <c r="M13097" s="277"/>
      <c r="O13097" s="247"/>
      <c r="AC13097" s="247"/>
      <c r="AT13097" s="247"/>
    </row>
    <row r="13098">
      <c r="C13098" s="277"/>
      <c r="M13098" s="277"/>
      <c r="O13098" s="247"/>
      <c r="AC13098" s="247"/>
      <c r="AT13098" s="247"/>
    </row>
    <row r="13099">
      <c r="C13099" s="277"/>
      <c r="M13099" s="277"/>
      <c r="O13099" s="247"/>
      <c r="AC13099" s="247"/>
      <c r="AT13099" s="247"/>
    </row>
    <row r="13100">
      <c r="C13100" s="277"/>
      <c r="M13100" s="277"/>
      <c r="O13100" s="247"/>
      <c r="AC13100" s="247"/>
      <c r="AT13100" s="247"/>
    </row>
    <row r="13101">
      <c r="C13101" s="277"/>
      <c r="M13101" s="277"/>
      <c r="O13101" s="247"/>
      <c r="AC13101" s="247"/>
      <c r="AT13101" s="247"/>
    </row>
    <row r="13102">
      <c r="C13102" s="277"/>
      <c r="M13102" s="277"/>
      <c r="O13102" s="247"/>
      <c r="AC13102" s="247"/>
      <c r="AT13102" s="247"/>
    </row>
    <row r="13103">
      <c r="C13103" s="277"/>
      <c r="M13103" s="277"/>
      <c r="O13103" s="247"/>
      <c r="AC13103" s="247"/>
      <c r="AT13103" s="247"/>
    </row>
    <row r="13104">
      <c r="C13104" s="277"/>
      <c r="M13104" s="277"/>
      <c r="O13104" s="247"/>
      <c r="AC13104" s="247"/>
      <c r="AT13104" s="247"/>
    </row>
    <row r="13105">
      <c r="C13105" s="277"/>
      <c r="M13105" s="277"/>
      <c r="O13105" s="247"/>
      <c r="AC13105" s="247"/>
      <c r="AT13105" s="247"/>
    </row>
    <row r="13106">
      <c r="C13106" s="277"/>
      <c r="M13106" s="277"/>
      <c r="O13106" s="247"/>
      <c r="AC13106" s="247"/>
      <c r="AT13106" s="247"/>
    </row>
    <row r="13107">
      <c r="C13107" s="277"/>
      <c r="M13107" s="277"/>
      <c r="O13107" s="247"/>
      <c r="AC13107" s="247"/>
      <c r="AT13107" s="247"/>
    </row>
    <row r="13108">
      <c r="C13108" s="277"/>
      <c r="M13108" s="277"/>
      <c r="O13108" s="247"/>
      <c r="AC13108" s="247"/>
      <c r="AT13108" s="247"/>
    </row>
    <row r="13109">
      <c r="C13109" s="277"/>
      <c r="M13109" s="277"/>
      <c r="O13109" s="247"/>
      <c r="AC13109" s="247"/>
      <c r="AT13109" s="247"/>
    </row>
    <row r="13110">
      <c r="C13110" s="277"/>
      <c r="M13110" s="277"/>
      <c r="O13110" s="247"/>
      <c r="AC13110" s="247"/>
      <c r="AT13110" s="247"/>
    </row>
    <row r="13111">
      <c r="C13111" s="277"/>
      <c r="M13111" s="277"/>
      <c r="O13111" s="247"/>
      <c r="AC13111" s="247"/>
      <c r="AT13111" s="247"/>
    </row>
    <row r="13112">
      <c r="C13112" s="277"/>
      <c r="M13112" s="277"/>
      <c r="O13112" s="247"/>
      <c r="AC13112" s="247"/>
      <c r="AT13112" s="247"/>
    </row>
    <row r="13113">
      <c r="C13113" s="277"/>
      <c r="M13113" s="277"/>
      <c r="O13113" s="247"/>
      <c r="AC13113" s="247"/>
      <c r="AT13113" s="247"/>
    </row>
    <row r="13114">
      <c r="C13114" s="277"/>
      <c r="M13114" s="277"/>
      <c r="O13114" s="247"/>
      <c r="AC13114" s="247"/>
      <c r="AT13114" s="247"/>
    </row>
    <row r="13115">
      <c r="C13115" s="277"/>
      <c r="M13115" s="277"/>
      <c r="O13115" s="247"/>
      <c r="AC13115" s="247"/>
      <c r="AT13115" s="247"/>
    </row>
    <row r="13116">
      <c r="C13116" s="277"/>
      <c r="M13116" s="277"/>
      <c r="O13116" s="247"/>
      <c r="AC13116" s="247"/>
      <c r="AT13116" s="247"/>
    </row>
    <row r="13117">
      <c r="C13117" s="277"/>
      <c r="M13117" s="277"/>
      <c r="O13117" s="247"/>
      <c r="AC13117" s="247"/>
      <c r="AT13117" s="247"/>
    </row>
    <row r="13118">
      <c r="C13118" s="277"/>
      <c r="M13118" s="277"/>
      <c r="O13118" s="247"/>
      <c r="AC13118" s="247"/>
      <c r="AT13118" s="247"/>
    </row>
    <row r="13119">
      <c r="C13119" s="277"/>
      <c r="M13119" s="277"/>
      <c r="O13119" s="247"/>
      <c r="AC13119" s="247"/>
      <c r="AT13119" s="247"/>
    </row>
    <row r="13120">
      <c r="C13120" s="277"/>
      <c r="M13120" s="277"/>
      <c r="O13120" s="247"/>
      <c r="AC13120" s="247"/>
      <c r="AT13120" s="247"/>
    </row>
    <row r="13121">
      <c r="C13121" s="277"/>
      <c r="M13121" s="277"/>
      <c r="O13121" s="247"/>
      <c r="AC13121" s="247"/>
      <c r="AT13121" s="247"/>
    </row>
    <row r="13122">
      <c r="C13122" s="277"/>
      <c r="M13122" s="277"/>
      <c r="O13122" s="247"/>
      <c r="AC13122" s="247"/>
      <c r="AT13122" s="247"/>
    </row>
    <row r="13123">
      <c r="C13123" s="277"/>
      <c r="M13123" s="277"/>
      <c r="O13123" s="247"/>
      <c r="AC13123" s="247"/>
      <c r="AT13123" s="247"/>
    </row>
    <row r="13124">
      <c r="C13124" s="277"/>
      <c r="M13124" s="277"/>
      <c r="O13124" s="247"/>
      <c r="AC13124" s="247"/>
      <c r="AT13124" s="247"/>
    </row>
    <row r="13125">
      <c r="C13125" s="277"/>
      <c r="M13125" s="277"/>
      <c r="O13125" s="247"/>
      <c r="AC13125" s="247"/>
      <c r="AT13125" s="247"/>
    </row>
    <row r="13126">
      <c r="C13126" s="277"/>
      <c r="M13126" s="277"/>
      <c r="O13126" s="247"/>
      <c r="AC13126" s="247"/>
      <c r="AT13126" s="247"/>
    </row>
    <row r="13127">
      <c r="C13127" s="277"/>
      <c r="M13127" s="277"/>
      <c r="O13127" s="247"/>
      <c r="AC13127" s="247"/>
      <c r="AT13127" s="247"/>
    </row>
    <row r="13128">
      <c r="C13128" s="277"/>
      <c r="M13128" s="277"/>
      <c r="O13128" s="247"/>
      <c r="AC13128" s="247"/>
      <c r="AT13128" s="247"/>
    </row>
    <row r="13129">
      <c r="C13129" s="277"/>
      <c r="M13129" s="277"/>
      <c r="O13129" s="247"/>
      <c r="AC13129" s="247"/>
      <c r="AT13129" s="247"/>
    </row>
    <row r="13130">
      <c r="C13130" s="277"/>
      <c r="M13130" s="277"/>
      <c r="O13130" s="247"/>
      <c r="AC13130" s="247"/>
      <c r="AT13130" s="247"/>
    </row>
    <row r="13131">
      <c r="C13131" s="277"/>
      <c r="M13131" s="277"/>
      <c r="O13131" s="247"/>
      <c r="AC13131" s="247"/>
      <c r="AT13131" s="247"/>
    </row>
    <row r="13132">
      <c r="C13132" s="277"/>
      <c r="M13132" s="277"/>
      <c r="O13132" s="247"/>
      <c r="AC13132" s="247"/>
      <c r="AT13132" s="247"/>
    </row>
    <row r="13133">
      <c r="C13133" s="277"/>
      <c r="M13133" s="277"/>
      <c r="O13133" s="247"/>
      <c r="AC13133" s="247"/>
      <c r="AT13133" s="247"/>
    </row>
    <row r="13134">
      <c r="C13134" s="277"/>
      <c r="M13134" s="277"/>
      <c r="O13134" s="247"/>
      <c r="AC13134" s="247"/>
      <c r="AT13134" s="247"/>
    </row>
    <row r="13135">
      <c r="C13135" s="277"/>
      <c r="M13135" s="277"/>
      <c r="O13135" s="247"/>
      <c r="AC13135" s="247"/>
      <c r="AT13135" s="247"/>
    </row>
    <row r="13136">
      <c r="C13136" s="277"/>
      <c r="M13136" s="277"/>
      <c r="O13136" s="247"/>
      <c r="AC13136" s="247"/>
      <c r="AT13136" s="247"/>
    </row>
    <row r="13137">
      <c r="C13137" s="277"/>
      <c r="M13137" s="277"/>
      <c r="O13137" s="247"/>
      <c r="AC13137" s="247"/>
      <c r="AT13137" s="247"/>
    </row>
    <row r="13138">
      <c r="C13138" s="277"/>
      <c r="M13138" s="277"/>
      <c r="O13138" s="247"/>
      <c r="AC13138" s="247"/>
      <c r="AT13138" s="247"/>
    </row>
    <row r="13139">
      <c r="C13139" s="277"/>
      <c r="M13139" s="277"/>
      <c r="O13139" s="247"/>
      <c r="AC13139" s="247"/>
      <c r="AT13139" s="247"/>
    </row>
    <row r="13140">
      <c r="C13140" s="277"/>
      <c r="M13140" s="277"/>
      <c r="O13140" s="247"/>
      <c r="AC13140" s="247"/>
      <c r="AT13140" s="247"/>
    </row>
    <row r="13141">
      <c r="C13141" s="277"/>
      <c r="M13141" s="277"/>
      <c r="O13141" s="247"/>
      <c r="AC13141" s="247"/>
      <c r="AT13141" s="247"/>
    </row>
    <row r="13142">
      <c r="C13142" s="277"/>
      <c r="M13142" s="277"/>
      <c r="O13142" s="247"/>
      <c r="AC13142" s="247"/>
      <c r="AT13142" s="247"/>
    </row>
    <row r="13143">
      <c r="C13143" s="277"/>
      <c r="M13143" s="277"/>
      <c r="O13143" s="247"/>
      <c r="AC13143" s="247"/>
      <c r="AT13143" s="247"/>
    </row>
    <row r="13144">
      <c r="C13144" s="277"/>
      <c r="M13144" s="277"/>
      <c r="O13144" s="247"/>
      <c r="AC13144" s="247"/>
      <c r="AT13144" s="247"/>
    </row>
    <row r="13145">
      <c r="C13145" s="277"/>
      <c r="M13145" s="277"/>
      <c r="O13145" s="247"/>
      <c r="AC13145" s="247"/>
      <c r="AT13145" s="247"/>
    </row>
    <row r="13146">
      <c r="C13146" s="277"/>
      <c r="M13146" s="277"/>
      <c r="O13146" s="247"/>
      <c r="AC13146" s="247"/>
      <c r="AT13146" s="247"/>
    </row>
    <row r="13147">
      <c r="C13147" s="277"/>
      <c r="M13147" s="277"/>
      <c r="O13147" s="247"/>
      <c r="AC13147" s="247"/>
      <c r="AT13147" s="247"/>
    </row>
    <row r="13148">
      <c r="C13148" s="277"/>
      <c r="M13148" s="277"/>
      <c r="O13148" s="247"/>
      <c r="AC13148" s="247"/>
      <c r="AT13148" s="247"/>
    </row>
    <row r="13149">
      <c r="C13149" s="277"/>
      <c r="M13149" s="277"/>
      <c r="O13149" s="247"/>
      <c r="AC13149" s="247"/>
      <c r="AT13149" s="247"/>
    </row>
    <row r="13150">
      <c r="C13150" s="277"/>
      <c r="M13150" s="277"/>
      <c r="O13150" s="247"/>
      <c r="AC13150" s="247"/>
      <c r="AT13150" s="247"/>
    </row>
    <row r="13151">
      <c r="C13151" s="277"/>
      <c r="M13151" s="277"/>
      <c r="O13151" s="247"/>
      <c r="AC13151" s="247"/>
      <c r="AT13151" s="247"/>
    </row>
    <row r="13152">
      <c r="C13152" s="277"/>
      <c r="M13152" s="277"/>
      <c r="O13152" s="247"/>
      <c r="AC13152" s="247"/>
      <c r="AT13152" s="247"/>
    </row>
    <row r="13153">
      <c r="C13153" s="277"/>
      <c r="M13153" s="277"/>
      <c r="O13153" s="247"/>
      <c r="AC13153" s="247"/>
      <c r="AT13153" s="247"/>
    </row>
    <row r="13154">
      <c r="C13154" s="277"/>
      <c r="M13154" s="277"/>
      <c r="O13154" s="247"/>
      <c r="AC13154" s="247"/>
      <c r="AT13154" s="247"/>
    </row>
    <row r="13155">
      <c r="C13155" s="277"/>
      <c r="M13155" s="277"/>
      <c r="O13155" s="247"/>
      <c r="AC13155" s="247"/>
      <c r="AT13155" s="247"/>
    </row>
    <row r="13156">
      <c r="C13156" s="277"/>
      <c r="M13156" s="277"/>
      <c r="O13156" s="247"/>
      <c r="AC13156" s="247"/>
      <c r="AT13156" s="247"/>
    </row>
    <row r="13157">
      <c r="C13157" s="277"/>
      <c r="M13157" s="277"/>
      <c r="O13157" s="247"/>
      <c r="AC13157" s="247"/>
      <c r="AT13157" s="247"/>
    </row>
    <row r="13158">
      <c r="C13158" s="277"/>
      <c r="M13158" s="277"/>
      <c r="O13158" s="247"/>
      <c r="AC13158" s="247"/>
      <c r="AT13158" s="247"/>
    </row>
    <row r="13159">
      <c r="C13159" s="277"/>
      <c r="M13159" s="277"/>
      <c r="O13159" s="247"/>
      <c r="AC13159" s="247"/>
      <c r="AT13159" s="247"/>
    </row>
    <row r="13160">
      <c r="C13160" s="277"/>
      <c r="M13160" s="277"/>
      <c r="O13160" s="247"/>
      <c r="AC13160" s="247"/>
      <c r="AT13160" s="247"/>
    </row>
    <row r="13161">
      <c r="C13161" s="277"/>
      <c r="M13161" s="277"/>
      <c r="O13161" s="247"/>
      <c r="AC13161" s="247"/>
      <c r="AT13161" s="247"/>
    </row>
    <row r="13162">
      <c r="C13162" s="277"/>
      <c r="M13162" s="277"/>
      <c r="O13162" s="247"/>
      <c r="AC13162" s="247"/>
      <c r="AT13162" s="247"/>
    </row>
    <row r="13163">
      <c r="C13163" s="277"/>
      <c r="M13163" s="277"/>
      <c r="O13163" s="247"/>
      <c r="AC13163" s="247"/>
      <c r="AT13163" s="247"/>
    </row>
    <row r="13164">
      <c r="C13164" s="277"/>
      <c r="M13164" s="277"/>
      <c r="O13164" s="247"/>
      <c r="AC13164" s="247"/>
      <c r="AT13164" s="247"/>
    </row>
    <row r="13165">
      <c r="C13165" s="277"/>
      <c r="M13165" s="277"/>
      <c r="O13165" s="247"/>
      <c r="AC13165" s="247"/>
      <c r="AT13165" s="247"/>
    </row>
    <row r="13166">
      <c r="C13166" s="277"/>
      <c r="M13166" s="277"/>
      <c r="O13166" s="247"/>
      <c r="AC13166" s="247"/>
      <c r="AT13166" s="247"/>
    </row>
    <row r="13167">
      <c r="C13167" s="277"/>
      <c r="M13167" s="277"/>
      <c r="O13167" s="247"/>
      <c r="AC13167" s="247"/>
      <c r="AT13167" s="247"/>
    </row>
    <row r="13168">
      <c r="C13168" s="277"/>
      <c r="M13168" s="277"/>
      <c r="O13168" s="247"/>
      <c r="AC13168" s="247"/>
      <c r="AT13168" s="247"/>
    </row>
    <row r="13169">
      <c r="C13169" s="277"/>
      <c r="M13169" s="277"/>
      <c r="O13169" s="247"/>
      <c r="AC13169" s="247"/>
      <c r="AT13169" s="247"/>
    </row>
    <row r="13170">
      <c r="C13170" s="277"/>
      <c r="M13170" s="277"/>
      <c r="O13170" s="247"/>
      <c r="AC13170" s="247"/>
      <c r="AT13170" s="247"/>
    </row>
    <row r="13171">
      <c r="C13171" s="277"/>
      <c r="M13171" s="277"/>
      <c r="O13171" s="247"/>
      <c r="AC13171" s="247"/>
      <c r="AT13171" s="247"/>
    </row>
    <row r="13172">
      <c r="C13172" s="277"/>
      <c r="M13172" s="277"/>
      <c r="O13172" s="247"/>
      <c r="AC13172" s="247"/>
      <c r="AT13172" s="247"/>
    </row>
    <row r="13173">
      <c r="C13173" s="277"/>
      <c r="M13173" s="277"/>
      <c r="O13173" s="247"/>
      <c r="AC13173" s="247"/>
      <c r="AT13173" s="247"/>
    </row>
    <row r="13174">
      <c r="C13174" s="277"/>
      <c r="M13174" s="277"/>
      <c r="O13174" s="247"/>
      <c r="AC13174" s="247"/>
      <c r="AT13174" s="247"/>
    </row>
    <row r="13175">
      <c r="C13175" s="277"/>
      <c r="M13175" s="277"/>
      <c r="O13175" s="247"/>
      <c r="AC13175" s="247"/>
      <c r="AT13175" s="247"/>
    </row>
    <row r="13176">
      <c r="C13176" s="277"/>
      <c r="M13176" s="277"/>
      <c r="O13176" s="247"/>
      <c r="AC13176" s="247"/>
      <c r="AT13176" s="247"/>
    </row>
    <row r="13177">
      <c r="C13177" s="277"/>
      <c r="M13177" s="277"/>
      <c r="O13177" s="247"/>
      <c r="AC13177" s="247"/>
      <c r="AT13177" s="247"/>
    </row>
    <row r="13178">
      <c r="C13178" s="277"/>
      <c r="M13178" s="277"/>
      <c r="O13178" s="247"/>
      <c r="AC13178" s="247"/>
      <c r="AT13178" s="247"/>
    </row>
    <row r="13179">
      <c r="C13179" s="277"/>
      <c r="M13179" s="277"/>
      <c r="O13179" s="247"/>
      <c r="AC13179" s="247"/>
      <c r="AT13179" s="247"/>
    </row>
    <row r="13180">
      <c r="C13180" s="277"/>
      <c r="M13180" s="277"/>
      <c r="O13180" s="247"/>
      <c r="AC13180" s="247"/>
      <c r="AT13180" s="247"/>
    </row>
    <row r="13181">
      <c r="C13181" s="277"/>
      <c r="M13181" s="277"/>
      <c r="O13181" s="247"/>
      <c r="AC13181" s="247"/>
      <c r="AT13181" s="247"/>
    </row>
    <row r="13182">
      <c r="C13182" s="277"/>
      <c r="M13182" s="277"/>
      <c r="O13182" s="247"/>
      <c r="AC13182" s="247"/>
      <c r="AT13182" s="247"/>
    </row>
    <row r="13183">
      <c r="C13183" s="277"/>
      <c r="M13183" s="277"/>
      <c r="O13183" s="247"/>
      <c r="AC13183" s="247"/>
      <c r="AT13183" s="247"/>
    </row>
    <row r="13184">
      <c r="C13184" s="277"/>
      <c r="M13184" s="277"/>
      <c r="O13184" s="247"/>
      <c r="AC13184" s="247"/>
      <c r="AT13184" s="247"/>
    </row>
    <row r="13185">
      <c r="C13185" s="277"/>
      <c r="M13185" s="277"/>
      <c r="O13185" s="247"/>
      <c r="AC13185" s="247"/>
      <c r="AT13185" s="247"/>
    </row>
    <row r="13186">
      <c r="C13186" s="277"/>
      <c r="M13186" s="277"/>
      <c r="O13186" s="247"/>
      <c r="AC13186" s="247"/>
      <c r="AT13186" s="247"/>
    </row>
    <row r="13187">
      <c r="C13187" s="277"/>
      <c r="M13187" s="277"/>
      <c r="O13187" s="247"/>
      <c r="AC13187" s="247"/>
      <c r="AT13187" s="247"/>
    </row>
    <row r="13188">
      <c r="C13188" s="277"/>
      <c r="M13188" s="277"/>
      <c r="O13188" s="247"/>
      <c r="AC13188" s="247"/>
      <c r="AT13188" s="247"/>
    </row>
    <row r="13189">
      <c r="C13189" s="277"/>
      <c r="M13189" s="277"/>
      <c r="O13189" s="247"/>
      <c r="AC13189" s="247"/>
      <c r="AT13189" s="247"/>
    </row>
    <row r="13190">
      <c r="C13190" s="277"/>
      <c r="M13190" s="277"/>
      <c r="O13190" s="247"/>
      <c r="AC13190" s="247"/>
      <c r="AT13190" s="247"/>
    </row>
    <row r="13191">
      <c r="C13191" s="277"/>
      <c r="M13191" s="277"/>
      <c r="O13191" s="247"/>
      <c r="AC13191" s="247"/>
      <c r="AT13191" s="247"/>
    </row>
    <row r="13192">
      <c r="C13192" s="277"/>
      <c r="M13192" s="277"/>
      <c r="O13192" s="247"/>
      <c r="AC13192" s="247"/>
      <c r="AT13192" s="247"/>
    </row>
    <row r="13193">
      <c r="C13193" s="277"/>
      <c r="M13193" s="277"/>
      <c r="O13193" s="247"/>
      <c r="AC13193" s="247"/>
      <c r="AT13193" s="247"/>
    </row>
    <row r="13194">
      <c r="C13194" s="277"/>
      <c r="M13194" s="277"/>
      <c r="O13194" s="247"/>
      <c r="AC13194" s="247"/>
      <c r="AT13194" s="247"/>
    </row>
    <row r="13195">
      <c r="C13195" s="277"/>
      <c r="M13195" s="277"/>
      <c r="O13195" s="247"/>
      <c r="AC13195" s="247"/>
      <c r="AT13195" s="247"/>
    </row>
    <row r="13196">
      <c r="C13196" s="277"/>
      <c r="M13196" s="277"/>
      <c r="O13196" s="247"/>
      <c r="AC13196" s="247"/>
      <c r="AT13196" s="247"/>
    </row>
    <row r="13197">
      <c r="C13197" s="277"/>
      <c r="M13197" s="277"/>
      <c r="O13197" s="247"/>
      <c r="AC13197" s="247"/>
      <c r="AT13197" s="247"/>
    </row>
    <row r="13198">
      <c r="C13198" s="277"/>
      <c r="M13198" s="277"/>
      <c r="O13198" s="247"/>
      <c r="AC13198" s="247"/>
      <c r="AT13198" s="247"/>
    </row>
    <row r="13199">
      <c r="C13199" s="277"/>
      <c r="M13199" s="277"/>
      <c r="O13199" s="247"/>
      <c r="AC13199" s="247"/>
      <c r="AT13199" s="247"/>
    </row>
    <row r="13200">
      <c r="C13200" s="277"/>
      <c r="M13200" s="277"/>
      <c r="O13200" s="247"/>
      <c r="AC13200" s="247"/>
      <c r="AT13200" s="247"/>
    </row>
    <row r="13201">
      <c r="C13201" s="277"/>
      <c r="M13201" s="277"/>
      <c r="O13201" s="247"/>
      <c r="AC13201" s="247"/>
      <c r="AT13201" s="247"/>
    </row>
    <row r="13202">
      <c r="C13202" s="277"/>
      <c r="M13202" s="277"/>
      <c r="O13202" s="247"/>
      <c r="AC13202" s="247"/>
      <c r="AT13202" s="247"/>
    </row>
    <row r="13203">
      <c r="C13203" s="277"/>
      <c r="M13203" s="277"/>
      <c r="O13203" s="247"/>
      <c r="AC13203" s="247"/>
      <c r="AT13203" s="247"/>
    </row>
    <row r="13204">
      <c r="C13204" s="277"/>
      <c r="M13204" s="277"/>
      <c r="O13204" s="247"/>
      <c r="AC13204" s="247"/>
      <c r="AT13204" s="247"/>
    </row>
    <row r="13205">
      <c r="C13205" s="277"/>
      <c r="M13205" s="277"/>
      <c r="O13205" s="247"/>
      <c r="AC13205" s="247"/>
      <c r="AT13205" s="247"/>
    </row>
    <row r="13206">
      <c r="C13206" s="277"/>
      <c r="M13206" s="277"/>
      <c r="O13206" s="247"/>
      <c r="AC13206" s="247"/>
      <c r="AT13206" s="247"/>
    </row>
    <row r="13207">
      <c r="C13207" s="277"/>
      <c r="M13207" s="277"/>
      <c r="O13207" s="247"/>
      <c r="AC13207" s="247"/>
      <c r="AT13207" s="247"/>
    </row>
    <row r="13208">
      <c r="C13208" s="277"/>
      <c r="M13208" s="277"/>
      <c r="O13208" s="247"/>
      <c r="AC13208" s="247"/>
      <c r="AT13208" s="247"/>
    </row>
    <row r="13209">
      <c r="C13209" s="277"/>
      <c r="M13209" s="277"/>
      <c r="O13209" s="247"/>
      <c r="AC13209" s="247"/>
      <c r="AT13209" s="247"/>
    </row>
    <row r="13210">
      <c r="C13210" s="277"/>
      <c r="M13210" s="277"/>
      <c r="O13210" s="247"/>
      <c r="AC13210" s="247"/>
      <c r="AT13210" s="247"/>
    </row>
    <row r="13211">
      <c r="C13211" s="277"/>
      <c r="M13211" s="277"/>
      <c r="O13211" s="247"/>
      <c r="AC13211" s="247"/>
      <c r="AT13211" s="247"/>
    </row>
    <row r="13212">
      <c r="C13212" s="277"/>
      <c r="M13212" s="277"/>
      <c r="O13212" s="247"/>
      <c r="AC13212" s="247"/>
      <c r="AT13212" s="247"/>
    </row>
    <row r="13213">
      <c r="C13213" s="277"/>
      <c r="M13213" s="277"/>
      <c r="O13213" s="247"/>
      <c r="AC13213" s="247"/>
      <c r="AT13213" s="247"/>
    </row>
    <row r="13214">
      <c r="C13214" s="277"/>
      <c r="M13214" s="277"/>
      <c r="O13214" s="247"/>
      <c r="AC13214" s="247"/>
      <c r="AT13214" s="247"/>
    </row>
    <row r="13215">
      <c r="C13215" s="277"/>
      <c r="M13215" s="277"/>
      <c r="O13215" s="247"/>
      <c r="AC13215" s="247"/>
      <c r="AT13215" s="247"/>
    </row>
    <row r="13216">
      <c r="C13216" s="277"/>
      <c r="M13216" s="277"/>
      <c r="O13216" s="247"/>
      <c r="AC13216" s="247"/>
      <c r="AT13216" s="247"/>
    </row>
    <row r="13217">
      <c r="C13217" s="277"/>
      <c r="M13217" s="277"/>
      <c r="O13217" s="247"/>
      <c r="AC13217" s="247"/>
      <c r="AT13217" s="247"/>
    </row>
    <row r="13218">
      <c r="C13218" s="277"/>
      <c r="M13218" s="277"/>
      <c r="O13218" s="247"/>
      <c r="AC13218" s="247"/>
      <c r="AT13218" s="247"/>
    </row>
    <row r="13219">
      <c r="C13219" s="277"/>
      <c r="M13219" s="277"/>
      <c r="O13219" s="247"/>
      <c r="AC13219" s="247"/>
      <c r="AT13219" s="247"/>
    </row>
    <row r="13220">
      <c r="C13220" s="277"/>
      <c r="M13220" s="277"/>
      <c r="O13220" s="247"/>
      <c r="AC13220" s="247"/>
      <c r="AT13220" s="247"/>
    </row>
    <row r="13221">
      <c r="C13221" s="277"/>
      <c r="M13221" s="277"/>
      <c r="O13221" s="247"/>
      <c r="AC13221" s="247"/>
      <c r="AT13221" s="247"/>
    </row>
    <row r="13222">
      <c r="C13222" s="277"/>
      <c r="M13222" s="277"/>
      <c r="O13222" s="247"/>
      <c r="AC13222" s="247"/>
      <c r="AT13222" s="247"/>
    </row>
    <row r="13223">
      <c r="C13223" s="277"/>
      <c r="M13223" s="277"/>
      <c r="O13223" s="247"/>
      <c r="AC13223" s="247"/>
      <c r="AT13223" s="247"/>
    </row>
    <row r="13224">
      <c r="C13224" s="277"/>
      <c r="M13224" s="277"/>
      <c r="O13224" s="247"/>
      <c r="AC13224" s="247"/>
      <c r="AT13224" s="247"/>
    </row>
    <row r="13225">
      <c r="C13225" s="277"/>
      <c r="M13225" s="277"/>
      <c r="O13225" s="247"/>
      <c r="AC13225" s="247"/>
      <c r="AT13225" s="247"/>
    </row>
    <row r="13226">
      <c r="C13226" s="277"/>
      <c r="M13226" s="277"/>
      <c r="O13226" s="247"/>
      <c r="AC13226" s="247"/>
      <c r="AT13226" s="247"/>
    </row>
    <row r="13227">
      <c r="C13227" s="277"/>
      <c r="M13227" s="277"/>
      <c r="O13227" s="247"/>
      <c r="AC13227" s="247"/>
      <c r="AT13227" s="247"/>
    </row>
    <row r="13228">
      <c r="C13228" s="277"/>
      <c r="M13228" s="277"/>
      <c r="O13228" s="247"/>
      <c r="AC13228" s="247"/>
      <c r="AT13228" s="247"/>
    </row>
    <row r="13229">
      <c r="C13229" s="277"/>
      <c r="M13229" s="277"/>
      <c r="O13229" s="247"/>
      <c r="AC13229" s="247"/>
      <c r="AT13229" s="247"/>
    </row>
    <row r="13230">
      <c r="C13230" s="277"/>
      <c r="M13230" s="277"/>
      <c r="O13230" s="247"/>
      <c r="AC13230" s="247"/>
      <c r="AT13230" s="247"/>
    </row>
    <row r="13231">
      <c r="C13231" s="277"/>
      <c r="M13231" s="277"/>
      <c r="O13231" s="247"/>
      <c r="AC13231" s="247"/>
      <c r="AT13231" s="247"/>
    </row>
    <row r="13232">
      <c r="C13232" s="277"/>
      <c r="M13232" s="277"/>
      <c r="O13232" s="247"/>
      <c r="AC13232" s="247"/>
      <c r="AT13232" s="247"/>
    </row>
    <row r="13233">
      <c r="C13233" s="277"/>
      <c r="M13233" s="277"/>
      <c r="O13233" s="247"/>
      <c r="AC13233" s="247"/>
      <c r="AT13233" s="247"/>
    </row>
    <row r="13234">
      <c r="C13234" s="277"/>
      <c r="M13234" s="277"/>
      <c r="O13234" s="247"/>
      <c r="AC13234" s="247"/>
      <c r="AT13234" s="247"/>
    </row>
    <row r="13235">
      <c r="C13235" s="277"/>
      <c r="M13235" s="277"/>
      <c r="O13235" s="247"/>
      <c r="AC13235" s="247"/>
      <c r="AT13235" s="247"/>
    </row>
    <row r="13236">
      <c r="C13236" s="277"/>
      <c r="M13236" s="277"/>
      <c r="O13236" s="247"/>
      <c r="AC13236" s="247"/>
      <c r="AT13236" s="247"/>
    </row>
    <row r="13237">
      <c r="C13237" s="277"/>
      <c r="M13237" s="277"/>
      <c r="O13237" s="247"/>
      <c r="AC13237" s="247"/>
      <c r="AT13237" s="247"/>
    </row>
    <row r="13238">
      <c r="C13238" s="277"/>
      <c r="M13238" s="277"/>
      <c r="O13238" s="247"/>
      <c r="AC13238" s="247"/>
      <c r="AT13238" s="247"/>
    </row>
    <row r="13239">
      <c r="C13239" s="277"/>
      <c r="M13239" s="277"/>
      <c r="O13239" s="247"/>
      <c r="AC13239" s="247"/>
      <c r="AT13239" s="247"/>
    </row>
    <row r="13240">
      <c r="C13240" s="277"/>
      <c r="M13240" s="277"/>
      <c r="O13240" s="247"/>
      <c r="AC13240" s="247"/>
      <c r="AT13240" s="247"/>
    </row>
    <row r="13241">
      <c r="C13241" s="277"/>
      <c r="M13241" s="277"/>
      <c r="O13241" s="247"/>
      <c r="AC13241" s="247"/>
      <c r="AT13241" s="247"/>
    </row>
    <row r="13242">
      <c r="C13242" s="277"/>
      <c r="M13242" s="277"/>
      <c r="O13242" s="247"/>
      <c r="AC13242" s="247"/>
      <c r="AT13242" s="247"/>
    </row>
    <row r="13243">
      <c r="C13243" s="277"/>
      <c r="M13243" s="277"/>
      <c r="O13243" s="247"/>
      <c r="AC13243" s="247"/>
      <c r="AT13243" s="247"/>
    </row>
    <row r="13244">
      <c r="C13244" s="277"/>
      <c r="M13244" s="277"/>
      <c r="O13244" s="247"/>
      <c r="AC13244" s="247"/>
      <c r="AT13244" s="247"/>
    </row>
    <row r="13245">
      <c r="C13245" s="277"/>
      <c r="M13245" s="277"/>
      <c r="O13245" s="247"/>
      <c r="AC13245" s="247"/>
      <c r="AT13245" s="247"/>
    </row>
    <row r="13246">
      <c r="C13246" s="277"/>
      <c r="M13246" s="277"/>
      <c r="O13246" s="247"/>
      <c r="AC13246" s="247"/>
      <c r="AT13246" s="247"/>
    </row>
    <row r="13247">
      <c r="C13247" s="277"/>
      <c r="M13247" s="277"/>
      <c r="O13247" s="247"/>
      <c r="AC13247" s="247"/>
      <c r="AT13247" s="247"/>
    </row>
    <row r="13248">
      <c r="C13248" s="277"/>
      <c r="M13248" s="277"/>
      <c r="O13248" s="247"/>
      <c r="AC13248" s="247"/>
      <c r="AT13248" s="247"/>
    </row>
    <row r="13249">
      <c r="C13249" s="277"/>
      <c r="M13249" s="277"/>
      <c r="O13249" s="247"/>
      <c r="AC13249" s="247"/>
      <c r="AT13249" s="247"/>
    </row>
    <row r="13250">
      <c r="C13250" s="277"/>
      <c r="M13250" s="277"/>
      <c r="O13250" s="247"/>
      <c r="AC13250" s="247"/>
      <c r="AT13250" s="247"/>
    </row>
    <row r="13251">
      <c r="C13251" s="277"/>
      <c r="M13251" s="277"/>
      <c r="O13251" s="247"/>
      <c r="AC13251" s="247"/>
      <c r="AT13251" s="247"/>
    </row>
    <row r="13252">
      <c r="C13252" s="277"/>
      <c r="M13252" s="277"/>
      <c r="O13252" s="247"/>
      <c r="AC13252" s="247"/>
      <c r="AT13252" s="247"/>
    </row>
    <row r="13253">
      <c r="C13253" s="277"/>
      <c r="M13253" s="277"/>
      <c r="O13253" s="247"/>
      <c r="AC13253" s="247"/>
      <c r="AT13253" s="247"/>
    </row>
    <row r="13254">
      <c r="C13254" s="277"/>
      <c r="M13254" s="277"/>
      <c r="O13254" s="247"/>
      <c r="AC13254" s="247"/>
      <c r="AT13254" s="247"/>
    </row>
    <row r="13255">
      <c r="C13255" s="277"/>
      <c r="M13255" s="277"/>
      <c r="O13255" s="247"/>
      <c r="AC13255" s="247"/>
      <c r="AT13255" s="247"/>
    </row>
    <row r="13256">
      <c r="C13256" s="277"/>
      <c r="M13256" s="277"/>
      <c r="O13256" s="247"/>
      <c r="AC13256" s="247"/>
      <c r="AT13256" s="247"/>
    </row>
    <row r="13257">
      <c r="C13257" s="277"/>
      <c r="M13257" s="277"/>
      <c r="O13257" s="247"/>
      <c r="AC13257" s="247"/>
      <c r="AT13257" s="247"/>
    </row>
    <row r="13258">
      <c r="C13258" s="277"/>
      <c r="M13258" s="277"/>
      <c r="O13258" s="247"/>
      <c r="AC13258" s="247"/>
      <c r="AT13258" s="247"/>
    </row>
    <row r="13259">
      <c r="C13259" s="277"/>
      <c r="M13259" s="277"/>
      <c r="O13259" s="247"/>
      <c r="AC13259" s="247"/>
      <c r="AT13259" s="247"/>
    </row>
    <row r="13260">
      <c r="C13260" s="277"/>
      <c r="M13260" s="277"/>
      <c r="O13260" s="247"/>
      <c r="AC13260" s="247"/>
      <c r="AT13260" s="247"/>
    </row>
    <row r="13261">
      <c r="C13261" s="277"/>
      <c r="M13261" s="277"/>
      <c r="O13261" s="247"/>
      <c r="AC13261" s="247"/>
      <c r="AT13261" s="247"/>
    </row>
    <row r="13262">
      <c r="C13262" s="277"/>
      <c r="M13262" s="277"/>
      <c r="O13262" s="247"/>
      <c r="AC13262" s="247"/>
      <c r="AT13262" s="247"/>
    </row>
    <row r="13263">
      <c r="C13263" s="277"/>
      <c r="M13263" s="277"/>
      <c r="O13263" s="247"/>
      <c r="AC13263" s="247"/>
      <c r="AT13263" s="247"/>
    </row>
    <row r="13264">
      <c r="C13264" s="277"/>
      <c r="M13264" s="277"/>
      <c r="O13264" s="247"/>
      <c r="AC13264" s="247"/>
      <c r="AT13264" s="247"/>
    </row>
    <row r="13265">
      <c r="C13265" s="277"/>
      <c r="M13265" s="277"/>
      <c r="O13265" s="247"/>
      <c r="AC13265" s="247"/>
      <c r="AT13265" s="247"/>
    </row>
    <row r="13266">
      <c r="C13266" s="277"/>
      <c r="M13266" s="277"/>
      <c r="O13266" s="247"/>
      <c r="AC13266" s="247"/>
      <c r="AT13266" s="247"/>
    </row>
    <row r="13267">
      <c r="C13267" s="277"/>
      <c r="M13267" s="277"/>
      <c r="O13267" s="247"/>
      <c r="AC13267" s="247"/>
      <c r="AT13267" s="247"/>
    </row>
    <row r="13268">
      <c r="C13268" s="277"/>
      <c r="M13268" s="277"/>
      <c r="O13268" s="247"/>
      <c r="AC13268" s="247"/>
      <c r="AT13268" s="247"/>
    </row>
    <row r="13269">
      <c r="C13269" s="277"/>
      <c r="M13269" s="277"/>
      <c r="O13269" s="247"/>
      <c r="AC13269" s="247"/>
      <c r="AT13269" s="247"/>
    </row>
    <row r="13270">
      <c r="C13270" s="277"/>
      <c r="M13270" s="277"/>
      <c r="O13270" s="247"/>
      <c r="AC13270" s="247"/>
      <c r="AT13270" s="247"/>
    </row>
    <row r="13271">
      <c r="C13271" s="277"/>
      <c r="M13271" s="277"/>
      <c r="O13271" s="247"/>
      <c r="AC13271" s="247"/>
      <c r="AT13271" s="247"/>
    </row>
    <row r="13272">
      <c r="C13272" s="277"/>
      <c r="M13272" s="277"/>
      <c r="O13272" s="247"/>
      <c r="AC13272" s="247"/>
      <c r="AT13272" s="247"/>
    </row>
    <row r="13273">
      <c r="C13273" s="277"/>
      <c r="M13273" s="277"/>
      <c r="O13273" s="247"/>
      <c r="AC13273" s="247"/>
      <c r="AT13273" s="247"/>
    </row>
    <row r="13274">
      <c r="C13274" s="277"/>
      <c r="M13274" s="277"/>
      <c r="O13274" s="247"/>
      <c r="AC13274" s="247"/>
      <c r="AT13274" s="247"/>
    </row>
    <row r="13275">
      <c r="C13275" s="277"/>
      <c r="M13275" s="277"/>
      <c r="O13275" s="247"/>
      <c r="AC13275" s="247"/>
      <c r="AT13275" s="247"/>
    </row>
    <row r="13276">
      <c r="C13276" s="277"/>
      <c r="M13276" s="277"/>
      <c r="O13276" s="247"/>
      <c r="AC13276" s="247"/>
      <c r="AT13276" s="247"/>
    </row>
    <row r="13277">
      <c r="C13277" s="277"/>
      <c r="M13277" s="277"/>
      <c r="O13277" s="247"/>
      <c r="AC13277" s="247"/>
      <c r="AT13277" s="247"/>
    </row>
    <row r="13278">
      <c r="C13278" s="277"/>
      <c r="M13278" s="277"/>
      <c r="O13278" s="247"/>
      <c r="AC13278" s="247"/>
      <c r="AT13278" s="247"/>
    </row>
    <row r="13279">
      <c r="C13279" s="277"/>
      <c r="M13279" s="277"/>
      <c r="O13279" s="247"/>
      <c r="AC13279" s="247"/>
      <c r="AT13279" s="247"/>
    </row>
    <row r="13280">
      <c r="C13280" s="277"/>
      <c r="M13280" s="277"/>
      <c r="O13280" s="247"/>
      <c r="AC13280" s="247"/>
      <c r="AT13280" s="247"/>
    </row>
    <row r="13281">
      <c r="C13281" s="277"/>
      <c r="M13281" s="277"/>
      <c r="O13281" s="247"/>
      <c r="AC13281" s="247"/>
      <c r="AT13281" s="247"/>
    </row>
    <row r="13282">
      <c r="C13282" s="277"/>
      <c r="M13282" s="277"/>
      <c r="O13282" s="247"/>
      <c r="AC13282" s="247"/>
      <c r="AT13282" s="247"/>
    </row>
    <row r="13283">
      <c r="C13283" s="277"/>
      <c r="M13283" s="277"/>
      <c r="O13283" s="247"/>
      <c r="AC13283" s="247"/>
      <c r="AT13283" s="247"/>
    </row>
    <row r="13284">
      <c r="C13284" s="277"/>
      <c r="M13284" s="277"/>
      <c r="O13284" s="247"/>
      <c r="AC13284" s="247"/>
      <c r="AT13284" s="247"/>
    </row>
    <row r="13285">
      <c r="C13285" s="277"/>
      <c r="M13285" s="277"/>
      <c r="O13285" s="247"/>
      <c r="AC13285" s="247"/>
      <c r="AT13285" s="247"/>
    </row>
    <row r="13286">
      <c r="C13286" s="277"/>
      <c r="M13286" s="277"/>
      <c r="O13286" s="247"/>
      <c r="AC13286" s="247"/>
      <c r="AT13286" s="247"/>
    </row>
    <row r="13287">
      <c r="C13287" s="277"/>
      <c r="M13287" s="277"/>
      <c r="O13287" s="247"/>
      <c r="AC13287" s="247"/>
      <c r="AT13287" s="247"/>
    </row>
    <row r="13288">
      <c r="C13288" s="277"/>
      <c r="M13288" s="277"/>
      <c r="O13288" s="247"/>
      <c r="AC13288" s="247"/>
      <c r="AT13288" s="247"/>
    </row>
    <row r="13289">
      <c r="C13289" s="277"/>
      <c r="M13289" s="277"/>
      <c r="O13289" s="247"/>
      <c r="AC13289" s="247"/>
      <c r="AT13289" s="247"/>
    </row>
    <row r="13290">
      <c r="C13290" s="277"/>
      <c r="M13290" s="277"/>
      <c r="O13290" s="247"/>
      <c r="AC13290" s="247"/>
      <c r="AT13290" s="247"/>
    </row>
    <row r="13291">
      <c r="C13291" s="277"/>
      <c r="M13291" s="277"/>
      <c r="O13291" s="247"/>
      <c r="AC13291" s="247"/>
      <c r="AT13291" s="247"/>
    </row>
    <row r="13292">
      <c r="C13292" s="277"/>
      <c r="M13292" s="277"/>
      <c r="O13292" s="247"/>
      <c r="AC13292" s="247"/>
      <c r="AT13292" s="247"/>
    </row>
    <row r="13293">
      <c r="C13293" s="277"/>
      <c r="M13293" s="277"/>
      <c r="O13293" s="247"/>
      <c r="AC13293" s="247"/>
      <c r="AT13293" s="247"/>
    </row>
    <row r="13294">
      <c r="C13294" s="277"/>
      <c r="M13294" s="277"/>
      <c r="O13294" s="247"/>
      <c r="AC13294" s="247"/>
      <c r="AT13294" s="247"/>
    </row>
    <row r="13295">
      <c r="C13295" s="277"/>
      <c r="M13295" s="277"/>
      <c r="O13295" s="247"/>
      <c r="AC13295" s="247"/>
      <c r="AT13295" s="247"/>
    </row>
    <row r="13296">
      <c r="C13296" s="277"/>
      <c r="M13296" s="277"/>
      <c r="O13296" s="247"/>
      <c r="AC13296" s="247"/>
      <c r="AT13296" s="247"/>
    </row>
    <row r="13297">
      <c r="C13297" s="277"/>
      <c r="M13297" s="277"/>
      <c r="O13297" s="247"/>
      <c r="AC13297" s="247"/>
      <c r="AT13297" s="247"/>
    </row>
    <row r="13298">
      <c r="C13298" s="277"/>
      <c r="M13298" s="277"/>
      <c r="O13298" s="247"/>
      <c r="AC13298" s="247"/>
      <c r="AT13298" s="247"/>
    </row>
    <row r="13299">
      <c r="C13299" s="277"/>
      <c r="M13299" s="277"/>
      <c r="O13299" s="247"/>
      <c r="AC13299" s="247"/>
      <c r="AT13299" s="247"/>
    </row>
    <row r="13300">
      <c r="C13300" s="277"/>
      <c r="M13300" s="277"/>
      <c r="O13300" s="247"/>
      <c r="AC13300" s="247"/>
      <c r="AT13300" s="247"/>
    </row>
    <row r="13301">
      <c r="C13301" s="277"/>
      <c r="M13301" s="277"/>
      <c r="O13301" s="247"/>
      <c r="AC13301" s="247"/>
      <c r="AT13301" s="247"/>
    </row>
    <row r="13302">
      <c r="C13302" s="277"/>
      <c r="M13302" s="277"/>
      <c r="O13302" s="247"/>
      <c r="AC13302" s="247"/>
      <c r="AT13302" s="247"/>
    </row>
    <row r="13303">
      <c r="C13303" s="277"/>
      <c r="M13303" s="277"/>
      <c r="O13303" s="247"/>
      <c r="AC13303" s="247"/>
      <c r="AT13303" s="247"/>
    </row>
    <row r="13304">
      <c r="C13304" s="277"/>
      <c r="M13304" s="277"/>
      <c r="O13304" s="247"/>
      <c r="AC13304" s="247"/>
      <c r="AT13304" s="247"/>
    </row>
    <row r="13305">
      <c r="C13305" s="277"/>
      <c r="M13305" s="277"/>
      <c r="O13305" s="247"/>
      <c r="AC13305" s="247"/>
      <c r="AT13305" s="247"/>
    </row>
    <row r="13306">
      <c r="C13306" s="277"/>
      <c r="M13306" s="277"/>
      <c r="O13306" s="247"/>
      <c r="AC13306" s="247"/>
      <c r="AT13306" s="247"/>
    </row>
    <row r="13307">
      <c r="C13307" s="277"/>
      <c r="M13307" s="277"/>
      <c r="O13307" s="247"/>
      <c r="AC13307" s="247"/>
      <c r="AT13307" s="247"/>
    </row>
    <row r="13308">
      <c r="C13308" s="277"/>
      <c r="M13308" s="277"/>
      <c r="O13308" s="247"/>
      <c r="AC13308" s="247"/>
      <c r="AT13308" s="247"/>
    </row>
    <row r="13309">
      <c r="C13309" s="277"/>
      <c r="M13309" s="277"/>
      <c r="O13309" s="247"/>
      <c r="AC13309" s="247"/>
      <c r="AT13309" s="247"/>
    </row>
    <row r="13310">
      <c r="C13310" s="277"/>
      <c r="M13310" s="277"/>
      <c r="O13310" s="247"/>
      <c r="AC13310" s="247"/>
      <c r="AT13310" s="247"/>
    </row>
    <row r="13311">
      <c r="C13311" s="277"/>
      <c r="M13311" s="277"/>
      <c r="O13311" s="247"/>
      <c r="AC13311" s="247"/>
      <c r="AT13311" s="247"/>
    </row>
    <row r="13312">
      <c r="C13312" s="277"/>
      <c r="M13312" s="277"/>
      <c r="O13312" s="247"/>
      <c r="AC13312" s="247"/>
      <c r="AT13312" s="247"/>
    </row>
    <row r="13313">
      <c r="C13313" s="277"/>
      <c r="M13313" s="277"/>
      <c r="O13313" s="247"/>
      <c r="AC13313" s="247"/>
      <c r="AT13313" s="247"/>
    </row>
    <row r="13314">
      <c r="C13314" s="277"/>
      <c r="M13314" s="277"/>
      <c r="O13314" s="247"/>
      <c r="AC13314" s="247"/>
      <c r="AT13314" s="247"/>
    </row>
    <row r="13315">
      <c r="C13315" s="277"/>
      <c r="M13315" s="277"/>
      <c r="O13315" s="247"/>
      <c r="AC13315" s="247"/>
      <c r="AT13315" s="247"/>
    </row>
    <row r="13316">
      <c r="C13316" s="277"/>
      <c r="M13316" s="277"/>
      <c r="O13316" s="247"/>
      <c r="AC13316" s="247"/>
      <c r="AT13316" s="247"/>
    </row>
    <row r="13317">
      <c r="C13317" s="277"/>
      <c r="M13317" s="277"/>
      <c r="O13317" s="247"/>
      <c r="AC13317" s="247"/>
      <c r="AT13317" s="247"/>
    </row>
    <row r="13318">
      <c r="C13318" s="277"/>
      <c r="M13318" s="277"/>
      <c r="O13318" s="247"/>
      <c r="AC13318" s="247"/>
      <c r="AT13318" s="247"/>
    </row>
    <row r="13319">
      <c r="C13319" s="277"/>
      <c r="M13319" s="277"/>
      <c r="O13319" s="247"/>
      <c r="AC13319" s="247"/>
      <c r="AT13319" s="247"/>
    </row>
    <row r="13320">
      <c r="C13320" s="277"/>
      <c r="M13320" s="277"/>
      <c r="O13320" s="247"/>
      <c r="AC13320" s="247"/>
      <c r="AT13320" s="247"/>
    </row>
    <row r="13321">
      <c r="C13321" s="277"/>
      <c r="M13321" s="277"/>
      <c r="O13321" s="247"/>
      <c r="AC13321" s="247"/>
      <c r="AT13321" s="247"/>
    </row>
    <row r="13322">
      <c r="C13322" s="277"/>
      <c r="M13322" s="277"/>
      <c r="O13322" s="247"/>
      <c r="AC13322" s="247"/>
      <c r="AT13322" s="247"/>
    </row>
    <row r="13323">
      <c r="C13323" s="277"/>
      <c r="M13323" s="277"/>
      <c r="O13323" s="247"/>
      <c r="AC13323" s="247"/>
      <c r="AT13323" s="247"/>
    </row>
    <row r="13324">
      <c r="C13324" s="277"/>
      <c r="M13324" s="277"/>
      <c r="O13324" s="247"/>
      <c r="AC13324" s="247"/>
      <c r="AT13324" s="247"/>
    </row>
    <row r="13325">
      <c r="C13325" s="277"/>
      <c r="M13325" s="277"/>
      <c r="O13325" s="247"/>
      <c r="AC13325" s="247"/>
      <c r="AT13325" s="247"/>
    </row>
    <row r="13326">
      <c r="C13326" s="277"/>
      <c r="M13326" s="277"/>
      <c r="O13326" s="247"/>
      <c r="AC13326" s="247"/>
      <c r="AT13326" s="247"/>
    </row>
    <row r="13327">
      <c r="C13327" s="277"/>
      <c r="M13327" s="277"/>
      <c r="O13327" s="247"/>
      <c r="AC13327" s="247"/>
      <c r="AT13327" s="247"/>
    </row>
    <row r="13328">
      <c r="C13328" s="277"/>
      <c r="M13328" s="277"/>
      <c r="O13328" s="247"/>
      <c r="AC13328" s="247"/>
      <c r="AT13328" s="247"/>
    </row>
    <row r="13329">
      <c r="C13329" s="277"/>
      <c r="M13329" s="277"/>
      <c r="O13329" s="247"/>
      <c r="AC13329" s="247"/>
      <c r="AT13329" s="247"/>
    </row>
    <row r="13330">
      <c r="C13330" s="277"/>
      <c r="M13330" s="277"/>
      <c r="O13330" s="247"/>
      <c r="AC13330" s="247"/>
      <c r="AT13330" s="247"/>
    </row>
    <row r="13331">
      <c r="C13331" s="277"/>
      <c r="M13331" s="277"/>
      <c r="O13331" s="247"/>
      <c r="AC13331" s="247"/>
      <c r="AT13331" s="247"/>
    </row>
    <row r="13332">
      <c r="C13332" s="277"/>
      <c r="M13332" s="277"/>
      <c r="O13332" s="247"/>
      <c r="AC13332" s="247"/>
      <c r="AT13332" s="247"/>
    </row>
    <row r="13333">
      <c r="C13333" s="277"/>
      <c r="M13333" s="277"/>
      <c r="O13333" s="247"/>
      <c r="AC13333" s="247"/>
      <c r="AT13333" s="247"/>
    </row>
    <row r="13334">
      <c r="C13334" s="277"/>
      <c r="M13334" s="277"/>
      <c r="O13334" s="247"/>
      <c r="AC13334" s="247"/>
      <c r="AT13334" s="247"/>
    </row>
    <row r="13335">
      <c r="C13335" s="277"/>
      <c r="M13335" s="277"/>
      <c r="O13335" s="247"/>
      <c r="AC13335" s="247"/>
      <c r="AT13335" s="247"/>
    </row>
    <row r="13336">
      <c r="C13336" s="277"/>
      <c r="M13336" s="277"/>
      <c r="O13336" s="247"/>
      <c r="AC13336" s="247"/>
      <c r="AT13336" s="247"/>
    </row>
    <row r="13337">
      <c r="C13337" s="277"/>
      <c r="M13337" s="277"/>
      <c r="O13337" s="247"/>
      <c r="AC13337" s="247"/>
      <c r="AT13337" s="247"/>
    </row>
    <row r="13338">
      <c r="C13338" s="277"/>
      <c r="M13338" s="277"/>
      <c r="O13338" s="247"/>
      <c r="AC13338" s="247"/>
      <c r="AT13338" s="247"/>
    </row>
    <row r="13339">
      <c r="C13339" s="277"/>
      <c r="M13339" s="277"/>
      <c r="O13339" s="247"/>
      <c r="AC13339" s="247"/>
      <c r="AT13339" s="247"/>
    </row>
    <row r="13340">
      <c r="C13340" s="277"/>
      <c r="M13340" s="277"/>
      <c r="O13340" s="247"/>
      <c r="AC13340" s="247"/>
      <c r="AT13340" s="247"/>
    </row>
    <row r="13341">
      <c r="C13341" s="277"/>
      <c r="M13341" s="277"/>
      <c r="O13341" s="247"/>
      <c r="AC13341" s="247"/>
      <c r="AT13341" s="247"/>
    </row>
    <row r="13342">
      <c r="C13342" s="277"/>
      <c r="M13342" s="277"/>
      <c r="O13342" s="247"/>
      <c r="AC13342" s="247"/>
      <c r="AT13342" s="247"/>
    </row>
    <row r="13343">
      <c r="C13343" s="277"/>
      <c r="M13343" s="277"/>
      <c r="O13343" s="247"/>
      <c r="AC13343" s="247"/>
      <c r="AT13343" s="247"/>
    </row>
    <row r="13344">
      <c r="C13344" s="277"/>
      <c r="M13344" s="277"/>
      <c r="O13344" s="247"/>
      <c r="AC13344" s="247"/>
      <c r="AT13344" s="247"/>
    </row>
    <row r="13345">
      <c r="C13345" s="277"/>
      <c r="M13345" s="277"/>
      <c r="O13345" s="247"/>
      <c r="AC13345" s="247"/>
      <c r="AT13345" s="247"/>
    </row>
    <row r="13346">
      <c r="C13346" s="277"/>
      <c r="M13346" s="277"/>
      <c r="O13346" s="247"/>
      <c r="AC13346" s="247"/>
      <c r="AT13346" s="247"/>
    </row>
    <row r="13347">
      <c r="C13347" s="277"/>
      <c r="M13347" s="277"/>
      <c r="O13347" s="247"/>
      <c r="AC13347" s="247"/>
      <c r="AT13347" s="247"/>
    </row>
    <row r="13348">
      <c r="C13348" s="277"/>
      <c r="M13348" s="277"/>
      <c r="O13348" s="247"/>
      <c r="AC13348" s="247"/>
      <c r="AT13348" s="247"/>
    </row>
    <row r="13349">
      <c r="C13349" s="277"/>
      <c r="M13349" s="277"/>
      <c r="O13349" s="247"/>
      <c r="AC13349" s="247"/>
      <c r="AT13349" s="247"/>
    </row>
    <row r="13350">
      <c r="C13350" s="277"/>
      <c r="M13350" s="277"/>
      <c r="O13350" s="247"/>
      <c r="AC13350" s="247"/>
      <c r="AT13350" s="247"/>
    </row>
    <row r="13351">
      <c r="C13351" s="277"/>
      <c r="M13351" s="277"/>
      <c r="O13351" s="247"/>
      <c r="AC13351" s="247"/>
      <c r="AT13351" s="247"/>
    </row>
    <row r="13352">
      <c r="C13352" s="277"/>
      <c r="M13352" s="277"/>
      <c r="O13352" s="247"/>
      <c r="AC13352" s="247"/>
      <c r="AT13352" s="247"/>
    </row>
    <row r="13353">
      <c r="C13353" s="277"/>
      <c r="M13353" s="277"/>
      <c r="O13353" s="247"/>
      <c r="AC13353" s="247"/>
      <c r="AT13353" s="247"/>
    </row>
    <row r="13354">
      <c r="C13354" s="277"/>
      <c r="M13354" s="277"/>
      <c r="O13354" s="247"/>
      <c r="AC13354" s="247"/>
      <c r="AT13354" s="247"/>
    </row>
    <row r="13355">
      <c r="C13355" s="277"/>
      <c r="M13355" s="277"/>
      <c r="O13355" s="247"/>
      <c r="AC13355" s="247"/>
      <c r="AT13355" s="247"/>
    </row>
    <row r="13356">
      <c r="C13356" s="277"/>
      <c r="M13356" s="277"/>
      <c r="O13356" s="247"/>
      <c r="AC13356" s="247"/>
      <c r="AT13356" s="247"/>
    </row>
    <row r="13357">
      <c r="C13357" s="277"/>
      <c r="M13357" s="277"/>
      <c r="O13357" s="247"/>
      <c r="AC13357" s="247"/>
      <c r="AT13357" s="247"/>
    </row>
    <row r="13358">
      <c r="C13358" s="277"/>
      <c r="M13358" s="277"/>
      <c r="O13358" s="247"/>
      <c r="AC13358" s="247"/>
      <c r="AT13358" s="247"/>
    </row>
    <row r="13359">
      <c r="C13359" s="277"/>
      <c r="M13359" s="277"/>
      <c r="O13359" s="247"/>
      <c r="AC13359" s="247"/>
      <c r="AT13359" s="247"/>
    </row>
    <row r="13360">
      <c r="C13360" s="277"/>
      <c r="M13360" s="277"/>
      <c r="O13360" s="247"/>
      <c r="AC13360" s="247"/>
      <c r="AT13360" s="247"/>
    </row>
    <row r="13361">
      <c r="C13361" s="277"/>
      <c r="M13361" s="277"/>
      <c r="O13361" s="247"/>
      <c r="AC13361" s="247"/>
      <c r="AT13361" s="247"/>
    </row>
    <row r="13362">
      <c r="C13362" s="277"/>
      <c r="M13362" s="277"/>
      <c r="O13362" s="247"/>
      <c r="AC13362" s="247"/>
      <c r="AT13362" s="247"/>
    </row>
    <row r="13363">
      <c r="C13363" s="277"/>
      <c r="M13363" s="277"/>
      <c r="O13363" s="247"/>
      <c r="AC13363" s="247"/>
      <c r="AT13363" s="247"/>
    </row>
    <row r="13364">
      <c r="C13364" s="277"/>
      <c r="M13364" s="277"/>
      <c r="O13364" s="247"/>
      <c r="AC13364" s="247"/>
      <c r="AT13364" s="247"/>
    </row>
    <row r="13365">
      <c r="C13365" s="277"/>
      <c r="M13365" s="277"/>
      <c r="O13365" s="247"/>
      <c r="AC13365" s="247"/>
      <c r="AT13365" s="247"/>
    </row>
    <row r="13366">
      <c r="C13366" s="277"/>
      <c r="M13366" s="277"/>
      <c r="O13366" s="247"/>
      <c r="AC13366" s="247"/>
      <c r="AT13366" s="247"/>
    </row>
    <row r="13367">
      <c r="C13367" s="277"/>
      <c r="M13367" s="277"/>
      <c r="O13367" s="247"/>
      <c r="AC13367" s="247"/>
      <c r="AT13367" s="247"/>
    </row>
    <row r="13368">
      <c r="C13368" s="277"/>
      <c r="M13368" s="277"/>
      <c r="O13368" s="247"/>
      <c r="AC13368" s="247"/>
      <c r="AT13368" s="247"/>
    </row>
    <row r="13369">
      <c r="C13369" s="277"/>
      <c r="M13369" s="277"/>
      <c r="O13369" s="247"/>
      <c r="AC13369" s="247"/>
      <c r="AT13369" s="247"/>
    </row>
    <row r="13370">
      <c r="C13370" s="277"/>
      <c r="M13370" s="277"/>
      <c r="O13370" s="247"/>
      <c r="AC13370" s="247"/>
      <c r="AT13370" s="247"/>
    </row>
    <row r="13371">
      <c r="C13371" s="277"/>
      <c r="M13371" s="277"/>
      <c r="O13371" s="247"/>
      <c r="AC13371" s="247"/>
      <c r="AT13371" s="247"/>
    </row>
    <row r="13372">
      <c r="C13372" s="277"/>
      <c r="M13372" s="277"/>
      <c r="O13372" s="247"/>
      <c r="AC13372" s="247"/>
      <c r="AT13372" s="247"/>
    </row>
    <row r="13373">
      <c r="C13373" s="277"/>
      <c r="M13373" s="277"/>
      <c r="O13373" s="247"/>
      <c r="AC13373" s="247"/>
      <c r="AT13373" s="247"/>
    </row>
    <row r="13374">
      <c r="C13374" s="277"/>
      <c r="M13374" s="277"/>
      <c r="O13374" s="247"/>
      <c r="AC13374" s="247"/>
      <c r="AT13374" s="247"/>
    </row>
    <row r="13375">
      <c r="C13375" s="277"/>
      <c r="M13375" s="277"/>
      <c r="O13375" s="247"/>
      <c r="AC13375" s="247"/>
      <c r="AT13375" s="247"/>
    </row>
    <row r="13376">
      <c r="C13376" s="277"/>
      <c r="M13376" s="277"/>
      <c r="O13376" s="247"/>
      <c r="AC13376" s="247"/>
      <c r="AT13376" s="247"/>
    </row>
    <row r="13377">
      <c r="C13377" s="277"/>
      <c r="M13377" s="277"/>
      <c r="O13377" s="247"/>
      <c r="AC13377" s="247"/>
      <c r="AT13377" s="247"/>
    </row>
    <row r="13378">
      <c r="C13378" s="277"/>
      <c r="M13378" s="277"/>
      <c r="O13378" s="247"/>
      <c r="AC13378" s="247"/>
      <c r="AT13378" s="247"/>
    </row>
    <row r="13379">
      <c r="C13379" s="277"/>
      <c r="M13379" s="277"/>
      <c r="O13379" s="247"/>
      <c r="AC13379" s="247"/>
      <c r="AT13379" s="247"/>
    </row>
    <row r="13380">
      <c r="C13380" s="277"/>
      <c r="M13380" s="277"/>
      <c r="O13380" s="247"/>
      <c r="AC13380" s="247"/>
      <c r="AT13380" s="247"/>
    </row>
    <row r="13381">
      <c r="C13381" s="277"/>
      <c r="M13381" s="277"/>
      <c r="O13381" s="247"/>
      <c r="AC13381" s="247"/>
      <c r="AT13381" s="247"/>
    </row>
    <row r="13382">
      <c r="C13382" s="277"/>
      <c r="M13382" s="277"/>
      <c r="O13382" s="247"/>
      <c r="AC13382" s="247"/>
      <c r="AT13382" s="247"/>
    </row>
    <row r="13383">
      <c r="C13383" s="277"/>
      <c r="M13383" s="277"/>
      <c r="O13383" s="247"/>
      <c r="AC13383" s="247"/>
      <c r="AT13383" s="247"/>
    </row>
    <row r="13384">
      <c r="C13384" s="277"/>
      <c r="M13384" s="277"/>
      <c r="O13384" s="247"/>
      <c r="AC13384" s="247"/>
      <c r="AT13384" s="247"/>
    </row>
    <row r="13385">
      <c r="C13385" s="277"/>
      <c r="M13385" s="277"/>
      <c r="O13385" s="247"/>
      <c r="AC13385" s="247"/>
      <c r="AT13385" s="247"/>
    </row>
    <row r="13386">
      <c r="C13386" s="277"/>
      <c r="M13386" s="277"/>
      <c r="O13386" s="247"/>
      <c r="AC13386" s="247"/>
      <c r="AT13386" s="247"/>
    </row>
    <row r="13387">
      <c r="C13387" s="277"/>
      <c r="M13387" s="277"/>
      <c r="O13387" s="247"/>
      <c r="AC13387" s="247"/>
      <c r="AT13387" s="247"/>
    </row>
    <row r="13388">
      <c r="C13388" s="277"/>
      <c r="M13388" s="277"/>
      <c r="O13388" s="247"/>
      <c r="AC13388" s="247"/>
      <c r="AT13388" s="247"/>
    </row>
    <row r="13389">
      <c r="C13389" s="277"/>
      <c r="M13389" s="277"/>
      <c r="O13389" s="247"/>
      <c r="AC13389" s="247"/>
      <c r="AT13389" s="247"/>
    </row>
    <row r="13390">
      <c r="C13390" s="277"/>
      <c r="M13390" s="277"/>
      <c r="O13390" s="247"/>
      <c r="AC13390" s="247"/>
      <c r="AT13390" s="247"/>
    </row>
    <row r="13391">
      <c r="C13391" s="277"/>
      <c r="M13391" s="277"/>
      <c r="O13391" s="247"/>
      <c r="AC13391" s="247"/>
      <c r="AT13391" s="247"/>
    </row>
    <row r="13392">
      <c r="C13392" s="277"/>
      <c r="M13392" s="277"/>
      <c r="O13392" s="247"/>
      <c r="AC13392" s="247"/>
      <c r="AT13392" s="247"/>
    </row>
    <row r="13393">
      <c r="C13393" s="277"/>
      <c r="M13393" s="277"/>
      <c r="O13393" s="247"/>
      <c r="AC13393" s="247"/>
      <c r="AT13393" s="247"/>
    </row>
    <row r="13394">
      <c r="C13394" s="277"/>
      <c r="M13394" s="277"/>
      <c r="O13394" s="247"/>
      <c r="AC13394" s="247"/>
      <c r="AT13394" s="247"/>
    </row>
    <row r="13395">
      <c r="C13395" s="277"/>
      <c r="M13395" s="277"/>
      <c r="O13395" s="247"/>
      <c r="AC13395" s="247"/>
      <c r="AT13395" s="247"/>
    </row>
    <row r="13396">
      <c r="C13396" s="277"/>
      <c r="M13396" s="277"/>
      <c r="O13396" s="247"/>
      <c r="AC13396" s="247"/>
      <c r="AT13396" s="247"/>
    </row>
    <row r="13397">
      <c r="C13397" s="277"/>
      <c r="M13397" s="277"/>
      <c r="O13397" s="247"/>
      <c r="AC13397" s="247"/>
      <c r="AT13397" s="247"/>
    </row>
    <row r="13398">
      <c r="C13398" s="277"/>
      <c r="M13398" s="277"/>
      <c r="O13398" s="247"/>
      <c r="AC13398" s="247"/>
      <c r="AT13398" s="247"/>
    </row>
    <row r="13399">
      <c r="C13399" s="277"/>
      <c r="M13399" s="277"/>
      <c r="O13399" s="247"/>
      <c r="AC13399" s="247"/>
      <c r="AT13399" s="247"/>
    </row>
    <row r="13400">
      <c r="C13400" s="277"/>
      <c r="M13400" s="277"/>
      <c r="O13400" s="247"/>
      <c r="AC13400" s="247"/>
      <c r="AT13400" s="247"/>
    </row>
    <row r="13401">
      <c r="C13401" s="277"/>
      <c r="M13401" s="277"/>
      <c r="O13401" s="247"/>
      <c r="AC13401" s="247"/>
      <c r="AT13401" s="247"/>
    </row>
    <row r="13402">
      <c r="C13402" s="277"/>
      <c r="M13402" s="277"/>
      <c r="O13402" s="247"/>
      <c r="AC13402" s="247"/>
      <c r="AT13402" s="247"/>
    </row>
    <row r="13403">
      <c r="C13403" s="277"/>
      <c r="M13403" s="277"/>
      <c r="O13403" s="247"/>
      <c r="AC13403" s="247"/>
      <c r="AT13403" s="247"/>
    </row>
    <row r="13404">
      <c r="C13404" s="277"/>
      <c r="M13404" s="277"/>
      <c r="O13404" s="247"/>
      <c r="AC13404" s="247"/>
      <c r="AT13404" s="247"/>
    </row>
    <row r="13405">
      <c r="C13405" s="277"/>
      <c r="M13405" s="277"/>
      <c r="O13405" s="247"/>
      <c r="AC13405" s="247"/>
      <c r="AT13405" s="247"/>
    </row>
    <row r="13406">
      <c r="C13406" s="277"/>
      <c r="M13406" s="277"/>
      <c r="O13406" s="247"/>
      <c r="AC13406" s="247"/>
      <c r="AT13406" s="247"/>
    </row>
    <row r="13407">
      <c r="C13407" s="277"/>
      <c r="M13407" s="277"/>
      <c r="O13407" s="247"/>
      <c r="AC13407" s="247"/>
      <c r="AT13407" s="247"/>
    </row>
    <row r="13408">
      <c r="C13408" s="277"/>
      <c r="M13408" s="277"/>
      <c r="O13408" s="247"/>
      <c r="AC13408" s="247"/>
      <c r="AT13408" s="247"/>
    </row>
    <row r="13409">
      <c r="C13409" s="277"/>
      <c r="M13409" s="277"/>
      <c r="O13409" s="247"/>
      <c r="AC13409" s="247"/>
      <c r="AT13409" s="247"/>
    </row>
    <row r="13410">
      <c r="C13410" s="277"/>
      <c r="M13410" s="277"/>
      <c r="O13410" s="247"/>
      <c r="AC13410" s="247"/>
      <c r="AT13410" s="247"/>
    </row>
    <row r="13411">
      <c r="C13411" s="277"/>
      <c r="M13411" s="277"/>
      <c r="O13411" s="247"/>
      <c r="AC13411" s="247"/>
      <c r="AT13411" s="247"/>
    </row>
    <row r="13412">
      <c r="C13412" s="277"/>
      <c r="M13412" s="277"/>
      <c r="O13412" s="247"/>
      <c r="AC13412" s="247"/>
      <c r="AT13412" s="247"/>
    </row>
    <row r="13413">
      <c r="C13413" s="277"/>
      <c r="M13413" s="277"/>
      <c r="O13413" s="247"/>
      <c r="AC13413" s="247"/>
      <c r="AT13413" s="247"/>
    </row>
    <row r="13414">
      <c r="C13414" s="277"/>
      <c r="M13414" s="277"/>
      <c r="O13414" s="247"/>
      <c r="AC13414" s="247"/>
      <c r="AT13414" s="247"/>
    </row>
    <row r="13415">
      <c r="C13415" s="277"/>
      <c r="M13415" s="277"/>
      <c r="O13415" s="247"/>
      <c r="AC13415" s="247"/>
      <c r="AT13415" s="247"/>
    </row>
    <row r="13416">
      <c r="C13416" s="277"/>
      <c r="M13416" s="277"/>
      <c r="O13416" s="247"/>
      <c r="AC13416" s="247"/>
      <c r="AT13416" s="247"/>
    </row>
    <row r="13417">
      <c r="C13417" s="277"/>
      <c r="M13417" s="277"/>
      <c r="O13417" s="247"/>
      <c r="AC13417" s="247"/>
      <c r="AT13417" s="247"/>
    </row>
    <row r="13418">
      <c r="C13418" s="277"/>
      <c r="M13418" s="277"/>
      <c r="O13418" s="247"/>
      <c r="AC13418" s="247"/>
      <c r="AT13418" s="247"/>
    </row>
    <row r="13419">
      <c r="C13419" s="277"/>
      <c r="M13419" s="277"/>
      <c r="O13419" s="247"/>
      <c r="AC13419" s="247"/>
      <c r="AT13419" s="247"/>
    </row>
    <row r="13420">
      <c r="C13420" s="277"/>
      <c r="M13420" s="277"/>
      <c r="O13420" s="247"/>
      <c r="AC13420" s="247"/>
      <c r="AT13420" s="247"/>
    </row>
    <row r="13421">
      <c r="C13421" s="277"/>
      <c r="M13421" s="277"/>
      <c r="O13421" s="247"/>
      <c r="AC13421" s="247"/>
      <c r="AT13421" s="247"/>
    </row>
    <row r="13422">
      <c r="C13422" s="277"/>
      <c r="M13422" s="277"/>
      <c r="O13422" s="247"/>
      <c r="AC13422" s="247"/>
      <c r="AT13422" s="247"/>
    </row>
    <row r="13423">
      <c r="C13423" s="277"/>
      <c r="M13423" s="277"/>
      <c r="O13423" s="247"/>
      <c r="AC13423" s="247"/>
      <c r="AT13423" s="247"/>
    </row>
    <row r="13424">
      <c r="C13424" s="277"/>
      <c r="M13424" s="277"/>
      <c r="O13424" s="247"/>
      <c r="AC13424" s="247"/>
      <c r="AT13424" s="247"/>
    </row>
    <row r="13425">
      <c r="C13425" s="277"/>
      <c r="M13425" s="277"/>
      <c r="O13425" s="247"/>
      <c r="AC13425" s="247"/>
      <c r="AT13425" s="247"/>
    </row>
    <row r="13426">
      <c r="C13426" s="277"/>
      <c r="M13426" s="277"/>
      <c r="O13426" s="247"/>
      <c r="AC13426" s="247"/>
      <c r="AT13426" s="247"/>
    </row>
    <row r="13427">
      <c r="C13427" s="277"/>
      <c r="M13427" s="277"/>
      <c r="O13427" s="247"/>
      <c r="AC13427" s="247"/>
      <c r="AT13427" s="247"/>
    </row>
    <row r="13428">
      <c r="C13428" s="277"/>
      <c r="M13428" s="277"/>
      <c r="O13428" s="247"/>
      <c r="AC13428" s="247"/>
      <c r="AT13428" s="247"/>
    </row>
    <row r="13429">
      <c r="C13429" s="277"/>
      <c r="M13429" s="277"/>
      <c r="O13429" s="247"/>
      <c r="AC13429" s="247"/>
      <c r="AT13429" s="247"/>
    </row>
    <row r="13430">
      <c r="C13430" s="277"/>
      <c r="M13430" s="277"/>
      <c r="O13430" s="247"/>
      <c r="AC13430" s="247"/>
      <c r="AT13430" s="247"/>
    </row>
    <row r="13431">
      <c r="C13431" s="277"/>
      <c r="M13431" s="277"/>
      <c r="O13431" s="247"/>
      <c r="AC13431" s="247"/>
      <c r="AT13431" s="247"/>
    </row>
    <row r="13432">
      <c r="C13432" s="277"/>
      <c r="M13432" s="277"/>
      <c r="O13432" s="247"/>
      <c r="AC13432" s="247"/>
      <c r="AT13432" s="247"/>
    </row>
    <row r="13433">
      <c r="C13433" s="277"/>
      <c r="M13433" s="277"/>
      <c r="O13433" s="247"/>
      <c r="AC13433" s="247"/>
      <c r="AT13433" s="247"/>
    </row>
    <row r="13434">
      <c r="C13434" s="277"/>
      <c r="M13434" s="277"/>
      <c r="O13434" s="247"/>
      <c r="AC13434" s="247"/>
      <c r="AT13434" s="247"/>
    </row>
    <row r="13435">
      <c r="C13435" s="277"/>
      <c r="M13435" s="277"/>
      <c r="O13435" s="247"/>
      <c r="AC13435" s="247"/>
      <c r="AT13435" s="247"/>
    </row>
    <row r="13436">
      <c r="C13436" s="277"/>
      <c r="M13436" s="277"/>
      <c r="O13436" s="247"/>
      <c r="AC13436" s="247"/>
      <c r="AT13436" s="247"/>
    </row>
    <row r="13437">
      <c r="C13437" s="277"/>
      <c r="M13437" s="277"/>
      <c r="O13437" s="247"/>
      <c r="AC13437" s="247"/>
      <c r="AT13437" s="247"/>
    </row>
    <row r="13438">
      <c r="C13438" s="277"/>
      <c r="M13438" s="277"/>
      <c r="O13438" s="247"/>
      <c r="AC13438" s="247"/>
      <c r="AT13438" s="247"/>
    </row>
    <row r="13439">
      <c r="C13439" s="277"/>
      <c r="M13439" s="277"/>
      <c r="O13439" s="247"/>
      <c r="AC13439" s="247"/>
      <c r="AT13439" s="247"/>
    </row>
    <row r="13440">
      <c r="C13440" s="277"/>
      <c r="M13440" s="277"/>
      <c r="O13440" s="247"/>
      <c r="AC13440" s="247"/>
      <c r="AT13440" s="247"/>
    </row>
    <row r="13441">
      <c r="C13441" s="277"/>
      <c r="M13441" s="277"/>
      <c r="O13441" s="247"/>
      <c r="AC13441" s="247"/>
      <c r="AT13441" s="247"/>
    </row>
    <row r="13442">
      <c r="C13442" s="277"/>
      <c r="M13442" s="277"/>
      <c r="O13442" s="247"/>
      <c r="AC13442" s="247"/>
      <c r="AT13442" s="247"/>
    </row>
    <row r="13443">
      <c r="C13443" s="277"/>
      <c r="M13443" s="277"/>
      <c r="O13443" s="247"/>
      <c r="AC13443" s="247"/>
      <c r="AT13443" s="247"/>
    </row>
    <row r="13444">
      <c r="C13444" s="277"/>
      <c r="M13444" s="277"/>
      <c r="O13444" s="247"/>
      <c r="AC13444" s="247"/>
      <c r="AT13444" s="247"/>
    </row>
    <row r="13445">
      <c r="C13445" s="277"/>
      <c r="M13445" s="277"/>
      <c r="O13445" s="247"/>
      <c r="AC13445" s="247"/>
      <c r="AT13445" s="247"/>
    </row>
    <row r="13446">
      <c r="C13446" s="277"/>
      <c r="M13446" s="277"/>
      <c r="O13446" s="247"/>
      <c r="AC13446" s="247"/>
      <c r="AT13446" s="247"/>
    </row>
    <row r="13447">
      <c r="C13447" s="277"/>
      <c r="M13447" s="277"/>
      <c r="O13447" s="247"/>
      <c r="AC13447" s="247"/>
      <c r="AT13447" s="247"/>
    </row>
    <row r="13448">
      <c r="C13448" s="277"/>
      <c r="M13448" s="277"/>
      <c r="O13448" s="247"/>
      <c r="AC13448" s="247"/>
      <c r="AT13448" s="247"/>
    </row>
    <row r="13449">
      <c r="C13449" s="277"/>
      <c r="M13449" s="277"/>
      <c r="O13449" s="247"/>
      <c r="AC13449" s="247"/>
      <c r="AT13449" s="247"/>
    </row>
    <row r="13450">
      <c r="C13450" s="277"/>
      <c r="M13450" s="277"/>
      <c r="O13450" s="247"/>
      <c r="AC13450" s="247"/>
      <c r="AT13450" s="247"/>
    </row>
    <row r="13451">
      <c r="C13451" s="277"/>
      <c r="M13451" s="277"/>
      <c r="O13451" s="247"/>
      <c r="AC13451" s="247"/>
      <c r="AT13451" s="247"/>
    </row>
    <row r="13452">
      <c r="C13452" s="277"/>
      <c r="M13452" s="277"/>
      <c r="O13452" s="247"/>
      <c r="AC13452" s="247"/>
      <c r="AT13452" s="247"/>
    </row>
    <row r="13453">
      <c r="C13453" s="277"/>
      <c r="M13453" s="277"/>
      <c r="O13453" s="247"/>
      <c r="AC13453" s="247"/>
      <c r="AT13453" s="247"/>
    </row>
    <row r="13454">
      <c r="C13454" s="277"/>
      <c r="M13454" s="277"/>
      <c r="O13454" s="247"/>
      <c r="AC13454" s="247"/>
      <c r="AT13454" s="247"/>
    </row>
    <row r="13455">
      <c r="C13455" s="277"/>
      <c r="M13455" s="277"/>
      <c r="O13455" s="247"/>
      <c r="AC13455" s="247"/>
      <c r="AT13455" s="247"/>
    </row>
    <row r="13456">
      <c r="C13456" s="277"/>
      <c r="M13456" s="277"/>
      <c r="O13456" s="247"/>
      <c r="AC13456" s="247"/>
      <c r="AT13456" s="247"/>
    </row>
    <row r="13457">
      <c r="C13457" s="277"/>
      <c r="M13457" s="277"/>
      <c r="O13457" s="247"/>
      <c r="AC13457" s="247"/>
      <c r="AT13457" s="247"/>
    </row>
    <row r="13458">
      <c r="C13458" s="277"/>
      <c r="M13458" s="277"/>
      <c r="O13458" s="247"/>
      <c r="AC13458" s="247"/>
      <c r="AT13458" s="247"/>
    </row>
    <row r="13459">
      <c r="C13459" s="277"/>
      <c r="M13459" s="277"/>
      <c r="O13459" s="247"/>
      <c r="AC13459" s="247"/>
      <c r="AT13459" s="247"/>
    </row>
    <row r="13460">
      <c r="C13460" s="277"/>
      <c r="M13460" s="277"/>
      <c r="O13460" s="247"/>
      <c r="AC13460" s="247"/>
      <c r="AT13460" s="247"/>
    </row>
    <row r="13461">
      <c r="C13461" s="277"/>
      <c r="M13461" s="277"/>
      <c r="O13461" s="247"/>
      <c r="AC13461" s="247"/>
      <c r="AT13461" s="247"/>
    </row>
    <row r="13462">
      <c r="C13462" s="277"/>
      <c r="M13462" s="277"/>
      <c r="O13462" s="247"/>
      <c r="AC13462" s="247"/>
      <c r="AT13462" s="247"/>
    </row>
    <row r="13463">
      <c r="C13463" s="277"/>
      <c r="M13463" s="277"/>
      <c r="O13463" s="247"/>
      <c r="AC13463" s="247"/>
      <c r="AT13463" s="247"/>
    </row>
    <row r="13464">
      <c r="C13464" s="277"/>
      <c r="M13464" s="277"/>
      <c r="O13464" s="247"/>
      <c r="AC13464" s="247"/>
      <c r="AT13464" s="247"/>
    </row>
    <row r="13465">
      <c r="C13465" s="277"/>
      <c r="M13465" s="277"/>
      <c r="O13465" s="247"/>
      <c r="AC13465" s="247"/>
      <c r="AT13465" s="247"/>
    </row>
    <row r="13466">
      <c r="C13466" s="277"/>
      <c r="M13466" s="277"/>
      <c r="O13466" s="247"/>
      <c r="AC13466" s="247"/>
      <c r="AT13466" s="247"/>
    </row>
    <row r="13467">
      <c r="C13467" s="277"/>
      <c r="M13467" s="277"/>
      <c r="O13467" s="247"/>
      <c r="AC13467" s="247"/>
      <c r="AT13467" s="247"/>
    </row>
    <row r="13468">
      <c r="C13468" s="277"/>
      <c r="M13468" s="277"/>
      <c r="O13468" s="247"/>
      <c r="AC13468" s="247"/>
      <c r="AT13468" s="247"/>
    </row>
    <row r="13469">
      <c r="C13469" s="277"/>
      <c r="M13469" s="277"/>
      <c r="O13469" s="247"/>
      <c r="AC13469" s="247"/>
      <c r="AT13469" s="247"/>
    </row>
    <row r="13470">
      <c r="C13470" s="277"/>
      <c r="M13470" s="277"/>
      <c r="O13470" s="247"/>
      <c r="AC13470" s="247"/>
      <c r="AT13470" s="247"/>
    </row>
    <row r="13471">
      <c r="C13471" s="277"/>
      <c r="M13471" s="277"/>
      <c r="O13471" s="247"/>
      <c r="AC13471" s="247"/>
      <c r="AT13471" s="247"/>
    </row>
    <row r="13472">
      <c r="C13472" s="277"/>
      <c r="M13472" s="277"/>
      <c r="O13472" s="247"/>
      <c r="AC13472" s="247"/>
      <c r="AT13472" s="247"/>
    </row>
    <row r="13473">
      <c r="C13473" s="277"/>
      <c r="M13473" s="277"/>
      <c r="O13473" s="247"/>
      <c r="AC13473" s="247"/>
      <c r="AT13473" s="247"/>
    </row>
    <row r="13474">
      <c r="C13474" s="277"/>
      <c r="M13474" s="277"/>
      <c r="O13474" s="247"/>
      <c r="AC13474" s="247"/>
      <c r="AT13474" s="247"/>
    </row>
    <row r="13475">
      <c r="C13475" s="277"/>
      <c r="M13475" s="277"/>
      <c r="O13475" s="247"/>
      <c r="AC13475" s="247"/>
      <c r="AT13475" s="247"/>
    </row>
    <row r="13476">
      <c r="C13476" s="277"/>
      <c r="M13476" s="277"/>
      <c r="O13476" s="247"/>
      <c r="AC13476" s="247"/>
      <c r="AT13476" s="247"/>
    </row>
    <row r="13477">
      <c r="C13477" s="277"/>
      <c r="M13477" s="277"/>
      <c r="O13477" s="247"/>
      <c r="AC13477" s="247"/>
      <c r="AT13477" s="247"/>
    </row>
    <row r="13478">
      <c r="C13478" s="277"/>
      <c r="M13478" s="277"/>
      <c r="O13478" s="247"/>
      <c r="AC13478" s="247"/>
      <c r="AT13478" s="247"/>
    </row>
    <row r="13479">
      <c r="C13479" s="277"/>
      <c r="M13479" s="277"/>
      <c r="O13479" s="247"/>
      <c r="AC13479" s="247"/>
      <c r="AT13479" s="247"/>
    </row>
    <row r="13480">
      <c r="C13480" s="277"/>
      <c r="M13480" s="277"/>
      <c r="O13480" s="247"/>
      <c r="AC13480" s="247"/>
      <c r="AT13480" s="247"/>
    </row>
    <row r="13481">
      <c r="C13481" s="277"/>
      <c r="M13481" s="277"/>
      <c r="O13481" s="247"/>
      <c r="AC13481" s="247"/>
      <c r="AT13481" s="247"/>
    </row>
    <row r="13482">
      <c r="C13482" s="277"/>
      <c r="M13482" s="277"/>
      <c r="O13482" s="247"/>
      <c r="AC13482" s="247"/>
      <c r="AT13482" s="247"/>
    </row>
    <row r="13483">
      <c r="C13483" s="277"/>
      <c r="M13483" s="277"/>
      <c r="O13483" s="247"/>
      <c r="AC13483" s="247"/>
      <c r="AT13483" s="247"/>
    </row>
    <row r="13484">
      <c r="C13484" s="277"/>
      <c r="M13484" s="277"/>
      <c r="O13484" s="247"/>
      <c r="AC13484" s="247"/>
      <c r="AT13484" s="247"/>
    </row>
    <row r="13485">
      <c r="C13485" s="277"/>
      <c r="M13485" s="277"/>
      <c r="O13485" s="247"/>
      <c r="AC13485" s="247"/>
      <c r="AT13485" s="247"/>
    </row>
    <row r="13486">
      <c r="C13486" s="277"/>
      <c r="M13486" s="277"/>
      <c r="O13486" s="247"/>
      <c r="AC13486" s="247"/>
      <c r="AT13486" s="247"/>
    </row>
    <row r="13487">
      <c r="C13487" s="277"/>
      <c r="M13487" s="277"/>
      <c r="O13487" s="247"/>
      <c r="AC13487" s="247"/>
      <c r="AT13487" s="247"/>
    </row>
    <row r="13488">
      <c r="C13488" s="277"/>
      <c r="M13488" s="277"/>
      <c r="O13488" s="247"/>
      <c r="AC13488" s="247"/>
      <c r="AT13488" s="247"/>
    </row>
    <row r="13489">
      <c r="C13489" s="277"/>
      <c r="M13489" s="277"/>
      <c r="O13489" s="247"/>
      <c r="AC13489" s="247"/>
      <c r="AT13489" s="247"/>
    </row>
    <row r="13490">
      <c r="C13490" s="277"/>
      <c r="M13490" s="277"/>
      <c r="O13490" s="247"/>
      <c r="AC13490" s="247"/>
      <c r="AT13490" s="247"/>
    </row>
    <row r="13491">
      <c r="C13491" s="277"/>
      <c r="M13491" s="277"/>
      <c r="O13491" s="247"/>
      <c r="AC13491" s="247"/>
      <c r="AT13491" s="247"/>
    </row>
    <row r="13492">
      <c r="C13492" s="277"/>
      <c r="M13492" s="277"/>
      <c r="O13492" s="247"/>
      <c r="AC13492" s="247"/>
      <c r="AT13492" s="247"/>
    </row>
    <row r="13493">
      <c r="C13493" s="277"/>
      <c r="M13493" s="277"/>
      <c r="O13493" s="247"/>
      <c r="AC13493" s="247"/>
      <c r="AT13493" s="247"/>
    </row>
    <row r="13494">
      <c r="C13494" s="277"/>
      <c r="M13494" s="277"/>
      <c r="O13494" s="247"/>
      <c r="AC13494" s="247"/>
      <c r="AT13494" s="247"/>
    </row>
    <row r="13495">
      <c r="C13495" s="277"/>
      <c r="M13495" s="277"/>
      <c r="O13495" s="247"/>
      <c r="AC13495" s="247"/>
      <c r="AT13495" s="247"/>
    </row>
    <row r="13496">
      <c r="C13496" s="277"/>
      <c r="M13496" s="277"/>
      <c r="O13496" s="247"/>
      <c r="AC13496" s="247"/>
      <c r="AT13496" s="247"/>
    </row>
    <row r="13497">
      <c r="C13497" s="277"/>
      <c r="M13497" s="277"/>
      <c r="O13497" s="247"/>
      <c r="AC13497" s="247"/>
      <c r="AT13497" s="247"/>
    </row>
    <row r="13498">
      <c r="C13498" s="277"/>
      <c r="M13498" s="277"/>
      <c r="O13498" s="247"/>
      <c r="AC13498" s="247"/>
      <c r="AT13498" s="247"/>
    </row>
    <row r="13499">
      <c r="C13499" s="277"/>
      <c r="M13499" s="277"/>
      <c r="O13499" s="247"/>
      <c r="AC13499" s="247"/>
      <c r="AT13499" s="247"/>
    </row>
    <row r="13500">
      <c r="C13500" s="277"/>
      <c r="M13500" s="277"/>
      <c r="O13500" s="247"/>
      <c r="AC13500" s="247"/>
      <c r="AT13500" s="247"/>
    </row>
    <row r="13501">
      <c r="C13501" s="277"/>
      <c r="M13501" s="277"/>
      <c r="O13501" s="247"/>
      <c r="AC13501" s="247"/>
      <c r="AT13501" s="247"/>
    </row>
    <row r="13502">
      <c r="C13502" s="277"/>
      <c r="M13502" s="277"/>
      <c r="O13502" s="247"/>
      <c r="AC13502" s="247"/>
      <c r="AT13502" s="247"/>
    </row>
    <row r="13503">
      <c r="C13503" s="277"/>
      <c r="M13503" s="277"/>
      <c r="O13503" s="247"/>
      <c r="AC13503" s="247"/>
      <c r="AT13503" s="247"/>
    </row>
    <row r="13504">
      <c r="C13504" s="277"/>
      <c r="M13504" s="277"/>
      <c r="O13504" s="247"/>
      <c r="AC13504" s="247"/>
      <c r="AT13504" s="247"/>
    </row>
    <row r="13505">
      <c r="C13505" s="277"/>
      <c r="M13505" s="277"/>
      <c r="O13505" s="247"/>
      <c r="AC13505" s="247"/>
      <c r="AT13505" s="247"/>
    </row>
    <row r="13506">
      <c r="C13506" s="277"/>
      <c r="M13506" s="277"/>
      <c r="O13506" s="247"/>
      <c r="AC13506" s="247"/>
      <c r="AT13506" s="247"/>
    </row>
    <row r="13507">
      <c r="C13507" s="277"/>
      <c r="M13507" s="277"/>
      <c r="O13507" s="247"/>
      <c r="AC13507" s="247"/>
      <c r="AT13507" s="247"/>
    </row>
    <row r="13508">
      <c r="C13508" s="277"/>
      <c r="M13508" s="277"/>
      <c r="O13508" s="247"/>
      <c r="AC13508" s="247"/>
      <c r="AT13508" s="247"/>
    </row>
    <row r="13509">
      <c r="C13509" s="277"/>
      <c r="M13509" s="277"/>
      <c r="O13509" s="247"/>
      <c r="AC13509" s="247"/>
      <c r="AT13509" s="247"/>
    </row>
    <row r="13510">
      <c r="C13510" s="277"/>
      <c r="M13510" s="277"/>
      <c r="O13510" s="247"/>
      <c r="AC13510" s="247"/>
      <c r="AT13510" s="247"/>
    </row>
    <row r="13511">
      <c r="C13511" s="277"/>
      <c r="M13511" s="277"/>
      <c r="O13511" s="247"/>
      <c r="AC13511" s="247"/>
      <c r="AT13511" s="247"/>
    </row>
    <row r="13512">
      <c r="C13512" s="277"/>
      <c r="M13512" s="277"/>
      <c r="O13512" s="247"/>
      <c r="AC13512" s="247"/>
      <c r="AT13512" s="247"/>
    </row>
    <row r="13513">
      <c r="C13513" s="277"/>
      <c r="M13513" s="277"/>
      <c r="O13513" s="247"/>
      <c r="AC13513" s="247"/>
      <c r="AT13513" s="247"/>
    </row>
    <row r="13514">
      <c r="C13514" s="277"/>
      <c r="M13514" s="277"/>
      <c r="O13514" s="247"/>
      <c r="AC13514" s="247"/>
      <c r="AT13514" s="247"/>
    </row>
    <row r="13515">
      <c r="C13515" s="277"/>
      <c r="M13515" s="277"/>
      <c r="O13515" s="247"/>
      <c r="AC13515" s="247"/>
      <c r="AT13515" s="247"/>
    </row>
    <row r="13516">
      <c r="C13516" s="277"/>
      <c r="M13516" s="277"/>
      <c r="O13516" s="247"/>
      <c r="AC13516" s="247"/>
      <c r="AT13516" s="247"/>
    </row>
    <row r="13517">
      <c r="C13517" s="277"/>
      <c r="M13517" s="277"/>
      <c r="O13517" s="247"/>
      <c r="AC13517" s="247"/>
      <c r="AT13517" s="247"/>
    </row>
    <row r="13518">
      <c r="C13518" s="277"/>
      <c r="M13518" s="277"/>
      <c r="O13518" s="247"/>
      <c r="AC13518" s="247"/>
      <c r="AT13518" s="247"/>
    </row>
    <row r="13519">
      <c r="C13519" s="277"/>
      <c r="M13519" s="277"/>
      <c r="O13519" s="247"/>
      <c r="AC13519" s="247"/>
      <c r="AT13519" s="247"/>
    </row>
    <row r="13520">
      <c r="C13520" s="277"/>
      <c r="M13520" s="277"/>
      <c r="O13520" s="247"/>
      <c r="AC13520" s="247"/>
      <c r="AT13520" s="247"/>
    </row>
    <row r="13521">
      <c r="C13521" s="277"/>
      <c r="M13521" s="277"/>
      <c r="O13521" s="247"/>
      <c r="AC13521" s="247"/>
      <c r="AT13521" s="247"/>
    </row>
    <row r="13522">
      <c r="C13522" s="277"/>
      <c r="M13522" s="277"/>
      <c r="O13522" s="247"/>
      <c r="AC13522" s="247"/>
      <c r="AT13522" s="247"/>
    </row>
    <row r="13523">
      <c r="C13523" s="277"/>
      <c r="M13523" s="277"/>
      <c r="O13523" s="247"/>
      <c r="AC13523" s="247"/>
      <c r="AT13523" s="247"/>
    </row>
    <row r="13524">
      <c r="C13524" s="277"/>
      <c r="M13524" s="277"/>
      <c r="O13524" s="247"/>
      <c r="AC13524" s="247"/>
      <c r="AT13524" s="247"/>
    </row>
    <row r="13525">
      <c r="C13525" s="277"/>
      <c r="M13525" s="277"/>
      <c r="O13525" s="247"/>
      <c r="AC13525" s="247"/>
      <c r="AT13525" s="247"/>
    </row>
    <row r="13526">
      <c r="C13526" s="277"/>
      <c r="M13526" s="277"/>
      <c r="O13526" s="247"/>
      <c r="AC13526" s="247"/>
      <c r="AT13526" s="247"/>
    </row>
    <row r="13527">
      <c r="C13527" s="277"/>
      <c r="M13527" s="277"/>
      <c r="O13527" s="247"/>
      <c r="AC13527" s="247"/>
      <c r="AT13527" s="247"/>
    </row>
    <row r="13528">
      <c r="C13528" s="277"/>
      <c r="M13528" s="277"/>
      <c r="O13528" s="247"/>
      <c r="AC13528" s="247"/>
      <c r="AT13528" s="247"/>
    </row>
    <row r="13529">
      <c r="C13529" s="277"/>
      <c r="M13529" s="277"/>
      <c r="O13529" s="247"/>
      <c r="AC13529" s="247"/>
      <c r="AT13529" s="247"/>
    </row>
    <row r="13530">
      <c r="C13530" s="277"/>
      <c r="M13530" s="277"/>
      <c r="O13530" s="247"/>
      <c r="AC13530" s="247"/>
      <c r="AT13530" s="247"/>
    </row>
    <row r="13531">
      <c r="C13531" s="277"/>
      <c r="M13531" s="277"/>
      <c r="O13531" s="247"/>
      <c r="AC13531" s="247"/>
      <c r="AT13531" s="247"/>
    </row>
    <row r="13532">
      <c r="C13532" s="277"/>
      <c r="M13532" s="277"/>
      <c r="O13532" s="247"/>
      <c r="AC13532" s="247"/>
      <c r="AT13532" s="247"/>
    </row>
    <row r="13533">
      <c r="C13533" s="277"/>
      <c r="M13533" s="277"/>
      <c r="O13533" s="247"/>
      <c r="AC13533" s="247"/>
      <c r="AT13533" s="247"/>
    </row>
    <row r="13534">
      <c r="C13534" s="277"/>
      <c r="M13534" s="277"/>
      <c r="O13534" s="247"/>
      <c r="AC13534" s="247"/>
      <c r="AT13534" s="247"/>
    </row>
    <row r="13535">
      <c r="C13535" s="277"/>
      <c r="M13535" s="277"/>
      <c r="O13535" s="247"/>
      <c r="AC13535" s="247"/>
      <c r="AT13535" s="247"/>
    </row>
    <row r="13536">
      <c r="C13536" s="277"/>
      <c r="M13536" s="277"/>
      <c r="O13536" s="247"/>
      <c r="AC13536" s="247"/>
      <c r="AT13536" s="247"/>
    </row>
    <row r="13537">
      <c r="C13537" s="277"/>
      <c r="M13537" s="277"/>
      <c r="O13537" s="247"/>
      <c r="AC13537" s="247"/>
      <c r="AT13537" s="247"/>
    </row>
    <row r="13538">
      <c r="C13538" s="277"/>
      <c r="M13538" s="277"/>
      <c r="O13538" s="247"/>
      <c r="AC13538" s="247"/>
      <c r="AT13538" s="247"/>
    </row>
    <row r="13539">
      <c r="C13539" s="277"/>
      <c r="M13539" s="277"/>
      <c r="O13539" s="247"/>
      <c r="AC13539" s="247"/>
      <c r="AT13539" s="247"/>
    </row>
    <row r="13540">
      <c r="C13540" s="277"/>
      <c r="M13540" s="277"/>
      <c r="O13540" s="247"/>
      <c r="AC13540" s="247"/>
      <c r="AT13540" s="247"/>
    </row>
    <row r="13541">
      <c r="C13541" s="277"/>
      <c r="M13541" s="277"/>
      <c r="O13541" s="247"/>
      <c r="AC13541" s="247"/>
      <c r="AT13541" s="247"/>
    </row>
    <row r="13542">
      <c r="C13542" s="277"/>
      <c r="M13542" s="277"/>
      <c r="O13542" s="247"/>
      <c r="AC13542" s="247"/>
      <c r="AT13542" s="247"/>
    </row>
    <row r="13543">
      <c r="C13543" s="277"/>
      <c r="M13543" s="277"/>
      <c r="O13543" s="247"/>
      <c r="AC13543" s="247"/>
      <c r="AT13543" s="247"/>
    </row>
    <row r="13544">
      <c r="C13544" s="277"/>
      <c r="M13544" s="277"/>
      <c r="O13544" s="247"/>
      <c r="AC13544" s="247"/>
      <c r="AT13544" s="247"/>
    </row>
    <row r="13545">
      <c r="C13545" s="277"/>
      <c r="M13545" s="277"/>
      <c r="O13545" s="247"/>
      <c r="AC13545" s="247"/>
      <c r="AT13545" s="247"/>
    </row>
    <row r="13546">
      <c r="C13546" s="277"/>
      <c r="M13546" s="277"/>
      <c r="O13546" s="247"/>
      <c r="AC13546" s="247"/>
      <c r="AT13546" s="247"/>
    </row>
    <row r="13547">
      <c r="C13547" s="277"/>
      <c r="M13547" s="277"/>
      <c r="O13547" s="247"/>
      <c r="AC13547" s="247"/>
      <c r="AT13547" s="247"/>
    </row>
    <row r="13548">
      <c r="C13548" s="277"/>
      <c r="M13548" s="277"/>
      <c r="O13548" s="247"/>
      <c r="AC13548" s="247"/>
      <c r="AT13548" s="247"/>
    </row>
    <row r="13549">
      <c r="C13549" s="277"/>
      <c r="M13549" s="277"/>
      <c r="O13549" s="247"/>
      <c r="AC13549" s="247"/>
      <c r="AT13549" s="247"/>
    </row>
    <row r="13550">
      <c r="C13550" s="277"/>
      <c r="M13550" s="277"/>
      <c r="O13550" s="247"/>
      <c r="AC13550" s="247"/>
      <c r="AT13550" s="247"/>
    </row>
    <row r="13551">
      <c r="C13551" s="277"/>
      <c r="M13551" s="277"/>
      <c r="O13551" s="247"/>
      <c r="AC13551" s="247"/>
      <c r="AT13551" s="247"/>
    </row>
    <row r="13552">
      <c r="C13552" s="277"/>
      <c r="M13552" s="277"/>
      <c r="O13552" s="247"/>
      <c r="AC13552" s="247"/>
      <c r="AT13552" s="247"/>
    </row>
    <row r="13553">
      <c r="C13553" s="277"/>
      <c r="M13553" s="277"/>
      <c r="O13553" s="247"/>
      <c r="AC13553" s="247"/>
      <c r="AT13553" s="247"/>
    </row>
    <row r="13554">
      <c r="C13554" s="277"/>
      <c r="M13554" s="277"/>
      <c r="O13554" s="247"/>
      <c r="AC13554" s="247"/>
      <c r="AT13554" s="247"/>
    </row>
    <row r="13555">
      <c r="C13555" s="277"/>
      <c r="M13555" s="277"/>
      <c r="O13555" s="247"/>
      <c r="AC13555" s="247"/>
      <c r="AT13555" s="247"/>
    </row>
    <row r="13556">
      <c r="C13556" s="277"/>
      <c r="M13556" s="277"/>
      <c r="O13556" s="247"/>
      <c r="AC13556" s="247"/>
      <c r="AT13556" s="247"/>
    </row>
    <row r="13557">
      <c r="C13557" s="277"/>
      <c r="M13557" s="277"/>
      <c r="O13557" s="247"/>
      <c r="AC13557" s="247"/>
      <c r="AT13557" s="247"/>
    </row>
    <row r="13558">
      <c r="C13558" s="277"/>
      <c r="M13558" s="277"/>
      <c r="O13558" s="247"/>
      <c r="AC13558" s="247"/>
      <c r="AT13558" s="247"/>
    </row>
    <row r="13559">
      <c r="C13559" s="277"/>
      <c r="M13559" s="277"/>
      <c r="O13559" s="247"/>
      <c r="AC13559" s="247"/>
      <c r="AT13559" s="247"/>
    </row>
    <row r="13560">
      <c r="C13560" s="277"/>
      <c r="M13560" s="277"/>
      <c r="O13560" s="247"/>
      <c r="AC13560" s="247"/>
      <c r="AT13560" s="247"/>
    </row>
    <row r="13561">
      <c r="C13561" s="277"/>
      <c r="M13561" s="277"/>
      <c r="O13561" s="247"/>
      <c r="AC13561" s="247"/>
      <c r="AT13561" s="247"/>
    </row>
    <row r="13562">
      <c r="C13562" s="277"/>
      <c r="M13562" s="277"/>
      <c r="O13562" s="247"/>
      <c r="AC13562" s="247"/>
      <c r="AT13562" s="247"/>
    </row>
    <row r="13563">
      <c r="C13563" s="277"/>
      <c r="M13563" s="277"/>
      <c r="O13563" s="247"/>
      <c r="AC13563" s="247"/>
      <c r="AT13563" s="247"/>
    </row>
    <row r="13564">
      <c r="C13564" s="277"/>
      <c r="M13564" s="277"/>
      <c r="O13564" s="247"/>
      <c r="AC13564" s="247"/>
      <c r="AT13564" s="247"/>
    </row>
    <row r="13565">
      <c r="C13565" s="277"/>
      <c r="M13565" s="277"/>
      <c r="O13565" s="247"/>
      <c r="AC13565" s="247"/>
      <c r="AT13565" s="247"/>
    </row>
    <row r="13566">
      <c r="C13566" s="277"/>
      <c r="M13566" s="277"/>
      <c r="O13566" s="247"/>
      <c r="AC13566" s="247"/>
      <c r="AT13566" s="247"/>
    </row>
    <row r="13567">
      <c r="C13567" s="277"/>
      <c r="M13567" s="277"/>
      <c r="O13567" s="247"/>
      <c r="AC13567" s="247"/>
      <c r="AT13567" s="247"/>
    </row>
    <row r="13568">
      <c r="C13568" s="277"/>
      <c r="M13568" s="277"/>
      <c r="O13568" s="247"/>
      <c r="AC13568" s="247"/>
      <c r="AT13568" s="247"/>
    </row>
    <row r="13569">
      <c r="C13569" s="277"/>
      <c r="M13569" s="277"/>
      <c r="O13569" s="247"/>
      <c r="AC13569" s="247"/>
      <c r="AT13569" s="247"/>
    </row>
    <row r="13570">
      <c r="C13570" s="277"/>
      <c r="M13570" s="277"/>
      <c r="O13570" s="247"/>
      <c r="AC13570" s="247"/>
      <c r="AT13570" s="247"/>
    </row>
    <row r="13571">
      <c r="C13571" s="277"/>
      <c r="M13571" s="277"/>
      <c r="O13571" s="247"/>
      <c r="AC13571" s="247"/>
      <c r="AT13571" s="247"/>
    </row>
    <row r="13572">
      <c r="C13572" s="277"/>
      <c r="M13572" s="277"/>
      <c r="O13572" s="247"/>
      <c r="AC13572" s="247"/>
      <c r="AT13572" s="247"/>
    </row>
    <row r="13573">
      <c r="C13573" s="277"/>
      <c r="M13573" s="277"/>
      <c r="O13573" s="247"/>
      <c r="AC13573" s="247"/>
      <c r="AT13573" s="247"/>
    </row>
    <row r="13574">
      <c r="C13574" s="277"/>
      <c r="M13574" s="277"/>
      <c r="O13574" s="247"/>
      <c r="AC13574" s="247"/>
      <c r="AT13574" s="247"/>
    </row>
    <row r="13575">
      <c r="C13575" s="277"/>
      <c r="M13575" s="277"/>
      <c r="O13575" s="247"/>
      <c r="AC13575" s="247"/>
      <c r="AT13575" s="247"/>
    </row>
    <row r="13576">
      <c r="C13576" s="277"/>
      <c r="M13576" s="277"/>
      <c r="O13576" s="247"/>
      <c r="AC13576" s="247"/>
      <c r="AT13576" s="247"/>
    </row>
    <row r="13577">
      <c r="C13577" s="277"/>
      <c r="M13577" s="277"/>
      <c r="O13577" s="247"/>
      <c r="AC13577" s="247"/>
      <c r="AT13577" s="247"/>
    </row>
    <row r="13578">
      <c r="C13578" s="277"/>
      <c r="M13578" s="277"/>
      <c r="O13578" s="247"/>
      <c r="AC13578" s="247"/>
      <c r="AT13578" s="247"/>
    </row>
    <row r="13579">
      <c r="C13579" s="277"/>
      <c r="M13579" s="277"/>
      <c r="O13579" s="247"/>
      <c r="AC13579" s="247"/>
      <c r="AT13579" s="247"/>
    </row>
    <row r="13580">
      <c r="C13580" s="277"/>
      <c r="M13580" s="277"/>
      <c r="O13580" s="247"/>
      <c r="AC13580" s="247"/>
      <c r="AT13580" s="247"/>
    </row>
    <row r="13581">
      <c r="C13581" s="277"/>
      <c r="M13581" s="277"/>
      <c r="O13581" s="247"/>
      <c r="AC13581" s="247"/>
      <c r="AT13581" s="247"/>
    </row>
    <row r="13582">
      <c r="C13582" s="277"/>
      <c r="M13582" s="277"/>
      <c r="O13582" s="247"/>
      <c r="AC13582" s="247"/>
      <c r="AT13582" s="247"/>
    </row>
    <row r="13583">
      <c r="C13583" s="277"/>
      <c r="M13583" s="277"/>
      <c r="O13583" s="247"/>
      <c r="AC13583" s="247"/>
      <c r="AT13583" s="247"/>
    </row>
    <row r="13584">
      <c r="C13584" s="277"/>
      <c r="M13584" s="277"/>
      <c r="O13584" s="247"/>
      <c r="AC13584" s="247"/>
      <c r="AT13584" s="247"/>
    </row>
    <row r="13585">
      <c r="C13585" s="277"/>
      <c r="M13585" s="277"/>
      <c r="O13585" s="247"/>
      <c r="AC13585" s="247"/>
      <c r="AT13585" s="247"/>
    </row>
    <row r="13586">
      <c r="C13586" s="277"/>
      <c r="M13586" s="277"/>
      <c r="O13586" s="247"/>
      <c r="AC13586" s="247"/>
      <c r="AT13586" s="247"/>
    </row>
    <row r="13587">
      <c r="C13587" s="277"/>
      <c r="M13587" s="277"/>
      <c r="O13587" s="247"/>
      <c r="AC13587" s="247"/>
      <c r="AT13587" s="247"/>
    </row>
    <row r="13588">
      <c r="C13588" s="277"/>
      <c r="M13588" s="277"/>
      <c r="O13588" s="247"/>
      <c r="AC13588" s="247"/>
      <c r="AT13588" s="247"/>
    </row>
    <row r="13589">
      <c r="C13589" s="277"/>
      <c r="M13589" s="277"/>
      <c r="O13589" s="247"/>
      <c r="AC13589" s="247"/>
      <c r="AT13589" s="247"/>
    </row>
    <row r="13590">
      <c r="C13590" s="277"/>
      <c r="M13590" s="277"/>
      <c r="O13590" s="247"/>
      <c r="AC13590" s="247"/>
      <c r="AT13590" s="247"/>
    </row>
    <row r="13591">
      <c r="C13591" s="277"/>
      <c r="M13591" s="277"/>
      <c r="O13591" s="247"/>
      <c r="AC13591" s="247"/>
      <c r="AT13591" s="247"/>
    </row>
    <row r="13592">
      <c r="C13592" s="277"/>
      <c r="M13592" s="277"/>
      <c r="O13592" s="247"/>
      <c r="AC13592" s="247"/>
      <c r="AT13592" s="247"/>
    </row>
    <row r="13593">
      <c r="C13593" s="277"/>
      <c r="M13593" s="277"/>
      <c r="O13593" s="247"/>
      <c r="AC13593" s="247"/>
      <c r="AT13593" s="247"/>
    </row>
    <row r="13594">
      <c r="C13594" s="277"/>
      <c r="M13594" s="277"/>
      <c r="O13594" s="247"/>
      <c r="AC13594" s="247"/>
      <c r="AT13594" s="247"/>
    </row>
    <row r="13595">
      <c r="C13595" s="277"/>
      <c r="M13595" s="277"/>
      <c r="O13595" s="247"/>
      <c r="AC13595" s="247"/>
      <c r="AT13595" s="247"/>
    </row>
    <row r="13596">
      <c r="C13596" s="277"/>
      <c r="M13596" s="277"/>
      <c r="O13596" s="247"/>
      <c r="AC13596" s="247"/>
      <c r="AT13596" s="247"/>
    </row>
    <row r="13597">
      <c r="C13597" s="277"/>
      <c r="M13597" s="277"/>
      <c r="O13597" s="247"/>
      <c r="AC13597" s="247"/>
      <c r="AT13597" s="247"/>
    </row>
    <row r="13598">
      <c r="C13598" s="277"/>
      <c r="M13598" s="277"/>
      <c r="O13598" s="247"/>
      <c r="AC13598" s="247"/>
      <c r="AT13598" s="247"/>
    </row>
    <row r="13599">
      <c r="C13599" s="277"/>
      <c r="M13599" s="277"/>
      <c r="O13599" s="247"/>
      <c r="AC13599" s="247"/>
      <c r="AT13599" s="247"/>
    </row>
    <row r="13600">
      <c r="C13600" s="277"/>
      <c r="M13600" s="277"/>
      <c r="O13600" s="247"/>
      <c r="AC13600" s="247"/>
      <c r="AT13600" s="247"/>
    </row>
    <row r="13601">
      <c r="C13601" s="277"/>
      <c r="M13601" s="277"/>
      <c r="O13601" s="247"/>
      <c r="AC13601" s="247"/>
      <c r="AT13601" s="247"/>
    </row>
    <row r="13602">
      <c r="C13602" s="277"/>
      <c r="M13602" s="277"/>
      <c r="O13602" s="247"/>
      <c r="AC13602" s="247"/>
      <c r="AT13602" s="247"/>
    </row>
    <row r="13603">
      <c r="C13603" s="277"/>
      <c r="M13603" s="277"/>
      <c r="O13603" s="247"/>
      <c r="AC13603" s="247"/>
      <c r="AT13603" s="247"/>
    </row>
    <row r="13604">
      <c r="C13604" s="277"/>
      <c r="M13604" s="277"/>
      <c r="O13604" s="247"/>
      <c r="AC13604" s="247"/>
      <c r="AT13604" s="247"/>
    </row>
    <row r="13605">
      <c r="C13605" s="277"/>
      <c r="M13605" s="277"/>
      <c r="O13605" s="247"/>
      <c r="AC13605" s="247"/>
      <c r="AT13605" s="247"/>
    </row>
    <row r="13606">
      <c r="C13606" s="277"/>
      <c r="M13606" s="277"/>
      <c r="O13606" s="247"/>
      <c r="AC13606" s="247"/>
      <c r="AT13606" s="247"/>
    </row>
    <row r="13607">
      <c r="C13607" s="277"/>
      <c r="M13607" s="277"/>
      <c r="O13607" s="247"/>
      <c r="AC13607" s="247"/>
      <c r="AT13607" s="247"/>
    </row>
    <row r="13608">
      <c r="C13608" s="277"/>
      <c r="M13608" s="277"/>
      <c r="O13608" s="247"/>
      <c r="AC13608" s="247"/>
      <c r="AT13608" s="247"/>
    </row>
    <row r="13609">
      <c r="C13609" s="277"/>
      <c r="M13609" s="277"/>
      <c r="O13609" s="247"/>
      <c r="AC13609" s="247"/>
      <c r="AT13609" s="247"/>
    </row>
    <row r="13610">
      <c r="C13610" s="277"/>
      <c r="M13610" s="277"/>
      <c r="O13610" s="247"/>
      <c r="AC13610" s="247"/>
      <c r="AT13610" s="247"/>
    </row>
    <row r="13611">
      <c r="C13611" s="277"/>
      <c r="M13611" s="277"/>
      <c r="O13611" s="247"/>
      <c r="AC13611" s="247"/>
      <c r="AT13611" s="247"/>
    </row>
    <row r="13612">
      <c r="C13612" s="277"/>
      <c r="M13612" s="277"/>
      <c r="O13612" s="247"/>
      <c r="AC13612" s="247"/>
      <c r="AT13612" s="247"/>
    </row>
    <row r="13613">
      <c r="C13613" s="277"/>
      <c r="M13613" s="277"/>
      <c r="O13613" s="247"/>
      <c r="AC13613" s="247"/>
      <c r="AT13613" s="247"/>
    </row>
    <row r="13614">
      <c r="C13614" s="277"/>
      <c r="M13614" s="277"/>
      <c r="O13614" s="247"/>
      <c r="AC13614" s="247"/>
      <c r="AT13614" s="247"/>
    </row>
    <row r="13615">
      <c r="C13615" s="277"/>
      <c r="M13615" s="277"/>
      <c r="O13615" s="247"/>
      <c r="AC13615" s="247"/>
      <c r="AT13615" s="247"/>
    </row>
    <row r="13616">
      <c r="C13616" s="277"/>
      <c r="M13616" s="277"/>
      <c r="O13616" s="247"/>
      <c r="AC13616" s="247"/>
      <c r="AT13616" s="247"/>
    </row>
    <row r="13617">
      <c r="C13617" s="277"/>
      <c r="M13617" s="277"/>
      <c r="O13617" s="247"/>
      <c r="AC13617" s="247"/>
      <c r="AT13617" s="247"/>
    </row>
    <row r="13618">
      <c r="C13618" s="277"/>
      <c r="M13618" s="277"/>
      <c r="O13618" s="247"/>
      <c r="AC13618" s="247"/>
      <c r="AT13618" s="247"/>
    </row>
    <row r="13619">
      <c r="C13619" s="277"/>
      <c r="M13619" s="277"/>
      <c r="O13619" s="247"/>
      <c r="AC13619" s="247"/>
      <c r="AT13619" s="247"/>
    </row>
    <row r="13620">
      <c r="C13620" s="277"/>
      <c r="M13620" s="277"/>
      <c r="O13620" s="247"/>
      <c r="AC13620" s="247"/>
      <c r="AT13620" s="247"/>
    </row>
    <row r="13621">
      <c r="C13621" s="277"/>
      <c r="M13621" s="277"/>
      <c r="O13621" s="247"/>
      <c r="AC13621" s="247"/>
      <c r="AT13621" s="247"/>
    </row>
    <row r="13622">
      <c r="C13622" s="277"/>
      <c r="M13622" s="277"/>
      <c r="O13622" s="247"/>
      <c r="AC13622" s="247"/>
      <c r="AT13622" s="247"/>
    </row>
    <row r="13623">
      <c r="C13623" s="277"/>
      <c r="M13623" s="277"/>
      <c r="O13623" s="247"/>
      <c r="AC13623" s="247"/>
      <c r="AT13623" s="247"/>
    </row>
    <row r="13624">
      <c r="C13624" s="277"/>
      <c r="M13624" s="277"/>
      <c r="O13624" s="247"/>
      <c r="AC13624" s="247"/>
      <c r="AT13624" s="247"/>
    </row>
    <row r="13625">
      <c r="C13625" s="277"/>
      <c r="M13625" s="277"/>
      <c r="O13625" s="247"/>
      <c r="AC13625" s="247"/>
      <c r="AT13625" s="247"/>
    </row>
    <row r="13626">
      <c r="C13626" s="277"/>
      <c r="M13626" s="277"/>
      <c r="O13626" s="247"/>
      <c r="AC13626" s="247"/>
      <c r="AT13626" s="247"/>
    </row>
    <row r="13627">
      <c r="C13627" s="277"/>
      <c r="M13627" s="277"/>
      <c r="O13627" s="247"/>
      <c r="AC13627" s="247"/>
      <c r="AT13627" s="247"/>
    </row>
    <row r="13628">
      <c r="C13628" s="277"/>
      <c r="M13628" s="277"/>
      <c r="O13628" s="247"/>
      <c r="AC13628" s="247"/>
      <c r="AT13628" s="247"/>
    </row>
    <row r="13629">
      <c r="C13629" s="277"/>
      <c r="M13629" s="277"/>
      <c r="O13629" s="247"/>
      <c r="AC13629" s="247"/>
      <c r="AT13629" s="247"/>
    </row>
    <row r="13630">
      <c r="C13630" s="277"/>
      <c r="M13630" s="277"/>
      <c r="O13630" s="247"/>
      <c r="AC13630" s="247"/>
      <c r="AT13630" s="247"/>
    </row>
    <row r="13631">
      <c r="C13631" s="277"/>
      <c r="M13631" s="277"/>
      <c r="O13631" s="247"/>
      <c r="AC13631" s="247"/>
      <c r="AT13631" s="247"/>
    </row>
    <row r="13632">
      <c r="C13632" s="277"/>
      <c r="M13632" s="277"/>
      <c r="O13632" s="247"/>
      <c r="AC13632" s="247"/>
      <c r="AT13632" s="247"/>
    </row>
    <row r="13633">
      <c r="C13633" s="277"/>
      <c r="M13633" s="277"/>
      <c r="O13633" s="247"/>
      <c r="AC13633" s="247"/>
      <c r="AT13633" s="247"/>
    </row>
    <row r="13634">
      <c r="C13634" s="277"/>
      <c r="M13634" s="277"/>
      <c r="O13634" s="247"/>
      <c r="AC13634" s="247"/>
      <c r="AT13634" s="247"/>
    </row>
    <row r="13635">
      <c r="C13635" s="277"/>
      <c r="M13635" s="277"/>
      <c r="O13635" s="247"/>
      <c r="AC13635" s="247"/>
      <c r="AT13635" s="247"/>
    </row>
    <row r="13636">
      <c r="C13636" s="277"/>
      <c r="M13636" s="277"/>
      <c r="O13636" s="247"/>
      <c r="AC13636" s="247"/>
      <c r="AT13636" s="247"/>
    </row>
    <row r="13637">
      <c r="C13637" s="277"/>
      <c r="M13637" s="277"/>
      <c r="O13637" s="247"/>
      <c r="AC13637" s="247"/>
      <c r="AT13637" s="247"/>
    </row>
    <row r="13638">
      <c r="C13638" s="277"/>
      <c r="M13638" s="277"/>
      <c r="O13638" s="247"/>
      <c r="AC13638" s="247"/>
      <c r="AT13638" s="247"/>
    </row>
    <row r="13639">
      <c r="C13639" s="277"/>
      <c r="M13639" s="277"/>
      <c r="O13639" s="247"/>
      <c r="AC13639" s="247"/>
      <c r="AT13639" s="247"/>
    </row>
    <row r="13640">
      <c r="C13640" s="277"/>
      <c r="M13640" s="277"/>
      <c r="O13640" s="247"/>
      <c r="AC13640" s="247"/>
      <c r="AT13640" s="247"/>
    </row>
    <row r="13641">
      <c r="C13641" s="277"/>
      <c r="M13641" s="277"/>
      <c r="O13641" s="247"/>
      <c r="AC13641" s="247"/>
      <c r="AT13641" s="247"/>
    </row>
    <row r="13642">
      <c r="C13642" s="277"/>
      <c r="M13642" s="277"/>
      <c r="O13642" s="247"/>
      <c r="AC13642" s="247"/>
      <c r="AT13642" s="247"/>
    </row>
    <row r="13643">
      <c r="C13643" s="277"/>
      <c r="M13643" s="277"/>
      <c r="O13643" s="247"/>
      <c r="AC13643" s="247"/>
      <c r="AT13643" s="247"/>
    </row>
    <row r="13644">
      <c r="C13644" s="277"/>
      <c r="M13644" s="277"/>
      <c r="O13644" s="247"/>
      <c r="AC13644" s="247"/>
      <c r="AT13644" s="247"/>
    </row>
    <row r="13645">
      <c r="C13645" s="277"/>
      <c r="M13645" s="277"/>
      <c r="O13645" s="247"/>
      <c r="AC13645" s="247"/>
      <c r="AT13645" s="247"/>
    </row>
    <row r="13646">
      <c r="C13646" s="277"/>
      <c r="M13646" s="277"/>
      <c r="O13646" s="247"/>
      <c r="AC13646" s="247"/>
      <c r="AT13646" s="247"/>
    </row>
    <row r="13647">
      <c r="C13647" s="277"/>
      <c r="M13647" s="277"/>
      <c r="O13647" s="247"/>
      <c r="AC13647" s="247"/>
      <c r="AT13647" s="247"/>
    </row>
    <row r="13648">
      <c r="C13648" s="277"/>
      <c r="M13648" s="277"/>
      <c r="O13648" s="247"/>
      <c r="AC13648" s="247"/>
      <c r="AT13648" s="247"/>
    </row>
    <row r="13649">
      <c r="C13649" s="277"/>
      <c r="M13649" s="277"/>
      <c r="O13649" s="247"/>
      <c r="AC13649" s="247"/>
      <c r="AT13649" s="247"/>
    </row>
    <row r="13650">
      <c r="C13650" s="277"/>
      <c r="M13650" s="277"/>
      <c r="O13650" s="247"/>
      <c r="AC13650" s="247"/>
      <c r="AT13650" s="247"/>
    </row>
    <row r="13651">
      <c r="C13651" s="277"/>
      <c r="M13651" s="277"/>
      <c r="O13651" s="247"/>
      <c r="AC13651" s="247"/>
      <c r="AT13651" s="247"/>
    </row>
    <row r="13652">
      <c r="C13652" s="277"/>
      <c r="M13652" s="277"/>
      <c r="O13652" s="247"/>
      <c r="AC13652" s="247"/>
      <c r="AT13652" s="247"/>
    </row>
    <row r="13653">
      <c r="C13653" s="277"/>
      <c r="M13653" s="277"/>
      <c r="O13653" s="247"/>
      <c r="AC13653" s="247"/>
      <c r="AT13653" s="247"/>
    </row>
    <row r="13654">
      <c r="C13654" s="277"/>
      <c r="M13654" s="277"/>
      <c r="O13654" s="247"/>
      <c r="AC13654" s="247"/>
      <c r="AT13654" s="247"/>
    </row>
    <row r="13655">
      <c r="C13655" s="277"/>
      <c r="M13655" s="277"/>
      <c r="O13655" s="247"/>
      <c r="AC13655" s="247"/>
      <c r="AT13655" s="247"/>
    </row>
    <row r="13656">
      <c r="C13656" s="277"/>
      <c r="M13656" s="277"/>
      <c r="O13656" s="247"/>
      <c r="AC13656" s="247"/>
      <c r="AT13656" s="247"/>
    </row>
    <row r="13657">
      <c r="C13657" s="277"/>
      <c r="M13657" s="277"/>
      <c r="O13657" s="247"/>
      <c r="AC13657" s="247"/>
      <c r="AT13657" s="247"/>
    </row>
    <row r="13658">
      <c r="C13658" s="277"/>
      <c r="M13658" s="277"/>
      <c r="O13658" s="247"/>
      <c r="AC13658" s="247"/>
      <c r="AT13658" s="247"/>
    </row>
    <row r="13659">
      <c r="C13659" s="277"/>
      <c r="M13659" s="277"/>
      <c r="O13659" s="247"/>
      <c r="AC13659" s="247"/>
      <c r="AT13659" s="247"/>
    </row>
    <row r="13660">
      <c r="C13660" s="277"/>
      <c r="M13660" s="277"/>
      <c r="O13660" s="247"/>
      <c r="AC13660" s="247"/>
      <c r="AT13660" s="247"/>
    </row>
    <row r="13661">
      <c r="C13661" s="277"/>
      <c r="M13661" s="277"/>
      <c r="O13661" s="247"/>
      <c r="AC13661" s="247"/>
      <c r="AT13661" s="247"/>
    </row>
    <row r="13662">
      <c r="C13662" s="277"/>
      <c r="M13662" s="277"/>
      <c r="O13662" s="247"/>
      <c r="AC13662" s="247"/>
      <c r="AT13662" s="247"/>
    </row>
    <row r="13663">
      <c r="C13663" s="277"/>
      <c r="M13663" s="277"/>
      <c r="O13663" s="247"/>
      <c r="AC13663" s="247"/>
      <c r="AT13663" s="247"/>
    </row>
    <row r="13664">
      <c r="C13664" s="277"/>
      <c r="M13664" s="277"/>
      <c r="O13664" s="247"/>
      <c r="AC13664" s="247"/>
      <c r="AT13664" s="247"/>
    </row>
    <row r="13665">
      <c r="C13665" s="277"/>
      <c r="M13665" s="277"/>
      <c r="O13665" s="247"/>
      <c r="AC13665" s="247"/>
      <c r="AT13665" s="247"/>
    </row>
    <row r="13666">
      <c r="C13666" s="277"/>
      <c r="M13666" s="277"/>
      <c r="O13666" s="247"/>
      <c r="AC13666" s="247"/>
      <c r="AT13666" s="247"/>
    </row>
    <row r="13667">
      <c r="C13667" s="277"/>
      <c r="M13667" s="277"/>
      <c r="O13667" s="247"/>
      <c r="AC13667" s="247"/>
      <c r="AT13667" s="247"/>
    </row>
    <row r="13668">
      <c r="C13668" s="277"/>
      <c r="M13668" s="277"/>
      <c r="O13668" s="247"/>
      <c r="AC13668" s="247"/>
      <c r="AT13668" s="247"/>
    </row>
    <row r="13669">
      <c r="C13669" s="277"/>
      <c r="M13669" s="277"/>
      <c r="O13669" s="247"/>
      <c r="AC13669" s="247"/>
      <c r="AT13669" s="247"/>
    </row>
    <row r="13670">
      <c r="C13670" s="277"/>
      <c r="M13670" s="277"/>
      <c r="O13670" s="247"/>
      <c r="AC13670" s="247"/>
      <c r="AT13670" s="247"/>
    </row>
    <row r="13671">
      <c r="C13671" s="277"/>
      <c r="M13671" s="277"/>
      <c r="O13671" s="247"/>
      <c r="AC13671" s="247"/>
      <c r="AT13671" s="247"/>
    </row>
    <row r="13672">
      <c r="C13672" s="277"/>
      <c r="M13672" s="277"/>
      <c r="O13672" s="247"/>
      <c r="AC13672" s="247"/>
      <c r="AT13672" s="247"/>
    </row>
    <row r="13673">
      <c r="C13673" s="277"/>
      <c r="M13673" s="277"/>
      <c r="O13673" s="247"/>
      <c r="AC13673" s="247"/>
      <c r="AT13673" s="247"/>
    </row>
    <row r="13674">
      <c r="C13674" s="277"/>
      <c r="M13674" s="277"/>
      <c r="O13674" s="247"/>
      <c r="AC13674" s="247"/>
      <c r="AT13674" s="247"/>
    </row>
    <row r="13675">
      <c r="C13675" s="277"/>
      <c r="M13675" s="277"/>
      <c r="O13675" s="247"/>
      <c r="AC13675" s="247"/>
      <c r="AT13675" s="247"/>
    </row>
    <row r="13676">
      <c r="C13676" s="277"/>
      <c r="M13676" s="277"/>
      <c r="O13676" s="247"/>
      <c r="AC13676" s="247"/>
      <c r="AT13676" s="247"/>
    </row>
    <row r="13677">
      <c r="C13677" s="277"/>
      <c r="M13677" s="277"/>
      <c r="O13677" s="247"/>
      <c r="AC13677" s="247"/>
      <c r="AT13677" s="247"/>
    </row>
    <row r="13678">
      <c r="C13678" s="277"/>
      <c r="M13678" s="277"/>
      <c r="O13678" s="247"/>
      <c r="AC13678" s="247"/>
      <c r="AT13678" s="247"/>
    </row>
    <row r="13679">
      <c r="C13679" s="277"/>
      <c r="M13679" s="277"/>
      <c r="O13679" s="247"/>
      <c r="AC13679" s="247"/>
      <c r="AT13679" s="247"/>
    </row>
    <row r="13680">
      <c r="C13680" s="277"/>
      <c r="M13680" s="277"/>
      <c r="O13680" s="247"/>
      <c r="AC13680" s="247"/>
      <c r="AT13680" s="247"/>
    </row>
    <row r="13681">
      <c r="C13681" s="277"/>
      <c r="M13681" s="277"/>
      <c r="O13681" s="247"/>
      <c r="AC13681" s="247"/>
      <c r="AT13681" s="247"/>
    </row>
    <row r="13682">
      <c r="C13682" s="277"/>
      <c r="M13682" s="277"/>
      <c r="O13682" s="247"/>
      <c r="AC13682" s="247"/>
      <c r="AT13682" s="247"/>
    </row>
    <row r="13683">
      <c r="C13683" s="277"/>
      <c r="M13683" s="277"/>
      <c r="O13683" s="247"/>
      <c r="AC13683" s="247"/>
      <c r="AT13683" s="247"/>
    </row>
    <row r="13684">
      <c r="C13684" s="277"/>
      <c r="M13684" s="277"/>
      <c r="O13684" s="247"/>
      <c r="AC13684" s="247"/>
      <c r="AT13684" s="247"/>
    </row>
    <row r="13685">
      <c r="C13685" s="277"/>
      <c r="M13685" s="277"/>
      <c r="O13685" s="247"/>
      <c r="AC13685" s="247"/>
      <c r="AT13685" s="247"/>
    </row>
    <row r="13686">
      <c r="C13686" s="277"/>
      <c r="M13686" s="277"/>
      <c r="O13686" s="247"/>
      <c r="AC13686" s="247"/>
      <c r="AT13686" s="247"/>
    </row>
    <row r="13687">
      <c r="C13687" s="277"/>
      <c r="M13687" s="277"/>
      <c r="O13687" s="247"/>
      <c r="AC13687" s="247"/>
      <c r="AT13687" s="247"/>
    </row>
    <row r="13688">
      <c r="C13688" s="277"/>
      <c r="M13688" s="277"/>
      <c r="O13688" s="247"/>
      <c r="AC13688" s="247"/>
      <c r="AT13688" s="247"/>
    </row>
    <row r="13689">
      <c r="C13689" s="277"/>
      <c r="M13689" s="277"/>
      <c r="O13689" s="247"/>
      <c r="AC13689" s="247"/>
      <c r="AT13689" s="247"/>
    </row>
    <row r="13690">
      <c r="C13690" s="277"/>
      <c r="M13690" s="277"/>
      <c r="O13690" s="247"/>
      <c r="AC13690" s="247"/>
      <c r="AT13690" s="247"/>
    </row>
    <row r="13691">
      <c r="C13691" s="277"/>
      <c r="M13691" s="277"/>
      <c r="O13691" s="247"/>
      <c r="AC13691" s="247"/>
      <c r="AT13691" s="247"/>
    </row>
    <row r="13692">
      <c r="C13692" s="277"/>
      <c r="M13692" s="277"/>
      <c r="O13692" s="247"/>
      <c r="AC13692" s="247"/>
      <c r="AT13692" s="247"/>
    </row>
    <row r="13693">
      <c r="C13693" s="277"/>
      <c r="M13693" s="277"/>
      <c r="O13693" s="247"/>
      <c r="AC13693" s="247"/>
      <c r="AT13693" s="247"/>
    </row>
    <row r="13694">
      <c r="C13694" s="277"/>
      <c r="M13694" s="277"/>
      <c r="O13694" s="247"/>
      <c r="AC13694" s="247"/>
      <c r="AT13694" s="247"/>
    </row>
    <row r="13695">
      <c r="C13695" s="277"/>
      <c r="M13695" s="277"/>
      <c r="O13695" s="247"/>
      <c r="AC13695" s="247"/>
      <c r="AT13695" s="247"/>
    </row>
    <row r="13696">
      <c r="C13696" s="277"/>
      <c r="M13696" s="277"/>
      <c r="O13696" s="247"/>
      <c r="AC13696" s="247"/>
      <c r="AT13696" s="247"/>
    </row>
    <row r="13697">
      <c r="C13697" s="277"/>
      <c r="M13697" s="277"/>
      <c r="O13697" s="247"/>
      <c r="AC13697" s="247"/>
      <c r="AT13697" s="247"/>
    </row>
    <row r="13698">
      <c r="C13698" s="277"/>
      <c r="M13698" s="277"/>
      <c r="O13698" s="247"/>
      <c r="AC13698" s="247"/>
      <c r="AT13698" s="247"/>
    </row>
    <row r="13699">
      <c r="C13699" s="277"/>
      <c r="M13699" s="277"/>
      <c r="O13699" s="247"/>
      <c r="AC13699" s="247"/>
      <c r="AT13699" s="247"/>
    </row>
    <row r="13700">
      <c r="C13700" s="277"/>
      <c r="M13700" s="277"/>
      <c r="O13700" s="247"/>
      <c r="AC13700" s="247"/>
      <c r="AT13700" s="247"/>
    </row>
    <row r="13701">
      <c r="C13701" s="277"/>
      <c r="M13701" s="277"/>
      <c r="O13701" s="247"/>
      <c r="AC13701" s="247"/>
      <c r="AT13701" s="247"/>
    </row>
    <row r="13702">
      <c r="C13702" s="277"/>
      <c r="M13702" s="277"/>
      <c r="O13702" s="247"/>
      <c r="AC13702" s="247"/>
      <c r="AT13702" s="247"/>
    </row>
    <row r="13703">
      <c r="C13703" s="277"/>
      <c r="M13703" s="277"/>
      <c r="O13703" s="247"/>
      <c r="AC13703" s="247"/>
      <c r="AT13703" s="247"/>
    </row>
    <row r="13704">
      <c r="C13704" s="277"/>
      <c r="M13704" s="277"/>
      <c r="O13704" s="247"/>
      <c r="AC13704" s="247"/>
      <c r="AT13704" s="247"/>
    </row>
    <row r="13705">
      <c r="C13705" s="277"/>
      <c r="M13705" s="277"/>
      <c r="O13705" s="247"/>
      <c r="AC13705" s="247"/>
      <c r="AT13705" s="247"/>
    </row>
    <row r="13706">
      <c r="C13706" s="277"/>
      <c r="M13706" s="277"/>
      <c r="O13706" s="247"/>
      <c r="AC13706" s="247"/>
      <c r="AT13706" s="247"/>
    </row>
    <row r="13707">
      <c r="C13707" s="277"/>
      <c r="M13707" s="277"/>
      <c r="O13707" s="247"/>
      <c r="AC13707" s="247"/>
      <c r="AT13707" s="247"/>
    </row>
    <row r="13708">
      <c r="C13708" s="277"/>
      <c r="M13708" s="277"/>
      <c r="O13708" s="247"/>
      <c r="AC13708" s="247"/>
      <c r="AT13708" s="247"/>
    </row>
    <row r="13709">
      <c r="C13709" s="277"/>
      <c r="M13709" s="277"/>
      <c r="O13709" s="247"/>
      <c r="AC13709" s="247"/>
      <c r="AT13709" s="247"/>
    </row>
    <row r="13710">
      <c r="C13710" s="277"/>
      <c r="M13710" s="277"/>
      <c r="O13710" s="247"/>
      <c r="AC13710" s="247"/>
      <c r="AT13710" s="247"/>
    </row>
    <row r="13711">
      <c r="C13711" s="277"/>
      <c r="M13711" s="277"/>
      <c r="O13711" s="247"/>
      <c r="AC13711" s="247"/>
      <c r="AT13711" s="247"/>
    </row>
    <row r="13712">
      <c r="C13712" s="277"/>
      <c r="M13712" s="277"/>
      <c r="O13712" s="247"/>
      <c r="AC13712" s="247"/>
      <c r="AT13712" s="247"/>
    </row>
    <row r="13713">
      <c r="C13713" s="277"/>
      <c r="M13713" s="277"/>
      <c r="O13713" s="247"/>
      <c r="AC13713" s="247"/>
      <c r="AT13713" s="247"/>
    </row>
    <row r="13714">
      <c r="C13714" s="277"/>
      <c r="M13714" s="277"/>
      <c r="O13714" s="247"/>
      <c r="AC13714" s="247"/>
      <c r="AT13714" s="247"/>
    </row>
    <row r="13715">
      <c r="C13715" s="277"/>
      <c r="M13715" s="277"/>
      <c r="O13715" s="247"/>
      <c r="AC13715" s="247"/>
      <c r="AT13715" s="247"/>
    </row>
    <row r="13716">
      <c r="C13716" s="277"/>
      <c r="M13716" s="277"/>
      <c r="O13716" s="247"/>
      <c r="AC13716" s="247"/>
      <c r="AT13716" s="247"/>
    </row>
    <row r="13717">
      <c r="C13717" s="277"/>
      <c r="M13717" s="277"/>
      <c r="O13717" s="247"/>
      <c r="AC13717" s="247"/>
      <c r="AT13717" s="247"/>
    </row>
    <row r="13718">
      <c r="C13718" s="277"/>
      <c r="M13718" s="277"/>
      <c r="O13718" s="247"/>
      <c r="AC13718" s="247"/>
      <c r="AT13718" s="247"/>
    </row>
    <row r="13719">
      <c r="C13719" s="277"/>
      <c r="M13719" s="277"/>
      <c r="O13719" s="247"/>
      <c r="AC13719" s="247"/>
      <c r="AT13719" s="247"/>
    </row>
    <row r="13720">
      <c r="C13720" s="277"/>
      <c r="M13720" s="277"/>
      <c r="O13720" s="247"/>
      <c r="AC13720" s="247"/>
      <c r="AT13720" s="247"/>
    </row>
    <row r="13721">
      <c r="C13721" s="277"/>
      <c r="M13721" s="277"/>
      <c r="O13721" s="247"/>
      <c r="AC13721" s="247"/>
      <c r="AT13721" s="247"/>
    </row>
    <row r="13722">
      <c r="C13722" s="277"/>
      <c r="M13722" s="277"/>
      <c r="O13722" s="247"/>
      <c r="AC13722" s="247"/>
      <c r="AT13722" s="247"/>
    </row>
    <row r="13723">
      <c r="C13723" s="277"/>
      <c r="M13723" s="277"/>
      <c r="O13723" s="247"/>
      <c r="AC13723" s="247"/>
      <c r="AT13723" s="247"/>
    </row>
    <row r="13724">
      <c r="C13724" s="277"/>
      <c r="M13724" s="277"/>
      <c r="O13724" s="247"/>
      <c r="AC13724" s="247"/>
      <c r="AT13724" s="247"/>
    </row>
    <row r="13725">
      <c r="C13725" s="277"/>
      <c r="M13725" s="277"/>
      <c r="O13725" s="247"/>
      <c r="AC13725" s="247"/>
      <c r="AT13725" s="247"/>
    </row>
    <row r="13726">
      <c r="C13726" s="277"/>
      <c r="M13726" s="277"/>
      <c r="O13726" s="247"/>
      <c r="AC13726" s="247"/>
      <c r="AT13726" s="247"/>
    </row>
    <row r="13727">
      <c r="C13727" s="277"/>
      <c r="M13727" s="277"/>
      <c r="O13727" s="247"/>
      <c r="AC13727" s="247"/>
      <c r="AT13727" s="247"/>
    </row>
    <row r="13728">
      <c r="C13728" s="277"/>
      <c r="M13728" s="277"/>
      <c r="O13728" s="247"/>
      <c r="AC13728" s="247"/>
      <c r="AT13728" s="247"/>
    </row>
    <row r="13729">
      <c r="C13729" s="277"/>
      <c r="M13729" s="277"/>
      <c r="O13729" s="247"/>
      <c r="AC13729" s="247"/>
      <c r="AT13729" s="247"/>
    </row>
    <row r="13730">
      <c r="C13730" s="277"/>
      <c r="M13730" s="277"/>
      <c r="O13730" s="247"/>
      <c r="AC13730" s="247"/>
      <c r="AT13730" s="247"/>
    </row>
    <row r="13731">
      <c r="C13731" s="277"/>
      <c r="M13731" s="277"/>
      <c r="O13731" s="247"/>
      <c r="AC13731" s="247"/>
      <c r="AT13731" s="247"/>
    </row>
    <row r="13732">
      <c r="C13732" s="277"/>
      <c r="M13732" s="277"/>
      <c r="O13732" s="247"/>
      <c r="AC13732" s="247"/>
      <c r="AT13732" s="247"/>
    </row>
    <row r="13733">
      <c r="C13733" s="277"/>
      <c r="M13733" s="277"/>
      <c r="O13733" s="247"/>
      <c r="AC13733" s="247"/>
      <c r="AT13733" s="247"/>
    </row>
    <row r="13734">
      <c r="C13734" s="277"/>
      <c r="M13734" s="277"/>
      <c r="O13734" s="247"/>
      <c r="AC13734" s="247"/>
      <c r="AT13734" s="247"/>
    </row>
    <row r="13735">
      <c r="C13735" s="277"/>
      <c r="M13735" s="277"/>
      <c r="O13735" s="247"/>
      <c r="AC13735" s="247"/>
      <c r="AT13735" s="247"/>
    </row>
    <row r="13736">
      <c r="C13736" s="277"/>
      <c r="M13736" s="277"/>
      <c r="O13736" s="247"/>
      <c r="AC13736" s="247"/>
      <c r="AT13736" s="247"/>
    </row>
    <row r="13737">
      <c r="C13737" s="277"/>
      <c r="M13737" s="277"/>
      <c r="O13737" s="247"/>
      <c r="AC13737" s="247"/>
      <c r="AT13737" s="247"/>
    </row>
    <row r="13738">
      <c r="C13738" s="277"/>
      <c r="M13738" s="277"/>
      <c r="O13738" s="247"/>
      <c r="AC13738" s="247"/>
      <c r="AT13738" s="247"/>
    </row>
    <row r="13739">
      <c r="C13739" s="277"/>
      <c r="M13739" s="277"/>
      <c r="O13739" s="247"/>
      <c r="AC13739" s="247"/>
      <c r="AT13739" s="247"/>
    </row>
    <row r="13740">
      <c r="C13740" s="277"/>
      <c r="M13740" s="277"/>
      <c r="O13740" s="247"/>
      <c r="AC13740" s="247"/>
      <c r="AT13740" s="247"/>
    </row>
    <row r="13741">
      <c r="C13741" s="277"/>
      <c r="M13741" s="277"/>
      <c r="O13741" s="247"/>
      <c r="AC13741" s="247"/>
      <c r="AT13741" s="247"/>
    </row>
    <row r="13742">
      <c r="C13742" s="277"/>
      <c r="M13742" s="277"/>
      <c r="O13742" s="247"/>
      <c r="AC13742" s="247"/>
      <c r="AT13742" s="247"/>
    </row>
    <row r="13743">
      <c r="C13743" s="277"/>
      <c r="M13743" s="277"/>
      <c r="O13743" s="247"/>
      <c r="AC13743" s="247"/>
      <c r="AT13743" s="247"/>
    </row>
    <row r="13744">
      <c r="C13744" s="277"/>
      <c r="M13744" s="277"/>
      <c r="O13744" s="247"/>
      <c r="AC13744" s="247"/>
      <c r="AT13744" s="247"/>
    </row>
    <row r="13745">
      <c r="C13745" s="277"/>
      <c r="M13745" s="277"/>
      <c r="O13745" s="247"/>
      <c r="AC13745" s="247"/>
      <c r="AT13745" s="247"/>
    </row>
    <row r="13746">
      <c r="C13746" s="277"/>
      <c r="M13746" s="277"/>
      <c r="O13746" s="247"/>
      <c r="AC13746" s="247"/>
      <c r="AT13746" s="247"/>
    </row>
    <row r="13747">
      <c r="C13747" s="277"/>
      <c r="M13747" s="277"/>
      <c r="O13747" s="247"/>
      <c r="AC13747" s="247"/>
      <c r="AT13747" s="247"/>
    </row>
    <row r="13748">
      <c r="C13748" s="277"/>
      <c r="M13748" s="277"/>
      <c r="O13748" s="247"/>
      <c r="AC13748" s="247"/>
      <c r="AT13748" s="247"/>
    </row>
    <row r="13749">
      <c r="C13749" s="277"/>
      <c r="M13749" s="277"/>
      <c r="O13749" s="247"/>
      <c r="AC13749" s="247"/>
      <c r="AT13749" s="247"/>
    </row>
    <row r="13750">
      <c r="C13750" s="277"/>
      <c r="M13750" s="277"/>
      <c r="O13750" s="247"/>
      <c r="AC13750" s="247"/>
      <c r="AT13750" s="247"/>
    </row>
    <row r="13751">
      <c r="C13751" s="277"/>
      <c r="M13751" s="277"/>
      <c r="O13751" s="247"/>
      <c r="AC13751" s="247"/>
      <c r="AT13751" s="247"/>
    </row>
    <row r="13752">
      <c r="C13752" s="277"/>
      <c r="M13752" s="277"/>
      <c r="O13752" s="247"/>
      <c r="AC13752" s="247"/>
      <c r="AT13752" s="247"/>
    </row>
    <row r="13753">
      <c r="C13753" s="277"/>
      <c r="M13753" s="277"/>
      <c r="O13753" s="247"/>
      <c r="AC13753" s="247"/>
      <c r="AT13753" s="247"/>
    </row>
    <row r="13754">
      <c r="C13754" s="277"/>
      <c r="M13754" s="277"/>
      <c r="O13754" s="247"/>
      <c r="AC13754" s="247"/>
      <c r="AT13754" s="247"/>
    </row>
    <row r="13755">
      <c r="C13755" s="277"/>
      <c r="M13755" s="277"/>
      <c r="O13755" s="247"/>
      <c r="AC13755" s="247"/>
      <c r="AT13755" s="247"/>
    </row>
    <row r="13756">
      <c r="C13756" s="277"/>
      <c r="M13756" s="277"/>
      <c r="O13756" s="247"/>
      <c r="AC13756" s="247"/>
      <c r="AT13756" s="247"/>
    </row>
    <row r="13757">
      <c r="C13757" s="277"/>
      <c r="M13757" s="277"/>
      <c r="O13757" s="247"/>
      <c r="AC13757" s="247"/>
      <c r="AT13757" s="247"/>
    </row>
    <row r="13758">
      <c r="C13758" s="277"/>
      <c r="M13758" s="277"/>
      <c r="O13758" s="247"/>
      <c r="AC13758" s="247"/>
      <c r="AT13758" s="247"/>
    </row>
    <row r="13759">
      <c r="C13759" s="277"/>
      <c r="M13759" s="277"/>
      <c r="O13759" s="247"/>
      <c r="AC13759" s="247"/>
      <c r="AT13759" s="247"/>
    </row>
    <row r="13760">
      <c r="C13760" s="277"/>
      <c r="M13760" s="277"/>
      <c r="O13760" s="247"/>
      <c r="AC13760" s="247"/>
      <c r="AT13760" s="247"/>
    </row>
    <row r="13761">
      <c r="C13761" s="277"/>
      <c r="M13761" s="277"/>
      <c r="O13761" s="247"/>
      <c r="AC13761" s="247"/>
      <c r="AT13761" s="247"/>
    </row>
    <row r="13762">
      <c r="C13762" s="277"/>
      <c r="M13762" s="277"/>
      <c r="O13762" s="247"/>
      <c r="AC13762" s="247"/>
      <c r="AT13762" s="247"/>
    </row>
    <row r="13763">
      <c r="C13763" s="277"/>
      <c r="M13763" s="277"/>
      <c r="O13763" s="247"/>
      <c r="AC13763" s="247"/>
      <c r="AT13763" s="247"/>
    </row>
    <row r="13764">
      <c r="C13764" s="277"/>
      <c r="M13764" s="277"/>
      <c r="O13764" s="247"/>
      <c r="AC13764" s="247"/>
      <c r="AT13764" s="247"/>
    </row>
    <row r="13765">
      <c r="C13765" s="277"/>
      <c r="M13765" s="277"/>
      <c r="O13765" s="247"/>
      <c r="AC13765" s="247"/>
      <c r="AT13765" s="247"/>
    </row>
    <row r="13766">
      <c r="C13766" s="277"/>
      <c r="M13766" s="277"/>
      <c r="O13766" s="247"/>
      <c r="AC13766" s="247"/>
      <c r="AT13766" s="247"/>
    </row>
    <row r="13767">
      <c r="C13767" s="277"/>
      <c r="M13767" s="277"/>
      <c r="O13767" s="247"/>
      <c r="AC13767" s="247"/>
      <c r="AT13767" s="247"/>
    </row>
    <row r="13768">
      <c r="C13768" s="277"/>
      <c r="M13768" s="277"/>
      <c r="O13768" s="247"/>
      <c r="AC13768" s="247"/>
      <c r="AT13768" s="247"/>
    </row>
    <row r="13769">
      <c r="C13769" s="277"/>
      <c r="M13769" s="277"/>
      <c r="O13769" s="247"/>
      <c r="AC13769" s="247"/>
      <c r="AT13769" s="247"/>
    </row>
    <row r="13770">
      <c r="C13770" s="277"/>
      <c r="M13770" s="277"/>
      <c r="O13770" s="247"/>
      <c r="AC13770" s="247"/>
      <c r="AT13770" s="247"/>
    </row>
    <row r="13771">
      <c r="C13771" s="277"/>
      <c r="M13771" s="277"/>
      <c r="O13771" s="247"/>
      <c r="AC13771" s="247"/>
      <c r="AT13771" s="247"/>
    </row>
    <row r="13772">
      <c r="C13772" s="277"/>
      <c r="M13772" s="277"/>
      <c r="O13772" s="247"/>
      <c r="AC13772" s="247"/>
      <c r="AT13772" s="247"/>
    </row>
    <row r="13773">
      <c r="C13773" s="277"/>
      <c r="M13773" s="277"/>
      <c r="O13773" s="247"/>
      <c r="AC13773" s="247"/>
      <c r="AT13773" s="247"/>
    </row>
    <row r="13774">
      <c r="C13774" s="277"/>
      <c r="M13774" s="277"/>
      <c r="O13774" s="247"/>
      <c r="AC13774" s="247"/>
      <c r="AT13774" s="247"/>
    </row>
    <row r="13775">
      <c r="C13775" s="277"/>
      <c r="M13775" s="277"/>
      <c r="O13775" s="247"/>
      <c r="AC13775" s="247"/>
      <c r="AT13775" s="247"/>
    </row>
    <row r="13776">
      <c r="C13776" s="277"/>
      <c r="M13776" s="277"/>
      <c r="O13776" s="247"/>
      <c r="AC13776" s="247"/>
      <c r="AT13776" s="247"/>
    </row>
    <row r="13777">
      <c r="C13777" s="277"/>
      <c r="M13777" s="277"/>
      <c r="O13777" s="247"/>
      <c r="AC13777" s="247"/>
      <c r="AT13777" s="247"/>
    </row>
    <row r="13778">
      <c r="C13778" s="277"/>
      <c r="M13778" s="277"/>
      <c r="O13778" s="247"/>
      <c r="AC13778" s="247"/>
      <c r="AT13778" s="247"/>
    </row>
    <row r="13779">
      <c r="C13779" s="277"/>
      <c r="M13779" s="277"/>
      <c r="O13779" s="247"/>
      <c r="AC13779" s="247"/>
      <c r="AT13779" s="247"/>
    </row>
    <row r="13780">
      <c r="C13780" s="277"/>
      <c r="M13780" s="277"/>
      <c r="O13780" s="247"/>
      <c r="AC13780" s="247"/>
      <c r="AT13780" s="247"/>
    </row>
    <row r="13781">
      <c r="C13781" s="277"/>
      <c r="M13781" s="277"/>
      <c r="O13781" s="247"/>
      <c r="AC13781" s="247"/>
      <c r="AT13781" s="247"/>
    </row>
    <row r="13782">
      <c r="C13782" s="277"/>
      <c r="M13782" s="277"/>
      <c r="O13782" s="247"/>
      <c r="AC13782" s="247"/>
      <c r="AT13782" s="247"/>
    </row>
    <row r="13783">
      <c r="C13783" s="277"/>
      <c r="M13783" s="277"/>
      <c r="O13783" s="247"/>
      <c r="AC13783" s="247"/>
      <c r="AT13783" s="247"/>
    </row>
    <row r="13784">
      <c r="C13784" s="277"/>
      <c r="M13784" s="277"/>
      <c r="O13784" s="247"/>
      <c r="AC13784" s="247"/>
      <c r="AT13784" s="247"/>
    </row>
    <row r="13785">
      <c r="C13785" s="277"/>
      <c r="M13785" s="277"/>
      <c r="O13785" s="247"/>
      <c r="AC13785" s="247"/>
      <c r="AT13785" s="247"/>
    </row>
    <row r="13786">
      <c r="C13786" s="277"/>
      <c r="M13786" s="277"/>
      <c r="O13786" s="247"/>
      <c r="AC13786" s="247"/>
      <c r="AT13786" s="247"/>
    </row>
    <row r="13787">
      <c r="C13787" s="277"/>
      <c r="M13787" s="277"/>
      <c r="O13787" s="247"/>
      <c r="AC13787" s="247"/>
      <c r="AT13787" s="247"/>
    </row>
    <row r="13788">
      <c r="C13788" s="277"/>
      <c r="M13788" s="277"/>
      <c r="O13788" s="247"/>
      <c r="AC13788" s="247"/>
      <c r="AT13788" s="247"/>
    </row>
    <row r="13789">
      <c r="C13789" s="277"/>
      <c r="M13789" s="277"/>
      <c r="O13789" s="247"/>
      <c r="AC13789" s="247"/>
      <c r="AT13789" s="247"/>
    </row>
    <row r="13790">
      <c r="C13790" s="277"/>
      <c r="M13790" s="277"/>
      <c r="O13790" s="247"/>
      <c r="AC13790" s="247"/>
      <c r="AT13790" s="247"/>
    </row>
    <row r="13791">
      <c r="C13791" s="277"/>
      <c r="M13791" s="277"/>
      <c r="O13791" s="247"/>
      <c r="AC13791" s="247"/>
      <c r="AT13791" s="247"/>
    </row>
    <row r="13792">
      <c r="C13792" s="277"/>
      <c r="M13792" s="277"/>
      <c r="O13792" s="247"/>
      <c r="AC13792" s="247"/>
      <c r="AT13792" s="247"/>
    </row>
    <row r="13793">
      <c r="C13793" s="277"/>
      <c r="M13793" s="277"/>
      <c r="O13793" s="247"/>
      <c r="AC13793" s="247"/>
      <c r="AT13793" s="247"/>
    </row>
    <row r="13794">
      <c r="C13794" s="277"/>
      <c r="M13794" s="277"/>
      <c r="O13794" s="247"/>
      <c r="AC13794" s="247"/>
      <c r="AT13794" s="247"/>
    </row>
    <row r="13795">
      <c r="C13795" s="277"/>
      <c r="M13795" s="277"/>
      <c r="O13795" s="247"/>
      <c r="AC13795" s="247"/>
      <c r="AT13795" s="247"/>
    </row>
    <row r="13796">
      <c r="C13796" s="277"/>
      <c r="M13796" s="277"/>
      <c r="O13796" s="247"/>
      <c r="AC13796" s="247"/>
      <c r="AT13796" s="247"/>
    </row>
    <row r="13797">
      <c r="C13797" s="277"/>
      <c r="M13797" s="277"/>
      <c r="O13797" s="247"/>
      <c r="AC13797" s="247"/>
      <c r="AT13797" s="247"/>
    </row>
    <row r="13798">
      <c r="C13798" s="277"/>
      <c r="M13798" s="277"/>
      <c r="O13798" s="247"/>
      <c r="AC13798" s="247"/>
      <c r="AT13798" s="247"/>
    </row>
    <row r="13799">
      <c r="C13799" s="277"/>
      <c r="M13799" s="277"/>
      <c r="O13799" s="247"/>
      <c r="AC13799" s="247"/>
      <c r="AT13799" s="247"/>
    </row>
    <row r="13800">
      <c r="C13800" s="277"/>
      <c r="M13800" s="277"/>
      <c r="O13800" s="247"/>
      <c r="AC13800" s="247"/>
      <c r="AT13800" s="247"/>
    </row>
    <row r="13801">
      <c r="C13801" s="277"/>
      <c r="M13801" s="277"/>
      <c r="O13801" s="247"/>
      <c r="AC13801" s="247"/>
      <c r="AT13801" s="247"/>
    </row>
    <row r="13802">
      <c r="C13802" s="277"/>
      <c r="M13802" s="277"/>
      <c r="O13802" s="247"/>
      <c r="AC13802" s="247"/>
      <c r="AT13802" s="247"/>
    </row>
    <row r="13803">
      <c r="C13803" s="277"/>
      <c r="M13803" s="277"/>
      <c r="O13803" s="247"/>
      <c r="AC13803" s="247"/>
      <c r="AT13803" s="247"/>
    </row>
    <row r="13804">
      <c r="C13804" s="277"/>
      <c r="M13804" s="277"/>
      <c r="O13804" s="247"/>
      <c r="AC13804" s="247"/>
      <c r="AT13804" s="247"/>
    </row>
    <row r="13805">
      <c r="C13805" s="277"/>
      <c r="M13805" s="277"/>
      <c r="O13805" s="247"/>
      <c r="AC13805" s="247"/>
      <c r="AT13805" s="247"/>
    </row>
    <row r="13806">
      <c r="C13806" s="277"/>
      <c r="M13806" s="277"/>
      <c r="O13806" s="247"/>
      <c r="AC13806" s="247"/>
      <c r="AT13806" s="247"/>
    </row>
    <row r="13807">
      <c r="C13807" s="277"/>
      <c r="M13807" s="277"/>
      <c r="O13807" s="247"/>
      <c r="AC13807" s="247"/>
      <c r="AT13807" s="247"/>
    </row>
    <row r="13808">
      <c r="C13808" s="277"/>
      <c r="M13808" s="277"/>
      <c r="O13808" s="247"/>
      <c r="AC13808" s="247"/>
      <c r="AT13808" s="247"/>
    </row>
    <row r="13809">
      <c r="C13809" s="277"/>
      <c r="M13809" s="277"/>
      <c r="O13809" s="247"/>
      <c r="AC13809" s="247"/>
      <c r="AT13809" s="247"/>
    </row>
    <row r="13810">
      <c r="C13810" s="277"/>
      <c r="M13810" s="277"/>
      <c r="O13810" s="247"/>
      <c r="AC13810" s="247"/>
      <c r="AT13810" s="247"/>
    </row>
    <row r="13811">
      <c r="C13811" s="277"/>
      <c r="M13811" s="277"/>
      <c r="O13811" s="247"/>
      <c r="AC13811" s="247"/>
      <c r="AT13811" s="247"/>
    </row>
    <row r="13812">
      <c r="C13812" s="277"/>
      <c r="M13812" s="277"/>
      <c r="O13812" s="247"/>
      <c r="AC13812" s="247"/>
      <c r="AT13812" s="247"/>
    </row>
    <row r="13813">
      <c r="C13813" s="277"/>
      <c r="M13813" s="277"/>
      <c r="O13813" s="247"/>
      <c r="AC13813" s="247"/>
      <c r="AT13813" s="247"/>
    </row>
    <row r="13814">
      <c r="C13814" s="277"/>
      <c r="M13814" s="277"/>
      <c r="O13814" s="247"/>
      <c r="AC13814" s="247"/>
      <c r="AT13814" s="247"/>
    </row>
    <row r="13815">
      <c r="C13815" s="277"/>
      <c r="M13815" s="277"/>
      <c r="O13815" s="247"/>
      <c r="AC13815" s="247"/>
      <c r="AT13815" s="247"/>
    </row>
    <row r="13816">
      <c r="C13816" s="277"/>
      <c r="M13816" s="277"/>
      <c r="O13816" s="247"/>
      <c r="AC13816" s="247"/>
      <c r="AT13816" s="247"/>
    </row>
    <row r="13817">
      <c r="C13817" s="277"/>
      <c r="M13817" s="277"/>
      <c r="O13817" s="247"/>
      <c r="AC13817" s="247"/>
      <c r="AT13817" s="247"/>
    </row>
    <row r="13818">
      <c r="C13818" s="277"/>
      <c r="M13818" s="277"/>
      <c r="O13818" s="247"/>
      <c r="AC13818" s="247"/>
      <c r="AT13818" s="247"/>
    </row>
    <row r="13819">
      <c r="C13819" s="277"/>
      <c r="M13819" s="277"/>
      <c r="O13819" s="247"/>
      <c r="AC13819" s="247"/>
      <c r="AT13819" s="247"/>
    </row>
    <row r="13820">
      <c r="C13820" s="277"/>
      <c r="M13820" s="277"/>
      <c r="O13820" s="247"/>
      <c r="AC13820" s="247"/>
      <c r="AT13820" s="247"/>
    </row>
    <row r="13821">
      <c r="C13821" s="277"/>
      <c r="M13821" s="277"/>
      <c r="O13821" s="247"/>
      <c r="AC13821" s="247"/>
      <c r="AT13821" s="247"/>
    </row>
    <row r="13822">
      <c r="C13822" s="277"/>
      <c r="M13822" s="277"/>
      <c r="O13822" s="247"/>
      <c r="AC13822" s="247"/>
      <c r="AT13822" s="247"/>
    </row>
    <row r="13823">
      <c r="C13823" s="277"/>
      <c r="M13823" s="277"/>
      <c r="O13823" s="247"/>
      <c r="AC13823" s="247"/>
      <c r="AT13823" s="247"/>
    </row>
    <row r="13824">
      <c r="C13824" s="277"/>
      <c r="M13824" s="277"/>
      <c r="O13824" s="247"/>
      <c r="AC13824" s="247"/>
      <c r="AT13824" s="247"/>
    </row>
    <row r="13825">
      <c r="C13825" s="277"/>
      <c r="M13825" s="277"/>
      <c r="O13825" s="247"/>
      <c r="AC13825" s="247"/>
      <c r="AT13825" s="247"/>
    </row>
    <row r="13826">
      <c r="C13826" s="277"/>
      <c r="M13826" s="277"/>
      <c r="O13826" s="247"/>
      <c r="AC13826" s="247"/>
      <c r="AT13826" s="247"/>
    </row>
    <row r="13827">
      <c r="C13827" s="277"/>
      <c r="M13827" s="277"/>
      <c r="O13827" s="247"/>
      <c r="AC13827" s="247"/>
      <c r="AT13827" s="247"/>
    </row>
    <row r="13828">
      <c r="C13828" s="277"/>
      <c r="M13828" s="277"/>
      <c r="O13828" s="247"/>
      <c r="AC13828" s="247"/>
      <c r="AT13828" s="247"/>
    </row>
    <row r="13829">
      <c r="C13829" s="277"/>
      <c r="M13829" s="277"/>
      <c r="O13829" s="247"/>
      <c r="AC13829" s="247"/>
      <c r="AT13829" s="247"/>
    </row>
    <row r="13830">
      <c r="C13830" s="277"/>
      <c r="M13830" s="277"/>
      <c r="O13830" s="247"/>
      <c r="AC13830" s="247"/>
      <c r="AT13830" s="247"/>
    </row>
    <row r="13831">
      <c r="C13831" s="277"/>
      <c r="M13831" s="277"/>
      <c r="O13831" s="247"/>
      <c r="AC13831" s="247"/>
      <c r="AT13831" s="247"/>
    </row>
    <row r="13832">
      <c r="C13832" s="277"/>
      <c r="M13832" s="277"/>
      <c r="O13832" s="247"/>
      <c r="AC13832" s="247"/>
      <c r="AT13832" s="247"/>
    </row>
    <row r="13833">
      <c r="C13833" s="277"/>
      <c r="M13833" s="277"/>
      <c r="O13833" s="247"/>
      <c r="AC13833" s="247"/>
      <c r="AT13833" s="247"/>
    </row>
    <row r="13834">
      <c r="C13834" s="277"/>
      <c r="M13834" s="277"/>
      <c r="O13834" s="247"/>
      <c r="AC13834" s="247"/>
      <c r="AT13834" s="247"/>
    </row>
    <row r="13835">
      <c r="C13835" s="277"/>
      <c r="M13835" s="277"/>
      <c r="O13835" s="247"/>
      <c r="AC13835" s="247"/>
      <c r="AT13835" s="247"/>
    </row>
    <row r="13836">
      <c r="C13836" s="277"/>
      <c r="M13836" s="277"/>
      <c r="O13836" s="247"/>
      <c r="AC13836" s="247"/>
      <c r="AT13836" s="247"/>
    </row>
    <row r="13837">
      <c r="C13837" s="277"/>
      <c r="M13837" s="277"/>
      <c r="O13837" s="247"/>
      <c r="AC13837" s="247"/>
      <c r="AT13837" s="247"/>
    </row>
    <row r="13838">
      <c r="C13838" s="277"/>
      <c r="M13838" s="277"/>
      <c r="O13838" s="247"/>
      <c r="AC13838" s="247"/>
      <c r="AT13838" s="247"/>
    </row>
    <row r="13839">
      <c r="C13839" s="277"/>
      <c r="M13839" s="277"/>
      <c r="O13839" s="247"/>
      <c r="AC13839" s="247"/>
      <c r="AT13839" s="247"/>
    </row>
    <row r="13840">
      <c r="C13840" s="277"/>
      <c r="M13840" s="277"/>
      <c r="O13840" s="247"/>
      <c r="AC13840" s="247"/>
      <c r="AT13840" s="247"/>
    </row>
    <row r="13841">
      <c r="C13841" s="277"/>
      <c r="M13841" s="277"/>
      <c r="O13841" s="247"/>
      <c r="AC13841" s="247"/>
      <c r="AT13841" s="247"/>
    </row>
    <row r="13842">
      <c r="C13842" s="277"/>
      <c r="M13842" s="277"/>
      <c r="O13842" s="247"/>
      <c r="AC13842" s="247"/>
      <c r="AT13842" s="247"/>
    </row>
    <row r="13843">
      <c r="C13843" s="277"/>
      <c r="M13843" s="277"/>
      <c r="O13843" s="247"/>
      <c r="AC13843" s="247"/>
      <c r="AT13843" s="247"/>
    </row>
    <row r="13844">
      <c r="C13844" s="277"/>
      <c r="M13844" s="277"/>
      <c r="O13844" s="247"/>
      <c r="AC13844" s="247"/>
      <c r="AT13844" s="247"/>
    </row>
    <row r="13845">
      <c r="C13845" s="277"/>
      <c r="M13845" s="277"/>
      <c r="O13845" s="247"/>
      <c r="AC13845" s="247"/>
      <c r="AT13845" s="247"/>
    </row>
    <row r="13846">
      <c r="C13846" s="277"/>
      <c r="M13846" s="277"/>
      <c r="O13846" s="247"/>
      <c r="AC13846" s="247"/>
      <c r="AT13846" s="247"/>
    </row>
    <row r="13847">
      <c r="C13847" s="277"/>
      <c r="M13847" s="277"/>
      <c r="O13847" s="247"/>
      <c r="AC13847" s="247"/>
      <c r="AT13847" s="247"/>
    </row>
    <row r="13848">
      <c r="C13848" s="277"/>
      <c r="M13848" s="277"/>
      <c r="O13848" s="247"/>
      <c r="AC13848" s="247"/>
      <c r="AT13848" s="247"/>
    </row>
    <row r="13849">
      <c r="C13849" s="277"/>
      <c r="M13849" s="277"/>
      <c r="O13849" s="247"/>
      <c r="AC13849" s="247"/>
      <c r="AT13849" s="247"/>
    </row>
    <row r="13850">
      <c r="C13850" s="277"/>
      <c r="M13850" s="277"/>
      <c r="O13850" s="247"/>
      <c r="AC13850" s="247"/>
      <c r="AT13850" s="247"/>
    </row>
    <row r="13851">
      <c r="C13851" s="277"/>
      <c r="M13851" s="277"/>
      <c r="O13851" s="247"/>
      <c r="AC13851" s="247"/>
      <c r="AT13851" s="247"/>
    </row>
    <row r="13852">
      <c r="C13852" s="277"/>
      <c r="M13852" s="277"/>
      <c r="O13852" s="247"/>
      <c r="AC13852" s="247"/>
      <c r="AT13852" s="247"/>
    </row>
    <row r="13853">
      <c r="C13853" s="277"/>
      <c r="M13853" s="277"/>
      <c r="O13853" s="247"/>
      <c r="AC13853" s="247"/>
      <c r="AT13853" s="247"/>
    </row>
    <row r="13854">
      <c r="C13854" s="277"/>
      <c r="M13854" s="277"/>
      <c r="O13854" s="247"/>
      <c r="AC13854" s="247"/>
      <c r="AT13854" s="247"/>
    </row>
    <row r="13855">
      <c r="C13855" s="277"/>
      <c r="M13855" s="277"/>
      <c r="O13855" s="247"/>
      <c r="AC13855" s="247"/>
      <c r="AT13855" s="247"/>
    </row>
    <row r="13856">
      <c r="C13856" s="277"/>
      <c r="M13856" s="277"/>
      <c r="O13856" s="247"/>
      <c r="AC13856" s="247"/>
      <c r="AT13856" s="247"/>
    </row>
    <row r="13857">
      <c r="C13857" s="277"/>
      <c r="M13857" s="277"/>
      <c r="O13857" s="247"/>
      <c r="AC13857" s="247"/>
      <c r="AT13857" s="247"/>
    </row>
    <row r="13858">
      <c r="C13858" s="277"/>
      <c r="M13858" s="277"/>
      <c r="O13858" s="247"/>
      <c r="AC13858" s="247"/>
      <c r="AT13858" s="247"/>
    </row>
    <row r="13859">
      <c r="C13859" s="277"/>
      <c r="M13859" s="277"/>
      <c r="O13859" s="247"/>
      <c r="AC13859" s="247"/>
      <c r="AT13859" s="247"/>
    </row>
    <row r="13860">
      <c r="C13860" s="277"/>
      <c r="M13860" s="277"/>
      <c r="O13860" s="247"/>
      <c r="AC13860" s="247"/>
      <c r="AT13860" s="247"/>
    </row>
    <row r="13861">
      <c r="C13861" s="277"/>
      <c r="M13861" s="277"/>
      <c r="O13861" s="247"/>
      <c r="AC13861" s="247"/>
      <c r="AT13861" s="247"/>
    </row>
    <row r="13862">
      <c r="C13862" s="277"/>
      <c r="M13862" s="277"/>
      <c r="O13862" s="247"/>
      <c r="AC13862" s="247"/>
      <c r="AT13862" s="247"/>
    </row>
    <row r="13863">
      <c r="C13863" s="277"/>
      <c r="M13863" s="277"/>
      <c r="O13863" s="247"/>
      <c r="AC13863" s="247"/>
      <c r="AT13863" s="247"/>
    </row>
    <row r="13864">
      <c r="C13864" s="277"/>
      <c r="M13864" s="277"/>
      <c r="O13864" s="247"/>
      <c r="AC13864" s="247"/>
      <c r="AT13864" s="247"/>
    </row>
    <row r="13865">
      <c r="C13865" s="277"/>
      <c r="M13865" s="277"/>
      <c r="O13865" s="247"/>
      <c r="AC13865" s="247"/>
      <c r="AT13865" s="247"/>
    </row>
    <row r="13866">
      <c r="C13866" s="277"/>
      <c r="M13866" s="277"/>
      <c r="O13866" s="247"/>
      <c r="AC13866" s="247"/>
      <c r="AT13866" s="247"/>
    </row>
    <row r="13867">
      <c r="C13867" s="277"/>
      <c r="M13867" s="277"/>
      <c r="O13867" s="247"/>
      <c r="AC13867" s="247"/>
      <c r="AT13867" s="247"/>
    </row>
    <row r="13868">
      <c r="C13868" s="277"/>
      <c r="M13868" s="277"/>
      <c r="O13868" s="247"/>
      <c r="AC13868" s="247"/>
      <c r="AT13868" s="247"/>
    </row>
    <row r="13869">
      <c r="C13869" s="277"/>
      <c r="M13869" s="277"/>
      <c r="O13869" s="247"/>
      <c r="AC13869" s="247"/>
      <c r="AT13869" s="247"/>
    </row>
    <row r="13870">
      <c r="C13870" s="277"/>
      <c r="M13870" s="277"/>
      <c r="O13870" s="247"/>
      <c r="AC13870" s="247"/>
      <c r="AT13870" s="247"/>
    </row>
    <row r="13871">
      <c r="C13871" s="277"/>
      <c r="M13871" s="277"/>
      <c r="O13871" s="247"/>
      <c r="AC13871" s="247"/>
      <c r="AT13871" s="247"/>
    </row>
    <row r="13872">
      <c r="C13872" s="277"/>
      <c r="M13872" s="277"/>
      <c r="O13872" s="247"/>
      <c r="AC13872" s="247"/>
      <c r="AT13872" s="247"/>
    </row>
    <row r="13873">
      <c r="C13873" s="277"/>
      <c r="M13873" s="277"/>
      <c r="O13873" s="247"/>
      <c r="AC13873" s="247"/>
      <c r="AT13873" s="247"/>
    </row>
    <row r="13874">
      <c r="C13874" s="277"/>
      <c r="M13874" s="277"/>
      <c r="O13874" s="247"/>
      <c r="AC13874" s="247"/>
      <c r="AT13874" s="247"/>
    </row>
    <row r="13875">
      <c r="C13875" s="277"/>
      <c r="M13875" s="277"/>
      <c r="O13875" s="247"/>
      <c r="AC13875" s="247"/>
      <c r="AT13875" s="247"/>
    </row>
    <row r="13876">
      <c r="C13876" s="277"/>
      <c r="M13876" s="277"/>
      <c r="O13876" s="247"/>
      <c r="AC13876" s="247"/>
      <c r="AT13876" s="247"/>
    </row>
    <row r="13877">
      <c r="C13877" s="277"/>
      <c r="M13877" s="277"/>
      <c r="O13877" s="247"/>
      <c r="AC13877" s="247"/>
      <c r="AT13877" s="247"/>
    </row>
    <row r="13878">
      <c r="C13878" s="277"/>
      <c r="M13878" s="277"/>
      <c r="O13878" s="247"/>
      <c r="AC13878" s="247"/>
      <c r="AT13878" s="247"/>
    </row>
    <row r="13879">
      <c r="C13879" s="277"/>
      <c r="M13879" s="277"/>
      <c r="O13879" s="247"/>
      <c r="AC13879" s="247"/>
      <c r="AT13879" s="247"/>
    </row>
    <row r="13880">
      <c r="C13880" s="277"/>
      <c r="M13880" s="277"/>
      <c r="O13880" s="247"/>
      <c r="AC13880" s="247"/>
      <c r="AT13880" s="247"/>
    </row>
    <row r="13881">
      <c r="C13881" s="277"/>
      <c r="M13881" s="277"/>
      <c r="O13881" s="247"/>
      <c r="AC13881" s="247"/>
      <c r="AT13881" s="247"/>
    </row>
    <row r="13882">
      <c r="C13882" s="277"/>
      <c r="M13882" s="277"/>
      <c r="O13882" s="247"/>
      <c r="AC13882" s="247"/>
      <c r="AT13882" s="247"/>
    </row>
    <row r="13883">
      <c r="C13883" s="277"/>
      <c r="M13883" s="277"/>
      <c r="O13883" s="247"/>
      <c r="AC13883" s="247"/>
      <c r="AT13883" s="247"/>
    </row>
    <row r="13884">
      <c r="C13884" s="277"/>
      <c r="M13884" s="277"/>
      <c r="O13884" s="247"/>
      <c r="AC13884" s="247"/>
      <c r="AT13884" s="247"/>
    </row>
    <row r="13885">
      <c r="C13885" s="277"/>
      <c r="M13885" s="277"/>
      <c r="O13885" s="247"/>
      <c r="AC13885" s="247"/>
      <c r="AT13885" s="247"/>
    </row>
    <row r="13886">
      <c r="C13886" s="277"/>
      <c r="M13886" s="277"/>
      <c r="O13886" s="247"/>
      <c r="AC13886" s="247"/>
      <c r="AT13886" s="247"/>
    </row>
    <row r="13887">
      <c r="C13887" s="277"/>
      <c r="M13887" s="277"/>
      <c r="O13887" s="247"/>
      <c r="AC13887" s="247"/>
      <c r="AT13887" s="247"/>
    </row>
    <row r="13888">
      <c r="C13888" s="277"/>
      <c r="M13888" s="277"/>
      <c r="O13888" s="247"/>
      <c r="AC13888" s="247"/>
      <c r="AT13888" s="247"/>
    </row>
    <row r="13889">
      <c r="C13889" s="277"/>
      <c r="M13889" s="277"/>
      <c r="O13889" s="247"/>
      <c r="AC13889" s="247"/>
      <c r="AT13889" s="247"/>
    </row>
    <row r="13890">
      <c r="C13890" s="277"/>
      <c r="M13890" s="277"/>
      <c r="O13890" s="247"/>
      <c r="AC13890" s="247"/>
      <c r="AT13890" s="247"/>
    </row>
    <row r="13891">
      <c r="C13891" s="277"/>
      <c r="M13891" s="277"/>
      <c r="O13891" s="247"/>
      <c r="AC13891" s="247"/>
      <c r="AT13891" s="247"/>
    </row>
    <row r="13892">
      <c r="C13892" s="277"/>
      <c r="M13892" s="277"/>
      <c r="O13892" s="247"/>
      <c r="AC13892" s="247"/>
      <c r="AT13892" s="247"/>
    </row>
    <row r="13893">
      <c r="C13893" s="277"/>
      <c r="M13893" s="277"/>
      <c r="O13893" s="247"/>
      <c r="AC13893" s="247"/>
      <c r="AT13893" s="247"/>
    </row>
    <row r="13894">
      <c r="C13894" s="277"/>
      <c r="M13894" s="277"/>
      <c r="O13894" s="247"/>
      <c r="AC13894" s="247"/>
      <c r="AT13894" s="247"/>
    </row>
    <row r="13895">
      <c r="C13895" s="277"/>
      <c r="M13895" s="277"/>
      <c r="O13895" s="247"/>
      <c r="AC13895" s="247"/>
      <c r="AT13895" s="247"/>
    </row>
    <row r="13896">
      <c r="C13896" s="277"/>
      <c r="M13896" s="277"/>
      <c r="O13896" s="247"/>
      <c r="AC13896" s="247"/>
      <c r="AT13896" s="247"/>
    </row>
    <row r="13897">
      <c r="C13897" s="277"/>
      <c r="M13897" s="277"/>
      <c r="O13897" s="247"/>
      <c r="AC13897" s="247"/>
      <c r="AT13897" s="247"/>
    </row>
    <row r="13898">
      <c r="C13898" s="277"/>
      <c r="M13898" s="277"/>
      <c r="O13898" s="247"/>
      <c r="AC13898" s="247"/>
      <c r="AT13898" s="247"/>
    </row>
    <row r="13899">
      <c r="C13899" s="277"/>
      <c r="M13899" s="277"/>
      <c r="O13899" s="247"/>
      <c r="AC13899" s="247"/>
      <c r="AT13899" s="247"/>
    </row>
    <row r="13900">
      <c r="C13900" s="277"/>
      <c r="M13900" s="277"/>
      <c r="O13900" s="247"/>
      <c r="AC13900" s="247"/>
      <c r="AT13900" s="247"/>
    </row>
    <row r="13901">
      <c r="C13901" s="277"/>
      <c r="M13901" s="277"/>
      <c r="O13901" s="247"/>
      <c r="AC13901" s="247"/>
      <c r="AT13901" s="247"/>
    </row>
    <row r="13902">
      <c r="C13902" s="277"/>
      <c r="M13902" s="277"/>
      <c r="O13902" s="247"/>
      <c r="AC13902" s="247"/>
      <c r="AT13902" s="247"/>
    </row>
    <row r="13903">
      <c r="C13903" s="277"/>
      <c r="M13903" s="277"/>
      <c r="O13903" s="247"/>
      <c r="AC13903" s="247"/>
      <c r="AT13903" s="247"/>
    </row>
    <row r="13904">
      <c r="C13904" s="277"/>
      <c r="M13904" s="277"/>
      <c r="O13904" s="247"/>
      <c r="AC13904" s="247"/>
      <c r="AT13904" s="247"/>
    </row>
    <row r="13905">
      <c r="C13905" s="277"/>
      <c r="M13905" s="277"/>
      <c r="O13905" s="247"/>
      <c r="AC13905" s="247"/>
      <c r="AT13905" s="247"/>
    </row>
    <row r="13906">
      <c r="C13906" s="277"/>
      <c r="M13906" s="277"/>
      <c r="O13906" s="247"/>
      <c r="AC13906" s="247"/>
      <c r="AT13906" s="247"/>
    </row>
    <row r="13907">
      <c r="C13907" s="277"/>
      <c r="M13907" s="277"/>
      <c r="O13907" s="247"/>
      <c r="AC13907" s="247"/>
      <c r="AT13907" s="247"/>
    </row>
    <row r="13908">
      <c r="C13908" s="277"/>
      <c r="M13908" s="277"/>
      <c r="O13908" s="247"/>
      <c r="AC13908" s="247"/>
      <c r="AT13908" s="247"/>
    </row>
    <row r="13909">
      <c r="C13909" s="277"/>
      <c r="M13909" s="277"/>
      <c r="O13909" s="247"/>
      <c r="AC13909" s="247"/>
      <c r="AT13909" s="247"/>
    </row>
    <row r="13910">
      <c r="C13910" s="277"/>
      <c r="M13910" s="277"/>
      <c r="O13910" s="247"/>
      <c r="AC13910" s="247"/>
      <c r="AT13910" s="247"/>
    </row>
    <row r="13911">
      <c r="C13911" s="277"/>
      <c r="M13911" s="277"/>
      <c r="O13911" s="247"/>
      <c r="AC13911" s="247"/>
      <c r="AT13911" s="247"/>
    </row>
    <row r="13912">
      <c r="C13912" s="277"/>
      <c r="M13912" s="277"/>
      <c r="O13912" s="247"/>
      <c r="AC13912" s="247"/>
      <c r="AT13912" s="247"/>
    </row>
    <row r="13913">
      <c r="C13913" s="277"/>
      <c r="M13913" s="277"/>
      <c r="O13913" s="247"/>
      <c r="AC13913" s="247"/>
      <c r="AT13913" s="247"/>
    </row>
    <row r="13914">
      <c r="C13914" s="277"/>
      <c r="M13914" s="277"/>
      <c r="O13914" s="247"/>
      <c r="AC13914" s="247"/>
      <c r="AT13914" s="247"/>
    </row>
    <row r="13915">
      <c r="C13915" s="277"/>
      <c r="M13915" s="277"/>
      <c r="O13915" s="247"/>
      <c r="AC13915" s="247"/>
      <c r="AT13915" s="247"/>
    </row>
    <row r="13916">
      <c r="C13916" s="277"/>
      <c r="M13916" s="277"/>
      <c r="O13916" s="247"/>
      <c r="AC13916" s="247"/>
      <c r="AT13916" s="247"/>
    </row>
    <row r="13917">
      <c r="C13917" s="277"/>
      <c r="M13917" s="277"/>
      <c r="O13917" s="247"/>
      <c r="AC13917" s="247"/>
      <c r="AT13917" s="247"/>
    </row>
    <row r="13918">
      <c r="C13918" s="277"/>
      <c r="M13918" s="277"/>
      <c r="O13918" s="247"/>
      <c r="AC13918" s="247"/>
      <c r="AT13918" s="247"/>
    </row>
    <row r="13919">
      <c r="C13919" s="277"/>
      <c r="M13919" s="277"/>
      <c r="O13919" s="247"/>
      <c r="AC13919" s="247"/>
      <c r="AT13919" s="247"/>
    </row>
    <row r="13920">
      <c r="C13920" s="277"/>
      <c r="M13920" s="277"/>
      <c r="O13920" s="247"/>
      <c r="AC13920" s="247"/>
      <c r="AT13920" s="247"/>
    </row>
    <row r="13921">
      <c r="C13921" s="277"/>
      <c r="M13921" s="277"/>
      <c r="O13921" s="247"/>
      <c r="AC13921" s="247"/>
      <c r="AT13921" s="247"/>
    </row>
    <row r="13922">
      <c r="C13922" s="277"/>
      <c r="M13922" s="277"/>
      <c r="O13922" s="247"/>
      <c r="AC13922" s="247"/>
      <c r="AT13922" s="247"/>
    </row>
    <row r="13923">
      <c r="C13923" s="277"/>
      <c r="M13923" s="277"/>
      <c r="O13923" s="247"/>
      <c r="AC13923" s="247"/>
      <c r="AT13923" s="247"/>
    </row>
    <row r="13924">
      <c r="C13924" s="277"/>
      <c r="M13924" s="277"/>
      <c r="O13924" s="247"/>
      <c r="AC13924" s="247"/>
      <c r="AT13924" s="247"/>
    </row>
    <row r="13925">
      <c r="C13925" s="277"/>
      <c r="M13925" s="277"/>
      <c r="O13925" s="247"/>
      <c r="AC13925" s="247"/>
      <c r="AT13925" s="247"/>
    </row>
    <row r="13926">
      <c r="C13926" s="277"/>
      <c r="M13926" s="277"/>
      <c r="O13926" s="247"/>
      <c r="AC13926" s="247"/>
      <c r="AT13926" s="247"/>
    </row>
    <row r="13927">
      <c r="C13927" s="277"/>
      <c r="M13927" s="277"/>
      <c r="O13927" s="247"/>
      <c r="AC13927" s="247"/>
      <c r="AT13927" s="247"/>
    </row>
    <row r="13928">
      <c r="C13928" s="277"/>
      <c r="M13928" s="277"/>
      <c r="O13928" s="247"/>
      <c r="AC13928" s="247"/>
      <c r="AT13928" s="247"/>
    </row>
    <row r="13929">
      <c r="C13929" s="277"/>
      <c r="M13929" s="277"/>
      <c r="O13929" s="247"/>
      <c r="AC13929" s="247"/>
      <c r="AT13929" s="247"/>
    </row>
    <row r="13930">
      <c r="C13930" s="277"/>
      <c r="M13930" s="277"/>
      <c r="O13930" s="247"/>
      <c r="AC13930" s="247"/>
      <c r="AT13930" s="247"/>
    </row>
    <row r="13931">
      <c r="C13931" s="277"/>
      <c r="M13931" s="277"/>
      <c r="O13931" s="247"/>
      <c r="AC13931" s="247"/>
      <c r="AT13931" s="247"/>
    </row>
    <row r="13932">
      <c r="C13932" s="277"/>
      <c r="M13932" s="277"/>
      <c r="O13932" s="247"/>
      <c r="AC13932" s="247"/>
      <c r="AT13932" s="247"/>
    </row>
    <row r="13933">
      <c r="C13933" s="277"/>
      <c r="M13933" s="277"/>
      <c r="O13933" s="247"/>
      <c r="AC13933" s="247"/>
      <c r="AT13933" s="247"/>
    </row>
    <row r="13934">
      <c r="C13934" s="277"/>
      <c r="M13934" s="277"/>
      <c r="O13934" s="247"/>
      <c r="AC13934" s="247"/>
      <c r="AT13934" s="247"/>
    </row>
    <row r="13935">
      <c r="C13935" s="277"/>
      <c r="M13935" s="277"/>
      <c r="O13935" s="247"/>
      <c r="AC13935" s="247"/>
      <c r="AT13935" s="247"/>
    </row>
    <row r="13936">
      <c r="C13936" s="277"/>
      <c r="M13936" s="277"/>
      <c r="O13936" s="247"/>
      <c r="AC13936" s="247"/>
      <c r="AT13936" s="247"/>
    </row>
    <row r="13937">
      <c r="C13937" s="277"/>
      <c r="M13937" s="277"/>
      <c r="O13937" s="247"/>
      <c r="AC13937" s="247"/>
      <c r="AT13937" s="247"/>
    </row>
    <row r="13938">
      <c r="C13938" s="277"/>
      <c r="M13938" s="277"/>
      <c r="O13938" s="247"/>
      <c r="AC13938" s="247"/>
      <c r="AT13938" s="247"/>
    </row>
    <row r="13939">
      <c r="C13939" s="277"/>
      <c r="M13939" s="277"/>
      <c r="O13939" s="247"/>
      <c r="AC13939" s="247"/>
      <c r="AT13939" s="247"/>
    </row>
    <row r="13940">
      <c r="C13940" s="277"/>
      <c r="M13940" s="277"/>
      <c r="O13940" s="247"/>
      <c r="AC13940" s="247"/>
      <c r="AT13940" s="247"/>
    </row>
    <row r="13941">
      <c r="C13941" s="277"/>
      <c r="M13941" s="277"/>
      <c r="O13941" s="247"/>
      <c r="AC13941" s="247"/>
      <c r="AT13941" s="247"/>
    </row>
    <row r="13942">
      <c r="C13942" s="277"/>
      <c r="M13942" s="277"/>
      <c r="O13942" s="247"/>
      <c r="AC13942" s="247"/>
      <c r="AT13942" s="247"/>
    </row>
    <row r="13943">
      <c r="C13943" s="277"/>
      <c r="M13943" s="277"/>
      <c r="O13943" s="247"/>
      <c r="AC13943" s="247"/>
      <c r="AT13943" s="247"/>
    </row>
    <row r="13944">
      <c r="C13944" s="277"/>
      <c r="M13944" s="277"/>
      <c r="O13944" s="247"/>
      <c r="AC13944" s="247"/>
      <c r="AT13944" s="247"/>
    </row>
    <row r="13945">
      <c r="C13945" s="277"/>
      <c r="M13945" s="277"/>
      <c r="O13945" s="247"/>
      <c r="AC13945" s="247"/>
      <c r="AT13945" s="247"/>
    </row>
    <row r="13946">
      <c r="C13946" s="277"/>
      <c r="M13946" s="277"/>
      <c r="O13946" s="247"/>
      <c r="AC13946" s="247"/>
      <c r="AT13946" s="247"/>
    </row>
    <row r="13947">
      <c r="C13947" s="277"/>
      <c r="M13947" s="277"/>
      <c r="O13947" s="247"/>
      <c r="AC13947" s="247"/>
      <c r="AT13947" s="247"/>
    </row>
    <row r="13948">
      <c r="C13948" s="277"/>
      <c r="M13948" s="277"/>
      <c r="O13948" s="247"/>
      <c r="AC13948" s="247"/>
      <c r="AT13948" s="247"/>
    </row>
    <row r="13949">
      <c r="C13949" s="277"/>
      <c r="M13949" s="277"/>
      <c r="O13949" s="247"/>
      <c r="AC13949" s="247"/>
      <c r="AT13949" s="247"/>
    </row>
    <row r="13950">
      <c r="C13950" s="277"/>
      <c r="M13950" s="277"/>
      <c r="O13950" s="247"/>
      <c r="AC13950" s="247"/>
      <c r="AT13950" s="247"/>
    </row>
    <row r="13951">
      <c r="C13951" s="277"/>
      <c r="M13951" s="277"/>
      <c r="O13951" s="247"/>
      <c r="AC13951" s="247"/>
      <c r="AT13951" s="247"/>
    </row>
    <row r="13952">
      <c r="C13952" s="277"/>
      <c r="M13952" s="277"/>
      <c r="O13952" s="247"/>
      <c r="AC13952" s="247"/>
      <c r="AT13952" s="247"/>
    </row>
    <row r="13953">
      <c r="C13953" s="277"/>
      <c r="M13953" s="277"/>
      <c r="O13953" s="247"/>
      <c r="AC13953" s="247"/>
      <c r="AT13953" s="247"/>
    </row>
    <row r="13954">
      <c r="C13954" s="277"/>
      <c r="M13954" s="277"/>
      <c r="O13954" s="247"/>
      <c r="AC13954" s="247"/>
      <c r="AT13954" s="247"/>
    </row>
    <row r="13955">
      <c r="C13955" s="277"/>
      <c r="M13955" s="277"/>
      <c r="O13955" s="247"/>
      <c r="AC13955" s="247"/>
      <c r="AT13955" s="247"/>
    </row>
    <row r="13956">
      <c r="C13956" s="277"/>
      <c r="M13956" s="277"/>
      <c r="O13956" s="247"/>
      <c r="AC13956" s="247"/>
      <c r="AT13956" s="247"/>
    </row>
    <row r="13957">
      <c r="C13957" s="277"/>
      <c r="M13957" s="277"/>
      <c r="O13957" s="247"/>
      <c r="AC13957" s="247"/>
      <c r="AT13957" s="247"/>
    </row>
    <row r="13958">
      <c r="C13958" s="277"/>
      <c r="M13958" s="277"/>
      <c r="O13958" s="247"/>
      <c r="AC13958" s="247"/>
      <c r="AT13958" s="247"/>
    </row>
    <row r="13959">
      <c r="C13959" s="277"/>
      <c r="M13959" s="277"/>
      <c r="O13959" s="247"/>
      <c r="AC13959" s="247"/>
      <c r="AT13959" s="247"/>
    </row>
    <row r="13960">
      <c r="C13960" s="277"/>
      <c r="M13960" s="277"/>
      <c r="O13960" s="247"/>
      <c r="AC13960" s="247"/>
      <c r="AT13960" s="247"/>
    </row>
    <row r="13961">
      <c r="C13961" s="277"/>
      <c r="M13961" s="277"/>
      <c r="O13961" s="247"/>
      <c r="AC13961" s="247"/>
      <c r="AT13961" s="247"/>
    </row>
    <row r="13962">
      <c r="C13962" s="277"/>
      <c r="M13962" s="277"/>
      <c r="O13962" s="247"/>
      <c r="AC13962" s="247"/>
      <c r="AT13962" s="247"/>
    </row>
    <row r="13963">
      <c r="C13963" s="277"/>
      <c r="M13963" s="277"/>
      <c r="O13963" s="247"/>
      <c r="AC13963" s="247"/>
      <c r="AT13963" s="247"/>
    </row>
    <row r="13964">
      <c r="C13964" s="277"/>
      <c r="M13964" s="277"/>
      <c r="O13964" s="247"/>
      <c r="AC13964" s="247"/>
      <c r="AT13964" s="247"/>
    </row>
    <row r="13965">
      <c r="C13965" s="277"/>
      <c r="M13965" s="277"/>
      <c r="O13965" s="247"/>
      <c r="AC13965" s="247"/>
      <c r="AT13965" s="247"/>
    </row>
    <row r="13966">
      <c r="C13966" s="277"/>
      <c r="M13966" s="277"/>
      <c r="O13966" s="247"/>
      <c r="AC13966" s="247"/>
      <c r="AT13966" s="247"/>
    </row>
    <row r="13967">
      <c r="C13967" s="277"/>
      <c r="M13967" s="277"/>
      <c r="O13967" s="247"/>
      <c r="AC13967" s="247"/>
      <c r="AT13967" s="247"/>
    </row>
    <row r="13968">
      <c r="C13968" s="277"/>
      <c r="M13968" s="277"/>
      <c r="O13968" s="247"/>
      <c r="AC13968" s="247"/>
      <c r="AT13968" s="247"/>
    </row>
    <row r="13969">
      <c r="C13969" s="277"/>
      <c r="M13969" s="277"/>
      <c r="O13969" s="247"/>
      <c r="AC13969" s="247"/>
      <c r="AT13969" s="247"/>
    </row>
    <row r="13970">
      <c r="C13970" s="277"/>
      <c r="M13970" s="277"/>
      <c r="O13970" s="247"/>
      <c r="AC13970" s="247"/>
      <c r="AT13970" s="247"/>
    </row>
    <row r="13971">
      <c r="C13971" s="277"/>
      <c r="M13971" s="277"/>
      <c r="O13971" s="247"/>
      <c r="AC13971" s="247"/>
      <c r="AT13971" s="247"/>
    </row>
    <row r="13972">
      <c r="C13972" s="277"/>
      <c r="M13972" s="277"/>
      <c r="O13972" s="247"/>
      <c r="AC13972" s="247"/>
      <c r="AT13972" s="247"/>
    </row>
    <row r="13973">
      <c r="C13973" s="277"/>
      <c r="M13973" s="277"/>
      <c r="O13973" s="247"/>
      <c r="AC13973" s="247"/>
      <c r="AT13973" s="247"/>
    </row>
    <row r="13974">
      <c r="C13974" s="277"/>
      <c r="M13974" s="277"/>
      <c r="O13974" s="247"/>
      <c r="AC13974" s="247"/>
      <c r="AT13974" s="247"/>
    </row>
    <row r="13975">
      <c r="C13975" s="277"/>
      <c r="M13975" s="277"/>
      <c r="O13975" s="247"/>
      <c r="AC13975" s="247"/>
      <c r="AT13975" s="247"/>
    </row>
    <row r="13976">
      <c r="C13976" s="277"/>
      <c r="M13976" s="277"/>
      <c r="O13976" s="247"/>
      <c r="AC13976" s="247"/>
      <c r="AT13976" s="247"/>
    </row>
    <row r="13977">
      <c r="C13977" s="277"/>
      <c r="M13977" s="277"/>
      <c r="O13977" s="247"/>
      <c r="AC13977" s="247"/>
      <c r="AT13977" s="247"/>
    </row>
    <row r="13978">
      <c r="C13978" s="277"/>
      <c r="M13978" s="277"/>
      <c r="O13978" s="247"/>
      <c r="AC13978" s="247"/>
      <c r="AT13978" s="247"/>
    </row>
    <row r="13979">
      <c r="C13979" s="277"/>
      <c r="M13979" s="277"/>
      <c r="O13979" s="247"/>
      <c r="AC13979" s="247"/>
      <c r="AT13979" s="247"/>
    </row>
    <row r="13980">
      <c r="C13980" s="277"/>
      <c r="M13980" s="277"/>
      <c r="O13980" s="247"/>
      <c r="AC13980" s="247"/>
      <c r="AT13980" s="247"/>
    </row>
    <row r="13981">
      <c r="C13981" s="277"/>
      <c r="M13981" s="277"/>
      <c r="O13981" s="247"/>
      <c r="AC13981" s="247"/>
      <c r="AT13981" s="247"/>
    </row>
    <row r="13982">
      <c r="C13982" s="277"/>
      <c r="M13982" s="277"/>
      <c r="O13982" s="247"/>
      <c r="AC13982" s="247"/>
      <c r="AT13982" s="247"/>
    </row>
    <row r="13983">
      <c r="C13983" s="277"/>
      <c r="M13983" s="277"/>
      <c r="O13983" s="247"/>
      <c r="AC13983" s="247"/>
      <c r="AT13983" s="247"/>
    </row>
    <row r="13984">
      <c r="C13984" s="277"/>
      <c r="M13984" s="277"/>
      <c r="O13984" s="247"/>
      <c r="AC13984" s="247"/>
      <c r="AT13984" s="247"/>
    </row>
    <row r="13985">
      <c r="C13985" s="277"/>
      <c r="M13985" s="277"/>
      <c r="O13985" s="247"/>
      <c r="AC13985" s="247"/>
      <c r="AT13985" s="247"/>
    </row>
    <row r="13986">
      <c r="C13986" s="277"/>
      <c r="M13986" s="277"/>
      <c r="O13986" s="247"/>
      <c r="AC13986" s="247"/>
      <c r="AT13986" s="247"/>
    </row>
    <row r="13987">
      <c r="C13987" s="277"/>
      <c r="M13987" s="277"/>
      <c r="O13987" s="247"/>
      <c r="AC13987" s="247"/>
      <c r="AT13987" s="247"/>
    </row>
    <row r="13988">
      <c r="C13988" s="277"/>
      <c r="M13988" s="277"/>
      <c r="O13988" s="247"/>
      <c r="AC13988" s="247"/>
      <c r="AT13988" s="247"/>
    </row>
    <row r="13989">
      <c r="C13989" s="277"/>
      <c r="M13989" s="277"/>
      <c r="O13989" s="247"/>
      <c r="AC13989" s="247"/>
      <c r="AT13989" s="247"/>
    </row>
    <row r="13990">
      <c r="C13990" s="277"/>
      <c r="M13990" s="277"/>
      <c r="O13990" s="247"/>
      <c r="AC13990" s="247"/>
      <c r="AT13990" s="247"/>
    </row>
    <row r="13991">
      <c r="C13991" s="277"/>
      <c r="M13991" s="277"/>
      <c r="O13991" s="247"/>
      <c r="AC13991" s="247"/>
      <c r="AT13991" s="247"/>
    </row>
    <row r="13992">
      <c r="C13992" s="277"/>
      <c r="M13992" s="277"/>
      <c r="O13992" s="247"/>
      <c r="AC13992" s="247"/>
      <c r="AT13992" s="247"/>
    </row>
    <row r="13993">
      <c r="C13993" s="277"/>
      <c r="M13993" s="277"/>
      <c r="O13993" s="247"/>
      <c r="AC13993" s="247"/>
      <c r="AT13993" s="247"/>
    </row>
    <row r="13994">
      <c r="C13994" s="277"/>
      <c r="M13994" s="277"/>
      <c r="O13994" s="247"/>
      <c r="AC13994" s="247"/>
      <c r="AT13994" s="247"/>
    </row>
    <row r="13995">
      <c r="C13995" s="277"/>
      <c r="M13995" s="277"/>
      <c r="O13995" s="247"/>
      <c r="AC13995" s="247"/>
      <c r="AT13995" s="247"/>
    </row>
    <row r="13996">
      <c r="C13996" s="277"/>
      <c r="M13996" s="277"/>
      <c r="O13996" s="247"/>
      <c r="AC13996" s="247"/>
      <c r="AT13996" s="247"/>
    </row>
    <row r="13997">
      <c r="C13997" s="277"/>
      <c r="M13997" s="277"/>
      <c r="O13997" s="247"/>
      <c r="AC13997" s="247"/>
      <c r="AT13997" s="247"/>
    </row>
    <row r="13998">
      <c r="C13998" s="277"/>
      <c r="M13998" s="277"/>
      <c r="O13998" s="247"/>
      <c r="AC13998" s="247"/>
      <c r="AT13998" s="247"/>
    </row>
    <row r="13999">
      <c r="C13999" s="277"/>
      <c r="M13999" s="277"/>
      <c r="O13999" s="247"/>
      <c r="AC13999" s="247"/>
      <c r="AT13999" s="247"/>
    </row>
    <row r="14000">
      <c r="C14000" s="277"/>
      <c r="M14000" s="277"/>
      <c r="O14000" s="247"/>
      <c r="AC14000" s="247"/>
      <c r="AT14000" s="247"/>
    </row>
    <row r="14001">
      <c r="C14001" s="277"/>
      <c r="M14001" s="277"/>
      <c r="O14001" s="247"/>
      <c r="AC14001" s="247"/>
      <c r="AT14001" s="247"/>
    </row>
    <row r="14002">
      <c r="C14002" s="277"/>
      <c r="M14002" s="277"/>
      <c r="O14002" s="247"/>
      <c r="AC14002" s="247"/>
      <c r="AT14002" s="247"/>
    </row>
    <row r="14003">
      <c r="C14003" s="277"/>
      <c r="M14003" s="277"/>
      <c r="O14003" s="247"/>
      <c r="AC14003" s="247"/>
      <c r="AT14003" s="247"/>
    </row>
    <row r="14004">
      <c r="C14004" s="277"/>
      <c r="M14004" s="277"/>
      <c r="O14004" s="247"/>
      <c r="AC14004" s="247"/>
      <c r="AT14004" s="247"/>
    </row>
    <row r="14005">
      <c r="C14005" s="277"/>
      <c r="M14005" s="277"/>
      <c r="O14005" s="247"/>
      <c r="AC14005" s="247"/>
      <c r="AT14005" s="247"/>
    </row>
    <row r="14006">
      <c r="C14006" s="277"/>
      <c r="M14006" s="277"/>
      <c r="O14006" s="247"/>
      <c r="AC14006" s="247"/>
      <c r="AT14006" s="247"/>
    </row>
    <row r="14007">
      <c r="C14007" s="277"/>
      <c r="M14007" s="277"/>
      <c r="O14007" s="247"/>
      <c r="AC14007" s="247"/>
      <c r="AT14007" s="247"/>
    </row>
    <row r="14008">
      <c r="C14008" s="277"/>
      <c r="M14008" s="277"/>
      <c r="O14008" s="247"/>
      <c r="AC14008" s="247"/>
      <c r="AT14008" s="247"/>
    </row>
    <row r="14009">
      <c r="C14009" s="277"/>
      <c r="M14009" s="277"/>
      <c r="O14009" s="247"/>
      <c r="AC14009" s="247"/>
      <c r="AT14009" s="247"/>
    </row>
    <row r="14010">
      <c r="C14010" s="277"/>
      <c r="M14010" s="277"/>
      <c r="O14010" s="247"/>
      <c r="AC14010" s="247"/>
      <c r="AT14010" s="247"/>
    </row>
    <row r="14011">
      <c r="C14011" s="277"/>
      <c r="M14011" s="277"/>
      <c r="O14011" s="247"/>
      <c r="AC14011" s="247"/>
      <c r="AT14011" s="247"/>
    </row>
    <row r="14012">
      <c r="C14012" s="277"/>
      <c r="M14012" s="277"/>
      <c r="O14012" s="247"/>
      <c r="AC14012" s="247"/>
      <c r="AT14012" s="247"/>
    </row>
    <row r="14013">
      <c r="C14013" s="277"/>
      <c r="M14013" s="277"/>
      <c r="O14013" s="247"/>
      <c r="AC14013" s="247"/>
      <c r="AT14013" s="247"/>
    </row>
    <row r="14014">
      <c r="C14014" s="277"/>
      <c r="M14014" s="277"/>
      <c r="O14014" s="247"/>
      <c r="AC14014" s="247"/>
      <c r="AT14014" s="247"/>
    </row>
    <row r="14015">
      <c r="C14015" s="277"/>
      <c r="M14015" s="277"/>
      <c r="O14015" s="247"/>
      <c r="AC14015" s="247"/>
      <c r="AT14015" s="247"/>
    </row>
    <row r="14016">
      <c r="C14016" s="277"/>
      <c r="M14016" s="277"/>
      <c r="O14016" s="247"/>
      <c r="AC14016" s="247"/>
      <c r="AT14016" s="247"/>
    </row>
    <row r="14017">
      <c r="C14017" s="277"/>
      <c r="M14017" s="277"/>
      <c r="O14017" s="247"/>
      <c r="AC14017" s="247"/>
      <c r="AT14017" s="247"/>
    </row>
    <row r="14018">
      <c r="C14018" s="277"/>
      <c r="M14018" s="277"/>
      <c r="O14018" s="247"/>
      <c r="AC14018" s="247"/>
      <c r="AT14018" s="247"/>
    </row>
    <row r="14019">
      <c r="C14019" s="277"/>
      <c r="M14019" s="277"/>
      <c r="O14019" s="247"/>
      <c r="AC14019" s="247"/>
      <c r="AT14019" s="247"/>
    </row>
    <row r="14020">
      <c r="C14020" s="277"/>
      <c r="M14020" s="277"/>
      <c r="O14020" s="247"/>
      <c r="AC14020" s="247"/>
      <c r="AT14020" s="247"/>
    </row>
    <row r="14021">
      <c r="C14021" s="277"/>
      <c r="M14021" s="277"/>
      <c r="O14021" s="247"/>
      <c r="AC14021" s="247"/>
      <c r="AT14021" s="247"/>
    </row>
    <row r="14022">
      <c r="C14022" s="277"/>
      <c r="M14022" s="277"/>
      <c r="O14022" s="247"/>
      <c r="AC14022" s="247"/>
      <c r="AT14022" s="247"/>
    </row>
    <row r="14023">
      <c r="C14023" s="277"/>
      <c r="M14023" s="277"/>
      <c r="O14023" s="247"/>
      <c r="AC14023" s="247"/>
      <c r="AT14023" s="247"/>
    </row>
    <row r="14024">
      <c r="C14024" s="277"/>
      <c r="M14024" s="277"/>
      <c r="O14024" s="247"/>
      <c r="AC14024" s="247"/>
      <c r="AT14024" s="247"/>
    </row>
    <row r="14025">
      <c r="C14025" s="277"/>
      <c r="M14025" s="277"/>
      <c r="O14025" s="247"/>
      <c r="AC14025" s="247"/>
      <c r="AT14025" s="247"/>
    </row>
    <row r="14026">
      <c r="C14026" s="277"/>
      <c r="M14026" s="277"/>
      <c r="O14026" s="247"/>
      <c r="AC14026" s="247"/>
      <c r="AT14026" s="247"/>
    </row>
    <row r="14027">
      <c r="C14027" s="277"/>
      <c r="M14027" s="277"/>
      <c r="O14027" s="247"/>
      <c r="AC14027" s="247"/>
      <c r="AT14027" s="247"/>
    </row>
    <row r="14028">
      <c r="C14028" s="277"/>
      <c r="M14028" s="277"/>
      <c r="O14028" s="247"/>
      <c r="AC14028" s="247"/>
      <c r="AT14028" s="247"/>
    </row>
    <row r="14029">
      <c r="C14029" s="277"/>
      <c r="M14029" s="277"/>
      <c r="O14029" s="247"/>
      <c r="AC14029" s="247"/>
      <c r="AT14029" s="247"/>
    </row>
    <row r="14030">
      <c r="C14030" s="277"/>
      <c r="M14030" s="277"/>
      <c r="O14030" s="247"/>
      <c r="AC14030" s="247"/>
      <c r="AT14030" s="247"/>
    </row>
    <row r="14031">
      <c r="C14031" s="277"/>
      <c r="M14031" s="277"/>
      <c r="O14031" s="247"/>
      <c r="AC14031" s="247"/>
      <c r="AT14031" s="247"/>
    </row>
    <row r="14032">
      <c r="C14032" s="277"/>
      <c r="M14032" s="277"/>
      <c r="O14032" s="247"/>
      <c r="AC14032" s="247"/>
      <c r="AT14032" s="247"/>
    </row>
    <row r="14033">
      <c r="C14033" s="277"/>
      <c r="M14033" s="277"/>
      <c r="O14033" s="247"/>
      <c r="AC14033" s="247"/>
      <c r="AT14033" s="247"/>
    </row>
    <row r="14034">
      <c r="C14034" s="277"/>
      <c r="M14034" s="277"/>
      <c r="O14034" s="247"/>
      <c r="AC14034" s="247"/>
      <c r="AT14034" s="247"/>
    </row>
    <row r="14035">
      <c r="C14035" s="277"/>
      <c r="M14035" s="277"/>
      <c r="O14035" s="247"/>
      <c r="AC14035" s="247"/>
      <c r="AT14035" s="247"/>
    </row>
    <row r="14036">
      <c r="C14036" s="277"/>
      <c r="M14036" s="277"/>
      <c r="O14036" s="247"/>
      <c r="AC14036" s="247"/>
      <c r="AT14036" s="247"/>
    </row>
    <row r="14037">
      <c r="C14037" s="277"/>
      <c r="M14037" s="277"/>
      <c r="O14037" s="247"/>
      <c r="AC14037" s="247"/>
      <c r="AT14037" s="247"/>
    </row>
    <row r="14038">
      <c r="C14038" s="277"/>
      <c r="M14038" s="277"/>
      <c r="O14038" s="247"/>
      <c r="AC14038" s="247"/>
      <c r="AT14038" s="247"/>
    </row>
    <row r="14039">
      <c r="C14039" s="277"/>
      <c r="M14039" s="277"/>
      <c r="O14039" s="247"/>
      <c r="AC14039" s="247"/>
      <c r="AT14039" s="247"/>
    </row>
    <row r="14040">
      <c r="C14040" s="277"/>
      <c r="M14040" s="277"/>
      <c r="O14040" s="247"/>
      <c r="AC14040" s="247"/>
      <c r="AT14040" s="247"/>
    </row>
    <row r="14041">
      <c r="C14041" s="277"/>
      <c r="M14041" s="277"/>
      <c r="O14041" s="247"/>
      <c r="AC14041" s="247"/>
      <c r="AT14041" s="247"/>
    </row>
    <row r="14042">
      <c r="C14042" s="277"/>
      <c r="M14042" s="277"/>
      <c r="O14042" s="247"/>
      <c r="AC14042" s="247"/>
      <c r="AT14042" s="247"/>
    </row>
    <row r="14043">
      <c r="C14043" s="277"/>
      <c r="M14043" s="277"/>
      <c r="O14043" s="247"/>
      <c r="AC14043" s="247"/>
      <c r="AT14043" s="247"/>
    </row>
    <row r="14044">
      <c r="C14044" s="277"/>
      <c r="M14044" s="277"/>
      <c r="O14044" s="247"/>
      <c r="AC14044" s="247"/>
      <c r="AT14044" s="247"/>
    </row>
    <row r="14045">
      <c r="C14045" s="277"/>
      <c r="M14045" s="277"/>
      <c r="O14045" s="247"/>
      <c r="AC14045" s="247"/>
      <c r="AT14045" s="247"/>
    </row>
    <row r="14046">
      <c r="C14046" s="277"/>
      <c r="M14046" s="277"/>
      <c r="O14046" s="247"/>
      <c r="AC14046" s="247"/>
      <c r="AT14046" s="247"/>
    </row>
    <row r="14047">
      <c r="C14047" s="277"/>
      <c r="M14047" s="277"/>
      <c r="O14047" s="247"/>
      <c r="AC14047" s="247"/>
      <c r="AT14047" s="247"/>
    </row>
    <row r="14048">
      <c r="C14048" s="277"/>
      <c r="M14048" s="277"/>
      <c r="O14048" s="247"/>
      <c r="AC14048" s="247"/>
      <c r="AT14048" s="247"/>
    </row>
    <row r="14049">
      <c r="C14049" s="277"/>
      <c r="M14049" s="277"/>
      <c r="O14049" s="247"/>
      <c r="AC14049" s="247"/>
      <c r="AT14049" s="247"/>
    </row>
    <row r="14050">
      <c r="C14050" s="277"/>
      <c r="M14050" s="277"/>
      <c r="O14050" s="247"/>
      <c r="AC14050" s="247"/>
      <c r="AT14050" s="247"/>
    </row>
    <row r="14051">
      <c r="C14051" s="277"/>
      <c r="M14051" s="277"/>
      <c r="O14051" s="247"/>
      <c r="AC14051" s="247"/>
      <c r="AT14051" s="247"/>
    </row>
    <row r="14052">
      <c r="C14052" s="277"/>
      <c r="M14052" s="277"/>
      <c r="O14052" s="247"/>
      <c r="AC14052" s="247"/>
      <c r="AT14052" s="247"/>
    </row>
    <row r="14053">
      <c r="C14053" s="277"/>
      <c r="M14053" s="277"/>
      <c r="O14053" s="247"/>
      <c r="AC14053" s="247"/>
      <c r="AT14053" s="247"/>
    </row>
    <row r="14054">
      <c r="C14054" s="277"/>
      <c r="M14054" s="277"/>
      <c r="O14054" s="247"/>
      <c r="AC14054" s="247"/>
      <c r="AT14054" s="247"/>
    </row>
    <row r="14055">
      <c r="C14055" s="277"/>
      <c r="M14055" s="277"/>
      <c r="O14055" s="247"/>
      <c r="AC14055" s="247"/>
      <c r="AT14055" s="247"/>
    </row>
    <row r="14056">
      <c r="C14056" s="277"/>
      <c r="M14056" s="277"/>
      <c r="O14056" s="247"/>
      <c r="AC14056" s="247"/>
      <c r="AT14056" s="247"/>
    </row>
    <row r="14057">
      <c r="C14057" s="277"/>
      <c r="M14057" s="277"/>
      <c r="O14057" s="247"/>
      <c r="AC14057" s="247"/>
      <c r="AT14057" s="247"/>
    </row>
    <row r="14058">
      <c r="C14058" s="277"/>
      <c r="M14058" s="277"/>
      <c r="O14058" s="247"/>
      <c r="AC14058" s="247"/>
      <c r="AT14058" s="247"/>
    </row>
    <row r="14059">
      <c r="C14059" s="277"/>
      <c r="M14059" s="277"/>
      <c r="O14059" s="247"/>
      <c r="AC14059" s="247"/>
      <c r="AT14059" s="247"/>
    </row>
    <row r="14060">
      <c r="C14060" s="277"/>
      <c r="M14060" s="277"/>
      <c r="O14060" s="247"/>
      <c r="AC14060" s="247"/>
      <c r="AT14060" s="247"/>
    </row>
    <row r="14061">
      <c r="C14061" s="277"/>
      <c r="M14061" s="277"/>
      <c r="O14061" s="247"/>
      <c r="AC14061" s="247"/>
      <c r="AT14061" s="247"/>
    </row>
    <row r="14062">
      <c r="C14062" s="277"/>
      <c r="M14062" s="277"/>
      <c r="O14062" s="247"/>
      <c r="AC14062" s="247"/>
      <c r="AT14062" s="247"/>
    </row>
    <row r="14063">
      <c r="C14063" s="277"/>
      <c r="M14063" s="277"/>
      <c r="O14063" s="247"/>
      <c r="AC14063" s="247"/>
      <c r="AT14063" s="247"/>
    </row>
    <row r="14064">
      <c r="C14064" s="277"/>
      <c r="M14064" s="277"/>
      <c r="O14064" s="247"/>
      <c r="AC14064" s="247"/>
      <c r="AT14064" s="247"/>
    </row>
    <row r="14065">
      <c r="C14065" s="277"/>
      <c r="M14065" s="277"/>
      <c r="O14065" s="247"/>
      <c r="AC14065" s="247"/>
      <c r="AT14065" s="247"/>
    </row>
    <row r="14066">
      <c r="C14066" s="277"/>
      <c r="M14066" s="277"/>
      <c r="O14066" s="247"/>
      <c r="AC14066" s="247"/>
      <c r="AT14066" s="247"/>
    </row>
    <row r="14067">
      <c r="C14067" s="277"/>
      <c r="M14067" s="277"/>
      <c r="O14067" s="247"/>
      <c r="AC14067" s="247"/>
      <c r="AT14067" s="247"/>
    </row>
    <row r="14068">
      <c r="C14068" s="277"/>
      <c r="M14068" s="277"/>
      <c r="O14068" s="247"/>
      <c r="AC14068" s="247"/>
      <c r="AT14068" s="247"/>
    </row>
    <row r="14069">
      <c r="C14069" s="277"/>
      <c r="M14069" s="277"/>
      <c r="O14069" s="247"/>
      <c r="AC14069" s="247"/>
      <c r="AT14069" s="247"/>
    </row>
    <row r="14070">
      <c r="C14070" s="277"/>
      <c r="M14070" s="277"/>
      <c r="O14070" s="247"/>
      <c r="AC14070" s="247"/>
      <c r="AT14070" s="247"/>
    </row>
    <row r="14071">
      <c r="C14071" s="277"/>
      <c r="M14071" s="277"/>
      <c r="O14071" s="247"/>
      <c r="AC14071" s="247"/>
      <c r="AT14071" s="247"/>
    </row>
    <row r="14072">
      <c r="C14072" s="277"/>
      <c r="M14072" s="277"/>
      <c r="O14072" s="247"/>
      <c r="AC14072" s="247"/>
      <c r="AT14072" s="247"/>
    </row>
    <row r="14073">
      <c r="C14073" s="277"/>
      <c r="M14073" s="277"/>
      <c r="O14073" s="247"/>
      <c r="AC14073" s="247"/>
      <c r="AT14073" s="247"/>
    </row>
    <row r="14074">
      <c r="C14074" s="277"/>
      <c r="M14074" s="277"/>
      <c r="O14074" s="247"/>
      <c r="AC14074" s="247"/>
      <c r="AT14074" s="247"/>
    </row>
    <row r="14075">
      <c r="C14075" s="277"/>
      <c r="M14075" s="277"/>
      <c r="O14075" s="247"/>
      <c r="AC14075" s="247"/>
      <c r="AT14075" s="247"/>
    </row>
    <row r="14076">
      <c r="C14076" s="277"/>
      <c r="M14076" s="277"/>
      <c r="O14076" s="247"/>
      <c r="AC14076" s="247"/>
      <c r="AT14076" s="247"/>
    </row>
    <row r="14077">
      <c r="C14077" s="277"/>
      <c r="M14077" s="277"/>
      <c r="O14077" s="247"/>
      <c r="AC14077" s="247"/>
      <c r="AT14077" s="247"/>
    </row>
    <row r="14078">
      <c r="C14078" s="277"/>
      <c r="M14078" s="277"/>
      <c r="O14078" s="247"/>
      <c r="AC14078" s="247"/>
      <c r="AT14078" s="247"/>
    </row>
    <row r="14079">
      <c r="C14079" s="277"/>
      <c r="M14079" s="277"/>
      <c r="O14079" s="247"/>
      <c r="AC14079" s="247"/>
      <c r="AT14079" s="247"/>
    </row>
    <row r="14080">
      <c r="C14080" s="277"/>
      <c r="M14080" s="277"/>
      <c r="O14080" s="247"/>
      <c r="AC14080" s="247"/>
      <c r="AT14080" s="247"/>
    </row>
    <row r="14081">
      <c r="C14081" s="277"/>
      <c r="M14081" s="277"/>
      <c r="O14081" s="247"/>
      <c r="AC14081" s="247"/>
      <c r="AT14081" s="247"/>
    </row>
    <row r="14082">
      <c r="C14082" s="277"/>
      <c r="M14082" s="277"/>
      <c r="O14082" s="247"/>
      <c r="AC14082" s="247"/>
      <c r="AT14082" s="247"/>
    </row>
    <row r="14083">
      <c r="C14083" s="277"/>
      <c r="M14083" s="277"/>
      <c r="O14083" s="247"/>
      <c r="AC14083" s="247"/>
      <c r="AT14083" s="247"/>
    </row>
    <row r="14084">
      <c r="C14084" s="277"/>
      <c r="M14084" s="277"/>
      <c r="O14084" s="247"/>
      <c r="AC14084" s="247"/>
      <c r="AT14084" s="247"/>
    </row>
    <row r="14085">
      <c r="C14085" s="277"/>
      <c r="M14085" s="277"/>
      <c r="O14085" s="247"/>
      <c r="AC14085" s="247"/>
      <c r="AT14085" s="247"/>
    </row>
    <row r="14086">
      <c r="C14086" s="277"/>
      <c r="M14086" s="277"/>
      <c r="O14086" s="247"/>
      <c r="AC14086" s="247"/>
      <c r="AT14086" s="247"/>
    </row>
    <row r="14087">
      <c r="C14087" s="277"/>
      <c r="M14087" s="277"/>
      <c r="O14087" s="247"/>
      <c r="AC14087" s="247"/>
      <c r="AT14087" s="247"/>
    </row>
    <row r="14088">
      <c r="C14088" s="277"/>
      <c r="M14088" s="277"/>
      <c r="O14088" s="247"/>
      <c r="AC14088" s="247"/>
      <c r="AT14088" s="247"/>
    </row>
    <row r="14089">
      <c r="C14089" s="277"/>
      <c r="M14089" s="277"/>
      <c r="O14089" s="247"/>
      <c r="AC14089" s="247"/>
      <c r="AT14089" s="247"/>
    </row>
    <row r="14090">
      <c r="C14090" s="277"/>
      <c r="M14090" s="277"/>
      <c r="O14090" s="247"/>
      <c r="AC14090" s="247"/>
      <c r="AT14090" s="247"/>
    </row>
    <row r="14091">
      <c r="C14091" s="277"/>
      <c r="M14091" s="277"/>
      <c r="O14091" s="247"/>
      <c r="AC14091" s="247"/>
      <c r="AT14091" s="247"/>
    </row>
    <row r="14092">
      <c r="C14092" s="277"/>
      <c r="M14092" s="277"/>
      <c r="O14092" s="247"/>
      <c r="AC14092" s="247"/>
      <c r="AT14092" s="247"/>
    </row>
    <row r="14093">
      <c r="C14093" s="277"/>
      <c r="M14093" s="277"/>
      <c r="O14093" s="247"/>
      <c r="AC14093" s="247"/>
      <c r="AT14093" s="247"/>
    </row>
    <row r="14094">
      <c r="C14094" s="277"/>
      <c r="M14094" s="277"/>
      <c r="O14094" s="247"/>
      <c r="AC14094" s="247"/>
      <c r="AT14094" s="247"/>
    </row>
    <row r="14095">
      <c r="C14095" s="277"/>
      <c r="M14095" s="277"/>
      <c r="O14095" s="247"/>
      <c r="AC14095" s="247"/>
      <c r="AT14095" s="247"/>
    </row>
    <row r="14096">
      <c r="C14096" s="277"/>
      <c r="M14096" s="277"/>
      <c r="O14096" s="247"/>
      <c r="AC14096" s="247"/>
      <c r="AT14096" s="247"/>
    </row>
    <row r="14097">
      <c r="C14097" s="277"/>
      <c r="M14097" s="277"/>
      <c r="O14097" s="247"/>
      <c r="AC14097" s="247"/>
      <c r="AT14097" s="247"/>
    </row>
    <row r="14098">
      <c r="C14098" s="277"/>
      <c r="M14098" s="277"/>
      <c r="O14098" s="247"/>
      <c r="AC14098" s="247"/>
      <c r="AT14098" s="247"/>
    </row>
    <row r="14099">
      <c r="C14099" s="277"/>
      <c r="M14099" s="277"/>
      <c r="O14099" s="247"/>
      <c r="AC14099" s="247"/>
      <c r="AT14099" s="247"/>
    </row>
    <row r="14100">
      <c r="C14100" s="277"/>
      <c r="M14100" s="277"/>
      <c r="O14100" s="247"/>
      <c r="AC14100" s="247"/>
      <c r="AT14100" s="247"/>
    </row>
    <row r="14101">
      <c r="C14101" s="277"/>
      <c r="M14101" s="277"/>
      <c r="O14101" s="247"/>
      <c r="AC14101" s="247"/>
      <c r="AT14101" s="247"/>
    </row>
    <row r="14102">
      <c r="C14102" s="277"/>
      <c r="M14102" s="277"/>
      <c r="O14102" s="247"/>
      <c r="AC14102" s="247"/>
      <c r="AT14102" s="247"/>
    </row>
    <row r="14103">
      <c r="C14103" s="277"/>
      <c r="M14103" s="277"/>
      <c r="O14103" s="247"/>
      <c r="AC14103" s="247"/>
      <c r="AT14103" s="247"/>
    </row>
    <row r="14104">
      <c r="C14104" s="277"/>
      <c r="M14104" s="277"/>
      <c r="O14104" s="247"/>
      <c r="AC14104" s="247"/>
      <c r="AT14104" s="247"/>
    </row>
    <row r="14105">
      <c r="C14105" s="277"/>
      <c r="M14105" s="277"/>
      <c r="O14105" s="247"/>
      <c r="AC14105" s="247"/>
      <c r="AT14105" s="247"/>
    </row>
    <row r="14106">
      <c r="C14106" s="277"/>
      <c r="M14106" s="277"/>
      <c r="O14106" s="247"/>
      <c r="AC14106" s="247"/>
      <c r="AT14106" s="247"/>
    </row>
    <row r="14107">
      <c r="C14107" s="277"/>
      <c r="M14107" s="277"/>
      <c r="O14107" s="247"/>
      <c r="AC14107" s="247"/>
      <c r="AT14107" s="247"/>
    </row>
    <row r="14108">
      <c r="C14108" s="277"/>
      <c r="M14108" s="277"/>
      <c r="O14108" s="247"/>
      <c r="AC14108" s="247"/>
      <c r="AT14108" s="247"/>
    </row>
    <row r="14109">
      <c r="C14109" s="277"/>
      <c r="M14109" s="277"/>
      <c r="O14109" s="247"/>
      <c r="AC14109" s="247"/>
      <c r="AT14109" s="247"/>
    </row>
    <row r="14110">
      <c r="C14110" s="277"/>
      <c r="M14110" s="277"/>
      <c r="O14110" s="247"/>
      <c r="AC14110" s="247"/>
      <c r="AT14110" s="247"/>
    </row>
    <row r="14111">
      <c r="C14111" s="277"/>
      <c r="M14111" s="277"/>
      <c r="O14111" s="247"/>
      <c r="AC14111" s="247"/>
      <c r="AT14111" s="247"/>
    </row>
    <row r="14112">
      <c r="C14112" s="277"/>
      <c r="M14112" s="277"/>
      <c r="O14112" s="247"/>
      <c r="AC14112" s="247"/>
      <c r="AT14112" s="247"/>
    </row>
    <row r="14113">
      <c r="C14113" s="277"/>
      <c r="M14113" s="277"/>
      <c r="O14113" s="247"/>
      <c r="AC14113" s="247"/>
      <c r="AT14113" s="247"/>
    </row>
    <row r="14114">
      <c r="C14114" s="277"/>
      <c r="M14114" s="277"/>
      <c r="O14114" s="247"/>
      <c r="AC14114" s="247"/>
      <c r="AT14114" s="247"/>
    </row>
    <row r="14115">
      <c r="C14115" s="277"/>
      <c r="M14115" s="277"/>
      <c r="O14115" s="247"/>
      <c r="AC14115" s="247"/>
      <c r="AT14115" s="247"/>
    </row>
    <row r="14116">
      <c r="C14116" s="277"/>
      <c r="M14116" s="277"/>
      <c r="O14116" s="247"/>
      <c r="AC14116" s="247"/>
      <c r="AT14116" s="247"/>
    </row>
    <row r="14117">
      <c r="C14117" s="277"/>
      <c r="M14117" s="277"/>
      <c r="O14117" s="247"/>
      <c r="AC14117" s="247"/>
      <c r="AT14117" s="247"/>
    </row>
    <row r="14118">
      <c r="C14118" s="277"/>
      <c r="M14118" s="277"/>
      <c r="O14118" s="247"/>
      <c r="AC14118" s="247"/>
      <c r="AT14118" s="247"/>
    </row>
    <row r="14119">
      <c r="C14119" s="277"/>
      <c r="M14119" s="277"/>
      <c r="O14119" s="247"/>
      <c r="AC14119" s="247"/>
      <c r="AT14119" s="247"/>
    </row>
    <row r="14120">
      <c r="C14120" s="277"/>
      <c r="M14120" s="277"/>
      <c r="O14120" s="247"/>
      <c r="AC14120" s="247"/>
      <c r="AT14120" s="247"/>
    </row>
    <row r="14121">
      <c r="C14121" s="277"/>
      <c r="M14121" s="277"/>
      <c r="O14121" s="247"/>
      <c r="AC14121" s="247"/>
      <c r="AT14121" s="247"/>
    </row>
    <row r="14122">
      <c r="C14122" s="277"/>
      <c r="M14122" s="277"/>
      <c r="O14122" s="247"/>
      <c r="AC14122" s="247"/>
      <c r="AT14122" s="247"/>
    </row>
    <row r="14123">
      <c r="C14123" s="277"/>
      <c r="M14123" s="277"/>
      <c r="O14123" s="247"/>
      <c r="AC14123" s="247"/>
      <c r="AT14123" s="247"/>
    </row>
    <row r="14124">
      <c r="C14124" s="277"/>
      <c r="M14124" s="277"/>
      <c r="O14124" s="247"/>
      <c r="AC14124" s="247"/>
      <c r="AT14124" s="247"/>
    </row>
    <row r="14125">
      <c r="C14125" s="277"/>
      <c r="M14125" s="277"/>
      <c r="O14125" s="247"/>
      <c r="AC14125" s="247"/>
      <c r="AT14125" s="247"/>
    </row>
    <row r="14126">
      <c r="C14126" s="277"/>
      <c r="M14126" s="277"/>
      <c r="O14126" s="247"/>
      <c r="AC14126" s="247"/>
      <c r="AT14126" s="247"/>
    </row>
    <row r="14127">
      <c r="C14127" s="277"/>
      <c r="M14127" s="277"/>
      <c r="O14127" s="247"/>
      <c r="AC14127" s="247"/>
      <c r="AT14127" s="247"/>
    </row>
    <row r="14128">
      <c r="C14128" s="277"/>
      <c r="M14128" s="277"/>
      <c r="O14128" s="247"/>
      <c r="AC14128" s="247"/>
      <c r="AT14128" s="247"/>
    </row>
    <row r="14129">
      <c r="C14129" s="277"/>
      <c r="M14129" s="277"/>
      <c r="O14129" s="247"/>
      <c r="AC14129" s="247"/>
      <c r="AT14129" s="247"/>
    </row>
    <row r="14130">
      <c r="C14130" s="277"/>
      <c r="M14130" s="277"/>
      <c r="O14130" s="247"/>
      <c r="AC14130" s="247"/>
      <c r="AT14130" s="247"/>
    </row>
    <row r="14131">
      <c r="C14131" s="277"/>
      <c r="M14131" s="277"/>
      <c r="O14131" s="247"/>
      <c r="AC14131" s="247"/>
      <c r="AT14131" s="247"/>
    </row>
    <row r="14132">
      <c r="C14132" s="277"/>
      <c r="M14132" s="277"/>
      <c r="O14132" s="247"/>
      <c r="AC14132" s="247"/>
      <c r="AT14132" s="247"/>
    </row>
    <row r="14133">
      <c r="C14133" s="277"/>
      <c r="M14133" s="277"/>
      <c r="O14133" s="247"/>
      <c r="AC14133" s="247"/>
      <c r="AT14133" s="247"/>
    </row>
    <row r="14134">
      <c r="C14134" s="277"/>
      <c r="M14134" s="277"/>
      <c r="O14134" s="247"/>
      <c r="AC14134" s="247"/>
      <c r="AT14134" s="247"/>
    </row>
    <row r="14135">
      <c r="C14135" s="277"/>
      <c r="M14135" s="277"/>
      <c r="O14135" s="247"/>
      <c r="AC14135" s="247"/>
      <c r="AT14135" s="247"/>
    </row>
    <row r="14136">
      <c r="C14136" s="277"/>
      <c r="M14136" s="277"/>
      <c r="O14136" s="247"/>
      <c r="AC14136" s="247"/>
      <c r="AT14136" s="247"/>
    </row>
    <row r="14137">
      <c r="C14137" s="277"/>
      <c r="M14137" s="277"/>
      <c r="O14137" s="247"/>
      <c r="AC14137" s="247"/>
      <c r="AT14137" s="247"/>
    </row>
    <row r="14138">
      <c r="C14138" s="277"/>
      <c r="M14138" s="277"/>
      <c r="O14138" s="247"/>
      <c r="AC14138" s="247"/>
      <c r="AT14138" s="247"/>
    </row>
    <row r="14139">
      <c r="C14139" s="277"/>
      <c r="M14139" s="277"/>
      <c r="O14139" s="247"/>
      <c r="AC14139" s="247"/>
      <c r="AT14139" s="247"/>
    </row>
    <row r="14140">
      <c r="C14140" s="277"/>
      <c r="M14140" s="277"/>
      <c r="O14140" s="247"/>
      <c r="AC14140" s="247"/>
      <c r="AT14140" s="247"/>
    </row>
    <row r="14141">
      <c r="C14141" s="277"/>
      <c r="M14141" s="277"/>
      <c r="O14141" s="247"/>
      <c r="AC14141" s="247"/>
      <c r="AT14141" s="247"/>
    </row>
    <row r="14142">
      <c r="C14142" s="277"/>
      <c r="M14142" s="277"/>
      <c r="O14142" s="247"/>
      <c r="AC14142" s="247"/>
      <c r="AT14142" s="247"/>
    </row>
    <row r="14143">
      <c r="C14143" s="277"/>
      <c r="M14143" s="277"/>
      <c r="O14143" s="247"/>
      <c r="AC14143" s="247"/>
      <c r="AT14143" s="247"/>
    </row>
    <row r="14144">
      <c r="C14144" s="277"/>
      <c r="M14144" s="277"/>
      <c r="O14144" s="247"/>
      <c r="AC14144" s="247"/>
      <c r="AT14144" s="247"/>
    </row>
    <row r="14145">
      <c r="C14145" s="277"/>
      <c r="M14145" s="277"/>
      <c r="O14145" s="247"/>
      <c r="AC14145" s="247"/>
      <c r="AT14145" s="247"/>
    </row>
    <row r="14146">
      <c r="C14146" s="277"/>
      <c r="M14146" s="277"/>
      <c r="O14146" s="247"/>
      <c r="AC14146" s="247"/>
      <c r="AT14146" s="247"/>
    </row>
    <row r="14147">
      <c r="C14147" s="277"/>
      <c r="M14147" s="277"/>
      <c r="O14147" s="247"/>
      <c r="AC14147" s="247"/>
      <c r="AT14147" s="247"/>
    </row>
    <row r="14148">
      <c r="C14148" s="277"/>
      <c r="M14148" s="277"/>
      <c r="O14148" s="247"/>
      <c r="AC14148" s="247"/>
      <c r="AT14148" s="247"/>
    </row>
    <row r="14149">
      <c r="C14149" s="277"/>
      <c r="M14149" s="277"/>
      <c r="O14149" s="247"/>
      <c r="AC14149" s="247"/>
      <c r="AT14149" s="247"/>
    </row>
    <row r="14150">
      <c r="C14150" s="277"/>
      <c r="M14150" s="277"/>
      <c r="O14150" s="247"/>
      <c r="AC14150" s="247"/>
      <c r="AT14150" s="247"/>
    </row>
    <row r="14151">
      <c r="C14151" s="277"/>
      <c r="M14151" s="277"/>
      <c r="O14151" s="247"/>
      <c r="AC14151" s="247"/>
      <c r="AT14151" s="247"/>
    </row>
    <row r="14152">
      <c r="C14152" s="277"/>
      <c r="M14152" s="277"/>
      <c r="O14152" s="247"/>
      <c r="AC14152" s="247"/>
      <c r="AT14152" s="247"/>
    </row>
    <row r="14153">
      <c r="C14153" s="277"/>
      <c r="M14153" s="277"/>
      <c r="O14153" s="247"/>
      <c r="AC14153" s="247"/>
      <c r="AT14153" s="247"/>
    </row>
    <row r="14154">
      <c r="C14154" s="277"/>
      <c r="M14154" s="277"/>
      <c r="O14154" s="247"/>
      <c r="AC14154" s="247"/>
      <c r="AT14154" s="247"/>
    </row>
    <row r="14155">
      <c r="C14155" s="277"/>
      <c r="M14155" s="277"/>
      <c r="O14155" s="247"/>
      <c r="AC14155" s="247"/>
      <c r="AT14155" s="247"/>
    </row>
    <row r="14156">
      <c r="C14156" s="277"/>
      <c r="M14156" s="277"/>
      <c r="O14156" s="247"/>
      <c r="AC14156" s="247"/>
      <c r="AT14156" s="247"/>
    </row>
    <row r="14157">
      <c r="C14157" s="277"/>
      <c r="M14157" s="277"/>
      <c r="O14157" s="247"/>
      <c r="AC14157" s="247"/>
      <c r="AT14157" s="247"/>
    </row>
    <row r="14158">
      <c r="C14158" s="277"/>
      <c r="M14158" s="277"/>
      <c r="O14158" s="247"/>
      <c r="AC14158" s="247"/>
      <c r="AT14158" s="247"/>
    </row>
    <row r="14159">
      <c r="C14159" s="277"/>
      <c r="M14159" s="277"/>
      <c r="O14159" s="247"/>
      <c r="AC14159" s="247"/>
      <c r="AT14159" s="247"/>
    </row>
    <row r="14160">
      <c r="C14160" s="277"/>
      <c r="M14160" s="277"/>
      <c r="O14160" s="247"/>
      <c r="AC14160" s="247"/>
      <c r="AT14160" s="247"/>
    </row>
    <row r="14161">
      <c r="C14161" s="277"/>
      <c r="M14161" s="277"/>
      <c r="O14161" s="247"/>
      <c r="AC14161" s="247"/>
      <c r="AT14161" s="247"/>
    </row>
    <row r="14162">
      <c r="C14162" s="277"/>
      <c r="M14162" s="277"/>
      <c r="O14162" s="247"/>
      <c r="AC14162" s="247"/>
      <c r="AT14162" s="247"/>
    </row>
    <row r="14163">
      <c r="C14163" s="277"/>
      <c r="M14163" s="277"/>
      <c r="O14163" s="247"/>
      <c r="AC14163" s="247"/>
      <c r="AT14163" s="247"/>
    </row>
    <row r="14164">
      <c r="C14164" s="277"/>
      <c r="M14164" s="277"/>
      <c r="O14164" s="247"/>
      <c r="AC14164" s="247"/>
      <c r="AT14164" s="247"/>
    </row>
    <row r="14165">
      <c r="C14165" s="277"/>
      <c r="M14165" s="277"/>
      <c r="O14165" s="247"/>
      <c r="AC14165" s="247"/>
      <c r="AT14165" s="247"/>
    </row>
    <row r="14166">
      <c r="C14166" s="277"/>
      <c r="M14166" s="277"/>
      <c r="O14166" s="247"/>
      <c r="AC14166" s="247"/>
      <c r="AT14166" s="247"/>
    </row>
    <row r="14167">
      <c r="C14167" s="277"/>
      <c r="M14167" s="277"/>
      <c r="O14167" s="247"/>
      <c r="AC14167" s="247"/>
      <c r="AT14167" s="247"/>
    </row>
    <row r="14168">
      <c r="C14168" s="277"/>
      <c r="M14168" s="277"/>
      <c r="O14168" s="247"/>
      <c r="AC14168" s="247"/>
      <c r="AT14168" s="247"/>
    </row>
    <row r="14169">
      <c r="C14169" s="277"/>
      <c r="M14169" s="277"/>
      <c r="O14169" s="247"/>
      <c r="AC14169" s="247"/>
      <c r="AT14169" s="247"/>
    </row>
    <row r="14170">
      <c r="C14170" s="277"/>
      <c r="M14170" s="277"/>
      <c r="O14170" s="247"/>
      <c r="AC14170" s="247"/>
      <c r="AT14170" s="247"/>
    </row>
    <row r="14171">
      <c r="C14171" s="277"/>
      <c r="M14171" s="277"/>
      <c r="O14171" s="247"/>
      <c r="AC14171" s="247"/>
      <c r="AT14171" s="247"/>
    </row>
    <row r="14172">
      <c r="C14172" s="277"/>
      <c r="M14172" s="277"/>
      <c r="O14172" s="247"/>
      <c r="AC14172" s="247"/>
      <c r="AT14172" s="247"/>
    </row>
    <row r="14173">
      <c r="C14173" s="277"/>
      <c r="M14173" s="277"/>
      <c r="O14173" s="247"/>
      <c r="AC14173" s="247"/>
      <c r="AT14173" s="247"/>
    </row>
    <row r="14174">
      <c r="C14174" s="277"/>
      <c r="M14174" s="277"/>
      <c r="O14174" s="247"/>
      <c r="AC14174" s="247"/>
      <c r="AT14174" s="247"/>
    </row>
    <row r="14175">
      <c r="C14175" s="277"/>
      <c r="M14175" s="277"/>
      <c r="O14175" s="247"/>
      <c r="AC14175" s="247"/>
      <c r="AT14175" s="247"/>
    </row>
    <row r="14176">
      <c r="C14176" s="277"/>
      <c r="M14176" s="277"/>
      <c r="O14176" s="247"/>
      <c r="AC14176" s="247"/>
      <c r="AT14176" s="247"/>
    </row>
    <row r="14177">
      <c r="C14177" s="277"/>
      <c r="M14177" s="277"/>
      <c r="O14177" s="247"/>
      <c r="AC14177" s="247"/>
      <c r="AT14177" s="247"/>
    </row>
    <row r="14178">
      <c r="C14178" s="277"/>
      <c r="M14178" s="277"/>
      <c r="O14178" s="247"/>
      <c r="AC14178" s="247"/>
      <c r="AT14178" s="247"/>
    </row>
    <row r="14179">
      <c r="C14179" s="277"/>
      <c r="M14179" s="277"/>
      <c r="O14179" s="247"/>
      <c r="AC14179" s="247"/>
      <c r="AT14179" s="247"/>
    </row>
    <row r="14180">
      <c r="C14180" s="277"/>
      <c r="M14180" s="277"/>
      <c r="O14180" s="247"/>
      <c r="AC14180" s="247"/>
      <c r="AT14180" s="247"/>
    </row>
    <row r="14181">
      <c r="C14181" s="277"/>
      <c r="M14181" s="277"/>
      <c r="O14181" s="247"/>
      <c r="AC14181" s="247"/>
      <c r="AT14181" s="247"/>
    </row>
    <row r="14182">
      <c r="C14182" s="277"/>
      <c r="M14182" s="277"/>
      <c r="O14182" s="247"/>
      <c r="AC14182" s="247"/>
      <c r="AT14182" s="247"/>
    </row>
    <row r="14183">
      <c r="C14183" s="277"/>
      <c r="M14183" s="277"/>
      <c r="O14183" s="247"/>
      <c r="AC14183" s="247"/>
      <c r="AT14183" s="247"/>
    </row>
    <row r="14184">
      <c r="C14184" s="277"/>
      <c r="M14184" s="277"/>
      <c r="O14184" s="247"/>
      <c r="AC14184" s="247"/>
      <c r="AT14184" s="247"/>
    </row>
    <row r="14185">
      <c r="C14185" s="277"/>
      <c r="M14185" s="277"/>
      <c r="O14185" s="247"/>
      <c r="AC14185" s="247"/>
      <c r="AT14185" s="247"/>
    </row>
    <row r="14186">
      <c r="C14186" s="277"/>
      <c r="M14186" s="277"/>
      <c r="O14186" s="247"/>
      <c r="AC14186" s="247"/>
      <c r="AT14186" s="247"/>
    </row>
    <row r="14187">
      <c r="C14187" s="277"/>
      <c r="M14187" s="277"/>
      <c r="O14187" s="247"/>
      <c r="AC14187" s="247"/>
      <c r="AT14187" s="247"/>
    </row>
    <row r="14188">
      <c r="C14188" s="277"/>
      <c r="M14188" s="277"/>
      <c r="O14188" s="247"/>
      <c r="AC14188" s="247"/>
      <c r="AT14188" s="247"/>
    </row>
    <row r="14189">
      <c r="C14189" s="277"/>
      <c r="M14189" s="277"/>
      <c r="O14189" s="247"/>
      <c r="AC14189" s="247"/>
      <c r="AT14189" s="247"/>
    </row>
    <row r="14190">
      <c r="C14190" s="277"/>
      <c r="M14190" s="277"/>
      <c r="O14190" s="247"/>
      <c r="AC14190" s="247"/>
      <c r="AT14190" s="247"/>
    </row>
    <row r="14191">
      <c r="C14191" s="277"/>
      <c r="M14191" s="277"/>
      <c r="O14191" s="247"/>
      <c r="AC14191" s="247"/>
      <c r="AT14191" s="247"/>
    </row>
    <row r="14192">
      <c r="C14192" s="277"/>
      <c r="M14192" s="277"/>
      <c r="O14192" s="247"/>
      <c r="AC14192" s="247"/>
      <c r="AT14192" s="247"/>
    </row>
    <row r="14193">
      <c r="C14193" s="277"/>
      <c r="M14193" s="277"/>
      <c r="O14193" s="247"/>
      <c r="AC14193" s="247"/>
      <c r="AT14193" s="247"/>
    </row>
    <row r="14194">
      <c r="C14194" s="277"/>
      <c r="M14194" s="277"/>
      <c r="O14194" s="247"/>
      <c r="AC14194" s="247"/>
      <c r="AT14194" s="247"/>
    </row>
    <row r="14195">
      <c r="C14195" s="277"/>
      <c r="M14195" s="277"/>
      <c r="O14195" s="247"/>
      <c r="AC14195" s="247"/>
      <c r="AT14195" s="247"/>
    </row>
    <row r="14196">
      <c r="C14196" s="277"/>
      <c r="M14196" s="277"/>
      <c r="O14196" s="247"/>
      <c r="AC14196" s="247"/>
      <c r="AT14196" s="247"/>
    </row>
    <row r="14197">
      <c r="C14197" s="277"/>
      <c r="M14197" s="277"/>
      <c r="O14197" s="247"/>
      <c r="AC14197" s="247"/>
      <c r="AT14197" s="247"/>
    </row>
    <row r="14198">
      <c r="C14198" s="277"/>
      <c r="M14198" s="277"/>
      <c r="O14198" s="247"/>
      <c r="AC14198" s="247"/>
      <c r="AT14198" s="247"/>
    </row>
    <row r="14199">
      <c r="C14199" s="277"/>
      <c r="M14199" s="277"/>
      <c r="O14199" s="247"/>
      <c r="AC14199" s="247"/>
      <c r="AT14199" s="247"/>
    </row>
    <row r="14200">
      <c r="C14200" s="277"/>
      <c r="M14200" s="277"/>
      <c r="O14200" s="247"/>
      <c r="AC14200" s="247"/>
      <c r="AT14200" s="247"/>
    </row>
    <row r="14201">
      <c r="C14201" s="277"/>
      <c r="M14201" s="277"/>
      <c r="O14201" s="247"/>
      <c r="AC14201" s="247"/>
      <c r="AT14201" s="247"/>
    </row>
    <row r="14202">
      <c r="C14202" s="277"/>
      <c r="M14202" s="277"/>
      <c r="O14202" s="247"/>
      <c r="AC14202" s="247"/>
      <c r="AT14202" s="247"/>
    </row>
    <row r="14203">
      <c r="C14203" s="277"/>
      <c r="M14203" s="277"/>
      <c r="O14203" s="247"/>
      <c r="AC14203" s="247"/>
      <c r="AT14203" s="247"/>
    </row>
    <row r="14204">
      <c r="C14204" s="277"/>
      <c r="M14204" s="277"/>
      <c r="O14204" s="247"/>
      <c r="AC14204" s="247"/>
      <c r="AT14204" s="247"/>
    </row>
    <row r="14205">
      <c r="C14205" s="277"/>
      <c r="M14205" s="277"/>
      <c r="O14205" s="247"/>
      <c r="AC14205" s="247"/>
      <c r="AT14205" s="247"/>
    </row>
    <row r="14206">
      <c r="C14206" s="277"/>
      <c r="M14206" s="277"/>
      <c r="O14206" s="247"/>
      <c r="AC14206" s="247"/>
      <c r="AT14206" s="247"/>
    </row>
    <row r="14207">
      <c r="C14207" s="277"/>
      <c r="M14207" s="277"/>
      <c r="O14207" s="247"/>
      <c r="AC14207" s="247"/>
      <c r="AT14207" s="247"/>
    </row>
    <row r="14208">
      <c r="C14208" s="277"/>
      <c r="M14208" s="277"/>
      <c r="O14208" s="247"/>
      <c r="AC14208" s="247"/>
      <c r="AT14208" s="247"/>
    </row>
    <row r="14209">
      <c r="C14209" s="277"/>
      <c r="M14209" s="277"/>
      <c r="O14209" s="247"/>
      <c r="AC14209" s="247"/>
      <c r="AT14209" s="247"/>
    </row>
    <row r="14210">
      <c r="C14210" s="277"/>
      <c r="M14210" s="277"/>
      <c r="O14210" s="247"/>
      <c r="AC14210" s="247"/>
      <c r="AT14210" s="247"/>
    </row>
    <row r="14211">
      <c r="C14211" s="277"/>
      <c r="M14211" s="277"/>
      <c r="O14211" s="247"/>
      <c r="AC14211" s="247"/>
      <c r="AT14211" s="247"/>
    </row>
    <row r="14212">
      <c r="C14212" s="277"/>
      <c r="M14212" s="277"/>
      <c r="O14212" s="247"/>
      <c r="AC14212" s="247"/>
      <c r="AT14212" s="247"/>
    </row>
    <row r="14213">
      <c r="C14213" s="277"/>
      <c r="M14213" s="277"/>
      <c r="O14213" s="247"/>
      <c r="AC14213" s="247"/>
      <c r="AT14213" s="247"/>
    </row>
    <row r="14214">
      <c r="C14214" s="277"/>
      <c r="M14214" s="277"/>
      <c r="O14214" s="247"/>
      <c r="AC14214" s="247"/>
      <c r="AT14214" s="247"/>
    </row>
    <row r="14215">
      <c r="C14215" s="277"/>
      <c r="M14215" s="277"/>
      <c r="O14215" s="247"/>
      <c r="AC14215" s="247"/>
      <c r="AT14215" s="247"/>
    </row>
    <row r="14216">
      <c r="C14216" s="277"/>
      <c r="M14216" s="277"/>
      <c r="O14216" s="247"/>
      <c r="AC14216" s="247"/>
      <c r="AT14216" s="247"/>
    </row>
    <row r="14217">
      <c r="C14217" s="277"/>
      <c r="M14217" s="277"/>
      <c r="O14217" s="247"/>
      <c r="AC14217" s="247"/>
      <c r="AT14217" s="247"/>
    </row>
    <row r="14218">
      <c r="C14218" s="277"/>
      <c r="M14218" s="277"/>
      <c r="O14218" s="247"/>
      <c r="AC14218" s="247"/>
      <c r="AT14218" s="247"/>
    </row>
    <row r="14219">
      <c r="C14219" s="277"/>
      <c r="M14219" s="277"/>
      <c r="O14219" s="247"/>
      <c r="AC14219" s="247"/>
      <c r="AT14219" s="247"/>
    </row>
    <row r="14220">
      <c r="C14220" s="277"/>
      <c r="M14220" s="277"/>
      <c r="O14220" s="247"/>
      <c r="AC14220" s="247"/>
      <c r="AT14220" s="247"/>
    </row>
    <row r="14221">
      <c r="C14221" s="277"/>
      <c r="M14221" s="277"/>
      <c r="O14221" s="247"/>
      <c r="AC14221" s="247"/>
      <c r="AT14221" s="247"/>
    </row>
    <row r="14222">
      <c r="C14222" s="277"/>
      <c r="M14222" s="277"/>
      <c r="O14222" s="247"/>
      <c r="AC14222" s="247"/>
      <c r="AT14222" s="247"/>
    </row>
    <row r="14223">
      <c r="C14223" s="277"/>
      <c r="M14223" s="277"/>
      <c r="O14223" s="247"/>
      <c r="AC14223" s="247"/>
      <c r="AT14223" s="247"/>
    </row>
    <row r="14224">
      <c r="C14224" s="277"/>
      <c r="M14224" s="277"/>
      <c r="O14224" s="247"/>
      <c r="AC14224" s="247"/>
      <c r="AT14224" s="247"/>
    </row>
    <row r="14225">
      <c r="C14225" s="277"/>
      <c r="M14225" s="277"/>
      <c r="O14225" s="247"/>
      <c r="AC14225" s="247"/>
      <c r="AT14225" s="247"/>
    </row>
    <row r="14226">
      <c r="C14226" s="277"/>
      <c r="M14226" s="277"/>
      <c r="O14226" s="247"/>
      <c r="AC14226" s="247"/>
      <c r="AT14226" s="247"/>
    </row>
    <row r="14227">
      <c r="C14227" s="277"/>
      <c r="M14227" s="277"/>
      <c r="O14227" s="247"/>
      <c r="AC14227" s="247"/>
      <c r="AT14227" s="247"/>
    </row>
    <row r="14228">
      <c r="C14228" s="277"/>
      <c r="M14228" s="277"/>
      <c r="O14228" s="247"/>
      <c r="AC14228" s="247"/>
      <c r="AT14228" s="247"/>
    </row>
    <row r="14229">
      <c r="C14229" s="277"/>
      <c r="M14229" s="277"/>
      <c r="O14229" s="247"/>
      <c r="AC14229" s="247"/>
      <c r="AT14229" s="247"/>
    </row>
    <row r="14230">
      <c r="C14230" s="277"/>
      <c r="M14230" s="277"/>
      <c r="O14230" s="247"/>
      <c r="AC14230" s="247"/>
      <c r="AT14230" s="247"/>
    </row>
    <row r="14231">
      <c r="C14231" s="277"/>
      <c r="M14231" s="277"/>
      <c r="O14231" s="247"/>
      <c r="AC14231" s="247"/>
      <c r="AT14231" s="247"/>
    </row>
    <row r="14232">
      <c r="C14232" s="277"/>
      <c r="M14232" s="277"/>
      <c r="O14232" s="247"/>
      <c r="AC14232" s="247"/>
      <c r="AT14232" s="247"/>
    </row>
    <row r="14233">
      <c r="C14233" s="277"/>
      <c r="M14233" s="277"/>
      <c r="O14233" s="247"/>
      <c r="AC14233" s="247"/>
      <c r="AT14233" s="247"/>
    </row>
    <row r="14234">
      <c r="C14234" s="277"/>
      <c r="M14234" s="277"/>
      <c r="O14234" s="247"/>
      <c r="AC14234" s="247"/>
      <c r="AT14234" s="247"/>
    </row>
    <row r="14235">
      <c r="C14235" s="277"/>
      <c r="M14235" s="277"/>
      <c r="O14235" s="247"/>
      <c r="AC14235" s="247"/>
      <c r="AT14235" s="247"/>
    </row>
    <row r="14236">
      <c r="C14236" s="277"/>
      <c r="M14236" s="277"/>
      <c r="O14236" s="247"/>
      <c r="AC14236" s="247"/>
      <c r="AT14236" s="247"/>
    </row>
    <row r="14237">
      <c r="C14237" s="277"/>
      <c r="M14237" s="277"/>
      <c r="O14237" s="247"/>
      <c r="AC14237" s="247"/>
      <c r="AT14237" s="247"/>
    </row>
    <row r="14238">
      <c r="C14238" s="277"/>
      <c r="M14238" s="277"/>
      <c r="O14238" s="247"/>
      <c r="AC14238" s="247"/>
      <c r="AT14238" s="247"/>
    </row>
    <row r="14239">
      <c r="C14239" s="277"/>
      <c r="M14239" s="277"/>
      <c r="O14239" s="247"/>
      <c r="AC14239" s="247"/>
      <c r="AT14239" s="247"/>
    </row>
    <row r="14240">
      <c r="C14240" s="277"/>
      <c r="M14240" s="277"/>
      <c r="O14240" s="247"/>
      <c r="AC14240" s="247"/>
      <c r="AT14240" s="247"/>
    </row>
    <row r="14241">
      <c r="C14241" s="277"/>
      <c r="M14241" s="277"/>
      <c r="O14241" s="247"/>
      <c r="AC14241" s="247"/>
      <c r="AT14241" s="247"/>
    </row>
    <row r="14242">
      <c r="C14242" s="277"/>
      <c r="M14242" s="277"/>
      <c r="O14242" s="247"/>
      <c r="AC14242" s="247"/>
      <c r="AT14242" s="247"/>
    </row>
    <row r="14243">
      <c r="C14243" s="277"/>
      <c r="M14243" s="277"/>
      <c r="O14243" s="247"/>
      <c r="AC14243" s="247"/>
      <c r="AT14243" s="247"/>
    </row>
    <row r="14244">
      <c r="C14244" s="277"/>
      <c r="M14244" s="277"/>
      <c r="O14244" s="247"/>
      <c r="AC14244" s="247"/>
      <c r="AT14244" s="247"/>
    </row>
    <row r="14245">
      <c r="C14245" s="277"/>
      <c r="M14245" s="277"/>
      <c r="O14245" s="247"/>
      <c r="AC14245" s="247"/>
      <c r="AT14245" s="247"/>
    </row>
    <row r="14246">
      <c r="C14246" s="277"/>
      <c r="M14246" s="277"/>
      <c r="O14246" s="247"/>
      <c r="AC14246" s="247"/>
      <c r="AT14246" s="247"/>
    </row>
    <row r="14247">
      <c r="C14247" s="277"/>
      <c r="M14247" s="277"/>
      <c r="O14247" s="247"/>
      <c r="AC14247" s="247"/>
      <c r="AT14247" s="247"/>
    </row>
    <row r="14248">
      <c r="C14248" s="277"/>
      <c r="M14248" s="277"/>
      <c r="O14248" s="247"/>
      <c r="AC14248" s="247"/>
      <c r="AT14248" s="247"/>
    </row>
    <row r="14249">
      <c r="C14249" s="277"/>
      <c r="M14249" s="277"/>
      <c r="O14249" s="247"/>
      <c r="AC14249" s="247"/>
      <c r="AT14249" s="247"/>
    </row>
    <row r="14250">
      <c r="C14250" s="277"/>
      <c r="M14250" s="277"/>
      <c r="O14250" s="247"/>
      <c r="AC14250" s="247"/>
      <c r="AT14250" s="247"/>
    </row>
    <row r="14251">
      <c r="C14251" s="277"/>
      <c r="M14251" s="277"/>
      <c r="O14251" s="247"/>
      <c r="AC14251" s="247"/>
      <c r="AT14251" s="247"/>
    </row>
    <row r="14252">
      <c r="C14252" s="277"/>
      <c r="M14252" s="277"/>
      <c r="O14252" s="247"/>
      <c r="AC14252" s="247"/>
      <c r="AT14252" s="247"/>
    </row>
    <row r="14253">
      <c r="C14253" s="277"/>
      <c r="M14253" s="277"/>
      <c r="O14253" s="247"/>
      <c r="AC14253" s="247"/>
      <c r="AT14253" s="247"/>
    </row>
    <row r="14254">
      <c r="C14254" s="277"/>
      <c r="M14254" s="277"/>
      <c r="O14254" s="247"/>
      <c r="AC14254" s="247"/>
      <c r="AT14254" s="247"/>
    </row>
    <row r="14255">
      <c r="C14255" s="277"/>
      <c r="M14255" s="277"/>
      <c r="O14255" s="247"/>
      <c r="AC14255" s="247"/>
      <c r="AT14255" s="247"/>
    </row>
    <row r="14256">
      <c r="C14256" s="277"/>
      <c r="M14256" s="277"/>
      <c r="O14256" s="247"/>
      <c r="AC14256" s="247"/>
      <c r="AT14256" s="247"/>
    </row>
    <row r="14257">
      <c r="C14257" s="277"/>
      <c r="M14257" s="277"/>
      <c r="O14257" s="247"/>
      <c r="AC14257" s="247"/>
      <c r="AT14257" s="247"/>
    </row>
    <row r="14258">
      <c r="C14258" s="277"/>
      <c r="M14258" s="277"/>
      <c r="O14258" s="247"/>
      <c r="AC14258" s="247"/>
      <c r="AT14258" s="247"/>
    </row>
    <row r="14259">
      <c r="C14259" s="277"/>
      <c r="M14259" s="277"/>
      <c r="O14259" s="247"/>
      <c r="AC14259" s="247"/>
      <c r="AT14259" s="247"/>
    </row>
    <row r="14260">
      <c r="C14260" s="277"/>
      <c r="M14260" s="277"/>
      <c r="O14260" s="247"/>
      <c r="AC14260" s="247"/>
      <c r="AT14260" s="247"/>
    </row>
    <row r="14261">
      <c r="C14261" s="277"/>
      <c r="M14261" s="277"/>
      <c r="O14261" s="247"/>
      <c r="AC14261" s="247"/>
      <c r="AT14261" s="247"/>
    </row>
    <row r="14262">
      <c r="C14262" s="277"/>
      <c r="M14262" s="277"/>
      <c r="O14262" s="247"/>
      <c r="AC14262" s="247"/>
      <c r="AT14262" s="247"/>
    </row>
    <row r="14263">
      <c r="C14263" s="277"/>
      <c r="M14263" s="277"/>
      <c r="O14263" s="247"/>
      <c r="AC14263" s="247"/>
      <c r="AT14263" s="247"/>
    </row>
    <row r="14264">
      <c r="C14264" s="277"/>
      <c r="M14264" s="277"/>
      <c r="O14264" s="247"/>
      <c r="AC14264" s="247"/>
      <c r="AT14264" s="247"/>
    </row>
    <row r="14265">
      <c r="C14265" s="277"/>
      <c r="M14265" s="277"/>
      <c r="O14265" s="247"/>
      <c r="AC14265" s="247"/>
      <c r="AT14265" s="247"/>
    </row>
    <row r="14266">
      <c r="C14266" s="277"/>
      <c r="M14266" s="277"/>
      <c r="O14266" s="247"/>
      <c r="AC14266" s="247"/>
      <c r="AT14266" s="247"/>
    </row>
    <row r="14267">
      <c r="C14267" s="277"/>
      <c r="M14267" s="277"/>
      <c r="O14267" s="247"/>
      <c r="AC14267" s="247"/>
      <c r="AT14267" s="247"/>
    </row>
    <row r="14268">
      <c r="C14268" s="277"/>
      <c r="M14268" s="277"/>
      <c r="O14268" s="247"/>
      <c r="AC14268" s="247"/>
      <c r="AT14268" s="247"/>
    </row>
    <row r="14269">
      <c r="C14269" s="277"/>
      <c r="M14269" s="277"/>
      <c r="O14269" s="247"/>
      <c r="AC14269" s="247"/>
      <c r="AT14269" s="247"/>
    </row>
    <row r="14270">
      <c r="C14270" s="277"/>
      <c r="M14270" s="277"/>
      <c r="O14270" s="247"/>
      <c r="AC14270" s="247"/>
      <c r="AT14270" s="247"/>
    </row>
    <row r="14271">
      <c r="C14271" s="277"/>
      <c r="M14271" s="277"/>
      <c r="O14271" s="247"/>
      <c r="AC14271" s="247"/>
      <c r="AT14271" s="247"/>
    </row>
    <row r="14272">
      <c r="C14272" s="277"/>
      <c r="M14272" s="277"/>
      <c r="O14272" s="247"/>
      <c r="AC14272" s="247"/>
      <c r="AT14272" s="247"/>
    </row>
    <row r="14273">
      <c r="C14273" s="277"/>
      <c r="M14273" s="277"/>
      <c r="O14273" s="247"/>
      <c r="AC14273" s="247"/>
      <c r="AT14273" s="247"/>
    </row>
    <row r="14274">
      <c r="C14274" s="277"/>
      <c r="M14274" s="277"/>
      <c r="O14274" s="247"/>
      <c r="AC14274" s="247"/>
      <c r="AT14274" s="247"/>
    </row>
    <row r="14275">
      <c r="C14275" s="277"/>
      <c r="M14275" s="277"/>
      <c r="O14275" s="247"/>
      <c r="AC14275" s="247"/>
      <c r="AT14275" s="247"/>
    </row>
    <row r="14276">
      <c r="C14276" s="277"/>
      <c r="M14276" s="277"/>
      <c r="O14276" s="247"/>
      <c r="AC14276" s="247"/>
      <c r="AT14276" s="247"/>
    </row>
    <row r="14277">
      <c r="C14277" s="277"/>
      <c r="M14277" s="277"/>
      <c r="O14277" s="247"/>
      <c r="AC14277" s="247"/>
      <c r="AT14277" s="247"/>
    </row>
    <row r="14278">
      <c r="C14278" s="277"/>
      <c r="M14278" s="277"/>
      <c r="O14278" s="247"/>
      <c r="AC14278" s="247"/>
      <c r="AT14278" s="247"/>
    </row>
    <row r="14279">
      <c r="C14279" s="277"/>
      <c r="M14279" s="277"/>
      <c r="O14279" s="247"/>
      <c r="AC14279" s="247"/>
      <c r="AT14279" s="247"/>
    </row>
    <row r="14280">
      <c r="C14280" s="277"/>
      <c r="M14280" s="277"/>
      <c r="O14280" s="247"/>
      <c r="AC14280" s="247"/>
      <c r="AT14280" s="247"/>
    </row>
    <row r="14281">
      <c r="C14281" s="277"/>
      <c r="M14281" s="277"/>
      <c r="O14281" s="247"/>
      <c r="AC14281" s="247"/>
      <c r="AT14281" s="247"/>
    </row>
    <row r="14282">
      <c r="C14282" s="277"/>
      <c r="M14282" s="277"/>
      <c r="O14282" s="247"/>
      <c r="AC14282" s="247"/>
      <c r="AT14282" s="247"/>
    </row>
    <row r="14283">
      <c r="C14283" s="277"/>
      <c r="M14283" s="277"/>
      <c r="O14283" s="247"/>
      <c r="AC14283" s="247"/>
      <c r="AT14283" s="247"/>
    </row>
    <row r="14284">
      <c r="C14284" s="277"/>
      <c r="M14284" s="277"/>
      <c r="O14284" s="247"/>
      <c r="AC14284" s="247"/>
      <c r="AT14284" s="247"/>
    </row>
    <row r="14285">
      <c r="C14285" s="277"/>
      <c r="M14285" s="277"/>
      <c r="O14285" s="247"/>
      <c r="AC14285" s="247"/>
      <c r="AT14285" s="247"/>
    </row>
    <row r="14286">
      <c r="C14286" s="277"/>
      <c r="M14286" s="277"/>
      <c r="O14286" s="247"/>
      <c r="AC14286" s="247"/>
      <c r="AT14286" s="247"/>
    </row>
    <row r="14287">
      <c r="C14287" s="277"/>
      <c r="M14287" s="277"/>
      <c r="O14287" s="247"/>
      <c r="AC14287" s="247"/>
      <c r="AT14287" s="247"/>
    </row>
    <row r="14288">
      <c r="C14288" s="277"/>
      <c r="M14288" s="277"/>
      <c r="O14288" s="247"/>
      <c r="AC14288" s="247"/>
      <c r="AT14288" s="247"/>
    </row>
    <row r="14289">
      <c r="C14289" s="277"/>
      <c r="M14289" s="277"/>
      <c r="O14289" s="247"/>
      <c r="AC14289" s="247"/>
      <c r="AT14289" s="247"/>
    </row>
    <row r="14290">
      <c r="C14290" s="277"/>
      <c r="M14290" s="277"/>
      <c r="O14290" s="247"/>
      <c r="AC14290" s="247"/>
      <c r="AT14290" s="247"/>
    </row>
    <row r="14291">
      <c r="C14291" s="277"/>
      <c r="M14291" s="277"/>
      <c r="O14291" s="247"/>
      <c r="AC14291" s="247"/>
      <c r="AT14291" s="247"/>
    </row>
    <row r="14292">
      <c r="C14292" s="277"/>
      <c r="M14292" s="277"/>
      <c r="O14292" s="247"/>
      <c r="AC14292" s="247"/>
      <c r="AT14292" s="247"/>
    </row>
    <row r="14293">
      <c r="C14293" s="277"/>
      <c r="M14293" s="277"/>
      <c r="O14293" s="247"/>
      <c r="AC14293" s="247"/>
      <c r="AT14293" s="247"/>
    </row>
    <row r="14294">
      <c r="C14294" s="277"/>
      <c r="M14294" s="277"/>
      <c r="O14294" s="247"/>
      <c r="AC14294" s="247"/>
      <c r="AT14294" s="247"/>
    </row>
    <row r="14295">
      <c r="C14295" s="277"/>
      <c r="M14295" s="277"/>
      <c r="O14295" s="247"/>
      <c r="AC14295" s="247"/>
      <c r="AT14295" s="247"/>
    </row>
    <row r="14296">
      <c r="C14296" s="277"/>
      <c r="M14296" s="277"/>
      <c r="O14296" s="247"/>
      <c r="AC14296" s="247"/>
      <c r="AT14296" s="247"/>
    </row>
    <row r="14297">
      <c r="C14297" s="277"/>
      <c r="M14297" s="277"/>
      <c r="O14297" s="247"/>
      <c r="AC14297" s="247"/>
      <c r="AT14297" s="247"/>
    </row>
    <row r="14298">
      <c r="C14298" s="277"/>
      <c r="M14298" s="277"/>
      <c r="O14298" s="247"/>
      <c r="AC14298" s="247"/>
      <c r="AT14298" s="247"/>
    </row>
    <row r="14299">
      <c r="C14299" s="277"/>
      <c r="M14299" s="277"/>
      <c r="O14299" s="247"/>
      <c r="AC14299" s="247"/>
      <c r="AT14299" s="247"/>
    </row>
    <row r="14300">
      <c r="C14300" s="277"/>
      <c r="M14300" s="277"/>
      <c r="O14300" s="247"/>
      <c r="AC14300" s="247"/>
      <c r="AT14300" s="247"/>
    </row>
    <row r="14301">
      <c r="C14301" s="277"/>
      <c r="M14301" s="277"/>
      <c r="O14301" s="247"/>
      <c r="AC14301" s="247"/>
      <c r="AT14301" s="247"/>
    </row>
    <row r="14302">
      <c r="C14302" s="277"/>
      <c r="M14302" s="277"/>
      <c r="O14302" s="247"/>
      <c r="AC14302" s="247"/>
      <c r="AT14302" s="247"/>
    </row>
    <row r="14303">
      <c r="C14303" s="277"/>
      <c r="M14303" s="277"/>
      <c r="O14303" s="247"/>
      <c r="AC14303" s="247"/>
      <c r="AT14303" s="247"/>
    </row>
    <row r="14304">
      <c r="C14304" s="277"/>
      <c r="M14304" s="277"/>
      <c r="O14304" s="247"/>
      <c r="AC14304" s="247"/>
      <c r="AT14304" s="247"/>
    </row>
    <row r="14305">
      <c r="C14305" s="277"/>
      <c r="M14305" s="277"/>
      <c r="O14305" s="247"/>
      <c r="AC14305" s="247"/>
      <c r="AT14305" s="247"/>
    </row>
    <row r="14306">
      <c r="C14306" s="277"/>
      <c r="M14306" s="277"/>
      <c r="O14306" s="247"/>
      <c r="AC14306" s="247"/>
      <c r="AT14306" s="247"/>
    </row>
    <row r="14307">
      <c r="C14307" s="277"/>
      <c r="M14307" s="277"/>
      <c r="O14307" s="247"/>
      <c r="AC14307" s="247"/>
      <c r="AT14307" s="247"/>
    </row>
    <row r="14308">
      <c r="C14308" s="277"/>
      <c r="M14308" s="277"/>
      <c r="O14308" s="247"/>
      <c r="AC14308" s="247"/>
      <c r="AT14308" s="247"/>
    </row>
    <row r="14309">
      <c r="C14309" s="277"/>
      <c r="M14309" s="277"/>
      <c r="O14309" s="247"/>
      <c r="AC14309" s="247"/>
      <c r="AT14309" s="247"/>
    </row>
    <row r="14310">
      <c r="C14310" s="277"/>
      <c r="M14310" s="277"/>
      <c r="O14310" s="247"/>
      <c r="AC14310" s="247"/>
      <c r="AT14310" s="247"/>
    </row>
    <row r="14311">
      <c r="C14311" s="277"/>
      <c r="M14311" s="277"/>
      <c r="O14311" s="247"/>
      <c r="AC14311" s="247"/>
      <c r="AT14311" s="247"/>
    </row>
    <row r="14312">
      <c r="C14312" s="277"/>
      <c r="M14312" s="277"/>
      <c r="O14312" s="247"/>
      <c r="AC14312" s="247"/>
      <c r="AT14312" s="247"/>
    </row>
    <row r="14313">
      <c r="C14313" s="277"/>
      <c r="M14313" s="277"/>
      <c r="O14313" s="247"/>
      <c r="AC14313" s="247"/>
      <c r="AT14313" s="247"/>
    </row>
    <row r="14314">
      <c r="C14314" s="277"/>
      <c r="M14314" s="277"/>
      <c r="O14314" s="247"/>
      <c r="AC14314" s="247"/>
      <c r="AT14314" s="247"/>
    </row>
    <row r="14315">
      <c r="C14315" s="277"/>
      <c r="M14315" s="277"/>
      <c r="O14315" s="247"/>
      <c r="AC14315" s="247"/>
      <c r="AT14315" s="247"/>
    </row>
    <row r="14316">
      <c r="C14316" s="277"/>
      <c r="M14316" s="277"/>
      <c r="O14316" s="247"/>
      <c r="AC14316" s="247"/>
      <c r="AT14316" s="247"/>
    </row>
    <row r="14317">
      <c r="C14317" s="277"/>
      <c r="M14317" s="277"/>
      <c r="O14317" s="247"/>
      <c r="AC14317" s="247"/>
      <c r="AT14317" s="247"/>
    </row>
    <row r="14318">
      <c r="C14318" s="277"/>
      <c r="M14318" s="277"/>
      <c r="O14318" s="247"/>
      <c r="AC14318" s="247"/>
      <c r="AT14318" s="247"/>
    </row>
    <row r="14319">
      <c r="C14319" s="277"/>
      <c r="M14319" s="277"/>
      <c r="O14319" s="247"/>
      <c r="AC14319" s="247"/>
      <c r="AT14319" s="247"/>
    </row>
    <row r="14320">
      <c r="C14320" s="277"/>
      <c r="M14320" s="277"/>
      <c r="O14320" s="247"/>
      <c r="AC14320" s="247"/>
      <c r="AT14320" s="247"/>
    </row>
    <row r="14321">
      <c r="C14321" s="277"/>
      <c r="M14321" s="277"/>
      <c r="O14321" s="247"/>
      <c r="AC14321" s="247"/>
      <c r="AT14321" s="247"/>
    </row>
    <row r="14322">
      <c r="C14322" s="277"/>
      <c r="M14322" s="277"/>
      <c r="O14322" s="247"/>
      <c r="AC14322" s="247"/>
      <c r="AT14322" s="247"/>
    </row>
    <row r="14323">
      <c r="C14323" s="277"/>
      <c r="M14323" s="277"/>
      <c r="O14323" s="247"/>
      <c r="AC14323" s="247"/>
      <c r="AT14323" s="247"/>
    </row>
    <row r="14324">
      <c r="C14324" s="277"/>
      <c r="M14324" s="277"/>
      <c r="O14324" s="247"/>
      <c r="AC14324" s="247"/>
      <c r="AT14324" s="247"/>
    </row>
    <row r="14325">
      <c r="C14325" s="277"/>
      <c r="M14325" s="277"/>
      <c r="O14325" s="247"/>
      <c r="AC14325" s="247"/>
      <c r="AT14325" s="247"/>
    </row>
    <row r="14326">
      <c r="C14326" s="277"/>
      <c r="M14326" s="277"/>
      <c r="O14326" s="247"/>
      <c r="AC14326" s="247"/>
      <c r="AT14326" s="247"/>
    </row>
    <row r="14327">
      <c r="C14327" s="277"/>
      <c r="M14327" s="277"/>
      <c r="O14327" s="247"/>
      <c r="AC14327" s="247"/>
      <c r="AT14327" s="247"/>
    </row>
    <row r="14328">
      <c r="C14328" s="277"/>
      <c r="M14328" s="277"/>
      <c r="O14328" s="247"/>
      <c r="AC14328" s="247"/>
      <c r="AT14328" s="247"/>
    </row>
    <row r="14329">
      <c r="C14329" s="277"/>
      <c r="M14329" s="277"/>
      <c r="O14329" s="247"/>
      <c r="AC14329" s="247"/>
      <c r="AT14329" s="247"/>
    </row>
    <row r="14330">
      <c r="C14330" s="277"/>
      <c r="M14330" s="277"/>
      <c r="O14330" s="247"/>
      <c r="AC14330" s="247"/>
      <c r="AT14330" s="247"/>
    </row>
    <row r="14331">
      <c r="C14331" s="277"/>
      <c r="M14331" s="277"/>
      <c r="O14331" s="247"/>
      <c r="AC14331" s="247"/>
      <c r="AT14331" s="247"/>
    </row>
    <row r="14332">
      <c r="C14332" s="277"/>
      <c r="M14332" s="277"/>
      <c r="O14332" s="247"/>
      <c r="AC14332" s="247"/>
      <c r="AT14332" s="247"/>
    </row>
    <row r="14333">
      <c r="C14333" s="277"/>
      <c r="M14333" s="277"/>
      <c r="O14333" s="247"/>
      <c r="AC14333" s="247"/>
      <c r="AT14333" s="247"/>
    </row>
    <row r="14334">
      <c r="C14334" s="277"/>
      <c r="M14334" s="277"/>
      <c r="O14334" s="247"/>
      <c r="AC14334" s="247"/>
      <c r="AT14334" s="247"/>
    </row>
    <row r="14335">
      <c r="C14335" s="277"/>
      <c r="M14335" s="277"/>
      <c r="O14335" s="247"/>
      <c r="AC14335" s="247"/>
      <c r="AT14335" s="247"/>
    </row>
    <row r="14336">
      <c r="C14336" s="277"/>
      <c r="M14336" s="277"/>
      <c r="O14336" s="247"/>
      <c r="AC14336" s="247"/>
      <c r="AT14336" s="247"/>
    </row>
    <row r="14337">
      <c r="C14337" s="277"/>
      <c r="M14337" s="277"/>
      <c r="O14337" s="247"/>
      <c r="AC14337" s="247"/>
      <c r="AT14337" s="247"/>
    </row>
    <row r="14338">
      <c r="C14338" s="277"/>
      <c r="M14338" s="277"/>
      <c r="O14338" s="247"/>
      <c r="AC14338" s="247"/>
      <c r="AT14338" s="247"/>
    </row>
    <row r="14339">
      <c r="C14339" s="277"/>
      <c r="M14339" s="277"/>
      <c r="O14339" s="247"/>
      <c r="AC14339" s="247"/>
      <c r="AT14339" s="247"/>
    </row>
    <row r="14340">
      <c r="C14340" s="277"/>
      <c r="M14340" s="277"/>
      <c r="O14340" s="247"/>
      <c r="AC14340" s="247"/>
      <c r="AT14340" s="247"/>
    </row>
    <row r="14341">
      <c r="C14341" s="277"/>
      <c r="M14341" s="277"/>
      <c r="O14341" s="247"/>
      <c r="AC14341" s="247"/>
      <c r="AT14341" s="247"/>
    </row>
    <row r="14342">
      <c r="C14342" s="277"/>
      <c r="M14342" s="277"/>
      <c r="O14342" s="247"/>
      <c r="AC14342" s="247"/>
      <c r="AT14342" s="247"/>
    </row>
    <row r="14343">
      <c r="C14343" s="277"/>
      <c r="M14343" s="277"/>
      <c r="O14343" s="247"/>
      <c r="AC14343" s="247"/>
      <c r="AT14343" s="247"/>
    </row>
    <row r="14344">
      <c r="C14344" s="277"/>
      <c r="M14344" s="277"/>
      <c r="O14344" s="247"/>
      <c r="AC14344" s="247"/>
      <c r="AT14344" s="247"/>
    </row>
    <row r="14345">
      <c r="C14345" s="277"/>
      <c r="M14345" s="277"/>
      <c r="O14345" s="247"/>
      <c r="AC14345" s="247"/>
      <c r="AT14345" s="247"/>
    </row>
    <row r="14346">
      <c r="C14346" s="277"/>
      <c r="M14346" s="277"/>
      <c r="O14346" s="247"/>
      <c r="AC14346" s="247"/>
      <c r="AT14346" s="247"/>
    </row>
    <row r="14347">
      <c r="C14347" s="277"/>
      <c r="M14347" s="277"/>
      <c r="O14347" s="247"/>
      <c r="AC14347" s="247"/>
      <c r="AT14347" s="247"/>
    </row>
    <row r="14348">
      <c r="C14348" s="277"/>
      <c r="M14348" s="277"/>
      <c r="O14348" s="247"/>
      <c r="AC14348" s="247"/>
      <c r="AT14348" s="247"/>
    </row>
    <row r="14349">
      <c r="C14349" s="277"/>
      <c r="M14349" s="277"/>
      <c r="O14349" s="247"/>
      <c r="AC14349" s="247"/>
      <c r="AT14349" s="247"/>
    </row>
    <row r="14350">
      <c r="C14350" s="277"/>
      <c r="M14350" s="277"/>
      <c r="O14350" s="247"/>
      <c r="AC14350" s="247"/>
      <c r="AT14350" s="247"/>
    </row>
    <row r="14351">
      <c r="C14351" s="277"/>
      <c r="M14351" s="277"/>
      <c r="O14351" s="247"/>
      <c r="AC14351" s="247"/>
      <c r="AT14351" s="247"/>
    </row>
    <row r="14352">
      <c r="C14352" s="277"/>
      <c r="M14352" s="277"/>
      <c r="O14352" s="247"/>
      <c r="AC14352" s="247"/>
      <c r="AT14352" s="247"/>
    </row>
    <row r="14353">
      <c r="C14353" s="277"/>
      <c r="M14353" s="277"/>
      <c r="O14353" s="247"/>
      <c r="AC14353" s="247"/>
      <c r="AT14353" s="247"/>
    </row>
    <row r="14354">
      <c r="C14354" s="277"/>
      <c r="M14354" s="277"/>
      <c r="O14354" s="247"/>
      <c r="AC14354" s="247"/>
      <c r="AT14354" s="247"/>
    </row>
    <row r="14355">
      <c r="C14355" s="277"/>
      <c r="M14355" s="277"/>
      <c r="O14355" s="247"/>
      <c r="AC14355" s="247"/>
      <c r="AT14355" s="247"/>
    </row>
    <row r="14356">
      <c r="C14356" s="277"/>
      <c r="M14356" s="277"/>
      <c r="O14356" s="247"/>
      <c r="AC14356" s="247"/>
      <c r="AT14356" s="247"/>
    </row>
    <row r="14357">
      <c r="C14357" s="277"/>
      <c r="M14357" s="277"/>
      <c r="O14357" s="247"/>
      <c r="AC14357" s="247"/>
      <c r="AT14357" s="247"/>
    </row>
    <row r="14358">
      <c r="C14358" s="277"/>
      <c r="M14358" s="277"/>
      <c r="O14358" s="247"/>
      <c r="AC14358" s="247"/>
      <c r="AT14358" s="247"/>
    </row>
    <row r="14359">
      <c r="C14359" s="277"/>
      <c r="M14359" s="277"/>
      <c r="O14359" s="247"/>
      <c r="AC14359" s="247"/>
      <c r="AT14359" s="247"/>
    </row>
    <row r="14360">
      <c r="C14360" s="277"/>
      <c r="M14360" s="277"/>
      <c r="O14360" s="247"/>
      <c r="AC14360" s="247"/>
      <c r="AT14360" s="247"/>
    </row>
    <row r="14361">
      <c r="C14361" s="277"/>
      <c r="M14361" s="277"/>
      <c r="O14361" s="247"/>
      <c r="AC14361" s="247"/>
      <c r="AT14361" s="247"/>
    </row>
    <row r="14362">
      <c r="C14362" s="277"/>
      <c r="M14362" s="277"/>
      <c r="O14362" s="247"/>
      <c r="AC14362" s="247"/>
      <c r="AT14362" s="247"/>
    </row>
    <row r="14363">
      <c r="C14363" s="277"/>
      <c r="M14363" s="277"/>
      <c r="O14363" s="247"/>
      <c r="AC14363" s="247"/>
      <c r="AT14363" s="247"/>
    </row>
    <row r="14364">
      <c r="C14364" s="277"/>
      <c r="M14364" s="277"/>
      <c r="O14364" s="247"/>
      <c r="AC14364" s="247"/>
      <c r="AT14364" s="247"/>
    </row>
    <row r="14365">
      <c r="C14365" s="277"/>
      <c r="M14365" s="277"/>
      <c r="O14365" s="247"/>
      <c r="AC14365" s="247"/>
      <c r="AT14365" s="247"/>
    </row>
    <row r="14366">
      <c r="C14366" s="277"/>
      <c r="M14366" s="277"/>
      <c r="O14366" s="247"/>
      <c r="AC14366" s="247"/>
      <c r="AT14366" s="247"/>
    </row>
    <row r="14367">
      <c r="C14367" s="277"/>
      <c r="M14367" s="277"/>
      <c r="O14367" s="247"/>
      <c r="AC14367" s="247"/>
      <c r="AT14367" s="247"/>
    </row>
    <row r="14368">
      <c r="C14368" s="277"/>
      <c r="M14368" s="277"/>
      <c r="O14368" s="247"/>
      <c r="AC14368" s="247"/>
      <c r="AT14368" s="247"/>
    </row>
    <row r="14369">
      <c r="C14369" s="277"/>
      <c r="M14369" s="277"/>
      <c r="O14369" s="247"/>
      <c r="AC14369" s="247"/>
      <c r="AT14369" s="247"/>
    </row>
    <row r="14370">
      <c r="C14370" s="277"/>
      <c r="M14370" s="277"/>
      <c r="O14370" s="247"/>
      <c r="AC14370" s="247"/>
      <c r="AT14370" s="247"/>
    </row>
    <row r="14371">
      <c r="C14371" s="277"/>
      <c r="M14371" s="277"/>
      <c r="O14371" s="247"/>
      <c r="AC14371" s="247"/>
      <c r="AT14371" s="247"/>
    </row>
    <row r="14372">
      <c r="C14372" s="277"/>
      <c r="M14372" s="277"/>
      <c r="O14372" s="247"/>
      <c r="AC14372" s="247"/>
      <c r="AT14372" s="247"/>
    </row>
    <row r="14373">
      <c r="C14373" s="277"/>
      <c r="M14373" s="277"/>
      <c r="O14373" s="247"/>
      <c r="AC14373" s="247"/>
      <c r="AT14373" s="247"/>
    </row>
    <row r="14374">
      <c r="C14374" s="277"/>
      <c r="M14374" s="277"/>
      <c r="O14374" s="247"/>
      <c r="AC14374" s="247"/>
      <c r="AT14374" s="247"/>
    </row>
    <row r="14375">
      <c r="C14375" s="277"/>
      <c r="M14375" s="277"/>
      <c r="O14375" s="247"/>
      <c r="AC14375" s="247"/>
      <c r="AT14375" s="247"/>
    </row>
    <row r="14376">
      <c r="C14376" s="277"/>
      <c r="M14376" s="277"/>
      <c r="O14376" s="247"/>
      <c r="AC14376" s="247"/>
      <c r="AT14376" s="247"/>
    </row>
    <row r="14377">
      <c r="C14377" s="277"/>
      <c r="M14377" s="277"/>
      <c r="O14377" s="247"/>
      <c r="AC14377" s="247"/>
      <c r="AT14377" s="247"/>
    </row>
    <row r="14378">
      <c r="C14378" s="277"/>
      <c r="M14378" s="277"/>
      <c r="O14378" s="247"/>
      <c r="AC14378" s="247"/>
      <c r="AT14378" s="247"/>
    </row>
    <row r="14379">
      <c r="C14379" s="277"/>
      <c r="M14379" s="277"/>
      <c r="O14379" s="247"/>
      <c r="AC14379" s="247"/>
      <c r="AT14379" s="247"/>
    </row>
    <row r="14380">
      <c r="C14380" s="277"/>
      <c r="M14380" s="277"/>
      <c r="O14380" s="247"/>
      <c r="AC14380" s="247"/>
      <c r="AT14380" s="247"/>
    </row>
    <row r="14381">
      <c r="C14381" s="277"/>
      <c r="M14381" s="277"/>
      <c r="O14381" s="247"/>
      <c r="AC14381" s="247"/>
      <c r="AT14381" s="247"/>
    </row>
    <row r="14382">
      <c r="C14382" s="277"/>
      <c r="M14382" s="277"/>
      <c r="O14382" s="247"/>
      <c r="AC14382" s="247"/>
      <c r="AT14382" s="247"/>
    </row>
    <row r="14383">
      <c r="C14383" s="277"/>
      <c r="M14383" s="277"/>
      <c r="O14383" s="247"/>
      <c r="AC14383" s="247"/>
      <c r="AT14383" s="247"/>
    </row>
    <row r="14384">
      <c r="C14384" s="277"/>
      <c r="M14384" s="277"/>
      <c r="O14384" s="247"/>
      <c r="AC14384" s="247"/>
      <c r="AT14384" s="247"/>
    </row>
    <row r="14385">
      <c r="C14385" s="277"/>
      <c r="M14385" s="277"/>
      <c r="O14385" s="247"/>
      <c r="AC14385" s="247"/>
      <c r="AT14385" s="247"/>
    </row>
    <row r="14386">
      <c r="C14386" s="277"/>
      <c r="M14386" s="277"/>
      <c r="O14386" s="247"/>
      <c r="AC14386" s="247"/>
      <c r="AT14386" s="247"/>
    </row>
    <row r="14387">
      <c r="C14387" s="277"/>
      <c r="M14387" s="277"/>
      <c r="O14387" s="247"/>
      <c r="AC14387" s="247"/>
      <c r="AT14387" s="247"/>
    </row>
    <row r="14388">
      <c r="C14388" s="277"/>
      <c r="M14388" s="277"/>
      <c r="O14388" s="247"/>
      <c r="AC14388" s="247"/>
      <c r="AT14388" s="247"/>
    </row>
    <row r="14389">
      <c r="C14389" s="277"/>
      <c r="M14389" s="277"/>
      <c r="O14389" s="247"/>
      <c r="AC14389" s="247"/>
      <c r="AT14389" s="247"/>
    </row>
    <row r="14390">
      <c r="C14390" s="277"/>
      <c r="M14390" s="277"/>
      <c r="O14390" s="247"/>
      <c r="AC14390" s="247"/>
      <c r="AT14390" s="247"/>
    </row>
    <row r="14391">
      <c r="C14391" s="277"/>
      <c r="M14391" s="277"/>
      <c r="O14391" s="247"/>
      <c r="AC14391" s="247"/>
      <c r="AT14391" s="247"/>
    </row>
    <row r="14392">
      <c r="C14392" s="277"/>
      <c r="M14392" s="277"/>
      <c r="O14392" s="247"/>
      <c r="AC14392" s="247"/>
      <c r="AT14392" s="247"/>
    </row>
    <row r="14393">
      <c r="C14393" s="277"/>
      <c r="M14393" s="277"/>
      <c r="O14393" s="247"/>
      <c r="AC14393" s="247"/>
      <c r="AT14393" s="247"/>
    </row>
    <row r="14394">
      <c r="C14394" s="277"/>
      <c r="M14394" s="277"/>
      <c r="O14394" s="247"/>
      <c r="AC14394" s="247"/>
      <c r="AT14394" s="247"/>
    </row>
    <row r="14395">
      <c r="C14395" s="277"/>
      <c r="M14395" s="277"/>
      <c r="O14395" s="247"/>
      <c r="AC14395" s="247"/>
      <c r="AT14395" s="247"/>
    </row>
    <row r="14396">
      <c r="C14396" s="277"/>
      <c r="M14396" s="277"/>
      <c r="O14396" s="247"/>
      <c r="AC14396" s="247"/>
      <c r="AT14396" s="247"/>
    </row>
    <row r="14397">
      <c r="C14397" s="277"/>
      <c r="M14397" s="277"/>
      <c r="O14397" s="247"/>
      <c r="AC14397" s="247"/>
      <c r="AT14397" s="247"/>
    </row>
    <row r="14398">
      <c r="C14398" s="277"/>
      <c r="M14398" s="277"/>
      <c r="O14398" s="247"/>
      <c r="AC14398" s="247"/>
      <c r="AT14398" s="247"/>
    </row>
    <row r="14399">
      <c r="C14399" s="278"/>
      <c r="M14399" s="277"/>
      <c r="O14399" s="247"/>
      <c r="AC14399" s="247"/>
      <c r="AT14399" s="247"/>
    </row>
    <row r="14400">
      <c r="C14400" s="278"/>
      <c r="M14400" s="277"/>
      <c r="O14400" s="247"/>
      <c r="AC14400" s="247"/>
      <c r="AT14400" s="247"/>
    </row>
    <row r="14401">
      <c r="C14401" s="278"/>
      <c r="M14401" s="277"/>
      <c r="O14401" s="247"/>
      <c r="AC14401" s="247"/>
      <c r="AT14401" s="247"/>
    </row>
    <row r="14402">
      <c r="C14402" s="278"/>
      <c r="M14402" s="277"/>
      <c r="O14402" s="247"/>
      <c r="AC14402" s="247"/>
      <c r="AT14402" s="247"/>
    </row>
    <row r="14403">
      <c r="C14403" s="278"/>
      <c r="M14403" s="277"/>
      <c r="O14403" s="247"/>
      <c r="AC14403" s="247"/>
      <c r="AT14403" s="247"/>
    </row>
    <row r="14404">
      <c r="C14404" s="278"/>
      <c r="M14404" s="277"/>
      <c r="O14404" s="247"/>
      <c r="AC14404" s="247"/>
      <c r="AT14404" s="247"/>
    </row>
    <row r="14405">
      <c r="C14405" s="278"/>
      <c r="M14405" s="277"/>
      <c r="O14405" s="247"/>
      <c r="AC14405" s="247"/>
      <c r="AT14405" s="247"/>
    </row>
    <row r="14406">
      <c r="C14406" s="278"/>
      <c r="M14406" s="277"/>
      <c r="O14406" s="247"/>
      <c r="AC14406" s="247"/>
      <c r="AT14406" s="247"/>
    </row>
    <row r="14407">
      <c r="C14407" s="278"/>
      <c r="M14407" s="277"/>
      <c r="O14407" s="247"/>
      <c r="AC14407" s="247"/>
      <c r="AT14407" s="247"/>
    </row>
    <row r="14408">
      <c r="C14408" s="278"/>
      <c r="M14408" s="277"/>
      <c r="O14408" s="247"/>
      <c r="AC14408" s="247"/>
      <c r="AT14408" s="247"/>
    </row>
    <row r="14409">
      <c r="C14409" s="278"/>
      <c r="M14409" s="277"/>
      <c r="O14409" s="247"/>
      <c r="AC14409" s="247"/>
      <c r="AT14409" s="247"/>
    </row>
    <row r="14410">
      <c r="C14410" s="278"/>
      <c r="M14410" s="277"/>
      <c r="O14410" s="247"/>
      <c r="AC14410" s="247"/>
      <c r="AT14410" s="247"/>
    </row>
    <row r="14411">
      <c r="C14411" s="278"/>
      <c r="M14411" s="277"/>
      <c r="O14411" s="247"/>
      <c r="AC14411" s="247"/>
      <c r="AT14411" s="247"/>
    </row>
    <row r="14412">
      <c r="C14412" s="278"/>
      <c r="M14412" s="277"/>
      <c r="O14412" s="247"/>
      <c r="AC14412" s="247"/>
      <c r="AT14412" s="247"/>
    </row>
    <row r="14413">
      <c r="C14413" s="278"/>
      <c r="M14413" s="277"/>
      <c r="O14413" s="247"/>
      <c r="AC14413" s="247"/>
      <c r="AT14413" s="247"/>
    </row>
    <row r="14414">
      <c r="C14414" s="278"/>
      <c r="M14414" s="277"/>
      <c r="O14414" s="247"/>
      <c r="AC14414" s="247"/>
      <c r="AT14414" s="247"/>
    </row>
    <row r="14415">
      <c r="C14415" s="278"/>
      <c r="M14415" s="277"/>
      <c r="O14415" s="247"/>
      <c r="AC14415" s="247"/>
      <c r="AT14415" s="247"/>
    </row>
    <row r="14416">
      <c r="C14416" s="278"/>
      <c r="M14416" s="277"/>
      <c r="O14416" s="247"/>
      <c r="AC14416" s="247"/>
      <c r="AT14416" s="247"/>
    </row>
    <row r="14417">
      <c r="C14417" s="278"/>
      <c r="M14417" s="277"/>
      <c r="O14417" s="247"/>
      <c r="AC14417" s="247"/>
      <c r="AT14417" s="247"/>
    </row>
    <row r="14418">
      <c r="C14418" s="278"/>
      <c r="M14418" s="277"/>
      <c r="O14418" s="247"/>
      <c r="AC14418" s="247"/>
      <c r="AT14418" s="247"/>
    </row>
    <row r="14419">
      <c r="C14419" s="278"/>
      <c r="M14419" s="277"/>
      <c r="O14419" s="247"/>
      <c r="AC14419" s="247"/>
      <c r="AT14419" s="247"/>
    </row>
    <row r="14420">
      <c r="C14420" s="278"/>
      <c r="M14420" s="277"/>
      <c r="O14420" s="247"/>
      <c r="AC14420" s="247"/>
      <c r="AT14420" s="247"/>
    </row>
    <row r="14421">
      <c r="C14421" s="278"/>
      <c r="M14421" s="277"/>
      <c r="O14421" s="247"/>
      <c r="AC14421" s="247"/>
      <c r="AT14421" s="247"/>
    </row>
    <row r="14422">
      <c r="C14422" s="278"/>
      <c r="M14422" s="277"/>
      <c r="O14422" s="247"/>
      <c r="AC14422" s="247"/>
      <c r="AT14422" s="247"/>
    </row>
    <row r="14423">
      <c r="C14423" s="278"/>
      <c r="M14423" s="277"/>
      <c r="O14423" s="247"/>
      <c r="AC14423" s="247"/>
      <c r="AT14423" s="247"/>
    </row>
    <row r="14424">
      <c r="C14424" s="278"/>
      <c r="M14424" s="277"/>
      <c r="O14424" s="247"/>
      <c r="AC14424" s="247"/>
      <c r="AT14424" s="247"/>
    </row>
    <row r="14425">
      <c r="C14425" s="278"/>
      <c r="M14425" s="277"/>
      <c r="O14425" s="247"/>
      <c r="AC14425" s="247"/>
      <c r="AT14425" s="247"/>
    </row>
    <row r="14426">
      <c r="C14426" s="278"/>
      <c r="M14426" s="277"/>
      <c r="O14426" s="247"/>
      <c r="AC14426" s="247"/>
      <c r="AT14426" s="247"/>
    </row>
    <row r="14427">
      <c r="C14427" s="278"/>
      <c r="M14427" s="277"/>
      <c r="O14427" s="247"/>
      <c r="AC14427" s="247"/>
      <c r="AT14427" s="247"/>
    </row>
    <row r="14428">
      <c r="C14428" s="278"/>
      <c r="M14428" s="277"/>
      <c r="O14428" s="247"/>
      <c r="AC14428" s="247"/>
      <c r="AT14428" s="247"/>
    </row>
    <row r="14429">
      <c r="C14429" s="278"/>
      <c r="M14429" s="277"/>
      <c r="O14429" s="247"/>
      <c r="AC14429" s="247"/>
      <c r="AT14429" s="247"/>
    </row>
    <row r="14430">
      <c r="C14430" s="278"/>
      <c r="M14430" s="277"/>
      <c r="O14430" s="247"/>
      <c r="AC14430" s="247"/>
      <c r="AT14430" s="247"/>
    </row>
    <row r="14431">
      <c r="C14431" s="278"/>
      <c r="M14431" s="277"/>
      <c r="O14431" s="247"/>
      <c r="AC14431" s="247"/>
      <c r="AT14431" s="247"/>
    </row>
    <row r="14432">
      <c r="C14432" s="278"/>
      <c r="M14432" s="277"/>
      <c r="O14432" s="247"/>
      <c r="AC14432" s="247"/>
      <c r="AT14432" s="247"/>
    </row>
    <row r="14433">
      <c r="C14433" s="278"/>
      <c r="M14433" s="277"/>
      <c r="O14433" s="247"/>
      <c r="AC14433" s="247"/>
      <c r="AT14433" s="247"/>
    </row>
    <row r="14434">
      <c r="C14434" s="278"/>
      <c r="M14434" s="277"/>
      <c r="O14434" s="247"/>
      <c r="AC14434" s="247"/>
      <c r="AT14434" s="247"/>
    </row>
    <row r="14435">
      <c r="C14435" s="278"/>
      <c r="M14435" s="277"/>
      <c r="O14435" s="247"/>
      <c r="AC14435" s="247"/>
      <c r="AT14435" s="247"/>
    </row>
    <row r="14436">
      <c r="C14436" s="278"/>
      <c r="M14436" s="277"/>
      <c r="O14436" s="247"/>
      <c r="AC14436" s="247"/>
      <c r="AT14436" s="247"/>
    </row>
    <row r="14437">
      <c r="C14437" s="278"/>
      <c r="M14437" s="277"/>
      <c r="O14437" s="247"/>
      <c r="AC14437" s="247"/>
      <c r="AT14437" s="247"/>
    </row>
    <row r="14438">
      <c r="C14438" s="278"/>
      <c r="M14438" s="277"/>
      <c r="O14438" s="247"/>
      <c r="AC14438" s="247"/>
      <c r="AT14438" s="247"/>
    </row>
    <row r="14439">
      <c r="C14439" s="278"/>
      <c r="M14439" s="277"/>
      <c r="O14439" s="247"/>
      <c r="AC14439" s="247"/>
      <c r="AT14439" s="247"/>
    </row>
    <row r="14440">
      <c r="C14440" s="278"/>
      <c r="M14440" s="277"/>
      <c r="O14440" s="247"/>
      <c r="AC14440" s="247"/>
      <c r="AT14440" s="247"/>
    </row>
    <row r="14441">
      <c r="C14441" s="278"/>
      <c r="M14441" s="277"/>
      <c r="O14441" s="247"/>
      <c r="AC14441" s="247"/>
      <c r="AT14441" s="247"/>
    </row>
    <row r="14442">
      <c r="C14442" s="278"/>
      <c r="M14442" s="277"/>
      <c r="O14442" s="247"/>
      <c r="AC14442" s="247"/>
      <c r="AT14442" s="247"/>
    </row>
    <row r="14443">
      <c r="C14443" s="278"/>
      <c r="M14443" s="277"/>
      <c r="O14443" s="247"/>
      <c r="AC14443" s="247"/>
      <c r="AT14443" s="247"/>
    </row>
    <row r="14444">
      <c r="C14444" s="278"/>
      <c r="M14444" s="277"/>
      <c r="O14444" s="247"/>
      <c r="AC14444" s="247"/>
      <c r="AT14444" s="247"/>
    </row>
    <row r="14445">
      <c r="C14445" s="278"/>
      <c r="M14445" s="277"/>
      <c r="O14445" s="247"/>
      <c r="AC14445" s="247"/>
      <c r="AT14445" s="247"/>
    </row>
    <row r="14446">
      <c r="C14446" s="278"/>
      <c r="M14446" s="277"/>
      <c r="O14446" s="247"/>
      <c r="AC14446" s="247"/>
      <c r="AT14446" s="247"/>
    </row>
    <row r="14447">
      <c r="C14447" s="278"/>
      <c r="M14447" s="277"/>
      <c r="O14447" s="247"/>
      <c r="AC14447" s="247"/>
      <c r="AT14447" s="247"/>
    </row>
    <row r="14448">
      <c r="C14448" s="278"/>
      <c r="M14448" s="277"/>
      <c r="O14448" s="247"/>
      <c r="AC14448" s="247"/>
      <c r="AT14448" s="247"/>
    </row>
    <row r="14449">
      <c r="C14449" s="278"/>
      <c r="M14449" s="277"/>
      <c r="O14449" s="247"/>
      <c r="AC14449" s="247"/>
      <c r="AT14449" s="247"/>
    </row>
    <row r="14450">
      <c r="C14450" s="278"/>
      <c r="M14450" s="277"/>
      <c r="O14450" s="247"/>
      <c r="AC14450" s="247"/>
      <c r="AT14450" s="247"/>
    </row>
    <row r="14451">
      <c r="C14451" s="278"/>
      <c r="M14451" s="277"/>
      <c r="O14451" s="247"/>
      <c r="AC14451" s="247"/>
      <c r="AT14451" s="247"/>
    </row>
    <row r="14452">
      <c r="C14452" s="278"/>
      <c r="M14452" s="277"/>
      <c r="O14452" s="247"/>
      <c r="AC14452" s="247"/>
      <c r="AT14452" s="247"/>
    </row>
    <row r="14453">
      <c r="C14453" s="278"/>
      <c r="M14453" s="277"/>
      <c r="O14453" s="247"/>
      <c r="AC14453" s="247"/>
      <c r="AT14453" s="247"/>
    </row>
    <row r="14454">
      <c r="C14454" s="278"/>
      <c r="M14454" s="277"/>
      <c r="O14454" s="247"/>
      <c r="AC14454" s="247"/>
      <c r="AT14454" s="247"/>
    </row>
    <row r="14455">
      <c r="C14455" s="278"/>
      <c r="M14455" s="277"/>
      <c r="O14455" s="247"/>
      <c r="AC14455" s="247"/>
      <c r="AT14455" s="247"/>
    </row>
    <row r="14456">
      <c r="C14456" s="278"/>
      <c r="M14456" s="277"/>
      <c r="O14456" s="247"/>
      <c r="AC14456" s="247"/>
      <c r="AT14456" s="247"/>
    </row>
    <row r="14457">
      <c r="C14457" s="278"/>
      <c r="M14457" s="277"/>
      <c r="O14457" s="247"/>
      <c r="AC14457" s="247"/>
      <c r="AT14457" s="247"/>
    </row>
    <row r="14458">
      <c r="C14458" s="278"/>
      <c r="M14458" s="277"/>
      <c r="O14458" s="247"/>
      <c r="AC14458" s="247"/>
      <c r="AT14458" s="247"/>
    </row>
    <row r="14459">
      <c r="C14459" s="278"/>
      <c r="M14459" s="277"/>
      <c r="O14459" s="247"/>
      <c r="AC14459" s="247"/>
      <c r="AT14459" s="247"/>
    </row>
    <row r="14460">
      <c r="C14460" s="278"/>
      <c r="M14460" s="277"/>
      <c r="O14460" s="247"/>
      <c r="AC14460" s="247"/>
      <c r="AT14460" s="247"/>
    </row>
    <row r="14461">
      <c r="C14461" s="278"/>
      <c r="M14461" s="277"/>
      <c r="O14461" s="247"/>
      <c r="AC14461" s="247"/>
      <c r="AT14461" s="247"/>
    </row>
    <row r="14462">
      <c r="C14462" s="278"/>
      <c r="M14462" s="277"/>
      <c r="O14462" s="247"/>
      <c r="AC14462" s="247"/>
      <c r="AT14462" s="247"/>
    </row>
    <row r="14463">
      <c r="C14463" s="278"/>
      <c r="M14463" s="277"/>
      <c r="O14463" s="247"/>
      <c r="AC14463" s="247"/>
      <c r="AT14463" s="247"/>
    </row>
    <row r="14464">
      <c r="C14464" s="278"/>
      <c r="M14464" s="277"/>
      <c r="O14464" s="247"/>
      <c r="AC14464" s="247"/>
      <c r="AT14464" s="247"/>
    </row>
    <row r="14465">
      <c r="C14465" s="278"/>
      <c r="M14465" s="277"/>
      <c r="O14465" s="247"/>
      <c r="AC14465" s="247"/>
      <c r="AT14465" s="247"/>
    </row>
    <row r="14466">
      <c r="C14466" s="278"/>
      <c r="M14466" s="277"/>
      <c r="O14466" s="247"/>
      <c r="AC14466" s="247"/>
      <c r="AT14466" s="247"/>
    </row>
    <row r="14467">
      <c r="C14467" s="278"/>
      <c r="M14467" s="277"/>
      <c r="O14467" s="247"/>
      <c r="AC14467" s="247"/>
      <c r="AT14467" s="247"/>
    </row>
    <row r="14468">
      <c r="C14468" s="278"/>
      <c r="M14468" s="277"/>
      <c r="O14468" s="247"/>
      <c r="AC14468" s="247"/>
      <c r="AT14468" s="247"/>
    </row>
    <row r="14469">
      <c r="C14469" s="278"/>
      <c r="M14469" s="277"/>
      <c r="O14469" s="247"/>
      <c r="AC14469" s="247"/>
      <c r="AT14469" s="247"/>
    </row>
    <row r="14470">
      <c r="C14470" s="278"/>
      <c r="M14470" s="277"/>
      <c r="O14470" s="247"/>
      <c r="AC14470" s="247"/>
      <c r="AT14470" s="247"/>
    </row>
    <row r="14471">
      <c r="C14471" s="278"/>
      <c r="M14471" s="277"/>
      <c r="O14471" s="247"/>
      <c r="AC14471" s="247"/>
      <c r="AT14471" s="247"/>
    </row>
    <row r="14472">
      <c r="C14472" s="278"/>
      <c r="M14472" s="277"/>
      <c r="O14472" s="247"/>
      <c r="AC14472" s="247"/>
      <c r="AT14472" s="247"/>
    </row>
    <row r="14473">
      <c r="C14473" s="278"/>
      <c r="M14473" s="277"/>
      <c r="O14473" s="247"/>
      <c r="AC14473" s="247"/>
      <c r="AT14473" s="247"/>
    </row>
    <row r="14474">
      <c r="C14474" s="278"/>
      <c r="M14474" s="277"/>
      <c r="O14474" s="247"/>
      <c r="AC14474" s="247"/>
      <c r="AT14474" s="247"/>
    </row>
    <row r="14475">
      <c r="C14475" s="278"/>
      <c r="M14475" s="277"/>
      <c r="O14475" s="247"/>
      <c r="AC14475" s="247"/>
      <c r="AT14475" s="247"/>
    </row>
    <row r="14476">
      <c r="C14476" s="278"/>
      <c r="M14476" s="277"/>
      <c r="O14476" s="247"/>
      <c r="AC14476" s="247"/>
      <c r="AT14476" s="247"/>
    </row>
    <row r="14477">
      <c r="C14477" s="278"/>
      <c r="M14477" s="277"/>
      <c r="O14477" s="247"/>
      <c r="AC14477" s="247"/>
      <c r="AT14477" s="247"/>
    </row>
    <row r="14478">
      <c r="C14478" s="278"/>
      <c r="M14478" s="277"/>
      <c r="O14478" s="247"/>
      <c r="AC14478" s="247"/>
      <c r="AT14478" s="247"/>
    </row>
    <row r="14479">
      <c r="C14479" s="278"/>
      <c r="M14479" s="277"/>
      <c r="O14479" s="247"/>
      <c r="AC14479" s="247"/>
      <c r="AT14479" s="247"/>
    </row>
    <row r="14480">
      <c r="C14480" s="278"/>
      <c r="M14480" s="277"/>
      <c r="O14480" s="247"/>
      <c r="AC14480" s="247"/>
      <c r="AT14480" s="247"/>
    </row>
    <row r="14481">
      <c r="C14481" s="278"/>
      <c r="M14481" s="277"/>
      <c r="O14481" s="247"/>
      <c r="AC14481" s="247"/>
      <c r="AT14481" s="247"/>
    </row>
    <row r="14482">
      <c r="C14482" s="278"/>
      <c r="M14482" s="277"/>
      <c r="O14482" s="247"/>
      <c r="AC14482" s="247"/>
      <c r="AT14482" s="247"/>
    </row>
    <row r="14483">
      <c r="C14483" s="278"/>
      <c r="M14483" s="277"/>
      <c r="O14483" s="247"/>
      <c r="AC14483" s="247"/>
      <c r="AT14483" s="247"/>
    </row>
    <row r="14484">
      <c r="C14484" s="278"/>
      <c r="M14484" s="277"/>
      <c r="O14484" s="247"/>
      <c r="AC14484" s="247"/>
      <c r="AT14484" s="247"/>
    </row>
    <row r="14485">
      <c r="C14485" s="278"/>
      <c r="M14485" s="277"/>
      <c r="O14485" s="247"/>
      <c r="AC14485" s="247"/>
      <c r="AT14485" s="247"/>
    </row>
    <row r="14486">
      <c r="C14486" s="278"/>
      <c r="M14486" s="277"/>
      <c r="O14486" s="247"/>
      <c r="AC14486" s="247"/>
      <c r="AT14486" s="247"/>
    </row>
    <row r="14487">
      <c r="C14487" s="278"/>
      <c r="M14487" s="277"/>
      <c r="O14487" s="247"/>
      <c r="AC14487" s="247"/>
      <c r="AT14487" s="247"/>
    </row>
    <row r="14488">
      <c r="C14488" s="278"/>
      <c r="M14488" s="277"/>
      <c r="O14488" s="247"/>
      <c r="AC14488" s="247"/>
      <c r="AT14488" s="247"/>
    </row>
    <row r="14489">
      <c r="C14489" s="278"/>
      <c r="M14489" s="277"/>
      <c r="O14489" s="247"/>
      <c r="AC14489" s="247"/>
      <c r="AT14489" s="247"/>
    </row>
    <row r="14490">
      <c r="C14490" s="278"/>
      <c r="M14490" s="277"/>
      <c r="O14490" s="247"/>
      <c r="AC14490" s="247"/>
      <c r="AT14490" s="247"/>
    </row>
    <row r="14491">
      <c r="C14491" s="278"/>
      <c r="M14491" s="277"/>
      <c r="O14491" s="247"/>
      <c r="AC14491" s="247"/>
      <c r="AT14491" s="247"/>
    </row>
    <row r="14492">
      <c r="C14492" s="278"/>
      <c r="M14492" s="277"/>
      <c r="O14492" s="247"/>
      <c r="AC14492" s="247"/>
      <c r="AT14492" s="247"/>
    </row>
    <row r="14493">
      <c r="C14493" s="278"/>
      <c r="M14493" s="277"/>
      <c r="O14493" s="247"/>
      <c r="AC14493" s="247"/>
      <c r="AT14493" s="247"/>
    </row>
    <row r="14494">
      <c r="C14494" s="278"/>
      <c r="M14494" s="277"/>
      <c r="O14494" s="247"/>
      <c r="AC14494" s="247"/>
      <c r="AT14494" s="247"/>
    </row>
    <row r="14495">
      <c r="C14495" s="278"/>
      <c r="M14495" s="277"/>
      <c r="O14495" s="247"/>
      <c r="AC14495" s="247"/>
      <c r="AT14495" s="247"/>
    </row>
    <row r="14496">
      <c r="C14496" s="278"/>
      <c r="M14496" s="277"/>
      <c r="O14496" s="247"/>
      <c r="AC14496" s="247"/>
      <c r="AT14496" s="247"/>
    </row>
    <row r="14497">
      <c r="C14497" s="278"/>
      <c r="M14497" s="277"/>
      <c r="O14497" s="247"/>
      <c r="AC14497" s="247"/>
      <c r="AT14497" s="247"/>
    </row>
    <row r="14498">
      <c r="C14498" s="278"/>
      <c r="M14498" s="277"/>
      <c r="O14498" s="247"/>
      <c r="AC14498" s="247"/>
      <c r="AT14498" s="247"/>
    </row>
    <row r="14499">
      <c r="C14499" s="278"/>
      <c r="M14499" s="277"/>
      <c r="O14499" s="247"/>
      <c r="AC14499" s="247"/>
      <c r="AT14499" s="247"/>
    </row>
    <row r="14500">
      <c r="C14500" s="278"/>
      <c r="M14500" s="277"/>
      <c r="O14500" s="247"/>
      <c r="AC14500" s="247"/>
      <c r="AT14500" s="247"/>
    </row>
    <row r="14501">
      <c r="C14501" s="278"/>
      <c r="M14501" s="277"/>
      <c r="O14501" s="247"/>
      <c r="AC14501" s="247"/>
      <c r="AT14501" s="247"/>
    </row>
    <row r="14502">
      <c r="C14502" s="278"/>
      <c r="M14502" s="277"/>
      <c r="O14502" s="247"/>
      <c r="AC14502" s="247"/>
      <c r="AT14502" s="247"/>
    </row>
    <row r="14503">
      <c r="C14503" s="278"/>
      <c r="M14503" s="277"/>
      <c r="O14503" s="247"/>
      <c r="AC14503" s="247"/>
      <c r="AT14503" s="247"/>
    </row>
    <row r="14504">
      <c r="C14504" s="278"/>
      <c r="M14504" s="277"/>
      <c r="O14504" s="247"/>
      <c r="AC14504" s="247"/>
      <c r="AT14504" s="247"/>
    </row>
    <row r="14505">
      <c r="C14505" s="278"/>
      <c r="M14505" s="277"/>
      <c r="O14505" s="247"/>
      <c r="AC14505" s="247"/>
      <c r="AT14505" s="247"/>
    </row>
    <row r="14506">
      <c r="C14506" s="278"/>
      <c r="M14506" s="277"/>
      <c r="O14506" s="247"/>
      <c r="AC14506" s="247"/>
      <c r="AT14506" s="247"/>
    </row>
    <row r="14507">
      <c r="C14507" s="278"/>
      <c r="M14507" s="277"/>
      <c r="O14507" s="247"/>
      <c r="AC14507" s="247"/>
      <c r="AT14507" s="247"/>
    </row>
    <row r="14508">
      <c r="C14508" s="278"/>
      <c r="M14508" s="277"/>
      <c r="O14508" s="247"/>
      <c r="AC14508" s="247"/>
      <c r="AT14508" s="247"/>
    </row>
    <row r="14509">
      <c r="C14509" s="278"/>
      <c r="M14509" s="277"/>
      <c r="O14509" s="247"/>
      <c r="AC14509" s="247"/>
      <c r="AT14509" s="247"/>
    </row>
    <row r="14510">
      <c r="C14510" s="278"/>
      <c r="M14510" s="277"/>
      <c r="O14510" s="247"/>
      <c r="AC14510" s="247"/>
      <c r="AT14510" s="247"/>
    </row>
    <row r="14511">
      <c r="C14511" s="278"/>
      <c r="M14511" s="277"/>
      <c r="O14511" s="247"/>
      <c r="AC14511" s="247"/>
      <c r="AT14511" s="247"/>
    </row>
    <row r="14512">
      <c r="C14512" s="278"/>
      <c r="M14512" s="277"/>
      <c r="O14512" s="247"/>
      <c r="AC14512" s="247"/>
      <c r="AT14512" s="247"/>
    </row>
    <row r="14513">
      <c r="C14513" s="278"/>
      <c r="M14513" s="277"/>
      <c r="O14513" s="247"/>
      <c r="AC14513" s="247"/>
      <c r="AT14513" s="247"/>
    </row>
    <row r="14514">
      <c r="C14514" s="278"/>
      <c r="M14514" s="277"/>
      <c r="O14514" s="247"/>
      <c r="AC14514" s="247"/>
      <c r="AT14514" s="247"/>
    </row>
    <row r="14515">
      <c r="C14515" s="278"/>
      <c r="M14515" s="277"/>
      <c r="O14515" s="247"/>
      <c r="AC14515" s="247"/>
      <c r="AT14515" s="247"/>
    </row>
    <row r="14516">
      <c r="C14516" s="278"/>
      <c r="M14516" s="277"/>
      <c r="O14516" s="247"/>
      <c r="AC14516" s="247"/>
      <c r="AT14516" s="247"/>
    </row>
    <row r="14517">
      <c r="C14517" s="278"/>
      <c r="M14517" s="277"/>
      <c r="O14517" s="247"/>
      <c r="AC14517" s="247"/>
      <c r="AT14517" s="247"/>
    </row>
    <row r="14518">
      <c r="C14518" s="278"/>
      <c r="M14518" s="277"/>
      <c r="O14518" s="247"/>
      <c r="AC14518" s="247"/>
      <c r="AT14518" s="247"/>
    </row>
    <row r="14519">
      <c r="C14519" s="278"/>
      <c r="M14519" s="277"/>
      <c r="O14519" s="247"/>
      <c r="AC14519" s="247"/>
      <c r="AT14519" s="247"/>
    </row>
    <row r="14520">
      <c r="C14520" s="278"/>
      <c r="M14520" s="277"/>
      <c r="O14520" s="247"/>
      <c r="AC14520" s="247"/>
      <c r="AT14520" s="247"/>
    </row>
    <row r="14521">
      <c r="C14521" s="278"/>
      <c r="M14521" s="277"/>
      <c r="O14521" s="247"/>
      <c r="AC14521" s="247"/>
      <c r="AT14521" s="247"/>
    </row>
    <row r="14522">
      <c r="C14522" s="278"/>
      <c r="M14522" s="277"/>
      <c r="O14522" s="247"/>
      <c r="AC14522" s="247"/>
      <c r="AT14522" s="247"/>
    </row>
    <row r="14523">
      <c r="C14523" s="278"/>
      <c r="M14523" s="277"/>
      <c r="O14523" s="247"/>
      <c r="AC14523" s="247"/>
      <c r="AT14523" s="247"/>
    </row>
    <row r="14524">
      <c r="C14524" s="278"/>
      <c r="M14524" s="277"/>
      <c r="O14524" s="247"/>
      <c r="AC14524" s="247"/>
      <c r="AT14524" s="247"/>
    </row>
    <row r="14525">
      <c r="C14525" s="278"/>
      <c r="M14525" s="277"/>
      <c r="O14525" s="247"/>
      <c r="AC14525" s="247"/>
      <c r="AT14525" s="247"/>
    </row>
    <row r="14526">
      <c r="C14526" s="278"/>
      <c r="M14526" s="277"/>
      <c r="O14526" s="247"/>
      <c r="AC14526" s="247"/>
      <c r="AT14526" s="247"/>
    </row>
    <row r="14527">
      <c r="C14527" s="278"/>
      <c r="M14527" s="277"/>
      <c r="O14527" s="247"/>
      <c r="AC14527" s="247"/>
      <c r="AT14527" s="247"/>
    </row>
    <row r="14528">
      <c r="C14528" s="278"/>
      <c r="M14528" s="277"/>
      <c r="O14528" s="247"/>
      <c r="AC14528" s="247"/>
      <c r="AT14528" s="247"/>
    </row>
    <row r="14529">
      <c r="C14529" s="278"/>
      <c r="M14529" s="277"/>
      <c r="O14529" s="247"/>
      <c r="AC14529" s="247"/>
      <c r="AT14529" s="247"/>
    </row>
    <row r="14530">
      <c r="C14530" s="278"/>
      <c r="M14530" s="277"/>
      <c r="O14530" s="247"/>
      <c r="AC14530" s="247"/>
      <c r="AT14530" s="247"/>
    </row>
    <row r="14531">
      <c r="C14531" s="278"/>
      <c r="M14531" s="278"/>
      <c r="O14531" s="247"/>
      <c r="AC14531" s="247"/>
      <c r="AT14531" s="247"/>
    </row>
    <row r="14532">
      <c r="C14532" s="278"/>
      <c r="M14532" s="278"/>
      <c r="O14532" s="247"/>
      <c r="AC14532" s="247"/>
      <c r="AT14532" s="247"/>
    </row>
    <row r="14533">
      <c r="C14533" s="278"/>
      <c r="M14533" s="278"/>
      <c r="O14533" s="247"/>
      <c r="AC14533" s="247"/>
      <c r="AT14533" s="247"/>
    </row>
    <row r="14534">
      <c r="C14534" s="278"/>
      <c r="M14534" s="278"/>
      <c r="O14534" s="247"/>
      <c r="AC14534" s="247"/>
      <c r="AT14534" s="247"/>
    </row>
    <row r="14535">
      <c r="C14535" s="278"/>
      <c r="M14535" s="278"/>
      <c r="O14535" s="247"/>
      <c r="AC14535" s="247"/>
      <c r="AT14535" s="247"/>
    </row>
    <row r="14536">
      <c r="C14536" s="278"/>
      <c r="M14536" s="278"/>
      <c r="O14536" s="247"/>
      <c r="AC14536" s="247"/>
      <c r="AT14536" s="247"/>
    </row>
    <row r="14537">
      <c r="C14537" s="278"/>
      <c r="M14537" s="278"/>
      <c r="O14537" s="247"/>
      <c r="AC14537" s="247"/>
      <c r="AT14537" s="247"/>
    </row>
    <row r="14538">
      <c r="C14538" s="278"/>
      <c r="M14538" s="278"/>
      <c r="O14538" s="247"/>
      <c r="AC14538" s="247"/>
      <c r="AT14538" s="247"/>
    </row>
    <row r="14539">
      <c r="C14539" s="278"/>
      <c r="M14539" s="278"/>
      <c r="O14539" s="247"/>
      <c r="AC14539" s="247"/>
      <c r="AT14539" s="247"/>
    </row>
    <row r="14540">
      <c r="C14540" s="278"/>
      <c r="M14540" s="278"/>
      <c r="O14540" s="247"/>
      <c r="AC14540" s="247"/>
      <c r="AT14540" s="247"/>
    </row>
    <row r="14541">
      <c r="C14541" s="278"/>
      <c r="M14541" s="278"/>
      <c r="O14541" s="247"/>
      <c r="AC14541" s="247"/>
      <c r="AT14541" s="247"/>
    </row>
    <row r="14542">
      <c r="C14542" s="278"/>
      <c r="M14542" s="278"/>
      <c r="O14542" s="247"/>
      <c r="AC14542" s="247"/>
      <c r="AT14542" s="247"/>
    </row>
    <row r="14543">
      <c r="C14543" s="278"/>
      <c r="M14543" s="278"/>
      <c r="O14543" s="247"/>
      <c r="AC14543" s="247"/>
      <c r="AT14543" s="247"/>
    </row>
    <row r="14544">
      <c r="C14544" s="278"/>
      <c r="M14544" s="278"/>
      <c r="O14544" s="247"/>
      <c r="AC14544" s="247"/>
      <c r="AT14544" s="247"/>
    </row>
    <row r="14545">
      <c r="C14545" s="278"/>
      <c r="M14545" s="278"/>
      <c r="O14545" s="247"/>
      <c r="AC14545" s="247"/>
      <c r="AT14545" s="247"/>
    </row>
    <row r="14546">
      <c r="C14546" s="278"/>
      <c r="M14546" s="278"/>
      <c r="O14546" s="247"/>
      <c r="AC14546" s="247"/>
      <c r="AT14546" s="247"/>
    </row>
    <row r="14547">
      <c r="C14547" s="278"/>
      <c r="M14547" s="278"/>
      <c r="O14547" s="247"/>
      <c r="AC14547" s="247"/>
      <c r="AT14547" s="247"/>
    </row>
    <row r="14548">
      <c r="C14548" s="278"/>
      <c r="M14548" s="278"/>
      <c r="O14548" s="247"/>
      <c r="AC14548" s="247"/>
      <c r="AT14548" s="247"/>
    </row>
    <row r="14549">
      <c r="C14549" s="278"/>
      <c r="M14549" s="278"/>
      <c r="O14549" s="247"/>
      <c r="AC14549" s="247"/>
      <c r="AT14549" s="247"/>
    </row>
    <row r="14550">
      <c r="C14550" s="278"/>
      <c r="M14550" s="278"/>
      <c r="O14550" s="247"/>
      <c r="AC14550" s="247"/>
      <c r="AT14550" s="247"/>
    </row>
    <row r="14551">
      <c r="C14551" s="278"/>
      <c r="M14551" s="278"/>
      <c r="O14551" s="247"/>
      <c r="AC14551" s="247"/>
      <c r="AT14551" s="247"/>
    </row>
    <row r="14552">
      <c r="C14552" s="278"/>
      <c r="M14552" s="278"/>
      <c r="O14552" s="247"/>
      <c r="AC14552" s="247"/>
      <c r="AT14552" s="247"/>
    </row>
    <row r="14553">
      <c r="C14553" s="278"/>
      <c r="M14553" s="278"/>
      <c r="O14553" s="247"/>
      <c r="AC14553" s="247"/>
      <c r="AT14553" s="247"/>
    </row>
    <row r="14554">
      <c r="C14554" s="278"/>
      <c r="M14554" s="278"/>
      <c r="O14554" s="247"/>
      <c r="AC14554" s="247"/>
      <c r="AT14554" s="247"/>
    </row>
    <row r="14555">
      <c r="C14555" s="278"/>
      <c r="M14555" s="278"/>
      <c r="O14555" s="247"/>
      <c r="AC14555" s="247"/>
      <c r="AT14555" s="247"/>
    </row>
    <row r="14556">
      <c r="C14556" s="278"/>
      <c r="M14556" s="278"/>
      <c r="O14556" s="247"/>
      <c r="AC14556" s="247"/>
      <c r="AT14556" s="247"/>
    </row>
    <row r="14557">
      <c r="C14557" s="278"/>
      <c r="M14557" s="278"/>
      <c r="O14557" s="247"/>
      <c r="AC14557" s="247"/>
      <c r="AT14557" s="247"/>
    </row>
    <row r="14558">
      <c r="C14558" s="278"/>
      <c r="M14558" s="278"/>
      <c r="O14558" s="247"/>
      <c r="AC14558" s="247"/>
      <c r="AT14558" s="247"/>
    </row>
    <row r="14559">
      <c r="C14559" s="278"/>
      <c r="M14559" s="278"/>
      <c r="O14559" s="247"/>
      <c r="AC14559" s="247"/>
      <c r="AT14559" s="247"/>
    </row>
    <row r="14560">
      <c r="C14560" s="278"/>
      <c r="M14560" s="278"/>
      <c r="O14560" s="247"/>
      <c r="AC14560" s="247"/>
      <c r="AT14560" s="247"/>
    </row>
    <row r="14561">
      <c r="C14561" s="278"/>
      <c r="M14561" s="278"/>
      <c r="O14561" s="247"/>
      <c r="AC14561" s="247"/>
      <c r="AT14561" s="247"/>
    </row>
    <row r="14562">
      <c r="C14562" s="278"/>
      <c r="M14562" s="278"/>
      <c r="O14562" s="247"/>
      <c r="AC14562" s="247"/>
      <c r="AT14562" s="247"/>
    </row>
    <row r="14563">
      <c r="C14563" s="278"/>
      <c r="M14563" s="278"/>
      <c r="O14563" s="247"/>
      <c r="AC14563" s="247"/>
      <c r="AT14563" s="247"/>
    </row>
    <row r="14564">
      <c r="C14564" s="278"/>
      <c r="M14564" s="278"/>
      <c r="O14564" s="247"/>
      <c r="AC14564" s="247"/>
      <c r="AT14564" s="247"/>
    </row>
    <row r="14565">
      <c r="C14565" s="278"/>
      <c r="M14565" s="278"/>
      <c r="O14565" s="247"/>
      <c r="AC14565" s="247"/>
      <c r="AT14565" s="247"/>
    </row>
    <row r="14566">
      <c r="C14566" s="278"/>
      <c r="M14566" s="278"/>
      <c r="O14566" s="247"/>
      <c r="AC14566" s="247"/>
      <c r="AT14566" s="247"/>
    </row>
    <row r="14567">
      <c r="C14567" s="278"/>
      <c r="M14567" s="278"/>
      <c r="O14567" s="247"/>
      <c r="AC14567" s="247"/>
      <c r="AT14567" s="247"/>
    </row>
    <row r="14568">
      <c r="C14568" s="278"/>
      <c r="M14568" s="278"/>
      <c r="O14568" s="247"/>
      <c r="AC14568" s="247"/>
      <c r="AT14568" s="247"/>
    </row>
    <row r="14569">
      <c r="C14569" s="278"/>
      <c r="M14569" s="278"/>
      <c r="O14569" s="247"/>
      <c r="AC14569" s="247"/>
      <c r="AT14569" s="247"/>
    </row>
    <row r="14570">
      <c r="C14570" s="278"/>
      <c r="M14570" s="278"/>
      <c r="O14570" s="247"/>
      <c r="AC14570" s="247"/>
      <c r="AT14570" s="247"/>
    </row>
    <row r="14571">
      <c r="C14571" s="278"/>
      <c r="M14571" s="278"/>
      <c r="O14571" s="247"/>
      <c r="AC14571" s="247"/>
      <c r="AT14571" s="247"/>
    </row>
    <row r="14572">
      <c r="C14572" s="278"/>
      <c r="M14572" s="278"/>
      <c r="O14572" s="247"/>
      <c r="AC14572" s="247"/>
      <c r="AT14572" s="247"/>
    </row>
    <row r="14573">
      <c r="C14573" s="278"/>
      <c r="M14573" s="278"/>
      <c r="O14573" s="247"/>
      <c r="AC14573" s="247"/>
      <c r="AT14573" s="247"/>
    </row>
    <row r="14574">
      <c r="C14574" s="278"/>
      <c r="M14574" s="278"/>
      <c r="O14574" s="247"/>
      <c r="AC14574" s="247"/>
      <c r="AT14574" s="247"/>
    </row>
    <row r="14575">
      <c r="C14575" s="278"/>
      <c r="M14575" s="278"/>
      <c r="O14575" s="247"/>
      <c r="AC14575" s="247"/>
      <c r="AT14575" s="247"/>
    </row>
    <row r="14576">
      <c r="C14576" s="278"/>
      <c r="M14576" s="278"/>
      <c r="O14576" s="247"/>
      <c r="AC14576" s="247"/>
      <c r="AT14576" s="247"/>
    </row>
    <row r="14577">
      <c r="C14577" s="278"/>
      <c r="M14577" s="278"/>
      <c r="O14577" s="247"/>
      <c r="AC14577" s="247"/>
      <c r="AT14577" s="247"/>
    </row>
    <row r="14578">
      <c r="C14578" s="278"/>
      <c r="M14578" s="278"/>
      <c r="O14578" s="247"/>
      <c r="AC14578" s="247"/>
      <c r="AT14578" s="247"/>
    </row>
    <row r="14579">
      <c r="C14579" s="278"/>
      <c r="M14579" s="278"/>
      <c r="O14579" s="247"/>
      <c r="AC14579" s="247"/>
      <c r="AT14579" s="247"/>
    </row>
    <row r="14580">
      <c r="C14580" s="278"/>
      <c r="M14580" s="278"/>
      <c r="O14580" s="247"/>
      <c r="AC14580" s="247"/>
      <c r="AT14580" s="247"/>
    </row>
    <row r="14581">
      <c r="C14581" s="278"/>
      <c r="M14581" s="278"/>
      <c r="O14581" s="247"/>
      <c r="AC14581" s="247"/>
      <c r="AT14581" s="247"/>
    </row>
    <row r="14582">
      <c r="C14582" s="278"/>
      <c r="M14582" s="278"/>
      <c r="O14582" s="247"/>
      <c r="AC14582" s="247"/>
      <c r="AT14582" s="247"/>
    </row>
    <row r="14583">
      <c r="C14583" s="278"/>
      <c r="M14583" s="278"/>
      <c r="O14583" s="247"/>
      <c r="AC14583" s="247"/>
      <c r="AT14583" s="247"/>
    </row>
    <row r="14584">
      <c r="C14584" s="278"/>
      <c r="M14584" s="278"/>
      <c r="O14584" s="247"/>
      <c r="AC14584" s="247"/>
      <c r="AT14584" s="247"/>
    </row>
    <row r="14585">
      <c r="C14585" s="278"/>
      <c r="M14585" s="278"/>
      <c r="O14585" s="247"/>
      <c r="AC14585" s="247"/>
      <c r="AT14585" s="247"/>
    </row>
    <row r="14586">
      <c r="C14586" s="278"/>
      <c r="M14586" s="278"/>
      <c r="O14586" s="247"/>
      <c r="AC14586" s="247"/>
      <c r="AT14586" s="247"/>
    </row>
    <row r="14587">
      <c r="C14587" s="278"/>
      <c r="M14587" s="278"/>
      <c r="O14587" s="247"/>
      <c r="AC14587" s="247"/>
      <c r="AT14587" s="247"/>
    </row>
    <row r="14588">
      <c r="C14588" s="278"/>
      <c r="M14588" s="278"/>
      <c r="O14588" s="247"/>
      <c r="AC14588" s="247"/>
      <c r="AT14588" s="247"/>
    </row>
    <row r="14589">
      <c r="C14589" s="278"/>
      <c r="M14589" s="278"/>
      <c r="O14589" s="247"/>
      <c r="AC14589" s="247"/>
      <c r="AT14589" s="247"/>
    </row>
    <row r="14590">
      <c r="C14590" s="278"/>
      <c r="M14590" s="278"/>
      <c r="O14590" s="247"/>
      <c r="AC14590" s="247"/>
      <c r="AT14590" s="247"/>
    </row>
    <row r="14591">
      <c r="C14591" s="278"/>
      <c r="M14591" s="278"/>
      <c r="O14591" s="247"/>
      <c r="AC14591" s="247"/>
      <c r="AT14591" s="247"/>
    </row>
    <row r="14592">
      <c r="C14592" s="278"/>
      <c r="M14592" s="278"/>
      <c r="O14592" s="247"/>
      <c r="AC14592" s="247"/>
      <c r="AT14592" s="247"/>
    </row>
    <row r="14593">
      <c r="C14593" s="278"/>
      <c r="M14593" s="278"/>
      <c r="O14593" s="247"/>
      <c r="AC14593" s="247"/>
      <c r="AT14593" s="247"/>
    </row>
    <row r="14594">
      <c r="C14594" s="278"/>
      <c r="M14594" s="278"/>
      <c r="O14594" s="247"/>
      <c r="AC14594" s="247"/>
      <c r="AT14594" s="247"/>
    </row>
    <row r="14595">
      <c r="C14595" s="278"/>
      <c r="M14595" s="278"/>
      <c r="O14595" s="247"/>
      <c r="AC14595" s="247"/>
      <c r="AT14595" s="247"/>
    </row>
    <row r="14596">
      <c r="C14596" s="278"/>
      <c r="M14596" s="278"/>
      <c r="O14596" s="247"/>
      <c r="AC14596" s="247"/>
      <c r="AT14596" s="247"/>
    </row>
    <row r="14597">
      <c r="C14597" s="278"/>
      <c r="M14597" s="278"/>
      <c r="O14597" s="247"/>
      <c r="AC14597" s="247"/>
      <c r="AT14597" s="247"/>
    </row>
    <row r="14598">
      <c r="C14598" s="278"/>
      <c r="M14598" s="278"/>
      <c r="O14598" s="247"/>
      <c r="AC14598" s="247"/>
      <c r="AT14598" s="247"/>
    </row>
    <row r="14599">
      <c r="C14599" s="278"/>
      <c r="M14599" s="278"/>
      <c r="O14599" s="247"/>
      <c r="AC14599" s="247"/>
      <c r="AT14599" s="247"/>
    </row>
    <row r="14600">
      <c r="C14600" s="278"/>
      <c r="M14600" s="278"/>
      <c r="O14600" s="247"/>
      <c r="AC14600" s="247"/>
      <c r="AT14600" s="247"/>
    </row>
    <row r="14601">
      <c r="C14601" s="278"/>
      <c r="M14601" s="278"/>
      <c r="O14601" s="247"/>
      <c r="AC14601" s="247"/>
      <c r="AT14601" s="247"/>
    </row>
    <row r="14602">
      <c r="C14602" s="278"/>
      <c r="M14602" s="278"/>
      <c r="O14602" s="247"/>
      <c r="AC14602" s="247"/>
      <c r="AT14602" s="247"/>
    </row>
    <row r="14603">
      <c r="C14603" s="278"/>
      <c r="M14603" s="278"/>
      <c r="O14603" s="247"/>
      <c r="AC14603" s="247"/>
      <c r="AT14603" s="247"/>
    </row>
    <row r="14604">
      <c r="C14604" s="278"/>
      <c r="M14604" s="278"/>
      <c r="O14604" s="247"/>
      <c r="AC14604" s="247"/>
      <c r="AT14604" s="247"/>
    </row>
    <row r="14605">
      <c r="C14605" s="278"/>
      <c r="M14605" s="278"/>
      <c r="O14605" s="247"/>
      <c r="AC14605" s="247"/>
      <c r="AT14605" s="247"/>
    </row>
    <row r="14606">
      <c r="C14606" s="278"/>
      <c r="M14606" s="278"/>
      <c r="O14606" s="247"/>
      <c r="AC14606" s="247"/>
      <c r="AT14606" s="247"/>
    </row>
    <row r="14607">
      <c r="C14607" s="278"/>
      <c r="M14607" s="278"/>
      <c r="O14607" s="247"/>
      <c r="AC14607" s="247"/>
      <c r="AT14607" s="247"/>
    </row>
    <row r="14608">
      <c r="C14608" s="278"/>
      <c r="M14608" s="278"/>
      <c r="O14608" s="247"/>
      <c r="AC14608" s="247"/>
      <c r="AT14608" s="247"/>
    </row>
    <row r="14609">
      <c r="C14609" s="278"/>
      <c r="M14609" s="278"/>
      <c r="O14609" s="247"/>
      <c r="AC14609" s="247"/>
      <c r="AT14609" s="247"/>
    </row>
    <row r="14610">
      <c r="C14610" s="278"/>
      <c r="M14610" s="278"/>
      <c r="O14610" s="247"/>
      <c r="AC14610" s="247"/>
      <c r="AT14610" s="247"/>
    </row>
    <row r="14611">
      <c r="C14611" s="278"/>
      <c r="M14611" s="278"/>
      <c r="O14611" s="247"/>
      <c r="AC14611" s="247"/>
      <c r="AT14611" s="247"/>
    </row>
    <row r="14612">
      <c r="C14612" s="278"/>
      <c r="M14612" s="278"/>
      <c r="O14612" s="247"/>
      <c r="AC14612" s="247"/>
      <c r="AT14612" s="247"/>
    </row>
    <row r="14613">
      <c r="C14613" s="278"/>
      <c r="M14613" s="278"/>
      <c r="O14613" s="247"/>
      <c r="AC14613" s="247"/>
      <c r="AT14613" s="247"/>
    </row>
    <row r="14614">
      <c r="C14614" s="278"/>
      <c r="M14614" s="278"/>
      <c r="O14614" s="247"/>
      <c r="AC14614" s="247"/>
      <c r="AT14614" s="247"/>
    </row>
    <row r="14615">
      <c r="C14615" s="278"/>
      <c r="M14615" s="278"/>
      <c r="O14615" s="247"/>
      <c r="AC14615" s="247"/>
      <c r="AT14615" s="247"/>
    </row>
    <row r="14616">
      <c r="C14616" s="278"/>
      <c r="M14616" s="278"/>
      <c r="O14616" s="247"/>
      <c r="AC14616" s="247"/>
      <c r="AT14616" s="247"/>
    </row>
    <row r="14617">
      <c r="C14617" s="278"/>
      <c r="M14617" s="278"/>
      <c r="O14617" s="247"/>
      <c r="AC14617" s="247"/>
      <c r="AT14617" s="247"/>
    </row>
    <row r="14618">
      <c r="C14618" s="278"/>
      <c r="M14618" s="278"/>
      <c r="O14618" s="247"/>
      <c r="AC14618" s="247"/>
      <c r="AT14618" s="247"/>
    </row>
    <row r="14619">
      <c r="C14619" s="278"/>
      <c r="M14619" s="278"/>
      <c r="O14619" s="247"/>
      <c r="AC14619" s="247"/>
      <c r="AT14619" s="247"/>
    </row>
    <row r="14620">
      <c r="C14620" s="278"/>
      <c r="M14620" s="278"/>
      <c r="O14620" s="247"/>
      <c r="AC14620" s="247"/>
      <c r="AT14620" s="247"/>
    </row>
    <row r="14621">
      <c r="C14621" s="278"/>
      <c r="M14621" s="278"/>
      <c r="O14621" s="247"/>
      <c r="AC14621" s="247"/>
      <c r="AT14621" s="247"/>
    </row>
    <row r="14622">
      <c r="C14622" s="278"/>
      <c r="M14622" s="278"/>
      <c r="O14622" s="247"/>
      <c r="AC14622" s="247"/>
      <c r="AT14622" s="247"/>
    </row>
    <row r="14623">
      <c r="C14623" s="278"/>
      <c r="M14623" s="278"/>
      <c r="O14623" s="247"/>
      <c r="AC14623" s="247"/>
      <c r="AT14623" s="247"/>
    </row>
    <row r="14624">
      <c r="C14624" s="278"/>
      <c r="M14624" s="278"/>
      <c r="O14624" s="247"/>
      <c r="AC14624" s="247"/>
      <c r="AT14624" s="247"/>
    </row>
    <row r="14625">
      <c r="C14625" s="278"/>
      <c r="M14625" s="278"/>
      <c r="O14625" s="247"/>
      <c r="AC14625" s="247"/>
      <c r="AT14625" s="247"/>
    </row>
    <row r="14626">
      <c r="C14626" s="278"/>
      <c r="M14626" s="278"/>
      <c r="O14626" s="247"/>
      <c r="AC14626" s="247"/>
      <c r="AT14626" s="247"/>
    </row>
    <row r="14627">
      <c r="C14627" s="278"/>
      <c r="M14627" s="278"/>
      <c r="O14627" s="247"/>
      <c r="AC14627" s="247"/>
      <c r="AT14627" s="247"/>
    </row>
    <row r="14628">
      <c r="C14628" s="278"/>
      <c r="M14628" s="278"/>
      <c r="O14628" s="247"/>
      <c r="AC14628" s="247"/>
      <c r="AT14628" s="247"/>
    </row>
    <row r="14629">
      <c r="C14629" s="278"/>
      <c r="M14629" s="278"/>
      <c r="O14629" s="247"/>
      <c r="AC14629" s="247"/>
      <c r="AT14629" s="247"/>
    </row>
    <row r="14630">
      <c r="C14630" s="278"/>
      <c r="M14630" s="278"/>
      <c r="O14630" s="247"/>
      <c r="AC14630" s="247"/>
      <c r="AT14630" s="247"/>
    </row>
    <row r="14631">
      <c r="C14631" s="278"/>
      <c r="M14631" s="278"/>
      <c r="O14631" s="247"/>
      <c r="AC14631" s="247"/>
      <c r="AT14631" s="247"/>
    </row>
    <row r="14632">
      <c r="C14632" s="278"/>
      <c r="M14632" s="278"/>
      <c r="O14632" s="247"/>
      <c r="AC14632" s="247"/>
      <c r="AT14632" s="247"/>
    </row>
    <row r="14633">
      <c r="C14633" s="278"/>
      <c r="M14633" s="278"/>
      <c r="O14633" s="247"/>
      <c r="AC14633" s="247"/>
      <c r="AT14633" s="247"/>
    </row>
    <row r="14634">
      <c r="C14634" s="278"/>
      <c r="M14634" s="278"/>
      <c r="O14634" s="247"/>
      <c r="AC14634" s="247"/>
      <c r="AT14634" s="247"/>
    </row>
    <row r="14635">
      <c r="C14635" s="278"/>
      <c r="M14635" s="278"/>
      <c r="O14635" s="247"/>
      <c r="AC14635" s="247"/>
      <c r="AT14635" s="247"/>
    </row>
    <row r="14636">
      <c r="C14636" s="278"/>
      <c r="M14636" s="278"/>
      <c r="O14636" s="247"/>
      <c r="AC14636" s="247"/>
      <c r="AT14636" s="247"/>
    </row>
    <row r="14637">
      <c r="C14637" s="278"/>
      <c r="M14637" s="278"/>
      <c r="O14637" s="247"/>
      <c r="AC14637" s="247"/>
      <c r="AT14637" s="247"/>
    </row>
    <row r="14638">
      <c r="C14638" s="278"/>
      <c r="M14638" s="278"/>
      <c r="O14638" s="247"/>
      <c r="AC14638" s="247"/>
      <c r="AT14638" s="247"/>
    </row>
    <row r="14639">
      <c r="C14639" s="278"/>
      <c r="M14639" s="278"/>
      <c r="O14639" s="247"/>
      <c r="AC14639" s="247"/>
      <c r="AT14639" s="247"/>
    </row>
    <row r="14640">
      <c r="C14640" s="278"/>
      <c r="M14640" s="278"/>
      <c r="O14640" s="247"/>
      <c r="AC14640" s="247"/>
      <c r="AT14640" s="247"/>
    </row>
    <row r="14641">
      <c r="C14641" s="278"/>
      <c r="M14641" s="278"/>
      <c r="O14641" s="247"/>
      <c r="AC14641" s="247"/>
      <c r="AT14641" s="247"/>
    </row>
    <row r="14642">
      <c r="C14642" s="278"/>
      <c r="M14642" s="278"/>
      <c r="O14642" s="247"/>
      <c r="AC14642" s="247"/>
      <c r="AT14642" s="247"/>
    </row>
    <row r="14643">
      <c r="C14643" s="278"/>
      <c r="M14643" s="278"/>
      <c r="O14643" s="247"/>
      <c r="AC14643" s="247"/>
      <c r="AT14643" s="247"/>
    </row>
    <row r="14644">
      <c r="C14644" s="278"/>
      <c r="M14644" s="278"/>
      <c r="O14644" s="247"/>
      <c r="AC14644" s="247"/>
      <c r="AT14644" s="247"/>
    </row>
    <row r="14645">
      <c r="C14645" s="278"/>
      <c r="M14645" s="278"/>
      <c r="O14645" s="247"/>
      <c r="AC14645" s="247"/>
      <c r="AT14645" s="247"/>
    </row>
    <row r="14646">
      <c r="C14646" s="278"/>
      <c r="M14646" s="278"/>
      <c r="O14646" s="247"/>
      <c r="AC14646" s="247"/>
      <c r="AT14646" s="247"/>
    </row>
    <row r="14647">
      <c r="C14647" s="278"/>
      <c r="M14647" s="278"/>
      <c r="O14647" s="247"/>
      <c r="AC14647" s="247"/>
      <c r="AT14647" s="247"/>
    </row>
    <row r="14648">
      <c r="C14648" s="278"/>
      <c r="M14648" s="278"/>
      <c r="O14648" s="247"/>
      <c r="AC14648" s="247"/>
      <c r="AT14648" s="247"/>
    </row>
    <row r="14649">
      <c r="C14649" s="278"/>
      <c r="M14649" s="278"/>
      <c r="O14649" s="247"/>
      <c r="AC14649" s="247"/>
      <c r="AT14649" s="247"/>
    </row>
    <row r="14650">
      <c r="C14650" s="278"/>
      <c r="M14650" s="278"/>
      <c r="O14650" s="247"/>
      <c r="AC14650" s="247"/>
      <c r="AT14650" s="247"/>
    </row>
    <row r="14651">
      <c r="C14651" s="278"/>
      <c r="M14651" s="278"/>
      <c r="O14651" s="247"/>
      <c r="AC14651" s="247"/>
      <c r="AT14651" s="247"/>
    </row>
    <row r="14652">
      <c r="C14652" s="278"/>
      <c r="M14652" s="278"/>
      <c r="O14652" s="247"/>
      <c r="AC14652" s="247"/>
      <c r="AT14652" s="247"/>
    </row>
    <row r="14653">
      <c r="C14653" s="278"/>
      <c r="M14653" s="278"/>
      <c r="O14653" s="247"/>
      <c r="AC14653" s="247"/>
      <c r="AT14653" s="247"/>
    </row>
    <row r="14654">
      <c r="C14654" s="278"/>
      <c r="M14654" s="278"/>
      <c r="O14654" s="247"/>
      <c r="AC14654" s="247"/>
      <c r="AT14654" s="247"/>
    </row>
    <row r="14655">
      <c r="C14655" s="278"/>
      <c r="M14655" s="278"/>
      <c r="O14655" s="247"/>
      <c r="AC14655" s="247"/>
      <c r="AT14655" s="247"/>
    </row>
    <row r="14656">
      <c r="C14656" s="278"/>
      <c r="M14656" s="278"/>
      <c r="O14656" s="247"/>
      <c r="AC14656" s="247"/>
      <c r="AT14656" s="247"/>
    </row>
    <row r="14657">
      <c r="C14657" s="278"/>
      <c r="M14657" s="278"/>
      <c r="O14657" s="247"/>
      <c r="AC14657" s="247"/>
      <c r="AT14657" s="247"/>
    </row>
    <row r="14658">
      <c r="C14658" s="278"/>
      <c r="M14658" s="278"/>
      <c r="O14658" s="247"/>
      <c r="AC14658" s="247"/>
      <c r="AT14658" s="247"/>
    </row>
    <row r="14659">
      <c r="C14659" s="278"/>
      <c r="M14659" s="278"/>
      <c r="O14659" s="247"/>
      <c r="AC14659" s="247"/>
      <c r="AT14659" s="247"/>
    </row>
    <row r="14660">
      <c r="C14660" s="278"/>
      <c r="M14660" s="278"/>
      <c r="O14660" s="247"/>
      <c r="AC14660" s="247"/>
      <c r="AT14660" s="247"/>
    </row>
    <row r="14661">
      <c r="C14661" s="278"/>
      <c r="M14661" s="278"/>
      <c r="O14661" s="247"/>
      <c r="AC14661" s="247"/>
      <c r="AT14661" s="247"/>
    </row>
    <row r="14662">
      <c r="C14662" s="278"/>
      <c r="M14662" s="278"/>
      <c r="O14662" s="247"/>
      <c r="AC14662" s="247"/>
      <c r="AT14662" s="247"/>
    </row>
    <row r="14663">
      <c r="C14663" s="278"/>
      <c r="M14663" s="278"/>
      <c r="O14663" s="247"/>
      <c r="AC14663" s="247"/>
      <c r="AT14663" s="247"/>
    </row>
    <row r="14664">
      <c r="C14664" s="278"/>
      <c r="M14664" s="278"/>
      <c r="O14664" s="247"/>
      <c r="AC14664" s="247"/>
      <c r="AT14664" s="247"/>
    </row>
    <row r="14665">
      <c r="C14665" s="278"/>
      <c r="M14665" s="278"/>
      <c r="O14665" s="247"/>
      <c r="AC14665" s="247"/>
      <c r="AT14665" s="247"/>
    </row>
    <row r="14666">
      <c r="C14666" s="278"/>
      <c r="M14666" s="278"/>
      <c r="O14666" s="247"/>
      <c r="AC14666" s="247"/>
      <c r="AT14666" s="247"/>
    </row>
    <row r="14667">
      <c r="C14667" s="278"/>
      <c r="M14667" s="278"/>
      <c r="O14667" s="247"/>
      <c r="AC14667" s="247"/>
      <c r="AT14667" s="247"/>
    </row>
    <row r="14668">
      <c r="C14668" s="278"/>
      <c r="M14668" s="278"/>
      <c r="O14668" s="247"/>
      <c r="AC14668" s="247"/>
      <c r="AT14668" s="247"/>
    </row>
    <row r="14669">
      <c r="C14669" s="278"/>
      <c r="M14669" s="278"/>
      <c r="O14669" s="247"/>
      <c r="AC14669" s="247"/>
      <c r="AT14669" s="247"/>
    </row>
    <row r="14670">
      <c r="C14670" s="278"/>
      <c r="M14670" s="278"/>
      <c r="O14670" s="247"/>
      <c r="AC14670" s="247"/>
      <c r="AT14670" s="247"/>
    </row>
    <row r="14671">
      <c r="C14671" s="278"/>
      <c r="M14671" s="278"/>
      <c r="O14671" s="247"/>
      <c r="AC14671" s="247"/>
      <c r="AT14671" s="247"/>
    </row>
    <row r="14672">
      <c r="C14672" s="278"/>
      <c r="M14672" s="278"/>
      <c r="O14672" s="247"/>
      <c r="AC14672" s="247"/>
      <c r="AT14672" s="247"/>
    </row>
    <row r="14673">
      <c r="C14673" s="278"/>
      <c r="M14673" s="278"/>
      <c r="O14673" s="247"/>
      <c r="AC14673" s="247"/>
      <c r="AT14673" s="247"/>
    </row>
    <row r="14674">
      <c r="C14674" s="278"/>
      <c r="M14674" s="278"/>
      <c r="O14674" s="247"/>
      <c r="AC14674" s="247"/>
      <c r="AT14674" s="247"/>
    </row>
    <row r="14675">
      <c r="C14675" s="278"/>
      <c r="M14675" s="278"/>
      <c r="O14675" s="247"/>
      <c r="AC14675" s="247"/>
      <c r="AT14675" s="247"/>
    </row>
    <row r="14676">
      <c r="C14676" s="278"/>
      <c r="M14676" s="278"/>
      <c r="O14676" s="247"/>
      <c r="AC14676" s="247"/>
      <c r="AT14676" s="247"/>
    </row>
    <row r="14677">
      <c r="C14677" s="278"/>
      <c r="M14677" s="278"/>
      <c r="O14677" s="247"/>
      <c r="AC14677" s="247"/>
      <c r="AT14677" s="247"/>
    </row>
    <row r="14678">
      <c r="C14678" s="278"/>
      <c r="M14678" s="278"/>
      <c r="O14678" s="247"/>
      <c r="AC14678" s="247"/>
      <c r="AT14678" s="247"/>
    </row>
    <row r="14679">
      <c r="C14679" s="278"/>
      <c r="M14679" s="278"/>
      <c r="O14679" s="247"/>
      <c r="AC14679" s="247"/>
      <c r="AT14679" s="247"/>
    </row>
    <row r="14680">
      <c r="C14680" s="278"/>
      <c r="M14680" s="278"/>
      <c r="O14680" s="247"/>
      <c r="AC14680" s="247"/>
      <c r="AT14680" s="247"/>
    </row>
    <row r="14681">
      <c r="C14681" s="278"/>
      <c r="M14681" s="278"/>
      <c r="O14681" s="247"/>
      <c r="AC14681" s="247"/>
      <c r="AT14681" s="247"/>
    </row>
    <row r="14682">
      <c r="C14682" s="278"/>
      <c r="M14682" s="278"/>
      <c r="O14682" s="247"/>
      <c r="AC14682" s="247"/>
      <c r="AT14682" s="247"/>
    </row>
    <row r="14683">
      <c r="C14683" s="278"/>
      <c r="M14683" s="278"/>
      <c r="O14683" s="247"/>
      <c r="AC14683" s="247"/>
      <c r="AT14683" s="247"/>
    </row>
    <row r="14684">
      <c r="C14684" s="278"/>
      <c r="M14684" s="278"/>
      <c r="O14684" s="247"/>
      <c r="AC14684" s="247"/>
      <c r="AT14684" s="247"/>
    </row>
    <row r="14685">
      <c r="C14685" s="278"/>
      <c r="M14685" s="278"/>
      <c r="O14685" s="247"/>
      <c r="AC14685" s="247"/>
      <c r="AT14685" s="247"/>
    </row>
    <row r="14686">
      <c r="C14686" s="278"/>
      <c r="M14686" s="278"/>
      <c r="O14686" s="247"/>
      <c r="AC14686" s="247"/>
      <c r="AT14686" s="247"/>
    </row>
    <row r="14687">
      <c r="C14687" s="278"/>
      <c r="M14687" s="278"/>
      <c r="O14687" s="247"/>
      <c r="AC14687" s="247"/>
      <c r="AT14687" s="247"/>
    </row>
    <row r="14688">
      <c r="C14688" s="278"/>
      <c r="M14688" s="278"/>
      <c r="O14688" s="247"/>
      <c r="AC14688" s="247"/>
      <c r="AT14688" s="247"/>
    </row>
    <row r="14689">
      <c r="C14689" s="278"/>
      <c r="M14689" s="278"/>
      <c r="O14689" s="247"/>
      <c r="AC14689" s="247"/>
      <c r="AT14689" s="247"/>
    </row>
    <row r="14690">
      <c r="C14690" s="278"/>
      <c r="M14690" s="278"/>
      <c r="O14690" s="247"/>
      <c r="AC14690" s="247"/>
      <c r="AT14690" s="247"/>
    </row>
    <row r="14691">
      <c r="C14691" s="278"/>
      <c r="M14691" s="278"/>
      <c r="O14691" s="247"/>
      <c r="AC14691" s="247"/>
      <c r="AT14691" s="247"/>
    </row>
    <row r="14692">
      <c r="C14692" s="278"/>
      <c r="M14692" s="278"/>
      <c r="O14692" s="247"/>
      <c r="AC14692" s="247"/>
      <c r="AT14692" s="247"/>
    </row>
    <row r="14693">
      <c r="C14693" s="278"/>
      <c r="M14693" s="278"/>
      <c r="O14693" s="247"/>
      <c r="AC14693" s="247"/>
      <c r="AT14693" s="247"/>
    </row>
    <row r="14694">
      <c r="C14694" s="278"/>
      <c r="M14694" s="278"/>
      <c r="O14694" s="247"/>
      <c r="AC14694" s="247"/>
      <c r="AT14694" s="247"/>
    </row>
    <row r="14695">
      <c r="C14695" s="278"/>
      <c r="M14695" s="278"/>
      <c r="O14695" s="247"/>
      <c r="AC14695" s="247"/>
      <c r="AT14695" s="247"/>
    </row>
    <row r="14696">
      <c r="C14696" s="278"/>
      <c r="M14696" s="278"/>
      <c r="O14696" s="247"/>
      <c r="AC14696" s="247"/>
      <c r="AT14696" s="247"/>
    </row>
    <row r="14697">
      <c r="C14697" s="278"/>
      <c r="M14697" s="278"/>
      <c r="O14697" s="247"/>
      <c r="AC14697" s="247"/>
      <c r="AT14697" s="247"/>
    </row>
    <row r="14698">
      <c r="C14698" s="278"/>
      <c r="M14698" s="278"/>
      <c r="O14698" s="247"/>
      <c r="AC14698" s="247"/>
      <c r="AT14698" s="247"/>
    </row>
    <row r="14699">
      <c r="C14699" s="278"/>
      <c r="M14699" s="278"/>
      <c r="O14699" s="247"/>
      <c r="AC14699" s="247"/>
      <c r="AT14699" s="247"/>
    </row>
    <row r="14700">
      <c r="C14700" s="278"/>
      <c r="M14700" s="278"/>
      <c r="O14700" s="247"/>
      <c r="AC14700" s="247"/>
      <c r="AT14700" s="247"/>
    </row>
    <row r="14701">
      <c r="C14701" s="278"/>
      <c r="M14701" s="278"/>
      <c r="O14701" s="247"/>
      <c r="AC14701" s="247"/>
      <c r="AT14701" s="247"/>
    </row>
    <row r="14702">
      <c r="C14702" s="278"/>
      <c r="M14702" s="278"/>
      <c r="O14702" s="247"/>
      <c r="AC14702" s="247"/>
      <c r="AT14702" s="247"/>
    </row>
    <row r="14703">
      <c r="C14703" s="278"/>
      <c r="M14703" s="278"/>
      <c r="O14703" s="247"/>
      <c r="AC14703" s="247"/>
      <c r="AT14703" s="247"/>
    </row>
    <row r="14704">
      <c r="C14704" s="278"/>
      <c r="M14704" s="278"/>
      <c r="O14704" s="247"/>
      <c r="AC14704" s="247"/>
      <c r="AT14704" s="247"/>
    </row>
    <row r="14705">
      <c r="C14705" s="278"/>
      <c r="M14705" s="278"/>
      <c r="O14705" s="247"/>
      <c r="AC14705" s="247"/>
      <c r="AT14705" s="247"/>
    </row>
    <row r="14706">
      <c r="C14706" s="278"/>
      <c r="M14706" s="278"/>
      <c r="O14706" s="247"/>
      <c r="AC14706" s="247"/>
      <c r="AT14706" s="247"/>
    </row>
    <row r="14707">
      <c r="C14707" s="278"/>
      <c r="M14707" s="278"/>
      <c r="O14707" s="247"/>
      <c r="AC14707" s="247"/>
      <c r="AT14707" s="247"/>
    </row>
    <row r="14708">
      <c r="C14708" s="278"/>
      <c r="M14708" s="278"/>
      <c r="O14708" s="247"/>
      <c r="AC14708" s="247"/>
      <c r="AT14708" s="247"/>
    </row>
    <row r="14709">
      <c r="C14709" s="278"/>
      <c r="M14709" s="278"/>
      <c r="O14709" s="247"/>
      <c r="AC14709" s="247"/>
      <c r="AT14709" s="247"/>
    </row>
    <row r="14710">
      <c r="C14710" s="278"/>
      <c r="M14710" s="278"/>
      <c r="O14710" s="247"/>
      <c r="AC14710" s="247"/>
      <c r="AT14710" s="247"/>
    </row>
    <row r="14711">
      <c r="C14711" s="278"/>
      <c r="M14711" s="278"/>
      <c r="O14711" s="247"/>
      <c r="AC14711" s="247"/>
      <c r="AT14711" s="247"/>
    </row>
    <row r="14712">
      <c r="C14712" s="278"/>
      <c r="M14712" s="278"/>
      <c r="O14712" s="247"/>
      <c r="AC14712" s="247"/>
      <c r="AT14712" s="247"/>
    </row>
    <row r="14713">
      <c r="C14713" s="278"/>
      <c r="M14713" s="278"/>
      <c r="O14713" s="247"/>
      <c r="AC14713" s="247"/>
      <c r="AT14713" s="247"/>
    </row>
    <row r="14714">
      <c r="C14714" s="278"/>
      <c r="M14714" s="278"/>
      <c r="O14714" s="247"/>
      <c r="AC14714" s="247"/>
      <c r="AT14714" s="247"/>
    </row>
    <row r="14715">
      <c r="C14715" s="278"/>
      <c r="M14715" s="278"/>
      <c r="O14715" s="247"/>
      <c r="AC14715" s="247"/>
      <c r="AT14715" s="247"/>
    </row>
    <row r="14716">
      <c r="C14716" s="278"/>
      <c r="M14716" s="278"/>
      <c r="O14716" s="247"/>
      <c r="AC14716" s="247"/>
      <c r="AT14716" s="247"/>
    </row>
    <row r="14717">
      <c r="C14717" s="278"/>
      <c r="M14717" s="278"/>
      <c r="O14717" s="247"/>
      <c r="AC14717" s="247"/>
      <c r="AT14717" s="247"/>
    </row>
    <row r="14718">
      <c r="C14718" s="278"/>
      <c r="M14718" s="278"/>
      <c r="O14718" s="247"/>
      <c r="AC14718" s="247"/>
      <c r="AT14718" s="247"/>
    </row>
    <row r="14719">
      <c r="C14719" s="278"/>
      <c r="M14719" s="278"/>
      <c r="O14719" s="247"/>
      <c r="AC14719" s="247"/>
      <c r="AT14719" s="247"/>
    </row>
    <row r="14720">
      <c r="C14720" s="278"/>
      <c r="M14720" s="278"/>
      <c r="O14720" s="247"/>
      <c r="AC14720" s="247"/>
      <c r="AT14720" s="247"/>
    </row>
    <row r="14721">
      <c r="C14721" s="278"/>
      <c r="M14721" s="278"/>
      <c r="O14721" s="247"/>
      <c r="AC14721" s="247"/>
      <c r="AT14721" s="247"/>
    </row>
    <row r="14722">
      <c r="C14722" s="278"/>
      <c r="M14722" s="278"/>
      <c r="O14722" s="247"/>
      <c r="AC14722" s="247"/>
      <c r="AT14722" s="247"/>
    </row>
    <row r="14723">
      <c r="C14723" s="278"/>
      <c r="M14723" s="278"/>
      <c r="O14723" s="247"/>
      <c r="AC14723" s="247"/>
      <c r="AT14723" s="247"/>
    </row>
    <row r="14724">
      <c r="C14724" s="278"/>
      <c r="M14724" s="278"/>
      <c r="O14724" s="247"/>
      <c r="AC14724" s="247"/>
      <c r="AT14724" s="247"/>
    </row>
    <row r="14725">
      <c r="C14725" s="278"/>
      <c r="M14725" s="278"/>
      <c r="O14725" s="247"/>
      <c r="AC14725" s="247"/>
      <c r="AT14725" s="247"/>
    </row>
    <row r="14726">
      <c r="C14726" s="278"/>
      <c r="M14726" s="278"/>
      <c r="O14726" s="247"/>
      <c r="AC14726" s="247"/>
      <c r="AT14726" s="247"/>
    </row>
    <row r="14727">
      <c r="C14727" s="278"/>
      <c r="M14727" s="278"/>
      <c r="O14727" s="247"/>
      <c r="AC14727" s="247"/>
      <c r="AT14727" s="247"/>
    </row>
    <row r="14728">
      <c r="C14728" s="278"/>
      <c r="M14728" s="278"/>
      <c r="O14728" s="247"/>
      <c r="AC14728" s="247"/>
      <c r="AT14728" s="247"/>
    </row>
    <row r="14729">
      <c r="C14729" s="278"/>
      <c r="M14729" s="278"/>
      <c r="O14729" s="247"/>
      <c r="AC14729" s="247"/>
      <c r="AT14729" s="247"/>
    </row>
    <row r="14730">
      <c r="C14730" s="278"/>
      <c r="M14730" s="278"/>
      <c r="O14730" s="247"/>
      <c r="AC14730" s="247"/>
      <c r="AT14730" s="247"/>
    </row>
    <row r="14731">
      <c r="C14731" s="278"/>
      <c r="M14731" s="278"/>
      <c r="O14731" s="247"/>
      <c r="AC14731" s="247"/>
      <c r="AT14731" s="247"/>
    </row>
    <row r="14732">
      <c r="C14732" s="278"/>
      <c r="M14732" s="278"/>
      <c r="O14732" s="247"/>
      <c r="AC14732" s="247"/>
      <c r="AT14732" s="247"/>
    </row>
    <row r="14733">
      <c r="C14733" s="278"/>
      <c r="M14733" s="278"/>
      <c r="O14733" s="247"/>
      <c r="AC14733" s="247"/>
      <c r="AT14733" s="247"/>
    </row>
    <row r="14734">
      <c r="C14734" s="278"/>
      <c r="M14734" s="278"/>
      <c r="O14734" s="247"/>
      <c r="AC14734" s="247"/>
      <c r="AT14734" s="247"/>
    </row>
    <row r="14735">
      <c r="C14735" s="278"/>
      <c r="M14735" s="278"/>
      <c r="O14735" s="247"/>
      <c r="AC14735" s="247"/>
      <c r="AT14735" s="247"/>
    </row>
    <row r="14736">
      <c r="C14736" s="278"/>
      <c r="M14736" s="278"/>
      <c r="O14736" s="247"/>
      <c r="AC14736" s="247"/>
      <c r="AT14736" s="247"/>
    </row>
    <row r="14737">
      <c r="C14737" s="278"/>
      <c r="M14737" s="278"/>
      <c r="O14737" s="247"/>
      <c r="AC14737" s="247"/>
      <c r="AT14737" s="247"/>
    </row>
    <row r="14738">
      <c r="C14738" s="278"/>
      <c r="M14738" s="278"/>
      <c r="O14738" s="247"/>
      <c r="AC14738" s="247"/>
      <c r="AT14738" s="247"/>
    </row>
    <row r="14739">
      <c r="C14739" s="278"/>
      <c r="M14739" s="278"/>
      <c r="O14739" s="247"/>
      <c r="AC14739" s="247"/>
      <c r="AT14739" s="247"/>
    </row>
    <row r="14740">
      <c r="C14740" s="278"/>
      <c r="M14740" s="278"/>
      <c r="O14740" s="247"/>
      <c r="AC14740" s="247"/>
      <c r="AT14740" s="247"/>
    </row>
    <row r="14741">
      <c r="C14741" s="278"/>
      <c r="M14741" s="278"/>
      <c r="O14741" s="247"/>
      <c r="AC14741" s="247"/>
      <c r="AT14741" s="247"/>
    </row>
    <row r="14742">
      <c r="C14742" s="278"/>
      <c r="M14742" s="278"/>
      <c r="O14742" s="247"/>
      <c r="AC14742" s="247"/>
      <c r="AT14742" s="247"/>
    </row>
    <row r="14743">
      <c r="C14743" s="278"/>
      <c r="M14743" s="278"/>
      <c r="O14743" s="247"/>
      <c r="AC14743" s="247"/>
      <c r="AT14743" s="247"/>
    </row>
    <row r="14744">
      <c r="C14744" s="278"/>
      <c r="M14744" s="278"/>
      <c r="O14744" s="247"/>
      <c r="AC14744" s="247"/>
      <c r="AT14744" s="247"/>
    </row>
    <row r="14745">
      <c r="C14745" s="278"/>
      <c r="M14745" s="278"/>
      <c r="O14745" s="247"/>
      <c r="AC14745" s="247"/>
      <c r="AT14745" s="247"/>
    </row>
    <row r="14746">
      <c r="C14746" s="278"/>
      <c r="M14746" s="278"/>
      <c r="O14746" s="247"/>
      <c r="AC14746" s="247"/>
      <c r="AT14746" s="247"/>
    </row>
    <row r="14747">
      <c r="C14747" s="278"/>
      <c r="M14747" s="278"/>
      <c r="O14747" s="247"/>
      <c r="AC14747" s="247"/>
      <c r="AT14747" s="247"/>
    </row>
    <row r="14748">
      <c r="C14748" s="278"/>
      <c r="M14748" s="278"/>
      <c r="O14748" s="247"/>
      <c r="AC14748" s="247"/>
      <c r="AT14748" s="247"/>
    </row>
    <row r="14749">
      <c r="C14749" s="278"/>
      <c r="M14749" s="278"/>
      <c r="O14749" s="247"/>
      <c r="AC14749" s="247"/>
      <c r="AT14749" s="247"/>
    </row>
    <row r="14750">
      <c r="C14750" s="278"/>
      <c r="M14750" s="278"/>
      <c r="O14750" s="247"/>
      <c r="AC14750" s="247"/>
      <c r="AT14750" s="247"/>
    </row>
    <row r="14751">
      <c r="C14751" s="278"/>
      <c r="M14751" s="278"/>
      <c r="O14751" s="247"/>
      <c r="AC14751" s="247"/>
      <c r="AT14751" s="247"/>
    </row>
    <row r="14752">
      <c r="C14752" s="278"/>
      <c r="M14752" s="278"/>
      <c r="O14752" s="247"/>
      <c r="AC14752" s="247"/>
      <c r="AT14752" s="247"/>
    </row>
    <row r="14753">
      <c r="C14753" s="278"/>
      <c r="M14753" s="278"/>
      <c r="O14753" s="247"/>
      <c r="AC14753" s="247"/>
      <c r="AT14753" s="247"/>
    </row>
    <row r="14754">
      <c r="C14754" s="278"/>
      <c r="M14754" s="278"/>
      <c r="O14754" s="247"/>
      <c r="AC14754" s="247"/>
      <c r="AT14754" s="247"/>
    </row>
    <row r="14755">
      <c r="C14755" s="278"/>
      <c r="M14755" s="278"/>
      <c r="O14755" s="247"/>
      <c r="AC14755" s="247"/>
      <c r="AT14755" s="247"/>
    </row>
    <row r="14756">
      <c r="C14756" s="278"/>
      <c r="M14756" s="278"/>
      <c r="O14756" s="247"/>
      <c r="AC14756" s="247"/>
      <c r="AT14756" s="247"/>
    </row>
    <row r="14757">
      <c r="C14757" s="278"/>
      <c r="M14757" s="278"/>
      <c r="O14757" s="247"/>
      <c r="AC14757" s="247"/>
      <c r="AT14757" s="247"/>
    </row>
    <row r="14758">
      <c r="C14758" s="278"/>
      <c r="M14758" s="278"/>
      <c r="O14758" s="247"/>
      <c r="AC14758" s="247"/>
      <c r="AT14758" s="247"/>
    </row>
    <row r="14759">
      <c r="C14759" s="278"/>
      <c r="M14759" s="278"/>
      <c r="O14759" s="247"/>
      <c r="AC14759" s="247"/>
      <c r="AT14759" s="247"/>
    </row>
    <row r="14760">
      <c r="C14760" s="278"/>
      <c r="M14760" s="278"/>
      <c r="O14760" s="247"/>
      <c r="AC14760" s="247"/>
      <c r="AT14760" s="247"/>
    </row>
    <row r="14761">
      <c r="C14761" s="278"/>
      <c r="M14761" s="278"/>
      <c r="O14761" s="247"/>
      <c r="AC14761" s="247"/>
      <c r="AT14761" s="247"/>
    </row>
    <row r="14762">
      <c r="C14762" s="278"/>
      <c r="M14762" s="278"/>
      <c r="O14762" s="247"/>
      <c r="AC14762" s="247"/>
      <c r="AT14762" s="247"/>
    </row>
    <row r="14763">
      <c r="C14763" s="278"/>
      <c r="M14763" s="278"/>
      <c r="O14763" s="247"/>
      <c r="AC14763" s="247"/>
      <c r="AT14763" s="247"/>
    </row>
    <row r="14764">
      <c r="C14764" s="278"/>
      <c r="M14764" s="278"/>
      <c r="O14764" s="247"/>
      <c r="AC14764" s="247"/>
      <c r="AT14764" s="247"/>
    </row>
    <row r="14765">
      <c r="C14765" s="278"/>
      <c r="M14765" s="278"/>
      <c r="O14765" s="247"/>
      <c r="AC14765" s="247"/>
      <c r="AT14765" s="247"/>
    </row>
    <row r="14766">
      <c r="C14766" s="278"/>
      <c r="M14766" s="278"/>
      <c r="O14766" s="247"/>
      <c r="AC14766" s="247"/>
      <c r="AT14766" s="247"/>
    </row>
    <row r="14767">
      <c r="C14767" s="278"/>
      <c r="M14767" s="278"/>
      <c r="O14767" s="247"/>
      <c r="AC14767" s="247"/>
      <c r="AT14767" s="247"/>
    </row>
    <row r="14768">
      <c r="C14768" s="278"/>
      <c r="M14768" s="278"/>
      <c r="O14768" s="247"/>
      <c r="AC14768" s="247"/>
      <c r="AT14768" s="247"/>
    </row>
    <row r="14769">
      <c r="C14769" s="278"/>
      <c r="M14769" s="278"/>
      <c r="O14769" s="247"/>
      <c r="AC14769" s="247"/>
      <c r="AT14769" s="247"/>
    </row>
    <row r="14770">
      <c r="C14770" s="278"/>
      <c r="M14770" s="278"/>
      <c r="O14770" s="247"/>
      <c r="AC14770" s="247"/>
      <c r="AT14770" s="247"/>
    </row>
    <row r="14771">
      <c r="C14771" s="278"/>
      <c r="M14771" s="278"/>
      <c r="O14771" s="247"/>
      <c r="AC14771" s="247"/>
      <c r="AT14771" s="247"/>
    </row>
    <row r="14772">
      <c r="C14772" s="278"/>
      <c r="M14772" s="278"/>
      <c r="O14772" s="247"/>
      <c r="AC14772" s="247"/>
      <c r="AT14772" s="247"/>
    </row>
    <row r="14773">
      <c r="C14773" s="278"/>
      <c r="M14773" s="278"/>
      <c r="O14773" s="247"/>
      <c r="AC14773" s="247"/>
      <c r="AT14773" s="247"/>
    </row>
    <row r="14774">
      <c r="C14774" s="278"/>
      <c r="M14774" s="278"/>
      <c r="O14774" s="247"/>
      <c r="AC14774" s="247"/>
      <c r="AT14774" s="247"/>
    </row>
    <row r="14775">
      <c r="C14775" s="278"/>
      <c r="M14775" s="278"/>
      <c r="O14775" s="247"/>
      <c r="AC14775" s="247"/>
      <c r="AT14775" s="247"/>
    </row>
    <row r="14776">
      <c r="C14776" s="278"/>
      <c r="M14776" s="278"/>
      <c r="O14776" s="247"/>
      <c r="AC14776" s="247"/>
      <c r="AT14776" s="247"/>
    </row>
    <row r="14777">
      <c r="C14777" s="278"/>
      <c r="M14777" s="278"/>
      <c r="O14777" s="247"/>
      <c r="AC14777" s="247"/>
      <c r="AT14777" s="247"/>
    </row>
    <row r="14778">
      <c r="C14778" s="278"/>
      <c r="M14778" s="278"/>
      <c r="O14778" s="247"/>
      <c r="AC14778" s="247"/>
      <c r="AT14778" s="247"/>
    </row>
    <row r="14779">
      <c r="C14779" s="278"/>
      <c r="M14779" s="278"/>
      <c r="O14779" s="247"/>
      <c r="AC14779" s="247"/>
      <c r="AT14779" s="247"/>
    </row>
    <row r="14780">
      <c r="C14780" s="277"/>
      <c r="M14780" s="278"/>
      <c r="O14780" s="247"/>
      <c r="AC14780" s="247"/>
      <c r="AT14780" s="247"/>
    </row>
    <row r="14781">
      <c r="C14781" s="278"/>
      <c r="M14781" s="278"/>
      <c r="O14781" s="247"/>
      <c r="AC14781" s="247"/>
      <c r="AT14781" s="247"/>
    </row>
    <row r="14782">
      <c r="C14782" s="278"/>
      <c r="M14782" s="278"/>
      <c r="O14782" s="247"/>
      <c r="AC14782" s="247"/>
      <c r="AT14782" s="247"/>
    </row>
    <row r="14783">
      <c r="C14783" s="278"/>
      <c r="M14783" s="278"/>
      <c r="O14783" s="247"/>
      <c r="AC14783" s="247"/>
      <c r="AT14783" s="247"/>
    </row>
    <row r="14784">
      <c r="C14784" s="278"/>
      <c r="M14784" s="278"/>
      <c r="O14784" s="247"/>
      <c r="AC14784" s="247"/>
      <c r="AT14784" s="247"/>
    </row>
    <row r="14785">
      <c r="C14785" s="278"/>
      <c r="M14785" s="278"/>
      <c r="O14785" s="247"/>
      <c r="AC14785" s="247"/>
      <c r="AT14785" s="247"/>
    </row>
    <row r="14786">
      <c r="C14786" s="278"/>
      <c r="M14786" s="278"/>
      <c r="O14786" s="247"/>
      <c r="AC14786" s="247"/>
      <c r="AT14786" s="247"/>
    </row>
    <row r="14787">
      <c r="C14787" s="278"/>
      <c r="M14787" s="278"/>
      <c r="O14787" s="247"/>
      <c r="AC14787" s="247"/>
      <c r="AT14787" s="247"/>
    </row>
    <row r="14788">
      <c r="C14788" s="278"/>
      <c r="M14788" s="278"/>
      <c r="O14788" s="247"/>
      <c r="AC14788" s="247"/>
      <c r="AT14788" s="247"/>
    </row>
    <row r="14789">
      <c r="C14789" s="278"/>
      <c r="M14789" s="278"/>
      <c r="O14789" s="247"/>
      <c r="AC14789" s="247"/>
      <c r="AT14789" s="247"/>
    </row>
    <row r="14790">
      <c r="C14790" s="278"/>
      <c r="M14790" s="278"/>
      <c r="O14790" s="247"/>
      <c r="AC14790" s="247"/>
      <c r="AT14790" s="247"/>
    </row>
    <row r="14791">
      <c r="C14791" s="278"/>
      <c r="M14791" s="278"/>
      <c r="O14791" s="247"/>
      <c r="AC14791" s="247"/>
      <c r="AT14791" s="247"/>
    </row>
    <row r="14792">
      <c r="C14792" s="278"/>
      <c r="M14792" s="278"/>
      <c r="O14792" s="247"/>
      <c r="AC14792" s="247"/>
      <c r="AT14792" s="247"/>
    </row>
    <row r="14793">
      <c r="C14793" s="278"/>
      <c r="M14793" s="278"/>
      <c r="O14793" s="247"/>
      <c r="AC14793" s="247"/>
      <c r="AT14793" s="247"/>
    </row>
    <row r="14794">
      <c r="C14794" s="278"/>
      <c r="M14794" s="278"/>
      <c r="O14794" s="247"/>
      <c r="AC14794" s="247"/>
      <c r="AT14794" s="247"/>
    </row>
    <row r="14795">
      <c r="C14795" s="278"/>
      <c r="M14795" s="278"/>
      <c r="O14795" s="247"/>
      <c r="AC14795" s="247"/>
      <c r="AT14795" s="247"/>
    </row>
    <row r="14796">
      <c r="C14796" s="278"/>
      <c r="M14796" s="278"/>
      <c r="O14796" s="247"/>
      <c r="AC14796" s="247"/>
      <c r="AT14796" s="247"/>
    </row>
    <row r="14797">
      <c r="C14797" s="278"/>
      <c r="M14797" s="278"/>
      <c r="O14797" s="247"/>
      <c r="AC14797" s="247"/>
      <c r="AT14797" s="247"/>
    </row>
    <row r="14798">
      <c r="C14798" s="278"/>
      <c r="M14798" s="278"/>
      <c r="O14798" s="247"/>
      <c r="AC14798" s="247"/>
      <c r="AT14798" s="247"/>
    </row>
    <row r="14799">
      <c r="C14799" s="278"/>
      <c r="M14799" s="278"/>
      <c r="O14799" s="247"/>
      <c r="AC14799" s="247"/>
      <c r="AT14799" s="247"/>
    </row>
    <row r="14800">
      <c r="C14800" s="278"/>
      <c r="M14800" s="278"/>
      <c r="O14800" s="247"/>
      <c r="AC14800" s="247"/>
      <c r="AT14800" s="247"/>
    </row>
    <row r="14801">
      <c r="C14801" s="278"/>
      <c r="M14801" s="278"/>
      <c r="O14801" s="247"/>
      <c r="AC14801" s="247"/>
      <c r="AT14801" s="247"/>
    </row>
    <row r="14802">
      <c r="C14802" s="278"/>
      <c r="M14802" s="278"/>
      <c r="O14802" s="247"/>
      <c r="AC14802" s="247"/>
      <c r="AT14802" s="247"/>
    </row>
    <row r="14803">
      <c r="C14803" s="278"/>
      <c r="M14803" s="278"/>
      <c r="O14803" s="247"/>
      <c r="AC14803" s="247"/>
      <c r="AT14803" s="247"/>
    </row>
    <row r="14804">
      <c r="C14804" s="278"/>
      <c r="M14804" s="278"/>
      <c r="O14804" s="247"/>
      <c r="AC14804" s="247"/>
      <c r="AT14804" s="247"/>
    </row>
    <row r="14805">
      <c r="C14805" s="278"/>
      <c r="M14805" s="278"/>
      <c r="O14805" s="247"/>
      <c r="AC14805" s="247"/>
      <c r="AT14805" s="247"/>
    </row>
    <row r="14806">
      <c r="C14806" s="278"/>
      <c r="M14806" s="278"/>
      <c r="O14806" s="247"/>
      <c r="AC14806" s="247"/>
      <c r="AT14806" s="247"/>
    </row>
    <row r="14807">
      <c r="C14807" s="278"/>
      <c r="M14807" s="278"/>
      <c r="O14807" s="247"/>
      <c r="AC14807" s="247"/>
      <c r="AT14807" s="247"/>
    </row>
    <row r="14808">
      <c r="C14808" s="278"/>
      <c r="M14808" s="278"/>
      <c r="O14808" s="247"/>
      <c r="AC14808" s="247"/>
      <c r="AT14808" s="247"/>
    </row>
    <row r="14809">
      <c r="C14809" s="278"/>
      <c r="M14809" s="278"/>
      <c r="O14809" s="247"/>
      <c r="AC14809" s="247"/>
      <c r="AT14809" s="247"/>
    </row>
    <row r="14810">
      <c r="C14810" s="278"/>
      <c r="M14810" s="278"/>
      <c r="O14810" s="247"/>
      <c r="AC14810" s="247"/>
      <c r="AT14810" s="247"/>
    </row>
    <row r="14811">
      <c r="C14811" s="278"/>
      <c r="M14811" s="278"/>
      <c r="O14811" s="247"/>
      <c r="AC14811" s="247"/>
      <c r="AT14811" s="247"/>
    </row>
    <row r="14812">
      <c r="C14812" s="278"/>
      <c r="M14812" s="278"/>
      <c r="O14812" s="247"/>
      <c r="AC14812" s="247"/>
      <c r="AT14812" s="247"/>
    </row>
    <row r="14813">
      <c r="C14813" s="278"/>
      <c r="M14813" s="278"/>
      <c r="O14813" s="247"/>
      <c r="AC14813" s="247"/>
      <c r="AT14813" s="247"/>
    </row>
    <row r="14814">
      <c r="C14814" s="278"/>
      <c r="M14814" s="278"/>
      <c r="O14814" s="247"/>
      <c r="AC14814" s="247"/>
      <c r="AT14814" s="247"/>
    </row>
    <row r="14815">
      <c r="C14815" s="278"/>
      <c r="M14815" s="278"/>
      <c r="O14815" s="247"/>
      <c r="AC14815" s="247"/>
      <c r="AT14815" s="247"/>
    </row>
    <row r="14816">
      <c r="C14816" s="278"/>
      <c r="M14816" s="278"/>
      <c r="O14816" s="247"/>
      <c r="AC14816" s="247"/>
      <c r="AT14816" s="247"/>
    </row>
    <row r="14817">
      <c r="C14817" s="278"/>
      <c r="M14817" s="278"/>
      <c r="O14817" s="247"/>
      <c r="AC14817" s="247"/>
      <c r="AT14817" s="247"/>
    </row>
    <row r="14818">
      <c r="C14818" s="278"/>
      <c r="M14818" s="278"/>
      <c r="O14818" s="247"/>
      <c r="AC14818" s="247"/>
      <c r="AT14818" s="247"/>
    </row>
    <row r="14819">
      <c r="C14819" s="278"/>
      <c r="M14819" s="278"/>
      <c r="O14819" s="247"/>
      <c r="AC14819" s="247"/>
      <c r="AT14819" s="247"/>
    </row>
    <row r="14820">
      <c r="C14820" s="278"/>
      <c r="M14820" s="278"/>
      <c r="O14820" s="247"/>
      <c r="AC14820" s="247"/>
      <c r="AT14820" s="247"/>
    </row>
    <row r="14821">
      <c r="C14821" s="278"/>
      <c r="M14821" s="278"/>
      <c r="O14821" s="247"/>
      <c r="AC14821" s="247"/>
      <c r="AT14821" s="247"/>
    </row>
    <row r="14822">
      <c r="C14822" s="278"/>
      <c r="M14822" s="278"/>
      <c r="O14822" s="247"/>
      <c r="AC14822" s="247"/>
      <c r="AT14822" s="247"/>
    </row>
    <row r="14823">
      <c r="C14823" s="278"/>
      <c r="M14823" s="278"/>
      <c r="O14823" s="247"/>
      <c r="AC14823" s="247"/>
      <c r="AT14823" s="247"/>
    </row>
    <row r="14824">
      <c r="C14824" s="278"/>
      <c r="M14824" s="278"/>
      <c r="O14824" s="247"/>
      <c r="AC14824" s="247"/>
      <c r="AT14824" s="247"/>
    </row>
    <row r="14825">
      <c r="C14825" s="278"/>
      <c r="M14825" s="278"/>
      <c r="O14825" s="247"/>
      <c r="AC14825" s="247"/>
      <c r="AT14825" s="247"/>
    </row>
    <row r="14826">
      <c r="C14826" s="278"/>
      <c r="M14826" s="278"/>
      <c r="O14826" s="247"/>
      <c r="AC14826" s="247"/>
      <c r="AT14826" s="247"/>
    </row>
    <row r="14827">
      <c r="C14827" s="278"/>
      <c r="M14827" s="278"/>
      <c r="O14827" s="247"/>
      <c r="AC14827" s="247"/>
      <c r="AT14827" s="247"/>
    </row>
    <row r="14828">
      <c r="C14828" s="278"/>
      <c r="M14828" s="278"/>
      <c r="O14828" s="247"/>
      <c r="AC14828" s="247"/>
      <c r="AT14828" s="247"/>
    </row>
    <row r="14829">
      <c r="C14829" s="278"/>
      <c r="M14829" s="278"/>
      <c r="O14829" s="247"/>
      <c r="AC14829" s="247"/>
      <c r="AT14829" s="247"/>
    </row>
    <row r="14830">
      <c r="C14830" s="278"/>
      <c r="M14830" s="278"/>
      <c r="O14830" s="247"/>
      <c r="AC14830" s="247"/>
      <c r="AT14830" s="247"/>
    </row>
    <row r="14831">
      <c r="C14831" s="278"/>
      <c r="M14831" s="278"/>
      <c r="O14831" s="247"/>
      <c r="AC14831" s="247"/>
      <c r="AT14831" s="247"/>
    </row>
    <row r="14832">
      <c r="C14832" s="278"/>
      <c r="M14832" s="278"/>
      <c r="O14832" s="247"/>
      <c r="AC14832" s="247"/>
      <c r="AT14832" s="247"/>
    </row>
    <row r="14833">
      <c r="C14833" s="278"/>
      <c r="M14833" s="278"/>
      <c r="O14833" s="247"/>
      <c r="AC14833" s="247"/>
      <c r="AT14833" s="247"/>
    </row>
    <row r="14834">
      <c r="C14834" s="278"/>
      <c r="M14834" s="278"/>
      <c r="O14834" s="247"/>
      <c r="AC14834" s="247"/>
      <c r="AT14834" s="247"/>
    </row>
    <row r="14835">
      <c r="C14835" s="278"/>
      <c r="M14835" s="278"/>
      <c r="O14835" s="247"/>
      <c r="AC14835" s="247"/>
      <c r="AT14835" s="247"/>
    </row>
    <row r="14836">
      <c r="C14836" s="278"/>
      <c r="M14836" s="278"/>
      <c r="O14836" s="247"/>
      <c r="AC14836" s="247"/>
      <c r="AT14836" s="247"/>
    </row>
    <row r="14837">
      <c r="C14837" s="278"/>
      <c r="M14837" s="278"/>
      <c r="O14837" s="247"/>
      <c r="AC14837" s="247"/>
      <c r="AT14837" s="247"/>
    </row>
    <row r="14838">
      <c r="C14838" s="278"/>
      <c r="M14838" s="278"/>
      <c r="O14838" s="247"/>
      <c r="AC14838" s="247"/>
      <c r="AT14838" s="247"/>
    </row>
    <row r="14839">
      <c r="C14839" s="278"/>
      <c r="M14839" s="278"/>
      <c r="O14839" s="247"/>
      <c r="AC14839" s="247"/>
      <c r="AT14839" s="247"/>
    </row>
    <row r="14840">
      <c r="C14840" s="278"/>
      <c r="M14840" s="278"/>
      <c r="O14840" s="247"/>
      <c r="AC14840" s="247"/>
      <c r="AT14840" s="247"/>
    </row>
    <row r="14841">
      <c r="C14841" s="278"/>
      <c r="M14841" s="278"/>
      <c r="O14841" s="247"/>
      <c r="AC14841" s="247"/>
      <c r="AT14841" s="247"/>
    </row>
    <row r="14842">
      <c r="C14842" s="278"/>
      <c r="M14842" s="278"/>
      <c r="O14842" s="247"/>
      <c r="AC14842" s="247"/>
      <c r="AT14842" s="247"/>
    </row>
    <row r="14843">
      <c r="C14843" s="278"/>
      <c r="M14843" s="278"/>
      <c r="O14843" s="247"/>
      <c r="AC14843" s="247"/>
      <c r="AT14843" s="247"/>
    </row>
    <row r="14844">
      <c r="C14844" s="278"/>
      <c r="M14844" s="278"/>
      <c r="O14844" s="247"/>
      <c r="AC14844" s="247"/>
      <c r="AT14844" s="247"/>
    </row>
    <row r="14845">
      <c r="C14845" s="278"/>
      <c r="M14845" s="278"/>
      <c r="O14845" s="247"/>
      <c r="AC14845" s="247"/>
      <c r="AT14845" s="247"/>
    </row>
    <row r="14846">
      <c r="C14846" s="278"/>
      <c r="M14846" s="278"/>
      <c r="O14846" s="247"/>
      <c r="AC14846" s="247"/>
      <c r="AT14846" s="247"/>
    </row>
    <row r="14847">
      <c r="C14847" s="278"/>
      <c r="M14847" s="278"/>
      <c r="O14847" s="247"/>
      <c r="AC14847" s="247"/>
      <c r="AT14847" s="247"/>
    </row>
    <row r="14848">
      <c r="C14848" s="278"/>
      <c r="M14848" s="278"/>
      <c r="O14848" s="247"/>
      <c r="AC14848" s="247"/>
      <c r="AT14848" s="247"/>
    </row>
    <row r="14849">
      <c r="C14849" s="278"/>
      <c r="M14849" s="278"/>
      <c r="O14849" s="247"/>
      <c r="AC14849" s="247"/>
      <c r="AT14849" s="247"/>
    </row>
    <row r="14850">
      <c r="C14850" s="278"/>
      <c r="M14850" s="278"/>
      <c r="O14850" s="247"/>
      <c r="AC14850" s="247"/>
      <c r="AT14850" s="247"/>
    </row>
    <row r="14851">
      <c r="C14851" s="278"/>
      <c r="M14851" s="278"/>
      <c r="O14851" s="247"/>
      <c r="AC14851" s="247"/>
      <c r="AT14851" s="247"/>
    </row>
    <row r="14852">
      <c r="C14852" s="278"/>
      <c r="M14852" s="278"/>
      <c r="O14852" s="247"/>
      <c r="AC14852" s="247"/>
      <c r="AT14852" s="247"/>
    </row>
    <row r="14853">
      <c r="C14853" s="278"/>
      <c r="M14853" s="278"/>
      <c r="O14853" s="247"/>
      <c r="AC14853" s="247"/>
      <c r="AT14853" s="247"/>
    </row>
    <row r="14854">
      <c r="C14854" s="278"/>
      <c r="M14854" s="278"/>
      <c r="O14854" s="247"/>
      <c r="AC14854" s="247"/>
      <c r="AT14854" s="247"/>
    </row>
    <row r="14855">
      <c r="C14855" s="278"/>
      <c r="M14855" s="278"/>
      <c r="O14855" s="247"/>
      <c r="AC14855" s="247"/>
      <c r="AT14855" s="247"/>
    </row>
    <row r="14856">
      <c r="C14856" s="278"/>
      <c r="M14856" s="278"/>
      <c r="O14856" s="247"/>
      <c r="AC14856" s="247"/>
      <c r="AT14856" s="247"/>
    </row>
    <row r="14857">
      <c r="C14857" s="278"/>
      <c r="M14857" s="278"/>
      <c r="O14857" s="247"/>
      <c r="AC14857" s="247"/>
      <c r="AT14857" s="247"/>
    </row>
    <row r="14858">
      <c r="C14858" s="278"/>
      <c r="M14858" s="278"/>
      <c r="O14858" s="247"/>
      <c r="AC14858" s="247"/>
      <c r="AT14858" s="247"/>
    </row>
    <row r="14859">
      <c r="C14859" s="278"/>
      <c r="M14859" s="278"/>
      <c r="O14859" s="247"/>
      <c r="AC14859" s="247"/>
      <c r="AT14859" s="247"/>
    </row>
    <row r="14860">
      <c r="C14860" s="278"/>
      <c r="M14860" s="278"/>
      <c r="O14860" s="247"/>
      <c r="AC14860" s="247"/>
      <c r="AT14860" s="247"/>
    </row>
    <row r="14861">
      <c r="C14861" s="278"/>
      <c r="M14861" s="278"/>
      <c r="O14861" s="247"/>
      <c r="AC14861" s="247"/>
      <c r="AT14861" s="247"/>
    </row>
    <row r="14862">
      <c r="C14862" s="278"/>
      <c r="M14862" s="278"/>
      <c r="O14862" s="247"/>
      <c r="AC14862" s="247"/>
      <c r="AT14862" s="247"/>
    </row>
    <row r="14863">
      <c r="C14863" s="278"/>
      <c r="M14863" s="278"/>
      <c r="O14863" s="247"/>
      <c r="AC14863" s="247"/>
      <c r="AT14863" s="247"/>
    </row>
    <row r="14864">
      <c r="C14864" s="278"/>
      <c r="M14864" s="278"/>
      <c r="O14864" s="247"/>
      <c r="AC14864" s="247"/>
      <c r="AT14864" s="247"/>
    </row>
    <row r="14865">
      <c r="C14865" s="278"/>
      <c r="M14865" s="278"/>
      <c r="O14865" s="247"/>
      <c r="AC14865" s="247"/>
      <c r="AT14865" s="247"/>
    </row>
    <row r="14866">
      <c r="C14866" s="278"/>
      <c r="M14866" s="278"/>
      <c r="O14866" s="247"/>
      <c r="AC14866" s="247"/>
      <c r="AT14866" s="247"/>
    </row>
    <row r="14867">
      <c r="C14867" s="278"/>
      <c r="M14867" s="278"/>
      <c r="O14867" s="247"/>
      <c r="AC14867" s="247"/>
      <c r="AT14867" s="247"/>
    </row>
    <row r="14868">
      <c r="C14868" s="278"/>
      <c r="M14868" s="278"/>
      <c r="O14868" s="247"/>
      <c r="AC14868" s="247"/>
      <c r="AT14868" s="247"/>
    </row>
    <row r="14869">
      <c r="C14869" s="278"/>
      <c r="M14869" s="278"/>
      <c r="O14869" s="247"/>
      <c r="AC14869" s="247"/>
      <c r="AT14869" s="247"/>
    </row>
    <row r="14870">
      <c r="C14870" s="278"/>
      <c r="M14870" s="278"/>
      <c r="O14870" s="247"/>
      <c r="AC14870" s="247"/>
      <c r="AT14870" s="247"/>
    </row>
    <row r="14871">
      <c r="C14871" s="278"/>
      <c r="M14871" s="278"/>
      <c r="O14871" s="247"/>
      <c r="AC14871" s="247"/>
      <c r="AT14871" s="247"/>
    </row>
    <row r="14872">
      <c r="C14872" s="278"/>
      <c r="M14872" s="278"/>
      <c r="O14872" s="247"/>
      <c r="AC14872" s="247"/>
      <c r="AT14872" s="247"/>
    </row>
    <row r="14873">
      <c r="C14873" s="278"/>
      <c r="M14873" s="278"/>
      <c r="O14873" s="247"/>
      <c r="AC14873" s="247"/>
      <c r="AT14873" s="247"/>
    </row>
    <row r="14874">
      <c r="C14874" s="278"/>
      <c r="M14874" s="278"/>
      <c r="O14874" s="247"/>
      <c r="AC14874" s="247"/>
      <c r="AT14874" s="247"/>
    </row>
    <row r="14875">
      <c r="C14875" s="278"/>
      <c r="M14875" s="278"/>
      <c r="O14875" s="247"/>
      <c r="AC14875" s="247"/>
      <c r="AT14875" s="247"/>
    </row>
    <row r="14876">
      <c r="C14876" s="278"/>
      <c r="M14876" s="278"/>
      <c r="O14876" s="247"/>
      <c r="AC14876" s="247"/>
      <c r="AT14876" s="247"/>
    </row>
    <row r="14877">
      <c r="C14877" s="278"/>
      <c r="M14877" s="278"/>
      <c r="O14877" s="247"/>
      <c r="AC14877" s="247"/>
      <c r="AT14877" s="247"/>
    </row>
    <row r="14878">
      <c r="C14878" s="278"/>
      <c r="M14878" s="278"/>
      <c r="O14878" s="247"/>
      <c r="AC14878" s="247"/>
      <c r="AT14878" s="247"/>
    </row>
    <row r="14879">
      <c r="C14879" s="278"/>
      <c r="M14879" s="278"/>
      <c r="O14879" s="247"/>
      <c r="AC14879" s="247"/>
      <c r="AT14879" s="247"/>
    </row>
    <row r="14880">
      <c r="C14880" s="278"/>
      <c r="M14880" s="278"/>
      <c r="O14880" s="247"/>
      <c r="AC14880" s="247"/>
      <c r="AT14880" s="247"/>
    </row>
    <row r="14881">
      <c r="C14881" s="278"/>
      <c r="M14881" s="278"/>
      <c r="O14881" s="247"/>
      <c r="AC14881" s="247"/>
      <c r="AT14881" s="247"/>
    </row>
    <row r="14882">
      <c r="C14882" s="278"/>
      <c r="M14882" s="278"/>
      <c r="O14882" s="247"/>
      <c r="AC14882" s="247"/>
      <c r="AT14882" s="247"/>
    </row>
    <row r="14883">
      <c r="C14883" s="278"/>
      <c r="M14883" s="278"/>
      <c r="O14883" s="247"/>
      <c r="AC14883" s="247"/>
      <c r="AT14883" s="247"/>
    </row>
    <row r="14884">
      <c r="C14884" s="278"/>
      <c r="M14884" s="278"/>
      <c r="O14884" s="247"/>
      <c r="AC14884" s="247"/>
      <c r="AT14884" s="247"/>
    </row>
    <row r="14885">
      <c r="C14885" s="278"/>
      <c r="M14885" s="278"/>
      <c r="O14885" s="247"/>
      <c r="AC14885" s="247"/>
      <c r="AT14885" s="247"/>
    </row>
    <row r="14886">
      <c r="C14886" s="278"/>
      <c r="M14886" s="278"/>
      <c r="O14886" s="247"/>
      <c r="AC14886" s="247"/>
      <c r="AT14886" s="247"/>
    </row>
    <row r="14887">
      <c r="C14887" s="278"/>
      <c r="M14887" s="278"/>
      <c r="O14887" s="247"/>
      <c r="AC14887" s="247"/>
      <c r="AT14887" s="247"/>
    </row>
    <row r="14888">
      <c r="C14888" s="278"/>
      <c r="M14888" s="278"/>
      <c r="O14888" s="247"/>
      <c r="AC14888" s="247"/>
      <c r="AT14888" s="247"/>
    </row>
    <row r="14889">
      <c r="C14889" s="278"/>
      <c r="M14889" s="278"/>
      <c r="O14889" s="247"/>
      <c r="AC14889" s="247"/>
      <c r="AT14889" s="247"/>
    </row>
    <row r="14890">
      <c r="C14890" s="278"/>
      <c r="M14890" s="278"/>
      <c r="O14890" s="247"/>
      <c r="AC14890" s="247"/>
      <c r="AT14890" s="247"/>
    </row>
    <row r="14891">
      <c r="C14891" s="278"/>
      <c r="M14891" s="278"/>
      <c r="O14891" s="247"/>
      <c r="AC14891" s="247"/>
      <c r="AT14891" s="247"/>
    </row>
    <row r="14892">
      <c r="C14892" s="278"/>
      <c r="M14892" s="278"/>
      <c r="O14892" s="247"/>
      <c r="AC14892" s="247"/>
      <c r="AT14892" s="247"/>
    </row>
    <row r="14893">
      <c r="C14893" s="278"/>
      <c r="M14893" s="278"/>
      <c r="O14893" s="247"/>
      <c r="AC14893" s="247"/>
      <c r="AT14893" s="247"/>
    </row>
    <row r="14894">
      <c r="C14894" s="278"/>
      <c r="M14894" s="278"/>
      <c r="O14894" s="247"/>
      <c r="AC14894" s="247"/>
      <c r="AT14894" s="247"/>
    </row>
    <row r="14895">
      <c r="C14895" s="278"/>
      <c r="M14895" s="278"/>
      <c r="O14895" s="247"/>
      <c r="AC14895" s="247"/>
      <c r="AT14895" s="247"/>
    </row>
    <row r="14896">
      <c r="C14896" s="278"/>
      <c r="M14896" s="278"/>
      <c r="O14896" s="247"/>
      <c r="AC14896" s="247"/>
      <c r="AT14896" s="247"/>
    </row>
    <row r="14897">
      <c r="C14897" s="278"/>
      <c r="M14897" s="278"/>
      <c r="O14897" s="247"/>
      <c r="AC14897" s="247"/>
      <c r="AT14897" s="247"/>
    </row>
    <row r="14898">
      <c r="C14898" s="278"/>
      <c r="M14898" s="278"/>
      <c r="O14898" s="247"/>
      <c r="AC14898" s="247"/>
      <c r="AT14898" s="247"/>
    </row>
    <row r="14899">
      <c r="C14899" s="278"/>
      <c r="M14899" s="278"/>
      <c r="O14899" s="247"/>
      <c r="AC14899" s="247"/>
      <c r="AT14899" s="247"/>
    </row>
    <row r="14900">
      <c r="C14900" s="278"/>
      <c r="M14900" s="278"/>
      <c r="O14900" s="247"/>
      <c r="AC14900" s="247"/>
      <c r="AT14900" s="247"/>
    </row>
    <row r="14901">
      <c r="C14901" s="278"/>
      <c r="M14901" s="278"/>
      <c r="O14901" s="247"/>
      <c r="AC14901" s="247"/>
      <c r="AT14901" s="247"/>
    </row>
    <row r="14902">
      <c r="C14902" s="278"/>
      <c r="M14902" s="278"/>
      <c r="O14902" s="247"/>
      <c r="AC14902" s="247"/>
      <c r="AT14902" s="247"/>
    </row>
    <row r="14903">
      <c r="C14903" s="278"/>
      <c r="M14903" s="278"/>
      <c r="O14903" s="247"/>
      <c r="AC14903" s="247"/>
      <c r="AT14903" s="247"/>
    </row>
    <row r="14904">
      <c r="C14904" s="278"/>
      <c r="M14904" s="278"/>
      <c r="O14904" s="247"/>
      <c r="AC14904" s="247"/>
      <c r="AT14904" s="247"/>
    </row>
    <row r="14905">
      <c r="C14905" s="278"/>
      <c r="M14905" s="278"/>
      <c r="O14905" s="247"/>
      <c r="AC14905" s="247"/>
      <c r="AT14905" s="247"/>
    </row>
    <row r="14906">
      <c r="C14906" s="278"/>
      <c r="M14906" s="278"/>
      <c r="O14906" s="247"/>
      <c r="AC14906" s="247"/>
      <c r="AT14906" s="247"/>
    </row>
    <row r="14907">
      <c r="C14907" s="278"/>
      <c r="M14907" s="278"/>
      <c r="O14907" s="247"/>
      <c r="AC14907" s="247"/>
      <c r="AT14907" s="247"/>
    </row>
    <row r="14908">
      <c r="C14908" s="278"/>
      <c r="M14908" s="278"/>
      <c r="O14908" s="247"/>
      <c r="AC14908" s="247"/>
      <c r="AT14908" s="247"/>
    </row>
    <row r="14909">
      <c r="C14909" s="278"/>
      <c r="M14909" s="278"/>
      <c r="O14909" s="247"/>
      <c r="AC14909" s="247"/>
      <c r="AT14909" s="247"/>
    </row>
    <row r="14910">
      <c r="C14910" s="278"/>
      <c r="M14910" s="278"/>
      <c r="O14910" s="247"/>
      <c r="AC14910" s="247"/>
      <c r="AT14910" s="247"/>
    </row>
    <row r="14911">
      <c r="C14911" s="278"/>
      <c r="M14911" s="278"/>
      <c r="O14911" s="247"/>
      <c r="AC14911" s="247"/>
      <c r="AT14911" s="247"/>
    </row>
    <row r="14912">
      <c r="C14912" s="278"/>
      <c r="M14912" s="278"/>
      <c r="O14912" s="247"/>
      <c r="AC14912" s="247"/>
      <c r="AT14912" s="247"/>
    </row>
    <row r="14913">
      <c r="C14913" s="278"/>
      <c r="M14913" s="278"/>
      <c r="O14913" s="247"/>
      <c r="AC14913" s="247"/>
      <c r="AT14913" s="247"/>
    </row>
    <row r="14914">
      <c r="C14914" s="278"/>
      <c r="M14914" s="278"/>
      <c r="O14914" s="247"/>
      <c r="AC14914" s="247"/>
      <c r="AT14914" s="247"/>
    </row>
    <row r="14915">
      <c r="C14915" s="278"/>
      <c r="M14915" s="278"/>
      <c r="O14915" s="247"/>
      <c r="AC14915" s="247"/>
      <c r="AT14915" s="247"/>
    </row>
    <row r="14916">
      <c r="C14916" s="278"/>
      <c r="M14916" s="278"/>
      <c r="O14916" s="247"/>
      <c r="AC14916" s="247"/>
      <c r="AT14916" s="247"/>
    </row>
    <row r="14917">
      <c r="C14917" s="278"/>
      <c r="M14917" s="278"/>
      <c r="O14917" s="247"/>
      <c r="AC14917" s="247"/>
      <c r="AT14917" s="247"/>
    </row>
    <row r="14918">
      <c r="C14918" s="278"/>
      <c r="M14918" s="278"/>
      <c r="O14918" s="247"/>
      <c r="AC14918" s="247"/>
      <c r="AT14918" s="247"/>
    </row>
    <row r="14919">
      <c r="C14919" s="277"/>
      <c r="M14919" s="278"/>
      <c r="O14919" s="247"/>
      <c r="AC14919" s="247"/>
      <c r="AT14919" s="247"/>
    </row>
    <row r="14920">
      <c r="C14920" s="278"/>
      <c r="M14920" s="278"/>
      <c r="O14920" s="247"/>
      <c r="AC14920" s="247"/>
      <c r="AT14920" s="247"/>
    </row>
    <row r="14921">
      <c r="C14921" s="277"/>
      <c r="M14921" s="278"/>
      <c r="O14921" s="247"/>
      <c r="AC14921" s="247"/>
      <c r="AT14921" s="247"/>
    </row>
    <row r="14922">
      <c r="C14922" s="278"/>
      <c r="M14922" s="278"/>
      <c r="O14922" s="247"/>
      <c r="AC14922" s="247"/>
      <c r="AT14922" s="247"/>
    </row>
    <row r="14923">
      <c r="C14923" s="278"/>
      <c r="M14923" s="278"/>
      <c r="O14923" s="247"/>
      <c r="AC14923" s="247"/>
      <c r="AT14923" s="247"/>
    </row>
    <row r="14924">
      <c r="C14924" s="278"/>
      <c r="M14924" s="278"/>
      <c r="O14924" s="247"/>
      <c r="AC14924" s="247"/>
      <c r="AT14924" s="247"/>
    </row>
    <row r="14925">
      <c r="C14925" s="278"/>
      <c r="M14925" s="278"/>
      <c r="O14925" s="247"/>
      <c r="AC14925" s="247"/>
      <c r="AT14925" s="247"/>
    </row>
    <row r="14926">
      <c r="C14926" s="278"/>
      <c r="M14926" s="278"/>
      <c r="O14926" s="247"/>
      <c r="AC14926" s="247"/>
      <c r="AT14926" s="247"/>
    </row>
    <row r="14927">
      <c r="C14927" s="278"/>
      <c r="M14927" s="278"/>
      <c r="O14927" s="247"/>
      <c r="AC14927" s="247"/>
      <c r="AT14927" s="247"/>
    </row>
    <row r="14928">
      <c r="C14928" s="278"/>
      <c r="M14928" s="278"/>
      <c r="O14928" s="247"/>
      <c r="AC14928" s="247"/>
      <c r="AT14928" s="247"/>
    </row>
    <row r="14929">
      <c r="C14929" s="278"/>
      <c r="M14929" s="278"/>
      <c r="O14929" s="247"/>
      <c r="AC14929" s="247"/>
      <c r="AT14929" s="247"/>
    </row>
    <row r="14930">
      <c r="C14930" s="278"/>
      <c r="M14930" s="278"/>
      <c r="O14930" s="247"/>
      <c r="AC14930" s="247"/>
      <c r="AT14930" s="247"/>
    </row>
    <row r="14931">
      <c r="C14931" s="278"/>
      <c r="M14931" s="278"/>
      <c r="O14931" s="247"/>
      <c r="AC14931" s="247"/>
      <c r="AT14931" s="247"/>
    </row>
    <row r="14932">
      <c r="C14932" s="278"/>
      <c r="M14932" s="278"/>
      <c r="O14932" s="247"/>
      <c r="AC14932" s="247"/>
      <c r="AT14932" s="247"/>
    </row>
    <row r="14933">
      <c r="C14933" s="278"/>
      <c r="M14933" s="278"/>
      <c r="O14933" s="247"/>
      <c r="AC14933" s="247"/>
      <c r="AT14933" s="247"/>
    </row>
    <row r="14934">
      <c r="C14934" s="278"/>
      <c r="M14934" s="278"/>
      <c r="O14934" s="247"/>
      <c r="AC14934" s="247"/>
      <c r="AT14934" s="247"/>
    </row>
    <row r="14935">
      <c r="C14935" s="278"/>
      <c r="M14935" s="278"/>
      <c r="O14935" s="247"/>
      <c r="AC14935" s="247"/>
      <c r="AT14935" s="247"/>
    </row>
    <row r="14936">
      <c r="C14936" s="278"/>
      <c r="M14936" s="278"/>
      <c r="O14936" s="247"/>
      <c r="AC14936" s="247"/>
      <c r="AT14936" s="247"/>
    </row>
    <row r="14937">
      <c r="C14937" s="278"/>
      <c r="M14937" s="278"/>
      <c r="O14937" s="247"/>
      <c r="AC14937" s="247"/>
      <c r="AT14937" s="247"/>
    </row>
    <row r="14938">
      <c r="C14938" s="278"/>
      <c r="M14938" s="278"/>
      <c r="O14938" s="247"/>
      <c r="AC14938" s="247"/>
      <c r="AT14938" s="247"/>
    </row>
    <row r="14939">
      <c r="C14939" s="278"/>
      <c r="M14939" s="278"/>
      <c r="O14939" s="247"/>
      <c r="AC14939" s="247"/>
      <c r="AT14939" s="247"/>
    </row>
    <row r="14940">
      <c r="C14940" s="278"/>
      <c r="M14940" s="278"/>
      <c r="O14940" s="247"/>
      <c r="AC14940" s="247"/>
      <c r="AT14940" s="247"/>
    </row>
    <row r="14941">
      <c r="C14941" s="278"/>
      <c r="M14941" s="278"/>
      <c r="O14941" s="247"/>
      <c r="AC14941" s="247"/>
      <c r="AT14941" s="247"/>
    </row>
    <row r="14942">
      <c r="C14942" s="278"/>
      <c r="M14942" s="278"/>
      <c r="O14942" s="247"/>
      <c r="AC14942" s="247"/>
      <c r="AT14942" s="247"/>
    </row>
    <row r="14943">
      <c r="C14943" s="278"/>
      <c r="M14943" s="278"/>
      <c r="O14943" s="247"/>
      <c r="AC14943" s="247"/>
      <c r="AT14943" s="247"/>
    </row>
    <row r="14944">
      <c r="C14944" s="278"/>
      <c r="M14944" s="278"/>
      <c r="O14944" s="247"/>
      <c r="AC14944" s="247"/>
      <c r="AT14944" s="247"/>
    </row>
    <row r="14945">
      <c r="C14945" s="278"/>
      <c r="M14945" s="278"/>
      <c r="O14945" s="247"/>
      <c r="AC14945" s="247"/>
      <c r="AT14945" s="247"/>
    </row>
    <row r="14946">
      <c r="C14946" s="278"/>
      <c r="M14946" s="278"/>
      <c r="O14946" s="247"/>
      <c r="AC14946" s="247"/>
      <c r="AT14946" s="247"/>
    </row>
    <row r="14947">
      <c r="C14947" s="278"/>
      <c r="M14947" s="278"/>
      <c r="O14947" s="247"/>
      <c r="AC14947" s="247"/>
      <c r="AT14947" s="247"/>
    </row>
    <row r="14948">
      <c r="C14948" s="278"/>
      <c r="M14948" s="278"/>
      <c r="O14948" s="247"/>
      <c r="AC14948" s="247"/>
      <c r="AT14948" s="247"/>
    </row>
    <row r="14949">
      <c r="C14949" s="278"/>
      <c r="M14949" s="278"/>
      <c r="O14949" s="247"/>
      <c r="AC14949" s="247"/>
      <c r="AT14949" s="247"/>
    </row>
    <row r="14950">
      <c r="C14950" s="278"/>
      <c r="M14950" s="278"/>
      <c r="O14950" s="247"/>
      <c r="AC14950" s="247"/>
      <c r="AT14950" s="247"/>
    </row>
    <row r="14951">
      <c r="C14951" s="278"/>
      <c r="M14951" s="278"/>
      <c r="O14951" s="247"/>
      <c r="AC14951" s="247"/>
      <c r="AT14951" s="247"/>
    </row>
    <row r="14952">
      <c r="C14952" s="278"/>
      <c r="M14952" s="278"/>
      <c r="O14952" s="247"/>
      <c r="AC14952" s="247"/>
      <c r="AT14952" s="247"/>
    </row>
    <row r="14953">
      <c r="C14953" s="278"/>
      <c r="M14953" s="278"/>
      <c r="O14953" s="247"/>
      <c r="AC14953" s="247"/>
      <c r="AT14953" s="247"/>
    </row>
    <row r="14954">
      <c r="C14954" s="278"/>
      <c r="M14954" s="278"/>
      <c r="O14954" s="247"/>
      <c r="AC14954" s="247"/>
      <c r="AT14954" s="247"/>
    </row>
    <row r="14955">
      <c r="C14955" s="278"/>
      <c r="M14955" s="278"/>
      <c r="O14955" s="247"/>
      <c r="AC14955" s="247"/>
      <c r="AT14955" s="247"/>
    </row>
    <row r="14956">
      <c r="C14956" s="278"/>
      <c r="M14956" s="278"/>
      <c r="O14956" s="247"/>
      <c r="AC14956" s="247"/>
      <c r="AT14956" s="247"/>
    </row>
    <row r="14957">
      <c r="C14957" s="278"/>
      <c r="M14957" s="278"/>
      <c r="O14957" s="247"/>
      <c r="AC14957" s="247"/>
      <c r="AT14957" s="247"/>
    </row>
    <row r="14958">
      <c r="C14958" s="278"/>
      <c r="M14958" s="278"/>
      <c r="O14958" s="247"/>
      <c r="AC14958" s="247"/>
      <c r="AT14958" s="247"/>
    </row>
    <row r="14959">
      <c r="C14959" s="278"/>
      <c r="M14959" s="278"/>
      <c r="O14959" s="247"/>
      <c r="AC14959" s="247"/>
      <c r="AT14959" s="247"/>
    </row>
    <row r="14960">
      <c r="C14960" s="278"/>
      <c r="M14960" s="278"/>
      <c r="O14960" s="247"/>
      <c r="AC14960" s="247"/>
      <c r="AT14960" s="247"/>
    </row>
    <row r="14961">
      <c r="C14961" s="278"/>
      <c r="M14961" s="278"/>
      <c r="O14961" s="247"/>
      <c r="AC14961" s="247"/>
      <c r="AT14961" s="247"/>
    </row>
    <row r="14962">
      <c r="C14962" s="278"/>
      <c r="M14962" s="278"/>
      <c r="O14962" s="247"/>
      <c r="AC14962" s="247"/>
      <c r="AT14962" s="247"/>
    </row>
    <row r="14963">
      <c r="C14963" s="278"/>
      <c r="M14963" s="278"/>
      <c r="O14963" s="247"/>
      <c r="AC14963" s="247"/>
      <c r="AT14963" s="247"/>
    </row>
    <row r="14964">
      <c r="C14964" s="278"/>
      <c r="M14964" s="278"/>
      <c r="O14964" s="247"/>
      <c r="AC14964" s="247"/>
      <c r="AT14964" s="247"/>
    </row>
    <row r="14965">
      <c r="C14965" s="278"/>
      <c r="M14965" s="278"/>
      <c r="O14965" s="247"/>
      <c r="AC14965" s="247"/>
      <c r="AT14965" s="247"/>
    </row>
    <row r="14966">
      <c r="C14966" s="278"/>
      <c r="M14966" s="278"/>
      <c r="O14966" s="247"/>
      <c r="AC14966" s="247"/>
      <c r="AT14966" s="247"/>
    </row>
    <row r="14967">
      <c r="C14967" s="278"/>
      <c r="M14967" s="278"/>
      <c r="O14967" s="247"/>
      <c r="AC14967" s="247"/>
      <c r="AT14967" s="247"/>
    </row>
    <row r="14968">
      <c r="C14968" s="278"/>
      <c r="M14968" s="278"/>
      <c r="O14968" s="247"/>
      <c r="AC14968" s="247"/>
      <c r="AT14968" s="247"/>
    </row>
    <row r="14969">
      <c r="C14969" s="278"/>
      <c r="M14969" s="278"/>
      <c r="O14969" s="247"/>
      <c r="AC14969" s="247"/>
      <c r="AT14969" s="247"/>
    </row>
    <row r="14970">
      <c r="C14970" s="278"/>
      <c r="M14970" s="278"/>
      <c r="O14970" s="247"/>
      <c r="AC14970" s="247"/>
      <c r="AT14970" s="247"/>
    </row>
    <row r="14971">
      <c r="C14971" s="278"/>
      <c r="M14971" s="278"/>
      <c r="O14971" s="247"/>
      <c r="AC14971" s="247"/>
      <c r="AT14971" s="247"/>
    </row>
    <row r="14972">
      <c r="C14972" s="278"/>
      <c r="M14972" s="278"/>
      <c r="O14972" s="247"/>
      <c r="AC14972" s="247"/>
      <c r="AT14972" s="247"/>
    </row>
    <row r="14973">
      <c r="C14973" s="278"/>
      <c r="M14973" s="278"/>
      <c r="O14973" s="247"/>
      <c r="AC14973" s="247"/>
      <c r="AT14973" s="247"/>
    </row>
    <row r="14974">
      <c r="C14974" s="278"/>
      <c r="M14974" s="278"/>
      <c r="O14974" s="247"/>
      <c r="AC14974" s="247"/>
      <c r="AT14974" s="247"/>
    </row>
    <row r="14975">
      <c r="C14975" s="278"/>
      <c r="M14975" s="278"/>
      <c r="O14975" s="247"/>
      <c r="AC14975" s="247"/>
      <c r="AT14975" s="247"/>
    </row>
    <row r="14976">
      <c r="C14976" s="278"/>
      <c r="M14976" s="278"/>
      <c r="O14976" s="247"/>
      <c r="AC14976" s="247"/>
      <c r="AT14976" s="247"/>
    </row>
    <row r="14977">
      <c r="C14977" s="278"/>
      <c r="M14977" s="278"/>
      <c r="O14977" s="247"/>
      <c r="AC14977" s="247"/>
      <c r="AT14977" s="247"/>
    </row>
    <row r="14978">
      <c r="C14978" s="278"/>
      <c r="M14978" s="278"/>
      <c r="O14978" s="247"/>
      <c r="AC14978" s="247"/>
      <c r="AT14978" s="247"/>
    </row>
    <row r="14979">
      <c r="C14979" s="278"/>
      <c r="M14979" s="278"/>
      <c r="O14979" s="247"/>
      <c r="AC14979" s="247"/>
      <c r="AT14979" s="247"/>
    </row>
    <row r="14980">
      <c r="C14980" s="278"/>
      <c r="M14980" s="278"/>
      <c r="O14980" s="247"/>
      <c r="AC14980" s="247"/>
      <c r="AT14980" s="247"/>
    </row>
    <row r="14981">
      <c r="C14981" s="278"/>
      <c r="M14981" s="278"/>
      <c r="O14981" s="247"/>
      <c r="AC14981" s="247"/>
      <c r="AT14981" s="247"/>
    </row>
    <row r="14982">
      <c r="C14982" s="278"/>
      <c r="M14982" s="278"/>
      <c r="O14982" s="247"/>
      <c r="AC14982" s="247"/>
      <c r="AT14982" s="247"/>
    </row>
    <row r="14983">
      <c r="C14983" s="278"/>
      <c r="M14983" s="278"/>
      <c r="O14983" s="247"/>
      <c r="AC14983" s="247"/>
      <c r="AT14983" s="247"/>
    </row>
    <row r="14984">
      <c r="C14984" s="278"/>
      <c r="M14984" s="278"/>
      <c r="O14984" s="247"/>
      <c r="AC14984" s="247"/>
      <c r="AT14984" s="247"/>
    </row>
    <row r="14985">
      <c r="C14985" s="278"/>
      <c r="M14985" s="278"/>
      <c r="O14985" s="247"/>
      <c r="AC14985" s="247"/>
      <c r="AT14985" s="247"/>
    </row>
    <row r="14986">
      <c r="C14986" s="278"/>
      <c r="M14986" s="278"/>
      <c r="O14986" s="247"/>
      <c r="AC14986" s="247"/>
      <c r="AT14986" s="247"/>
    </row>
    <row r="14987">
      <c r="C14987" s="278"/>
      <c r="M14987" s="278"/>
      <c r="O14987" s="247"/>
      <c r="AC14987" s="247"/>
      <c r="AT14987" s="247"/>
    </row>
    <row r="14988">
      <c r="C14988" s="278"/>
      <c r="M14988" s="278"/>
      <c r="O14988" s="247"/>
      <c r="AC14988" s="247"/>
      <c r="AT14988" s="247"/>
    </row>
    <row r="14989">
      <c r="C14989" s="278"/>
      <c r="M14989" s="278"/>
      <c r="O14989" s="247"/>
      <c r="AC14989" s="247"/>
      <c r="AT14989" s="247"/>
    </row>
    <row r="14990">
      <c r="C14990" s="278"/>
      <c r="M14990" s="278"/>
      <c r="O14990" s="247"/>
      <c r="AC14990" s="247"/>
      <c r="AT14990" s="247"/>
    </row>
    <row r="14991">
      <c r="C14991" s="278"/>
      <c r="M14991" s="278"/>
      <c r="O14991" s="247"/>
      <c r="AC14991" s="247"/>
      <c r="AT14991" s="247"/>
    </row>
    <row r="14992">
      <c r="C14992" s="278"/>
      <c r="M14992" s="278"/>
      <c r="O14992" s="247"/>
      <c r="AC14992" s="247"/>
      <c r="AT14992" s="247"/>
    </row>
    <row r="14993">
      <c r="C14993" s="278"/>
      <c r="M14993" s="278"/>
      <c r="O14993" s="247"/>
      <c r="AC14993" s="247"/>
      <c r="AT14993" s="247"/>
    </row>
    <row r="14994">
      <c r="C14994" s="278"/>
      <c r="M14994" s="278"/>
      <c r="O14994" s="247"/>
      <c r="AC14994" s="247"/>
      <c r="AT14994" s="247"/>
    </row>
    <row r="14995">
      <c r="C14995" s="278"/>
      <c r="M14995" s="278"/>
      <c r="O14995" s="247"/>
      <c r="AC14995" s="247"/>
      <c r="AT14995" s="247"/>
    </row>
    <row r="14996">
      <c r="C14996" s="278"/>
      <c r="M14996" s="278"/>
      <c r="O14996" s="247"/>
      <c r="AC14996" s="247"/>
      <c r="AT14996" s="247"/>
    </row>
    <row r="14997">
      <c r="C14997" s="278"/>
      <c r="M14997" s="278"/>
      <c r="O14997" s="247"/>
      <c r="AC14997" s="247"/>
      <c r="AT14997" s="247"/>
    </row>
    <row r="14998">
      <c r="C14998" s="278"/>
      <c r="M14998" s="278"/>
      <c r="O14998" s="247"/>
      <c r="AC14998" s="247"/>
      <c r="AT14998" s="247"/>
    </row>
    <row r="14999">
      <c r="C14999" s="278"/>
      <c r="M14999" s="278"/>
      <c r="O14999" s="247"/>
      <c r="AC14999" s="247"/>
      <c r="AT14999" s="247"/>
    </row>
    <row r="15000">
      <c r="C15000" s="278"/>
      <c r="M15000" s="278"/>
      <c r="O15000" s="247"/>
      <c r="AC15000" s="247"/>
      <c r="AT15000" s="247"/>
    </row>
    <row r="15001">
      <c r="C15001" s="278"/>
      <c r="M15001" s="278"/>
      <c r="O15001" s="247"/>
      <c r="AC15001" s="247"/>
      <c r="AT15001" s="247"/>
    </row>
    <row r="15002">
      <c r="C15002" s="278"/>
      <c r="M15002" s="278"/>
      <c r="O15002" s="247"/>
      <c r="AC15002" s="247"/>
      <c r="AT15002" s="247"/>
    </row>
    <row r="15003">
      <c r="C15003" s="278"/>
      <c r="M15003" s="278"/>
      <c r="O15003" s="247"/>
      <c r="AC15003" s="247"/>
      <c r="AT15003" s="247"/>
    </row>
    <row r="15004">
      <c r="C15004" s="278"/>
      <c r="M15004" s="278"/>
      <c r="O15004" s="247"/>
      <c r="AC15004" s="247"/>
      <c r="AT15004" s="247"/>
    </row>
    <row r="15005">
      <c r="C15005" s="278"/>
      <c r="M15005" s="278"/>
      <c r="O15005" s="247"/>
      <c r="AC15005" s="247"/>
      <c r="AT15005" s="247"/>
    </row>
    <row r="15006">
      <c r="C15006" s="278"/>
      <c r="M15006" s="278"/>
      <c r="O15006" s="247"/>
      <c r="AC15006" s="247"/>
      <c r="AT15006" s="247"/>
    </row>
    <row r="15007">
      <c r="C15007" s="278"/>
      <c r="M15007" s="278"/>
      <c r="O15007" s="247"/>
      <c r="AC15007" s="247"/>
      <c r="AT15007" s="247"/>
    </row>
    <row r="15008">
      <c r="C15008" s="278"/>
      <c r="M15008" s="278"/>
      <c r="O15008" s="247"/>
      <c r="AC15008" s="247"/>
      <c r="AT15008" s="247"/>
    </row>
    <row r="15009">
      <c r="C15009" s="278"/>
      <c r="M15009" s="278"/>
      <c r="O15009" s="247"/>
      <c r="AC15009" s="247"/>
      <c r="AT15009" s="247"/>
    </row>
    <row r="15010">
      <c r="C15010" s="278"/>
      <c r="M15010" s="278"/>
      <c r="O15010" s="247"/>
      <c r="AC15010" s="247"/>
      <c r="AT15010" s="247"/>
    </row>
    <row r="15011">
      <c r="C15011" s="278"/>
      <c r="M15011" s="278"/>
      <c r="O15011" s="247"/>
      <c r="AC15011" s="247"/>
      <c r="AT15011" s="247"/>
    </row>
    <row r="15012">
      <c r="C15012" s="278"/>
      <c r="M15012" s="278"/>
      <c r="O15012" s="247"/>
      <c r="AC15012" s="247"/>
      <c r="AT15012" s="247"/>
    </row>
    <row r="15013">
      <c r="C15013" s="278"/>
      <c r="M15013" s="278"/>
      <c r="O15013" s="247"/>
      <c r="AC15013" s="247"/>
      <c r="AT15013" s="247"/>
    </row>
    <row r="15014">
      <c r="C15014" s="278"/>
      <c r="M15014" s="278"/>
      <c r="O15014" s="247"/>
      <c r="AC15014" s="247"/>
      <c r="AT15014" s="247"/>
    </row>
    <row r="15015">
      <c r="C15015" s="278"/>
      <c r="M15015" s="278"/>
      <c r="O15015" s="247"/>
      <c r="AC15015" s="247"/>
      <c r="AT15015" s="247"/>
    </row>
    <row r="15016">
      <c r="C15016" s="278"/>
      <c r="M15016" s="278"/>
      <c r="O15016" s="247"/>
      <c r="AC15016" s="247"/>
      <c r="AT15016" s="247"/>
    </row>
    <row r="15017">
      <c r="C15017" s="278"/>
      <c r="M15017" s="278"/>
      <c r="O15017" s="247"/>
      <c r="AC15017" s="247"/>
      <c r="AT15017" s="247"/>
    </row>
    <row r="15018">
      <c r="C15018" s="278"/>
      <c r="M15018" s="278"/>
      <c r="O15018" s="247"/>
      <c r="AC15018" s="247"/>
      <c r="AT15018" s="247"/>
    </row>
    <row r="15019">
      <c r="C15019" s="278"/>
      <c r="M15019" s="278"/>
      <c r="O15019" s="247"/>
      <c r="AC15019" s="247"/>
      <c r="AT15019" s="247"/>
    </row>
    <row r="15020">
      <c r="C15020" s="278"/>
      <c r="M15020" s="278"/>
      <c r="O15020" s="247"/>
      <c r="AC15020" s="247"/>
      <c r="AT15020" s="247"/>
    </row>
    <row r="15021">
      <c r="C15021" s="278"/>
      <c r="M15021" s="278"/>
      <c r="O15021" s="247"/>
      <c r="AC15021" s="247"/>
      <c r="AT15021" s="247"/>
    </row>
    <row r="15022">
      <c r="C15022" s="278"/>
      <c r="M15022" s="278"/>
      <c r="O15022" s="247"/>
      <c r="AC15022" s="247"/>
      <c r="AT15022" s="247"/>
    </row>
    <row r="15023">
      <c r="C15023" s="278"/>
      <c r="M15023" s="278"/>
      <c r="O15023" s="247"/>
      <c r="AC15023" s="247"/>
      <c r="AT15023" s="247"/>
    </row>
    <row r="15024">
      <c r="C15024" s="278"/>
      <c r="M15024" s="278"/>
      <c r="O15024" s="247"/>
      <c r="AC15024" s="247"/>
      <c r="AT15024" s="247"/>
    </row>
    <row r="15025">
      <c r="C15025" s="278"/>
      <c r="M15025" s="278"/>
      <c r="O15025" s="247"/>
      <c r="AC15025" s="247"/>
      <c r="AT15025" s="247"/>
    </row>
    <row r="15026">
      <c r="C15026" s="278"/>
      <c r="M15026" s="278"/>
      <c r="O15026" s="247"/>
      <c r="AC15026" s="247"/>
      <c r="AT15026" s="247"/>
    </row>
    <row r="15027">
      <c r="C15027" s="278"/>
      <c r="M15027" s="278"/>
      <c r="O15027" s="247"/>
      <c r="AC15027" s="247"/>
      <c r="AT15027" s="247"/>
    </row>
    <row r="15028">
      <c r="C15028" s="278"/>
      <c r="M15028" s="278"/>
      <c r="O15028" s="247"/>
      <c r="AC15028" s="247"/>
      <c r="AT15028" s="247"/>
    </row>
    <row r="15029">
      <c r="C15029" s="278"/>
      <c r="M15029" s="278"/>
      <c r="O15029" s="247"/>
      <c r="AC15029" s="247"/>
      <c r="AT15029" s="247"/>
    </row>
    <row r="15030">
      <c r="C15030" s="278"/>
      <c r="M15030" s="278"/>
      <c r="O15030" s="247"/>
      <c r="AC15030" s="247"/>
      <c r="AT15030" s="247"/>
    </row>
    <row r="15031">
      <c r="C15031" s="278"/>
      <c r="M15031" s="278"/>
      <c r="O15031" s="247"/>
      <c r="AC15031" s="247"/>
      <c r="AT15031" s="247"/>
    </row>
    <row r="15032">
      <c r="C15032" s="278"/>
      <c r="M15032" s="278"/>
      <c r="O15032" s="247"/>
      <c r="AC15032" s="247"/>
      <c r="AT15032" s="247"/>
    </row>
    <row r="15033">
      <c r="C15033" s="278"/>
      <c r="M15033" s="278"/>
      <c r="O15033" s="247"/>
      <c r="AC15033" s="247"/>
      <c r="AT15033" s="247"/>
    </row>
    <row r="15034">
      <c r="C15034" s="278"/>
      <c r="M15034" s="278"/>
      <c r="O15034" s="247"/>
      <c r="AC15034" s="247"/>
      <c r="AT15034" s="247"/>
    </row>
    <row r="15035">
      <c r="C15035" s="278"/>
      <c r="M15035" s="278"/>
      <c r="O15035" s="247"/>
      <c r="AC15035" s="247"/>
      <c r="AT15035" s="247"/>
    </row>
    <row r="15036">
      <c r="C15036" s="278"/>
      <c r="M15036" s="278"/>
      <c r="O15036" s="247"/>
      <c r="AC15036" s="247"/>
      <c r="AT15036" s="247"/>
    </row>
    <row r="15037">
      <c r="C15037" s="278"/>
      <c r="M15037" s="278"/>
      <c r="O15037" s="247"/>
      <c r="AC15037" s="247"/>
      <c r="AT15037" s="247"/>
    </row>
    <row r="15038">
      <c r="C15038" s="278"/>
      <c r="M15038" s="278"/>
      <c r="O15038" s="247"/>
      <c r="AC15038" s="247"/>
      <c r="AT15038" s="247"/>
    </row>
    <row r="15039">
      <c r="C15039" s="278"/>
      <c r="M15039" s="278"/>
      <c r="O15039" s="247"/>
      <c r="AC15039" s="247"/>
      <c r="AT15039" s="247"/>
    </row>
    <row r="15040">
      <c r="C15040" s="278"/>
      <c r="M15040" s="278"/>
      <c r="O15040" s="247"/>
      <c r="AC15040" s="247"/>
      <c r="AT15040" s="247"/>
    </row>
    <row r="15041">
      <c r="C15041" s="278"/>
      <c r="M15041" s="278"/>
      <c r="O15041" s="247"/>
      <c r="AC15041" s="247"/>
      <c r="AT15041" s="247"/>
    </row>
    <row r="15042">
      <c r="C15042" s="278"/>
      <c r="M15042" s="278"/>
      <c r="O15042" s="247"/>
      <c r="AC15042" s="247"/>
      <c r="AT15042" s="247"/>
    </row>
    <row r="15043">
      <c r="C15043" s="278"/>
      <c r="M15043" s="278"/>
      <c r="O15043" s="247"/>
      <c r="AC15043" s="247"/>
      <c r="AT15043" s="247"/>
    </row>
    <row r="15044">
      <c r="C15044" s="278"/>
      <c r="M15044" s="278"/>
      <c r="O15044" s="247"/>
      <c r="AC15044" s="247"/>
      <c r="AT15044" s="247"/>
    </row>
    <row r="15045">
      <c r="C15045" s="278"/>
      <c r="M15045" s="278"/>
      <c r="O15045" s="247"/>
      <c r="AC15045" s="247"/>
      <c r="AT15045" s="247"/>
    </row>
    <row r="15046">
      <c r="C15046" s="278"/>
      <c r="M15046" s="278"/>
      <c r="O15046" s="247"/>
      <c r="AC15046" s="247"/>
      <c r="AT15046" s="247"/>
    </row>
    <row r="15047">
      <c r="C15047" s="278"/>
      <c r="M15047" s="278"/>
      <c r="O15047" s="247"/>
      <c r="AC15047" s="247"/>
      <c r="AT15047" s="247"/>
    </row>
    <row r="15048">
      <c r="C15048" s="278"/>
      <c r="M15048" s="278"/>
      <c r="O15048" s="247"/>
      <c r="AC15048" s="247"/>
      <c r="AT15048" s="247"/>
    </row>
    <row r="15049">
      <c r="C15049" s="278"/>
      <c r="M15049" s="278"/>
      <c r="O15049" s="247"/>
      <c r="AC15049" s="247"/>
      <c r="AT15049" s="247"/>
    </row>
    <row r="15050">
      <c r="C15050" s="278"/>
      <c r="M15050" s="278"/>
      <c r="O15050" s="247"/>
      <c r="AC15050" s="247"/>
      <c r="AT15050" s="247"/>
    </row>
    <row r="15051">
      <c r="C15051" s="278"/>
      <c r="M15051" s="278"/>
      <c r="O15051" s="247"/>
      <c r="AC15051" s="247"/>
      <c r="AT15051" s="247"/>
    </row>
    <row r="15052">
      <c r="C15052" s="278"/>
      <c r="M15052" s="278"/>
      <c r="O15052" s="247"/>
      <c r="AC15052" s="247"/>
      <c r="AT15052" s="247"/>
    </row>
    <row r="15053">
      <c r="C15053" s="278"/>
      <c r="M15053" s="278"/>
      <c r="O15053" s="247"/>
      <c r="AC15053" s="247"/>
      <c r="AT15053" s="247"/>
    </row>
    <row r="15054">
      <c r="C15054" s="278"/>
      <c r="M15054" s="278"/>
      <c r="O15054" s="247"/>
      <c r="AC15054" s="247"/>
      <c r="AT15054" s="247"/>
    </row>
    <row r="15055">
      <c r="C15055" s="278"/>
      <c r="M15055" s="278"/>
      <c r="O15055" s="247"/>
      <c r="AC15055" s="247"/>
      <c r="AT15055" s="247"/>
    </row>
    <row r="15056">
      <c r="C15056" s="278"/>
      <c r="M15056" s="278"/>
      <c r="O15056" s="247"/>
      <c r="AC15056" s="247"/>
      <c r="AT15056" s="247"/>
    </row>
    <row r="15057">
      <c r="C15057" s="278"/>
      <c r="M15057" s="278"/>
      <c r="O15057" s="247"/>
      <c r="AC15057" s="247"/>
      <c r="AT15057" s="247"/>
    </row>
    <row r="15058">
      <c r="C15058" s="278"/>
      <c r="M15058" s="278"/>
      <c r="O15058" s="247"/>
      <c r="AC15058" s="247"/>
      <c r="AT15058" s="247"/>
    </row>
    <row r="15059">
      <c r="C15059" s="278"/>
      <c r="M15059" s="278"/>
      <c r="O15059" s="247"/>
      <c r="AC15059" s="247"/>
      <c r="AT15059" s="247"/>
    </row>
    <row r="15060">
      <c r="C15060" s="278"/>
      <c r="M15060" s="278"/>
      <c r="O15060" s="247"/>
      <c r="AC15060" s="247"/>
      <c r="AT15060" s="247"/>
    </row>
    <row r="15061">
      <c r="C15061" s="278"/>
      <c r="M15061" s="278"/>
      <c r="O15061" s="247"/>
      <c r="AC15061" s="247"/>
      <c r="AT15061" s="247"/>
    </row>
    <row r="15062">
      <c r="C15062" s="278"/>
      <c r="M15062" s="278"/>
      <c r="O15062" s="247"/>
      <c r="AC15062" s="247"/>
      <c r="AT15062" s="247"/>
    </row>
    <row r="15063">
      <c r="C15063" s="278"/>
      <c r="M15063" s="278"/>
      <c r="O15063" s="247"/>
      <c r="AC15063" s="247"/>
      <c r="AT15063" s="247"/>
    </row>
    <row r="15064">
      <c r="C15064" s="278"/>
      <c r="M15064" s="278"/>
      <c r="O15064" s="247"/>
      <c r="AC15064" s="247"/>
      <c r="AT15064" s="247"/>
    </row>
    <row r="15065">
      <c r="C15065" s="278"/>
      <c r="M15065" s="278"/>
      <c r="O15065" s="247"/>
      <c r="AC15065" s="247"/>
      <c r="AT15065" s="247"/>
    </row>
    <row r="15066">
      <c r="C15066" s="278"/>
      <c r="M15066" s="278"/>
      <c r="O15066" s="247"/>
      <c r="AC15066" s="247"/>
      <c r="AT15066" s="247"/>
    </row>
    <row r="15067">
      <c r="C15067" s="278"/>
      <c r="M15067" s="278"/>
      <c r="O15067" s="247"/>
      <c r="AC15067" s="247"/>
      <c r="AT15067" s="247"/>
    </row>
    <row r="15068">
      <c r="C15068" s="278"/>
      <c r="M15068" s="278"/>
      <c r="O15068" s="247"/>
      <c r="AC15068" s="247"/>
      <c r="AT15068" s="247"/>
    </row>
    <row r="15069">
      <c r="C15069" s="278"/>
      <c r="M15069" s="278"/>
      <c r="O15069" s="247"/>
      <c r="AC15069" s="247"/>
      <c r="AT15069" s="247"/>
    </row>
    <row r="15070">
      <c r="C15070" s="278"/>
      <c r="M15070" s="278"/>
      <c r="O15070" s="247"/>
      <c r="AC15070" s="247"/>
      <c r="AT15070" s="247"/>
    </row>
    <row r="15071">
      <c r="C15071" s="278"/>
      <c r="M15071" s="278"/>
      <c r="O15071" s="247"/>
      <c r="AC15071" s="247"/>
      <c r="AT15071" s="247"/>
    </row>
    <row r="15072">
      <c r="C15072" s="278"/>
      <c r="M15072" s="278"/>
      <c r="O15072" s="247"/>
      <c r="AC15072" s="247"/>
      <c r="AT15072" s="247"/>
    </row>
    <row r="15073">
      <c r="C15073" s="278"/>
      <c r="M15073" s="278"/>
      <c r="O15073" s="247"/>
      <c r="AC15073" s="247"/>
      <c r="AT15073" s="247"/>
    </row>
    <row r="15074">
      <c r="C15074" s="278"/>
      <c r="M15074" s="278"/>
      <c r="O15074" s="247"/>
      <c r="AC15074" s="247"/>
      <c r="AT15074" s="247"/>
    </row>
    <row r="15075">
      <c r="C15075" s="278"/>
      <c r="M15075" s="278"/>
      <c r="O15075" s="247"/>
      <c r="AC15075" s="247"/>
      <c r="AT15075" s="247"/>
    </row>
    <row r="15076">
      <c r="C15076" s="278"/>
      <c r="M15076" s="278"/>
      <c r="O15076" s="247"/>
      <c r="AC15076" s="247"/>
      <c r="AT15076" s="247"/>
    </row>
    <row r="15077">
      <c r="C15077" s="278"/>
      <c r="M15077" s="278"/>
      <c r="O15077" s="247"/>
      <c r="AC15077" s="247"/>
      <c r="AT15077" s="247"/>
    </row>
    <row r="15078">
      <c r="C15078" s="278"/>
      <c r="M15078" s="278"/>
      <c r="O15078" s="247"/>
      <c r="AC15078" s="247"/>
      <c r="AT15078" s="247"/>
    </row>
    <row r="15079">
      <c r="C15079" s="278"/>
      <c r="M15079" s="278"/>
      <c r="O15079" s="247"/>
      <c r="AC15079" s="247"/>
      <c r="AT15079" s="247"/>
    </row>
    <row r="15080">
      <c r="C15080" s="278"/>
      <c r="M15080" s="278"/>
      <c r="O15080" s="247"/>
      <c r="AC15080" s="247"/>
      <c r="AT15080" s="247"/>
    </row>
    <row r="15081">
      <c r="C15081" s="278"/>
      <c r="M15081" s="278"/>
      <c r="O15081" s="247"/>
      <c r="AC15081" s="247"/>
      <c r="AT15081" s="247"/>
    </row>
    <row r="15082">
      <c r="C15082" s="278"/>
      <c r="M15082" s="278"/>
      <c r="O15082" s="247"/>
      <c r="AC15082" s="247"/>
      <c r="AT15082" s="247"/>
    </row>
    <row r="15083">
      <c r="C15083" s="278"/>
      <c r="M15083" s="278"/>
      <c r="O15083" s="247"/>
      <c r="AC15083" s="247"/>
      <c r="AT15083" s="247"/>
    </row>
    <row r="15084">
      <c r="C15084" s="278"/>
      <c r="M15084" s="278"/>
      <c r="O15084" s="247"/>
      <c r="AC15084" s="247"/>
      <c r="AT15084" s="247"/>
    </row>
    <row r="15085">
      <c r="C15085" s="278"/>
      <c r="M15085" s="278"/>
      <c r="O15085" s="247"/>
      <c r="AC15085" s="247"/>
      <c r="AT15085" s="247"/>
    </row>
    <row r="15086">
      <c r="C15086" s="278"/>
      <c r="M15086" s="278"/>
      <c r="O15086" s="247"/>
      <c r="AC15086" s="247"/>
      <c r="AT15086" s="247"/>
    </row>
    <row r="15087">
      <c r="C15087" s="278"/>
      <c r="M15087" s="278"/>
      <c r="O15087" s="247"/>
      <c r="AC15087" s="247"/>
      <c r="AT15087" s="247"/>
    </row>
    <row r="15088">
      <c r="C15088" s="278"/>
      <c r="M15088" s="278"/>
      <c r="O15088" s="247"/>
      <c r="AC15088" s="247"/>
      <c r="AT15088" s="247"/>
    </row>
    <row r="15089">
      <c r="C15089" s="278"/>
      <c r="M15089" s="278"/>
      <c r="O15089" s="247"/>
      <c r="AC15089" s="247"/>
      <c r="AT15089" s="247"/>
    </row>
    <row r="15090">
      <c r="C15090" s="278"/>
      <c r="M15090" s="278"/>
      <c r="O15090" s="247"/>
      <c r="AC15090" s="247"/>
      <c r="AT15090" s="247"/>
    </row>
    <row r="15091">
      <c r="C15091" s="278"/>
      <c r="M15091" s="278"/>
      <c r="O15091" s="247"/>
      <c r="AC15091" s="247"/>
      <c r="AT15091" s="247"/>
    </row>
    <row r="15092">
      <c r="C15092" s="278"/>
      <c r="M15092" s="278"/>
      <c r="O15092" s="247"/>
      <c r="AC15092" s="247"/>
      <c r="AT15092" s="247"/>
    </row>
    <row r="15093">
      <c r="C15093" s="278"/>
      <c r="M15093" s="278"/>
      <c r="O15093" s="247"/>
      <c r="AC15093" s="247"/>
      <c r="AT15093" s="247"/>
    </row>
    <row r="15094">
      <c r="C15094" s="278"/>
      <c r="M15094" s="278"/>
      <c r="O15094" s="247"/>
      <c r="AC15094" s="247"/>
      <c r="AT15094" s="247"/>
    </row>
    <row r="15095">
      <c r="C15095" s="278"/>
      <c r="M15095" s="278"/>
      <c r="O15095" s="247"/>
      <c r="AC15095" s="247"/>
      <c r="AT15095" s="247"/>
    </row>
    <row r="15096">
      <c r="C15096" s="278"/>
      <c r="M15096" s="278"/>
      <c r="O15096" s="247"/>
      <c r="AC15096" s="247"/>
      <c r="AT15096" s="247"/>
    </row>
    <row r="15097">
      <c r="C15097" s="278"/>
      <c r="M15097" s="278"/>
      <c r="O15097" s="247"/>
      <c r="AC15097" s="247"/>
      <c r="AT15097" s="247"/>
    </row>
    <row r="15098">
      <c r="C15098" s="278"/>
      <c r="M15098" s="278"/>
      <c r="O15098" s="247"/>
      <c r="AC15098" s="247"/>
      <c r="AT15098" s="247"/>
    </row>
    <row r="15099">
      <c r="C15099" s="278"/>
      <c r="M15099" s="278"/>
      <c r="O15099" s="247"/>
      <c r="AC15099" s="247"/>
      <c r="AT15099" s="247"/>
    </row>
    <row r="15100">
      <c r="C15100" s="278"/>
      <c r="M15100" s="278"/>
      <c r="O15100" s="247"/>
      <c r="AC15100" s="247"/>
      <c r="AT15100" s="247"/>
    </row>
    <row r="15101">
      <c r="C15101" s="278"/>
      <c r="M15101" s="278"/>
      <c r="O15101" s="247"/>
      <c r="AC15101" s="247"/>
      <c r="AT15101" s="247"/>
    </row>
    <row r="15102">
      <c r="C15102" s="278"/>
      <c r="M15102" s="278"/>
      <c r="O15102" s="247"/>
      <c r="AC15102" s="247"/>
      <c r="AT15102" s="247"/>
    </row>
    <row r="15103">
      <c r="C15103" s="278"/>
      <c r="M15103" s="278"/>
      <c r="O15103" s="247"/>
      <c r="AC15103" s="247"/>
      <c r="AT15103" s="247"/>
    </row>
    <row r="15104">
      <c r="C15104" s="278"/>
      <c r="M15104" s="278"/>
      <c r="O15104" s="247"/>
      <c r="AC15104" s="247"/>
      <c r="AT15104" s="247"/>
    </row>
    <row r="15105">
      <c r="C15105" s="278"/>
      <c r="M15105" s="278"/>
      <c r="O15105" s="247"/>
      <c r="AC15105" s="247"/>
      <c r="AT15105" s="247"/>
    </row>
    <row r="15106">
      <c r="C15106" s="277"/>
      <c r="M15106" s="278"/>
      <c r="O15106" s="247"/>
      <c r="AC15106" s="247"/>
      <c r="AT15106" s="247"/>
    </row>
    <row r="15107">
      <c r="C15107" s="278"/>
      <c r="M15107" s="278"/>
      <c r="O15107" s="247"/>
      <c r="AC15107" s="247"/>
      <c r="AT15107" s="247"/>
    </row>
    <row r="15108">
      <c r="C15108" s="277"/>
      <c r="M15108" s="278"/>
      <c r="O15108" s="247"/>
      <c r="AC15108" s="247"/>
      <c r="AT15108" s="247"/>
    </row>
    <row r="15109">
      <c r="C15109" s="278"/>
      <c r="M15109" s="278"/>
      <c r="O15109" s="247"/>
      <c r="AC15109" s="247"/>
      <c r="AT15109" s="247"/>
    </row>
    <row r="15110">
      <c r="C15110" s="278"/>
      <c r="M15110" s="278"/>
      <c r="O15110" s="247"/>
      <c r="AC15110" s="247"/>
      <c r="AT15110" s="247"/>
    </row>
    <row r="15111">
      <c r="C15111" s="278"/>
      <c r="M15111" s="278"/>
      <c r="O15111" s="247"/>
      <c r="AC15111" s="247"/>
      <c r="AT15111" s="247"/>
    </row>
    <row r="15112">
      <c r="C15112" s="278"/>
      <c r="M15112" s="278"/>
      <c r="O15112" s="247"/>
      <c r="AC15112" s="247"/>
      <c r="AT15112" s="247"/>
    </row>
    <row r="15113">
      <c r="C15113" s="278"/>
      <c r="M15113" s="278"/>
      <c r="O15113" s="247"/>
      <c r="AC15113" s="247"/>
      <c r="AT15113" s="247"/>
    </row>
    <row r="15114">
      <c r="C15114" s="278"/>
      <c r="M15114" s="278"/>
      <c r="O15114" s="247"/>
      <c r="AC15114" s="247"/>
      <c r="AT15114" s="247"/>
    </row>
    <row r="15115">
      <c r="C15115" s="278"/>
      <c r="M15115" s="278"/>
      <c r="O15115" s="247"/>
      <c r="AC15115" s="247"/>
      <c r="AT15115" s="247"/>
    </row>
    <row r="15116">
      <c r="C15116" s="278"/>
      <c r="M15116" s="278"/>
      <c r="O15116" s="247"/>
      <c r="AC15116" s="247"/>
      <c r="AT15116" s="247"/>
    </row>
    <row r="15117">
      <c r="C15117" s="278"/>
      <c r="M15117" s="278"/>
      <c r="O15117" s="247"/>
      <c r="AC15117" s="247"/>
      <c r="AT15117" s="247"/>
    </row>
    <row r="15118">
      <c r="C15118" s="278"/>
      <c r="M15118" s="278"/>
      <c r="O15118" s="247"/>
      <c r="AC15118" s="247"/>
      <c r="AT15118" s="247"/>
    </row>
    <row r="15119">
      <c r="C15119" s="278"/>
      <c r="M15119" s="278"/>
      <c r="O15119" s="247"/>
      <c r="AC15119" s="247"/>
      <c r="AT15119" s="247"/>
    </row>
    <row r="15120">
      <c r="C15120" s="278"/>
      <c r="M15120" s="278"/>
      <c r="O15120" s="247"/>
      <c r="AC15120" s="247"/>
      <c r="AT15120" s="247"/>
    </row>
    <row r="15121">
      <c r="C15121" s="278"/>
      <c r="M15121" s="278"/>
      <c r="O15121" s="247"/>
      <c r="AC15121" s="247"/>
      <c r="AT15121" s="247"/>
    </row>
    <row r="15122">
      <c r="C15122" s="278"/>
      <c r="M15122" s="278"/>
      <c r="O15122" s="247"/>
      <c r="AC15122" s="247"/>
      <c r="AT15122" s="247"/>
    </row>
    <row r="15123">
      <c r="C15123" s="278"/>
      <c r="M15123" s="278"/>
      <c r="O15123" s="247"/>
      <c r="AC15123" s="247"/>
      <c r="AT15123" s="247"/>
    </row>
    <row r="15124">
      <c r="C15124" s="278"/>
      <c r="M15124" s="278"/>
      <c r="O15124" s="247"/>
      <c r="AC15124" s="247"/>
      <c r="AT15124" s="247"/>
    </row>
    <row r="15125">
      <c r="C15125" s="278"/>
      <c r="M15125" s="278"/>
      <c r="O15125" s="247"/>
      <c r="AC15125" s="247"/>
      <c r="AT15125" s="247"/>
    </row>
    <row r="15126">
      <c r="C15126" s="278"/>
      <c r="M15126" s="278"/>
      <c r="O15126" s="247"/>
      <c r="AC15126" s="247"/>
      <c r="AT15126" s="247"/>
    </row>
    <row r="15127">
      <c r="C15127" s="278"/>
      <c r="M15127" s="278"/>
      <c r="O15127" s="247"/>
      <c r="AC15127" s="247"/>
      <c r="AT15127" s="247"/>
    </row>
    <row r="15128">
      <c r="C15128" s="278"/>
      <c r="M15128" s="278"/>
      <c r="O15128" s="247"/>
      <c r="AC15128" s="247"/>
      <c r="AT15128" s="247"/>
    </row>
    <row r="15129">
      <c r="C15129" s="278"/>
      <c r="M15129" s="278"/>
      <c r="O15129" s="247"/>
      <c r="AC15129" s="247"/>
      <c r="AT15129" s="247"/>
    </row>
    <row r="15130">
      <c r="C15130" s="278"/>
      <c r="M15130" s="278"/>
      <c r="O15130" s="247"/>
      <c r="AC15130" s="247"/>
      <c r="AT15130" s="247"/>
    </row>
    <row r="15131">
      <c r="C15131" s="278"/>
      <c r="M15131" s="278"/>
      <c r="O15131" s="247"/>
      <c r="AC15131" s="247"/>
      <c r="AT15131" s="247"/>
    </row>
    <row r="15132">
      <c r="C15132" s="278"/>
      <c r="M15132" s="278"/>
      <c r="O15132" s="247"/>
      <c r="AC15132" s="247"/>
      <c r="AT15132" s="247"/>
    </row>
    <row r="15133">
      <c r="C15133" s="278"/>
      <c r="M15133" s="278"/>
      <c r="O15133" s="247"/>
      <c r="AC15133" s="247"/>
      <c r="AT15133" s="247"/>
    </row>
    <row r="15134">
      <c r="C15134" s="278"/>
      <c r="M15134" s="278"/>
      <c r="O15134" s="247"/>
      <c r="AC15134" s="247"/>
      <c r="AT15134" s="247"/>
    </row>
    <row r="15135">
      <c r="C15135" s="278"/>
      <c r="M15135" s="278"/>
      <c r="O15135" s="247"/>
      <c r="AC15135" s="247"/>
      <c r="AT15135" s="247"/>
    </row>
    <row r="15136">
      <c r="C15136" s="278"/>
      <c r="M15136" s="278"/>
      <c r="O15136" s="247"/>
      <c r="AC15136" s="247"/>
      <c r="AT15136" s="247"/>
    </row>
    <row r="15137">
      <c r="C15137" s="278"/>
      <c r="M15137" s="278"/>
      <c r="O15137" s="247"/>
      <c r="AC15137" s="247"/>
      <c r="AT15137" s="247"/>
    </row>
    <row r="15138">
      <c r="C15138" s="278"/>
      <c r="M15138" s="278"/>
      <c r="O15138" s="247"/>
      <c r="AC15138" s="247"/>
      <c r="AT15138" s="247"/>
    </row>
    <row r="15139">
      <c r="C15139" s="278"/>
      <c r="M15139" s="278"/>
      <c r="O15139" s="247"/>
      <c r="AC15139" s="247"/>
      <c r="AT15139" s="247"/>
    </row>
    <row r="15140">
      <c r="C15140" s="278"/>
      <c r="M15140" s="278"/>
      <c r="O15140" s="247"/>
      <c r="AC15140" s="247"/>
      <c r="AT15140" s="247"/>
    </row>
    <row r="15141">
      <c r="C15141" s="277"/>
      <c r="M15141" s="278"/>
      <c r="O15141" s="247"/>
      <c r="AC15141" s="247"/>
      <c r="AT15141" s="247"/>
    </row>
    <row r="15142">
      <c r="C15142" s="277"/>
      <c r="M15142" s="278"/>
      <c r="O15142" s="247"/>
      <c r="AC15142" s="247"/>
      <c r="AT15142" s="247"/>
    </row>
    <row r="15143">
      <c r="C15143" s="277"/>
      <c r="M15143" s="278"/>
      <c r="O15143" s="247"/>
      <c r="AC15143" s="247"/>
      <c r="AT15143" s="247"/>
    </row>
    <row r="15144">
      <c r="C15144" s="277"/>
      <c r="M15144" s="278"/>
      <c r="O15144" s="247"/>
      <c r="AC15144" s="247"/>
      <c r="AT15144" s="247"/>
    </row>
    <row r="15145">
      <c r="C15145" s="277"/>
      <c r="M15145" s="278"/>
      <c r="O15145" s="247"/>
      <c r="AC15145" s="247"/>
      <c r="AT15145" s="247"/>
    </row>
    <row r="15146">
      <c r="C15146" s="277"/>
      <c r="M15146" s="278"/>
      <c r="O15146" s="247"/>
      <c r="AC15146" s="247"/>
      <c r="AT15146" s="247"/>
    </row>
    <row r="15147">
      <c r="C15147" s="277"/>
      <c r="M15147" s="278"/>
      <c r="O15147" s="247"/>
      <c r="AC15147" s="247"/>
      <c r="AT15147" s="247"/>
    </row>
    <row r="15148">
      <c r="C15148" s="277"/>
      <c r="M15148" s="278"/>
      <c r="O15148" s="247"/>
      <c r="AC15148" s="247"/>
      <c r="AT15148" s="247"/>
    </row>
    <row r="15149">
      <c r="C15149" s="277"/>
      <c r="M15149" s="278"/>
      <c r="O15149" s="247"/>
      <c r="AC15149" s="247"/>
      <c r="AT15149" s="247"/>
    </row>
    <row r="15150">
      <c r="C15150" s="277"/>
      <c r="M15150" s="278"/>
      <c r="O15150" s="247"/>
      <c r="AC15150" s="247"/>
      <c r="AT15150" s="247"/>
    </row>
    <row r="15151">
      <c r="C15151" s="277"/>
      <c r="M15151" s="278"/>
      <c r="O15151" s="247"/>
      <c r="AC15151" s="247"/>
      <c r="AT15151" s="247"/>
    </row>
    <row r="15152">
      <c r="C15152" s="277"/>
      <c r="M15152" s="278"/>
      <c r="O15152" s="247"/>
      <c r="AC15152" s="247"/>
      <c r="AT15152" s="247"/>
    </row>
    <row r="15153">
      <c r="C15153" s="277"/>
      <c r="M15153" s="278"/>
      <c r="O15153" s="247"/>
      <c r="AC15153" s="247"/>
      <c r="AT15153" s="247"/>
    </row>
    <row r="15154">
      <c r="C15154" s="277"/>
      <c r="M15154" s="278"/>
      <c r="O15154" s="247"/>
      <c r="AC15154" s="247"/>
      <c r="AT15154" s="247"/>
    </row>
    <row r="15155">
      <c r="C15155" s="277"/>
      <c r="M15155" s="278"/>
      <c r="O15155" s="247"/>
      <c r="AC15155" s="247"/>
      <c r="AT15155" s="247"/>
    </row>
    <row r="15156">
      <c r="C15156" s="277"/>
      <c r="M15156" s="278"/>
      <c r="O15156" s="247"/>
      <c r="AC15156" s="247"/>
      <c r="AT15156" s="247"/>
    </row>
    <row r="15157">
      <c r="C15157" s="277"/>
      <c r="M15157" s="278"/>
      <c r="O15157" s="247"/>
      <c r="AC15157" s="247"/>
      <c r="AT15157" s="247"/>
    </row>
    <row r="15158">
      <c r="C15158" s="277"/>
      <c r="M15158" s="278"/>
      <c r="O15158" s="247"/>
      <c r="AC15158" s="247"/>
      <c r="AT15158" s="247"/>
    </row>
    <row r="15159">
      <c r="C15159" s="277"/>
      <c r="M15159" s="278"/>
      <c r="O15159" s="247"/>
      <c r="AC15159" s="247"/>
      <c r="AT15159" s="247"/>
    </row>
    <row r="15160">
      <c r="C15160" s="277"/>
      <c r="M15160" s="278"/>
      <c r="O15160" s="247"/>
      <c r="AC15160" s="247"/>
      <c r="AT15160" s="247"/>
    </row>
    <row r="15161">
      <c r="C15161" s="277"/>
      <c r="M15161" s="278"/>
      <c r="O15161" s="247"/>
      <c r="AC15161" s="247"/>
      <c r="AT15161" s="247"/>
    </row>
    <row r="15162">
      <c r="C15162" s="277"/>
      <c r="M15162" s="278"/>
      <c r="O15162" s="247"/>
      <c r="AC15162" s="247"/>
      <c r="AT15162" s="247"/>
    </row>
    <row r="15163">
      <c r="C15163" s="277"/>
      <c r="M15163" s="278"/>
      <c r="O15163" s="247"/>
      <c r="AC15163" s="247"/>
      <c r="AT15163" s="247"/>
    </row>
    <row r="15164">
      <c r="C15164" s="277"/>
      <c r="M15164" s="278"/>
      <c r="O15164" s="247"/>
      <c r="AC15164" s="247"/>
      <c r="AT15164" s="247"/>
    </row>
    <row r="15165">
      <c r="C15165" s="277"/>
      <c r="M15165" s="278"/>
      <c r="O15165" s="247"/>
      <c r="AC15165" s="247"/>
      <c r="AT15165" s="247"/>
    </row>
    <row r="15166">
      <c r="C15166" s="277"/>
      <c r="M15166" s="278"/>
      <c r="O15166" s="247"/>
      <c r="AC15166" s="247"/>
      <c r="AT15166" s="247"/>
    </row>
    <row r="15167">
      <c r="C15167" s="277"/>
      <c r="M15167" s="278"/>
      <c r="O15167" s="247"/>
      <c r="AC15167" s="247"/>
      <c r="AT15167" s="247"/>
    </row>
    <row r="15168">
      <c r="C15168" s="277"/>
      <c r="M15168" s="278"/>
      <c r="O15168" s="247"/>
      <c r="AC15168" s="247"/>
      <c r="AT15168" s="247"/>
    </row>
    <row r="15169">
      <c r="C15169" s="277"/>
      <c r="M15169" s="278"/>
      <c r="O15169" s="247"/>
      <c r="AC15169" s="247"/>
      <c r="AT15169" s="247"/>
    </row>
    <row r="15170">
      <c r="C15170" s="277"/>
      <c r="M15170" s="278"/>
      <c r="O15170" s="247"/>
      <c r="AC15170" s="247"/>
      <c r="AT15170" s="247"/>
    </row>
    <row r="15171">
      <c r="C15171" s="277"/>
      <c r="M15171" s="278"/>
      <c r="O15171" s="247"/>
      <c r="AC15171" s="247"/>
      <c r="AT15171" s="247"/>
    </row>
    <row r="15172">
      <c r="C15172" s="277"/>
      <c r="M15172" s="278"/>
      <c r="O15172" s="247"/>
      <c r="AC15172" s="247"/>
      <c r="AT15172" s="247"/>
    </row>
    <row r="15173">
      <c r="C15173" s="277"/>
      <c r="M15173" s="278"/>
      <c r="O15173" s="247"/>
      <c r="AC15173" s="247"/>
      <c r="AT15173" s="247"/>
    </row>
    <row r="15174">
      <c r="C15174" s="277"/>
      <c r="M15174" s="278"/>
      <c r="O15174" s="247"/>
      <c r="AC15174" s="247"/>
      <c r="AT15174" s="247"/>
    </row>
    <row r="15175">
      <c r="C15175" s="277"/>
      <c r="M15175" s="278"/>
      <c r="O15175" s="247"/>
      <c r="AC15175" s="247"/>
      <c r="AT15175" s="247"/>
    </row>
    <row r="15176">
      <c r="C15176" s="277"/>
      <c r="M15176" s="278"/>
      <c r="O15176" s="247"/>
      <c r="AC15176" s="247"/>
      <c r="AT15176" s="247"/>
    </row>
    <row r="15177">
      <c r="C15177" s="277"/>
      <c r="M15177" s="278"/>
      <c r="O15177" s="247"/>
      <c r="AC15177" s="247"/>
      <c r="AT15177" s="247"/>
    </row>
    <row r="15178">
      <c r="C15178" s="277"/>
      <c r="M15178" s="278"/>
      <c r="O15178" s="247"/>
      <c r="AC15178" s="247"/>
      <c r="AT15178" s="247"/>
    </row>
    <row r="15179">
      <c r="C15179" s="277"/>
      <c r="M15179" s="278"/>
      <c r="O15179" s="247"/>
      <c r="AC15179" s="247"/>
      <c r="AT15179" s="247"/>
    </row>
    <row r="15180">
      <c r="C15180" s="277"/>
      <c r="M15180" s="278"/>
      <c r="O15180" s="247"/>
      <c r="AC15180" s="247"/>
      <c r="AT15180" s="247"/>
    </row>
    <row r="15181">
      <c r="C15181" s="277"/>
      <c r="M15181" s="278"/>
      <c r="O15181" s="247"/>
      <c r="AC15181" s="247"/>
      <c r="AT15181" s="247"/>
    </row>
    <row r="15182">
      <c r="C15182" s="277"/>
      <c r="M15182" s="278"/>
      <c r="O15182" s="247"/>
      <c r="AC15182" s="247"/>
      <c r="AT15182" s="247"/>
    </row>
    <row r="15183">
      <c r="C15183" s="277"/>
      <c r="M15183" s="278"/>
      <c r="O15183" s="247"/>
      <c r="AC15183" s="247"/>
      <c r="AT15183" s="247"/>
    </row>
    <row r="15184">
      <c r="C15184" s="277"/>
      <c r="M15184" s="278"/>
      <c r="O15184" s="247"/>
      <c r="AC15184" s="247"/>
      <c r="AT15184" s="247"/>
    </row>
    <row r="15185">
      <c r="C15185" s="277"/>
      <c r="M15185" s="277"/>
      <c r="O15185" s="247"/>
      <c r="AC15185" s="247"/>
      <c r="AT15185" s="247"/>
    </row>
    <row r="15186">
      <c r="C15186" s="277"/>
      <c r="M15186" s="277"/>
      <c r="O15186" s="247"/>
      <c r="AC15186" s="247"/>
      <c r="AT15186" s="247"/>
    </row>
    <row r="15187">
      <c r="C15187" s="277"/>
      <c r="M15187" s="277"/>
      <c r="O15187" s="247"/>
      <c r="AC15187" s="247"/>
      <c r="AT15187" s="247"/>
    </row>
    <row r="15188">
      <c r="C15188" s="277"/>
      <c r="M15188" s="277"/>
      <c r="O15188" s="247"/>
      <c r="AC15188" s="247"/>
      <c r="AT15188" s="247"/>
    </row>
    <row r="15189">
      <c r="C15189" s="277"/>
      <c r="M15189" s="277"/>
      <c r="O15189" s="247"/>
      <c r="AC15189" s="247"/>
      <c r="AT15189" s="247"/>
    </row>
    <row r="15190">
      <c r="C15190" s="277"/>
      <c r="M15190" s="277"/>
      <c r="O15190" s="247"/>
      <c r="AC15190" s="247"/>
      <c r="AT15190" s="247"/>
    </row>
    <row r="15191">
      <c r="C15191" s="277"/>
      <c r="M15191" s="277"/>
      <c r="O15191" s="247"/>
      <c r="AC15191" s="247"/>
      <c r="AT15191" s="247"/>
    </row>
    <row r="15192">
      <c r="C15192" s="277"/>
      <c r="M15192" s="277"/>
      <c r="O15192" s="247"/>
      <c r="AC15192" s="247"/>
      <c r="AT15192" s="247"/>
    </row>
    <row r="15193">
      <c r="C15193" s="277"/>
      <c r="M15193" s="277"/>
      <c r="O15193" s="247"/>
      <c r="AC15193" s="247"/>
      <c r="AT15193" s="247"/>
    </row>
    <row r="15194">
      <c r="C15194" s="277"/>
      <c r="M15194" s="277"/>
      <c r="O15194" s="247"/>
      <c r="AC15194" s="247"/>
      <c r="AT15194" s="247"/>
    </row>
    <row r="15195">
      <c r="C15195" s="277"/>
      <c r="M15195" s="277"/>
      <c r="O15195" s="247"/>
      <c r="AC15195" s="247"/>
      <c r="AT15195" s="247"/>
    </row>
    <row r="15196">
      <c r="C15196" s="277"/>
      <c r="M15196" s="277"/>
      <c r="O15196" s="247"/>
      <c r="AC15196" s="247"/>
      <c r="AT15196" s="247"/>
    </row>
    <row r="15197">
      <c r="C15197" s="277"/>
      <c r="M15197" s="277"/>
      <c r="O15197" s="247"/>
      <c r="AC15197" s="247"/>
      <c r="AT15197" s="247"/>
    </row>
    <row r="15198">
      <c r="C15198" s="277"/>
      <c r="M15198" s="277"/>
      <c r="O15198" s="247"/>
      <c r="AC15198" s="247"/>
      <c r="AT15198" s="247"/>
    </row>
    <row r="15199">
      <c r="C15199" s="277"/>
      <c r="M15199" s="277"/>
      <c r="O15199" s="247"/>
      <c r="AC15199" s="247"/>
      <c r="AT15199" s="247"/>
    </row>
    <row r="15200">
      <c r="C15200" s="277"/>
      <c r="M15200" s="277"/>
      <c r="O15200" s="247"/>
      <c r="AC15200" s="247"/>
      <c r="AT15200" s="247"/>
    </row>
    <row r="15201">
      <c r="C15201" s="277"/>
      <c r="M15201" s="277"/>
      <c r="O15201" s="247"/>
      <c r="AC15201" s="247"/>
      <c r="AT15201" s="247"/>
    </row>
    <row r="15202">
      <c r="C15202" s="277"/>
      <c r="M15202" s="277"/>
      <c r="O15202" s="247"/>
      <c r="AC15202" s="247"/>
      <c r="AT15202" s="247"/>
    </row>
    <row r="15203">
      <c r="C15203" s="277"/>
      <c r="M15203" s="277"/>
      <c r="O15203" s="247"/>
      <c r="AC15203" s="247"/>
      <c r="AT15203" s="247"/>
    </row>
    <row r="15204">
      <c r="C15204" s="277"/>
      <c r="M15204" s="277"/>
      <c r="O15204" s="247"/>
      <c r="AC15204" s="247"/>
      <c r="AT15204" s="247"/>
    </row>
    <row r="15205">
      <c r="C15205" s="277"/>
      <c r="M15205" s="277"/>
      <c r="O15205" s="247"/>
      <c r="AC15205" s="247"/>
      <c r="AT15205" s="247"/>
    </row>
    <row r="15206">
      <c r="C15206" s="277"/>
      <c r="M15206" s="277"/>
      <c r="O15206" s="247"/>
      <c r="AC15206" s="247"/>
      <c r="AT15206" s="247"/>
    </row>
    <row r="15207">
      <c r="C15207" s="277"/>
      <c r="M15207" s="277"/>
      <c r="O15207" s="247"/>
      <c r="AC15207" s="247"/>
      <c r="AT15207" s="247"/>
    </row>
    <row r="15208">
      <c r="C15208" s="277"/>
      <c r="M15208" s="277"/>
      <c r="O15208" s="247"/>
      <c r="AC15208" s="247"/>
      <c r="AT15208" s="247"/>
    </row>
    <row r="15209">
      <c r="C15209" s="277"/>
      <c r="M15209" s="277"/>
      <c r="O15209" s="247"/>
      <c r="AC15209" s="247"/>
      <c r="AT15209" s="247"/>
    </row>
    <row r="15210">
      <c r="C15210" s="277"/>
      <c r="M15210" s="277"/>
      <c r="O15210" s="247"/>
      <c r="AC15210" s="247"/>
      <c r="AT15210" s="247"/>
    </row>
    <row r="15211">
      <c r="C15211" s="277"/>
      <c r="M15211" s="277"/>
      <c r="O15211" s="247"/>
      <c r="AC15211" s="247"/>
      <c r="AT15211" s="247"/>
    </row>
    <row r="15212">
      <c r="C15212" s="277"/>
      <c r="M15212" s="277"/>
      <c r="O15212" s="247"/>
      <c r="AC15212" s="247"/>
      <c r="AT15212" s="247"/>
    </row>
    <row r="15213">
      <c r="C15213" s="277"/>
      <c r="M15213" s="277"/>
      <c r="O15213" s="247"/>
      <c r="AC15213" s="247"/>
      <c r="AT15213" s="247"/>
    </row>
    <row r="15214">
      <c r="C15214" s="277"/>
      <c r="M15214" s="277"/>
      <c r="O15214" s="247"/>
      <c r="AC15214" s="247"/>
      <c r="AT15214" s="247"/>
    </row>
    <row r="15215">
      <c r="C15215" s="278"/>
      <c r="M15215" s="277"/>
      <c r="O15215" s="247"/>
      <c r="AC15215" s="247"/>
      <c r="AT15215" s="247"/>
    </row>
    <row r="15216">
      <c r="C15216" s="278"/>
      <c r="M15216" s="277"/>
      <c r="O15216" s="247"/>
      <c r="AC15216" s="247"/>
      <c r="AT15216" s="247"/>
    </row>
    <row r="15217">
      <c r="C15217" s="277"/>
      <c r="M15217" s="277"/>
      <c r="O15217" s="247"/>
      <c r="AC15217" s="247"/>
      <c r="AT15217" s="247"/>
    </row>
    <row r="15218">
      <c r="C15218" s="277"/>
      <c r="M15218" s="277"/>
      <c r="O15218" s="247"/>
      <c r="AC15218" s="247"/>
      <c r="AT15218" s="247"/>
    </row>
    <row r="15219">
      <c r="C15219" s="277"/>
      <c r="M15219" s="277"/>
      <c r="O15219" s="247"/>
      <c r="AC15219" s="247"/>
      <c r="AT15219" s="247"/>
    </row>
    <row r="15220">
      <c r="C15220" s="277"/>
      <c r="M15220" s="277"/>
      <c r="O15220" s="247"/>
      <c r="AC15220" s="247"/>
      <c r="AT15220" s="247"/>
    </row>
    <row r="15221">
      <c r="C15221" s="277"/>
      <c r="M15221" s="277"/>
      <c r="O15221" s="247"/>
      <c r="AC15221" s="247"/>
      <c r="AT15221" s="247"/>
    </row>
    <row r="15222">
      <c r="C15222" s="277"/>
      <c r="M15222" s="277"/>
      <c r="O15222" s="247"/>
      <c r="AC15222" s="247"/>
      <c r="AT15222" s="247"/>
    </row>
    <row r="15223">
      <c r="C15223" s="277"/>
      <c r="M15223" s="277"/>
      <c r="O15223" s="247"/>
      <c r="AC15223" s="247"/>
      <c r="AT15223" s="247"/>
    </row>
    <row r="15224">
      <c r="C15224" s="277"/>
      <c r="M15224" s="277"/>
      <c r="O15224" s="247"/>
      <c r="AC15224" s="247"/>
      <c r="AT15224" s="247"/>
    </row>
    <row r="15225">
      <c r="C15225" s="277"/>
      <c r="M15225" s="277"/>
      <c r="O15225" s="247"/>
      <c r="AC15225" s="247"/>
      <c r="AT15225" s="247"/>
    </row>
    <row r="15226">
      <c r="C15226" s="277"/>
      <c r="M15226" s="277"/>
      <c r="O15226" s="247"/>
      <c r="AC15226" s="247"/>
      <c r="AT15226" s="247"/>
    </row>
    <row r="15227">
      <c r="C15227" s="277"/>
      <c r="M15227" s="277"/>
      <c r="O15227" s="247"/>
      <c r="AC15227" s="247"/>
      <c r="AT15227" s="247"/>
    </row>
    <row r="15228">
      <c r="C15228" s="277"/>
      <c r="M15228" s="277"/>
      <c r="O15228" s="247"/>
      <c r="AC15228" s="247"/>
      <c r="AT15228" s="247"/>
    </row>
    <row r="15229">
      <c r="C15229" s="277"/>
      <c r="M15229" s="277"/>
      <c r="O15229" s="247"/>
      <c r="AC15229" s="247"/>
      <c r="AT15229" s="247"/>
    </row>
    <row r="15230">
      <c r="C15230" s="277"/>
      <c r="M15230" s="277"/>
      <c r="O15230" s="247"/>
      <c r="AC15230" s="247"/>
      <c r="AT15230" s="247"/>
    </row>
    <row r="15231">
      <c r="C15231" s="277"/>
      <c r="M15231" s="277"/>
      <c r="O15231" s="247"/>
      <c r="AC15231" s="247"/>
      <c r="AT15231" s="247"/>
    </row>
    <row r="15232">
      <c r="C15232" s="277"/>
      <c r="M15232" s="277"/>
      <c r="O15232" s="247"/>
      <c r="AC15232" s="247"/>
      <c r="AT15232" s="247"/>
    </row>
    <row r="15233">
      <c r="C15233" s="277"/>
      <c r="M15233" s="277"/>
      <c r="O15233" s="247"/>
      <c r="AC15233" s="247"/>
      <c r="AT15233" s="247"/>
    </row>
    <row r="15234">
      <c r="C15234" s="277"/>
      <c r="M15234" s="277"/>
      <c r="O15234" s="247"/>
      <c r="AC15234" s="247"/>
      <c r="AT15234" s="247"/>
    </row>
    <row r="15235">
      <c r="C15235" s="277"/>
      <c r="M15235" s="277"/>
      <c r="O15235" s="247"/>
      <c r="AC15235" s="247"/>
      <c r="AT15235" s="247"/>
    </row>
    <row r="15236">
      <c r="C15236" s="277"/>
      <c r="M15236" s="277"/>
      <c r="O15236" s="247"/>
      <c r="AC15236" s="247"/>
      <c r="AT15236" s="247"/>
    </row>
    <row r="15237">
      <c r="C15237" s="277"/>
      <c r="M15237" s="277"/>
      <c r="O15237" s="247"/>
      <c r="AC15237" s="247"/>
      <c r="AT15237" s="247"/>
    </row>
    <row r="15238">
      <c r="C15238" s="277"/>
      <c r="M15238" s="277"/>
      <c r="O15238" s="247"/>
      <c r="AC15238" s="247"/>
      <c r="AT15238" s="247"/>
    </row>
    <row r="15239">
      <c r="C15239" s="277"/>
      <c r="M15239" s="277"/>
      <c r="O15239" s="247"/>
      <c r="AC15239" s="247"/>
      <c r="AT15239" s="247"/>
    </row>
    <row r="15240">
      <c r="C15240" s="277"/>
      <c r="M15240" s="277"/>
      <c r="O15240" s="247"/>
      <c r="AC15240" s="247"/>
      <c r="AT15240" s="247"/>
    </row>
    <row r="15241">
      <c r="C15241" s="277"/>
      <c r="M15241" s="277"/>
      <c r="O15241" s="247"/>
      <c r="AC15241" s="247"/>
      <c r="AT15241" s="247"/>
    </row>
    <row r="15242">
      <c r="C15242" s="277"/>
      <c r="M15242" s="277"/>
      <c r="O15242" s="247"/>
      <c r="AC15242" s="247"/>
      <c r="AT15242" s="247"/>
    </row>
    <row r="15243">
      <c r="C15243" s="277"/>
      <c r="M15243" s="277"/>
      <c r="O15243" s="247"/>
      <c r="AC15243" s="247"/>
      <c r="AT15243" s="247"/>
    </row>
    <row r="15244">
      <c r="C15244" s="277"/>
      <c r="M15244" s="277"/>
      <c r="O15244" s="247"/>
      <c r="AC15244" s="247"/>
      <c r="AT15244" s="247"/>
    </row>
    <row r="15245">
      <c r="C15245" s="277"/>
      <c r="M15245" s="277"/>
      <c r="O15245" s="247"/>
      <c r="AC15245" s="247"/>
      <c r="AT15245" s="247"/>
    </row>
    <row r="15246">
      <c r="C15246" s="277"/>
      <c r="M15246" s="277"/>
      <c r="O15246" s="247"/>
      <c r="AC15246" s="247"/>
      <c r="AT15246" s="247"/>
    </row>
    <row r="15247">
      <c r="C15247" s="278"/>
      <c r="M15247" s="277"/>
      <c r="O15247" s="247"/>
      <c r="AC15247" s="247"/>
      <c r="AT15247" s="247"/>
    </row>
    <row r="15248">
      <c r="C15248" s="277"/>
      <c r="M15248" s="277"/>
      <c r="O15248" s="247"/>
      <c r="AC15248" s="247"/>
      <c r="AT15248" s="247"/>
    </row>
    <row r="15249">
      <c r="C15249" s="277"/>
      <c r="M15249" s="277"/>
      <c r="O15249" s="247"/>
      <c r="AC15249" s="247"/>
      <c r="AT15249" s="247"/>
    </row>
    <row r="15250">
      <c r="C15250" s="277"/>
      <c r="M15250" s="277"/>
      <c r="O15250" s="247"/>
      <c r="AC15250" s="247"/>
      <c r="AT15250" s="247"/>
    </row>
    <row r="15251">
      <c r="C15251" s="277"/>
      <c r="M15251" s="277"/>
      <c r="O15251" s="247"/>
      <c r="AC15251" s="247"/>
      <c r="AT15251" s="247"/>
    </row>
    <row r="15252">
      <c r="C15252" s="277"/>
      <c r="M15252" s="277"/>
      <c r="O15252" s="247"/>
      <c r="AC15252" s="247"/>
      <c r="AT15252" s="247"/>
    </row>
    <row r="15253">
      <c r="C15253" s="277"/>
      <c r="M15253" s="277"/>
      <c r="O15253" s="247"/>
      <c r="AC15253" s="247"/>
      <c r="AT15253" s="247"/>
    </row>
    <row r="15254">
      <c r="C15254" s="277"/>
      <c r="M15254" s="277"/>
      <c r="O15254" s="247"/>
      <c r="AC15254" s="247"/>
      <c r="AT15254" s="247"/>
    </row>
    <row r="15255">
      <c r="C15255" s="277"/>
      <c r="M15255" s="277"/>
      <c r="O15255" s="247"/>
      <c r="AC15255" s="247"/>
      <c r="AT15255" s="247"/>
    </row>
    <row r="15256">
      <c r="C15256" s="277"/>
      <c r="M15256" s="277"/>
      <c r="O15256" s="247"/>
      <c r="AC15256" s="247"/>
      <c r="AT15256" s="247"/>
    </row>
    <row r="15257">
      <c r="C15257" s="277"/>
      <c r="M15257" s="277"/>
      <c r="O15257" s="247"/>
      <c r="AC15257" s="247"/>
      <c r="AT15257" s="247"/>
    </row>
    <row r="15258">
      <c r="C15258" s="277"/>
      <c r="M15258" s="277"/>
      <c r="O15258" s="247"/>
      <c r="AC15258" s="247"/>
      <c r="AT15258" s="247"/>
    </row>
    <row r="15259">
      <c r="C15259" s="277"/>
      <c r="M15259" s="277"/>
      <c r="O15259" s="247"/>
      <c r="AC15259" s="247"/>
      <c r="AT15259" s="247"/>
    </row>
    <row r="15260">
      <c r="C15260" s="277"/>
      <c r="M15260" s="277"/>
      <c r="O15260" s="247"/>
      <c r="AC15260" s="247"/>
      <c r="AT15260" s="247"/>
    </row>
    <row r="15261">
      <c r="C15261" s="277"/>
      <c r="M15261" s="277"/>
      <c r="O15261" s="247"/>
      <c r="AC15261" s="247"/>
      <c r="AT15261" s="247"/>
    </row>
    <row r="15262">
      <c r="C15262" s="277"/>
      <c r="M15262" s="277"/>
      <c r="O15262" s="247"/>
      <c r="AC15262" s="247"/>
      <c r="AT15262" s="247"/>
    </row>
    <row r="15263">
      <c r="C15263" s="277"/>
      <c r="M15263" s="277"/>
      <c r="O15263" s="247"/>
      <c r="AC15263" s="247"/>
      <c r="AT15263" s="247"/>
    </row>
    <row r="15264">
      <c r="C15264" s="277"/>
      <c r="M15264" s="277"/>
      <c r="O15264" s="247"/>
      <c r="AC15264" s="247"/>
      <c r="AT15264" s="247"/>
    </row>
    <row r="15265">
      <c r="C15265" s="277"/>
      <c r="M15265" s="277"/>
      <c r="O15265" s="247"/>
      <c r="AC15265" s="247"/>
      <c r="AT15265" s="247"/>
    </row>
    <row r="15266">
      <c r="C15266" s="277"/>
      <c r="M15266" s="277"/>
      <c r="O15266" s="247"/>
      <c r="AC15266" s="247"/>
      <c r="AT15266" s="247"/>
    </row>
    <row r="15267">
      <c r="C15267" s="277"/>
      <c r="M15267" s="277"/>
      <c r="O15267" s="247"/>
      <c r="AC15267" s="247"/>
      <c r="AT15267" s="247"/>
    </row>
    <row r="15268">
      <c r="C15268" s="277"/>
      <c r="M15268" s="277"/>
      <c r="O15268" s="247"/>
      <c r="AC15268" s="247"/>
      <c r="AT15268" s="247"/>
    </row>
    <row r="15269">
      <c r="C15269" s="277"/>
      <c r="M15269" s="277"/>
      <c r="O15269" s="247"/>
      <c r="AC15269" s="247"/>
      <c r="AT15269" s="247"/>
    </row>
    <row r="15270">
      <c r="C15270" s="277"/>
      <c r="M15270" s="277"/>
      <c r="O15270" s="247"/>
      <c r="AC15270" s="247"/>
      <c r="AT15270" s="247"/>
    </row>
    <row r="15271">
      <c r="C15271" s="277"/>
      <c r="M15271" s="277"/>
      <c r="O15271" s="247"/>
      <c r="AC15271" s="247"/>
      <c r="AT15271" s="247"/>
    </row>
    <row r="15272">
      <c r="C15272" s="277"/>
      <c r="M15272" s="277"/>
      <c r="O15272" s="247"/>
      <c r="AC15272" s="247"/>
      <c r="AT15272" s="247"/>
    </row>
    <row r="15273">
      <c r="C15273" s="277"/>
      <c r="M15273" s="277"/>
      <c r="O15273" s="247"/>
      <c r="AC15273" s="247"/>
      <c r="AT15273" s="247"/>
    </row>
    <row r="15274">
      <c r="C15274" s="277"/>
      <c r="M15274" s="277"/>
      <c r="O15274" s="247"/>
      <c r="AC15274" s="247"/>
      <c r="AT15274" s="247"/>
    </row>
    <row r="15275">
      <c r="C15275" s="277"/>
      <c r="M15275" s="277"/>
      <c r="O15275" s="247"/>
      <c r="AC15275" s="247"/>
      <c r="AT15275" s="247"/>
    </row>
    <row r="15276">
      <c r="C15276" s="277"/>
      <c r="M15276" s="277"/>
      <c r="O15276" s="247"/>
      <c r="AC15276" s="247"/>
      <c r="AT15276" s="247"/>
    </row>
    <row r="15277">
      <c r="C15277" s="277"/>
      <c r="M15277" s="277"/>
      <c r="O15277" s="247"/>
      <c r="AC15277" s="247"/>
      <c r="AT15277" s="247"/>
    </row>
    <row r="15278">
      <c r="C15278" s="277"/>
      <c r="M15278" s="277"/>
      <c r="O15278" s="247"/>
      <c r="AC15278" s="247"/>
      <c r="AT15278" s="247"/>
    </row>
    <row r="15279">
      <c r="C15279" s="277"/>
      <c r="M15279" s="277"/>
      <c r="O15279" s="247"/>
      <c r="AC15279" s="247"/>
      <c r="AT15279" s="247"/>
    </row>
    <row r="15280">
      <c r="C15280" s="277"/>
      <c r="M15280" s="277"/>
      <c r="O15280" s="247"/>
      <c r="AC15280" s="247"/>
      <c r="AT15280" s="247"/>
    </row>
    <row r="15281">
      <c r="C15281" s="277"/>
      <c r="M15281" s="277"/>
      <c r="O15281" s="247"/>
      <c r="AC15281" s="247"/>
      <c r="AT15281" s="247"/>
    </row>
    <row r="15282">
      <c r="C15282" s="277"/>
      <c r="M15282" s="277"/>
      <c r="O15282" s="247"/>
      <c r="AC15282" s="247"/>
      <c r="AT15282" s="247"/>
    </row>
    <row r="15283">
      <c r="C15283" s="277"/>
      <c r="M15283" s="277"/>
      <c r="O15283" s="247"/>
      <c r="AC15283" s="247"/>
      <c r="AT15283" s="247"/>
    </row>
    <row r="15284">
      <c r="C15284" s="277"/>
      <c r="M15284" s="277"/>
      <c r="O15284" s="247"/>
      <c r="AC15284" s="247"/>
      <c r="AT15284" s="247"/>
    </row>
    <row r="15285">
      <c r="C15285" s="277"/>
      <c r="M15285" s="277"/>
      <c r="O15285" s="247"/>
      <c r="AC15285" s="247"/>
      <c r="AT15285" s="247"/>
    </row>
    <row r="15286">
      <c r="C15286" s="277"/>
      <c r="M15286" s="277"/>
      <c r="O15286" s="247"/>
      <c r="AC15286" s="247"/>
      <c r="AT15286" s="247"/>
    </row>
    <row r="15287">
      <c r="C15287" s="277"/>
      <c r="M15287" s="277"/>
      <c r="O15287" s="247"/>
      <c r="AC15287" s="247"/>
      <c r="AT15287" s="247"/>
    </row>
    <row r="15288">
      <c r="C15288" s="277"/>
      <c r="M15288" s="277"/>
      <c r="O15288" s="247"/>
      <c r="AC15288" s="247"/>
      <c r="AT15288" s="247"/>
    </row>
    <row r="15289">
      <c r="C15289" s="277"/>
      <c r="M15289" s="277"/>
      <c r="O15289" s="247"/>
      <c r="AC15289" s="247"/>
      <c r="AT15289" s="247"/>
    </row>
    <row r="15290">
      <c r="C15290" s="277"/>
      <c r="M15290" s="277"/>
      <c r="O15290" s="247"/>
      <c r="AC15290" s="247"/>
      <c r="AT15290" s="247"/>
    </row>
    <row r="15291">
      <c r="C15291" s="277"/>
      <c r="M15291" s="277"/>
      <c r="O15291" s="247"/>
      <c r="AC15291" s="247"/>
      <c r="AT15291" s="247"/>
    </row>
    <row r="15292">
      <c r="C15292" s="277"/>
      <c r="M15292" s="277"/>
      <c r="O15292" s="247"/>
      <c r="AC15292" s="247"/>
      <c r="AT15292" s="247"/>
    </row>
    <row r="15293">
      <c r="C15293" s="277"/>
      <c r="M15293" s="277"/>
      <c r="O15293" s="247"/>
      <c r="AC15293" s="247"/>
      <c r="AT15293" s="247"/>
    </row>
    <row r="15294">
      <c r="C15294" s="277"/>
      <c r="M15294" s="277"/>
      <c r="O15294" s="247"/>
      <c r="AC15294" s="247"/>
      <c r="AT15294" s="247"/>
    </row>
    <row r="15295">
      <c r="C15295" s="277"/>
      <c r="M15295" s="277"/>
      <c r="O15295" s="247"/>
      <c r="AC15295" s="247"/>
      <c r="AT15295" s="247"/>
    </row>
    <row r="15296">
      <c r="C15296" s="277"/>
      <c r="M15296" s="277"/>
      <c r="O15296" s="247"/>
      <c r="AC15296" s="247"/>
      <c r="AT15296" s="247"/>
    </row>
    <row r="15297">
      <c r="C15297" s="277"/>
      <c r="M15297" s="277"/>
      <c r="O15297" s="247"/>
      <c r="AC15297" s="247"/>
      <c r="AT15297" s="247"/>
    </row>
    <row r="15298">
      <c r="C15298" s="277"/>
      <c r="M15298" s="277"/>
      <c r="O15298" s="247"/>
      <c r="AC15298" s="247"/>
      <c r="AT15298" s="247"/>
    </row>
    <row r="15299">
      <c r="C15299" s="277"/>
      <c r="M15299" s="277"/>
      <c r="O15299" s="247"/>
      <c r="AC15299" s="247"/>
      <c r="AT15299" s="247"/>
    </row>
    <row r="15300">
      <c r="C15300" s="277"/>
      <c r="M15300" s="277"/>
      <c r="O15300" s="247"/>
      <c r="AC15300" s="247"/>
      <c r="AT15300" s="247"/>
    </row>
    <row r="15301">
      <c r="C15301" s="277"/>
      <c r="M15301" s="277"/>
      <c r="O15301" s="247"/>
      <c r="AC15301" s="247"/>
      <c r="AT15301" s="247"/>
    </row>
    <row r="15302">
      <c r="C15302" s="277"/>
      <c r="M15302" s="277"/>
      <c r="O15302" s="247"/>
      <c r="AC15302" s="247"/>
      <c r="AT15302" s="247"/>
    </row>
    <row r="15303">
      <c r="C15303" s="277"/>
      <c r="M15303" s="277"/>
      <c r="O15303" s="247"/>
      <c r="AC15303" s="247"/>
      <c r="AT15303" s="247"/>
    </row>
    <row r="15304">
      <c r="C15304" s="277"/>
      <c r="M15304" s="277"/>
      <c r="O15304" s="247"/>
      <c r="AC15304" s="247"/>
      <c r="AT15304" s="247"/>
    </row>
    <row r="15305">
      <c r="C15305" s="277"/>
      <c r="M15305" s="277"/>
      <c r="O15305" s="247"/>
      <c r="AC15305" s="247"/>
      <c r="AT15305" s="247"/>
    </row>
    <row r="15306">
      <c r="C15306" s="277"/>
      <c r="M15306" s="277"/>
      <c r="O15306" s="247"/>
      <c r="AC15306" s="247"/>
      <c r="AT15306" s="247"/>
    </row>
    <row r="15307">
      <c r="C15307" s="277"/>
      <c r="M15307" s="277"/>
      <c r="O15307" s="247"/>
      <c r="AC15307" s="247"/>
      <c r="AT15307" s="247"/>
    </row>
    <row r="15308">
      <c r="C15308" s="277"/>
      <c r="M15308" s="277"/>
      <c r="O15308" s="247"/>
      <c r="AC15308" s="247"/>
      <c r="AT15308" s="247"/>
    </row>
    <row r="15309">
      <c r="C15309" s="277"/>
      <c r="M15309" s="277"/>
      <c r="O15309" s="247"/>
      <c r="AC15309" s="247"/>
      <c r="AT15309" s="247"/>
    </row>
    <row r="15310">
      <c r="C15310" s="277"/>
      <c r="M15310" s="277"/>
      <c r="O15310" s="247"/>
      <c r="AC15310" s="247"/>
      <c r="AT15310" s="247"/>
    </row>
    <row r="15311">
      <c r="C15311" s="277"/>
      <c r="M15311" s="277"/>
      <c r="O15311" s="247"/>
      <c r="AC15311" s="247"/>
      <c r="AT15311" s="247"/>
    </row>
    <row r="15312">
      <c r="C15312" s="277"/>
      <c r="M15312" s="277"/>
      <c r="O15312" s="247"/>
      <c r="AC15312" s="247"/>
      <c r="AT15312" s="247"/>
    </row>
    <row r="15313">
      <c r="C15313" s="277"/>
      <c r="M15313" s="277"/>
      <c r="O15313" s="247"/>
      <c r="AC15313" s="247"/>
      <c r="AT15313" s="247"/>
    </row>
    <row r="15314">
      <c r="C15314" s="277"/>
      <c r="M15314" s="277"/>
      <c r="O15314" s="247"/>
      <c r="AC15314" s="247"/>
      <c r="AT15314" s="247"/>
    </row>
    <row r="15315">
      <c r="C15315" s="277"/>
      <c r="M15315" s="277"/>
      <c r="O15315" s="247"/>
      <c r="AC15315" s="247"/>
      <c r="AT15315" s="247"/>
    </row>
    <row r="15316">
      <c r="C15316" s="277"/>
      <c r="M15316" s="277"/>
      <c r="O15316" s="247"/>
      <c r="AC15316" s="247"/>
      <c r="AT15316" s="247"/>
    </row>
    <row r="15317">
      <c r="C15317" s="277"/>
      <c r="M15317" s="277"/>
      <c r="O15317" s="247"/>
      <c r="AC15317" s="247"/>
      <c r="AT15317" s="247"/>
    </row>
    <row r="15318">
      <c r="C15318" s="277"/>
      <c r="M15318" s="277"/>
      <c r="O15318" s="247"/>
      <c r="AC15318" s="247"/>
      <c r="AT15318" s="247"/>
    </row>
    <row r="15319">
      <c r="C15319" s="277"/>
      <c r="M15319" s="277"/>
      <c r="O15319" s="247"/>
      <c r="AC15319" s="247"/>
      <c r="AT15319" s="247"/>
    </row>
    <row r="15320">
      <c r="C15320" s="277"/>
      <c r="M15320" s="277"/>
      <c r="O15320" s="247"/>
      <c r="AC15320" s="247"/>
      <c r="AT15320" s="247"/>
    </row>
    <row r="15321">
      <c r="C15321" s="277"/>
      <c r="M15321" s="277"/>
      <c r="O15321" s="247"/>
      <c r="AC15321" s="247"/>
      <c r="AT15321" s="247"/>
    </row>
    <row r="15322">
      <c r="C15322" s="277"/>
      <c r="M15322" s="277"/>
      <c r="O15322" s="247"/>
      <c r="AC15322" s="247"/>
      <c r="AT15322" s="247"/>
    </row>
    <row r="15323">
      <c r="C15323" s="277"/>
      <c r="M15323" s="277"/>
      <c r="O15323" s="247"/>
      <c r="AC15323" s="247"/>
      <c r="AT15323" s="247"/>
    </row>
    <row r="15324">
      <c r="C15324" s="277"/>
      <c r="M15324" s="277"/>
      <c r="O15324" s="247"/>
      <c r="AC15324" s="247"/>
      <c r="AT15324" s="247"/>
    </row>
    <row r="15325">
      <c r="C15325" s="277"/>
      <c r="M15325" s="277"/>
      <c r="O15325" s="247"/>
      <c r="AC15325" s="247"/>
      <c r="AT15325" s="247"/>
    </row>
    <row r="15326">
      <c r="C15326" s="277"/>
      <c r="M15326" s="277"/>
      <c r="O15326" s="247"/>
      <c r="AC15326" s="247"/>
      <c r="AT15326" s="247"/>
    </row>
    <row r="15327">
      <c r="C15327" s="277"/>
      <c r="M15327" s="277"/>
      <c r="O15327" s="247"/>
      <c r="AC15327" s="247"/>
      <c r="AT15327" s="247"/>
    </row>
    <row r="15328">
      <c r="C15328" s="277"/>
      <c r="M15328" s="277"/>
      <c r="O15328" s="247"/>
      <c r="AC15328" s="247"/>
      <c r="AT15328" s="247"/>
    </row>
    <row r="15329">
      <c r="C15329" s="277"/>
      <c r="M15329" s="277"/>
      <c r="O15329" s="247"/>
      <c r="AC15329" s="247"/>
      <c r="AT15329" s="247"/>
    </row>
    <row r="15330">
      <c r="C15330" s="277"/>
      <c r="M15330" s="277"/>
      <c r="O15330" s="247"/>
      <c r="AC15330" s="247"/>
      <c r="AT15330" s="247"/>
    </row>
    <row r="15331">
      <c r="C15331" s="277"/>
      <c r="M15331" s="277"/>
      <c r="O15331" s="247"/>
      <c r="AC15331" s="247"/>
      <c r="AT15331" s="247"/>
    </row>
    <row r="15332">
      <c r="C15332" s="277"/>
      <c r="M15332" s="277"/>
      <c r="O15332" s="247"/>
      <c r="AC15332" s="247"/>
      <c r="AT15332" s="247"/>
    </row>
    <row r="15333">
      <c r="C15333" s="277"/>
      <c r="M15333" s="277"/>
      <c r="O15333" s="247"/>
      <c r="AC15333" s="247"/>
      <c r="AT15333" s="247"/>
    </row>
    <row r="15334">
      <c r="C15334" s="277"/>
      <c r="M15334" s="277"/>
      <c r="O15334" s="247"/>
      <c r="AC15334" s="247"/>
      <c r="AT15334" s="247"/>
    </row>
    <row r="15335">
      <c r="C15335" s="277"/>
      <c r="M15335" s="277"/>
      <c r="O15335" s="247"/>
      <c r="AC15335" s="247"/>
      <c r="AT15335" s="247"/>
    </row>
    <row r="15336">
      <c r="C15336" s="277"/>
      <c r="M15336" s="277"/>
      <c r="O15336" s="247"/>
      <c r="AC15336" s="247"/>
      <c r="AT15336" s="247"/>
    </row>
    <row r="15337">
      <c r="C15337" s="277"/>
      <c r="M15337" s="277"/>
      <c r="O15337" s="247"/>
      <c r="AC15337" s="247"/>
      <c r="AT15337" s="247"/>
    </row>
    <row r="15338">
      <c r="C15338" s="277"/>
      <c r="M15338" s="277"/>
      <c r="O15338" s="247"/>
      <c r="AC15338" s="247"/>
      <c r="AT15338" s="247"/>
    </row>
    <row r="15339">
      <c r="C15339" s="277"/>
      <c r="M15339" s="277"/>
      <c r="O15339" s="247"/>
      <c r="AC15339" s="247"/>
      <c r="AT15339" s="247"/>
    </row>
    <row r="15340">
      <c r="C15340" s="277"/>
      <c r="M15340" s="277"/>
      <c r="O15340" s="247"/>
      <c r="AC15340" s="247"/>
      <c r="AT15340" s="247"/>
    </row>
    <row r="15341">
      <c r="C15341" s="277"/>
      <c r="M15341" s="277"/>
      <c r="O15341" s="247"/>
      <c r="AC15341" s="247"/>
      <c r="AT15341" s="247"/>
    </row>
    <row r="15342">
      <c r="C15342" s="277"/>
      <c r="M15342" s="277"/>
      <c r="O15342" s="247"/>
      <c r="AC15342" s="247"/>
      <c r="AT15342" s="247"/>
    </row>
    <row r="15343">
      <c r="C15343" s="277"/>
      <c r="M15343" s="277"/>
      <c r="O15343" s="247"/>
      <c r="AC15343" s="247"/>
      <c r="AT15343" s="247"/>
    </row>
    <row r="15344">
      <c r="C15344" s="277"/>
      <c r="M15344" s="277"/>
      <c r="O15344" s="247"/>
      <c r="AC15344" s="247"/>
      <c r="AT15344" s="247"/>
    </row>
    <row r="15345">
      <c r="C15345" s="277"/>
      <c r="M15345" s="277"/>
      <c r="O15345" s="247"/>
      <c r="AC15345" s="247"/>
      <c r="AT15345" s="247"/>
    </row>
    <row r="15346">
      <c r="C15346" s="277"/>
      <c r="M15346" s="277"/>
      <c r="O15346" s="247"/>
      <c r="AC15346" s="247"/>
      <c r="AT15346" s="247"/>
    </row>
    <row r="15347">
      <c r="C15347" s="277"/>
      <c r="M15347" s="277"/>
      <c r="O15347" s="247"/>
      <c r="AC15347" s="247"/>
      <c r="AT15347" s="247"/>
    </row>
    <row r="15348">
      <c r="C15348" s="277"/>
      <c r="M15348" s="277"/>
      <c r="O15348" s="247"/>
      <c r="AC15348" s="247"/>
      <c r="AT15348" s="247"/>
    </row>
    <row r="15349">
      <c r="C15349" s="277"/>
      <c r="M15349" s="277"/>
      <c r="O15349" s="247"/>
      <c r="AC15349" s="247"/>
      <c r="AT15349" s="247"/>
    </row>
    <row r="15350">
      <c r="C15350" s="277"/>
      <c r="M15350" s="277"/>
      <c r="O15350" s="247"/>
      <c r="AC15350" s="247"/>
      <c r="AT15350" s="247"/>
    </row>
    <row r="15351">
      <c r="C15351" s="277"/>
      <c r="M15351" s="277"/>
      <c r="O15351" s="247"/>
      <c r="AC15351" s="247"/>
      <c r="AT15351" s="247"/>
    </row>
    <row r="15352">
      <c r="C15352" s="277"/>
      <c r="M15352" s="277"/>
      <c r="O15352" s="247"/>
      <c r="AC15352" s="247"/>
      <c r="AT15352" s="247"/>
    </row>
    <row r="15353">
      <c r="C15353" s="277"/>
      <c r="M15353" s="277"/>
      <c r="O15353" s="247"/>
      <c r="AC15353" s="247"/>
      <c r="AT15353" s="247"/>
    </row>
    <row r="15354">
      <c r="C15354" s="277"/>
      <c r="M15354" s="277"/>
      <c r="O15354" s="247"/>
      <c r="AC15354" s="247"/>
      <c r="AT15354" s="247"/>
    </row>
    <row r="15355">
      <c r="C15355" s="277"/>
      <c r="M15355" s="277"/>
      <c r="O15355" s="247"/>
      <c r="AC15355" s="247"/>
      <c r="AT15355" s="247"/>
    </row>
    <row r="15356">
      <c r="C15356" s="277"/>
      <c r="M15356" s="277"/>
      <c r="O15356" s="247"/>
      <c r="AC15356" s="247"/>
      <c r="AT15356" s="247"/>
    </row>
    <row r="15357">
      <c r="C15357" s="277"/>
      <c r="M15357" s="277"/>
      <c r="O15357" s="247"/>
      <c r="AC15357" s="247"/>
      <c r="AT15357" s="247"/>
    </row>
    <row r="15358">
      <c r="C15358" s="277"/>
      <c r="M15358" s="277"/>
      <c r="O15358" s="247"/>
      <c r="AC15358" s="247"/>
      <c r="AT15358" s="247"/>
    </row>
    <row r="15359">
      <c r="C15359" s="277"/>
      <c r="M15359" s="277"/>
      <c r="O15359" s="247"/>
      <c r="AC15359" s="247"/>
      <c r="AT15359" s="247"/>
    </row>
    <row r="15360">
      <c r="C15360" s="277"/>
      <c r="M15360" s="277"/>
      <c r="O15360" s="247"/>
      <c r="AC15360" s="247"/>
      <c r="AT15360" s="247"/>
    </row>
    <row r="15361">
      <c r="C15361" s="277"/>
      <c r="M15361" s="277"/>
      <c r="O15361" s="247"/>
      <c r="AC15361" s="247"/>
      <c r="AT15361" s="247"/>
    </row>
    <row r="15362">
      <c r="C15362" s="277"/>
      <c r="M15362" s="277"/>
      <c r="O15362" s="247"/>
      <c r="AC15362" s="247"/>
      <c r="AT15362" s="247"/>
    </row>
    <row r="15363">
      <c r="C15363" s="277"/>
      <c r="M15363" s="277"/>
      <c r="O15363" s="247"/>
      <c r="AC15363" s="247"/>
      <c r="AT15363" s="247"/>
    </row>
    <row r="15364">
      <c r="C15364" s="277"/>
      <c r="M15364" s="277"/>
      <c r="O15364" s="247"/>
      <c r="AC15364" s="247"/>
      <c r="AT15364" s="247"/>
    </row>
    <row r="15365">
      <c r="C15365" s="277"/>
      <c r="M15365" s="277"/>
      <c r="O15365" s="247"/>
      <c r="AC15365" s="247"/>
      <c r="AT15365" s="247"/>
    </row>
    <row r="15366">
      <c r="C15366" s="277"/>
      <c r="M15366" s="277"/>
      <c r="O15366" s="247"/>
      <c r="AC15366" s="247"/>
      <c r="AT15366" s="247"/>
    </row>
    <row r="15367">
      <c r="C15367" s="277"/>
      <c r="M15367" s="277"/>
      <c r="O15367" s="247"/>
      <c r="AC15367" s="247"/>
      <c r="AT15367" s="247"/>
    </row>
    <row r="15368">
      <c r="C15368" s="277"/>
      <c r="M15368" s="277"/>
      <c r="O15368" s="247"/>
      <c r="AC15368" s="247"/>
      <c r="AT15368" s="247"/>
    </row>
    <row r="15369">
      <c r="C15369" s="277"/>
      <c r="M15369" s="277"/>
      <c r="O15369" s="247"/>
      <c r="AC15369" s="247"/>
      <c r="AT15369" s="247"/>
    </row>
    <row r="15370">
      <c r="C15370" s="277"/>
      <c r="M15370" s="277"/>
      <c r="O15370" s="247"/>
      <c r="AC15370" s="247"/>
      <c r="AT15370" s="247"/>
    </row>
    <row r="15371">
      <c r="C15371" s="277"/>
      <c r="M15371" s="277"/>
      <c r="O15371" s="247"/>
      <c r="AC15371" s="247"/>
      <c r="AT15371" s="247"/>
    </row>
    <row r="15372">
      <c r="C15372" s="277"/>
      <c r="M15372" s="277"/>
      <c r="O15372" s="247"/>
      <c r="AC15372" s="247"/>
      <c r="AT15372" s="247"/>
    </row>
    <row r="15373">
      <c r="C15373" s="277"/>
      <c r="M15373" s="277"/>
      <c r="O15373" s="247"/>
      <c r="AC15373" s="247"/>
      <c r="AT15373" s="247"/>
    </row>
    <row r="15374">
      <c r="C15374" s="277"/>
      <c r="M15374" s="277"/>
      <c r="O15374" s="247"/>
      <c r="AC15374" s="247"/>
      <c r="AT15374" s="247"/>
    </row>
    <row r="15375">
      <c r="C15375" s="277"/>
      <c r="M15375" s="277"/>
      <c r="O15375" s="247"/>
      <c r="AC15375" s="247"/>
      <c r="AT15375" s="247"/>
    </row>
    <row r="15376">
      <c r="C15376" s="277"/>
      <c r="M15376" s="277"/>
      <c r="O15376" s="247"/>
      <c r="AC15376" s="247"/>
      <c r="AT15376" s="247"/>
    </row>
    <row r="15377">
      <c r="C15377" s="277"/>
      <c r="M15377" s="277"/>
      <c r="O15377" s="247"/>
      <c r="AC15377" s="247"/>
      <c r="AT15377" s="247"/>
    </row>
    <row r="15378">
      <c r="C15378" s="277"/>
      <c r="M15378" s="277"/>
      <c r="O15378" s="247"/>
      <c r="AC15378" s="247"/>
      <c r="AT15378" s="247"/>
    </row>
    <row r="15379">
      <c r="C15379" s="277"/>
      <c r="M15379" s="277"/>
      <c r="O15379" s="247"/>
      <c r="AC15379" s="247"/>
      <c r="AT15379" s="247"/>
    </row>
    <row r="15380">
      <c r="C15380" s="277"/>
      <c r="M15380" s="277"/>
      <c r="O15380" s="247"/>
      <c r="AC15380" s="247"/>
      <c r="AT15380" s="247"/>
    </row>
    <row r="15381">
      <c r="C15381" s="277"/>
      <c r="M15381" s="277"/>
      <c r="O15381" s="247"/>
      <c r="AC15381" s="247"/>
      <c r="AT15381" s="247"/>
    </row>
    <row r="15382">
      <c r="C15382" s="277"/>
      <c r="M15382" s="277"/>
      <c r="O15382" s="247"/>
      <c r="AC15382" s="247"/>
      <c r="AT15382" s="247"/>
    </row>
    <row r="15383">
      <c r="C15383" s="277"/>
      <c r="M15383" s="277"/>
      <c r="O15383" s="247"/>
      <c r="AC15383" s="247"/>
      <c r="AT15383" s="247"/>
    </row>
    <row r="15384">
      <c r="C15384" s="277"/>
      <c r="M15384" s="277"/>
      <c r="O15384" s="247"/>
      <c r="AC15384" s="247"/>
      <c r="AT15384" s="247"/>
    </row>
    <row r="15385">
      <c r="C15385" s="277"/>
      <c r="M15385" s="277"/>
      <c r="O15385" s="247"/>
      <c r="AC15385" s="247"/>
      <c r="AT15385" s="247"/>
    </row>
    <row r="15386">
      <c r="C15386" s="277"/>
      <c r="M15386" s="277"/>
      <c r="O15386" s="247"/>
      <c r="AC15386" s="247"/>
      <c r="AT15386" s="247"/>
    </row>
    <row r="15387">
      <c r="C15387" s="277"/>
      <c r="M15387" s="277"/>
      <c r="O15387" s="247"/>
      <c r="AC15387" s="247"/>
      <c r="AT15387" s="247"/>
    </row>
    <row r="15388">
      <c r="C15388" s="277"/>
      <c r="M15388" s="277"/>
      <c r="O15388" s="247"/>
      <c r="AC15388" s="247"/>
      <c r="AT15388" s="247"/>
    </row>
    <row r="15389">
      <c r="C15389" s="277"/>
      <c r="M15389" s="277"/>
      <c r="O15389" s="247"/>
      <c r="AC15389" s="247"/>
      <c r="AT15389" s="247"/>
    </row>
    <row r="15390">
      <c r="C15390" s="277"/>
      <c r="M15390" s="277"/>
      <c r="O15390" s="247"/>
      <c r="AC15390" s="247"/>
      <c r="AT15390" s="247"/>
    </row>
    <row r="15391">
      <c r="C15391" s="277"/>
      <c r="M15391" s="277"/>
      <c r="O15391" s="247"/>
      <c r="AC15391" s="247"/>
      <c r="AT15391" s="247"/>
    </row>
    <row r="15392">
      <c r="C15392" s="277"/>
      <c r="M15392" s="277"/>
      <c r="O15392" s="247"/>
      <c r="AC15392" s="247"/>
      <c r="AT15392" s="247"/>
    </row>
    <row r="15393">
      <c r="C15393" s="277"/>
      <c r="M15393" s="277"/>
      <c r="O15393" s="247"/>
      <c r="AC15393" s="247"/>
      <c r="AT15393" s="247"/>
    </row>
    <row r="15394">
      <c r="C15394" s="277"/>
      <c r="M15394" s="277"/>
      <c r="O15394" s="247"/>
      <c r="AC15394" s="247"/>
      <c r="AT15394" s="247"/>
    </row>
    <row r="15395">
      <c r="C15395" s="277"/>
      <c r="M15395" s="277"/>
      <c r="O15395" s="247"/>
      <c r="AC15395" s="247"/>
      <c r="AT15395" s="247"/>
    </row>
    <row r="15396">
      <c r="C15396" s="277"/>
      <c r="M15396" s="277"/>
      <c r="O15396" s="247"/>
      <c r="AC15396" s="247"/>
      <c r="AT15396" s="247"/>
    </row>
    <row r="15397">
      <c r="C15397" s="277"/>
      <c r="M15397" s="277"/>
      <c r="O15397" s="247"/>
      <c r="AC15397" s="247"/>
      <c r="AT15397" s="247"/>
    </row>
    <row r="15398">
      <c r="C15398" s="277"/>
      <c r="M15398" s="277"/>
      <c r="O15398" s="247"/>
      <c r="AC15398" s="247"/>
      <c r="AT15398" s="247"/>
    </row>
    <row r="15399">
      <c r="C15399" s="277"/>
      <c r="M15399" s="277"/>
      <c r="O15399" s="247"/>
      <c r="AC15399" s="247"/>
      <c r="AT15399" s="247"/>
    </row>
    <row r="15400">
      <c r="C15400" s="277"/>
      <c r="M15400" s="277"/>
      <c r="O15400" s="247"/>
      <c r="AC15400" s="247"/>
      <c r="AT15400" s="247"/>
    </row>
    <row r="15401">
      <c r="C15401" s="277"/>
      <c r="M15401" s="277"/>
      <c r="O15401" s="247"/>
      <c r="AC15401" s="247"/>
      <c r="AT15401" s="247"/>
    </row>
    <row r="15402">
      <c r="C15402" s="277"/>
      <c r="M15402" s="277"/>
      <c r="O15402" s="247"/>
      <c r="AC15402" s="247"/>
      <c r="AT15402" s="247"/>
    </row>
    <row r="15403">
      <c r="C15403" s="277"/>
      <c r="M15403" s="277"/>
      <c r="O15403" s="247"/>
      <c r="AC15403" s="247"/>
      <c r="AT15403" s="247"/>
    </row>
    <row r="15404">
      <c r="C15404" s="277"/>
      <c r="M15404" s="277"/>
      <c r="O15404" s="247"/>
      <c r="AC15404" s="247"/>
      <c r="AT15404" s="247"/>
    </row>
    <row r="15405">
      <c r="C15405" s="277"/>
      <c r="M15405" s="277"/>
      <c r="O15405" s="247"/>
      <c r="AC15405" s="247"/>
      <c r="AT15405" s="247"/>
    </row>
    <row r="15406">
      <c r="C15406" s="277"/>
      <c r="M15406" s="277"/>
      <c r="O15406" s="247"/>
      <c r="AC15406" s="247"/>
      <c r="AT15406" s="247"/>
    </row>
    <row r="15407">
      <c r="C15407" s="277"/>
      <c r="M15407" s="277"/>
      <c r="O15407" s="247"/>
      <c r="AC15407" s="247"/>
      <c r="AT15407" s="247"/>
    </row>
    <row r="15408">
      <c r="C15408" s="277"/>
      <c r="M15408" s="277"/>
      <c r="O15408" s="247"/>
      <c r="AC15408" s="247"/>
      <c r="AT15408" s="247"/>
    </row>
    <row r="15409">
      <c r="C15409" s="277"/>
      <c r="M15409" s="277"/>
      <c r="O15409" s="247"/>
      <c r="AC15409" s="247"/>
      <c r="AT15409" s="247"/>
    </row>
    <row r="15410">
      <c r="C15410" s="277"/>
      <c r="M15410" s="277"/>
      <c r="O15410" s="247"/>
      <c r="AC15410" s="247"/>
      <c r="AT15410" s="247"/>
    </row>
    <row r="15411">
      <c r="C15411" s="277"/>
      <c r="M15411" s="277"/>
      <c r="O15411" s="247"/>
      <c r="AC15411" s="247"/>
      <c r="AT15411" s="247"/>
    </row>
    <row r="15412">
      <c r="C15412" s="277"/>
      <c r="M15412" s="277"/>
      <c r="O15412" s="247"/>
      <c r="AC15412" s="247"/>
      <c r="AT15412" s="247"/>
    </row>
    <row r="15413">
      <c r="C15413" s="277"/>
      <c r="M15413" s="277"/>
      <c r="O15413" s="247"/>
      <c r="AC15413" s="247"/>
      <c r="AT15413" s="247"/>
    </row>
    <row r="15414">
      <c r="C15414" s="277"/>
      <c r="M15414" s="277"/>
      <c r="O15414" s="247"/>
      <c r="AC15414" s="247"/>
      <c r="AT15414" s="247"/>
    </row>
    <row r="15415">
      <c r="C15415" s="277"/>
      <c r="M15415" s="277"/>
      <c r="O15415" s="247"/>
      <c r="AC15415" s="247"/>
      <c r="AT15415" s="247"/>
    </row>
    <row r="15416">
      <c r="C15416" s="277"/>
      <c r="M15416" s="277"/>
      <c r="O15416" s="247"/>
      <c r="AC15416" s="247"/>
      <c r="AT15416" s="247"/>
    </row>
    <row r="15417">
      <c r="C15417" s="277"/>
      <c r="M15417" s="277"/>
      <c r="O15417" s="247"/>
      <c r="AC15417" s="247"/>
      <c r="AT15417" s="247"/>
    </row>
    <row r="15418">
      <c r="C15418" s="277"/>
      <c r="M15418" s="277"/>
      <c r="O15418" s="247"/>
      <c r="AC15418" s="247"/>
      <c r="AT15418" s="247"/>
    </row>
    <row r="15419">
      <c r="C15419" s="277"/>
      <c r="M15419" s="277"/>
      <c r="O15419" s="247"/>
      <c r="AC15419" s="247"/>
      <c r="AT15419" s="247"/>
    </row>
    <row r="15420">
      <c r="C15420" s="277"/>
      <c r="M15420" s="277"/>
      <c r="O15420" s="247"/>
      <c r="AC15420" s="247"/>
      <c r="AT15420" s="247"/>
    </row>
    <row r="15421">
      <c r="C15421" s="277"/>
      <c r="M15421" s="277"/>
      <c r="O15421" s="247"/>
      <c r="AC15421" s="247"/>
      <c r="AT15421" s="247"/>
    </row>
    <row r="15422">
      <c r="C15422" s="277"/>
      <c r="M15422" s="277"/>
      <c r="O15422" s="247"/>
      <c r="AC15422" s="247"/>
      <c r="AT15422" s="247"/>
    </row>
    <row r="15423">
      <c r="C15423" s="277"/>
      <c r="M15423" s="277"/>
      <c r="O15423" s="247"/>
      <c r="AC15423" s="247"/>
      <c r="AT15423" s="247"/>
    </row>
    <row r="15424">
      <c r="C15424" s="277"/>
      <c r="M15424" s="277"/>
      <c r="O15424" s="247"/>
      <c r="AC15424" s="247"/>
      <c r="AT15424" s="247"/>
    </row>
    <row r="15425">
      <c r="C15425" s="277"/>
      <c r="M15425" s="277"/>
      <c r="O15425" s="247"/>
      <c r="AC15425" s="247"/>
      <c r="AT15425" s="247"/>
    </row>
    <row r="15426">
      <c r="C15426" s="277"/>
      <c r="M15426" s="277"/>
      <c r="O15426" s="247"/>
      <c r="AC15426" s="247"/>
      <c r="AT15426" s="247"/>
    </row>
    <row r="15427">
      <c r="C15427" s="277"/>
      <c r="M15427" s="277"/>
      <c r="O15427" s="247"/>
      <c r="AC15427" s="247"/>
      <c r="AT15427" s="247"/>
    </row>
    <row r="15428">
      <c r="C15428" s="277"/>
      <c r="M15428" s="277"/>
      <c r="O15428" s="247"/>
      <c r="AC15428" s="247"/>
      <c r="AT15428" s="247"/>
    </row>
    <row r="15429">
      <c r="C15429" s="277"/>
      <c r="M15429" s="277"/>
      <c r="O15429" s="247"/>
      <c r="AC15429" s="247"/>
      <c r="AT15429" s="247"/>
    </row>
    <row r="15430">
      <c r="C15430" s="277"/>
      <c r="M15430" s="277"/>
      <c r="O15430" s="247"/>
      <c r="AC15430" s="247"/>
      <c r="AT15430" s="247"/>
    </row>
    <row r="15431">
      <c r="C15431" s="277"/>
      <c r="M15431" s="277"/>
      <c r="O15431" s="247"/>
      <c r="AC15431" s="247"/>
      <c r="AT15431" s="247"/>
    </row>
    <row r="15432">
      <c r="C15432" s="277"/>
      <c r="M15432" s="277"/>
      <c r="O15432" s="247"/>
      <c r="AC15432" s="247"/>
      <c r="AT15432" s="247"/>
    </row>
    <row r="15433">
      <c r="C15433" s="277"/>
      <c r="M15433" s="277"/>
      <c r="O15433" s="247"/>
      <c r="AC15433" s="247"/>
      <c r="AT15433" s="247"/>
    </row>
    <row r="15434">
      <c r="C15434" s="277"/>
      <c r="M15434" s="277"/>
      <c r="O15434" s="247"/>
      <c r="AC15434" s="247"/>
      <c r="AT15434" s="247"/>
    </row>
    <row r="15435">
      <c r="C15435" s="277"/>
      <c r="M15435" s="277"/>
      <c r="O15435" s="247"/>
      <c r="AC15435" s="247"/>
      <c r="AT15435" s="247"/>
    </row>
    <row r="15436">
      <c r="C15436" s="277"/>
      <c r="M15436" s="277"/>
      <c r="O15436" s="247"/>
      <c r="AC15436" s="247"/>
      <c r="AT15436" s="247"/>
    </row>
    <row r="15437">
      <c r="C15437" s="277"/>
      <c r="M15437" s="277"/>
      <c r="O15437" s="247"/>
      <c r="AC15437" s="247"/>
      <c r="AT15437" s="247"/>
    </row>
    <row r="15438">
      <c r="C15438" s="277"/>
      <c r="M15438" s="277"/>
      <c r="O15438" s="247"/>
      <c r="AC15438" s="247"/>
      <c r="AT15438" s="247"/>
    </row>
    <row r="15439">
      <c r="C15439" s="277"/>
      <c r="M15439" s="277"/>
      <c r="O15439" s="247"/>
      <c r="AC15439" s="247"/>
      <c r="AT15439" s="247"/>
    </row>
    <row r="15440">
      <c r="C15440" s="277"/>
      <c r="M15440" s="277"/>
      <c r="O15440" s="247"/>
      <c r="AC15440" s="247"/>
      <c r="AT15440" s="247"/>
    </row>
    <row r="15441">
      <c r="C15441" s="277"/>
      <c r="M15441" s="277"/>
      <c r="O15441" s="247"/>
      <c r="AC15441" s="247"/>
      <c r="AT15441" s="247"/>
    </row>
    <row r="15442">
      <c r="C15442" s="277"/>
      <c r="M15442" s="277"/>
      <c r="O15442" s="247"/>
      <c r="AC15442" s="247"/>
      <c r="AT15442" s="247"/>
    </row>
    <row r="15443">
      <c r="C15443" s="277"/>
      <c r="M15443" s="277"/>
      <c r="O15443" s="247"/>
      <c r="AC15443" s="247"/>
      <c r="AT15443" s="247"/>
    </row>
    <row r="15444">
      <c r="C15444" s="277"/>
      <c r="M15444" s="277"/>
      <c r="O15444" s="247"/>
      <c r="AC15444" s="247"/>
      <c r="AT15444" s="247"/>
    </row>
    <row r="15445">
      <c r="C15445" s="277"/>
      <c r="M15445" s="277"/>
      <c r="O15445" s="247"/>
      <c r="AC15445" s="247"/>
      <c r="AT15445" s="247"/>
    </row>
    <row r="15446">
      <c r="C15446" s="277"/>
      <c r="M15446" s="277"/>
      <c r="O15446" s="247"/>
      <c r="AC15446" s="247"/>
      <c r="AT15446" s="247"/>
    </row>
    <row r="15447">
      <c r="C15447" s="277"/>
      <c r="M15447" s="277"/>
      <c r="O15447" s="247"/>
      <c r="AC15447" s="247"/>
      <c r="AT15447" s="247"/>
    </row>
    <row r="15448">
      <c r="C15448" s="278"/>
      <c r="M15448" s="277"/>
      <c r="O15448" s="247"/>
      <c r="AC15448" s="247"/>
      <c r="AT15448" s="247"/>
    </row>
    <row r="15449">
      <c r="C15449" s="278"/>
      <c r="M15449" s="277"/>
      <c r="O15449" s="247"/>
      <c r="AC15449" s="247"/>
      <c r="AT15449" s="247"/>
    </row>
    <row r="15450">
      <c r="C15450" s="278"/>
      <c r="M15450" s="277"/>
      <c r="O15450" s="247"/>
      <c r="AC15450" s="247"/>
      <c r="AT15450" s="247"/>
    </row>
    <row r="15451">
      <c r="C15451" s="278"/>
      <c r="M15451" s="277"/>
      <c r="O15451" s="247"/>
      <c r="AC15451" s="247"/>
      <c r="AT15451" s="247"/>
    </row>
    <row r="15452">
      <c r="C15452" s="278"/>
      <c r="M15452" s="277"/>
      <c r="O15452" s="247"/>
      <c r="AC15452" s="247"/>
      <c r="AT15452" s="247"/>
    </row>
    <row r="15453">
      <c r="C15453" s="278"/>
      <c r="M15453" s="277"/>
      <c r="O15453" s="247"/>
      <c r="AC15453" s="247"/>
      <c r="AT15453" s="247"/>
    </row>
    <row r="15454">
      <c r="C15454" s="278"/>
      <c r="M15454" s="277"/>
      <c r="O15454" s="247"/>
      <c r="AC15454" s="247"/>
      <c r="AT15454" s="247"/>
    </row>
    <row r="15455">
      <c r="C15455" s="278"/>
      <c r="M15455" s="277"/>
      <c r="O15455" s="247"/>
      <c r="AC15455" s="247"/>
      <c r="AT15455" s="247"/>
    </row>
    <row r="15456">
      <c r="C15456" s="278"/>
      <c r="M15456" s="277"/>
      <c r="O15456" s="247"/>
      <c r="AC15456" s="247"/>
      <c r="AT15456" s="247"/>
    </row>
    <row r="15457">
      <c r="C15457" s="278"/>
      <c r="M15457" s="277"/>
      <c r="O15457" s="247"/>
      <c r="AC15457" s="247"/>
      <c r="AT15457" s="247"/>
    </row>
    <row r="15458">
      <c r="C15458" s="278"/>
      <c r="M15458" s="277"/>
      <c r="O15458" s="247"/>
      <c r="AC15458" s="247"/>
      <c r="AT15458" s="247"/>
    </row>
    <row r="15459">
      <c r="C15459" s="278"/>
      <c r="M15459" s="277"/>
      <c r="O15459" s="247"/>
      <c r="AC15459" s="247"/>
      <c r="AT15459" s="247"/>
    </row>
    <row r="15460">
      <c r="C15460" s="278"/>
      <c r="M15460" s="277"/>
      <c r="O15460" s="247"/>
      <c r="AC15460" s="247"/>
      <c r="AT15460" s="247"/>
    </row>
    <row r="15461">
      <c r="C15461" s="278"/>
      <c r="M15461" s="277"/>
      <c r="O15461" s="247"/>
      <c r="AC15461" s="247"/>
      <c r="AT15461" s="247"/>
    </row>
    <row r="15462">
      <c r="C15462" s="278"/>
      <c r="M15462" s="277"/>
      <c r="O15462" s="247"/>
      <c r="AC15462" s="247"/>
      <c r="AT15462" s="247"/>
    </row>
    <row r="15463">
      <c r="C15463" s="278"/>
      <c r="M15463" s="277"/>
      <c r="O15463" s="247"/>
      <c r="AC15463" s="247"/>
      <c r="AT15463" s="247"/>
    </row>
    <row r="15464">
      <c r="C15464" s="278"/>
      <c r="M15464" s="277"/>
      <c r="O15464" s="247"/>
      <c r="AC15464" s="247"/>
      <c r="AT15464" s="247"/>
    </row>
    <row r="15465">
      <c r="C15465" s="278"/>
      <c r="M15465" s="277"/>
      <c r="O15465" s="247"/>
      <c r="AC15465" s="247"/>
      <c r="AT15465" s="247"/>
    </row>
    <row r="15466">
      <c r="C15466" s="278"/>
      <c r="M15466" s="277"/>
      <c r="O15466" s="247"/>
      <c r="AC15466" s="247"/>
      <c r="AT15466" s="247"/>
    </row>
    <row r="15467">
      <c r="C15467" s="278"/>
      <c r="M15467" s="277"/>
      <c r="O15467" s="247"/>
      <c r="AC15467" s="247"/>
      <c r="AT15467" s="247"/>
    </row>
    <row r="15468">
      <c r="C15468" s="278"/>
      <c r="M15468" s="277"/>
      <c r="O15468" s="247"/>
      <c r="AC15468" s="247"/>
      <c r="AT15468" s="247"/>
    </row>
    <row r="15469">
      <c r="C15469" s="278"/>
      <c r="M15469" s="277"/>
      <c r="O15469" s="247"/>
      <c r="AC15469" s="247"/>
      <c r="AT15469" s="247"/>
    </row>
    <row r="15470">
      <c r="C15470" s="278"/>
      <c r="M15470" s="277"/>
      <c r="O15470" s="247"/>
      <c r="AC15470" s="247"/>
      <c r="AT15470" s="247"/>
    </row>
    <row r="15471">
      <c r="C15471" s="278"/>
      <c r="M15471" s="277"/>
      <c r="O15471" s="247"/>
      <c r="AC15471" s="247"/>
      <c r="AT15471" s="247"/>
    </row>
    <row r="15472">
      <c r="C15472" s="278"/>
      <c r="M15472" s="277"/>
      <c r="O15472" s="247"/>
      <c r="AC15472" s="247"/>
      <c r="AT15472" s="247"/>
    </row>
    <row r="15473">
      <c r="C15473" s="278"/>
      <c r="M15473" s="277"/>
      <c r="O15473" s="247"/>
      <c r="AC15473" s="247"/>
      <c r="AT15473" s="247"/>
    </row>
    <row r="15474">
      <c r="C15474" s="278"/>
      <c r="M15474" s="277"/>
      <c r="O15474" s="247"/>
      <c r="AC15474" s="247"/>
      <c r="AT15474" s="247"/>
    </row>
    <row r="15475">
      <c r="C15475" s="278"/>
      <c r="M15475" s="277"/>
      <c r="O15475" s="247"/>
      <c r="AC15475" s="247"/>
      <c r="AT15475" s="247"/>
    </row>
    <row r="15476">
      <c r="C15476" s="278"/>
      <c r="M15476" s="277"/>
      <c r="O15476" s="247"/>
      <c r="AC15476" s="247"/>
      <c r="AT15476" s="247"/>
    </row>
    <row r="15477">
      <c r="C15477" s="278"/>
      <c r="M15477" s="277"/>
      <c r="O15477" s="247"/>
      <c r="AC15477" s="247"/>
      <c r="AT15477" s="247"/>
    </row>
    <row r="15478">
      <c r="C15478" s="278"/>
      <c r="M15478" s="277"/>
      <c r="O15478" s="247"/>
      <c r="AC15478" s="247"/>
      <c r="AT15478" s="247"/>
    </row>
    <row r="15479">
      <c r="C15479" s="278"/>
      <c r="M15479" s="277"/>
      <c r="O15479" s="247"/>
      <c r="AC15479" s="247"/>
      <c r="AT15479" s="247"/>
    </row>
    <row r="15480">
      <c r="C15480" s="278"/>
      <c r="M15480" s="277"/>
      <c r="O15480" s="247"/>
      <c r="AC15480" s="247"/>
      <c r="AT15480" s="247"/>
    </row>
    <row r="15481">
      <c r="C15481" s="278"/>
      <c r="M15481" s="277"/>
      <c r="O15481" s="247"/>
      <c r="AC15481" s="247"/>
      <c r="AT15481" s="247"/>
    </row>
    <row r="15482">
      <c r="C15482" s="278"/>
      <c r="M15482" s="277"/>
      <c r="O15482" s="247"/>
      <c r="AC15482" s="247"/>
      <c r="AT15482" s="247"/>
    </row>
    <row r="15483">
      <c r="C15483" s="278"/>
      <c r="M15483" s="278"/>
      <c r="O15483" s="247"/>
      <c r="AC15483" s="247"/>
      <c r="AT15483" s="247"/>
    </row>
    <row r="15484">
      <c r="C15484" s="278"/>
      <c r="M15484" s="278"/>
      <c r="O15484" s="247"/>
      <c r="AC15484" s="247"/>
      <c r="AT15484" s="247"/>
    </row>
    <row r="15485">
      <c r="C15485" s="278"/>
      <c r="M15485" s="278"/>
      <c r="O15485" s="247"/>
      <c r="AC15485" s="247"/>
      <c r="AT15485" s="247"/>
    </row>
    <row r="15486">
      <c r="C15486" s="278"/>
      <c r="M15486" s="278"/>
      <c r="O15486" s="247"/>
      <c r="AC15486" s="247"/>
      <c r="AT15486" s="247"/>
    </row>
    <row r="15487">
      <c r="C15487" s="278"/>
      <c r="M15487" s="278"/>
      <c r="O15487" s="247"/>
      <c r="AC15487" s="247"/>
      <c r="AT15487" s="247"/>
    </row>
    <row r="15488">
      <c r="C15488" s="278"/>
      <c r="M15488" s="278"/>
      <c r="O15488" s="247"/>
      <c r="AC15488" s="247"/>
      <c r="AT15488" s="247"/>
    </row>
    <row r="15489">
      <c r="C15489" s="278"/>
      <c r="M15489" s="278"/>
      <c r="O15489" s="247"/>
      <c r="AC15489" s="247"/>
      <c r="AT15489" s="247"/>
    </row>
    <row r="15490">
      <c r="C15490" s="278"/>
      <c r="M15490" s="278"/>
      <c r="O15490" s="247"/>
      <c r="AC15490" s="247"/>
      <c r="AT15490" s="247"/>
    </row>
    <row r="15491">
      <c r="C15491" s="278"/>
      <c r="M15491" s="278"/>
      <c r="O15491" s="247"/>
      <c r="AC15491" s="247"/>
      <c r="AT15491" s="247"/>
    </row>
    <row r="15492">
      <c r="C15492" s="278"/>
      <c r="M15492" s="278"/>
      <c r="O15492" s="247"/>
      <c r="AC15492" s="247"/>
      <c r="AT15492" s="247"/>
    </row>
    <row r="15493">
      <c r="C15493" s="278"/>
      <c r="M15493" s="278"/>
      <c r="O15493" s="247"/>
      <c r="AC15493" s="247"/>
      <c r="AT15493" s="247"/>
    </row>
    <row r="15494">
      <c r="C15494" s="278"/>
      <c r="M15494" s="278"/>
      <c r="O15494" s="247"/>
      <c r="AC15494" s="247"/>
      <c r="AT15494" s="247"/>
    </row>
    <row r="15495">
      <c r="C15495" s="278"/>
      <c r="M15495" s="278"/>
      <c r="O15495" s="247"/>
      <c r="AC15495" s="247"/>
      <c r="AT15495" s="247"/>
    </row>
    <row r="15496">
      <c r="C15496" s="278"/>
      <c r="M15496" s="278"/>
      <c r="O15496" s="247"/>
      <c r="AC15496" s="247"/>
      <c r="AT15496" s="247"/>
    </row>
    <row r="15497">
      <c r="C15497" s="278"/>
      <c r="M15497" s="278"/>
      <c r="O15497" s="247"/>
      <c r="AC15497" s="247"/>
      <c r="AT15497" s="247"/>
    </row>
    <row r="15498">
      <c r="C15498" s="278"/>
      <c r="M15498" s="278"/>
      <c r="O15498" s="247"/>
      <c r="AC15498" s="247"/>
      <c r="AT15498" s="247"/>
    </row>
    <row r="15499">
      <c r="C15499" s="278"/>
      <c r="M15499" s="278"/>
      <c r="O15499" s="247"/>
      <c r="AC15499" s="247"/>
      <c r="AT15499" s="247"/>
    </row>
    <row r="15500">
      <c r="C15500" s="278"/>
      <c r="M15500" s="278"/>
      <c r="O15500" s="247"/>
      <c r="AC15500" s="247"/>
      <c r="AT15500" s="247"/>
    </row>
    <row r="15501">
      <c r="C15501" s="278"/>
      <c r="M15501" s="278"/>
      <c r="O15501" s="247"/>
      <c r="AC15501" s="247"/>
      <c r="AT15501" s="247"/>
    </row>
    <row r="15502">
      <c r="C15502" s="278"/>
      <c r="M15502" s="278"/>
      <c r="O15502" s="247"/>
      <c r="AC15502" s="247"/>
      <c r="AT15502" s="247"/>
    </row>
    <row r="15503">
      <c r="C15503" s="278"/>
      <c r="M15503" s="278"/>
      <c r="O15503" s="247"/>
      <c r="AC15503" s="247"/>
      <c r="AT15503" s="247"/>
    </row>
    <row r="15504">
      <c r="C15504" s="278"/>
      <c r="M15504" s="278"/>
      <c r="O15504" s="247"/>
      <c r="AC15504" s="247"/>
      <c r="AT15504" s="247"/>
    </row>
    <row r="15505">
      <c r="C15505" s="278"/>
      <c r="M15505" s="278"/>
      <c r="O15505" s="247"/>
      <c r="AC15505" s="247"/>
      <c r="AT15505" s="247"/>
    </row>
    <row r="15506">
      <c r="C15506" s="278"/>
      <c r="M15506" s="278"/>
      <c r="O15506" s="247"/>
      <c r="AC15506" s="247"/>
      <c r="AT15506" s="247"/>
    </row>
    <row r="15507">
      <c r="C15507" s="278"/>
      <c r="M15507" s="278"/>
      <c r="O15507" s="247"/>
      <c r="AC15507" s="247"/>
      <c r="AT15507" s="247"/>
    </row>
    <row r="15508">
      <c r="C15508" s="278"/>
      <c r="M15508" s="278"/>
      <c r="O15508" s="247"/>
      <c r="AC15508" s="247"/>
      <c r="AT15508" s="247"/>
    </row>
    <row r="15509">
      <c r="C15509" s="278"/>
      <c r="M15509" s="278"/>
      <c r="O15509" s="247"/>
      <c r="AC15509" s="247"/>
      <c r="AT15509" s="247"/>
    </row>
    <row r="15510">
      <c r="C15510" s="278"/>
      <c r="M15510" s="278"/>
      <c r="O15510" s="247"/>
      <c r="AC15510" s="247"/>
      <c r="AT15510" s="247"/>
    </row>
    <row r="15511">
      <c r="C15511" s="278"/>
      <c r="M15511" s="278"/>
      <c r="O15511" s="247"/>
      <c r="AC15511" s="247"/>
      <c r="AT15511" s="247"/>
    </row>
    <row r="15512">
      <c r="C15512" s="278"/>
      <c r="M15512" s="278"/>
      <c r="O15512" s="247"/>
      <c r="AC15512" s="247"/>
      <c r="AT15512" s="247"/>
    </row>
    <row r="15513">
      <c r="C15513" s="278"/>
      <c r="M15513" s="278"/>
      <c r="O15513" s="247"/>
      <c r="AC15513" s="247"/>
      <c r="AT15513" s="247"/>
    </row>
    <row r="15514">
      <c r="C15514" s="278"/>
      <c r="M15514" s="278"/>
      <c r="O15514" s="247"/>
      <c r="AC15514" s="247"/>
      <c r="AT15514" s="247"/>
    </row>
    <row r="15515">
      <c r="C15515" s="278"/>
      <c r="M15515" s="278"/>
      <c r="O15515" s="247"/>
      <c r="AC15515" s="247"/>
      <c r="AT15515" s="247"/>
    </row>
    <row r="15516">
      <c r="C15516" s="278"/>
      <c r="M15516" s="278"/>
      <c r="O15516" s="247"/>
      <c r="AC15516" s="247"/>
      <c r="AT15516" s="247"/>
    </row>
    <row r="15517">
      <c r="C15517" s="278"/>
      <c r="M15517" s="278"/>
      <c r="O15517" s="247"/>
      <c r="AC15517" s="247"/>
      <c r="AT15517" s="247"/>
    </row>
    <row r="15518">
      <c r="C15518" s="278"/>
      <c r="M15518" s="278"/>
      <c r="O15518" s="247"/>
      <c r="AC15518" s="247"/>
      <c r="AT15518" s="247"/>
    </row>
    <row r="15519">
      <c r="C15519" s="278"/>
      <c r="M15519" s="278"/>
      <c r="O15519" s="247"/>
      <c r="AC15519" s="247"/>
      <c r="AT15519" s="247"/>
    </row>
    <row r="15520">
      <c r="C15520" s="278"/>
      <c r="M15520" s="278"/>
      <c r="O15520" s="247"/>
      <c r="AC15520" s="247"/>
      <c r="AT15520" s="247"/>
    </row>
    <row r="15521">
      <c r="C15521" s="278"/>
      <c r="M15521" s="278"/>
      <c r="O15521" s="247"/>
      <c r="AC15521" s="247"/>
      <c r="AT15521" s="247"/>
    </row>
    <row r="15522">
      <c r="C15522" s="278"/>
      <c r="M15522" s="278"/>
      <c r="O15522" s="247"/>
      <c r="AC15522" s="247"/>
      <c r="AT15522" s="247"/>
    </row>
    <row r="15523">
      <c r="C15523" s="278"/>
      <c r="M15523" s="278"/>
      <c r="O15523" s="247"/>
      <c r="AC15523" s="247"/>
      <c r="AT15523" s="247"/>
    </row>
    <row r="15524">
      <c r="C15524" s="278"/>
      <c r="M15524" s="278"/>
      <c r="O15524" s="247"/>
      <c r="AC15524" s="247"/>
      <c r="AT15524" s="247"/>
    </row>
    <row r="15525">
      <c r="C15525" s="278"/>
      <c r="M15525" s="278"/>
      <c r="O15525" s="247"/>
      <c r="AC15525" s="247"/>
      <c r="AT15525" s="247"/>
    </row>
    <row r="15526">
      <c r="C15526" s="278"/>
      <c r="M15526" s="278"/>
      <c r="O15526" s="247"/>
      <c r="AC15526" s="247"/>
      <c r="AT15526" s="247"/>
    </row>
    <row r="15527">
      <c r="C15527" s="278"/>
      <c r="M15527" s="278"/>
      <c r="O15527" s="247"/>
      <c r="AC15527" s="247"/>
      <c r="AT15527" s="247"/>
    </row>
    <row r="15528">
      <c r="C15528" s="278"/>
      <c r="M15528" s="278"/>
      <c r="O15528" s="247"/>
      <c r="AC15528" s="247"/>
      <c r="AT15528" s="247"/>
    </row>
    <row r="15529">
      <c r="C15529" s="278"/>
      <c r="M15529" s="278"/>
      <c r="O15529" s="247"/>
      <c r="AC15529" s="247"/>
      <c r="AT15529" s="247"/>
    </row>
    <row r="15530">
      <c r="C15530" s="278"/>
      <c r="M15530" s="278"/>
      <c r="O15530" s="247"/>
      <c r="AC15530" s="247"/>
      <c r="AT15530" s="247"/>
    </row>
    <row r="15531">
      <c r="C15531" s="278"/>
      <c r="M15531" s="278"/>
      <c r="O15531" s="247"/>
      <c r="AC15531" s="247"/>
      <c r="AT15531" s="247"/>
    </row>
    <row r="15532">
      <c r="C15532" s="278"/>
      <c r="M15532" s="278"/>
      <c r="O15532" s="247"/>
      <c r="AC15532" s="247"/>
      <c r="AT15532" s="247"/>
    </row>
    <row r="15533">
      <c r="C15533" s="278"/>
      <c r="M15533" s="278"/>
      <c r="O15533" s="247"/>
      <c r="AC15533" s="247"/>
      <c r="AT15533" s="247"/>
    </row>
    <row r="15534">
      <c r="C15534" s="278"/>
      <c r="M15534" s="278"/>
      <c r="O15534" s="247"/>
      <c r="AC15534" s="247"/>
      <c r="AT15534" s="247"/>
    </row>
    <row r="15535">
      <c r="C15535" s="278"/>
      <c r="M15535" s="278"/>
      <c r="O15535" s="247"/>
      <c r="AC15535" s="247"/>
      <c r="AT15535" s="247"/>
    </row>
    <row r="15536">
      <c r="C15536" s="278"/>
      <c r="M15536" s="278"/>
      <c r="O15536" s="247"/>
      <c r="AC15536" s="247"/>
      <c r="AT15536" s="247"/>
    </row>
    <row r="15537">
      <c r="C15537" s="278"/>
      <c r="M15537" s="278"/>
      <c r="O15537" s="247"/>
      <c r="AC15537" s="247"/>
      <c r="AT15537" s="247"/>
    </row>
    <row r="15538">
      <c r="C15538" s="278"/>
      <c r="M15538" s="278"/>
      <c r="O15538" s="247"/>
      <c r="AC15538" s="247"/>
      <c r="AT15538" s="247"/>
    </row>
    <row r="15539">
      <c r="C15539" s="278"/>
      <c r="M15539" s="278"/>
      <c r="O15539" s="247"/>
      <c r="AC15539" s="247"/>
      <c r="AT15539" s="247"/>
    </row>
    <row r="15540">
      <c r="C15540" s="278"/>
      <c r="M15540" s="278"/>
      <c r="O15540" s="247"/>
      <c r="AC15540" s="247"/>
      <c r="AT15540" s="247"/>
    </row>
    <row r="15541">
      <c r="C15541" s="278"/>
      <c r="M15541" s="278"/>
      <c r="O15541" s="247"/>
      <c r="AC15541" s="247"/>
      <c r="AT15541" s="247"/>
    </row>
    <row r="15542">
      <c r="C15542" s="278"/>
      <c r="M15542" s="278"/>
      <c r="O15542" s="247"/>
      <c r="AC15542" s="247"/>
      <c r="AT15542" s="247"/>
    </row>
    <row r="15543">
      <c r="C15543" s="278"/>
      <c r="M15543" s="278"/>
      <c r="O15543" s="247"/>
      <c r="AC15543" s="247"/>
      <c r="AT15543" s="247"/>
    </row>
    <row r="15544">
      <c r="C15544" s="278"/>
      <c r="M15544" s="278"/>
      <c r="O15544" s="247"/>
      <c r="AC15544" s="247"/>
      <c r="AT15544" s="247"/>
    </row>
    <row r="15545">
      <c r="C15545" s="278"/>
      <c r="M15545" s="278"/>
      <c r="O15545" s="247"/>
      <c r="AC15545" s="247"/>
      <c r="AT15545" s="247"/>
    </row>
    <row r="15546">
      <c r="C15546" s="278"/>
      <c r="M15546" s="278"/>
      <c r="O15546" s="247"/>
      <c r="AC15546" s="247"/>
      <c r="AT15546" s="247"/>
    </row>
    <row r="15547">
      <c r="C15547" s="278"/>
      <c r="M15547" s="278"/>
      <c r="O15547" s="247"/>
      <c r="AC15547" s="247"/>
      <c r="AT15547" s="247"/>
    </row>
    <row r="15548">
      <c r="C15548" s="278"/>
      <c r="M15548" s="278"/>
      <c r="O15548" s="247"/>
      <c r="AC15548" s="247"/>
      <c r="AT15548" s="247"/>
    </row>
    <row r="15549">
      <c r="C15549" s="278"/>
      <c r="M15549" s="278"/>
      <c r="O15549" s="247"/>
      <c r="AC15549" s="247"/>
      <c r="AT15549" s="247"/>
    </row>
    <row r="15550">
      <c r="C15550" s="278"/>
      <c r="M15550" s="278"/>
      <c r="O15550" s="247"/>
      <c r="AC15550" s="247"/>
      <c r="AT15550" s="247"/>
    </row>
    <row r="15551">
      <c r="C15551" s="278"/>
      <c r="M15551" s="278"/>
      <c r="O15551" s="247"/>
      <c r="AC15551" s="247"/>
      <c r="AT15551" s="247"/>
    </row>
    <row r="15552">
      <c r="C15552" s="278"/>
      <c r="M15552" s="278"/>
      <c r="O15552" s="247"/>
      <c r="AC15552" s="247"/>
      <c r="AT15552" s="247"/>
    </row>
    <row r="15553">
      <c r="C15553" s="278"/>
      <c r="M15553" s="278"/>
      <c r="O15553" s="247"/>
      <c r="AC15553" s="247"/>
      <c r="AT15553" s="247"/>
    </row>
    <row r="15554">
      <c r="C15554" s="278"/>
      <c r="M15554" s="278"/>
      <c r="O15554" s="247"/>
      <c r="AC15554" s="247"/>
      <c r="AT15554" s="247"/>
    </row>
    <row r="15555">
      <c r="C15555" s="278"/>
      <c r="M15555" s="278"/>
      <c r="O15555" s="247"/>
      <c r="AC15555" s="247"/>
      <c r="AT15555" s="247"/>
    </row>
    <row r="15556">
      <c r="C15556" s="278"/>
      <c r="M15556" s="278"/>
      <c r="O15556" s="247"/>
      <c r="AC15556" s="247"/>
      <c r="AT15556" s="247"/>
    </row>
    <row r="15557">
      <c r="C15557" s="278"/>
      <c r="M15557" s="278"/>
      <c r="O15557" s="247"/>
      <c r="AC15557" s="247"/>
      <c r="AT15557" s="247"/>
    </row>
    <row r="15558">
      <c r="C15558" s="278"/>
      <c r="M15558" s="278"/>
      <c r="O15558" s="247"/>
      <c r="AC15558" s="247"/>
      <c r="AT15558" s="247"/>
    </row>
    <row r="15559">
      <c r="C15559" s="278"/>
      <c r="M15559" s="278"/>
      <c r="O15559" s="247"/>
      <c r="AC15559" s="247"/>
      <c r="AT15559" s="247"/>
    </row>
    <row r="15560">
      <c r="C15560" s="278"/>
      <c r="M15560" s="278"/>
      <c r="O15560" s="247"/>
      <c r="AC15560" s="247"/>
      <c r="AT15560" s="247"/>
    </row>
    <row r="15561">
      <c r="C15561" s="278"/>
      <c r="M15561" s="278"/>
      <c r="O15561" s="247"/>
      <c r="AC15561" s="247"/>
      <c r="AT15561" s="247"/>
    </row>
    <row r="15562">
      <c r="C15562" s="278"/>
      <c r="M15562" s="278"/>
      <c r="O15562" s="247"/>
      <c r="AC15562" s="247"/>
      <c r="AT15562" s="247"/>
    </row>
    <row r="15563">
      <c r="C15563" s="278"/>
      <c r="M15563" s="278"/>
      <c r="O15563" s="247"/>
      <c r="AC15563" s="247"/>
      <c r="AT15563" s="247"/>
    </row>
    <row r="15564">
      <c r="C15564" s="278"/>
      <c r="M15564" s="278"/>
      <c r="O15564" s="247"/>
      <c r="AC15564" s="247"/>
      <c r="AT15564" s="247"/>
    </row>
    <row r="15565">
      <c r="C15565" s="278"/>
      <c r="M15565" s="278"/>
      <c r="O15565" s="247"/>
      <c r="AC15565" s="247"/>
      <c r="AT15565" s="247"/>
    </row>
    <row r="15566">
      <c r="C15566" s="278"/>
      <c r="M15566" s="278"/>
      <c r="O15566" s="247"/>
      <c r="AC15566" s="247"/>
      <c r="AT15566" s="247"/>
    </row>
    <row r="15567">
      <c r="C15567" s="278"/>
      <c r="M15567" s="278"/>
      <c r="O15567" s="247"/>
      <c r="AC15567" s="247"/>
      <c r="AT15567" s="247"/>
    </row>
    <row r="15568">
      <c r="C15568" s="278"/>
      <c r="M15568" s="278"/>
      <c r="O15568" s="247"/>
      <c r="AC15568" s="247"/>
      <c r="AT15568" s="247"/>
    </row>
    <row r="15569">
      <c r="C15569" s="278"/>
      <c r="M15569" s="278"/>
      <c r="O15569" s="247"/>
      <c r="AC15569" s="247"/>
      <c r="AT15569" s="247"/>
    </row>
    <row r="15570">
      <c r="C15570" s="278"/>
      <c r="M15570" s="278"/>
      <c r="O15570" s="247"/>
      <c r="AC15570" s="247"/>
      <c r="AT15570" s="247"/>
    </row>
    <row r="15571">
      <c r="C15571" s="278"/>
      <c r="M15571" s="278"/>
      <c r="O15571" s="247"/>
      <c r="AC15571" s="247"/>
      <c r="AT15571" s="247"/>
    </row>
    <row r="15572">
      <c r="C15572" s="278"/>
      <c r="M15572" s="278"/>
      <c r="O15572" s="247"/>
      <c r="AC15572" s="247"/>
      <c r="AT15572" s="247"/>
    </row>
    <row r="15573">
      <c r="C15573" s="278"/>
      <c r="M15573" s="278"/>
      <c r="O15573" s="247"/>
      <c r="AC15573" s="247"/>
      <c r="AT15573" s="247"/>
    </row>
    <row r="15574">
      <c r="C15574" s="278"/>
      <c r="M15574" s="278"/>
      <c r="O15574" s="247"/>
      <c r="AC15574" s="247"/>
      <c r="AT15574" s="247"/>
    </row>
    <row r="15575">
      <c r="C15575" s="278"/>
      <c r="M15575" s="278"/>
      <c r="O15575" s="247"/>
      <c r="AC15575" s="247"/>
      <c r="AT15575" s="247"/>
    </row>
    <row r="15576">
      <c r="C15576" s="278"/>
      <c r="M15576" s="278"/>
      <c r="O15576" s="247"/>
      <c r="AC15576" s="247"/>
      <c r="AT15576" s="247"/>
    </row>
    <row r="15577">
      <c r="C15577" s="278"/>
      <c r="M15577" s="278"/>
      <c r="O15577" s="247"/>
      <c r="AC15577" s="247"/>
      <c r="AT15577" s="247"/>
    </row>
    <row r="15578">
      <c r="C15578" s="278"/>
      <c r="M15578" s="278"/>
      <c r="O15578" s="247"/>
      <c r="AC15578" s="247"/>
      <c r="AT15578" s="247"/>
    </row>
    <row r="15579">
      <c r="C15579" s="278"/>
      <c r="M15579" s="278"/>
      <c r="O15579" s="247"/>
      <c r="AC15579" s="247"/>
      <c r="AT15579" s="247"/>
    </row>
    <row r="15580">
      <c r="C15580" s="278"/>
      <c r="M15580" s="278"/>
      <c r="O15580" s="247"/>
      <c r="AC15580" s="247"/>
      <c r="AT15580" s="247"/>
    </row>
    <row r="15581">
      <c r="C15581" s="278"/>
      <c r="M15581" s="278"/>
      <c r="O15581" s="247"/>
      <c r="AC15581" s="247"/>
      <c r="AT15581" s="247"/>
    </row>
    <row r="15582">
      <c r="C15582" s="278"/>
      <c r="M15582" s="278"/>
      <c r="O15582" s="247"/>
      <c r="AC15582" s="247"/>
      <c r="AT15582" s="247"/>
    </row>
    <row r="15583">
      <c r="C15583" s="278"/>
      <c r="M15583" s="278"/>
      <c r="O15583" s="247"/>
      <c r="AC15583" s="247"/>
      <c r="AT15583" s="247"/>
    </row>
    <row r="15584">
      <c r="C15584" s="278"/>
      <c r="M15584" s="278"/>
      <c r="O15584" s="247"/>
      <c r="AC15584" s="247"/>
      <c r="AT15584" s="247"/>
    </row>
    <row r="15585">
      <c r="C15585" s="278"/>
      <c r="M15585" s="278"/>
      <c r="O15585" s="247"/>
      <c r="AC15585" s="247"/>
      <c r="AT15585" s="247"/>
    </row>
    <row r="15586">
      <c r="C15586" s="278"/>
      <c r="M15586" s="278"/>
      <c r="O15586" s="247"/>
      <c r="AC15586" s="247"/>
      <c r="AT15586" s="247"/>
    </row>
    <row r="15587">
      <c r="C15587" s="278"/>
      <c r="M15587" s="278"/>
      <c r="O15587" s="247"/>
      <c r="AC15587" s="247"/>
      <c r="AT15587" s="247"/>
    </row>
    <row r="15588">
      <c r="C15588" s="278"/>
      <c r="M15588" s="278"/>
      <c r="O15588" s="247"/>
      <c r="AC15588" s="247"/>
      <c r="AT15588" s="247"/>
    </row>
    <row r="15589">
      <c r="C15589" s="278"/>
      <c r="M15589" s="278"/>
      <c r="O15589" s="247"/>
      <c r="AC15589" s="247"/>
      <c r="AT15589" s="247"/>
    </row>
    <row r="15590">
      <c r="C15590" s="278"/>
      <c r="M15590" s="278"/>
      <c r="O15590" s="247"/>
      <c r="AC15590" s="247"/>
      <c r="AT15590" s="247"/>
    </row>
    <row r="15591">
      <c r="C15591" s="278"/>
      <c r="M15591" s="278"/>
      <c r="O15591" s="247"/>
      <c r="AC15591" s="247"/>
      <c r="AT15591" s="247"/>
    </row>
    <row r="15592">
      <c r="C15592" s="278"/>
      <c r="M15592" s="278"/>
      <c r="O15592" s="247"/>
      <c r="AC15592" s="247"/>
      <c r="AT15592" s="247"/>
    </row>
    <row r="15593">
      <c r="C15593" s="278"/>
      <c r="M15593" s="278"/>
      <c r="O15593" s="247"/>
      <c r="AC15593" s="247"/>
      <c r="AT15593" s="247"/>
    </row>
    <row r="15594">
      <c r="C15594" s="278"/>
      <c r="M15594" s="278"/>
      <c r="O15594" s="247"/>
      <c r="AC15594" s="247"/>
      <c r="AT15594" s="247"/>
    </row>
    <row r="15595">
      <c r="C15595" s="278"/>
      <c r="M15595" s="278"/>
      <c r="O15595" s="247"/>
      <c r="AC15595" s="247"/>
      <c r="AT15595" s="247"/>
    </row>
    <row r="15596">
      <c r="C15596" s="278"/>
      <c r="M15596" s="278"/>
      <c r="O15596" s="247"/>
      <c r="AC15596" s="247"/>
      <c r="AT15596" s="247"/>
    </row>
    <row r="15597">
      <c r="C15597" s="278"/>
      <c r="M15597" s="278"/>
      <c r="O15597" s="247"/>
      <c r="AC15597" s="247"/>
      <c r="AT15597" s="247"/>
    </row>
    <row r="15598">
      <c r="C15598" s="278"/>
      <c r="M15598" s="278"/>
      <c r="O15598" s="247"/>
      <c r="AC15598" s="247"/>
      <c r="AT15598" s="247"/>
    </row>
    <row r="15599">
      <c r="C15599" s="278"/>
      <c r="M15599" s="278"/>
      <c r="O15599" s="247"/>
      <c r="AC15599" s="247"/>
      <c r="AT15599" s="247"/>
    </row>
    <row r="15600">
      <c r="C15600" s="278"/>
      <c r="M15600" s="278"/>
      <c r="O15600" s="247"/>
      <c r="AC15600" s="247"/>
      <c r="AT15600" s="247"/>
    </row>
    <row r="15601">
      <c r="C15601" s="278"/>
      <c r="M15601" s="278"/>
      <c r="O15601" s="247"/>
      <c r="AC15601" s="247"/>
      <c r="AT15601" s="247"/>
    </row>
    <row r="15602">
      <c r="C15602" s="278"/>
      <c r="M15602" s="278"/>
      <c r="O15602" s="247"/>
      <c r="AC15602" s="247"/>
      <c r="AT15602" s="247"/>
    </row>
    <row r="15603">
      <c r="C15603" s="278"/>
      <c r="M15603" s="278"/>
      <c r="O15603" s="247"/>
      <c r="AC15603" s="247"/>
      <c r="AT15603" s="247"/>
    </row>
    <row r="15604">
      <c r="C15604" s="278"/>
      <c r="M15604" s="278"/>
      <c r="O15604" s="247"/>
      <c r="AC15604" s="247"/>
      <c r="AT15604" s="247"/>
    </row>
    <row r="15605">
      <c r="C15605" s="278"/>
      <c r="M15605" s="278"/>
      <c r="O15605" s="247"/>
      <c r="AC15605" s="247"/>
      <c r="AT15605" s="247"/>
    </row>
    <row r="15606">
      <c r="C15606" s="278"/>
      <c r="M15606" s="278"/>
      <c r="O15606" s="247"/>
      <c r="AC15606" s="247"/>
      <c r="AT15606" s="247"/>
    </row>
    <row r="15607">
      <c r="C15607" s="278"/>
      <c r="M15607" s="278"/>
      <c r="O15607" s="247"/>
      <c r="AC15607" s="247"/>
      <c r="AT15607" s="247"/>
    </row>
    <row r="15608">
      <c r="C15608" s="278"/>
      <c r="M15608" s="278"/>
      <c r="O15608" s="247"/>
      <c r="AC15608" s="247"/>
      <c r="AT15608" s="247"/>
    </row>
    <row r="15609">
      <c r="C15609" s="278"/>
      <c r="M15609" s="278"/>
      <c r="O15609" s="247"/>
      <c r="AC15609" s="247"/>
      <c r="AT15609" s="247"/>
    </row>
    <row r="15610">
      <c r="C15610" s="278"/>
      <c r="M15610" s="278"/>
      <c r="O15610" s="247"/>
      <c r="AC15610" s="247"/>
      <c r="AT15610" s="247"/>
    </row>
    <row r="15611">
      <c r="C15611" s="278"/>
      <c r="M15611" s="278"/>
      <c r="O15611" s="247"/>
      <c r="AC15611" s="247"/>
      <c r="AT15611" s="247"/>
    </row>
    <row r="15612">
      <c r="C15612" s="278"/>
      <c r="M15612" s="278"/>
      <c r="O15612" s="247"/>
      <c r="AC15612" s="247"/>
      <c r="AT15612" s="247"/>
    </row>
    <row r="15613">
      <c r="C15613" s="278"/>
      <c r="M15613" s="278"/>
      <c r="O15613" s="247"/>
      <c r="AC15613" s="247"/>
      <c r="AT15613" s="247"/>
    </row>
    <row r="15614">
      <c r="C15614" s="278"/>
      <c r="M15614" s="278"/>
      <c r="O15614" s="247"/>
      <c r="AC15614" s="247"/>
      <c r="AT15614" s="247"/>
    </row>
    <row r="15615">
      <c r="C15615" s="278"/>
      <c r="M15615" s="278"/>
      <c r="O15615" s="247"/>
      <c r="AC15615" s="247"/>
      <c r="AT15615" s="247"/>
    </row>
    <row r="15616">
      <c r="C15616" s="278"/>
      <c r="M15616" s="278"/>
      <c r="O15616" s="247"/>
      <c r="AC15616" s="247"/>
      <c r="AT15616" s="247"/>
    </row>
    <row r="15617">
      <c r="C15617" s="278"/>
      <c r="M15617" s="278"/>
      <c r="O15617" s="247"/>
      <c r="AC15617" s="247"/>
      <c r="AT15617" s="247"/>
    </row>
    <row r="15618">
      <c r="C15618" s="278"/>
      <c r="M15618" s="278"/>
      <c r="O15618" s="247"/>
      <c r="AC15618" s="247"/>
      <c r="AT15618" s="247"/>
    </row>
    <row r="15619">
      <c r="C15619" s="278"/>
      <c r="M15619" s="278"/>
      <c r="O15619" s="247"/>
      <c r="AC15619" s="247"/>
      <c r="AT15619" s="247"/>
    </row>
    <row r="15620">
      <c r="C15620" s="278"/>
      <c r="M15620" s="278"/>
      <c r="O15620" s="247"/>
      <c r="AC15620" s="247"/>
      <c r="AT15620" s="247"/>
    </row>
    <row r="15621">
      <c r="C15621" s="278"/>
      <c r="M15621" s="278"/>
      <c r="O15621" s="247"/>
      <c r="AC15621" s="247"/>
      <c r="AT15621" s="247"/>
    </row>
    <row r="15622">
      <c r="C15622" s="278"/>
      <c r="M15622" s="278"/>
      <c r="O15622" s="247"/>
      <c r="AC15622" s="247"/>
      <c r="AT15622" s="247"/>
    </row>
    <row r="15623">
      <c r="C15623" s="278"/>
      <c r="M15623" s="278"/>
      <c r="O15623" s="247"/>
      <c r="AC15623" s="247"/>
      <c r="AT15623" s="247"/>
    </row>
    <row r="15624">
      <c r="C15624" s="278"/>
      <c r="M15624" s="278"/>
      <c r="O15624" s="247"/>
      <c r="AC15624" s="247"/>
      <c r="AT15624" s="247"/>
    </row>
    <row r="15625">
      <c r="C15625" s="278"/>
      <c r="M15625" s="278"/>
      <c r="O15625" s="247"/>
      <c r="AC15625" s="247"/>
      <c r="AT15625" s="247"/>
    </row>
    <row r="15626">
      <c r="C15626" s="278"/>
      <c r="M15626" s="278"/>
      <c r="O15626" s="247"/>
      <c r="AC15626" s="247"/>
      <c r="AT15626" s="247"/>
    </row>
    <row r="15627">
      <c r="C15627" s="278"/>
      <c r="M15627" s="278"/>
      <c r="O15627" s="247"/>
      <c r="AC15627" s="247"/>
      <c r="AT15627" s="247"/>
    </row>
    <row r="15628">
      <c r="C15628" s="278"/>
      <c r="M15628" s="278"/>
      <c r="O15628" s="247"/>
      <c r="AC15628" s="247"/>
      <c r="AT15628" s="247"/>
    </row>
    <row r="15629">
      <c r="C15629" s="278"/>
      <c r="M15629" s="278"/>
      <c r="O15629" s="247"/>
      <c r="AC15629" s="247"/>
      <c r="AT15629" s="247"/>
    </row>
    <row r="15630">
      <c r="C15630" s="278"/>
      <c r="M15630" s="278"/>
      <c r="O15630" s="247"/>
      <c r="AC15630" s="247"/>
      <c r="AT15630" s="247"/>
    </row>
    <row r="15631">
      <c r="C15631" s="278"/>
      <c r="M15631" s="278"/>
      <c r="O15631" s="247"/>
      <c r="AC15631" s="247"/>
      <c r="AT15631" s="247"/>
    </row>
    <row r="15632">
      <c r="C15632" s="278"/>
      <c r="M15632" s="278"/>
      <c r="O15632" s="247"/>
      <c r="AC15632" s="247"/>
      <c r="AT15632" s="247"/>
    </row>
    <row r="15633">
      <c r="C15633" s="278"/>
      <c r="M15633" s="278"/>
      <c r="O15633" s="247"/>
      <c r="AC15633" s="247"/>
      <c r="AT15633" s="247"/>
    </row>
    <row r="15634">
      <c r="C15634" s="278"/>
      <c r="M15634" s="278"/>
      <c r="O15634" s="247"/>
      <c r="AC15634" s="247"/>
      <c r="AT15634" s="247"/>
    </row>
    <row r="15635">
      <c r="C15635" s="278"/>
      <c r="M15635" s="278"/>
      <c r="O15635" s="247"/>
      <c r="AC15635" s="247"/>
      <c r="AT15635" s="247"/>
    </row>
    <row r="15636">
      <c r="C15636" s="278"/>
      <c r="M15636" s="278"/>
      <c r="O15636" s="247"/>
      <c r="AC15636" s="247"/>
      <c r="AT15636" s="247"/>
    </row>
    <row r="15637">
      <c r="C15637" s="278"/>
      <c r="M15637" s="278"/>
      <c r="O15637" s="247"/>
      <c r="AC15637" s="247"/>
      <c r="AT15637" s="247"/>
    </row>
    <row r="15638">
      <c r="C15638" s="278"/>
      <c r="M15638" s="278"/>
      <c r="O15638" s="247"/>
      <c r="AC15638" s="247"/>
      <c r="AT15638" s="247"/>
    </row>
    <row r="15639">
      <c r="C15639" s="278"/>
      <c r="M15639" s="278"/>
      <c r="O15639" s="247"/>
      <c r="AC15639" s="247"/>
      <c r="AT15639" s="247"/>
    </row>
    <row r="15640">
      <c r="C15640" s="278"/>
      <c r="M15640" s="278"/>
      <c r="O15640" s="247"/>
      <c r="AC15640" s="247"/>
      <c r="AT15640" s="247"/>
    </row>
    <row r="15641">
      <c r="C15641" s="278"/>
      <c r="M15641" s="278"/>
      <c r="O15641" s="247"/>
      <c r="AC15641" s="247"/>
      <c r="AT15641" s="247"/>
    </row>
    <row r="15642">
      <c r="C15642" s="278"/>
      <c r="M15642" s="278"/>
      <c r="O15642" s="247"/>
      <c r="AC15642" s="247"/>
      <c r="AT15642" s="247"/>
    </row>
    <row r="15643">
      <c r="C15643" s="278"/>
      <c r="M15643" s="278"/>
      <c r="O15643" s="247"/>
      <c r="AC15643" s="247"/>
      <c r="AT15643" s="247"/>
    </row>
    <row r="15644">
      <c r="C15644" s="278"/>
      <c r="M15644" s="278"/>
      <c r="O15644" s="247"/>
      <c r="AC15644" s="247"/>
      <c r="AT15644" s="247"/>
    </row>
    <row r="15645">
      <c r="C15645" s="278"/>
      <c r="M15645" s="278"/>
      <c r="O15645" s="247"/>
      <c r="AC15645" s="247"/>
      <c r="AT15645" s="247"/>
    </row>
    <row r="15646">
      <c r="C15646" s="278"/>
      <c r="M15646" s="278"/>
      <c r="O15646" s="247"/>
      <c r="AC15646" s="247"/>
      <c r="AT15646" s="247"/>
    </row>
    <row r="15647">
      <c r="C15647" s="278"/>
      <c r="M15647" s="278"/>
      <c r="O15647" s="247"/>
      <c r="AC15647" s="247"/>
      <c r="AT15647" s="247"/>
    </row>
    <row r="15648">
      <c r="C15648" s="278"/>
      <c r="M15648" s="278"/>
      <c r="O15648" s="247"/>
      <c r="AC15648" s="247"/>
      <c r="AT15648" s="247"/>
    </row>
    <row r="15649">
      <c r="C15649" s="278"/>
      <c r="M15649" s="278"/>
      <c r="O15649" s="247"/>
      <c r="AC15649" s="247"/>
      <c r="AT15649" s="247"/>
    </row>
    <row r="15650">
      <c r="C15650" s="278"/>
      <c r="M15650" s="278"/>
      <c r="O15650" s="247"/>
      <c r="AC15650" s="247"/>
      <c r="AT15650" s="247"/>
    </row>
    <row r="15651">
      <c r="C15651" s="278"/>
      <c r="M15651" s="278"/>
      <c r="O15651" s="247"/>
      <c r="AC15651" s="247"/>
      <c r="AT15651" s="247"/>
    </row>
    <row r="15652">
      <c r="C15652" s="278"/>
      <c r="M15652" s="278"/>
      <c r="O15652" s="247"/>
      <c r="AC15652" s="247"/>
      <c r="AT15652" s="247"/>
    </row>
    <row r="15653">
      <c r="C15653" s="278"/>
      <c r="M15653" s="278"/>
      <c r="O15653" s="247"/>
      <c r="AC15653" s="247"/>
      <c r="AT15653" s="247"/>
    </row>
    <row r="15654">
      <c r="C15654" s="278"/>
      <c r="M15654" s="278"/>
      <c r="O15654" s="247"/>
      <c r="AC15654" s="247"/>
      <c r="AT15654" s="247"/>
    </row>
    <row r="15655">
      <c r="C15655" s="278"/>
      <c r="M15655" s="278"/>
      <c r="O15655" s="247"/>
      <c r="AC15655" s="247"/>
      <c r="AT15655" s="247"/>
    </row>
    <row r="15656">
      <c r="C15656" s="278"/>
      <c r="M15656" s="278"/>
      <c r="O15656" s="247"/>
      <c r="AC15656" s="247"/>
      <c r="AT15656" s="247"/>
    </row>
    <row r="15657">
      <c r="C15657" s="278"/>
      <c r="M15657" s="278"/>
      <c r="O15657" s="247"/>
      <c r="AC15657" s="247"/>
      <c r="AT15657" s="247"/>
    </row>
    <row r="15658">
      <c r="C15658" s="278"/>
      <c r="M15658" s="278"/>
      <c r="O15658" s="247"/>
      <c r="AC15658" s="247"/>
      <c r="AT15658" s="247"/>
    </row>
    <row r="15659">
      <c r="C15659" s="278"/>
      <c r="M15659" s="278"/>
      <c r="O15659" s="247"/>
      <c r="AC15659" s="247"/>
      <c r="AT15659" s="247"/>
    </row>
    <row r="15660">
      <c r="C15660" s="278"/>
      <c r="M15660" s="278"/>
      <c r="O15660" s="247"/>
      <c r="AC15660" s="247"/>
      <c r="AT15660" s="247"/>
    </row>
    <row r="15661">
      <c r="C15661" s="278"/>
      <c r="M15661" s="278"/>
      <c r="O15661" s="247"/>
      <c r="AC15661" s="247"/>
      <c r="AT15661" s="247"/>
    </row>
    <row r="15662">
      <c r="C15662" s="278"/>
      <c r="M15662" s="278"/>
      <c r="O15662" s="247"/>
      <c r="AC15662" s="247"/>
      <c r="AT15662" s="247"/>
    </row>
    <row r="15663">
      <c r="C15663" s="278"/>
      <c r="M15663" s="278"/>
      <c r="O15663" s="247"/>
      <c r="AC15663" s="247"/>
      <c r="AT15663" s="247"/>
    </row>
    <row r="15664">
      <c r="C15664" s="278"/>
      <c r="M15664" s="278"/>
      <c r="O15664" s="247"/>
      <c r="AC15664" s="247"/>
      <c r="AT15664" s="247"/>
    </row>
    <row r="15665">
      <c r="C15665" s="278"/>
      <c r="M15665" s="278"/>
      <c r="O15665" s="247"/>
      <c r="AC15665" s="247"/>
      <c r="AT15665" s="247"/>
    </row>
    <row r="15666">
      <c r="C15666" s="278"/>
      <c r="M15666" s="278"/>
      <c r="O15666" s="247"/>
      <c r="AC15666" s="247"/>
      <c r="AT15666" s="247"/>
    </row>
    <row r="15667">
      <c r="C15667" s="278"/>
      <c r="M15667" s="278"/>
      <c r="O15667" s="247"/>
      <c r="AC15667" s="247"/>
      <c r="AT15667" s="247"/>
    </row>
    <row r="15668">
      <c r="C15668" s="278"/>
      <c r="M15668" s="278"/>
      <c r="O15668" s="247"/>
      <c r="AC15668" s="247"/>
      <c r="AT15668" s="247"/>
    </row>
    <row r="15669">
      <c r="C15669" s="278"/>
      <c r="M15669" s="278"/>
      <c r="O15669" s="247"/>
      <c r="AC15669" s="247"/>
      <c r="AT15669" s="247"/>
    </row>
    <row r="15670">
      <c r="C15670" s="278"/>
      <c r="M15670" s="278"/>
      <c r="O15670" s="247"/>
      <c r="AC15670" s="247"/>
      <c r="AT15670" s="247"/>
    </row>
    <row r="15671">
      <c r="C15671" s="278"/>
      <c r="M15671" s="278"/>
      <c r="O15671" s="247"/>
      <c r="AC15671" s="247"/>
      <c r="AT15671" s="247"/>
    </row>
    <row r="15672">
      <c r="C15672" s="278"/>
      <c r="M15672" s="278"/>
      <c r="O15672" s="247"/>
      <c r="AC15672" s="247"/>
      <c r="AT15672" s="247"/>
    </row>
    <row r="15673">
      <c r="C15673" s="278"/>
      <c r="M15673" s="278"/>
      <c r="O15673" s="247"/>
      <c r="AC15673" s="247"/>
      <c r="AT15673" s="247"/>
    </row>
    <row r="15674">
      <c r="C15674" s="278"/>
      <c r="M15674" s="278"/>
      <c r="O15674" s="247"/>
      <c r="AC15674" s="247"/>
      <c r="AT15674" s="247"/>
    </row>
    <row r="15675">
      <c r="C15675" s="278"/>
      <c r="M15675" s="278"/>
      <c r="O15675" s="247"/>
      <c r="AC15675" s="247"/>
      <c r="AT15675" s="247"/>
    </row>
    <row r="15676">
      <c r="C15676" s="278"/>
      <c r="M15676" s="278"/>
      <c r="O15676" s="247"/>
      <c r="AC15676" s="247"/>
      <c r="AT15676" s="247"/>
    </row>
    <row r="15677">
      <c r="C15677" s="278"/>
      <c r="M15677" s="278"/>
      <c r="O15677" s="247"/>
      <c r="AC15677" s="247"/>
      <c r="AT15677" s="247"/>
    </row>
    <row r="15678">
      <c r="C15678" s="278"/>
      <c r="M15678" s="278"/>
      <c r="O15678" s="247"/>
      <c r="AC15678" s="247"/>
      <c r="AT15678" s="247"/>
    </row>
    <row r="15679">
      <c r="C15679" s="278"/>
      <c r="M15679" s="278"/>
      <c r="O15679" s="247"/>
      <c r="AC15679" s="247"/>
      <c r="AT15679" s="247"/>
    </row>
    <row r="15680">
      <c r="C15680" s="278"/>
      <c r="M15680" s="278"/>
      <c r="O15680" s="247"/>
      <c r="AC15680" s="247"/>
      <c r="AT15680" s="247"/>
    </row>
    <row r="15681">
      <c r="C15681" s="278"/>
      <c r="M15681" s="278"/>
      <c r="O15681" s="247"/>
      <c r="AC15681" s="247"/>
      <c r="AT15681" s="247"/>
    </row>
    <row r="15682">
      <c r="C15682" s="278"/>
      <c r="M15682" s="278"/>
      <c r="O15682" s="247"/>
      <c r="AC15682" s="247"/>
      <c r="AT15682" s="247"/>
    </row>
    <row r="15683">
      <c r="C15683" s="278"/>
      <c r="M15683" s="278"/>
      <c r="O15683" s="247"/>
      <c r="AC15683" s="247"/>
      <c r="AT15683" s="247"/>
    </row>
    <row r="15684">
      <c r="C15684" s="278"/>
      <c r="M15684" s="278"/>
      <c r="O15684" s="247"/>
      <c r="AC15684" s="247"/>
      <c r="AT15684" s="247"/>
    </row>
    <row r="15685">
      <c r="C15685" s="278"/>
      <c r="M15685" s="278"/>
      <c r="O15685" s="247"/>
      <c r="AC15685" s="247"/>
      <c r="AT15685" s="247"/>
    </row>
    <row r="15686">
      <c r="C15686" s="278"/>
      <c r="M15686" s="278"/>
      <c r="O15686" s="247"/>
      <c r="AC15686" s="247"/>
      <c r="AT15686" s="247"/>
    </row>
    <row r="15687">
      <c r="C15687" s="278"/>
      <c r="M15687" s="278"/>
      <c r="O15687" s="247"/>
      <c r="AC15687" s="247"/>
      <c r="AT15687" s="247"/>
    </row>
    <row r="15688">
      <c r="C15688" s="278"/>
      <c r="M15688" s="278"/>
      <c r="O15688" s="247"/>
      <c r="AC15688" s="247"/>
      <c r="AT15688" s="247"/>
    </row>
    <row r="15689">
      <c r="C15689" s="278"/>
      <c r="M15689" s="278"/>
      <c r="O15689" s="247"/>
      <c r="AC15689" s="247"/>
      <c r="AT15689" s="247"/>
    </row>
    <row r="15690">
      <c r="C15690" s="278"/>
      <c r="M15690" s="278"/>
      <c r="O15690" s="247"/>
      <c r="AC15690" s="247"/>
      <c r="AT15690" s="247"/>
    </row>
    <row r="15691">
      <c r="C15691" s="278"/>
      <c r="M15691" s="278"/>
      <c r="O15691" s="247"/>
      <c r="AC15691" s="247"/>
      <c r="AT15691" s="247"/>
    </row>
    <row r="15692">
      <c r="C15692" s="278"/>
      <c r="M15692" s="278"/>
      <c r="O15692" s="247"/>
      <c r="AC15692" s="247"/>
      <c r="AT15692" s="247"/>
    </row>
    <row r="15693">
      <c r="C15693" s="278"/>
      <c r="M15693" s="278"/>
      <c r="O15693" s="247"/>
      <c r="AC15693" s="247"/>
      <c r="AT15693" s="247"/>
    </row>
    <row r="15694">
      <c r="C15694" s="278"/>
      <c r="M15694" s="278"/>
      <c r="O15694" s="247"/>
      <c r="AC15694" s="247"/>
      <c r="AT15694" s="247"/>
    </row>
    <row r="15695">
      <c r="C15695" s="278"/>
      <c r="M15695" s="278"/>
      <c r="O15695" s="247"/>
      <c r="AC15695" s="247"/>
      <c r="AT15695" s="247"/>
    </row>
    <row r="15696">
      <c r="C15696" s="278"/>
      <c r="M15696" s="278"/>
      <c r="O15696" s="247"/>
      <c r="AC15696" s="247"/>
      <c r="AT15696" s="247"/>
    </row>
    <row r="15697">
      <c r="C15697" s="278"/>
      <c r="M15697" s="278"/>
      <c r="O15697" s="247"/>
      <c r="AC15697" s="247"/>
      <c r="AT15697" s="247"/>
    </row>
    <row r="15698">
      <c r="C15698" s="278"/>
      <c r="M15698" s="278"/>
      <c r="O15698" s="247"/>
      <c r="AC15698" s="247"/>
      <c r="AT15698" s="247"/>
    </row>
    <row r="15699">
      <c r="C15699" s="278"/>
      <c r="M15699" s="278"/>
      <c r="O15699" s="247"/>
      <c r="AC15699" s="247"/>
      <c r="AT15699" s="247"/>
    </row>
    <row r="15700">
      <c r="C15700" s="278"/>
      <c r="M15700" s="278"/>
      <c r="O15700" s="247"/>
      <c r="AC15700" s="247"/>
      <c r="AT15700" s="247"/>
    </row>
    <row r="15701">
      <c r="C15701" s="278"/>
      <c r="M15701" s="278"/>
      <c r="O15701" s="247"/>
      <c r="AC15701" s="247"/>
      <c r="AT15701" s="247"/>
    </row>
    <row r="15702">
      <c r="C15702" s="278"/>
      <c r="M15702" s="278"/>
      <c r="O15702" s="247"/>
      <c r="AC15702" s="247"/>
      <c r="AT15702" s="247"/>
    </row>
    <row r="15703">
      <c r="C15703" s="278"/>
      <c r="M15703" s="278"/>
      <c r="O15703" s="247"/>
      <c r="AC15703" s="247"/>
      <c r="AT15703" s="247"/>
    </row>
    <row r="15704">
      <c r="C15704" s="278"/>
      <c r="M15704" s="278"/>
      <c r="O15704" s="247"/>
      <c r="AC15704" s="247"/>
      <c r="AT15704" s="247"/>
    </row>
    <row r="15705">
      <c r="C15705" s="278"/>
      <c r="M15705" s="278"/>
      <c r="O15705" s="247"/>
      <c r="AC15705" s="247"/>
      <c r="AT15705" s="247"/>
    </row>
    <row r="15706">
      <c r="C15706" s="278"/>
      <c r="M15706" s="278"/>
      <c r="O15706" s="247"/>
      <c r="AC15706" s="247"/>
      <c r="AT15706" s="247"/>
    </row>
    <row r="15707">
      <c r="C15707" s="278"/>
      <c r="M15707" s="278"/>
      <c r="O15707" s="247"/>
      <c r="AC15707" s="247"/>
      <c r="AT15707" s="247"/>
    </row>
    <row r="15708">
      <c r="C15708" s="278"/>
      <c r="M15708" s="278"/>
      <c r="O15708" s="247"/>
      <c r="AC15708" s="247"/>
      <c r="AT15708" s="247"/>
    </row>
    <row r="15709">
      <c r="C15709" s="278"/>
      <c r="M15709" s="278"/>
      <c r="O15709" s="247"/>
      <c r="AC15709" s="247"/>
      <c r="AT15709" s="247"/>
    </row>
    <row r="15710">
      <c r="C15710" s="278"/>
      <c r="M15710" s="278"/>
      <c r="O15710" s="247"/>
      <c r="AC15710" s="247"/>
      <c r="AT15710" s="247"/>
    </row>
    <row r="15711">
      <c r="C15711" s="278"/>
      <c r="M15711" s="278"/>
      <c r="O15711" s="247"/>
      <c r="AC15711" s="247"/>
      <c r="AT15711" s="247"/>
    </row>
    <row r="15712">
      <c r="C15712" s="278"/>
      <c r="M15712" s="278"/>
      <c r="O15712" s="247"/>
      <c r="AC15712" s="247"/>
      <c r="AT15712" s="247"/>
    </row>
    <row r="15713">
      <c r="C15713" s="278"/>
      <c r="M15713" s="278"/>
      <c r="O15713" s="247"/>
      <c r="AC15713" s="247"/>
      <c r="AT15713" s="247"/>
    </row>
    <row r="15714">
      <c r="C15714" s="278"/>
      <c r="M15714" s="278"/>
      <c r="O15714" s="247"/>
      <c r="AC15714" s="247"/>
      <c r="AT15714" s="247"/>
    </row>
    <row r="15715">
      <c r="C15715" s="278"/>
      <c r="M15715" s="278"/>
      <c r="O15715" s="247"/>
      <c r="AC15715" s="247"/>
      <c r="AT15715" s="247"/>
    </row>
    <row r="15716">
      <c r="C15716" s="278"/>
      <c r="M15716" s="278"/>
      <c r="O15716" s="247"/>
      <c r="AC15716" s="247"/>
      <c r="AT15716" s="247"/>
    </row>
    <row r="15717">
      <c r="C15717" s="278"/>
      <c r="M15717" s="278"/>
      <c r="O15717" s="247"/>
      <c r="AC15717" s="247"/>
      <c r="AT15717" s="247"/>
    </row>
    <row r="15718">
      <c r="C15718" s="278"/>
      <c r="M15718" s="278"/>
      <c r="O15718" s="247"/>
      <c r="AC15718" s="247"/>
      <c r="AT15718" s="247"/>
    </row>
    <row r="15719">
      <c r="C15719" s="278"/>
      <c r="M15719" s="278"/>
      <c r="O15719" s="247"/>
      <c r="AC15719" s="247"/>
      <c r="AT15719" s="247"/>
    </row>
    <row r="15720">
      <c r="C15720" s="278"/>
      <c r="M15720" s="278"/>
      <c r="O15720" s="247"/>
      <c r="AC15720" s="247"/>
      <c r="AT15720" s="247"/>
    </row>
    <row r="15721">
      <c r="C15721" s="278"/>
      <c r="M15721" s="278"/>
      <c r="O15721" s="247"/>
      <c r="AC15721" s="247"/>
      <c r="AT15721" s="247"/>
    </row>
    <row r="15722">
      <c r="C15722" s="278"/>
      <c r="M15722" s="278"/>
      <c r="O15722" s="247"/>
      <c r="AC15722" s="247"/>
      <c r="AT15722" s="247"/>
    </row>
    <row r="15723">
      <c r="C15723" s="278"/>
      <c r="M15723" s="278"/>
      <c r="O15723" s="247"/>
      <c r="AC15723" s="247"/>
      <c r="AT15723" s="247"/>
    </row>
    <row r="15724">
      <c r="C15724" s="278"/>
      <c r="M15724" s="278"/>
      <c r="O15724" s="247"/>
      <c r="AC15724" s="247"/>
      <c r="AT15724" s="247"/>
    </row>
    <row r="15725">
      <c r="C15725" s="278"/>
      <c r="M15725" s="278"/>
      <c r="O15725" s="247"/>
      <c r="AC15725" s="247"/>
      <c r="AT15725" s="247"/>
    </row>
    <row r="15726">
      <c r="C15726" s="278"/>
      <c r="M15726" s="278"/>
      <c r="O15726" s="247"/>
      <c r="AC15726" s="247"/>
      <c r="AT15726" s="247"/>
    </row>
    <row r="15727">
      <c r="C15727" s="278"/>
      <c r="M15727" s="278"/>
      <c r="O15727" s="247"/>
      <c r="AC15727" s="247"/>
      <c r="AT15727" s="247"/>
    </row>
    <row r="15728">
      <c r="C15728" s="278"/>
      <c r="M15728" s="278"/>
      <c r="O15728" s="247"/>
      <c r="AC15728" s="247"/>
      <c r="AT15728" s="247"/>
    </row>
    <row r="15729">
      <c r="C15729" s="278"/>
      <c r="M15729" s="278"/>
      <c r="O15729" s="247"/>
      <c r="AC15729" s="247"/>
      <c r="AT15729" s="247"/>
    </row>
    <row r="15730">
      <c r="C15730" s="278"/>
      <c r="M15730" s="278"/>
      <c r="O15730" s="247"/>
      <c r="AC15730" s="247"/>
      <c r="AT15730" s="247"/>
    </row>
    <row r="15731">
      <c r="C15731" s="278"/>
      <c r="M15731" s="278"/>
      <c r="O15731" s="247"/>
      <c r="AC15731" s="247"/>
      <c r="AT15731" s="247"/>
    </row>
    <row r="15732">
      <c r="C15732" s="278"/>
      <c r="M15732" s="278"/>
      <c r="O15732" s="247"/>
      <c r="AC15732" s="247"/>
      <c r="AT15732" s="247"/>
    </row>
    <row r="15733">
      <c r="C15733" s="278"/>
      <c r="M15733" s="278"/>
      <c r="O15733" s="247"/>
      <c r="AC15733" s="247"/>
      <c r="AT15733" s="247"/>
    </row>
    <row r="15734">
      <c r="C15734" s="278"/>
      <c r="M15734" s="278"/>
      <c r="O15734" s="247"/>
      <c r="AC15734" s="247"/>
      <c r="AT15734" s="247"/>
    </row>
    <row r="15735">
      <c r="C15735" s="278"/>
      <c r="M15735" s="278"/>
      <c r="O15735" s="247"/>
      <c r="AC15735" s="247"/>
      <c r="AT15735" s="247"/>
    </row>
    <row r="15736">
      <c r="C15736" s="278"/>
      <c r="M15736" s="278"/>
      <c r="O15736" s="247"/>
      <c r="AC15736" s="247"/>
      <c r="AT15736" s="247"/>
    </row>
    <row r="15737">
      <c r="C15737" s="278"/>
      <c r="M15737" s="278"/>
      <c r="O15737" s="247"/>
      <c r="AC15737" s="247"/>
      <c r="AT15737" s="247"/>
    </row>
    <row r="15738">
      <c r="C15738" s="278"/>
      <c r="M15738" s="278"/>
      <c r="O15738" s="247"/>
      <c r="AC15738" s="247"/>
      <c r="AT15738" s="247"/>
    </row>
    <row r="15739">
      <c r="C15739" s="278"/>
      <c r="M15739" s="278"/>
      <c r="O15739" s="247"/>
      <c r="AC15739" s="247"/>
      <c r="AT15739" s="247"/>
    </row>
    <row r="15740">
      <c r="C15740" s="278"/>
      <c r="M15740" s="278"/>
      <c r="O15740" s="247"/>
      <c r="AC15740" s="247"/>
      <c r="AT15740" s="247"/>
    </row>
    <row r="15741">
      <c r="C15741" s="278"/>
      <c r="M15741" s="278"/>
      <c r="O15741" s="247"/>
      <c r="AC15741" s="247"/>
      <c r="AT15741" s="247"/>
    </row>
    <row r="15742">
      <c r="C15742" s="278"/>
      <c r="M15742" s="278"/>
      <c r="O15742" s="247"/>
      <c r="AC15742" s="247"/>
      <c r="AT15742" s="247"/>
    </row>
    <row r="15743">
      <c r="C15743" s="278"/>
      <c r="M15743" s="278"/>
      <c r="O15743" s="247"/>
      <c r="AC15743" s="247"/>
      <c r="AT15743" s="247"/>
    </row>
    <row r="15744">
      <c r="C15744" s="278"/>
      <c r="M15744" s="278"/>
      <c r="O15744" s="247"/>
      <c r="AC15744" s="247"/>
      <c r="AT15744" s="247"/>
    </row>
    <row r="15745">
      <c r="C15745" s="278"/>
      <c r="M15745" s="278"/>
      <c r="O15745" s="247"/>
      <c r="AC15745" s="247"/>
      <c r="AT15745" s="247"/>
    </row>
    <row r="15746">
      <c r="C15746" s="278"/>
      <c r="M15746" s="278"/>
      <c r="O15746" s="247"/>
      <c r="AC15746" s="247"/>
      <c r="AT15746" s="247"/>
    </row>
    <row r="15747">
      <c r="C15747" s="278"/>
      <c r="M15747" s="278"/>
      <c r="O15747" s="247"/>
      <c r="AC15747" s="247"/>
      <c r="AT15747" s="247"/>
    </row>
    <row r="15748">
      <c r="C15748" s="278"/>
      <c r="M15748" s="278"/>
      <c r="O15748" s="247"/>
      <c r="AC15748" s="247"/>
      <c r="AT15748" s="247"/>
    </row>
    <row r="15749">
      <c r="C15749" s="278"/>
      <c r="M15749" s="278"/>
      <c r="O15749" s="247"/>
      <c r="AC15749" s="247"/>
      <c r="AT15749" s="247"/>
    </row>
    <row r="15750">
      <c r="C15750" s="278"/>
      <c r="M15750" s="278"/>
      <c r="O15750" s="247"/>
      <c r="AC15750" s="247"/>
      <c r="AT15750" s="247"/>
    </row>
    <row r="15751">
      <c r="C15751" s="278"/>
      <c r="M15751" s="278"/>
      <c r="O15751" s="247"/>
      <c r="AC15751" s="247"/>
      <c r="AT15751" s="247"/>
    </row>
    <row r="15752">
      <c r="C15752" s="278"/>
      <c r="M15752" s="278"/>
      <c r="O15752" s="247"/>
      <c r="AC15752" s="247"/>
      <c r="AT15752" s="247"/>
    </row>
    <row r="15753">
      <c r="C15753" s="278"/>
      <c r="M15753" s="278"/>
      <c r="O15753" s="247"/>
      <c r="AC15753" s="247"/>
      <c r="AT15753" s="247"/>
    </row>
    <row r="15754">
      <c r="C15754" s="278"/>
      <c r="M15754" s="278"/>
      <c r="O15754" s="247"/>
      <c r="AC15754" s="247"/>
      <c r="AT15754" s="247"/>
    </row>
    <row r="15755">
      <c r="C15755" s="278"/>
      <c r="M15755" s="278"/>
      <c r="O15755" s="247"/>
      <c r="AC15755" s="247"/>
      <c r="AT15755" s="247"/>
    </row>
    <row r="15756">
      <c r="C15756" s="278"/>
      <c r="M15756" s="278"/>
      <c r="O15756" s="247"/>
      <c r="AC15756" s="247"/>
      <c r="AT15756" s="247"/>
    </row>
    <row r="15757">
      <c r="C15757" s="278"/>
      <c r="M15757" s="278"/>
      <c r="O15757" s="247"/>
      <c r="AC15757" s="247"/>
      <c r="AT15757" s="247"/>
    </row>
    <row r="15758">
      <c r="C15758" s="278"/>
      <c r="M15758" s="278"/>
      <c r="O15758" s="247"/>
      <c r="AC15758" s="247"/>
      <c r="AT15758" s="247"/>
    </row>
    <row r="15759">
      <c r="C15759" s="278"/>
      <c r="M15759" s="278"/>
      <c r="O15759" s="247"/>
      <c r="AC15759" s="247"/>
      <c r="AT15759" s="247"/>
    </row>
    <row r="15760">
      <c r="C15760" s="278"/>
      <c r="M15760" s="278"/>
      <c r="O15760" s="247"/>
      <c r="AC15760" s="247"/>
      <c r="AT15760" s="247"/>
    </row>
    <row r="15761">
      <c r="C15761" s="278"/>
      <c r="M15761" s="278"/>
      <c r="O15761" s="247"/>
      <c r="AC15761" s="247"/>
      <c r="AT15761" s="247"/>
    </row>
    <row r="15762">
      <c r="C15762" s="278"/>
      <c r="M15762" s="278"/>
      <c r="O15762" s="247"/>
      <c r="AC15762" s="247"/>
      <c r="AT15762" s="247"/>
    </row>
    <row r="15763">
      <c r="C15763" s="278"/>
      <c r="M15763" s="278"/>
      <c r="O15763" s="247"/>
      <c r="AC15763" s="247"/>
      <c r="AT15763" s="247"/>
    </row>
    <row r="15764">
      <c r="C15764" s="278"/>
      <c r="M15764" s="278"/>
      <c r="O15764" s="247"/>
      <c r="AC15764" s="247"/>
      <c r="AT15764" s="247"/>
    </row>
    <row r="15765">
      <c r="C15765" s="278"/>
      <c r="M15765" s="278"/>
      <c r="O15765" s="247"/>
      <c r="AC15765" s="247"/>
      <c r="AT15765" s="247"/>
    </row>
    <row r="15766">
      <c r="C15766" s="278"/>
      <c r="M15766" s="278"/>
      <c r="O15766" s="247"/>
      <c r="AC15766" s="247"/>
      <c r="AT15766" s="247"/>
    </row>
    <row r="15767">
      <c r="C15767" s="278"/>
      <c r="M15767" s="278"/>
      <c r="O15767" s="247"/>
      <c r="AC15767" s="247"/>
      <c r="AT15767" s="247"/>
    </row>
    <row r="15768">
      <c r="C15768" s="278"/>
      <c r="M15768" s="278"/>
      <c r="O15768" s="247"/>
      <c r="AC15768" s="247"/>
      <c r="AT15768" s="247"/>
    </row>
    <row r="15769">
      <c r="C15769" s="278"/>
      <c r="M15769" s="278"/>
      <c r="O15769" s="247"/>
      <c r="AC15769" s="247"/>
      <c r="AT15769" s="247"/>
    </row>
    <row r="15770">
      <c r="C15770" s="278"/>
      <c r="M15770" s="278"/>
      <c r="O15770" s="247"/>
      <c r="AC15770" s="247"/>
      <c r="AT15770" s="247"/>
    </row>
    <row r="15771">
      <c r="C15771" s="278"/>
      <c r="M15771" s="278"/>
      <c r="O15771" s="247"/>
      <c r="AC15771" s="247"/>
      <c r="AT15771" s="247"/>
    </row>
    <row r="15772">
      <c r="C15772" s="278"/>
      <c r="M15772" s="278"/>
      <c r="O15772" s="247"/>
      <c r="AC15772" s="247"/>
      <c r="AT15772" s="247"/>
    </row>
    <row r="15773">
      <c r="C15773" s="278"/>
      <c r="M15773" s="278"/>
      <c r="O15773" s="247"/>
      <c r="AC15773" s="247"/>
      <c r="AT15773" s="247"/>
    </row>
    <row r="15774">
      <c r="C15774" s="278"/>
      <c r="M15774" s="278"/>
      <c r="O15774" s="247"/>
      <c r="AC15774" s="247"/>
      <c r="AT15774" s="247"/>
    </row>
    <row r="15775">
      <c r="C15775" s="278"/>
      <c r="M15775" s="278"/>
      <c r="O15775" s="247"/>
      <c r="AC15775" s="247"/>
      <c r="AT15775" s="247"/>
    </row>
    <row r="15776">
      <c r="C15776" s="278"/>
      <c r="M15776" s="278"/>
      <c r="O15776" s="247"/>
      <c r="AC15776" s="247"/>
      <c r="AT15776" s="247"/>
    </row>
    <row r="15777">
      <c r="C15777" s="278"/>
      <c r="M15777" s="278"/>
      <c r="O15777" s="247"/>
      <c r="AC15777" s="247"/>
      <c r="AT15777" s="247"/>
    </row>
    <row r="15778">
      <c r="C15778" s="278"/>
      <c r="M15778" s="278"/>
      <c r="O15778" s="247"/>
      <c r="AC15778" s="247"/>
      <c r="AT15778" s="247"/>
    </row>
    <row r="15779">
      <c r="C15779" s="278"/>
      <c r="M15779" s="278"/>
      <c r="O15779" s="247"/>
      <c r="AC15779" s="247"/>
      <c r="AT15779" s="247"/>
    </row>
    <row r="15780">
      <c r="C15780" s="278"/>
      <c r="M15780" s="278"/>
      <c r="O15780" s="247"/>
      <c r="AC15780" s="247"/>
      <c r="AT15780" s="247"/>
    </row>
    <row r="15781">
      <c r="C15781" s="278"/>
      <c r="M15781" s="278"/>
      <c r="O15781" s="247"/>
      <c r="AC15781" s="247"/>
      <c r="AT15781" s="247"/>
    </row>
    <row r="15782">
      <c r="C15782" s="278"/>
      <c r="M15782" s="278"/>
      <c r="O15782" s="247"/>
      <c r="AC15782" s="247"/>
      <c r="AT15782" s="247"/>
    </row>
    <row r="15783">
      <c r="C15783" s="278"/>
      <c r="M15783" s="278"/>
      <c r="O15783" s="247"/>
      <c r="AC15783" s="247"/>
      <c r="AT15783" s="247"/>
    </row>
    <row r="15784">
      <c r="C15784" s="278"/>
      <c r="M15784" s="278"/>
      <c r="O15784" s="247"/>
      <c r="AC15784" s="247"/>
      <c r="AT15784" s="247"/>
    </row>
    <row r="15785">
      <c r="C15785" s="278"/>
      <c r="M15785" s="278"/>
      <c r="O15785" s="247"/>
      <c r="AC15785" s="247"/>
      <c r="AT15785" s="247"/>
    </row>
    <row r="15786">
      <c r="C15786" s="278"/>
      <c r="M15786" s="278"/>
      <c r="O15786" s="247"/>
      <c r="AC15786" s="247"/>
      <c r="AT15786" s="247"/>
    </row>
    <row r="15787">
      <c r="C15787" s="278"/>
      <c r="M15787" s="278"/>
      <c r="O15787" s="247"/>
      <c r="AC15787" s="247"/>
      <c r="AT15787" s="247"/>
    </row>
    <row r="15788">
      <c r="C15788" s="278"/>
      <c r="M15788" s="278"/>
      <c r="O15788" s="247"/>
      <c r="AC15788" s="247"/>
      <c r="AT15788" s="247"/>
    </row>
    <row r="15789">
      <c r="C15789" s="278"/>
      <c r="M15789" s="278"/>
      <c r="O15789" s="247"/>
      <c r="AC15789" s="247"/>
      <c r="AT15789" s="247"/>
    </row>
    <row r="15790">
      <c r="C15790" s="278"/>
      <c r="M15790" s="278"/>
      <c r="O15790" s="247"/>
      <c r="AC15790" s="247"/>
      <c r="AT15790" s="247"/>
    </row>
    <row r="15791">
      <c r="C15791" s="278"/>
      <c r="M15791" s="278"/>
      <c r="O15791" s="247"/>
      <c r="AC15791" s="247"/>
      <c r="AT15791" s="247"/>
    </row>
    <row r="15792">
      <c r="C15792" s="278"/>
      <c r="M15792" s="278"/>
      <c r="O15792" s="247"/>
      <c r="AC15792" s="247"/>
      <c r="AT15792" s="247"/>
    </row>
    <row r="15793">
      <c r="C15793" s="278"/>
      <c r="M15793" s="278"/>
      <c r="O15793" s="247"/>
      <c r="AC15793" s="247"/>
      <c r="AT15793" s="247"/>
    </row>
    <row r="15794">
      <c r="C15794" s="278"/>
      <c r="M15794" s="278"/>
      <c r="O15794" s="247"/>
      <c r="AC15794" s="247"/>
      <c r="AT15794" s="247"/>
    </row>
    <row r="15795">
      <c r="C15795" s="278"/>
      <c r="M15795" s="278"/>
      <c r="O15795" s="247"/>
      <c r="AC15795" s="247"/>
      <c r="AT15795" s="247"/>
    </row>
    <row r="15796">
      <c r="C15796" s="278"/>
      <c r="M15796" s="278"/>
      <c r="O15796" s="247"/>
      <c r="AC15796" s="247"/>
      <c r="AT15796" s="247"/>
    </row>
    <row r="15797">
      <c r="C15797" s="278"/>
      <c r="M15797" s="278"/>
      <c r="O15797" s="247"/>
      <c r="AC15797" s="247"/>
      <c r="AT15797" s="247"/>
    </row>
    <row r="15798">
      <c r="C15798" s="278"/>
      <c r="M15798" s="278"/>
      <c r="O15798" s="247"/>
      <c r="AC15798" s="247"/>
      <c r="AT15798" s="247"/>
    </row>
    <row r="15799">
      <c r="C15799" s="278"/>
      <c r="M15799" s="278"/>
      <c r="O15799" s="247"/>
      <c r="AC15799" s="247"/>
      <c r="AT15799" s="247"/>
    </row>
    <row r="15800">
      <c r="C15800" s="278"/>
      <c r="M15800" s="278"/>
      <c r="O15800" s="247"/>
      <c r="AC15800" s="247"/>
      <c r="AT15800" s="247"/>
    </row>
    <row r="15801">
      <c r="C15801" s="278"/>
      <c r="M15801" s="278"/>
      <c r="O15801" s="247"/>
      <c r="AC15801" s="247"/>
      <c r="AT15801" s="247"/>
    </row>
    <row r="15802">
      <c r="C15802" s="278"/>
      <c r="M15802" s="278"/>
      <c r="O15802" s="247"/>
      <c r="AC15802" s="247"/>
      <c r="AT15802" s="247"/>
    </row>
    <row r="15803">
      <c r="C15803" s="278"/>
      <c r="M15803" s="278"/>
      <c r="O15803" s="247"/>
      <c r="AC15803" s="247"/>
      <c r="AT15803" s="247"/>
    </row>
    <row r="15804">
      <c r="C15804" s="278"/>
      <c r="M15804" s="278"/>
      <c r="O15804" s="247"/>
      <c r="AC15804" s="247"/>
      <c r="AT15804" s="247"/>
    </row>
    <row r="15805">
      <c r="C15805" s="278"/>
      <c r="M15805" s="278"/>
      <c r="O15805" s="247"/>
      <c r="AC15805" s="247"/>
      <c r="AT15805" s="247"/>
    </row>
    <row r="15806">
      <c r="C15806" s="278"/>
      <c r="M15806" s="278"/>
      <c r="O15806" s="247"/>
      <c r="AC15806" s="247"/>
      <c r="AT15806" s="247"/>
    </row>
    <row r="15807">
      <c r="C15807" s="278"/>
      <c r="M15807" s="278"/>
      <c r="O15807" s="247"/>
      <c r="AC15807" s="247"/>
      <c r="AT15807" s="247"/>
    </row>
    <row r="15808">
      <c r="C15808" s="278"/>
      <c r="M15808" s="278"/>
      <c r="O15808" s="247"/>
      <c r="AC15808" s="247"/>
      <c r="AT15808" s="247"/>
    </row>
    <row r="15809">
      <c r="C15809" s="278"/>
      <c r="M15809" s="278"/>
      <c r="O15809" s="247"/>
      <c r="AC15809" s="247"/>
      <c r="AT15809" s="247"/>
    </row>
    <row r="15810">
      <c r="C15810" s="278"/>
      <c r="M15810" s="278"/>
      <c r="O15810" s="247"/>
      <c r="AC15810" s="247"/>
      <c r="AT15810" s="247"/>
    </row>
    <row r="15811">
      <c r="C15811" s="278"/>
      <c r="M15811" s="278"/>
      <c r="O15811" s="247"/>
      <c r="AC15811" s="247"/>
      <c r="AT15811" s="247"/>
    </row>
    <row r="15812">
      <c r="C15812" s="278"/>
      <c r="M15812" s="278"/>
      <c r="O15812" s="247"/>
      <c r="AC15812" s="247"/>
      <c r="AT15812" s="247"/>
    </row>
    <row r="15813">
      <c r="C15813" s="278"/>
      <c r="M15813" s="278"/>
      <c r="O15813" s="247"/>
      <c r="AC15813" s="247"/>
      <c r="AT15813" s="247"/>
    </row>
    <row r="15814">
      <c r="C15814" s="278"/>
      <c r="M15814" s="278"/>
      <c r="O15814" s="247"/>
      <c r="AC15814" s="247"/>
      <c r="AT15814" s="247"/>
    </row>
    <row r="15815">
      <c r="C15815" s="278"/>
      <c r="M15815" s="278"/>
      <c r="O15815" s="247"/>
      <c r="AC15815" s="247"/>
      <c r="AT15815" s="247"/>
    </row>
    <row r="15816">
      <c r="C15816" s="278"/>
      <c r="M15816" s="278"/>
      <c r="O15816" s="247"/>
      <c r="AC15816" s="247"/>
      <c r="AT15816" s="247"/>
    </row>
    <row r="15817">
      <c r="C15817" s="278"/>
      <c r="M15817" s="278"/>
      <c r="O15817" s="247"/>
      <c r="AC15817" s="247"/>
      <c r="AT15817" s="247"/>
    </row>
    <row r="15818">
      <c r="C15818" s="278"/>
      <c r="M15818" s="278"/>
      <c r="O15818" s="247"/>
      <c r="AC15818" s="247"/>
      <c r="AT15818" s="247"/>
    </row>
    <row r="15819">
      <c r="C15819" s="278"/>
      <c r="M15819" s="278"/>
      <c r="O15819" s="247"/>
      <c r="AC15819" s="247"/>
      <c r="AT15819" s="247"/>
    </row>
    <row r="15820">
      <c r="C15820" s="278"/>
      <c r="M15820" s="278"/>
      <c r="O15820" s="247"/>
      <c r="AC15820" s="247"/>
      <c r="AT15820" s="247"/>
    </row>
    <row r="15821">
      <c r="C15821" s="278"/>
      <c r="M15821" s="278"/>
      <c r="O15821" s="247"/>
      <c r="AC15821" s="247"/>
      <c r="AT15821" s="247"/>
    </row>
    <row r="15822">
      <c r="C15822" s="278"/>
      <c r="M15822" s="278"/>
      <c r="O15822" s="247"/>
      <c r="AC15822" s="247"/>
      <c r="AT15822" s="247"/>
    </row>
    <row r="15823">
      <c r="C15823" s="278"/>
      <c r="M15823" s="278"/>
      <c r="O15823" s="247"/>
      <c r="AC15823" s="247"/>
      <c r="AT15823" s="247"/>
    </row>
    <row r="15824">
      <c r="C15824" s="278"/>
      <c r="M15824" s="278"/>
      <c r="O15824" s="247"/>
      <c r="AC15824" s="247"/>
      <c r="AT15824" s="247"/>
    </row>
    <row r="15825">
      <c r="C15825" s="278"/>
      <c r="M15825" s="278"/>
      <c r="O15825" s="247"/>
      <c r="AC15825" s="247"/>
      <c r="AT15825" s="247"/>
    </row>
    <row r="15826">
      <c r="C15826" s="278"/>
      <c r="M15826" s="278"/>
      <c r="O15826" s="247"/>
      <c r="AC15826" s="247"/>
      <c r="AT15826" s="247"/>
    </row>
    <row r="15827">
      <c r="C15827" s="278"/>
      <c r="M15827" s="278"/>
      <c r="O15827" s="247"/>
      <c r="AC15827" s="247"/>
      <c r="AT15827" s="247"/>
    </row>
    <row r="15828">
      <c r="C15828" s="278"/>
      <c r="M15828" s="278"/>
      <c r="O15828" s="247"/>
      <c r="AC15828" s="247"/>
      <c r="AT15828" s="247"/>
    </row>
    <row r="15829">
      <c r="C15829" s="278"/>
      <c r="M15829" s="278"/>
      <c r="O15829" s="247"/>
      <c r="AC15829" s="247"/>
      <c r="AT15829" s="247"/>
    </row>
    <row r="15830">
      <c r="C15830" s="278"/>
      <c r="M15830" s="278"/>
      <c r="O15830" s="247"/>
      <c r="AC15830" s="247"/>
      <c r="AT15830" s="247"/>
    </row>
    <row r="15831">
      <c r="C15831" s="278"/>
      <c r="M15831" s="278"/>
      <c r="O15831" s="247"/>
      <c r="AC15831" s="247"/>
      <c r="AT15831" s="247"/>
    </row>
    <row r="15832">
      <c r="C15832" s="278"/>
      <c r="M15832" s="278"/>
      <c r="O15832" s="247"/>
      <c r="AC15832" s="247"/>
      <c r="AT15832" s="247"/>
    </row>
    <row r="15833">
      <c r="C15833" s="277"/>
      <c r="M15833" s="278"/>
      <c r="O15833" s="247"/>
      <c r="AC15833" s="247"/>
      <c r="AT15833" s="247"/>
    </row>
    <row r="15834">
      <c r="C15834" s="278"/>
      <c r="M15834" s="278"/>
      <c r="O15834" s="247"/>
      <c r="AC15834" s="247"/>
      <c r="AT15834" s="247"/>
    </row>
    <row r="15835">
      <c r="C15835" s="278"/>
      <c r="M15835" s="278"/>
      <c r="O15835" s="247"/>
      <c r="AC15835" s="247"/>
      <c r="AT15835" s="247"/>
    </row>
    <row r="15836">
      <c r="C15836" s="278"/>
      <c r="M15836" s="278"/>
      <c r="O15836" s="247"/>
      <c r="AC15836" s="247"/>
      <c r="AT15836" s="247"/>
    </row>
    <row r="15837">
      <c r="C15837" s="278"/>
      <c r="M15837" s="278"/>
      <c r="O15837" s="247"/>
      <c r="AC15837" s="247"/>
      <c r="AT15837" s="247"/>
    </row>
    <row r="15838">
      <c r="C15838" s="278"/>
      <c r="M15838" s="278"/>
      <c r="O15838" s="247"/>
      <c r="AC15838" s="247"/>
      <c r="AT15838" s="247"/>
    </row>
    <row r="15839">
      <c r="C15839" s="278"/>
      <c r="M15839" s="278"/>
      <c r="O15839" s="247"/>
      <c r="AC15839" s="247"/>
      <c r="AT15839" s="247"/>
    </row>
    <row r="15840">
      <c r="C15840" s="278"/>
      <c r="M15840" s="278"/>
      <c r="O15840" s="247"/>
      <c r="AC15840" s="247"/>
      <c r="AT15840" s="247"/>
    </row>
    <row r="15841">
      <c r="C15841" s="278"/>
      <c r="M15841" s="278"/>
      <c r="O15841" s="247"/>
      <c r="AC15841" s="247"/>
      <c r="AT15841" s="247"/>
    </row>
    <row r="15842">
      <c r="C15842" s="278"/>
      <c r="M15842" s="278"/>
      <c r="O15842" s="247"/>
      <c r="AC15842" s="247"/>
      <c r="AT15842" s="247"/>
    </row>
    <row r="15843">
      <c r="C15843" s="278"/>
      <c r="M15843" s="278"/>
      <c r="O15843" s="247"/>
      <c r="AC15843" s="247"/>
      <c r="AT15843" s="247"/>
    </row>
    <row r="15844">
      <c r="C15844" s="278"/>
      <c r="M15844" s="278"/>
      <c r="O15844" s="247"/>
      <c r="AC15844" s="247"/>
      <c r="AT15844" s="247"/>
    </row>
    <row r="15845">
      <c r="C15845" s="278"/>
      <c r="M15845" s="278"/>
      <c r="O15845" s="247"/>
      <c r="AC15845" s="247"/>
      <c r="AT15845" s="247"/>
    </row>
    <row r="15846">
      <c r="C15846" s="278"/>
      <c r="M15846" s="278"/>
      <c r="O15846" s="247"/>
      <c r="AC15846" s="247"/>
      <c r="AT15846" s="247"/>
    </row>
    <row r="15847">
      <c r="C15847" s="278"/>
      <c r="M15847" s="278"/>
      <c r="O15847" s="247"/>
      <c r="AC15847" s="247"/>
      <c r="AT15847" s="247"/>
    </row>
    <row r="15848">
      <c r="C15848" s="278"/>
      <c r="M15848" s="278"/>
      <c r="O15848" s="247"/>
      <c r="AC15848" s="247"/>
      <c r="AT15848" s="247"/>
    </row>
    <row r="15849">
      <c r="C15849" s="278"/>
      <c r="M15849" s="278"/>
      <c r="O15849" s="247"/>
      <c r="AC15849" s="247"/>
      <c r="AT15849" s="247"/>
    </row>
    <row r="15850">
      <c r="C15850" s="278"/>
      <c r="M15850" s="278"/>
      <c r="O15850" s="247"/>
      <c r="AC15850" s="247"/>
      <c r="AT15850" s="247"/>
    </row>
    <row r="15851">
      <c r="C15851" s="278"/>
      <c r="M15851" s="278"/>
      <c r="O15851" s="247"/>
      <c r="AC15851" s="247"/>
      <c r="AT15851" s="247"/>
    </row>
    <row r="15852">
      <c r="C15852" s="278"/>
      <c r="M15852" s="278"/>
      <c r="O15852" s="247"/>
      <c r="AC15852" s="247"/>
      <c r="AT15852" s="247"/>
    </row>
    <row r="15853">
      <c r="C15853" s="278"/>
      <c r="M15853" s="278"/>
      <c r="O15853" s="247"/>
      <c r="AC15853" s="247"/>
      <c r="AT15853" s="247"/>
    </row>
    <row r="15854">
      <c r="C15854" s="278"/>
      <c r="M15854" s="278"/>
      <c r="O15854" s="247"/>
      <c r="AC15854" s="247"/>
      <c r="AT15854" s="247"/>
    </row>
    <row r="15855">
      <c r="C15855" s="278"/>
      <c r="M15855" s="278"/>
      <c r="O15855" s="247"/>
      <c r="AC15855" s="247"/>
      <c r="AT15855" s="247"/>
    </row>
    <row r="15856">
      <c r="C15856" s="278"/>
      <c r="M15856" s="278"/>
      <c r="O15856" s="247"/>
      <c r="AC15856" s="247"/>
      <c r="AT15856" s="247"/>
    </row>
    <row r="15857">
      <c r="C15857" s="278"/>
      <c r="M15857" s="278"/>
      <c r="O15857" s="247"/>
      <c r="AC15857" s="247"/>
      <c r="AT15857" s="247"/>
    </row>
    <row r="15858">
      <c r="C15858" s="278"/>
      <c r="M15858" s="278"/>
      <c r="O15858" s="247"/>
      <c r="AC15858" s="247"/>
      <c r="AT15858" s="247"/>
    </row>
    <row r="15859">
      <c r="C15859" s="278"/>
      <c r="M15859" s="278"/>
      <c r="O15859" s="247"/>
      <c r="AC15859" s="247"/>
      <c r="AT15859" s="247"/>
    </row>
    <row r="15860">
      <c r="C15860" s="278"/>
      <c r="M15860" s="278"/>
      <c r="O15860" s="247"/>
      <c r="AC15860" s="247"/>
      <c r="AT15860" s="247"/>
    </row>
    <row r="15861">
      <c r="C15861" s="278"/>
      <c r="M15861" s="278"/>
      <c r="O15861" s="247"/>
      <c r="AC15861" s="247"/>
      <c r="AT15861" s="247"/>
    </row>
    <row r="15862">
      <c r="C15862" s="278"/>
      <c r="M15862" s="278"/>
      <c r="O15862" s="247"/>
      <c r="AC15862" s="247"/>
      <c r="AT15862" s="247"/>
    </row>
    <row r="15863">
      <c r="C15863" s="278"/>
      <c r="M15863" s="278"/>
      <c r="O15863" s="247"/>
      <c r="AC15863" s="247"/>
      <c r="AT15863" s="247"/>
    </row>
    <row r="15864">
      <c r="C15864" s="278"/>
      <c r="M15864" s="278"/>
      <c r="O15864" s="247"/>
      <c r="AC15864" s="247"/>
      <c r="AT15864" s="247"/>
    </row>
    <row r="15865">
      <c r="C15865" s="278"/>
      <c r="M15865" s="278"/>
      <c r="O15865" s="247"/>
      <c r="AC15865" s="247"/>
      <c r="AT15865" s="247"/>
    </row>
    <row r="15866">
      <c r="C15866" s="278"/>
      <c r="M15866" s="278"/>
      <c r="O15866" s="247"/>
      <c r="AC15866" s="247"/>
      <c r="AT15866" s="247"/>
    </row>
    <row r="15867">
      <c r="C15867" s="278"/>
      <c r="M15867" s="278"/>
      <c r="O15867" s="247"/>
      <c r="AC15867" s="247"/>
      <c r="AT15867" s="247"/>
    </row>
    <row r="15868">
      <c r="C15868" s="278"/>
      <c r="M15868" s="278"/>
      <c r="O15868" s="247"/>
      <c r="AC15868" s="247"/>
      <c r="AT15868" s="247"/>
    </row>
    <row r="15869">
      <c r="C15869" s="278"/>
      <c r="M15869" s="278"/>
      <c r="O15869" s="247"/>
      <c r="AC15869" s="247"/>
      <c r="AT15869" s="247"/>
    </row>
    <row r="15870">
      <c r="C15870" s="278"/>
      <c r="M15870" s="278"/>
      <c r="O15870" s="247"/>
      <c r="AC15870" s="247"/>
      <c r="AT15870" s="247"/>
    </row>
    <row r="15871">
      <c r="C15871" s="278"/>
      <c r="M15871" s="278"/>
      <c r="O15871" s="247"/>
      <c r="AC15871" s="247"/>
      <c r="AT15871" s="247"/>
    </row>
    <row r="15872">
      <c r="C15872" s="278"/>
      <c r="M15872" s="278"/>
      <c r="O15872" s="247"/>
      <c r="AC15872" s="247"/>
      <c r="AT15872" s="247"/>
    </row>
    <row r="15873">
      <c r="C15873" s="278"/>
      <c r="M15873" s="278"/>
      <c r="O15873" s="247"/>
      <c r="AC15873" s="247"/>
      <c r="AT15873" s="247"/>
    </row>
    <row r="15874">
      <c r="C15874" s="278"/>
      <c r="M15874" s="278"/>
      <c r="O15874" s="247"/>
      <c r="AC15874" s="247"/>
      <c r="AT15874" s="247"/>
    </row>
    <row r="15875">
      <c r="C15875" s="278"/>
      <c r="M15875" s="278"/>
      <c r="O15875" s="247"/>
      <c r="AC15875" s="247"/>
      <c r="AT15875" s="247"/>
    </row>
    <row r="15876">
      <c r="C15876" s="278"/>
      <c r="M15876" s="278"/>
      <c r="O15876" s="247"/>
      <c r="AC15876" s="247"/>
      <c r="AT15876" s="247"/>
    </row>
    <row r="15877">
      <c r="C15877" s="278"/>
      <c r="M15877" s="278"/>
      <c r="O15877" s="247"/>
      <c r="AC15877" s="247"/>
      <c r="AT15877" s="247"/>
    </row>
    <row r="15878">
      <c r="C15878" s="278"/>
      <c r="M15878" s="278"/>
      <c r="O15878" s="247"/>
      <c r="AC15878" s="247"/>
      <c r="AT15878" s="247"/>
    </row>
    <row r="15879">
      <c r="C15879" s="278"/>
      <c r="M15879" s="278"/>
      <c r="O15879" s="247"/>
      <c r="AC15879" s="247"/>
      <c r="AT15879" s="247"/>
    </row>
    <row r="15880">
      <c r="C15880" s="278"/>
      <c r="M15880" s="278"/>
      <c r="O15880" s="247"/>
      <c r="AC15880" s="247"/>
      <c r="AT15880" s="247"/>
    </row>
    <row r="15881">
      <c r="C15881" s="278"/>
      <c r="M15881" s="278"/>
      <c r="O15881" s="247"/>
      <c r="AC15881" s="247"/>
      <c r="AT15881" s="247"/>
    </row>
    <row r="15882">
      <c r="C15882" s="278"/>
      <c r="M15882" s="278"/>
      <c r="O15882" s="247"/>
      <c r="AC15882" s="247"/>
      <c r="AT15882" s="247"/>
    </row>
    <row r="15883">
      <c r="C15883" s="278"/>
      <c r="M15883" s="278"/>
      <c r="O15883" s="247"/>
      <c r="AC15883" s="247"/>
      <c r="AT15883" s="247"/>
    </row>
    <row r="15884">
      <c r="C15884" s="278"/>
      <c r="M15884" s="278"/>
      <c r="O15884" s="247"/>
      <c r="AC15884" s="247"/>
      <c r="AT15884" s="247"/>
    </row>
    <row r="15885">
      <c r="C15885" s="278"/>
      <c r="M15885" s="278"/>
      <c r="O15885" s="247"/>
      <c r="AC15885" s="247"/>
      <c r="AT15885" s="247"/>
    </row>
    <row r="15886">
      <c r="C15886" s="278"/>
      <c r="M15886" s="278"/>
      <c r="O15886" s="247"/>
      <c r="AC15886" s="247"/>
      <c r="AT15886" s="247"/>
    </row>
    <row r="15887">
      <c r="C15887" s="278"/>
      <c r="M15887" s="278"/>
      <c r="O15887" s="247"/>
      <c r="AC15887" s="247"/>
      <c r="AT15887" s="247"/>
    </row>
    <row r="15888">
      <c r="C15888" s="278"/>
      <c r="M15888" s="278"/>
      <c r="O15888" s="247"/>
      <c r="AC15888" s="247"/>
      <c r="AT15888" s="247"/>
    </row>
    <row r="15889">
      <c r="C15889" s="278"/>
      <c r="M15889" s="278"/>
      <c r="O15889" s="247"/>
      <c r="AC15889" s="247"/>
      <c r="AT15889" s="247"/>
    </row>
    <row r="15890">
      <c r="C15890" s="278"/>
      <c r="M15890" s="278"/>
      <c r="O15890" s="247"/>
      <c r="AC15890" s="247"/>
      <c r="AT15890" s="247"/>
    </row>
    <row r="15891">
      <c r="C15891" s="278"/>
      <c r="M15891" s="278"/>
      <c r="O15891" s="247"/>
      <c r="AC15891" s="247"/>
      <c r="AT15891" s="247"/>
    </row>
    <row r="15892">
      <c r="C15892" s="278"/>
      <c r="M15892" s="278"/>
      <c r="O15892" s="247"/>
      <c r="AC15892" s="247"/>
      <c r="AT15892" s="247"/>
    </row>
    <row r="15893">
      <c r="C15893" s="278"/>
      <c r="M15893" s="278"/>
      <c r="O15893" s="247"/>
      <c r="AC15893" s="247"/>
      <c r="AT15893" s="247"/>
    </row>
    <row r="15894">
      <c r="C15894" s="278"/>
      <c r="M15894" s="278"/>
      <c r="O15894" s="247"/>
      <c r="AC15894" s="247"/>
      <c r="AT15894" s="247"/>
    </row>
    <row r="15895">
      <c r="C15895" s="278"/>
      <c r="M15895" s="278"/>
      <c r="O15895" s="247"/>
      <c r="AC15895" s="247"/>
      <c r="AT15895" s="247"/>
    </row>
    <row r="15896">
      <c r="C15896" s="278"/>
      <c r="M15896" s="278"/>
      <c r="O15896" s="247"/>
      <c r="AC15896" s="247"/>
      <c r="AT15896" s="247"/>
    </row>
    <row r="15897">
      <c r="C15897" s="278"/>
      <c r="M15897" s="278"/>
      <c r="O15897" s="247"/>
      <c r="AC15897" s="247"/>
      <c r="AT15897" s="247"/>
    </row>
    <row r="15898">
      <c r="C15898" s="278"/>
      <c r="M15898" s="278"/>
      <c r="O15898" s="247"/>
      <c r="AC15898" s="247"/>
      <c r="AT15898" s="247"/>
    </row>
    <row r="15899">
      <c r="C15899" s="278"/>
      <c r="M15899" s="278"/>
      <c r="O15899" s="247"/>
      <c r="AC15899" s="247"/>
      <c r="AT15899" s="247"/>
    </row>
    <row r="15900">
      <c r="C15900" s="278"/>
      <c r="M15900" s="278"/>
      <c r="O15900" s="247"/>
      <c r="AC15900" s="247"/>
      <c r="AT15900" s="247"/>
    </row>
    <row r="15901">
      <c r="C15901" s="278"/>
      <c r="M15901" s="278"/>
      <c r="O15901" s="247"/>
      <c r="AC15901" s="247"/>
      <c r="AT15901" s="247"/>
    </row>
    <row r="15902">
      <c r="C15902" s="278"/>
      <c r="M15902" s="278"/>
      <c r="O15902" s="247"/>
      <c r="AC15902" s="247"/>
      <c r="AT15902" s="247"/>
    </row>
    <row r="15903">
      <c r="C15903" s="278"/>
      <c r="M15903" s="278"/>
      <c r="O15903" s="247"/>
      <c r="AC15903" s="247"/>
      <c r="AT15903" s="247"/>
    </row>
    <row r="15904">
      <c r="C15904" s="278"/>
      <c r="M15904" s="278"/>
      <c r="O15904" s="247"/>
      <c r="AC15904" s="247"/>
      <c r="AT15904" s="247"/>
    </row>
    <row r="15905">
      <c r="C15905" s="278"/>
      <c r="M15905" s="278"/>
      <c r="O15905" s="247"/>
      <c r="AC15905" s="247"/>
      <c r="AT15905" s="247"/>
    </row>
    <row r="15906">
      <c r="C15906" s="278"/>
      <c r="M15906" s="278"/>
      <c r="O15906" s="247"/>
      <c r="AC15906" s="247"/>
      <c r="AT15906" s="247"/>
    </row>
    <row r="15907">
      <c r="C15907" s="278"/>
      <c r="M15907" s="278"/>
      <c r="O15907" s="247"/>
      <c r="AC15907" s="247"/>
      <c r="AT15907" s="247"/>
    </row>
    <row r="15908">
      <c r="C15908" s="278"/>
      <c r="M15908" s="278"/>
      <c r="O15908" s="247"/>
      <c r="AC15908" s="247"/>
      <c r="AT15908" s="247"/>
    </row>
    <row r="15909">
      <c r="C15909" s="278"/>
      <c r="M15909" s="278"/>
      <c r="O15909" s="247"/>
      <c r="AC15909" s="247"/>
      <c r="AT15909" s="247"/>
    </row>
    <row r="15910">
      <c r="C15910" s="278"/>
      <c r="M15910" s="278"/>
      <c r="O15910" s="247"/>
      <c r="AC15910" s="247"/>
      <c r="AT15910" s="247"/>
    </row>
    <row r="15911">
      <c r="C15911" s="278"/>
      <c r="M15911" s="278"/>
      <c r="O15911" s="247"/>
      <c r="AC15911" s="247"/>
      <c r="AT15911" s="247"/>
    </row>
    <row r="15912">
      <c r="C15912" s="278"/>
      <c r="M15912" s="278"/>
      <c r="O15912" s="247"/>
      <c r="AC15912" s="247"/>
      <c r="AT15912" s="247"/>
    </row>
    <row r="15913">
      <c r="C15913" s="278"/>
      <c r="M15913" s="278"/>
      <c r="O15913" s="247"/>
      <c r="AC15913" s="247"/>
      <c r="AT15913" s="247"/>
    </row>
    <row r="15914">
      <c r="C15914" s="278"/>
      <c r="M15914" s="278"/>
      <c r="O15914" s="247"/>
      <c r="AC15914" s="247"/>
      <c r="AT15914" s="247"/>
    </row>
    <row r="15915">
      <c r="C15915" s="278"/>
      <c r="M15915" s="278"/>
      <c r="O15915" s="247"/>
      <c r="AC15915" s="247"/>
      <c r="AT15915" s="247"/>
    </row>
    <row r="15916">
      <c r="C15916" s="278"/>
      <c r="M15916" s="278"/>
      <c r="O15916" s="247"/>
      <c r="AC15916" s="247"/>
      <c r="AT15916" s="247"/>
    </row>
    <row r="15917">
      <c r="C15917" s="278"/>
      <c r="M15917" s="278"/>
      <c r="O15917" s="247"/>
      <c r="AC15917" s="247"/>
      <c r="AT15917" s="247"/>
    </row>
    <row r="15918">
      <c r="C15918" s="278"/>
      <c r="M15918" s="278"/>
      <c r="O15918" s="247"/>
      <c r="AC15918" s="247"/>
      <c r="AT15918" s="247"/>
    </row>
    <row r="15919">
      <c r="C15919" s="278"/>
      <c r="M15919" s="278"/>
      <c r="O15919" s="247"/>
      <c r="AC15919" s="247"/>
      <c r="AT15919" s="247"/>
    </row>
    <row r="15920">
      <c r="C15920" s="278"/>
      <c r="M15920" s="278"/>
      <c r="O15920" s="247"/>
      <c r="AC15920" s="247"/>
      <c r="AT15920" s="247"/>
    </row>
    <row r="15921">
      <c r="C15921" s="278"/>
      <c r="M15921" s="278"/>
      <c r="O15921" s="247"/>
      <c r="AC15921" s="247"/>
      <c r="AT15921" s="247"/>
    </row>
    <row r="15922">
      <c r="C15922" s="278"/>
      <c r="M15922" s="278"/>
      <c r="O15922" s="247"/>
      <c r="AC15922" s="247"/>
      <c r="AT15922" s="247"/>
    </row>
    <row r="15923">
      <c r="C15923" s="278"/>
      <c r="M15923" s="278"/>
      <c r="O15923" s="247"/>
      <c r="AC15923" s="247"/>
      <c r="AT15923" s="247"/>
    </row>
    <row r="15924">
      <c r="C15924" s="278"/>
      <c r="M15924" s="278"/>
      <c r="O15924" s="247"/>
      <c r="AC15924" s="247"/>
      <c r="AT15924" s="247"/>
    </row>
    <row r="15925">
      <c r="C15925" s="278"/>
      <c r="M15925" s="278"/>
      <c r="O15925" s="247"/>
      <c r="AC15925" s="247"/>
      <c r="AT15925" s="247"/>
    </row>
    <row r="15926">
      <c r="C15926" s="278"/>
      <c r="M15926" s="278"/>
      <c r="O15926" s="247"/>
      <c r="AC15926" s="247"/>
      <c r="AT15926" s="247"/>
    </row>
    <row r="15927">
      <c r="C15927" s="277"/>
      <c r="M15927" s="278"/>
      <c r="O15927" s="247"/>
      <c r="AC15927" s="247"/>
      <c r="AT15927" s="247"/>
    </row>
    <row r="15928">
      <c r="C15928" s="277"/>
      <c r="M15928" s="278"/>
      <c r="O15928" s="247"/>
      <c r="AC15928" s="247"/>
      <c r="AT15928" s="247"/>
    </row>
    <row r="15929">
      <c r="C15929" s="277"/>
      <c r="M15929" s="278"/>
      <c r="O15929" s="247"/>
      <c r="AC15929" s="247"/>
      <c r="AT15929" s="247"/>
    </row>
    <row r="15930">
      <c r="C15930" s="277"/>
      <c r="M15930" s="278"/>
      <c r="O15930" s="247"/>
      <c r="AC15930" s="247"/>
      <c r="AT15930" s="247"/>
    </row>
    <row r="15931">
      <c r="C15931" s="277"/>
      <c r="M15931" s="278"/>
      <c r="O15931" s="247"/>
      <c r="AC15931" s="247"/>
      <c r="AT15931" s="247"/>
    </row>
    <row r="15932">
      <c r="C15932" s="277"/>
      <c r="M15932" s="278"/>
      <c r="O15932" s="247"/>
      <c r="AC15932" s="247"/>
      <c r="AT15932" s="247"/>
    </row>
    <row r="15933">
      <c r="C15933" s="277"/>
      <c r="M15933" s="278"/>
      <c r="O15933" s="247"/>
      <c r="AC15933" s="247"/>
      <c r="AT15933" s="247"/>
    </row>
    <row r="15934">
      <c r="C15934" s="277"/>
      <c r="M15934" s="278"/>
      <c r="O15934" s="247"/>
      <c r="AC15934" s="247"/>
      <c r="AT15934" s="247"/>
    </row>
    <row r="15935">
      <c r="C15935" s="277"/>
      <c r="M15935" s="278"/>
      <c r="O15935" s="247"/>
      <c r="AC15935" s="247"/>
      <c r="AT15935" s="247"/>
    </row>
    <row r="15936">
      <c r="C15936" s="277"/>
      <c r="M15936" s="278"/>
      <c r="O15936" s="247"/>
      <c r="AC15936" s="247"/>
      <c r="AT15936" s="247"/>
    </row>
    <row r="15937">
      <c r="C15937" s="277"/>
      <c r="M15937" s="278"/>
      <c r="O15937" s="247"/>
      <c r="AC15937" s="247"/>
      <c r="AT15937" s="247"/>
    </row>
    <row r="15938">
      <c r="C15938" s="277"/>
      <c r="M15938" s="278"/>
      <c r="O15938" s="247"/>
      <c r="AC15938" s="247"/>
      <c r="AT15938" s="247"/>
    </row>
    <row r="15939">
      <c r="C15939" s="277"/>
      <c r="M15939" s="278"/>
      <c r="O15939" s="247"/>
      <c r="AC15939" s="247"/>
      <c r="AT15939" s="247"/>
    </row>
    <row r="15940">
      <c r="C15940" s="277"/>
      <c r="M15940" s="278"/>
      <c r="O15940" s="247"/>
      <c r="AC15940" s="247"/>
      <c r="AT15940" s="247"/>
    </row>
    <row r="15941">
      <c r="C15941" s="277"/>
      <c r="M15941" s="278"/>
      <c r="O15941" s="247"/>
      <c r="AC15941" s="247"/>
      <c r="AT15941" s="247"/>
    </row>
    <row r="15942">
      <c r="C15942" s="277"/>
      <c r="M15942" s="278"/>
      <c r="O15942" s="247"/>
      <c r="AC15942" s="247"/>
      <c r="AT15942" s="247"/>
    </row>
    <row r="15943">
      <c r="C15943" s="277"/>
      <c r="M15943" s="278"/>
      <c r="O15943" s="247"/>
      <c r="AC15943" s="247"/>
      <c r="AT15943" s="247"/>
    </row>
    <row r="15944">
      <c r="C15944" s="277"/>
      <c r="M15944" s="278"/>
      <c r="O15944" s="247"/>
      <c r="AC15944" s="247"/>
      <c r="AT15944" s="247"/>
    </row>
    <row r="15945">
      <c r="C15945" s="277"/>
      <c r="M15945" s="278"/>
      <c r="O15945" s="247"/>
      <c r="AC15945" s="247"/>
      <c r="AT15945" s="247"/>
    </row>
    <row r="15946">
      <c r="C15946" s="277"/>
      <c r="M15946" s="278"/>
      <c r="O15946" s="247"/>
      <c r="AC15946" s="247"/>
      <c r="AT15946" s="247"/>
    </row>
    <row r="15947">
      <c r="C15947" s="277"/>
      <c r="M15947" s="278"/>
      <c r="O15947" s="247"/>
      <c r="AC15947" s="247"/>
      <c r="AT15947" s="247"/>
    </row>
    <row r="15948">
      <c r="C15948" s="277"/>
      <c r="M15948" s="278"/>
      <c r="O15948" s="247"/>
      <c r="AC15948" s="247"/>
      <c r="AT15948" s="247"/>
    </row>
    <row r="15949">
      <c r="C15949" s="277"/>
      <c r="M15949" s="278"/>
      <c r="O15949" s="247"/>
      <c r="AC15949" s="247"/>
      <c r="AT15949" s="247"/>
    </row>
    <row r="15950">
      <c r="C15950" s="277"/>
      <c r="M15950" s="278"/>
      <c r="O15950" s="247"/>
      <c r="AC15950" s="247"/>
      <c r="AT15950" s="247"/>
    </row>
    <row r="15951">
      <c r="C15951" s="277"/>
      <c r="M15951" s="277"/>
      <c r="O15951" s="247"/>
      <c r="AC15951" s="247"/>
      <c r="AT15951" s="247"/>
    </row>
    <row r="15952">
      <c r="C15952" s="278"/>
      <c r="M15952" s="277"/>
      <c r="O15952" s="247"/>
      <c r="AC15952" s="247"/>
      <c r="AT15952" s="247"/>
    </row>
    <row r="15953">
      <c r="C15953" s="277"/>
      <c r="M15953" s="277"/>
      <c r="O15953" s="247"/>
      <c r="AC15953" s="247"/>
      <c r="AT15953" s="247"/>
    </row>
    <row r="15954">
      <c r="C15954" s="277"/>
      <c r="M15954" s="277"/>
      <c r="O15954" s="247"/>
      <c r="AC15954" s="247"/>
      <c r="AT15954" s="247"/>
    </row>
    <row r="15955">
      <c r="C15955" s="277"/>
      <c r="M15955" s="277"/>
      <c r="O15955" s="247"/>
      <c r="AC15955" s="247"/>
      <c r="AT15955" s="247"/>
    </row>
    <row r="15956">
      <c r="C15956" s="277"/>
      <c r="M15956" s="277"/>
      <c r="O15956" s="247"/>
      <c r="AC15956" s="247"/>
      <c r="AT15956" s="247"/>
    </row>
    <row r="15957">
      <c r="C15957" s="277"/>
      <c r="M15957" s="277"/>
      <c r="O15957" s="247"/>
      <c r="AC15957" s="247"/>
      <c r="AT15957" s="247"/>
    </row>
    <row r="15958">
      <c r="C15958" s="277"/>
      <c r="M15958" s="277"/>
      <c r="O15958" s="247"/>
      <c r="AC15958" s="247"/>
      <c r="AT15958" s="247"/>
    </row>
    <row r="15959">
      <c r="C15959" s="277"/>
      <c r="M15959" s="277"/>
      <c r="O15959" s="247"/>
      <c r="AC15959" s="247"/>
      <c r="AT15959" s="247"/>
    </row>
    <row r="15960">
      <c r="C15960" s="277"/>
      <c r="M15960" s="277"/>
      <c r="O15960" s="247"/>
      <c r="AC15960" s="247"/>
      <c r="AT15960" s="247"/>
    </row>
    <row r="15961">
      <c r="C15961" s="277"/>
      <c r="M15961" s="277"/>
      <c r="O15961" s="247"/>
      <c r="AC15961" s="247"/>
      <c r="AT15961" s="247"/>
    </row>
    <row r="15962">
      <c r="C15962" s="277"/>
      <c r="M15962" s="277"/>
      <c r="O15962" s="247"/>
      <c r="AC15962" s="247"/>
      <c r="AT15962" s="247"/>
    </row>
    <row r="15963">
      <c r="C15963" s="277"/>
      <c r="M15963" s="277"/>
      <c r="O15963" s="247"/>
      <c r="AC15963" s="247"/>
      <c r="AT15963" s="247"/>
    </row>
    <row r="15964">
      <c r="C15964" s="277"/>
      <c r="M15964" s="277"/>
      <c r="O15964" s="247"/>
      <c r="AC15964" s="247"/>
      <c r="AT15964" s="247"/>
    </row>
    <row r="15965">
      <c r="C15965" s="277"/>
      <c r="M15965" s="277"/>
      <c r="O15965" s="247"/>
      <c r="AC15965" s="247"/>
      <c r="AT15965" s="247"/>
    </row>
    <row r="15966">
      <c r="C15966" s="277"/>
      <c r="M15966" s="277"/>
      <c r="O15966" s="247"/>
      <c r="AC15966" s="247"/>
      <c r="AT15966" s="247"/>
    </row>
    <row r="15967">
      <c r="C15967" s="277"/>
      <c r="M15967" s="277"/>
      <c r="O15967" s="247"/>
      <c r="AC15967" s="247"/>
      <c r="AT15967" s="247"/>
    </row>
    <row r="15968">
      <c r="C15968" s="277"/>
      <c r="M15968" s="277"/>
      <c r="O15968" s="247"/>
      <c r="AC15968" s="247"/>
      <c r="AT15968" s="247"/>
    </row>
    <row r="15969">
      <c r="C15969" s="277"/>
      <c r="M15969" s="277"/>
      <c r="O15969" s="247"/>
      <c r="AC15969" s="247"/>
      <c r="AT15969" s="247"/>
    </row>
    <row r="15970">
      <c r="C15970" s="277"/>
      <c r="M15970" s="277"/>
      <c r="O15970" s="247"/>
      <c r="AC15970" s="247"/>
      <c r="AT15970" s="247"/>
    </row>
    <row r="15971">
      <c r="C15971" s="277"/>
      <c r="M15971" s="277"/>
      <c r="O15971" s="247"/>
      <c r="AC15971" s="247"/>
      <c r="AT15971" s="247"/>
    </row>
    <row r="15972">
      <c r="C15972" s="277"/>
      <c r="M15972" s="277"/>
      <c r="O15972" s="247"/>
      <c r="AC15972" s="247"/>
      <c r="AT15972" s="247"/>
    </row>
    <row r="15973">
      <c r="C15973" s="277"/>
      <c r="M15973" s="277"/>
      <c r="O15973" s="247"/>
      <c r="AC15973" s="247"/>
      <c r="AT15973" s="247"/>
    </row>
    <row r="15974">
      <c r="C15974" s="277"/>
      <c r="M15974" s="277"/>
      <c r="O15974" s="247"/>
      <c r="AC15974" s="247"/>
      <c r="AT15974" s="247"/>
    </row>
    <row r="15975">
      <c r="C15975" s="277"/>
      <c r="M15975" s="277"/>
      <c r="O15975" s="247"/>
      <c r="AC15975" s="247"/>
      <c r="AT15975" s="247"/>
    </row>
    <row r="15976">
      <c r="C15976" s="277"/>
      <c r="M15976" s="277"/>
      <c r="O15976" s="247"/>
      <c r="AC15976" s="247"/>
      <c r="AT15976" s="247"/>
    </row>
    <row r="15977">
      <c r="C15977" s="277"/>
      <c r="M15977" s="277"/>
      <c r="O15977" s="247"/>
      <c r="AC15977" s="247"/>
      <c r="AT15977" s="247"/>
    </row>
    <row r="15978">
      <c r="C15978" s="277"/>
      <c r="M15978" s="277"/>
      <c r="O15978" s="247"/>
      <c r="AC15978" s="247"/>
      <c r="AT15978" s="247"/>
    </row>
    <row r="15979">
      <c r="C15979" s="277"/>
      <c r="M15979" s="277"/>
      <c r="O15979" s="247"/>
      <c r="AC15979" s="247"/>
      <c r="AT15979" s="247"/>
    </row>
    <row r="15980">
      <c r="C15980" s="277"/>
      <c r="M15980" s="277"/>
      <c r="O15980" s="247"/>
      <c r="AC15980" s="247"/>
      <c r="AT15980" s="247"/>
    </row>
    <row r="15981">
      <c r="C15981" s="277"/>
      <c r="M15981" s="277"/>
      <c r="O15981" s="247"/>
      <c r="AC15981" s="247"/>
      <c r="AT15981" s="247"/>
    </row>
    <row r="15982">
      <c r="C15982" s="277"/>
      <c r="M15982" s="277"/>
      <c r="O15982" s="247"/>
      <c r="AC15982" s="247"/>
      <c r="AT15982" s="247"/>
    </row>
    <row r="15983">
      <c r="C15983" s="277"/>
      <c r="M15983" s="277"/>
      <c r="O15983" s="247"/>
      <c r="AC15983" s="247"/>
      <c r="AT15983" s="247"/>
    </row>
    <row r="15984">
      <c r="C15984" s="277"/>
      <c r="M15984" s="277"/>
      <c r="O15984" s="247"/>
      <c r="AC15984" s="247"/>
      <c r="AT15984" s="247"/>
    </row>
    <row r="15985">
      <c r="C15985" s="277"/>
      <c r="M15985" s="277"/>
      <c r="O15985" s="247"/>
      <c r="AC15985" s="247"/>
      <c r="AT15985" s="247"/>
    </row>
    <row r="15986">
      <c r="C15986" s="277"/>
      <c r="M15986" s="277"/>
      <c r="O15986" s="247"/>
      <c r="AC15986" s="247"/>
      <c r="AT15986" s="247"/>
    </row>
    <row r="15987">
      <c r="C15987" s="277"/>
      <c r="M15987" s="277"/>
      <c r="O15987" s="247"/>
      <c r="AC15987" s="247"/>
      <c r="AT15987" s="247"/>
    </row>
    <row r="15988">
      <c r="C15988" s="277"/>
      <c r="M15988" s="277"/>
      <c r="O15988" s="247"/>
      <c r="AC15988" s="247"/>
      <c r="AT15988" s="247"/>
    </row>
    <row r="15989">
      <c r="C15989" s="277"/>
      <c r="M15989" s="277"/>
      <c r="O15989" s="247"/>
      <c r="AC15989" s="247"/>
      <c r="AT15989" s="247"/>
    </row>
    <row r="15990">
      <c r="C15990" s="277"/>
      <c r="M15990" s="277"/>
      <c r="O15990" s="247"/>
      <c r="AC15990" s="247"/>
      <c r="AT15990" s="247"/>
    </row>
    <row r="15991">
      <c r="C15991" s="277"/>
      <c r="M15991" s="277"/>
      <c r="O15991" s="247"/>
      <c r="AC15991" s="247"/>
      <c r="AT15991" s="247"/>
    </row>
    <row r="15992">
      <c r="C15992" s="277"/>
      <c r="M15992" s="277"/>
      <c r="O15992" s="247"/>
      <c r="AC15992" s="247"/>
      <c r="AT15992" s="247"/>
    </row>
    <row r="15993">
      <c r="C15993" s="277"/>
      <c r="M15993" s="277"/>
      <c r="O15993" s="247"/>
      <c r="AC15993" s="247"/>
      <c r="AT15993" s="247"/>
    </row>
    <row r="15994">
      <c r="C15994" s="277"/>
      <c r="M15994" s="277"/>
      <c r="O15994" s="247"/>
      <c r="AC15994" s="247"/>
      <c r="AT15994" s="247"/>
    </row>
    <row r="15995">
      <c r="C15995" s="277"/>
      <c r="M15995" s="277"/>
      <c r="O15995" s="247"/>
      <c r="AC15995" s="247"/>
      <c r="AT15995" s="247"/>
    </row>
    <row r="15996">
      <c r="C15996" s="277"/>
      <c r="M15996" s="277"/>
      <c r="O15996" s="247"/>
      <c r="AC15996" s="247"/>
      <c r="AT15996" s="247"/>
    </row>
    <row r="15997">
      <c r="C15997" s="277"/>
      <c r="M15997" s="277"/>
      <c r="O15997" s="247"/>
      <c r="AC15997" s="247"/>
      <c r="AT15997" s="247"/>
    </row>
    <row r="15998">
      <c r="C15998" s="277"/>
      <c r="M15998" s="277"/>
      <c r="O15998" s="247"/>
      <c r="AC15998" s="247"/>
      <c r="AT15998" s="247"/>
    </row>
    <row r="15999">
      <c r="C15999" s="277"/>
      <c r="M15999" s="277"/>
      <c r="O15999" s="247"/>
      <c r="AC15999" s="247"/>
      <c r="AT15999" s="247"/>
    </row>
    <row r="16000">
      <c r="C16000" s="277"/>
      <c r="M16000" s="277"/>
      <c r="O16000" s="247"/>
      <c r="AC16000" s="247"/>
      <c r="AT16000" s="247"/>
    </row>
    <row r="16001">
      <c r="C16001" s="277"/>
      <c r="M16001" s="277"/>
      <c r="O16001" s="247"/>
      <c r="AC16001" s="247"/>
      <c r="AT16001" s="247"/>
    </row>
    <row r="16002">
      <c r="C16002" s="277"/>
      <c r="M16002" s="277"/>
      <c r="O16002" s="247"/>
      <c r="AC16002" s="247"/>
      <c r="AT16002" s="247"/>
    </row>
    <row r="16003">
      <c r="C16003" s="277"/>
      <c r="M16003" s="277"/>
      <c r="O16003" s="247"/>
      <c r="AC16003" s="247"/>
      <c r="AT16003" s="247"/>
    </row>
    <row r="16004">
      <c r="C16004" s="277"/>
      <c r="M16004" s="277"/>
      <c r="O16004" s="247"/>
      <c r="AC16004" s="247"/>
      <c r="AT16004" s="247"/>
    </row>
    <row r="16005">
      <c r="C16005" s="277"/>
      <c r="M16005" s="277"/>
      <c r="O16005" s="247"/>
      <c r="AC16005" s="247"/>
      <c r="AT16005" s="247"/>
    </row>
    <row r="16006">
      <c r="C16006" s="277"/>
      <c r="M16006" s="277"/>
      <c r="O16006" s="247"/>
      <c r="AC16006" s="247"/>
      <c r="AT16006" s="247"/>
    </row>
    <row r="16007">
      <c r="C16007" s="277"/>
      <c r="M16007" s="277"/>
      <c r="O16007" s="247"/>
      <c r="AC16007" s="247"/>
      <c r="AT16007" s="247"/>
    </row>
    <row r="16008">
      <c r="C16008" s="277"/>
      <c r="M16008" s="277"/>
      <c r="O16008" s="247"/>
      <c r="AC16008" s="247"/>
      <c r="AT16008" s="247"/>
    </row>
    <row r="16009">
      <c r="C16009" s="277"/>
      <c r="M16009" s="277"/>
      <c r="O16009" s="247"/>
      <c r="AC16009" s="247"/>
      <c r="AT16009" s="247"/>
    </row>
    <row r="16010">
      <c r="C16010" s="277"/>
      <c r="M16010" s="277"/>
      <c r="O16010" s="247"/>
      <c r="AC16010" s="247"/>
      <c r="AT16010" s="247"/>
    </row>
    <row r="16011">
      <c r="C16011" s="277"/>
      <c r="M16011" s="277"/>
      <c r="O16011" s="247"/>
      <c r="AC16011" s="247"/>
      <c r="AT16011" s="247"/>
    </row>
    <row r="16012">
      <c r="C16012" s="277"/>
      <c r="M16012" s="277"/>
      <c r="O16012" s="247"/>
      <c r="AC16012" s="247"/>
      <c r="AT16012" s="247"/>
    </row>
    <row r="16013">
      <c r="C16013" s="277"/>
      <c r="M16013" s="277"/>
      <c r="O16013" s="247"/>
      <c r="AC16013" s="247"/>
      <c r="AT16013" s="247"/>
    </row>
    <row r="16014">
      <c r="C16014" s="277"/>
      <c r="M16014" s="277"/>
      <c r="O16014" s="247"/>
      <c r="AC16014" s="247"/>
      <c r="AT16014" s="247"/>
    </row>
    <row r="16015">
      <c r="C16015" s="277"/>
      <c r="M16015" s="277"/>
      <c r="O16015" s="247"/>
      <c r="AC16015" s="247"/>
      <c r="AT16015" s="247"/>
    </row>
    <row r="16016">
      <c r="C16016" s="277"/>
      <c r="M16016" s="277"/>
      <c r="O16016" s="247"/>
      <c r="AC16016" s="247"/>
      <c r="AT16016" s="247"/>
    </row>
    <row r="16017">
      <c r="C16017" s="277"/>
      <c r="M16017" s="277"/>
      <c r="O16017" s="247"/>
      <c r="AC16017" s="247"/>
      <c r="AT16017" s="247"/>
    </row>
    <row r="16018">
      <c r="C16018" s="277"/>
      <c r="M16018" s="277"/>
      <c r="O16018" s="247"/>
      <c r="AC16018" s="247"/>
      <c r="AT16018" s="247"/>
    </row>
    <row r="16019">
      <c r="C16019" s="277"/>
      <c r="M16019" s="277"/>
      <c r="O16019" s="247"/>
      <c r="AC16019" s="247"/>
      <c r="AT16019" s="247"/>
    </row>
    <row r="16020">
      <c r="C16020" s="277"/>
      <c r="M16020" s="277"/>
      <c r="O16020" s="247"/>
      <c r="AC16020" s="247"/>
      <c r="AT16020" s="247"/>
    </row>
    <row r="16021">
      <c r="C16021" s="277"/>
      <c r="M16021" s="277"/>
      <c r="O16021" s="247"/>
      <c r="AC16021" s="247"/>
      <c r="AT16021" s="247"/>
    </row>
    <row r="16022">
      <c r="C16022" s="277"/>
      <c r="M16022" s="277"/>
      <c r="O16022" s="247"/>
      <c r="AC16022" s="247"/>
      <c r="AT16022" s="247"/>
    </row>
    <row r="16023">
      <c r="C16023" s="277"/>
      <c r="M16023" s="277"/>
      <c r="O16023" s="247"/>
      <c r="AC16023" s="247"/>
      <c r="AT16023" s="247"/>
    </row>
    <row r="16024">
      <c r="C16024" s="277"/>
      <c r="M16024" s="277"/>
      <c r="O16024" s="247"/>
      <c r="AC16024" s="247"/>
      <c r="AT16024" s="247"/>
    </row>
    <row r="16025">
      <c r="C16025" s="277"/>
      <c r="M16025" s="277"/>
      <c r="O16025" s="247"/>
      <c r="AC16025" s="247"/>
      <c r="AT16025" s="247"/>
    </row>
    <row r="16026">
      <c r="C16026" s="277"/>
      <c r="M16026" s="277"/>
      <c r="O16026" s="247"/>
      <c r="AC16026" s="247"/>
      <c r="AT16026" s="247"/>
    </row>
    <row r="16027">
      <c r="C16027" s="277"/>
      <c r="M16027" s="277"/>
      <c r="O16027" s="247"/>
      <c r="AC16027" s="247"/>
      <c r="AT16027" s="247"/>
    </row>
    <row r="16028">
      <c r="C16028" s="277"/>
      <c r="M16028" s="277"/>
      <c r="O16028" s="247"/>
      <c r="AC16028" s="247"/>
      <c r="AT16028" s="247"/>
    </row>
    <row r="16029">
      <c r="C16029" s="277"/>
      <c r="M16029" s="277"/>
      <c r="O16029" s="247"/>
      <c r="AC16029" s="247"/>
      <c r="AT16029" s="247"/>
    </row>
    <row r="16030">
      <c r="C16030" s="277"/>
      <c r="M16030" s="277"/>
      <c r="O16030" s="247"/>
      <c r="AC16030" s="247"/>
      <c r="AT16030" s="247"/>
    </row>
    <row r="16031">
      <c r="C16031" s="277"/>
      <c r="M16031" s="277"/>
      <c r="O16031" s="247"/>
      <c r="AC16031" s="247"/>
      <c r="AT16031" s="247"/>
    </row>
    <row r="16032">
      <c r="C16032" s="277"/>
      <c r="M16032" s="277"/>
      <c r="O16032" s="247"/>
      <c r="AC16032" s="247"/>
      <c r="AT16032" s="247"/>
    </row>
    <row r="16033">
      <c r="C16033" s="277"/>
      <c r="M16033" s="277"/>
      <c r="O16033" s="247"/>
      <c r="AC16033" s="247"/>
      <c r="AT16033" s="247"/>
    </row>
    <row r="16034">
      <c r="C16034" s="277"/>
      <c r="M16034" s="277"/>
      <c r="O16034" s="247"/>
      <c r="AC16034" s="247"/>
      <c r="AT16034" s="247"/>
    </row>
    <row r="16035">
      <c r="C16035" s="277"/>
      <c r="M16035" s="277"/>
      <c r="O16035" s="247"/>
      <c r="AC16035" s="247"/>
      <c r="AT16035" s="247"/>
    </row>
    <row r="16036">
      <c r="C16036" s="277"/>
      <c r="M16036" s="277"/>
      <c r="O16036" s="247"/>
      <c r="AC16036" s="247"/>
      <c r="AT16036" s="247"/>
    </row>
    <row r="16037">
      <c r="C16037" s="277"/>
      <c r="M16037" s="277"/>
      <c r="O16037" s="247"/>
      <c r="AC16037" s="247"/>
      <c r="AT16037" s="247"/>
    </row>
    <row r="16038">
      <c r="C16038" s="277"/>
      <c r="M16038" s="277"/>
      <c r="O16038" s="247"/>
      <c r="AC16038" s="247"/>
      <c r="AT16038" s="247"/>
    </row>
    <row r="16039">
      <c r="C16039" s="277"/>
      <c r="M16039" s="277"/>
      <c r="O16039" s="247"/>
      <c r="AC16039" s="247"/>
      <c r="AT16039" s="247"/>
    </row>
    <row r="16040">
      <c r="C16040" s="277"/>
      <c r="M16040" s="277"/>
      <c r="O16040" s="247"/>
      <c r="AC16040" s="247"/>
      <c r="AT16040" s="247"/>
    </row>
    <row r="16041">
      <c r="C16041" s="277"/>
      <c r="M16041" s="277"/>
      <c r="O16041" s="247"/>
      <c r="AC16041" s="247"/>
      <c r="AT16041" s="247"/>
    </row>
    <row r="16042">
      <c r="C16042" s="277"/>
      <c r="M16042" s="277"/>
      <c r="O16042" s="247"/>
      <c r="AC16042" s="247"/>
      <c r="AT16042" s="247"/>
    </row>
    <row r="16043">
      <c r="C16043" s="277"/>
      <c r="M16043" s="277"/>
      <c r="O16043" s="247"/>
      <c r="AC16043" s="247"/>
      <c r="AT16043" s="247"/>
    </row>
    <row r="16044">
      <c r="C16044" s="277"/>
      <c r="M16044" s="277"/>
      <c r="O16044" s="247"/>
      <c r="AC16044" s="247"/>
      <c r="AT16044" s="247"/>
    </row>
    <row r="16045">
      <c r="C16045" s="277"/>
      <c r="M16045" s="277"/>
      <c r="O16045" s="247"/>
      <c r="AC16045" s="247"/>
      <c r="AT16045" s="247"/>
    </row>
    <row r="16046">
      <c r="C16046" s="277"/>
      <c r="M16046" s="277"/>
      <c r="O16046" s="247"/>
      <c r="AC16046" s="247"/>
      <c r="AT16046" s="247"/>
    </row>
    <row r="16047">
      <c r="C16047" s="277"/>
      <c r="M16047" s="277"/>
      <c r="O16047" s="247"/>
      <c r="AC16047" s="247"/>
      <c r="AT16047" s="247"/>
    </row>
    <row r="16048">
      <c r="C16048" s="277"/>
      <c r="M16048" s="277"/>
      <c r="O16048" s="247"/>
      <c r="AC16048" s="247"/>
      <c r="AT16048" s="247"/>
    </row>
    <row r="16049">
      <c r="C16049" s="277"/>
      <c r="M16049" s="277"/>
      <c r="O16049" s="247"/>
      <c r="AC16049" s="247"/>
      <c r="AT16049" s="247"/>
    </row>
    <row r="16050">
      <c r="C16050" s="277"/>
      <c r="M16050" s="277"/>
      <c r="O16050" s="247"/>
      <c r="AC16050" s="247"/>
      <c r="AT16050" s="247"/>
    </row>
    <row r="16051">
      <c r="C16051" s="277"/>
      <c r="M16051" s="277"/>
      <c r="O16051" s="247"/>
      <c r="AC16051" s="247"/>
      <c r="AT16051" s="247"/>
    </row>
    <row r="16052">
      <c r="C16052" s="277"/>
      <c r="M16052" s="277"/>
      <c r="O16052" s="247"/>
      <c r="AC16052" s="247"/>
      <c r="AT16052" s="247"/>
    </row>
    <row r="16053">
      <c r="C16053" s="277"/>
      <c r="M16053" s="277"/>
      <c r="O16053" s="247"/>
      <c r="AC16053" s="247"/>
      <c r="AT16053" s="247"/>
    </row>
    <row r="16054">
      <c r="C16054" s="277"/>
      <c r="M16054" s="277"/>
      <c r="O16054" s="247"/>
      <c r="AC16054" s="247"/>
      <c r="AT16054" s="247"/>
    </row>
    <row r="16055">
      <c r="C16055" s="277"/>
      <c r="M16055" s="277"/>
      <c r="O16055" s="247"/>
      <c r="AC16055" s="247"/>
      <c r="AT16055" s="247"/>
    </row>
    <row r="16056">
      <c r="C16056" s="277"/>
      <c r="M16056" s="277"/>
      <c r="O16056" s="247"/>
      <c r="AC16056" s="247"/>
      <c r="AT16056" s="247"/>
    </row>
    <row r="16057">
      <c r="C16057" s="277"/>
      <c r="M16057" s="277"/>
      <c r="O16057" s="247"/>
      <c r="AC16057" s="247"/>
      <c r="AT16057" s="247"/>
    </row>
    <row r="16058">
      <c r="C16058" s="277"/>
      <c r="M16058" s="277"/>
      <c r="O16058" s="247"/>
      <c r="AC16058" s="247"/>
      <c r="AT16058" s="247"/>
    </row>
    <row r="16059">
      <c r="C16059" s="277"/>
      <c r="M16059" s="277"/>
      <c r="O16059" s="247"/>
      <c r="AC16059" s="247"/>
      <c r="AT16059" s="247"/>
    </row>
    <row r="16060">
      <c r="C16060" s="277"/>
      <c r="M16060" s="277"/>
      <c r="O16060" s="247"/>
      <c r="AC16060" s="247"/>
      <c r="AT16060" s="247"/>
    </row>
    <row r="16061">
      <c r="C16061" s="277"/>
      <c r="M16061" s="277"/>
      <c r="O16061" s="247"/>
      <c r="AC16061" s="247"/>
      <c r="AT16061" s="247"/>
    </row>
    <row r="16062">
      <c r="C16062" s="277"/>
      <c r="M16062" s="277"/>
      <c r="O16062" s="247"/>
      <c r="AC16062" s="247"/>
      <c r="AT16062" s="247"/>
    </row>
    <row r="16063">
      <c r="C16063" s="277"/>
      <c r="M16063" s="277"/>
      <c r="O16063" s="247"/>
      <c r="AC16063" s="247"/>
      <c r="AT16063" s="247"/>
    </row>
    <row r="16064">
      <c r="C16064" s="277"/>
      <c r="M16064" s="277"/>
      <c r="O16064" s="247"/>
      <c r="AC16064" s="247"/>
      <c r="AT16064" s="247"/>
    </row>
    <row r="16065">
      <c r="C16065" s="277"/>
      <c r="M16065" s="277"/>
      <c r="O16065" s="247"/>
      <c r="AC16065" s="247"/>
      <c r="AT16065" s="247"/>
    </row>
    <row r="16066">
      <c r="C16066" s="277"/>
      <c r="M16066" s="277"/>
      <c r="O16066" s="247"/>
      <c r="AC16066" s="247"/>
      <c r="AT16066" s="247"/>
    </row>
    <row r="16067">
      <c r="C16067" s="277"/>
      <c r="M16067" s="277"/>
      <c r="O16067" s="247"/>
      <c r="AC16067" s="247"/>
      <c r="AT16067" s="247"/>
    </row>
    <row r="16068">
      <c r="C16068" s="277"/>
      <c r="M16068" s="277"/>
      <c r="O16068" s="247"/>
      <c r="AC16068" s="247"/>
      <c r="AT16068" s="247"/>
    </row>
    <row r="16069">
      <c r="C16069" s="277"/>
      <c r="M16069" s="277"/>
      <c r="O16069" s="247"/>
      <c r="AC16069" s="247"/>
      <c r="AT16069" s="247"/>
    </row>
    <row r="16070">
      <c r="C16070" s="277"/>
      <c r="M16070" s="277"/>
      <c r="O16070" s="247"/>
      <c r="AC16070" s="247"/>
      <c r="AT16070" s="247"/>
    </row>
    <row r="16071">
      <c r="C16071" s="277"/>
      <c r="M16071" s="277"/>
      <c r="O16071" s="247"/>
      <c r="AC16071" s="247"/>
      <c r="AT16071" s="247"/>
    </row>
    <row r="16072">
      <c r="C16072" s="277"/>
      <c r="M16072" s="277"/>
      <c r="O16072" s="247"/>
      <c r="AC16072" s="247"/>
      <c r="AT16072" s="247"/>
    </row>
    <row r="16073">
      <c r="C16073" s="277"/>
      <c r="M16073" s="277"/>
      <c r="O16073" s="247"/>
      <c r="AC16073" s="247"/>
      <c r="AT16073" s="247"/>
    </row>
    <row r="16074">
      <c r="C16074" s="277"/>
      <c r="M16074" s="277"/>
      <c r="O16074" s="247"/>
      <c r="AC16074" s="247"/>
      <c r="AT16074" s="247"/>
    </row>
    <row r="16075">
      <c r="C16075" s="277"/>
      <c r="M16075" s="277"/>
      <c r="O16075" s="247"/>
      <c r="AC16075" s="247"/>
      <c r="AT16075" s="247"/>
    </row>
    <row r="16076">
      <c r="C16076" s="277"/>
      <c r="M16076" s="277"/>
      <c r="O16076" s="247"/>
      <c r="AC16076" s="247"/>
      <c r="AT16076" s="247"/>
    </row>
    <row r="16077">
      <c r="C16077" s="277"/>
      <c r="M16077" s="277"/>
      <c r="O16077" s="247"/>
      <c r="AC16077" s="247"/>
      <c r="AT16077" s="247"/>
    </row>
    <row r="16078">
      <c r="C16078" s="277"/>
      <c r="M16078" s="277"/>
      <c r="O16078" s="247"/>
      <c r="AC16078" s="247"/>
      <c r="AT16078" s="247"/>
    </row>
    <row r="16079">
      <c r="C16079" s="277"/>
      <c r="M16079" s="277"/>
      <c r="O16079" s="247"/>
      <c r="AC16079" s="247"/>
      <c r="AT16079" s="247"/>
    </row>
    <row r="16080">
      <c r="C16080" s="277"/>
      <c r="M16080" s="277"/>
      <c r="O16080" s="247"/>
      <c r="AC16080" s="247"/>
      <c r="AT16080" s="247"/>
    </row>
    <row r="16081">
      <c r="C16081" s="277"/>
      <c r="M16081" s="277"/>
      <c r="O16081" s="247"/>
      <c r="AC16081" s="247"/>
      <c r="AT16081" s="247"/>
    </row>
    <row r="16082">
      <c r="C16082" s="277"/>
      <c r="M16082" s="277"/>
      <c r="O16082" s="247"/>
      <c r="AC16082" s="247"/>
      <c r="AT16082" s="247"/>
    </row>
    <row r="16083">
      <c r="C16083" s="277"/>
      <c r="M16083" s="277"/>
      <c r="O16083" s="247"/>
      <c r="AC16083" s="247"/>
      <c r="AT16083" s="247"/>
    </row>
    <row r="16084">
      <c r="C16084" s="277"/>
      <c r="M16084" s="277"/>
      <c r="O16084" s="247"/>
      <c r="AC16084" s="247"/>
      <c r="AT16084" s="247"/>
    </row>
    <row r="16085">
      <c r="C16085" s="277"/>
      <c r="M16085" s="277"/>
      <c r="O16085" s="247"/>
      <c r="AC16085" s="247"/>
      <c r="AT16085" s="247"/>
    </row>
    <row r="16086">
      <c r="C16086" s="277"/>
      <c r="M16086" s="277"/>
      <c r="O16086" s="247"/>
      <c r="AC16086" s="247"/>
      <c r="AT16086" s="247"/>
    </row>
    <row r="16087">
      <c r="C16087" s="277"/>
      <c r="M16087" s="277"/>
      <c r="O16087" s="247"/>
      <c r="AC16087" s="247"/>
      <c r="AT16087" s="247"/>
    </row>
    <row r="16088">
      <c r="C16088" s="277"/>
      <c r="M16088" s="277"/>
      <c r="O16088" s="247"/>
      <c r="AC16088" s="247"/>
      <c r="AT16088" s="247"/>
    </row>
    <row r="16089">
      <c r="C16089" s="277"/>
      <c r="M16089" s="277"/>
      <c r="O16089" s="247"/>
      <c r="AC16089" s="247"/>
      <c r="AT16089" s="247"/>
    </row>
    <row r="16090">
      <c r="C16090" s="277"/>
      <c r="M16090" s="277"/>
      <c r="O16090" s="247"/>
      <c r="AC16090" s="247"/>
      <c r="AT16090" s="247"/>
    </row>
    <row r="16091">
      <c r="C16091" s="277"/>
      <c r="M16091" s="277"/>
      <c r="O16091" s="247"/>
      <c r="AC16091" s="247"/>
      <c r="AT16091" s="247"/>
    </row>
    <row r="16092">
      <c r="C16092" s="277"/>
      <c r="M16092" s="277"/>
      <c r="O16092" s="247"/>
      <c r="AC16092" s="247"/>
      <c r="AT16092" s="247"/>
    </row>
    <row r="16093">
      <c r="C16093" s="277"/>
      <c r="M16093" s="277"/>
      <c r="O16093" s="247"/>
      <c r="AC16093" s="247"/>
      <c r="AT16093" s="247"/>
    </row>
    <row r="16094">
      <c r="C16094" s="277"/>
      <c r="M16094" s="277"/>
      <c r="O16094" s="247"/>
      <c r="AC16094" s="247"/>
      <c r="AT16094" s="247"/>
    </row>
    <row r="16095">
      <c r="C16095" s="277"/>
      <c r="M16095" s="277"/>
      <c r="O16095" s="247"/>
      <c r="AC16095" s="247"/>
      <c r="AT16095" s="247"/>
    </row>
    <row r="16096">
      <c r="C16096" s="277"/>
      <c r="M16096" s="277"/>
      <c r="O16096" s="247"/>
      <c r="AC16096" s="247"/>
      <c r="AT16096" s="247"/>
    </row>
    <row r="16097">
      <c r="C16097" s="277"/>
      <c r="M16097" s="277"/>
      <c r="O16097" s="247"/>
      <c r="AC16097" s="247"/>
      <c r="AT16097" s="247"/>
    </row>
    <row r="16098">
      <c r="C16098" s="277"/>
      <c r="M16098" s="277"/>
      <c r="O16098" s="247"/>
      <c r="AC16098" s="247"/>
      <c r="AT16098" s="247"/>
    </row>
    <row r="16099">
      <c r="C16099" s="277"/>
      <c r="M16099" s="277"/>
      <c r="O16099" s="247"/>
      <c r="AC16099" s="247"/>
      <c r="AT16099" s="247"/>
    </row>
    <row r="16100">
      <c r="C16100" s="277"/>
      <c r="M16100" s="277"/>
      <c r="O16100" s="247"/>
      <c r="AC16100" s="247"/>
      <c r="AT16100" s="247"/>
    </row>
    <row r="16101">
      <c r="C16101" s="277"/>
      <c r="M16101" s="277"/>
      <c r="O16101" s="247"/>
      <c r="AC16101" s="247"/>
      <c r="AT16101" s="247"/>
    </row>
    <row r="16102">
      <c r="C16102" s="277"/>
      <c r="M16102" s="277"/>
      <c r="O16102" s="247"/>
      <c r="AC16102" s="247"/>
      <c r="AT16102" s="247"/>
    </row>
    <row r="16103">
      <c r="C16103" s="277"/>
      <c r="M16103" s="277"/>
      <c r="O16103" s="247"/>
      <c r="AC16103" s="247"/>
      <c r="AT16103" s="247"/>
    </row>
    <row r="16104">
      <c r="C16104" s="277"/>
      <c r="M16104" s="277"/>
      <c r="O16104" s="247"/>
      <c r="AC16104" s="247"/>
      <c r="AT16104" s="247"/>
    </row>
    <row r="16105">
      <c r="C16105" s="277"/>
      <c r="M16105" s="277"/>
      <c r="O16105" s="247"/>
      <c r="AC16105" s="247"/>
      <c r="AT16105" s="247"/>
    </row>
    <row r="16106">
      <c r="C16106" s="277"/>
      <c r="M16106" s="277"/>
      <c r="O16106" s="247"/>
      <c r="AC16106" s="247"/>
      <c r="AT16106" s="247"/>
    </row>
    <row r="16107">
      <c r="C16107" s="277"/>
      <c r="M16107" s="277"/>
      <c r="O16107" s="247"/>
      <c r="AC16107" s="247"/>
      <c r="AT16107" s="247"/>
    </row>
    <row r="16108">
      <c r="C16108" s="277"/>
      <c r="M16108" s="277"/>
      <c r="O16108" s="247"/>
      <c r="AC16108" s="247"/>
      <c r="AT16108" s="247"/>
    </row>
    <row r="16109">
      <c r="C16109" s="277"/>
      <c r="M16109" s="277"/>
      <c r="O16109" s="247"/>
      <c r="AC16109" s="247"/>
      <c r="AT16109" s="247"/>
    </row>
    <row r="16110">
      <c r="C16110" s="277"/>
      <c r="M16110" s="277"/>
      <c r="O16110" s="247"/>
      <c r="AC16110" s="247"/>
      <c r="AT16110" s="247"/>
    </row>
    <row r="16111">
      <c r="C16111" s="277"/>
      <c r="M16111" s="277"/>
      <c r="O16111" s="247"/>
      <c r="AC16111" s="247"/>
      <c r="AT16111" s="247"/>
    </row>
    <row r="16112">
      <c r="C16112" s="277"/>
      <c r="M16112" s="277"/>
      <c r="O16112" s="247"/>
      <c r="AC16112" s="247"/>
      <c r="AT16112" s="247"/>
    </row>
    <row r="16113">
      <c r="C16113" s="277"/>
      <c r="M16113" s="277"/>
      <c r="O16113" s="247"/>
      <c r="AC16113" s="247"/>
      <c r="AT16113" s="247"/>
    </row>
    <row r="16114">
      <c r="C16114" s="277"/>
      <c r="M16114" s="277"/>
      <c r="O16114" s="247"/>
      <c r="AC16114" s="247"/>
      <c r="AT16114" s="247"/>
    </row>
    <row r="16115">
      <c r="C16115" s="277"/>
      <c r="M16115" s="277"/>
      <c r="O16115" s="247"/>
      <c r="AC16115" s="247"/>
      <c r="AT16115" s="247"/>
    </row>
    <row r="16116">
      <c r="C16116" s="277"/>
      <c r="M16116" s="277"/>
      <c r="O16116" s="247"/>
      <c r="AC16116" s="247"/>
      <c r="AT16116" s="247"/>
    </row>
    <row r="16117">
      <c r="C16117" s="277"/>
      <c r="M16117" s="277"/>
      <c r="O16117" s="247"/>
      <c r="AC16117" s="247"/>
      <c r="AT16117" s="247"/>
    </row>
    <row r="16118">
      <c r="C16118" s="277"/>
      <c r="M16118" s="277"/>
      <c r="O16118" s="247"/>
      <c r="AC16118" s="247"/>
      <c r="AT16118" s="247"/>
    </row>
    <row r="16119">
      <c r="C16119" s="277"/>
      <c r="M16119" s="277"/>
      <c r="O16119" s="247"/>
      <c r="AC16119" s="247"/>
      <c r="AT16119" s="247"/>
    </row>
    <row r="16120">
      <c r="C16120" s="277"/>
      <c r="M16120" s="277"/>
      <c r="O16120" s="247"/>
      <c r="AC16120" s="247"/>
      <c r="AT16120" s="247"/>
    </row>
    <row r="16121">
      <c r="C16121" s="277"/>
      <c r="M16121" s="277"/>
      <c r="O16121" s="247"/>
      <c r="AC16121" s="247"/>
      <c r="AT16121" s="247"/>
    </row>
    <row r="16122">
      <c r="C16122" s="277"/>
      <c r="M16122" s="277"/>
      <c r="O16122" s="247"/>
      <c r="AC16122" s="247"/>
      <c r="AT16122" s="247"/>
    </row>
    <row r="16123">
      <c r="C16123" s="277"/>
      <c r="M16123" s="277"/>
      <c r="O16123" s="247"/>
      <c r="AC16123" s="247"/>
      <c r="AT16123" s="247"/>
    </row>
    <row r="16124">
      <c r="C16124" s="277"/>
      <c r="M16124" s="277"/>
      <c r="O16124" s="247"/>
      <c r="AC16124" s="247"/>
      <c r="AT16124" s="247"/>
    </row>
    <row r="16125">
      <c r="C16125" s="277"/>
      <c r="M16125" s="277"/>
      <c r="O16125" s="247"/>
      <c r="AC16125" s="247"/>
      <c r="AT16125" s="247"/>
    </row>
    <row r="16126">
      <c r="C16126" s="278"/>
      <c r="M16126" s="277"/>
      <c r="O16126" s="247"/>
      <c r="AC16126" s="247"/>
      <c r="AT16126" s="247"/>
    </row>
    <row r="16127">
      <c r="C16127" s="277"/>
      <c r="M16127" s="277"/>
      <c r="O16127" s="247"/>
      <c r="AC16127" s="247"/>
      <c r="AT16127" s="247"/>
    </row>
    <row r="16128">
      <c r="C16128" s="277"/>
      <c r="M16128" s="277"/>
      <c r="O16128" s="247"/>
      <c r="AC16128" s="247"/>
      <c r="AT16128" s="247"/>
    </row>
    <row r="16129">
      <c r="C16129" s="277"/>
      <c r="M16129" s="277"/>
      <c r="O16129" s="247"/>
      <c r="AC16129" s="247"/>
      <c r="AT16129" s="247"/>
    </row>
    <row r="16130">
      <c r="C16130" s="277"/>
      <c r="M16130" s="277"/>
      <c r="O16130" s="247"/>
      <c r="AC16130" s="247"/>
      <c r="AT16130" s="247"/>
    </row>
    <row r="16131">
      <c r="C16131" s="277"/>
      <c r="M16131" s="277"/>
      <c r="O16131" s="247"/>
      <c r="AC16131" s="247"/>
      <c r="AT16131" s="247"/>
    </row>
    <row r="16132">
      <c r="C16132" s="277"/>
      <c r="M16132" s="277"/>
      <c r="O16132" s="247"/>
      <c r="AC16132" s="247"/>
      <c r="AT16132" s="247"/>
    </row>
    <row r="16133">
      <c r="C16133" s="277"/>
      <c r="M16133" s="277"/>
      <c r="O16133" s="247"/>
      <c r="AC16133" s="247"/>
      <c r="AT16133" s="247"/>
    </row>
    <row r="16134">
      <c r="C16134" s="278"/>
      <c r="M16134" s="277"/>
      <c r="O16134" s="247"/>
      <c r="AC16134" s="247"/>
      <c r="AT16134" s="247"/>
    </row>
    <row r="16135">
      <c r="C16135" s="277"/>
      <c r="M16135" s="277"/>
      <c r="O16135" s="247"/>
      <c r="AC16135" s="247"/>
      <c r="AT16135" s="247"/>
    </row>
    <row r="16136">
      <c r="C16136" s="277"/>
      <c r="M16136" s="277"/>
      <c r="O16136" s="247"/>
      <c r="AC16136" s="247"/>
      <c r="AT16136" s="247"/>
    </row>
    <row r="16137">
      <c r="C16137" s="277"/>
      <c r="M16137" s="277"/>
      <c r="O16137" s="247"/>
      <c r="AC16137" s="247"/>
      <c r="AT16137" s="247"/>
    </row>
    <row r="16138">
      <c r="C16138" s="277"/>
      <c r="M16138" s="277"/>
      <c r="O16138" s="247"/>
      <c r="AC16138" s="247"/>
      <c r="AT16138" s="247"/>
    </row>
    <row r="16139">
      <c r="C16139" s="277"/>
      <c r="M16139" s="277"/>
      <c r="O16139" s="247"/>
      <c r="AC16139" s="247"/>
      <c r="AT16139" s="247"/>
    </row>
    <row r="16140">
      <c r="C16140" s="277"/>
      <c r="M16140" s="277"/>
      <c r="O16140" s="247"/>
      <c r="AC16140" s="247"/>
      <c r="AT16140" s="247"/>
    </row>
    <row r="16141">
      <c r="C16141" s="277"/>
      <c r="M16141" s="277"/>
      <c r="O16141" s="247"/>
      <c r="AC16141" s="247"/>
      <c r="AT16141" s="247"/>
    </row>
    <row r="16142">
      <c r="C16142" s="277"/>
      <c r="M16142" s="277"/>
      <c r="O16142" s="247"/>
      <c r="AC16142" s="247"/>
      <c r="AT16142" s="247"/>
    </row>
    <row r="16143">
      <c r="C16143" s="277"/>
      <c r="M16143" s="277"/>
      <c r="O16143" s="247"/>
      <c r="AC16143" s="247"/>
      <c r="AT16143" s="247"/>
    </row>
    <row r="16144">
      <c r="C16144" s="277"/>
      <c r="M16144" s="277"/>
      <c r="O16144" s="247"/>
      <c r="AC16144" s="247"/>
      <c r="AT16144" s="247"/>
    </row>
    <row r="16145">
      <c r="C16145" s="277"/>
      <c r="M16145" s="277"/>
      <c r="O16145" s="247"/>
      <c r="AC16145" s="247"/>
      <c r="AT16145" s="247"/>
    </row>
    <row r="16146">
      <c r="C16146" s="277"/>
      <c r="M16146" s="277"/>
      <c r="O16146" s="247"/>
      <c r="AC16146" s="247"/>
      <c r="AT16146" s="247"/>
    </row>
    <row r="16147">
      <c r="C16147" s="277"/>
      <c r="M16147" s="277"/>
      <c r="O16147" s="247"/>
      <c r="AC16147" s="247"/>
      <c r="AT16147" s="247"/>
    </row>
    <row r="16148">
      <c r="C16148" s="277"/>
      <c r="M16148" s="277"/>
      <c r="O16148" s="247"/>
      <c r="AC16148" s="247"/>
      <c r="AT16148" s="247"/>
    </row>
    <row r="16149">
      <c r="C16149" s="277"/>
      <c r="M16149" s="277"/>
      <c r="O16149" s="247"/>
      <c r="AC16149" s="247"/>
      <c r="AT16149" s="247"/>
    </row>
    <row r="16150">
      <c r="C16150" s="277"/>
      <c r="M16150" s="277"/>
      <c r="O16150" s="247"/>
      <c r="AC16150" s="247"/>
      <c r="AT16150" s="247"/>
    </row>
    <row r="16151">
      <c r="C16151" s="277"/>
      <c r="M16151" s="277"/>
      <c r="O16151" s="247"/>
      <c r="AC16151" s="247"/>
      <c r="AT16151" s="247"/>
    </row>
    <row r="16152">
      <c r="C16152" s="277"/>
      <c r="M16152" s="277"/>
      <c r="O16152" s="247"/>
      <c r="AC16152" s="247"/>
      <c r="AT16152" s="247"/>
    </row>
    <row r="16153">
      <c r="C16153" s="277"/>
      <c r="M16153" s="277"/>
      <c r="O16153" s="247"/>
      <c r="AC16153" s="247"/>
      <c r="AT16153" s="247"/>
    </row>
    <row r="16154">
      <c r="C16154" s="277"/>
      <c r="M16154" s="277"/>
      <c r="O16154" s="247"/>
      <c r="AC16154" s="247"/>
      <c r="AT16154" s="247"/>
    </row>
    <row r="16155">
      <c r="C16155" s="277"/>
      <c r="M16155" s="277"/>
      <c r="O16155" s="247"/>
      <c r="AC16155" s="247"/>
      <c r="AT16155" s="247"/>
    </row>
    <row r="16156">
      <c r="C16156" s="277"/>
      <c r="M16156" s="277"/>
      <c r="O16156" s="247"/>
      <c r="AC16156" s="247"/>
      <c r="AT16156" s="247"/>
    </row>
    <row r="16157">
      <c r="C16157" s="277"/>
      <c r="M16157" s="277"/>
      <c r="O16157" s="247"/>
      <c r="AC16157" s="247"/>
      <c r="AT16157" s="247"/>
    </row>
    <row r="16158">
      <c r="C16158" s="277"/>
      <c r="M16158" s="277"/>
      <c r="O16158" s="247"/>
      <c r="AC16158" s="247"/>
      <c r="AT16158" s="247"/>
    </row>
    <row r="16159">
      <c r="C16159" s="277"/>
      <c r="M16159" s="277"/>
      <c r="O16159" s="247"/>
      <c r="AC16159" s="247"/>
      <c r="AT16159" s="247"/>
    </row>
    <row r="16160">
      <c r="C16160" s="277"/>
      <c r="M16160" s="277"/>
      <c r="O16160" s="247"/>
      <c r="AC16160" s="247"/>
      <c r="AT16160" s="247"/>
    </row>
    <row r="16161">
      <c r="C16161" s="277"/>
      <c r="M16161" s="277"/>
      <c r="O16161" s="247"/>
      <c r="AC16161" s="247"/>
      <c r="AT16161" s="247"/>
    </row>
    <row r="16162">
      <c r="C16162" s="277"/>
      <c r="M16162" s="277"/>
      <c r="O16162" s="247"/>
      <c r="AC16162" s="247"/>
      <c r="AT16162" s="247"/>
    </row>
    <row r="16163">
      <c r="C16163" s="277"/>
      <c r="M16163" s="277"/>
      <c r="O16163" s="247"/>
      <c r="AC16163" s="247"/>
      <c r="AT16163" s="247"/>
    </row>
    <row r="16164">
      <c r="C16164" s="277"/>
      <c r="M16164" s="277"/>
      <c r="O16164" s="247"/>
      <c r="AC16164" s="247"/>
      <c r="AT16164" s="247"/>
    </row>
    <row r="16165">
      <c r="C16165" s="277"/>
      <c r="M16165" s="277"/>
      <c r="O16165" s="247"/>
      <c r="AC16165" s="247"/>
      <c r="AT16165" s="247"/>
    </row>
    <row r="16166">
      <c r="C16166" s="277"/>
      <c r="M16166" s="277"/>
      <c r="O16166" s="247"/>
      <c r="AC16166" s="247"/>
      <c r="AT16166" s="247"/>
    </row>
    <row r="16167">
      <c r="C16167" s="277"/>
      <c r="M16167" s="277"/>
      <c r="O16167" s="247"/>
      <c r="AC16167" s="247"/>
      <c r="AT16167" s="247"/>
    </row>
    <row r="16168">
      <c r="C16168" s="277"/>
      <c r="M16168" s="277"/>
      <c r="O16168" s="247"/>
      <c r="AC16168" s="247"/>
      <c r="AT16168" s="247"/>
    </row>
    <row r="16169">
      <c r="C16169" s="277"/>
      <c r="M16169" s="277"/>
      <c r="O16169" s="247"/>
      <c r="AC16169" s="247"/>
      <c r="AT16169" s="247"/>
    </row>
    <row r="16170">
      <c r="C16170" s="277"/>
      <c r="M16170" s="277"/>
      <c r="O16170" s="247"/>
      <c r="AC16170" s="247"/>
      <c r="AT16170" s="247"/>
    </row>
    <row r="16171">
      <c r="C16171" s="277"/>
      <c r="M16171" s="277"/>
      <c r="O16171" s="247"/>
      <c r="AC16171" s="247"/>
      <c r="AT16171" s="247"/>
    </row>
    <row r="16172">
      <c r="C16172" s="277"/>
      <c r="M16172" s="277"/>
      <c r="O16172" s="247"/>
      <c r="AC16172" s="247"/>
      <c r="AT16172" s="247"/>
    </row>
    <row r="16173">
      <c r="C16173" s="277"/>
      <c r="M16173" s="277"/>
      <c r="O16173" s="247"/>
      <c r="AC16173" s="247"/>
      <c r="AT16173" s="247"/>
    </row>
    <row r="16174">
      <c r="C16174" s="277"/>
      <c r="M16174" s="277"/>
      <c r="O16174" s="247"/>
      <c r="AC16174" s="247"/>
      <c r="AT16174" s="247"/>
    </row>
    <row r="16175">
      <c r="C16175" s="277"/>
      <c r="M16175" s="277"/>
      <c r="O16175" s="247"/>
      <c r="AC16175" s="247"/>
      <c r="AT16175" s="247"/>
    </row>
    <row r="16176">
      <c r="C16176" s="277"/>
      <c r="M16176" s="277"/>
      <c r="O16176" s="247"/>
      <c r="AC16176" s="247"/>
      <c r="AT16176" s="247"/>
    </row>
    <row r="16177">
      <c r="C16177" s="277"/>
      <c r="M16177" s="277"/>
      <c r="O16177" s="247"/>
      <c r="AC16177" s="247"/>
      <c r="AT16177" s="247"/>
    </row>
    <row r="16178">
      <c r="C16178" s="277"/>
      <c r="M16178" s="277"/>
      <c r="O16178" s="247"/>
      <c r="AC16178" s="247"/>
      <c r="AT16178" s="247"/>
    </row>
    <row r="16179">
      <c r="C16179" s="277"/>
      <c r="M16179" s="277"/>
      <c r="O16179" s="247"/>
      <c r="AC16179" s="247"/>
      <c r="AT16179" s="247"/>
    </row>
    <row r="16180">
      <c r="C16180" s="277"/>
      <c r="M16180" s="277"/>
      <c r="O16180" s="247"/>
      <c r="AC16180" s="247"/>
      <c r="AT16180" s="247"/>
    </row>
    <row r="16181">
      <c r="C16181" s="277"/>
      <c r="M16181" s="277"/>
      <c r="O16181" s="247"/>
      <c r="AC16181" s="247"/>
      <c r="AT16181" s="247"/>
    </row>
    <row r="16182">
      <c r="C16182" s="277"/>
      <c r="M16182" s="277"/>
      <c r="O16182" s="247"/>
      <c r="AC16182" s="247"/>
      <c r="AT16182" s="247"/>
    </row>
    <row r="16183">
      <c r="C16183" s="277"/>
      <c r="M16183" s="277"/>
      <c r="O16183" s="247"/>
      <c r="AC16183" s="247"/>
      <c r="AT16183" s="247"/>
    </row>
    <row r="16184">
      <c r="C16184" s="277"/>
      <c r="M16184" s="277"/>
      <c r="O16184" s="247"/>
      <c r="AC16184" s="247"/>
      <c r="AT16184" s="247"/>
    </row>
    <row r="16185">
      <c r="C16185" s="277"/>
      <c r="M16185" s="277"/>
      <c r="O16185" s="247"/>
      <c r="AC16185" s="247"/>
      <c r="AT16185" s="247"/>
    </row>
    <row r="16186">
      <c r="C16186" s="277"/>
      <c r="M16186" s="277"/>
      <c r="O16186" s="247"/>
      <c r="AC16186" s="247"/>
      <c r="AT16186" s="247"/>
    </row>
    <row r="16187">
      <c r="C16187" s="277"/>
      <c r="M16187" s="277"/>
      <c r="O16187" s="247"/>
      <c r="AC16187" s="247"/>
      <c r="AT16187" s="247"/>
    </row>
    <row r="16188">
      <c r="C16188" s="277"/>
      <c r="M16188" s="277"/>
      <c r="O16188" s="247"/>
      <c r="AC16188" s="247"/>
      <c r="AT16188" s="247"/>
    </row>
    <row r="16189">
      <c r="C16189" s="277"/>
      <c r="M16189" s="277"/>
      <c r="O16189" s="247"/>
      <c r="AC16189" s="247"/>
      <c r="AT16189" s="247"/>
    </row>
    <row r="16190">
      <c r="C16190" s="277"/>
      <c r="M16190" s="277"/>
      <c r="O16190" s="247"/>
      <c r="AC16190" s="247"/>
      <c r="AT16190" s="247"/>
    </row>
    <row r="16191">
      <c r="C16191" s="277"/>
      <c r="M16191" s="277"/>
      <c r="O16191" s="247"/>
      <c r="AC16191" s="247"/>
      <c r="AT16191" s="247"/>
    </row>
    <row r="16192">
      <c r="C16192" s="277"/>
      <c r="M16192" s="277"/>
      <c r="O16192" s="247"/>
      <c r="AC16192" s="247"/>
      <c r="AT16192" s="247"/>
    </row>
    <row r="16193">
      <c r="C16193" s="277"/>
      <c r="M16193" s="277"/>
      <c r="O16193" s="247"/>
      <c r="AC16193" s="247"/>
      <c r="AT16193" s="247"/>
    </row>
    <row r="16194">
      <c r="C16194" s="277"/>
      <c r="M16194" s="277"/>
      <c r="O16194" s="247"/>
      <c r="AC16194" s="247"/>
      <c r="AT16194" s="247"/>
    </row>
    <row r="16195">
      <c r="C16195" s="277"/>
      <c r="M16195" s="277"/>
      <c r="O16195" s="247"/>
      <c r="AC16195" s="247"/>
      <c r="AT16195" s="247"/>
    </row>
    <row r="16196">
      <c r="C16196" s="277"/>
      <c r="M16196" s="277"/>
      <c r="O16196" s="247"/>
      <c r="AC16196" s="247"/>
      <c r="AT16196" s="247"/>
    </row>
    <row r="16197">
      <c r="C16197" s="277"/>
      <c r="M16197" s="277"/>
      <c r="O16197" s="247"/>
      <c r="AC16197" s="247"/>
      <c r="AT16197" s="247"/>
    </row>
    <row r="16198">
      <c r="C16198" s="277"/>
      <c r="M16198" s="277"/>
      <c r="O16198" s="247"/>
      <c r="AC16198" s="247"/>
      <c r="AT16198" s="247"/>
    </row>
    <row r="16199">
      <c r="C16199" s="277"/>
      <c r="M16199" s="277"/>
      <c r="O16199" s="247"/>
      <c r="AC16199" s="247"/>
      <c r="AT16199" s="247"/>
    </row>
    <row r="16200">
      <c r="C16200" s="277"/>
      <c r="M16200" s="277"/>
      <c r="O16200" s="247"/>
      <c r="AC16200" s="247"/>
      <c r="AT16200" s="247"/>
    </row>
    <row r="16201">
      <c r="C16201" s="277"/>
      <c r="M16201" s="277"/>
      <c r="O16201" s="247"/>
      <c r="AC16201" s="247"/>
      <c r="AT16201" s="247"/>
    </row>
    <row r="16202">
      <c r="C16202" s="278"/>
      <c r="M16202" s="277"/>
      <c r="O16202" s="247"/>
      <c r="AC16202" s="247"/>
      <c r="AT16202" s="247"/>
    </row>
    <row r="16203">
      <c r="C16203" s="277"/>
      <c r="M16203" s="277"/>
      <c r="O16203" s="247"/>
      <c r="AC16203" s="247"/>
      <c r="AT16203" s="247"/>
    </row>
    <row r="16204">
      <c r="C16204" s="277"/>
      <c r="M16204" s="277"/>
      <c r="O16204" s="247"/>
      <c r="AC16204" s="247"/>
      <c r="AT16204" s="247"/>
    </row>
    <row r="16205">
      <c r="C16205" s="277"/>
      <c r="M16205" s="277"/>
      <c r="O16205" s="247"/>
      <c r="AC16205" s="247"/>
      <c r="AT16205" s="247"/>
    </row>
    <row r="16206">
      <c r="C16206" s="277"/>
      <c r="M16206" s="277"/>
      <c r="O16206" s="247"/>
      <c r="AC16206" s="247"/>
      <c r="AT16206" s="247"/>
    </row>
    <row r="16207">
      <c r="C16207" s="277"/>
      <c r="M16207" s="277"/>
      <c r="O16207" s="247"/>
      <c r="AC16207" s="247"/>
      <c r="AT16207" s="247"/>
    </row>
    <row r="16208">
      <c r="C16208" s="277"/>
      <c r="M16208" s="277"/>
      <c r="O16208" s="247"/>
      <c r="AC16208" s="247"/>
      <c r="AT16208" s="247"/>
    </row>
    <row r="16209">
      <c r="C16209" s="277"/>
      <c r="M16209" s="277"/>
      <c r="O16209" s="247"/>
      <c r="AC16209" s="247"/>
      <c r="AT16209" s="247"/>
    </row>
    <row r="16210">
      <c r="C16210" s="277"/>
      <c r="M16210" s="277"/>
      <c r="O16210" s="247"/>
      <c r="AC16210" s="247"/>
      <c r="AT16210" s="247"/>
    </row>
    <row r="16211">
      <c r="C16211" s="277"/>
      <c r="M16211" s="277"/>
      <c r="O16211" s="247"/>
      <c r="AC16211" s="247"/>
      <c r="AT16211" s="247"/>
    </row>
    <row r="16212">
      <c r="C16212" s="278"/>
      <c r="M16212" s="277"/>
      <c r="O16212" s="247"/>
      <c r="AC16212" s="247"/>
      <c r="AT16212" s="247"/>
    </row>
    <row r="16213">
      <c r="C16213" s="277"/>
      <c r="M16213" s="277"/>
      <c r="O16213" s="247"/>
      <c r="AC16213" s="247"/>
      <c r="AT16213" s="247"/>
    </row>
    <row r="16214">
      <c r="C16214" s="277"/>
      <c r="M16214" s="277"/>
      <c r="O16214" s="247"/>
      <c r="AC16214" s="247"/>
      <c r="AT16214" s="247"/>
    </row>
    <row r="16215">
      <c r="C16215" s="277"/>
      <c r="M16215" s="277"/>
      <c r="O16215" s="247"/>
      <c r="AC16215" s="247"/>
      <c r="AT16215" s="247"/>
    </row>
    <row r="16216">
      <c r="C16216" s="277"/>
      <c r="M16216" s="277"/>
      <c r="O16216" s="247"/>
      <c r="AC16216" s="247"/>
      <c r="AT16216" s="247"/>
    </row>
    <row r="16217">
      <c r="C16217" s="277"/>
      <c r="M16217" s="277"/>
      <c r="O16217" s="247"/>
      <c r="AC16217" s="247"/>
      <c r="AT16217" s="247"/>
    </row>
    <row r="16218">
      <c r="C16218" s="277"/>
      <c r="M16218" s="277"/>
      <c r="O16218" s="247"/>
      <c r="AC16218" s="247"/>
      <c r="AT16218" s="247"/>
    </row>
    <row r="16219">
      <c r="C16219" s="277"/>
      <c r="M16219" s="277"/>
      <c r="O16219" s="247"/>
      <c r="AC16219" s="247"/>
      <c r="AT16219" s="247"/>
    </row>
    <row r="16220">
      <c r="C16220" s="277"/>
      <c r="M16220" s="277"/>
      <c r="O16220" s="247"/>
      <c r="AC16220" s="247"/>
      <c r="AT16220" s="247"/>
    </row>
    <row r="16221">
      <c r="C16221" s="277"/>
      <c r="M16221" s="277"/>
      <c r="O16221" s="247"/>
      <c r="AC16221" s="247"/>
      <c r="AT16221" s="247"/>
    </row>
    <row r="16222">
      <c r="C16222" s="277"/>
      <c r="M16222" s="277"/>
      <c r="O16222" s="247"/>
      <c r="AC16222" s="247"/>
      <c r="AT16222" s="247"/>
    </row>
    <row r="16223">
      <c r="C16223" s="277"/>
      <c r="M16223" s="277"/>
      <c r="O16223" s="247"/>
      <c r="AC16223" s="247"/>
      <c r="AT16223" s="247"/>
    </row>
    <row r="16224">
      <c r="C16224" s="277"/>
      <c r="M16224" s="277"/>
      <c r="O16224" s="247"/>
      <c r="AC16224" s="247"/>
      <c r="AT16224" s="247"/>
    </row>
    <row r="16225">
      <c r="C16225" s="277"/>
      <c r="M16225" s="277"/>
      <c r="O16225" s="247"/>
      <c r="AC16225" s="247"/>
      <c r="AT16225" s="247"/>
    </row>
    <row r="16226">
      <c r="C16226" s="277"/>
      <c r="M16226" s="277"/>
      <c r="O16226" s="247"/>
      <c r="AC16226" s="247"/>
      <c r="AT16226" s="247"/>
    </row>
    <row r="16227">
      <c r="C16227" s="277"/>
      <c r="M16227" s="277"/>
      <c r="O16227" s="247"/>
      <c r="AC16227" s="247"/>
      <c r="AT16227" s="247"/>
    </row>
    <row r="16228">
      <c r="C16228" s="277"/>
      <c r="M16228" s="277"/>
      <c r="O16228" s="247"/>
      <c r="AC16228" s="247"/>
      <c r="AT16228" s="247"/>
    </row>
    <row r="16229">
      <c r="C16229" s="277"/>
      <c r="M16229" s="277"/>
      <c r="O16229" s="247"/>
      <c r="AC16229" s="247"/>
      <c r="AT16229" s="247"/>
    </row>
    <row r="16230">
      <c r="C16230" s="277"/>
      <c r="M16230" s="277"/>
      <c r="O16230" s="247"/>
      <c r="AC16230" s="247"/>
      <c r="AT16230" s="247"/>
    </row>
    <row r="16231">
      <c r="C16231" s="277"/>
      <c r="M16231" s="277"/>
      <c r="O16231" s="247"/>
      <c r="AC16231" s="247"/>
      <c r="AT16231" s="247"/>
    </row>
    <row r="16232">
      <c r="C16232" s="277"/>
      <c r="M16232" s="277"/>
      <c r="O16232" s="247"/>
      <c r="AC16232" s="247"/>
      <c r="AT16232" s="247"/>
    </row>
    <row r="16233">
      <c r="C16233" s="277"/>
      <c r="M16233" s="277"/>
      <c r="O16233" s="247"/>
      <c r="AC16233" s="247"/>
      <c r="AT16233" s="247"/>
    </row>
    <row r="16234">
      <c r="C16234" s="277"/>
      <c r="M16234" s="277"/>
      <c r="O16234" s="247"/>
      <c r="AC16234" s="247"/>
      <c r="AT16234" s="247"/>
    </row>
    <row r="16235">
      <c r="C16235" s="277"/>
      <c r="M16235" s="277"/>
      <c r="O16235" s="247"/>
      <c r="AC16235" s="247"/>
      <c r="AT16235" s="247"/>
    </row>
    <row r="16236">
      <c r="C16236" s="277"/>
      <c r="M16236" s="277"/>
      <c r="O16236" s="247"/>
      <c r="AC16236" s="247"/>
      <c r="AT16236" s="247"/>
    </row>
    <row r="16237">
      <c r="C16237" s="277"/>
      <c r="M16237" s="277"/>
      <c r="O16237" s="247"/>
      <c r="AC16237" s="247"/>
      <c r="AT16237" s="247"/>
    </row>
    <row r="16238">
      <c r="C16238" s="277"/>
      <c r="M16238" s="277"/>
      <c r="O16238" s="247"/>
      <c r="AC16238" s="247"/>
      <c r="AT16238" s="247"/>
    </row>
    <row r="16239">
      <c r="C16239" s="277"/>
      <c r="M16239" s="277"/>
      <c r="O16239" s="247"/>
      <c r="AC16239" s="247"/>
      <c r="AT16239" s="247"/>
    </row>
    <row r="16240">
      <c r="C16240" s="277"/>
      <c r="M16240" s="277"/>
      <c r="O16240" s="247"/>
      <c r="AC16240" s="247"/>
      <c r="AT16240" s="247"/>
    </row>
    <row r="16241">
      <c r="C16241" s="277"/>
      <c r="M16241" s="277"/>
      <c r="O16241" s="247"/>
      <c r="AC16241" s="247"/>
      <c r="AT16241" s="247"/>
    </row>
    <row r="16242">
      <c r="C16242" s="277"/>
      <c r="M16242" s="277"/>
      <c r="O16242" s="247"/>
      <c r="AC16242" s="247"/>
      <c r="AT16242" s="247"/>
    </row>
    <row r="16243">
      <c r="C16243" s="277"/>
      <c r="M16243" s="277"/>
      <c r="O16243" s="247"/>
      <c r="AC16243" s="247"/>
      <c r="AT16243" s="247"/>
    </row>
    <row r="16244">
      <c r="C16244" s="277"/>
      <c r="M16244" s="277"/>
      <c r="O16244" s="247"/>
      <c r="AC16244" s="247"/>
      <c r="AT16244" s="247"/>
    </row>
    <row r="16245">
      <c r="C16245" s="277"/>
      <c r="M16245" s="277"/>
      <c r="O16245" s="247"/>
      <c r="AC16245" s="247"/>
      <c r="AT16245" s="247"/>
    </row>
    <row r="16246">
      <c r="C16246" s="277"/>
      <c r="M16246" s="277"/>
      <c r="O16246" s="247"/>
      <c r="AC16246" s="247"/>
      <c r="AT16246" s="247"/>
    </row>
    <row r="16247">
      <c r="C16247" s="277"/>
      <c r="M16247" s="277"/>
      <c r="O16247" s="247"/>
      <c r="AC16247" s="247"/>
      <c r="AT16247" s="247"/>
    </row>
    <row r="16248">
      <c r="C16248" s="277"/>
      <c r="M16248" s="277"/>
      <c r="O16248" s="247"/>
      <c r="AC16248" s="247"/>
      <c r="AT16248" s="247"/>
    </row>
    <row r="16249">
      <c r="C16249" s="277"/>
      <c r="M16249" s="277"/>
      <c r="O16249" s="247"/>
      <c r="AC16249" s="247"/>
      <c r="AT16249" s="247"/>
    </row>
    <row r="16250">
      <c r="C16250" s="277"/>
      <c r="M16250" s="277"/>
      <c r="O16250" s="247"/>
      <c r="AC16250" s="247"/>
      <c r="AT16250" s="247"/>
    </row>
    <row r="16251">
      <c r="C16251" s="277"/>
      <c r="M16251" s="277"/>
      <c r="O16251" s="247"/>
      <c r="AC16251" s="247"/>
      <c r="AT16251" s="247"/>
    </row>
    <row r="16252">
      <c r="C16252" s="277"/>
      <c r="M16252" s="277"/>
      <c r="O16252" s="247"/>
      <c r="AC16252" s="247"/>
      <c r="AT16252" s="247"/>
    </row>
    <row r="16253">
      <c r="C16253" s="277"/>
      <c r="M16253" s="277"/>
      <c r="O16253" s="247"/>
      <c r="AC16253" s="247"/>
      <c r="AT16253" s="247"/>
    </row>
    <row r="16254">
      <c r="C16254" s="277"/>
      <c r="M16254" s="277"/>
      <c r="O16254" s="247"/>
      <c r="AC16254" s="247"/>
      <c r="AT16254" s="247"/>
    </row>
    <row r="16255">
      <c r="C16255" s="277"/>
      <c r="M16255" s="277"/>
      <c r="O16255" s="247"/>
      <c r="AC16255" s="247"/>
      <c r="AT16255" s="247"/>
    </row>
    <row r="16256">
      <c r="C16256" s="277"/>
      <c r="M16256" s="277"/>
      <c r="O16256" s="247"/>
      <c r="AC16256" s="247"/>
      <c r="AT16256" s="247"/>
    </row>
    <row r="16257">
      <c r="C16257" s="277"/>
      <c r="M16257" s="277"/>
      <c r="O16257" s="247"/>
      <c r="AC16257" s="247"/>
      <c r="AT16257" s="247"/>
    </row>
    <row r="16258">
      <c r="C16258" s="278"/>
      <c r="M16258" s="277"/>
      <c r="O16258" s="247"/>
      <c r="AC16258" s="247"/>
      <c r="AT16258" s="247"/>
    </row>
    <row r="16259">
      <c r="C16259" s="277"/>
      <c r="M16259" s="277"/>
      <c r="O16259" s="247"/>
      <c r="AC16259" s="247"/>
      <c r="AT16259" s="247"/>
    </row>
    <row r="16260">
      <c r="C16260" s="277"/>
      <c r="M16260" s="277"/>
      <c r="O16260" s="247"/>
      <c r="AC16260" s="247"/>
      <c r="AT16260" s="247"/>
    </row>
    <row r="16261">
      <c r="C16261" s="277"/>
      <c r="M16261" s="277"/>
      <c r="O16261" s="247"/>
      <c r="AC16261" s="247"/>
      <c r="AT16261" s="247"/>
    </row>
    <row r="16262">
      <c r="C16262" s="277"/>
      <c r="M16262" s="277"/>
      <c r="O16262" s="247"/>
      <c r="AC16262" s="247"/>
      <c r="AT16262" s="247"/>
    </row>
    <row r="16263">
      <c r="C16263" s="277"/>
      <c r="M16263" s="277"/>
      <c r="O16263" s="247"/>
      <c r="AC16263" s="247"/>
      <c r="AT16263" s="247"/>
    </row>
    <row r="16264">
      <c r="C16264" s="277"/>
      <c r="M16264" s="277"/>
      <c r="O16264" s="247"/>
      <c r="AC16264" s="247"/>
      <c r="AT16264" s="247"/>
    </row>
    <row r="16265">
      <c r="C16265" s="277"/>
      <c r="M16265" s="277"/>
      <c r="O16265" s="247"/>
      <c r="AC16265" s="247"/>
      <c r="AT16265" s="247"/>
    </row>
    <row r="16266">
      <c r="C16266" s="277"/>
      <c r="M16266" s="277"/>
      <c r="O16266" s="247"/>
      <c r="AC16266" s="247"/>
      <c r="AT16266" s="247"/>
    </row>
    <row r="16267">
      <c r="C16267" s="277"/>
      <c r="M16267" s="277"/>
      <c r="O16267" s="247"/>
      <c r="AC16267" s="247"/>
      <c r="AT16267" s="247"/>
    </row>
    <row r="16268">
      <c r="C16268" s="277"/>
      <c r="M16268" s="277"/>
      <c r="O16268" s="247"/>
      <c r="AC16268" s="247"/>
      <c r="AT16268" s="247"/>
    </row>
    <row r="16269">
      <c r="C16269" s="277"/>
      <c r="M16269" s="277"/>
      <c r="O16269" s="247"/>
      <c r="AC16269" s="247"/>
      <c r="AT16269" s="247"/>
    </row>
    <row r="16270">
      <c r="C16270" s="277"/>
      <c r="M16270" s="277"/>
      <c r="O16270" s="247"/>
      <c r="AC16270" s="247"/>
      <c r="AT16270" s="247"/>
    </row>
    <row r="16271">
      <c r="C16271" s="277"/>
      <c r="M16271" s="277"/>
      <c r="O16271" s="247"/>
      <c r="AC16271" s="247"/>
      <c r="AT16271" s="247"/>
    </row>
    <row r="16272">
      <c r="C16272" s="277"/>
      <c r="M16272" s="277"/>
      <c r="O16272" s="247"/>
      <c r="AC16272" s="247"/>
      <c r="AT16272" s="247"/>
    </row>
    <row r="16273">
      <c r="C16273" s="277"/>
      <c r="M16273" s="277"/>
      <c r="O16273" s="247"/>
      <c r="AC16273" s="247"/>
      <c r="AT16273" s="247"/>
    </row>
    <row r="16274">
      <c r="C16274" s="277"/>
      <c r="M16274" s="277"/>
      <c r="O16274" s="247"/>
      <c r="AC16274" s="247"/>
      <c r="AT16274" s="247"/>
    </row>
    <row r="16275">
      <c r="C16275" s="277"/>
      <c r="M16275" s="277"/>
      <c r="O16275" s="247"/>
      <c r="AC16275" s="247"/>
      <c r="AT16275" s="247"/>
    </row>
    <row r="16276">
      <c r="C16276" s="277"/>
      <c r="M16276" s="277"/>
      <c r="O16276" s="247"/>
      <c r="AC16276" s="247"/>
      <c r="AT16276" s="247"/>
    </row>
    <row r="16277">
      <c r="C16277" s="277"/>
      <c r="M16277" s="277"/>
      <c r="O16277" s="247"/>
      <c r="AC16277" s="247"/>
      <c r="AT16277" s="247"/>
    </row>
    <row r="16278">
      <c r="C16278" s="277"/>
      <c r="M16278" s="277"/>
      <c r="O16278" s="247"/>
      <c r="AC16278" s="247"/>
      <c r="AT16278" s="247"/>
    </row>
    <row r="16279">
      <c r="C16279" s="277"/>
      <c r="M16279" s="277"/>
      <c r="O16279" s="247"/>
      <c r="AC16279" s="247"/>
      <c r="AT16279" s="247"/>
    </row>
    <row r="16280">
      <c r="C16280" s="277"/>
      <c r="M16280" s="277"/>
      <c r="O16280" s="247"/>
      <c r="AC16280" s="247"/>
      <c r="AT16280" s="247"/>
    </row>
    <row r="16281">
      <c r="C16281" s="277"/>
      <c r="M16281" s="277"/>
      <c r="O16281" s="247"/>
      <c r="AC16281" s="247"/>
      <c r="AT16281" s="247"/>
    </row>
    <row r="16282">
      <c r="C16282" s="277"/>
      <c r="M16282" s="277"/>
      <c r="O16282" s="247"/>
      <c r="AC16282" s="247"/>
      <c r="AT16282" s="247"/>
    </row>
    <row r="16283">
      <c r="C16283" s="277"/>
      <c r="M16283" s="277"/>
      <c r="O16283" s="247"/>
      <c r="AC16283" s="247"/>
      <c r="AT16283" s="247"/>
    </row>
    <row r="16284">
      <c r="C16284" s="277"/>
      <c r="M16284" s="277"/>
      <c r="O16284" s="247"/>
      <c r="AC16284" s="247"/>
      <c r="AT16284" s="247"/>
    </row>
    <row r="16285">
      <c r="C16285" s="277"/>
      <c r="M16285" s="277"/>
      <c r="O16285" s="247"/>
      <c r="AC16285" s="247"/>
      <c r="AT16285" s="247"/>
    </row>
    <row r="16286">
      <c r="C16286" s="277"/>
      <c r="M16286" s="277"/>
      <c r="O16286" s="247"/>
      <c r="AC16286" s="247"/>
      <c r="AT16286" s="247"/>
    </row>
    <row r="16287">
      <c r="C16287" s="277"/>
      <c r="M16287" s="277"/>
      <c r="O16287" s="247"/>
      <c r="AC16287" s="247"/>
      <c r="AT16287" s="247"/>
    </row>
    <row r="16288">
      <c r="C16288" s="277"/>
      <c r="M16288" s="277"/>
      <c r="O16288" s="247"/>
      <c r="AC16288" s="247"/>
      <c r="AT16288" s="247"/>
    </row>
    <row r="16289">
      <c r="C16289" s="277"/>
      <c r="M16289" s="277"/>
      <c r="O16289" s="247"/>
      <c r="AC16289" s="247"/>
      <c r="AT16289" s="247"/>
    </row>
    <row r="16290">
      <c r="C16290" s="277"/>
      <c r="M16290" s="277"/>
      <c r="O16290" s="247"/>
      <c r="AC16290" s="247"/>
      <c r="AT16290" s="247"/>
    </row>
    <row r="16291">
      <c r="C16291" s="277"/>
      <c r="M16291" s="277"/>
      <c r="O16291" s="247"/>
      <c r="AC16291" s="247"/>
      <c r="AT16291" s="247"/>
    </row>
    <row r="16292">
      <c r="C16292" s="277"/>
      <c r="M16292" s="277"/>
      <c r="O16292" s="247"/>
      <c r="AC16292" s="247"/>
      <c r="AT16292" s="247"/>
    </row>
    <row r="16293">
      <c r="C16293" s="277"/>
      <c r="M16293" s="277"/>
      <c r="O16293" s="247"/>
      <c r="AC16293" s="247"/>
      <c r="AT16293" s="247"/>
    </row>
    <row r="16294">
      <c r="C16294" s="277"/>
      <c r="M16294" s="277"/>
      <c r="O16294" s="247"/>
      <c r="AC16294" s="247"/>
      <c r="AT16294" s="247"/>
    </row>
    <row r="16295">
      <c r="C16295" s="277"/>
      <c r="M16295" s="277"/>
      <c r="O16295" s="247"/>
      <c r="AC16295" s="247"/>
      <c r="AT16295" s="247"/>
    </row>
    <row r="16296">
      <c r="C16296" s="277"/>
      <c r="M16296" s="277"/>
      <c r="O16296" s="247"/>
      <c r="AC16296" s="247"/>
      <c r="AT16296" s="247"/>
    </row>
    <row r="16297">
      <c r="C16297" s="277"/>
      <c r="M16297" s="277"/>
      <c r="O16297" s="247"/>
      <c r="AC16297" s="247"/>
      <c r="AT16297" s="247"/>
    </row>
    <row r="16298">
      <c r="C16298" s="277"/>
      <c r="M16298" s="277"/>
      <c r="O16298" s="247"/>
      <c r="AC16298" s="247"/>
      <c r="AT16298" s="247"/>
    </row>
    <row r="16299">
      <c r="C16299" s="277"/>
      <c r="M16299" s="277"/>
      <c r="O16299" s="247"/>
      <c r="AC16299" s="247"/>
      <c r="AT16299" s="247"/>
    </row>
    <row r="16300">
      <c r="C16300" s="277"/>
      <c r="M16300" s="277"/>
      <c r="O16300" s="247"/>
      <c r="AC16300" s="247"/>
      <c r="AT16300" s="247"/>
    </row>
    <row r="16301">
      <c r="C16301" s="277"/>
      <c r="M16301" s="277"/>
      <c r="O16301" s="247"/>
      <c r="AC16301" s="247"/>
      <c r="AT16301" s="247"/>
    </row>
    <row r="16302">
      <c r="C16302" s="277"/>
      <c r="M16302" s="277"/>
      <c r="O16302" s="247"/>
      <c r="AC16302" s="247"/>
      <c r="AT16302" s="247"/>
    </row>
    <row r="16303">
      <c r="C16303" s="277"/>
      <c r="M16303" s="277"/>
      <c r="O16303" s="247"/>
      <c r="AC16303" s="247"/>
      <c r="AT16303" s="247"/>
    </row>
    <row r="16304">
      <c r="C16304" s="277"/>
      <c r="M16304" s="277"/>
      <c r="O16304" s="247"/>
      <c r="AC16304" s="247"/>
      <c r="AT16304" s="247"/>
    </row>
    <row r="16305">
      <c r="C16305" s="277"/>
      <c r="M16305" s="277"/>
      <c r="O16305" s="247"/>
      <c r="AC16305" s="247"/>
      <c r="AT16305" s="247"/>
    </row>
    <row r="16306">
      <c r="C16306" s="277"/>
      <c r="M16306" s="277"/>
      <c r="O16306" s="247"/>
      <c r="AC16306" s="247"/>
      <c r="AT16306" s="247"/>
    </row>
    <row r="16307">
      <c r="C16307" s="277"/>
      <c r="M16307" s="277"/>
      <c r="O16307" s="247"/>
      <c r="AC16307" s="247"/>
      <c r="AT16307" s="247"/>
    </row>
    <row r="16308">
      <c r="C16308" s="277"/>
      <c r="M16308" s="277"/>
      <c r="O16308" s="247"/>
      <c r="AC16308" s="247"/>
      <c r="AT16308" s="247"/>
    </row>
    <row r="16309">
      <c r="C16309" s="277"/>
      <c r="M16309" s="277"/>
      <c r="O16309" s="247"/>
      <c r="AC16309" s="247"/>
      <c r="AT16309" s="247"/>
    </row>
    <row r="16310">
      <c r="C16310" s="277"/>
      <c r="M16310" s="277"/>
      <c r="O16310" s="247"/>
      <c r="AC16310" s="247"/>
      <c r="AT16310" s="247"/>
    </row>
    <row r="16311">
      <c r="C16311" s="277"/>
      <c r="M16311" s="277"/>
      <c r="O16311" s="247"/>
      <c r="AC16311" s="247"/>
      <c r="AT16311" s="247"/>
    </row>
    <row r="16312">
      <c r="C16312" s="277"/>
      <c r="M16312" s="277"/>
      <c r="O16312" s="247"/>
      <c r="AC16312" s="247"/>
      <c r="AT16312" s="247"/>
    </row>
    <row r="16313">
      <c r="C16313" s="277"/>
      <c r="M16313" s="277"/>
      <c r="O16313" s="247"/>
      <c r="AC16313" s="247"/>
      <c r="AT16313" s="247"/>
    </row>
    <row r="16314">
      <c r="C16314" s="277"/>
      <c r="M16314" s="277"/>
      <c r="O16314" s="247"/>
      <c r="AC16314" s="247"/>
      <c r="AT16314" s="247"/>
    </row>
    <row r="16315">
      <c r="C16315" s="277"/>
      <c r="M16315" s="277"/>
      <c r="O16315" s="247"/>
      <c r="AC16315" s="247"/>
      <c r="AT16315" s="247"/>
    </row>
    <row r="16316">
      <c r="C16316" s="277"/>
      <c r="M16316" s="277"/>
      <c r="O16316" s="247"/>
      <c r="AC16316" s="247"/>
      <c r="AT16316" s="247"/>
    </row>
    <row r="16317">
      <c r="C16317" s="277"/>
      <c r="M16317" s="277"/>
      <c r="O16317" s="247"/>
      <c r="AC16317" s="247"/>
      <c r="AT16317" s="247"/>
    </row>
    <row r="16318">
      <c r="C16318" s="277"/>
      <c r="M16318" s="277"/>
      <c r="O16318" s="247"/>
      <c r="AC16318" s="247"/>
      <c r="AT16318" s="247"/>
    </row>
    <row r="16319">
      <c r="C16319" s="277"/>
      <c r="M16319" s="277"/>
      <c r="O16319" s="247"/>
      <c r="AC16319" s="247"/>
      <c r="AT16319" s="247"/>
    </row>
    <row r="16320">
      <c r="C16320" s="277"/>
      <c r="M16320" s="277"/>
      <c r="O16320" s="247"/>
      <c r="AC16320" s="247"/>
      <c r="AT16320" s="247"/>
    </row>
    <row r="16321">
      <c r="C16321" s="277"/>
      <c r="M16321" s="277"/>
      <c r="O16321" s="247"/>
      <c r="AC16321" s="247"/>
      <c r="AT16321" s="247"/>
    </row>
    <row r="16322">
      <c r="C16322" s="277"/>
      <c r="M16322" s="277"/>
      <c r="O16322" s="247"/>
      <c r="AC16322" s="247"/>
      <c r="AT16322" s="247"/>
    </row>
    <row r="16323">
      <c r="C16323" s="277"/>
      <c r="M16323" s="277"/>
      <c r="O16323" s="247"/>
      <c r="AC16323" s="247"/>
      <c r="AT16323" s="247"/>
    </row>
    <row r="16324">
      <c r="C16324" s="277"/>
      <c r="M16324" s="277"/>
      <c r="O16324" s="247"/>
      <c r="AC16324" s="247"/>
      <c r="AT16324" s="247"/>
    </row>
    <row r="16325">
      <c r="C16325" s="277"/>
      <c r="M16325" s="277"/>
      <c r="O16325" s="247"/>
      <c r="AC16325" s="247"/>
      <c r="AT16325" s="247"/>
    </row>
    <row r="16326">
      <c r="C16326" s="277"/>
      <c r="M16326" s="277"/>
      <c r="O16326" s="247"/>
      <c r="AC16326" s="247"/>
      <c r="AT16326" s="247"/>
    </row>
    <row r="16327">
      <c r="C16327" s="277"/>
      <c r="M16327" s="277"/>
      <c r="O16327" s="247"/>
      <c r="AC16327" s="247"/>
      <c r="AT16327" s="247"/>
    </row>
    <row r="16328">
      <c r="C16328" s="277"/>
      <c r="M16328" s="277"/>
      <c r="O16328" s="247"/>
      <c r="AC16328" s="247"/>
      <c r="AT16328" s="247"/>
    </row>
    <row r="16329">
      <c r="C16329" s="277"/>
      <c r="M16329" s="277"/>
      <c r="O16329" s="247"/>
      <c r="AC16329" s="247"/>
      <c r="AT16329" s="247"/>
    </row>
    <row r="16330">
      <c r="C16330" s="277"/>
      <c r="M16330" s="277"/>
      <c r="O16330" s="247"/>
      <c r="AC16330" s="247"/>
      <c r="AT16330" s="247"/>
    </row>
    <row r="16331">
      <c r="C16331" s="277"/>
      <c r="M16331" s="277"/>
      <c r="O16331" s="247"/>
      <c r="AC16331" s="247"/>
      <c r="AT16331" s="247"/>
    </row>
    <row r="16332">
      <c r="C16332" s="277"/>
      <c r="M16332" s="277"/>
      <c r="O16332" s="247"/>
      <c r="AC16332" s="247"/>
      <c r="AT16332" s="247"/>
    </row>
    <row r="16333">
      <c r="C16333" s="277"/>
      <c r="M16333" s="277"/>
      <c r="O16333" s="247"/>
      <c r="AC16333" s="247"/>
      <c r="AT16333" s="247"/>
    </row>
    <row r="16334">
      <c r="C16334" s="277"/>
      <c r="M16334" s="277"/>
      <c r="O16334" s="247"/>
      <c r="AC16334" s="247"/>
      <c r="AT16334" s="247"/>
    </row>
    <row r="16335">
      <c r="C16335" s="277"/>
      <c r="M16335" s="277"/>
      <c r="O16335" s="247"/>
      <c r="AC16335" s="247"/>
      <c r="AT16335" s="247"/>
    </row>
    <row r="16336">
      <c r="C16336" s="277"/>
      <c r="M16336" s="277"/>
      <c r="O16336" s="247"/>
      <c r="AC16336" s="247"/>
      <c r="AT16336" s="247"/>
    </row>
    <row r="16337">
      <c r="C16337" s="277"/>
      <c r="M16337" s="277"/>
      <c r="O16337" s="247"/>
      <c r="AC16337" s="247"/>
      <c r="AT16337" s="247"/>
    </row>
    <row r="16338">
      <c r="C16338" s="277"/>
      <c r="M16338" s="277"/>
      <c r="O16338" s="247"/>
      <c r="AC16338" s="247"/>
      <c r="AT16338" s="247"/>
    </row>
    <row r="16339">
      <c r="C16339" s="277"/>
      <c r="M16339" s="277"/>
      <c r="O16339" s="247"/>
      <c r="AC16339" s="247"/>
      <c r="AT16339" s="247"/>
    </row>
    <row r="16340">
      <c r="C16340" s="277"/>
      <c r="M16340" s="277"/>
      <c r="O16340" s="247"/>
      <c r="AC16340" s="247"/>
      <c r="AT16340" s="247"/>
    </row>
    <row r="16341">
      <c r="C16341" s="277"/>
      <c r="M16341" s="277"/>
      <c r="O16341" s="247"/>
      <c r="AC16341" s="247"/>
      <c r="AT16341" s="247"/>
    </row>
    <row r="16342">
      <c r="C16342" s="277"/>
      <c r="M16342" s="277"/>
      <c r="O16342" s="247"/>
      <c r="AC16342" s="247"/>
      <c r="AT16342" s="247"/>
    </row>
    <row r="16343">
      <c r="C16343" s="277"/>
      <c r="M16343" s="277"/>
      <c r="O16343" s="247"/>
      <c r="AC16343" s="247"/>
      <c r="AT16343" s="247"/>
    </row>
    <row r="16344">
      <c r="C16344" s="277"/>
      <c r="M16344" s="277"/>
      <c r="O16344" s="247"/>
      <c r="AC16344" s="247"/>
      <c r="AT16344" s="247"/>
    </row>
    <row r="16345">
      <c r="C16345" s="277"/>
      <c r="M16345" s="277"/>
      <c r="O16345" s="247"/>
      <c r="AC16345" s="247"/>
      <c r="AT16345" s="247"/>
    </row>
    <row r="16346">
      <c r="C16346" s="278"/>
      <c r="M16346" s="277"/>
      <c r="O16346" s="247"/>
      <c r="AC16346" s="247"/>
      <c r="AT16346" s="247"/>
    </row>
    <row r="16347">
      <c r="C16347" s="277"/>
      <c r="M16347" s="277"/>
      <c r="O16347" s="247"/>
      <c r="AC16347" s="247"/>
      <c r="AT16347" s="247"/>
    </row>
    <row r="16348">
      <c r="C16348" s="277"/>
      <c r="M16348" s="277"/>
      <c r="O16348" s="247"/>
      <c r="AC16348" s="247"/>
      <c r="AT16348" s="247"/>
    </row>
    <row r="16349">
      <c r="C16349" s="277"/>
      <c r="M16349" s="277"/>
      <c r="O16349" s="247"/>
      <c r="AC16349" s="247"/>
      <c r="AT16349" s="247"/>
    </row>
    <row r="16350">
      <c r="C16350" s="277"/>
      <c r="M16350" s="277"/>
      <c r="O16350" s="247"/>
      <c r="AC16350" s="247"/>
      <c r="AT16350" s="247"/>
    </row>
    <row r="16351">
      <c r="C16351" s="277"/>
      <c r="M16351" s="277"/>
      <c r="O16351" s="247"/>
      <c r="AC16351" s="247"/>
      <c r="AT16351" s="247"/>
    </row>
    <row r="16352">
      <c r="C16352" s="277"/>
      <c r="M16352" s="277"/>
      <c r="O16352" s="247"/>
      <c r="AC16352" s="247"/>
      <c r="AT16352" s="247"/>
    </row>
    <row r="16353">
      <c r="C16353" s="277"/>
      <c r="M16353" s="277"/>
      <c r="O16353" s="247"/>
      <c r="AC16353" s="247"/>
      <c r="AT16353" s="247"/>
    </row>
    <row r="16354">
      <c r="C16354" s="277"/>
      <c r="M16354" s="277"/>
      <c r="O16354" s="247"/>
      <c r="AC16354" s="247"/>
      <c r="AT16354" s="247"/>
    </row>
    <row r="16355">
      <c r="C16355" s="277"/>
      <c r="M16355" s="277"/>
      <c r="O16355" s="247"/>
      <c r="AC16355" s="247"/>
      <c r="AT16355" s="247"/>
    </row>
    <row r="16356">
      <c r="C16356" s="277"/>
      <c r="M16356" s="277"/>
      <c r="O16356" s="247"/>
      <c r="AC16356" s="247"/>
      <c r="AT16356" s="247"/>
    </row>
    <row r="16357">
      <c r="C16357" s="277"/>
      <c r="M16357" s="277"/>
      <c r="O16357" s="247"/>
      <c r="AC16357" s="247"/>
      <c r="AT16357" s="247"/>
    </row>
    <row r="16358">
      <c r="C16358" s="277"/>
      <c r="M16358" s="277"/>
      <c r="O16358" s="247"/>
      <c r="AC16358" s="247"/>
      <c r="AT16358" s="247"/>
    </row>
    <row r="16359">
      <c r="C16359" s="277"/>
      <c r="M16359" s="277"/>
      <c r="O16359" s="247"/>
      <c r="AC16359" s="247"/>
      <c r="AT16359" s="247"/>
    </row>
    <row r="16360">
      <c r="C16360" s="277"/>
      <c r="M16360" s="277"/>
      <c r="O16360" s="247"/>
      <c r="AC16360" s="247"/>
      <c r="AT16360" s="247"/>
    </row>
    <row r="16361">
      <c r="C16361" s="277"/>
      <c r="M16361" s="277"/>
      <c r="O16361" s="247"/>
      <c r="AC16361" s="247"/>
      <c r="AT16361" s="247"/>
    </row>
    <row r="16362">
      <c r="C16362" s="277"/>
      <c r="M16362" s="277"/>
      <c r="O16362" s="247"/>
      <c r="AC16362" s="247"/>
      <c r="AT16362" s="247"/>
    </row>
    <row r="16363">
      <c r="C16363" s="277"/>
      <c r="M16363" s="277"/>
      <c r="O16363" s="247"/>
      <c r="AC16363" s="247"/>
      <c r="AT16363" s="247"/>
    </row>
    <row r="16364">
      <c r="C16364" s="277"/>
      <c r="M16364" s="277"/>
      <c r="O16364" s="247"/>
      <c r="AC16364" s="247"/>
      <c r="AT16364" s="247"/>
    </row>
    <row r="16365">
      <c r="C16365" s="277"/>
      <c r="M16365" s="277"/>
      <c r="O16365" s="247"/>
      <c r="AC16365" s="247"/>
      <c r="AT16365" s="247"/>
    </row>
    <row r="16366">
      <c r="C16366" s="277"/>
      <c r="M16366" s="277"/>
      <c r="O16366" s="247"/>
      <c r="AC16366" s="247"/>
      <c r="AT16366" s="247"/>
    </row>
    <row r="16367">
      <c r="C16367" s="277"/>
      <c r="M16367" s="277"/>
      <c r="O16367" s="247"/>
      <c r="AC16367" s="247"/>
      <c r="AT16367" s="247"/>
    </row>
    <row r="16368">
      <c r="C16368" s="277"/>
      <c r="M16368" s="277"/>
      <c r="O16368" s="247"/>
      <c r="AC16368" s="247"/>
      <c r="AT16368" s="247"/>
    </row>
    <row r="16369">
      <c r="C16369" s="277"/>
      <c r="M16369" s="277"/>
      <c r="O16369" s="247"/>
      <c r="AC16369" s="247"/>
      <c r="AT16369" s="247"/>
    </row>
    <row r="16370">
      <c r="C16370" s="277"/>
      <c r="M16370" s="277"/>
      <c r="O16370" s="247"/>
      <c r="AC16370" s="247"/>
      <c r="AT16370" s="247"/>
    </row>
    <row r="16371">
      <c r="C16371" s="277"/>
      <c r="M16371" s="277"/>
      <c r="O16371" s="247"/>
      <c r="AC16371" s="247"/>
      <c r="AT16371" s="247"/>
    </row>
    <row r="16372">
      <c r="C16372" s="277"/>
      <c r="M16372" s="277"/>
      <c r="O16372" s="247"/>
      <c r="AC16372" s="247"/>
      <c r="AT16372" s="247"/>
    </row>
    <row r="16373">
      <c r="C16373" s="277"/>
      <c r="M16373" s="277"/>
      <c r="O16373" s="247"/>
      <c r="AC16373" s="247"/>
      <c r="AT16373" s="247"/>
    </row>
    <row r="16374">
      <c r="C16374" s="277"/>
      <c r="M16374" s="277"/>
      <c r="O16374" s="247"/>
      <c r="AC16374" s="247"/>
      <c r="AT16374" s="247"/>
    </row>
    <row r="16375">
      <c r="C16375" s="277"/>
      <c r="M16375" s="277"/>
      <c r="O16375" s="247"/>
      <c r="AC16375" s="247"/>
      <c r="AT16375" s="247"/>
    </row>
    <row r="16376">
      <c r="C16376" s="277"/>
      <c r="M16376" s="277"/>
      <c r="O16376" s="247"/>
      <c r="AC16376" s="247"/>
      <c r="AT16376" s="247"/>
    </row>
    <row r="16377">
      <c r="C16377" s="277"/>
      <c r="M16377" s="277"/>
      <c r="O16377" s="247"/>
      <c r="AC16377" s="247"/>
      <c r="AT16377" s="247"/>
    </row>
    <row r="16378">
      <c r="C16378" s="277"/>
      <c r="M16378" s="277"/>
      <c r="O16378" s="247"/>
      <c r="AC16378" s="247"/>
      <c r="AT16378" s="247"/>
    </row>
    <row r="16379">
      <c r="C16379" s="277"/>
      <c r="M16379" s="277"/>
      <c r="O16379" s="247"/>
      <c r="AC16379" s="247"/>
      <c r="AT16379" s="247"/>
    </row>
    <row r="16380">
      <c r="C16380" s="277"/>
      <c r="M16380" s="277"/>
      <c r="O16380" s="247"/>
      <c r="AC16380" s="247"/>
      <c r="AT16380" s="247"/>
    </row>
    <row r="16381">
      <c r="C16381" s="277"/>
      <c r="M16381" s="277"/>
      <c r="O16381" s="247"/>
      <c r="AC16381" s="247"/>
      <c r="AT16381" s="247"/>
    </row>
    <row r="16382">
      <c r="C16382" s="277"/>
      <c r="M16382" s="277"/>
      <c r="O16382" s="247"/>
      <c r="AC16382" s="247"/>
      <c r="AT16382" s="247"/>
    </row>
    <row r="16383">
      <c r="C16383" s="277"/>
      <c r="M16383" s="277"/>
      <c r="O16383" s="247"/>
      <c r="AC16383" s="247"/>
      <c r="AT16383" s="247"/>
    </row>
    <row r="16384">
      <c r="C16384" s="277"/>
      <c r="M16384" s="277"/>
      <c r="O16384" s="247"/>
      <c r="AC16384" s="247"/>
      <c r="AT16384" s="247"/>
    </row>
    <row r="16385">
      <c r="C16385" s="277"/>
      <c r="M16385" s="277"/>
      <c r="O16385" s="247"/>
      <c r="AC16385" s="247"/>
      <c r="AT16385" s="247"/>
    </row>
    <row r="16386">
      <c r="C16386" s="277"/>
      <c r="M16386" s="277"/>
      <c r="O16386" s="247"/>
      <c r="AC16386" s="247"/>
      <c r="AT16386" s="247"/>
    </row>
    <row r="16387">
      <c r="C16387" s="277"/>
      <c r="M16387" s="277"/>
      <c r="O16387" s="247"/>
      <c r="AC16387" s="247"/>
      <c r="AT16387" s="247"/>
    </row>
    <row r="16388">
      <c r="C16388" s="277"/>
      <c r="M16388" s="277"/>
      <c r="O16388" s="247"/>
      <c r="AC16388" s="247"/>
      <c r="AT16388" s="247"/>
    </row>
    <row r="16389">
      <c r="C16389" s="277"/>
      <c r="M16389" s="277"/>
      <c r="O16389" s="247"/>
      <c r="AC16389" s="247"/>
      <c r="AT16389" s="247"/>
    </row>
    <row r="16390">
      <c r="C16390" s="277"/>
      <c r="M16390" s="277"/>
      <c r="O16390" s="247"/>
      <c r="AC16390" s="247"/>
      <c r="AT16390" s="247"/>
    </row>
    <row r="16391">
      <c r="C16391" s="277"/>
      <c r="M16391" s="277"/>
      <c r="O16391" s="247"/>
      <c r="AC16391" s="247"/>
      <c r="AT16391" s="247"/>
    </row>
    <row r="16392">
      <c r="C16392" s="277"/>
      <c r="M16392" s="277"/>
      <c r="O16392" s="247"/>
      <c r="AC16392" s="247"/>
      <c r="AT16392" s="247"/>
    </row>
    <row r="16393">
      <c r="C16393" s="277"/>
      <c r="M16393" s="277"/>
      <c r="O16393" s="247"/>
      <c r="AC16393" s="247"/>
      <c r="AT16393" s="247"/>
    </row>
    <row r="16394">
      <c r="C16394" s="277"/>
      <c r="M16394" s="277"/>
      <c r="O16394" s="247"/>
      <c r="AC16394" s="247"/>
      <c r="AT16394" s="247"/>
    </row>
    <row r="16395">
      <c r="C16395" s="277"/>
      <c r="M16395" s="277"/>
      <c r="O16395" s="247"/>
      <c r="AC16395" s="247"/>
      <c r="AT16395" s="247"/>
    </row>
    <row r="16396">
      <c r="C16396" s="277"/>
      <c r="M16396" s="277"/>
      <c r="O16396" s="247"/>
      <c r="AC16396" s="247"/>
      <c r="AT16396" s="247"/>
    </row>
    <row r="16397">
      <c r="C16397" s="277"/>
      <c r="M16397" s="277"/>
      <c r="O16397" s="247"/>
      <c r="AC16397" s="247"/>
      <c r="AT16397" s="247"/>
    </row>
    <row r="16398">
      <c r="C16398" s="277"/>
      <c r="M16398" s="277"/>
      <c r="O16398" s="247"/>
      <c r="AC16398" s="247"/>
      <c r="AT16398" s="247"/>
    </row>
    <row r="16399">
      <c r="C16399" s="277"/>
      <c r="M16399" s="277"/>
      <c r="O16399" s="247"/>
      <c r="AC16399" s="247"/>
      <c r="AT16399" s="247"/>
    </row>
    <row r="16400">
      <c r="C16400" s="277"/>
      <c r="M16400" s="277"/>
      <c r="O16400" s="247"/>
      <c r="AC16400" s="247"/>
      <c r="AT16400" s="247"/>
    </row>
    <row r="16401">
      <c r="C16401" s="277"/>
      <c r="M16401" s="277"/>
      <c r="O16401" s="247"/>
      <c r="AC16401" s="247"/>
      <c r="AT16401" s="247"/>
    </row>
    <row r="16402">
      <c r="C16402" s="277"/>
      <c r="M16402" s="277"/>
      <c r="O16402" s="247"/>
      <c r="AC16402" s="247"/>
      <c r="AT16402" s="247"/>
    </row>
    <row r="16403">
      <c r="C16403" s="277"/>
      <c r="M16403" s="277"/>
      <c r="O16403" s="247"/>
      <c r="AC16403" s="247"/>
      <c r="AT16403" s="247"/>
    </row>
    <row r="16404">
      <c r="C16404" s="277"/>
      <c r="M16404" s="277"/>
      <c r="O16404" s="247"/>
      <c r="AC16404" s="247"/>
      <c r="AT16404" s="247"/>
    </row>
    <row r="16405">
      <c r="C16405" s="277"/>
      <c r="M16405" s="277"/>
      <c r="O16405" s="247"/>
      <c r="AC16405" s="247"/>
      <c r="AT16405" s="247"/>
    </row>
    <row r="16406">
      <c r="C16406" s="277"/>
      <c r="M16406" s="277"/>
      <c r="O16406" s="247"/>
      <c r="AC16406" s="247"/>
      <c r="AT16406" s="247"/>
    </row>
    <row r="16407">
      <c r="C16407" s="277"/>
      <c r="M16407" s="277"/>
      <c r="O16407" s="247"/>
      <c r="AC16407" s="247"/>
      <c r="AT16407" s="247"/>
    </row>
    <row r="16408">
      <c r="C16408" s="277"/>
      <c r="M16408" s="277"/>
      <c r="O16408" s="247"/>
      <c r="AC16408" s="247"/>
      <c r="AT16408" s="247"/>
    </row>
    <row r="16409">
      <c r="C16409" s="277"/>
      <c r="M16409" s="277"/>
      <c r="O16409" s="247"/>
      <c r="AC16409" s="247"/>
      <c r="AT16409" s="247"/>
    </row>
    <row r="16410">
      <c r="C16410" s="277"/>
      <c r="M16410" s="277"/>
      <c r="O16410" s="247"/>
      <c r="AC16410" s="247"/>
      <c r="AT16410" s="247"/>
    </row>
    <row r="16411">
      <c r="C16411" s="277"/>
      <c r="M16411" s="277"/>
      <c r="O16411" s="247"/>
      <c r="AC16411" s="247"/>
      <c r="AT16411" s="247"/>
    </row>
    <row r="16412">
      <c r="C16412" s="277"/>
      <c r="M16412" s="277"/>
      <c r="O16412" s="247"/>
      <c r="AC16412" s="247"/>
      <c r="AT16412" s="247"/>
    </row>
    <row r="16413">
      <c r="C16413" s="277"/>
      <c r="M16413" s="277"/>
      <c r="O16413" s="247"/>
      <c r="AC16413" s="247"/>
      <c r="AT16413" s="247"/>
    </row>
    <row r="16414">
      <c r="C16414" s="277"/>
      <c r="M16414" s="277"/>
      <c r="O16414" s="247"/>
      <c r="AC16414" s="247"/>
      <c r="AT16414" s="247"/>
    </row>
    <row r="16415">
      <c r="C16415" s="277"/>
      <c r="M16415" s="277"/>
      <c r="O16415" s="247"/>
      <c r="AC16415" s="247"/>
      <c r="AT16415" s="247"/>
    </row>
    <row r="16416">
      <c r="C16416" s="277"/>
      <c r="M16416" s="277"/>
      <c r="O16416" s="247"/>
      <c r="AC16416" s="247"/>
      <c r="AT16416" s="247"/>
    </row>
    <row r="16417">
      <c r="C16417" s="277"/>
      <c r="M16417" s="277"/>
      <c r="O16417" s="247"/>
      <c r="AC16417" s="247"/>
      <c r="AT16417" s="247"/>
    </row>
    <row r="16418">
      <c r="C16418" s="277"/>
      <c r="M16418" s="277"/>
      <c r="O16418" s="247"/>
      <c r="AC16418" s="247"/>
      <c r="AT16418" s="247"/>
    </row>
    <row r="16419">
      <c r="C16419" s="277"/>
      <c r="M16419" s="277"/>
      <c r="O16419" s="247"/>
      <c r="AC16419" s="247"/>
      <c r="AT16419" s="247"/>
    </row>
    <row r="16420">
      <c r="C16420" s="278"/>
      <c r="M16420" s="277"/>
      <c r="O16420" s="247"/>
      <c r="AC16420" s="247"/>
      <c r="AT16420" s="247"/>
    </row>
    <row r="16421">
      <c r="C16421" s="277"/>
      <c r="M16421" s="277"/>
      <c r="O16421" s="247"/>
      <c r="AC16421" s="247"/>
      <c r="AT16421" s="247"/>
    </row>
    <row r="16422">
      <c r="C16422" s="277"/>
      <c r="M16422" s="277"/>
      <c r="O16422" s="247"/>
      <c r="AC16422" s="247"/>
      <c r="AT16422" s="247"/>
    </row>
    <row r="16423">
      <c r="C16423" s="277"/>
      <c r="M16423" s="277"/>
      <c r="O16423" s="247"/>
      <c r="AC16423" s="247"/>
      <c r="AT16423" s="247"/>
    </row>
    <row r="16424">
      <c r="C16424" s="277"/>
      <c r="M16424" s="277"/>
      <c r="O16424" s="247"/>
      <c r="AC16424" s="247"/>
      <c r="AT16424" s="247"/>
    </row>
    <row r="16425">
      <c r="C16425" s="277"/>
      <c r="M16425" s="277"/>
      <c r="O16425" s="247"/>
      <c r="AC16425" s="247"/>
      <c r="AT16425" s="247"/>
    </row>
    <row r="16426">
      <c r="C16426" s="277"/>
      <c r="M16426" s="277"/>
      <c r="O16426" s="247"/>
      <c r="AC16426" s="247"/>
      <c r="AT16426" s="247"/>
    </row>
    <row r="16427">
      <c r="C16427" s="277"/>
      <c r="M16427" s="277"/>
      <c r="O16427" s="247"/>
      <c r="AC16427" s="247"/>
      <c r="AT16427" s="247"/>
    </row>
    <row r="16428">
      <c r="C16428" s="277"/>
      <c r="M16428" s="277"/>
      <c r="O16428" s="247"/>
      <c r="AC16428" s="247"/>
      <c r="AT16428" s="247"/>
    </row>
    <row r="16429">
      <c r="C16429" s="277"/>
      <c r="M16429" s="277"/>
      <c r="O16429" s="247"/>
      <c r="AC16429" s="247"/>
      <c r="AT16429" s="247"/>
    </row>
    <row r="16430">
      <c r="C16430" s="277"/>
      <c r="M16430" s="277"/>
      <c r="O16430" s="247"/>
      <c r="AC16430" s="247"/>
      <c r="AT16430" s="247"/>
    </row>
    <row r="16431">
      <c r="C16431" s="277"/>
      <c r="M16431" s="277"/>
      <c r="O16431" s="247"/>
      <c r="AC16431" s="247"/>
      <c r="AT16431" s="247"/>
    </row>
    <row r="16432">
      <c r="C16432" s="277"/>
      <c r="M16432" s="277"/>
      <c r="O16432" s="247"/>
      <c r="AC16432" s="247"/>
      <c r="AT16432" s="247"/>
    </row>
    <row r="16433">
      <c r="C16433" s="277"/>
      <c r="M16433" s="277"/>
      <c r="O16433" s="247"/>
      <c r="AC16433" s="247"/>
      <c r="AT16433" s="247"/>
    </row>
    <row r="16434">
      <c r="C16434" s="277"/>
      <c r="M16434" s="277"/>
      <c r="O16434" s="247"/>
      <c r="AC16434" s="247"/>
      <c r="AT16434" s="247"/>
    </row>
    <row r="16435">
      <c r="C16435" s="277"/>
      <c r="M16435" s="277"/>
      <c r="O16435" s="247"/>
      <c r="AC16435" s="247"/>
      <c r="AT16435" s="247"/>
    </row>
    <row r="16436">
      <c r="C16436" s="277"/>
      <c r="M16436" s="277"/>
      <c r="O16436" s="247"/>
      <c r="AC16436" s="247"/>
      <c r="AT16436" s="247"/>
    </row>
    <row r="16437">
      <c r="C16437" s="277"/>
      <c r="M16437" s="277"/>
      <c r="O16437" s="247"/>
      <c r="AC16437" s="247"/>
      <c r="AT16437" s="247"/>
    </row>
    <row r="16438">
      <c r="C16438" s="277"/>
      <c r="M16438" s="277"/>
      <c r="O16438" s="247"/>
      <c r="AC16438" s="247"/>
      <c r="AT16438" s="247"/>
    </row>
    <row r="16439">
      <c r="C16439" s="277"/>
      <c r="M16439" s="277"/>
      <c r="O16439" s="247"/>
      <c r="AC16439" s="247"/>
      <c r="AT16439" s="247"/>
    </row>
    <row r="16440">
      <c r="C16440" s="277"/>
      <c r="M16440" s="277"/>
      <c r="O16440" s="247"/>
      <c r="AC16440" s="247"/>
      <c r="AT16440" s="247"/>
    </row>
    <row r="16441">
      <c r="C16441" s="277"/>
      <c r="M16441" s="277"/>
      <c r="O16441" s="247"/>
      <c r="AC16441" s="247"/>
      <c r="AT16441" s="247"/>
    </row>
    <row r="16442">
      <c r="C16442" s="277"/>
      <c r="M16442" s="277"/>
      <c r="O16442" s="247"/>
      <c r="AC16442" s="247"/>
      <c r="AT16442" s="247"/>
    </row>
    <row r="16443">
      <c r="C16443" s="277"/>
      <c r="M16443" s="277"/>
      <c r="O16443" s="247"/>
      <c r="AC16443" s="247"/>
      <c r="AT16443" s="247"/>
    </row>
    <row r="16444">
      <c r="C16444" s="277"/>
      <c r="M16444" s="277"/>
      <c r="O16444" s="247"/>
      <c r="AC16444" s="247"/>
      <c r="AT16444" s="247"/>
    </row>
    <row r="16445">
      <c r="C16445" s="277"/>
      <c r="M16445" s="277"/>
      <c r="O16445" s="247"/>
      <c r="AC16445" s="247"/>
      <c r="AT16445" s="247"/>
    </row>
    <row r="16446">
      <c r="C16446" s="277"/>
      <c r="M16446" s="277"/>
      <c r="O16446" s="247"/>
      <c r="AC16446" s="247"/>
      <c r="AT16446" s="247"/>
    </row>
    <row r="16447">
      <c r="C16447" s="277"/>
      <c r="M16447" s="277"/>
      <c r="O16447" s="247"/>
      <c r="AC16447" s="247"/>
      <c r="AT16447" s="247"/>
    </row>
    <row r="16448">
      <c r="C16448" s="277"/>
      <c r="M16448" s="277"/>
      <c r="O16448" s="247"/>
      <c r="AC16448" s="247"/>
      <c r="AT16448" s="247"/>
    </row>
    <row r="16449">
      <c r="C16449" s="277"/>
      <c r="M16449" s="277"/>
      <c r="O16449" s="247"/>
      <c r="AC16449" s="247"/>
      <c r="AT16449" s="247"/>
    </row>
    <row r="16450">
      <c r="C16450" s="277"/>
      <c r="M16450" s="277"/>
      <c r="O16450" s="247"/>
      <c r="AC16450" s="247"/>
      <c r="AT16450" s="247"/>
    </row>
    <row r="16451">
      <c r="C16451" s="277"/>
      <c r="M16451" s="277"/>
      <c r="O16451" s="247"/>
      <c r="AC16451" s="247"/>
      <c r="AT16451" s="247"/>
    </row>
    <row r="16452">
      <c r="C16452" s="277"/>
      <c r="M16452" s="277"/>
      <c r="O16452" s="247"/>
      <c r="AC16452" s="247"/>
      <c r="AT16452" s="247"/>
    </row>
    <row r="16453">
      <c r="C16453" s="277"/>
      <c r="M16453" s="277"/>
      <c r="O16453" s="247"/>
      <c r="AC16453" s="247"/>
      <c r="AT16453" s="247"/>
    </row>
    <row r="16454">
      <c r="C16454" s="277"/>
      <c r="M16454" s="277"/>
      <c r="O16454" s="247"/>
      <c r="AC16454" s="247"/>
      <c r="AT16454" s="247"/>
    </row>
    <row r="16455">
      <c r="C16455" s="277"/>
      <c r="M16455" s="277"/>
      <c r="O16455" s="247"/>
      <c r="AC16455" s="247"/>
      <c r="AT16455" s="247"/>
    </row>
    <row r="16456">
      <c r="C16456" s="277"/>
      <c r="M16456" s="277"/>
      <c r="O16456" s="247"/>
      <c r="AC16456" s="247"/>
      <c r="AT16456" s="247"/>
    </row>
    <row r="16457">
      <c r="C16457" s="277"/>
      <c r="M16457" s="277"/>
      <c r="O16457" s="247"/>
      <c r="AC16457" s="247"/>
      <c r="AT16457" s="247"/>
    </row>
    <row r="16458">
      <c r="C16458" s="277"/>
      <c r="M16458" s="277"/>
      <c r="O16458" s="247"/>
      <c r="AC16458" s="247"/>
      <c r="AT16458" s="247"/>
    </row>
    <row r="16459">
      <c r="C16459" s="277"/>
      <c r="M16459" s="277"/>
      <c r="O16459" s="247"/>
      <c r="AC16459" s="247"/>
      <c r="AT16459" s="247"/>
    </row>
    <row r="16460">
      <c r="C16460" s="277"/>
      <c r="M16460" s="277"/>
      <c r="O16460" s="247"/>
      <c r="AC16460" s="247"/>
      <c r="AT16460" s="247"/>
    </row>
    <row r="16461">
      <c r="C16461" s="277"/>
      <c r="M16461" s="277"/>
      <c r="O16461" s="247"/>
      <c r="AC16461" s="247"/>
      <c r="AT16461" s="247"/>
    </row>
    <row r="16462">
      <c r="C16462" s="277"/>
      <c r="M16462" s="277"/>
      <c r="O16462" s="247"/>
      <c r="AC16462" s="247"/>
      <c r="AT16462" s="247"/>
    </row>
    <row r="16463">
      <c r="C16463" s="277"/>
      <c r="M16463" s="277"/>
      <c r="O16463" s="247"/>
      <c r="AC16463" s="247"/>
      <c r="AT16463" s="247"/>
    </row>
    <row r="16464">
      <c r="C16464" s="277"/>
      <c r="M16464" s="277"/>
      <c r="O16464" s="247"/>
      <c r="AC16464" s="247"/>
      <c r="AT16464" s="247"/>
    </row>
    <row r="16465">
      <c r="C16465" s="277"/>
      <c r="M16465" s="277"/>
      <c r="O16465" s="247"/>
      <c r="AC16465" s="247"/>
      <c r="AT16465" s="247"/>
    </row>
    <row r="16466">
      <c r="C16466" s="277"/>
      <c r="M16466" s="277"/>
      <c r="O16466" s="247"/>
      <c r="AC16466" s="247"/>
      <c r="AT16466" s="247"/>
    </row>
    <row r="16467">
      <c r="C16467" s="277"/>
      <c r="M16467" s="277"/>
      <c r="O16467" s="247"/>
      <c r="AC16467" s="247"/>
      <c r="AT16467" s="247"/>
    </row>
    <row r="16468">
      <c r="C16468" s="277"/>
      <c r="M16468" s="277"/>
      <c r="O16468" s="247"/>
      <c r="AC16468" s="247"/>
      <c r="AT16468" s="247"/>
    </row>
    <row r="16469">
      <c r="C16469" s="277"/>
      <c r="M16469" s="277"/>
      <c r="O16469" s="247"/>
      <c r="AC16469" s="247"/>
      <c r="AT16469" s="247"/>
    </row>
    <row r="16470">
      <c r="C16470" s="277"/>
      <c r="M16470" s="277"/>
      <c r="O16470" s="247"/>
      <c r="AC16470" s="247"/>
      <c r="AT16470" s="247"/>
    </row>
    <row r="16471">
      <c r="C16471" s="277"/>
      <c r="M16471" s="277"/>
      <c r="O16471" s="247"/>
      <c r="AC16471" s="247"/>
      <c r="AT16471" s="247"/>
    </row>
    <row r="16472">
      <c r="C16472" s="277"/>
      <c r="M16472" s="277"/>
      <c r="O16472" s="247"/>
      <c r="AC16472" s="247"/>
      <c r="AT16472" s="247"/>
    </row>
    <row r="16473">
      <c r="C16473" s="277"/>
      <c r="M16473" s="277"/>
      <c r="O16473" s="247"/>
      <c r="AC16473" s="247"/>
      <c r="AT16473" s="247"/>
    </row>
    <row r="16474">
      <c r="C16474" s="277"/>
      <c r="M16474" s="277"/>
      <c r="O16474" s="247"/>
      <c r="AC16474" s="247"/>
      <c r="AT16474" s="247"/>
    </row>
    <row r="16475">
      <c r="C16475" s="277"/>
      <c r="M16475" s="277"/>
      <c r="O16475" s="247"/>
      <c r="AC16475" s="247"/>
      <c r="AT16475" s="247"/>
    </row>
    <row r="16476">
      <c r="C16476" s="277"/>
      <c r="M16476" s="277"/>
      <c r="O16476" s="247"/>
      <c r="AC16476" s="247"/>
      <c r="AT16476" s="247"/>
    </row>
    <row r="16477">
      <c r="C16477" s="277"/>
      <c r="M16477" s="277"/>
      <c r="O16477" s="247"/>
      <c r="AC16477" s="247"/>
      <c r="AT16477" s="247"/>
    </row>
    <row r="16478">
      <c r="C16478" s="277"/>
      <c r="M16478" s="277"/>
      <c r="O16478" s="247"/>
      <c r="AC16478" s="247"/>
      <c r="AT16478" s="247"/>
    </row>
    <row r="16479">
      <c r="C16479" s="277"/>
      <c r="M16479" s="277"/>
      <c r="O16479" s="247"/>
      <c r="AC16479" s="247"/>
      <c r="AT16479" s="247"/>
    </row>
    <row r="16480">
      <c r="C16480" s="277"/>
      <c r="M16480" s="277"/>
      <c r="O16480" s="247"/>
      <c r="AC16480" s="247"/>
      <c r="AT16480" s="247"/>
    </row>
    <row r="16481">
      <c r="C16481" s="277"/>
      <c r="M16481" s="277"/>
      <c r="O16481" s="247"/>
      <c r="AC16481" s="247"/>
      <c r="AT16481" s="247"/>
    </row>
    <row r="16482">
      <c r="C16482" s="277"/>
      <c r="M16482" s="277"/>
      <c r="O16482" s="247"/>
      <c r="AC16482" s="247"/>
      <c r="AT16482" s="247"/>
    </row>
    <row r="16483">
      <c r="C16483" s="277"/>
      <c r="M16483" s="277"/>
      <c r="O16483" s="247"/>
      <c r="AC16483" s="247"/>
      <c r="AT16483" s="247"/>
    </row>
    <row r="16484">
      <c r="C16484" s="278"/>
      <c r="M16484" s="277"/>
      <c r="O16484" s="247"/>
      <c r="AC16484" s="247"/>
      <c r="AT16484" s="247"/>
    </row>
    <row r="16485">
      <c r="C16485" s="277"/>
      <c r="M16485" s="277"/>
      <c r="O16485" s="247"/>
      <c r="AC16485" s="247"/>
      <c r="AT16485" s="247"/>
    </row>
    <row r="16486">
      <c r="C16486" s="277"/>
      <c r="M16486" s="277"/>
      <c r="O16486" s="247"/>
      <c r="AC16486" s="247"/>
      <c r="AT16486" s="247"/>
    </row>
    <row r="16487">
      <c r="C16487" s="277"/>
      <c r="M16487" s="277"/>
      <c r="O16487" s="247"/>
      <c r="AC16487" s="247"/>
      <c r="AT16487" s="247"/>
    </row>
    <row r="16488">
      <c r="C16488" s="277"/>
      <c r="M16488" s="277"/>
      <c r="O16488" s="247"/>
      <c r="AC16488" s="247"/>
      <c r="AT16488" s="247"/>
    </row>
    <row r="16489">
      <c r="C16489" s="277"/>
      <c r="M16489" s="277"/>
      <c r="O16489" s="247"/>
      <c r="AC16489" s="247"/>
      <c r="AT16489" s="247"/>
    </row>
    <row r="16490">
      <c r="C16490" s="277"/>
      <c r="M16490" s="277"/>
      <c r="O16490" s="247"/>
      <c r="AC16490" s="247"/>
      <c r="AT16490" s="247"/>
    </row>
    <row r="16491">
      <c r="C16491" s="277"/>
      <c r="M16491" s="277"/>
      <c r="O16491" s="247"/>
      <c r="AC16491" s="247"/>
      <c r="AT16491" s="247"/>
    </row>
    <row r="16492">
      <c r="C16492" s="277"/>
      <c r="M16492" s="277"/>
      <c r="O16492" s="247"/>
      <c r="AC16492" s="247"/>
      <c r="AT16492" s="247"/>
    </row>
    <row r="16493">
      <c r="C16493" s="277"/>
      <c r="M16493" s="277"/>
      <c r="O16493" s="247"/>
      <c r="AC16493" s="247"/>
      <c r="AT16493" s="247"/>
    </row>
    <row r="16494">
      <c r="C16494" s="277"/>
      <c r="M16494" s="277"/>
      <c r="O16494" s="247"/>
      <c r="AC16494" s="247"/>
      <c r="AT16494" s="247"/>
    </row>
    <row r="16495">
      <c r="C16495" s="277"/>
      <c r="M16495" s="277"/>
      <c r="O16495" s="247"/>
      <c r="AC16495" s="247"/>
      <c r="AT16495" s="247"/>
    </row>
    <row r="16496">
      <c r="C16496" s="277"/>
      <c r="M16496" s="277"/>
      <c r="O16496" s="247"/>
      <c r="AC16496" s="247"/>
      <c r="AT16496" s="247"/>
    </row>
    <row r="16497">
      <c r="C16497" s="277"/>
      <c r="M16497" s="277"/>
      <c r="O16497" s="247"/>
      <c r="AC16497" s="247"/>
      <c r="AT16497" s="247"/>
    </row>
    <row r="16498">
      <c r="C16498" s="277"/>
      <c r="M16498" s="277"/>
      <c r="O16498" s="247"/>
      <c r="AC16498" s="247"/>
      <c r="AT16498" s="247"/>
    </row>
    <row r="16499">
      <c r="C16499" s="277"/>
      <c r="M16499" s="277"/>
      <c r="O16499" s="247"/>
      <c r="AC16499" s="247"/>
      <c r="AT16499" s="247"/>
    </row>
    <row r="16500">
      <c r="C16500" s="277"/>
      <c r="M16500" s="277"/>
      <c r="O16500" s="247"/>
      <c r="AC16500" s="247"/>
      <c r="AT16500" s="247"/>
    </row>
    <row r="16501">
      <c r="C16501" s="277"/>
      <c r="M16501" s="277"/>
      <c r="O16501" s="247"/>
      <c r="AC16501" s="247"/>
      <c r="AT16501" s="247"/>
    </row>
    <row r="16502">
      <c r="C16502" s="277"/>
      <c r="M16502" s="277"/>
      <c r="O16502" s="247"/>
      <c r="AC16502" s="247"/>
      <c r="AT16502" s="247"/>
    </row>
    <row r="16503">
      <c r="C16503" s="277"/>
      <c r="M16503" s="277"/>
      <c r="O16503" s="247"/>
      <c r="AC16503" s="247"/>
      <c r="AT16503" s="247"/>
    </row>
    <row r="16504">
      <c r="C16504" s="277"/>
      <c r="M16504" s="277"/>
      <c r="O16504" s="247"/>
      <c r="AC16504" s="247"/>
      <c r="AT16504" s="247"/>
    </row>
    <row r="16505">
      <c r="C16505" s="277"/>
      <c r="M16505" s="277"/>
      <c r="O16505" s="247"/>
      <c r="AC16505" s="247"/>
      <c r="AT16505" s="247"/>
    </row>
    <row r="16506">
      <c r="C16506" s="277"/>
      <c r="M16506" s="277"/>
      <c r="O16506" s="247"/>
      <c r="AC16506" s="247"/>
      <c r="AT16506" s="247"/>
    </row>
    <row r="16507">
      <c r="C16507" s="277"/>
      <c r="M16507" s="277"/>
      <c r="O16507" s="247"/>
      <c r="AC16507" s="247"/>
      <c r="AT16507" s="247"/>
    </row>
    <row r="16508">
      <c r="C16508" s="277"/>
      <c r="M16508" s="277"/>
      <c r="O16508" s="247"/>
      <c r="AC16508" s="247"/>
      <c r="AT16508" s="247"/>
    </row>
    <row r="16509">
      <c r="C16509" s="277"/>
      <c r="M16509" s="277"/>
      <c r="O16509" s="247"/>
      <c r="AC16509" s="247"/>
      <c r="AT16509" s="247"/>
    </row>
    <row r="16510">
      <c r="C16510" s="277"/>
      <c r="M16510" s="277"/>
      <c r="O16510" s="247"/>
      <c r="AC16510" s="247"/>
      <c r="AT16510" s="247"/>
    </row>
    <row r="16511">
      <c r="C16511" s="277"/>
      <c r="M16511" s="277"/>
      <c r="O16511" s="247"/>
      <c r="AC16511" s="247"/>
      <c r="AT16511" s="247"/>
    </row>
    <row r="16512">
      <c r="C16512" s="277"/>
      <c r="M16512" s="277"/>
      <c r="O16512" s="247"/>
      <c r="AC16512" s="247"/>
      <c r="AT16512" s="247"/>
    </row>
    <row r="16513">
      <c r="C16513" s="277"/>
      <c r="M16513" s="277"/>
      <c r="O16513" s="247"/>
      <c r="AC16513" s="247"/>
      <c r="AT16513" s="247"/>
    </row>
    <row r="16514">
      <c r="C16514" s="277"/>
      <c r="M16514" s="277"/>
      <c r="O16514" s="247"/>
      <c r="AC16514" s="247"/>
      <c r="AT16514" s="247"/>
    </row>
    <row r="16515">
      <c r="C16515" s="277"/>
      <c r="M16515" s="277"/>
      <c r="O16515" s="247"/>
      <c r="AC16515" s="247"/>
      <c r="AT16515" s="247"/>
    </row>
    <row r="16516">
      <c r="C16516" s="277"/>
      <c r="M16516" s="277"/>
      <c r="O16516" s="247"/>
      <c r="AC16516" s="247"/>
      <c r="AT16516" s="247"/>
    </row>
    <row r="16517">
      <c r="C16517" s="277"/>
      <c r="M16517" s="277"/>
      <c r="O16517" s="247"/>
      <c r="AC16517" s="247"/>
      <c r="AT16517" s="247"/>
    </row>
    <row r="16518">
      <c r="C16518" s="277"/>
      <c r="M16518" s="277"/>
      <c r="O16518" s="247"/>
      <c r="AC16518" s="247"/>
      <c r="AT16518" s="247"/>
    </row>
    <row r="16519">
      <c r="C16519" s="277"/>
      <c r="M16519" s="277"/>
      <c r="O16519" s="247"/>
      <c r="AC16519" s="247"/>
      <c r="AT16519" s="247"/>
    </row>
    <row r="16520">
      <c r="C16520" s="277"/>
      <c r="M16520" s="277"/>
      <c r="O16520" s="247"/>
      <c r="AC16520" s="247"/>
      <c r="AT16520" s="247"/>
    </row>
    <row r="16521">
      <c r="C16521" s="277"/>
      <c r="M16521" s="277"/>
      <c r="O16521" s="247"/>
      <c r="AC16521" s="247"/>
      <c r="AT16521" s="247"/>
    </row>
    <row r="16522">
      <c r="C16522" s="277"/>
      <c r="M16522" s="277"/>
      <c r="O16522" s="247"/>
      <c r="AC16522" s="247"/>
      <c r="AT16522" s="247"/>
    </row>
    <row r="16523">
      <c r="C16523" s="278"/>
      <c r="M16523" s="277"/>
      <c r="O16523" s="247"/>
      <c r="AC16523" s="247"/>
      <c r="AT16523" s="247"/>
    </row>
    <row r="16524">
      <c r="C16524" s="278"/>
      <c r="M16524" s="277"/>
      <c r="O16524" s="247"/>
      <c r="AC16524" s="247"/>
      <c r="AT16524" s="247"/>
    </row>
    <row r="16525">
      <c r="C16525" s="278"/>
      <c r="M16525" s="277"/>
      <c r="O16525" s="247"/>
      <c r="AC16525" s="247"/>
      <c r="AT16525" s="247"/>
    </row>
    <row r="16526">
      <c r="C16526" s="278"/>
      <c r="M16526" s="277"/>
      <c r="O16526" s="247"/>
      <c r="AC16526" s="247"/>
      <c r="AT16526" s="247"/>
    </row>
    <row r="16527">
      <c r="C16527" s="278"/>
      <c r="M16527" s="277"/>
      <c r="O16527" s="247"/>
      <c r="AC16527" s="247"/>
      <c r="AT16527" s="247"/>
    </row>
    <row r="16528">
      <c r="C16528" s="278"/>
      <c r="M16528" s="277"/>
      <c r="O16528" s="247"/>
      <c r="AC16528" s="247"/>
      <c r="AT16528" s="247"/>
    </row>
    <row r="16529">
      <c r="C16529" s="278"/>
      <c r="M16529" s="277"/>
      <c r="O16529" s="247"/>
      <c r="AC16529" s="247"/>
      <c r="AT16529" s="247"/>
    </row>
    <row r="16530">
      <c r="C16530" s="278"/>
      <c r="M16530" s="277"/>
      <c r="O16530" s="247"/>
      <c r="AC16530" s="247"/>
      <c r="AT16530" s="247"/>
    </row>
    <row r="16531">
      <c r="C16531" s="278"/>
      <c r="M16531" s="277"/>
      <c r="O16531" s="247"/>
      <c r="AC16531" s="247"/>
      <c r="AT16531" s="247"/>
    </row>
    <row r="16532">
      <c r="C16532" s="278"/>
      <c r="M16532" s="277"/>
      <c r="O16532" s="247"/>
      <c r="AC16532" s="247"/>
      <c r="AT16532" s="247"/>
    </row>
    <row r="16533">
      <c r="C16533" s="278"/>
      <c r="M16533" s="277"/>
      <c r="O16533" s="247"/>
      <c r="AC16533" s="247"/>
      <c r="AT16533" s="247"/>
    </row>
    <row r="16534">
      <c r="C16534" s="278"/>
      <c r="M16534" s="277"/>
      <c r="O16534" s="247"/>
      <c r="AC16534" s="247"/>
      <c r="AT16534" s="247"/>
    </row>
    <row r="16535">
      <c r="C16535" s="278"/>
      <c r="M16535" s="277"/>
      <c r="O16535" s="247"/>
      <c r="AC16535" s="247"/>
      <c r="AT16535" s="247"/>
    </row>
    <row r="16536">
      <c r="C16536" s="278"/>
      <c r="M16536" s="277"/>
      <c r="O16536" s="247"/>
      <c r="AC16536" s="247"/>
      <c r="AT16536" s="247"/>
    </row>
    <row r="16537">
      <c r="C16537" s="278"/>
      <c r="M16537" s="277"/>
      <c r="O16537" s="247"/>
      <c r="AC16537" s="247"/>
      <c r="AT16537" s="247"/>
    </row>
    <row r="16538">
      <c r="C16538" s="278"/>
      <c r="M16538" s="277"/>
      <c r="O16538" s="247"/>
      <c r="AC16538" s="247"/>
      <c r="AT16538" s="247"/>
    </row>
    <row r="16539">
      <c r="C16539" s="278"/>
      <c r="M16539" s="277"/>
      <c r="O16539" s="247"/>
      <c r="AC16539" s="247"/>
      <c r="AT16539" s="247"/>
    </row>
    <row r="16540">
      <c r="C16540" s="278"/>
      <c r="M16540" s="277"/>
      <c r="O16540" s="247"/>
      <c r="AC16540" s="247"/>
      <c r="AT16540" s="247"/>
    </row>
    <row r="16541">
      <c r="C16541" s="278"/>
      <c r="M16541" s="277"/>
      <c r="O16541" s="247"/>
      <c r="AC16541" s="247"/>
      <c r="AT16541" s="247"/>
    </row>
    <row r="16542">
      <c r="C16542" s="278"/>
      <c r="M16542" s="277"/>
      <c r="O16542" s="247"/>
      <c r="AC16542" s="247"/>
      <c r="AT16542" s="247"/>
    </row>
    <row r="16543">
      <c r="C16543" s="278"/>
      <c r="M16543" s="277"/>
      <c r="O16543" s="247"/>
      <c r="AC16543" s="247"/>
      <c r="AT16543" s="247"/>
    </row>
    <row r="16544">
      <c r="C16544" s="278"/>
      <c r="M16544" s="277"/>
      <c r="O16544" s="247"/>
      <c r="AC16544" s="247"/>
      <c r="AT16544" s="247"/>
    </row>
    <row r="16545">
      <c r="C16545" s="278"/>
      <c r="M16545" s="277"/>
      <c r="O16545" s="247"/>
      <c r="AC16545" s="247"/>
      <c r="AT16545" s="247"/>
    </row>
    <row r="16546">
      <c r="C16546" s="278"/>
      <c r="M16546" s="277"/>
      <c r="O16546" s="247"/>
      <c r="AC16546" s="247"/>
      <c r="AT16546" s="247"/>
    </row>
    <row r="16547">
      <c r="C16547" s="278"/>
      <c r="M16547" s="277"/>
      <c r="O16547" s="247"/>
      <c r="AC16547" s="247"/>
      <c r="AT16547" s="247"/>
    </row>
    <row r="16548">
      <c r="C16548" s="278"/>
      <c r="M16548" s="277"/>
      <c r="O16548" s="247"/>
      <c r="AC16548" s="247"/>
      <c r="AT16548" s="247"/>
    </row>
    <row r="16549">
      <c r="C16549" s="278"/>
      <c r="M16549" s="277"/>
      <c r="O16549" s="247"/>
      <c r="AC16549" s="247"/>
      <c r="AT16549" s="247"/>
    </row>
    <row r="16550">
      <c r="C16550" s="278"/>
      <c r="M16550" s="277"/>
      <c r="O16550" s="247"/>
      <c r="AC16550" s="247"/>
      <c r="AT16550" s="247"/>
    </row>
    <row r="16551">
      <c r="C16551" s="278"/>
      <c r="M16551" s="277"/>
      <c r="O16551" s="247"/>
      <c r="AC16551" s="247"/>
      <c r="AT16551" s="247"/>
    </row>
    <row r="16552">
      <c r="C16552" s="278"/>
      <c r="M16552" s="277"/>
      <c r="O16552" s="247"/>
      <c r="AC16552" s="247"/>
      <c r="AT16552" s="247"/>
    </row>
    <row r="16553">
      <c r="C16553" s="278"/>
      <c r="M16553" s="277"/>
      <c r="O16553" s="247"/>
      <c r="AC16553" s="247"/>
      <c r="AT16553" s="247"/>
    </row>
    <row r="16554">
      <c r="C16554" s="278"/>
      <c r="M16554" s="277"/>
      <c r="O16554" s="247"/>
      <c r="AC16554" s="247"/>
      <c r="AT16554" s="247"/>
    </row>
    <row r="16555">
      <c r="C16555" s="278"/>
      <c r="M16555" s="277"/>
      <c r="O16555" s="247"/>
      <c r="AC16555" s="247"/>
      <c r="AT16555" s="247"/>
    </row>
    <row r="16556">
      <c r="C16556" s="278"/>
      <c r="M16556" s="277"/>
      <c r="O16556" s="247"/>
      <c r="AC16556" s="247"/>
      <c r="AT16556" s="247"/>
    </row>
    <row r="16557">
      <c r="C16557" s="278"/>
      <c r="M16557" s="277"/>
      <c r="O16557" s="247"/>
      <c r="AC16557" s="247"/>
      <c r="AT16557" s="247"/>
    </row>
    <row r="16558">
      <c r="C16558" s="278"/>
      <c r="M16558" s="277"/>
      <c r="O16558" s="247"/>
      <c r="AC16558" s="247"/>
      <c r="AT16558" s="247"/>
    </row>
    <row r="16559">
      <c r="C16559" s="278"/>
      <c r="M16559" s="277"/>
      <c r="O16559" s="247"/>
      <c r="AC16559" s="247"/>
      <c r="AT16559" s="247"/>
    </row>
    <row r="16560">
      <c r="C16560" s="278"/>
      <c r="M16560" s="277"/>
      <c r="O16560" s="247"/>
      <c r="AC16560" s="247"/>
      <c r="AT16560" s="247"/>
    </row>
    <row r="16561">
      <c r="C16561" s="278"/>
      <c r="M16561" s="277"/>
      <c r="O16561" s="247"/>
      <c r="AC16561" s="247"/>
      <c r="AT16561" s="247"/>
    </row>
    <row r="16562">
      <c r="C16562" s="278"/>
      <c r="M16562" s="277"/>
      <c r="O16562" s="247"/>
      <c r="AC16562" s="247"/>
      <c r="AT16562" s="247"/>
    </row>
    <row r="16563">
      <c r="C16563" s="278"/>
      <c r="M16563" s="277"/>
      <c r="O16563" s="247"/>
      <c r="AC16563" s="247"/>
      <c r="AT16563" s="247"/>
    </row>
    <row r="16564">
      <c r="C16564" s="278"/>
      <c r="M16564" s="277"/>
      <c r="O16564" s="247"/>
      <c r="AC16564" s="247"/>
      <c r="AT16564" s="247"/>
    </row>
    <row r="16565">
      <c r="C16565" s="278"/>
      <c r="M16565" s="277"/>
      <c r="O16565" s="247"/>
      <c r="AC16565" s="247"/>
      <c r="AT16565" s="247"/>
    </row>
    <row r="16566">
      <c r="C16566" s="278"/>
      <c r="M16566" s="277"/>
      <c r="O16566" s="247"/>
      <c r="AC16566" s="247"/>
      <c r="AT16566" s="247"/>
    </row>
    <row r="16567">
      <c r="C16567" s="278"/>
      <c r="M16567" s="277"/>
      <c r="O16567" s="247"/>
      <c r="AC16567" s="247"/>
      <c r="AT16567" s="247"/>
    </row>
    <row r="16568">
      <c r="C16568" s="278"/>
      <c r="M16568" s="277"/>
      <c r="O16568" s="247"/>
      <c r="AC16568" s="247"/>
      <c r="AT16568" s="247"/>
    </row>
    <row r="16569">
      <c r="C16569" s="278"/>
      <c r="M16569" s="277"/>
      <c r="O16569" s="247"/>
      <c r="AC16569" s="247"/>
      <c r="AT16569" s="247"/>
    </row>
    <row r="16570">
      <c r="C16570" s="278"/>
      <c r="M16570" s="277"/>
      <c r="O16570" s="247"/>
      <c r="AC16570" s="247"/>
      <c r="AT16570" s="247"/>
    </row>
    <row r="16571">
      <c r="C16571" s="278"/>
      <c r="M16571" s="277"/>
      <c r="O16571" s="247"/>
      <c r="AC16571" s="247"/>
      <c r="AT16571" s="247"/>
    </row>
    <row r="16572">
      <c r="C16572" s="278"/>
      <c r="M16572" s="277"/>
      <c r="O16572" s="247"/>
      <c r="AC16572" s="247"/>
      <c r="AT16572" s="247"/>
    </row>
    <row r="16573">
      <c r="C16573" s="278"/>
      <c r="M16573" s="277"/>
      <c r="O16573" s="247"/>
      <c r="AC16573" s="247"/>
      <c r="AT16573" s="247"/>
    </row>
    <row r="16574">
      <c r="C16574" s="278"/>
      <c r="M16574" s="277"/>
      <c r="O16574" s="247"/>
      <c r="AC16574" s="247"/>
      <c r="AT16574" s="247"/>
    </row>
    <row r="16575">
      <c r="C16575" s="278"/>
      <c r="M16575" s="277"/>
      <c r="O16575" s="247"/>
      <c r="AC16575" s="247"/>
      <c r="AT16575" s="247"/>
    </row>
    <row r="16576">
      <c r="C16576" s="278"/>
      <c r="M16576" s="277"/>
      <c r="O16576" s="247"/>
      <c r="AC16576" s="247"/>
      <c r="AT16576" s="247"/>
    </row>
    <row r="16577">
      <c r="C16577" s="278"/>
      <c r="M16577" s="277"/>
      <c r="O16577" s="247"/>
      <c r="AC16577" s="247"/>
      <c r="AT16577" s="247"/>
    </row>
    <row r="16578">
      <c r="C16578" s="278"/>
      <c r="M16578" s="277"/>
      <c r="O16578" s="247"/>
      <c r="AC16578" s="247"/>
      <c r="AT16578" s="247"/>
    </row>
    <row r="16579">
      <c r="C16579" s="278"/>
      <c r="M16579" s="277"/>
      <c r="O16579" s="247"/>
      <c r="AC16579" s="247"/>
      <c r="AT16579" s="247"/>
    </row>
    <row r="16580">
      <c r="C16580" s="278"/>
      <c r="M16580" s="277"/>
      <c r="O16580" s="247"/>
      <c r="AC16580" s="247"/>
      <c r="AT16580" s="247"/>
    </row>
    <row r="16581">
      <c r="C16581" s="278"/>
      <c r="M16581" s="277"/>
      <c r="O16581" s="247"/>
      <c r="AC16581" s="247"/>
      <c r="AT16581" s="247"/>
    </row>
    <row r="16582">
      <c r="C16582" s="278"/>
      <c r="M16582" s="277"/>
      <c r="O16582" s="247"/>
      <c r="AC16582" s="247"/>
      <c r="AT16582" s="247"/>
    </row>
    <row r="16583">
      <c r="C16583" s="278"/>
      <c r="M16583" s="277"/>
      <c r="O16583" s="247"/>
      <c r="AC16583" s="247"/>
      <c r="AT16583" s="247"/>
    </row>
    <row r="16584">
      <c r="C16584" s="278"/>
      <c r="M16584" s="277"/>
      <c r="O16584" s="247"/>
      <c r="AC16584" s="247"/>
      <c r="AT16584" s="247"/>
    </row>
    <row r="16585">
      <c r="C16585" s="278"/>
      <c r="M16585" s="277"/>
      <c r="O16585" s="247"/>
      <c r="AC16585" s="247"/>
      <c r="AT16585" s="247"/>
    </row>
    <row r="16586">
      <c r="C16586" s="278"/>
      <c r="M16586" s="277"/>
      <c r="O16586" s="247"/>
      <c r="AC16586" s="247"/>
      <c r="AT16586" s="247"/>
    </row>
    <row r="16587">
      <c r="C16587" s="278"/>
      <c r="M16587" s="277"/>
      <c r="O16587" s="247"/>
      <c r="AC16587" s="247"/>
      <c r="AT16587" s="247"/>
    </row>
    <row r="16588">
      <c r="C16588" s="278"/>
      <c r="M16588" s="277"/>
      <c r="O16588" s="247"/>
      <c r="AC16588" s="247"/>
      <c r="AT16588" s="247"/>
    </row>
    <row r="16589">
      <c r="C16589" s="278"/>
      <c r="M16589" s="277"/>
      <c r="O16589" s="247"/>
      <c r="AC16589" s="247"/>
      <c r="AT16589" s="247"/>
    </row>
    <row r="16590">
      <c r="C16590" s="278"/>
      <c r="M16590" s="277"/>
      <c r="O16590" s="247"/>
      <c r="AC16590" s="247"/>
      <c r="AT16590" s="247"/>
    </row>
    <row r="16591">
      <c r="C16591" s="278"/>
      <c r="M16591" s="277"/>
      <c r="O16591" s="247"/>
      <c r="AC16591" s="247"/>
      <c r="AT16591" s="247"/>
    </row>
    <row r="16592">
      <c r="C16592" s="278"/>
      <c r="M16592" s="277"/>
      <c r="O16592" s="247"/>
      <c r="AC16592" s="247"/>
      <c r="AT16592" s="247"/>
    </row>
    <row r="16593">
      <c r="C16593" s="278"/>
      <c r="M16593" s="277"/>
      <c r="O16593" s="247"/>
      <c r="AC16593" s="247"/>
      <c r="AT16593" s="247"/>
    </row>
    <row r="16594">
      <c r="C16594" s="278"/>
      <c r="M16594" s="277"/>
      <c r="O16594" s="247"/>
      <c r="AC16594" s="247"/>
      <c r="AT16594" s="247"/>
    </row>
    <row r="16595">
      <c r="C16595" s="278"/>
      <c r="M16595" s="277"/>
      <c r="O16595" s="247"/>
      <c r="AC16595" s="247"/>
      <c r="AT16595" s="247"/>
    </row>
    <row r="16596">
      <c r="C16596" s="278"/>
      <c r="M16596" s="277"/>
      <c r="O16596" s="247"/>
      <c r="AC16596" s="247"/>
      <c r="AT16596" s="247"/>
    </row>
    <row r="16597">
      <c r="C16597" s="278"/>
      <c r="M16597" s="277"/>
      <c r="O16597" s="247"/>
      <c r="AC16597" s="247"/>
      <c r="AT16597" s="247"/>
    </row>
    <row r="16598">
      <c r="C16598" s="278"/>
      <c r="M16598" s="277"/>
      <c r="O16598" s="247"/>
      <c r="AC16598" s="247"/>
      <c r="AT16598" s="247"/>
    </row>
    <row r="16599">
      <c r="C16599" s="278"/>
      <c r="M16599" s="277"/>
      <c r="O16599" s="247"/>
      <c r="AC16599" s="247"/>
      <c r="AT16599" s="247"/>
    </row>
    <row r="16600">
      <c r="C16600" s="278"/>
      <c r="M16600" s="277"/>
      <c r="O16600" s="247"/>
      <c r="AC16600" s="247"/>
      <c r="AT16600" s="247"/>
    </row>
    <row r="16601">
      <c r="C16601" s="278"/>
      <c r="M16601" s="277"/>
      <c r="O16601" s="247"/>
      <c r="AC16601" s="247"/>
      <c r="AT16601" s="247"/>
    </row>
    <row r="16602">
      <c r="C16602" s="278"/>
      <c r="M16602" s="277"/>
      <c r="O16602" s="247"/>
      <c r="AC16602" s="247"/>
      <c r="AT16602" s="247"/>
    </row>
    <row r="16603">
      <c r="C16603" s="278"/>
      <c r="M16603" s="277"/>
      <c r="O16603" s="247"/>
      <c r="AC16603" s="247"/>
      <c r="AT16603" s="247"/>
    </row>
    <row r="16604">
      <c r="C16604" s="278"/>
      <c r="M16604" s="277"/>
      <c r="O16604" s="247"/>
      <c r="AC16604" s="247"/>
      <c r="AT16604" s="247"/>
    </row>
    <row r="16605">
      <c r="C16605" s="278"/>
      <c r="M16605" s="277"/>
      <c r="O16605" s="247"/>
      <c r="AC16605" s="247"/>
      <c r="AT16605" s="247"/>
    </row>
    <row r="16606">
      <c r="C16606" s="278"/>
      <c r="M16606" s="277"/>
      <c r="O16606" s="247"/>
      <c r="AC16606" s="247"/>
      <c r="AT16606" s="247"/>
    </row>
    <row r="16607">
      <c r="C16607" s="278"/>
      <c r="M16607" s="277"/>
      <c r="O16607" s="247"/>
      <c r="AC16607" s="247"/>
      <c r="AT16607" s="247"/>
    </row>
    <row r="16608">
      <c r="C16608" s="278"/>
      <c r="M16608" s="277"/>
      <c r="O16608" s="247"/>
      <c r="AC16608" s="247"/>
      <c r="AT16608" s="247"/>
    </row>
    <row r="16609">
      <c r="C16609" s="278"/>
      <c r="M16609" s="277"/>
      <c r="O16609" s="247"/>
      <c r="AC16609" s="247"/>
      <c r="AT16609" s="247"/>
    </row>
    <row r="16610">
      <c r="C16610" s="278"/>
      <c r="M16610" s="277"/>
      <c r="O16610" s="247"/>
      <c r="AC16610" s="247"/>
      <c r="AT16610" s="247"/>
    </row>
    <row r="16611">
      <c r="C16611" s="278"/>
      <c r="M16611" s="277"/>
      <c r="O16611" s="247"/>
      <c r="AC16611" s="247"/>
      <c r="AT16611" s="247"/>
    </row>
    <row r="16612">
      <c r="C16612" s="278"/>
      <c r="M16612" s="277"/>
      <c r="O16612" s="247"/>
      <c r="AC16612" s="247"/>
      <c r="AT16612" s="247"/>
    </row>
    <row r="16613">
      <c r="C16613" s="278"/>
      <c r="M16613" s="277"/>
      <c r="O16613" s="247"/>
      <c r="AC16613" s="247"/>
      <c r="AT16613" s="247"/>
    </row>
    <row r="16614">
      <c r="C16614" s="278"/>
      <c r="M16614" s="277"/>
      <c r="O16614" s="247"/>
      <c r="AC16614" s="247"/>
      <c r="AT16614" s="247"/>
    </row>
    <row r="16615">
      <c r="C16615" s="278"/>
      <c r="M16615" s="277"/>
      <c r="O16615" s="247"/>
      <c r="AC16615" s="247"/>
      <c r="AT16615" s="247"/>
    </row>
    <row r="16616">
      <c r="C16616" s="278"/>
      <c r="M16616" s="277"/>
      <c r="O16616" s="247"/>
      <c r="AC16616" s="247"/>
      <c r="AT16616" s="247"/>
    </row>
    <row r="16617">
      <c r="C16617" s="278"/>
      <c r="M16617" s="277"/>
      <c r="O16617" s="247"/>
      <c r="AC16617" s="247"/>
      <c r="AT16617" s="247"/>
    </row>
    <row r="16618">
      <c r="C16618" s="278"/>
      <c r="M16618" s="277"/>
      <c r="O16618" s="247"/>
      <c r="AC16618" s="247"/>
      <c r="AT16618" s="247"/>
    </row>
    <row r="16619">
      <c r="C16619" s="278"/>
      <c r="M16619" s="277"/>
      <c r="O16619" s="247"/>
      <c r="AC16619" s="247"/>
      <c r="AT16619" s="247"/>
    </row>
    <row r="16620">
      <c r="C16620" s="278"/>
      <c r="M16620" s="277"/>
      <c r="O16620" s="247"/>
      <c r="AC16620" s="247"/>
      <c r="AT16620" s="247"/>
    </row>
    <row r="16621">
      <c r="C16621" s="278"/>
      <c r="M16621" s="277"/>
      <c r="O16621" s="247"/>
      <c r="AC16621" s="247"/>
      <c r="AT16621" s="247"/>
    </row>
    <row r="16622">
      <c r="C16622" s="278"/>
      <c r="M16622" s="277"/>
      <c r="O16622" s="247"/>
      <c r="AC16622" s="247"/>
      <c r="AT16622" s="247"/>
    </row>
    <row r="16623">
      <c r="C16623" s="278"/>
      <c r="M16623" s="277"/>
      <c r="O16623" s="247"/>
      <c r="AC16623" s="247"/>
      <c r="AT16623" s="247"/>
    </row>
    <row r="16624">
      <c r="C16624" s="278"/>
      <c r="M16624" s="277"/>
      <c r="O16624" s="247"/>
      <c r="AC16624" s="247"/>
      <c r="AT16624" s="247"/>
    </row>
    <row r="16625">
      <c r="C16625" s="278"/>
      <c r="M16625" s="277"/>
      <c r="O16625" s="247"/>
      <c r="AC16625" s="247"/>
      <c r="AT16625" s="247"/>
    </row>
    <row r="16626">
      <c r="C16626" s="278"/>
      <c r="M16626" s="277"/>
      <c r="O16626" s="247"/>
      <c r="AC16626" s="247"/>
      <c r="AT16626" s="247"/>
    </row>
    <row r="16627">
      <c r="C16627" s="278"/>
      <c r="M16627" s="277"/>
      <c r="O16627" s="247"/>
      <c r="AC16627" s="247"/>
      <c r="AT16627" s="247"/>
    </row>
    <row r="16628">
      <c r="C16628" s="278"/>
      <c r="M16628" s="277"/>
      <c r="O16628" s="247"/>
      <c r="AC16628" s="247"/>
      <c r="AT16628" s="247"/>
    </row>
    <row r="16629">
      <c r="C16629" s="278"/>
      <c r="M16629" s="277"/>
      <c r="O16629" s="247"/>
      <c r="AC16629" s="247"/>
      <c r="AT16629" s="247"/>
    </row>
    <row r="16630">
      <c r="C16630" s="278"/>
      <c r="M16630" s="277"/>
      <c r="O16630" s="247"/>
      <c r="AC16630" s="247"/>
      <c r="AT16630" s="247"/>
    </row>
    <row r="16631">
      <c r="C16631" s="278"/>
      <c r="M16631" s="277"/>
      <c r="O16631" s="247"/>
      <c r="AC16631" s="247"/>
      <c r="AT16631" s="247"/>
    </row>
    <row r="16632">
      <c r="C16632" s="278"/>
      <c r="M16632" s="277"/>
      <c r="O16632" s="247"/>
      <c r="AC16632" s="247"/>
      <c r="AT16632" s="247"/>
    </row>
    <row r="16633">
      <c r="C16633" s="278"/>
      <c r="M16633" s="277"/>
      <c r="O16633" s="247"/>
      <c r="AC16633" s="247"/>
      <c r="AT16633" s="247"/>
    </row>
    <row r="16634">
      <c r="C16634" s="278"/>
      <c r="M16634" s="277"/>
      <c r="O16634" s="247"/>
      <c r="AC16634" s="247"/>
      <c r="AT16634" s="247"/>
    </row>
    <row r="16635">
      <c r="C16635" s="278"/>
      <c r="M16635" s="277"/>
      <c r="O16635" s="247"/>
      <c r="AC16635" s="247"/>
      <c r="AT16635" s="247"/>
    </row>
    <row r="16636">
      <c r="C16636" s="278"/>
      <c r="M16636" s="277"/>
      <c r="O16636" s="247"/>
      <c r="AC16636" s="247"/>
      <c r="AT16636" s="247"/>
    </row>
    <row r="16637">
      <c r="C16637" s="278"/>
      <c r="M16637" s="277"/>
      <c r="O16637" s="247"/>
      <c r="AC16637" s="247"/>
      <c r="AT16637" s="247"/>
    </row>
    <row r="16638">
      <c r="C16638" s="278"/>
      <c r="M16638" s="277"/>
      <c r="O16638" s="247"/>
      <c r="AC16638" s="247"/>
      <c r="AT16638" s="247"/>
    </row>
    <row r="16639">
      <c r="C16639" s="278"/>
      <c r="M16639" s="277"/>
      <c r="O16639" s="247"/>
      <c r="AC16639" s="247"/>
      <c r="AT16639" s="247"/>
    </row>
    <row r="16640">
      <c r="C16640" s="278"/>
      <c r="M16640" s="277"/>
      <c r="O16640" s="247"/>
      <c r="AC16640" s="247"/>
      <c r="AT16640" s="247"/>
    </row>
    <row r="16641">
      <c r="C16641" s="278"/>
      <c r="M16641" s="277"/>
      <c r="O16641" s="247"/>
      <c r="AC16641" s="247"/>
      <c r="AT16641" s="247"/>
    </row>
    <row r="16642">
      <c r="C16642" s="278"/>
      <c r="M16642" s="277"/>
      <c r="O16642" s="247"/>
      <c r="AC16642" s="247"/>
      <c r="AT16642" s="247"/>
    </row>
    <row r="16643">
      <c r="C16643" s="278"/>
      <c r="M16643" s="277"/>
      <c r="O16643" s="247"/>
      <c r="AC16643" s="247"/>
      <c r="AT16643" s="247"/>
    </row>
    <row r="16644">
      <c r="C16644" s="278"/>
      <c r="M16644" s="277"/>
      <c r="O16644" s="247"/>
      <c r="AC16644" s="247"/>
      <c r="AT16644" s="247"/>
    </row>
    <row r="16645">
      <c r="C16645" s="278"/>
      <c r="M16645" s="277"/>
      <c r="O16645" s="247"/>
      <c r="AC16645" s="247"/>
      <c r="AT16645" s="247"/>
    </row>
    <row r="16646">
      <c r="C16646" s="278"/>
      <c r="M16646" s="277"/>
      <c r="O16646" s="247"/>
      <c r="AC16646" s="247"/>
      <c r="AT16646" s="247"/>
    </row>
    <row r="16647">
      <c r="C16647" s="278"/>
      <c r="M16647" s="277"/>
      <c r="O16647" s="247"/>
      <c r="AC16647" s="247"/>
      <c r="AT16647" s="247"/>
    </row>
    <row r="16648">
      <c r="C16648" s="278"/>
      <c r="M16648" s="277"/>
      <c r="O16648" s="247"/>
      <c r="AC16648" s="247"/>
      <c r="AT16648" s="247"/>
    </row>
    <row r="16649">
      <c r="C16649" s="278"/>
      <c r="M16649" s="277"/>
      <c r="O16649" s="247"/>
      <c r="AC16649" s="247"/>
      <c r="AT16649" s="247"/>
    </row>
    <row r="16650">
      <c r="C16650" s="278"/>
      <c r="M16650" s="277"/>
      <c r="O16650" s="247"/>
      <c r="AC16650" s="247"/>
      <c r="AT16650" s="247"/>
    </row>
    <row r="16651">
      <c r="C16651" s="278"/>
      <c r="M16651" s="277"/>
      <c r="O16651" s="247"/>
      <c r="AC16651" s="247"/>
      <c r="AT16651" s="247"/>
    </row>
    <row r="16652">
      <c r="C16652" s="278"/>
      <c r="M16652" s="277"/>
      <c r="O16652" s="247"/>
      <c r="AC16652" s="247"/>
      <c r="AT16652" s="247"/>
    </row>
    <row r="16653">
      <c r="C16653" s="278"/>
      <c r="M16653" s="277"/>
      <c r="O16653" s="247"/>
      <c r="AC16653" s="247"/>
      <c r="AT16653" s="247"/>
    </row>
    <row r="16654">
      <c r="C16654" s="278"/>
      <c r="M16654" s="277"/>
      <c r="O16654" s="247"/>
      <c r="AC16654" s="247"/>
      <c r="AT16654" s="247"/>
    </row>
    <row r="16655">
      <c r="C16655" s="278"/>
      <c r="M16655" s="277"/>
      <c r="O16655" s="247"/>
      <c r="AC16655" s="247"/>
      <c r="AT16655" s="247"/>
    </row>
    <row r="16656">
      <c r="C16656" s="278"/>
      <c r="M16656" s="277"/>
      <c r="O16656" s="247"/>
      <c r="AC16656" s="247"/>
      <c r="AT16656" s="247"/>
    </row>
    <row r="16657">
      <c r="C16657" s="278"/>
      <c r="M16657" s="277"/>
      <c r="O16657" s="247"/>
      <c r="AC16657" s="247"/>
      <c r="AT16657" s="247"/>
    </row>
    <row r="16658">
      <c r="C16658" s="278"/>
      <c r="M16658" s="277"/>
      <c r="O16658" s="247"/>
      <c r="AC16658" s="247"/>
      <c r="AT16658" s="247"/>
    </row>
    <row r="16659">
      <c r="C16659" s="278"/>
      <c r="M16659" s="277"/>
      <c r="O16659" s="247"/>
      <c r="AC16659" s="247"/>
      <c r="AT16659" s="247"/>
    </row>
    <row r="16660">
      <c r="C16660" s="278"/>
      <c r="M16660" s="277"/>
      <c r="O16660" s="247"/>
      <c r="AC16660" s="247"/>
      <c r="AT16660" s="247"/>
    </row>
    <row r="16661">
      <c r="C16661" s="278"/>
      <c r="M16661" s="277"/>
      <c r="O16661" s="247"/>
      <c r="AC16661" s="247"/>
      <c r="AT16661" s="247"/>
    </row>
    <row r="16662">
      <c r="C16662" s="278"/>
      <c r="M16662" s="277"/>
      <c r="O16662" s="247"/>
      <c r="AC16662" s="247"/>
      <c r="AT16662" s="247"/>
    </row>
    <row r="16663">
      <c r="C16663" s="278"/>
      <c r="M16663" s="277"/>
      <c r="O16663" s="247"/>
      <c r="AC16663" s="247"/>
      <c r="AT16663" s="247"/>
    </row>
    <row r="16664">
      <c r="C16664" s="278"/>
      <c r="M16664" s="277"/>
      <c r="O16664" s="247"/>
      <c r="AC16664" s="247"/>
      <c r="AT16664" s="247"/>
    </row>
    <row r="16665">
      <c r="C16665" s="278"/>
      <c r="M16665" s="277"/>
      <c r="O16665" s="247"/>
      <c r="AC16665" s="247"/>
      <c r="AT16665" s="247"/>
    </row>
    <row r="16666">
      <c r="C16666" s="278"/>
      <c r="M16666" s="277"/>
      <c r="O16666" s="247"/>
      <c r="AC16666" s="247"/>
      <c r="AT16666" s="247"/>
    </row>
    <row r="16667">
      <c r="C16667" s="278"/>
      <c r="M16667" s="277"/>
      <c r="O16667" s="247"/>
      <c r="AC16667" s="247"/>
      <c r="AT16667" s="247"/>
    </row>
    <row r="16668">
      <c r="C16668" s="278"/>
      <c r="M16668" s="277"/>
      <c r="O16668" s="247"/>
      <c r="AC16668" s="247"/>
      <c r="AT16668" s="247"/>
    </row>
    <row r="16669">
      <c r="C16669" s="278"/>
      <c r="M16669" s="277"/>
      <c r="O16669" s="247"/>
      <c r="AC16669" s="247"/>
      <c r="AT16669" s="247"/>
    </row>
    <row r="16670">
      <c r="C16670" s="278"/>
      <c r="M16670" s="277"/>
      <c r="O16670" s="247"/>
      <c r="AC16670" s="247"/>
      <c r="AT16670" s="247"/>
    </row>
    <row r="16671">
      <c r="C16671" s="278"/>
      <c r="M16671" s="277"/>
      <c r="O16671" s="247"/>
      <c r="AC16671" s="247"/>
      <c r="AT16671" s="247"/>
    </row>
    <row r="16672">
      <c r="C16672" s="278"/>
      <c r="M16672" s="277"/>
      <c r="O16672" s="247"/>
      <c r="AC16672" s="247"/>
      <c r="AT16672" s="247"/>
    </row>
    <row r="16673">
      <c r="C16673" s="278"/>
      <c r="M16673" s="277"/>
      <c r="O16673" s="247"/>
      <c r="AC16673" s="247"/>
      <c r="AT16673" s="247"/>
    </row>
    <row r="16674">
      <c r="C16674" s="278"/>
      <c r="M16674" s="277"/>
      <c r="O16674" s="247"/>
      <c r="AC16674" s="247"/>
      <c r="AT16674" s="247"/>
    </row>
    <row r="16675">
      <c r="C16675" s="278"/>
      <c r="M16675" s="277"/>
      <c r="O16675" s="247"/>
      <c r="AC16675" s="247"/>
      <c r="AT16675" s="247"/>
    </row>
    <row r="16676">
      <c r="C16676" s="278"/>
      <c r="M16676" s="277"/>
      <c r="O16676" s="247"/>
      <c r="AC16676" s="247"/>
      <c r="AT16676" s="247"/>
    </row>
    <row r="16677">
      <c r="C16677" s="278"/>
      <c r="M16677" s="277"/>
      <c r="O16677" s="247"/>
      <c r="AC16677" s="247"/>
      <c r="AT16677" s="247"/>
    </row>
    <row r="16678">
      <c r="C16678" s="278"/>
      <c r="M16678" s="277"/>
      <c r="O16678" s="247"/>
      <c r="AC16678" s="247"/>
      <c r="AT16678" s="247"/>
    </row>
    <row r="16679">
      <c r="C16679" s="278"/>
      <c r="M16679" s="277"/>
      <c r="O16679" s="247"/>
      <c r="AC16679" s="247"/>
      <c r="AT16679" s="247"/>
    </row>
    <row r="16680">
      <c r="C16680" s="278"/>
      <c r="M16680" s="277"/>
      <c r="O16680" s="247"/>
      <c r="AC16680" s="247"/>
      <c r="AT16680" s="247"/>
    </row>
    <row r="16681">
      <c r="C16681" s="278"/>
      <c r="M16681" s="278"/>
      <c r="O16681" s="247"/>
      <c r="AC16681" s="247"/>
      <c r="AT16681" s="247"/>
    </row>
    <row r="16682">
      <c r="C16682" s="278"/>
      <c r="M16682" s="278"/>
      <c r="O16682" s="247"/>
      <c r="AC16682" s="247"/>
      <c r="AT16682" s="247"/>
    </row>
    <row r="16683">
      <c r="C16683" s="278"/>
      <c r="M16683" s="278"/>
      <c r="O16683" s="247"/>
      <c r="AC16683" s="247"/>
      <c r="AT16683" s="247"/>
    </row>
    <row r="16684">
      <c r="C16684" s="278"/>
      <c r="M16684" s="278"/>
      <c r="O16684" s="247"/>
      <c r="AC16684" s="247"/>
      <c r="AT16684" s="247"/>
    </row>
    <row r="16685">
      <c r="C16685" s="278"/>
      <c r="M16685" s="278"/>
      <c r="O16685" s="247"/>
      <c r="AC16685" s="247"/>
      <c r="AT16685" s="247"/>
    </row>
    <row r="16686">
      <c r="C16686" s="278"/>
      <c r="M16686" s="278"/>
      <c r="O16686" s="247"/>
      <c r="AC16686" s="247"/>
      <c r="AT16686" s="247"/>
    </row>
    <row r="16687">
      <c r="C16687" s="278"/>
      <c r="M16687" s="278"/>
      <c r="O16687" s="247"/>
      <c r="AC16687" s="247"/>
      <c r="AT16687" s="247"/>
    </row>
    <row r="16688">
      <c r="C16688" s="278"/>
      <c r="M16688" s="278"/>
      <c r="O16688" s="247"/>
      <c r="AC16688" s="247"/>
      <c r="AT16688" s="247"/>
    </row>
    <row r="16689">
      <c r="C16689" s="278"/>
      <c r="M16689" s="278"/>
      <c r="O16689" s="247"/>
      <c r="AC16689" s="247"/>
      <c r="AT16689" s="247"/>
    </row>
    <row r="16690">
      <c r="C16690" s="278"/>
      <c r="M16690" s="278"/>
      <c r="O16690" s="247"/>
      <c r="AC16690" s="247"/>
      <c r="AT16690" s="247"/>
    </row>
    <row r="16691">
      <c r="C16691" s="278"/>
      <c r="M16691" s="278"/>
      <c r="O16691" s="247"/>
      <c r="AC16691" s="247"/>
      <c r="AT16691" s="247"/>
    </row>
    <row r="16692">
      <c r="C16692" s="278"/>
      <c r="M16692" s="278"/>
      <c r="O16692" s="247"/>
      <c r="AC16692" s="247"/>
      <c r="AT16692" s="247"/>
    </row>
    <row r="16693">
      <c r="C16693" s="278"/>
      <c r="M16693" s="278"/>
      <c r="O16693" s="247"/>
      <c r="AC16693" s="247"/>
      <c r="AT16693" s="247"/>
    </row>
    <row r="16694">
      <c r="C16694" s="278"/>
      <c r="M16694" s="278"/>
      <c r="O16694" s="247"/>
      <c r="AC16694" s="247"/>
      <c r="AT16694" s="247"/>
    </row>
    <row r="16695">
      <c r="C16695" s="278"/>
      <c r="M16695" s="278"/>
      <c r="O16695" s="247"/>
      <c r="AC16695" s="247"/>
      <c r="AT16695" s="247"/>
    </row>
    <row r="16696">
      <c r="C16696" s="278"/>
      <c r="M16696" s="278"/>
      <c r="O16696" s="247"/>
      <c r="AC16696" s="247"/>
      <c r="AT16696" s="247"/>
    </row>
    <row r="16697">
      <c r="C16697" s="278"/>
      <c r="M16697" s="278"/>
      <c r="O16697" s="247"/>
      <c r="AC16697" s="247"/>
      <c r="AT16697" s="247"/>
    </row>
    <row r="16698">
      <c r="C16698" s="278"/>
      <c r="M16698" s="278"/>
      <c r="O16698" s="247"/>
      <c r="AC16698" s="247"/>
      <c r="AT16698" s="247"/>
    </row>
    <row r="16699">
      <c r="C16699" s="278"/>
      <c r="M16699" s="278"/>
      <c r="O16699" s="247"/>
      <c r="AC16699" s="247"/>
      <c r="AT16699" s="247"/>
    </row>
    <row r="16700">
      <c r="C16700" s="278"/>
      <c r="M16700" s="278"/>
      <c r="O16700" s="247"/>
      <c r="AC16700" s="247"/>
      <c r="AT16700" s="247"/>
    </row>
    <row r="16701">
      <c r="C16701" s="278"/>
      <c r="M16701" s="278"/>
      <c r="O16701" s="247"/>
      <c r="AC16701" s="247"/>
      <c r="AT16701" s="247"/>
    </row>
    <row r="16702">
      <c r="C16702" s="278"/>
      <c r="M16702" s="278"/>
      <c r="O16702" s="247"/>
      <c r="AC16702" s="247"/>
      <c r="AT16702" s="247"/>
    </row>
    <row r="16703">
      <c r="C16703" s="278"/>
      <c r="M16703" s="278"/>
      <c r="O16703" s="247"/>
      <c r="AC16703" s="247"/>
      <c r="AT16703" s="247"/>
    </row>
    <row r="16704">
      <c r="C16704" s="278"/>
      <c r="M16704" s="278"/>
      <c r="O16704" s="247"/>
      <c r="AC16704" s="247"/>
      <c r="AT16704" s="247"/>
    </row>
    <row r="16705">
      <c r="C16705" s="278"/>
      <c r="M16705" s="278"/>
      <c r="O16705" s="247"/>
      <c r="AC16705" s="247"/>
      <c r="AT16705" s="247"/>
    </row>
    <row r="16706">
      <c r="C16706" s="278"/>
      <c r="M16706" s="278"/>
      <c r="O16706" s="247"/>
      <c r="AC16706" s="247"/>
      <c r="AT16706" s="247"/>
    </row>
    <row r="16707">
      <c r="C16707" s="278"/>
      <c r="M16707" s="278"/>
      <c r="O16707" s="247"/>
      <c r="AC16707" s="247"/>
      <c r="AT16707" s="247"/>
    </row>
    <row r="16708">
      <c r="C16708" s="278"/>
      <c r="M16708" s="278"/>
      <c r="O16708" s="247"/>
      <c r="AC16708" s="247"/>
      <c r="AT16708" s="247"/>
    </row>
    <row r="16709">
      <c r="C16709" s="278"/>
      <c r="M16709" s="278"/>
      <c r="O16709" s="247"/>
      <c r="AC16709" s="247"/>
      <c r="AT16709" s="247"/>
    </row>
    <row r="16710">
      <c r="C16710" s="278"/>
      <c r="M16710" s="278"/>
      <c r="O16710" s="247"/>
      <c r="AC16710" s="247"/>
      <c r="AT16710" s="247"/>
    </row>
    <row r="16711">
      <c r="C16711" s="278"/>
      <c r="M16711" s="278"/>
      <c r="O16711" s="247"/>
      <c r="AC16711" s="247"/>
      <c r="AT16711" s="247"/>
    </row>
    <row r="16712">
      <c r="C16712" s="278"/>
      <c r="M16712" s="278"/>
      <c r="O16712" s="247"/>
      <c r="AC16712" s="247"/>
      <c r="AT16712" s="247"/>
    </row>
    <row r="16713">
      <c r="C16713" s="278"/>
      <c r="M16713" s="278"/>
      <c r="O16713" s="247"/>
      <c r="AC16713" s="247"/>
      <c r="AT16713" s="247"/>
    </row>
    <row r="16714">
      <c r="C16714" s="278"/>
      <c r="M16714" s="278"/>
      <c r="O16714" s="247"/>
      <c r="AC16714" s="247"/>
      <c r="AT16714" s="247"/>
    </row>
    <row r="16715">
      <c r="C16715" s="278"/>
      <c r="M16715" s="278"/>
      <c r="O16715" s="247"/>
      <c r="AC16715" s="247"/>
      <c r="AT16715" s="247"/>
    </row>
    <row r="16716">
      <c r="C16716" s="278"/>
      <c r="M16716" s="278"/>
      <c r="O16716" s="247"/>
      <c r="AC16716" s="247"/>
      <c r="AT16716" s="247"/>
    </row>
    <row r="16717">
      <c r="C16717" s="278"/>
      <c r="M16717" s="278"/>
      <c r="O16717" s="247"/>
      <c r="AC16717" s="247"/>
      <c r="AT16717" s="247"/>
    </row>
    <row r="16718">
      <c r="C16718" s="278"/>
      <c r="M16718" s="278"/>
      <c r="O16718" s="247"/>
      <c r="AC16718" s="247"/>
      <c r="AT16718" s="247"/>
    </row>
    <row r="16719">
      <c r="C16719" s="278"/>
      <c r="M16719" s="278"/>
      <c r="O16719" s="247"/>
      <c r="AC16719" s="247"/>
      <c r="AT16719" s="247"/>
    </row>
    <row r="16720">
      <c r="C16720" s="278"/>
      <c r="M16720" s="278"/>
      <c r="O16720" s="247"/>
      <c r="AC16720" s="247"/>
      <c r="AT16720" s="247"/>
    </row>
    <row r="16721">
      <c r="C16721" s="278"/>
      <c r="M16721" s="278"/>
      <c r="O16721" s="247"/>
      <c r="AC16721" s="247"/>
      <c r="AT16721" s="247"/>
    </row>
    <row r="16722">
      <c r="C16722" s="278"/>
      <c r="M16722" s="278"/>
      <c r="O16722" s="247"/>
      <c r="AC16722" s="247"/>
      <c r="AT16722" s="247"/>
    </row>
    <row r="16723">
      <c r="C16723" s="278"/>
      <c r="M16723" s="278"/>
      <c r="O16723" s="247"/>
      <c r="AC16723" s="247"/>
      <c r="AT16723" s="247"/>
    </row>
    <row r="16724">
      <c r="C16724" s="278"/>
      <c r="M16724" s="278"/>
      <c r="O16724" s="247"/>
      <c r="AC16724" s="247"/>
      <c r="AT16724" s="247"/>
    </row>
    <row r="16725">
      <c r="C16725" s="278"/>
      <c r="M16725" s="278"/>
      <c r="O16725" s="247"/>
      <c r="AC16725" s="247"/>
      <c r="AT16725" s="247"/>
    </row>
    <row r="16726">
      <c r="C16726" s="278"/>
      <c r="M16726" s="278"/>
      <c r="O16726" s="247"/>
      <c r="AC16726" s="247"/>
      <c r="AT16726" s="247"/>
    </row>
    <row r="16727">
      <c r="C16727" s="278"/>
      <c r="M16727" s="278"/>
      <c r="O16727" s="247"/>
      <c r="AC16727" s="247"/>
      <c r="AT16727" s="247"/>
    </row>
    <row r="16728">
      <c r="C16728" s="278"/>
      <c r="M16728" s="278"/>
      <c r="O16728" s="247"/>
      <c r="AC16728" s="247"/>
      <c r="AT16728" s="247"/>
    </row>
    <row r="16729">
      <c r="C16729" s="278"/>
      <c r="M16729" s="278"/>
      <c r="O16729" s="247"/>
      <c r="AC16729" s="247"/>
      <c r="AT16729" s="247"/>
    </row>
    <row r="16730">
      <c r="C16730" s="278"/>
      <c r="M16730" s="278"/>
      <c r="O16730" s="247"/>
      <c r="AC16730" s="247"/>
      <c r="AT16730" s="247"/>
    </row>
    <row r="16731">
      <c r="C16731" s="278"/>
      <c r="M16731" s="278"/>
      <c r="O16731" s="247"/>
      <c r="AC16731" s="247"/>
      <c r="AT16731" s="247"/>
    </row>
    <row r="16732">
      <c r="C16732" s="278"/>
      <c r="M16732" s="278"/>
      <c r="O16732" s="247"/>
      <c r="AC16732" s="247"/>
      <c r="AT16732" s="247"/>
    </row>
    <row r="16733">
      <c r="C16733" s="278"/>
      <c r="M16733" s="278"/>
      <c r="O16733" s="247"/>
      <c r="AC16733" s="247"/>
      <c r="AT16733" s="247"/>
    </row>
    <row r="16734">
      <c r="C16734" s="278"/>
      <c r="M16734" s="278"/>
      <c r="O16734" s="247"/>
      <c r="AC16734" s="247"/>
      <c r="AT16734" s="247"/>
    </row>
    <row r="16735">
      <c r="C16735" s="278"/>
      <c r="M16735" s="278"/>
      <c r="O16735" s="247"/>
      <c r="AC16735" s="247"/>
      <c r="AT16735" s="247"/>
    </row>
    <row r="16736">
      <c r="C16736" s="278"/>
      <c r="M16736" s="278"/>
      <c r="O16736" s="247"/>
      <c r="AC16736" s="247"/>
      <c r="AT16736" s="247"/>
    </row>
    <row r="16737">
      <c r="C16737" s="278"/>
      <c r="M16737" s="278"/>
      <c r="O16737" s="247"/>
      <c r="AC16737" s="247"/>
      <c r="AT16737" s="247"/>
    </row>
    <row r="16738">
      <c r="C16738" s="278"/>
      <c r="M16738" s="278"/>
      <c r="O16738" s="247"/>
      <c r="AC16738" s="247"/>
      <c r="AT16738" s="247"/>
    </row>
    <row r="16739">
      <c r="C16739" s="278"/>
      <c r="M16739" s="278"/>
      <c r="O16739" s="247"/>
      <c r="AC16739" s="247"/>
      <c r="AT16739" s="247"/>
    </row>
    <row r="16740">
      <c r="C16740" s="278"/>
      <c r="M16740" s="278"/>
      <c r="O16740" s="247"/>
      <c r="AC16740" s="247"/>
      <c r="AT16740" s="247"/>
    </row>
    <row r="16741">
      <c r="C16741" s="278"/>
      <c r="M16741" s="278"/>
      <c r="O16741" s="247"/>
      <c r="AC16741" s="247"/>
      <c r="AT16741" s="247"/>
    </row>
    <row r="16742">
      <c r="C16742" s="278"/>
      <c r="M16742" s="278"/>
      <c r="O16742" s="247"/>
      <c r="AC16742" s="247"/>
      <c r="AT16742" s="247"/>
    </row>
    <row r="16743">
      <c r="C16743" s="278"/>
      <c r="M16743" s="278"/>
      <c r="O16743" s="247"/>
      <c r="AC16743" s="247"/>
      <c r="AT16743" s="247"/>
    </row>
    <row r="16744">
      <c r="C16744" s="278"/>
      <c r="M16744" s="278"/>
      <c r="O16744" s="247"/>
      <c r="AC16744" s="247"/>
      <c r="AT16744" s="247"/>
    </row>
    <row r="16745">
      <c r="C16745" s="278"/>
      <c r="M16745" s="278"/>
      <c r="O16745" s="247"/>
      <c r="AC16745" s="247"/>
      <c r="AT16745" s="247"/>
    </row>
    <row r="16746">
      <c r="C16746" s="278"/>
      <c r="M16746" s="278"/>
      <c r="O16746" s="247"/>
      <c r="AC16746" s="247"/>
      <c r="AT16746" s="247"/>
    </row>
    <row r="16747">
      <c r="C16747" s="278"/>
      <c r="M16747" s="278"/>
      <c r="O16747" s="247"/>
      <c r="AC16747" s="247"/>
      <c r="AT16747" s="247"/>
    </row>
    <row r="16748">
      <c r="C16748" s="278"/>
      <c r="M16748" s="278"/>
      <c r="O16748" s="247"/>
      <c r="AC16748" s="247"/>
      <c r="AT16748" s="247"/>
    </row>
    <row r="16749">
      <c r="C16749" s="278"/>
      <c r="M16749" s="278"/>
      <c r="O16749" s="247"/>
      <c r="AC16749" s="247"/>
      <c r="AT16749" s="247"/>
    </row>
    <row r="16750">
      <c r="C16750" s="278"/>
      <c r="M16750" s="278"/>
      <c r="O16750" s="247"/>
      <c r="AC16750" s="247"/>
      <c r="AT16750" s="247"/>
    </row>
    <row r="16751">
      <c r="C16751" s="278"/>
      <c r="M16751" s="278"/>
      <c r="O16751" s="247"/>
      <c r="AC16751" s="247"/>
      <c r="AT16751" s="247"/>
    </row>
    <row r="16752">
      <c r="C16752" s="278"/>
      <c r="M16752" s="278"/>
      <c r="O16752" s="247"/>
      <c r="AC16752" s="247"/>
      <c r="AT16752" s="247"/>
    </row>
    <row r="16753">
      <c r="C16753" s="278"/>
      <c r="M16753" s="278"/>
      <c r="O16753" s="247"/>
      <c r="AC16753" s="247"/>
      <c r="AT16753" s="247"/>
    </row>
    <row r="16754">
      <c r="C16754" s="278"/>
      <c r="M16754" s="278"/>
      <c r="O16754" s="247"/>
      <c r="AC16754" s="247"/>
      <c r="AT16754" s="247"/>
    </row>
    <row r="16755">
      <c r="C16755" s="278"/>
      <c r="M16755" s="278"/>
      <c r="O16755" s="247"/>
      <c r="AC16755" s="247"/>
      <c r="AT16755" s="247"/>
    </row>
    <row r="16756">
      <c r="C16756" s="278"/>
      <c r="M16756" s="278"/>
      <c r="O16756" s="247"/>
      <c r="AC16756" s="247"/>
      <c r="AT16756" s="247"/>
    </row>
    <row r="16757">
      <c r="C16757" s="278"/>
      <c r="M16757" s="278"/>
      <c r="O16757" s="247"/>
      <c r="AC16757" s="247"/>
      <c r="AT16757" s="247"/>
    </row>
    <row r="16758">
      <c r="C16758" s="278"/>
      <c r="M16758" s="278"/>
      <c r="O16758" s="247"/>
      <c r="AC16758" s="247"/>
      <c r="AT16758" s="247"/>
    </row>
    <row r="16759">
      <c r="C16759" s="278"/>
      <c r="M16759" s="278"/>
      <c r="O16759" s="247"/>
      <c r="AC16759" s="247"/>
      <c r="AT16759" s="247"/>
    </row>
    <row r="16760">
      <c r="C16760" s="278"/>
      <c r="M16760" s="278"/>
      <c r="O16760" s="247"/>
      <c r="AC16760" s="247"/>
      <c r="AT16760" s="247"/>
    </row>
    <row r="16761">
      <c r="C16761" s="278"/>
      <c r="M16761" s="278"/>
      <c r="O16761" s="247"/>
      <c r="AC16761" s="247"/>
      <c r="AT16761" s="247"/>
    </row>
    <row r="16762">
      <c r="C16762" s="278"/>
      <c r="M16762" s="278"/>
      <c r="O16762" s="247"/>
      <c r="AC16762" s="247"/>
      <c r="AT16762" s="247"/>
    </row>
    <row r="16763">
      <c r="C16763" s="278"/>
      <c r="M16763" s="278"/>
      <c r="O16763" s="247"/>
      <c r="AC16763" s="247"/>
      <c r="AT16763" s="247"/>
    </row>
    <row r="16764">
      <c r="C16764" s="278"/>
      <c r="M16764" s="278"/>
      <c r="O16764" s="247"/>
      <c r="AC16764" s="247"/>
      <c r="AT16764" s="247"/>
    </row>
    <row r="16765">
      <c r="C16765" s="278"/>
      <c r="M16765" s="278"/>
      <c r="O16765" s="247"/>
      <c r="AC16765" s="247"/>
      <c r="AT16765" s="247"/>
    </row>
    <row r="16766">
      <c r="C16766" s="278"/>
      <c r="M16766" s="278"/>
      <c r="O16766" s="247"/>
      <c r="AC16766" s="247"/>
      <c r="AT16766" s="247"/>
    </row>
    <row r="16767">
      <c r="C16767" s="277"/>
      <c r="M16767" s="278"/>
      <c r="O16767" s="247"/>
      <c r="AC16767" s="247"/>
      <c r="AT16767" s="247"/>
    </row>
    <row r="16768">
      <c r="C16768" s="278"/>
      <c r="M16768" s="278"/>
      <c r="O16768" s="247"/>
      <c r="AC16768" s="247"/>
      <c r="AT16768" s="247"/>
    </row>
    <row r="16769">
      <c r="C16769" s="278"/>
      <c r="M16769" s="278"/>
      <c r="O16769" s="247"/>
      <c r="AC16769" s="247"/>
      <c r="AT16769" s="247"/>
    </row>
    <row r="16770">
      <c r="C16770" s="278"/>
      <c r="M16770" s="278"/>
      <c r="O16770" s="247"/>
      <c r="AC16770" s="247"/>
      <c r="AT16770" s="247"/>
    </row>
    <row r="16771">
      <c r="C16771" s="278"/>
      <c r="M16771" s="278"/>
      <c r="O16771" s="247"/>
      <c r="AC16771" s="247"/>
      <c r="AT16771" s="247"/>
    </row>
    <row r="16772">
      <c r="C16772" s="278"/>
      <c r="M16772" s="278"/>
      <c r="O16772" s="247"/>
      <c r="AC16772" s="247"/>
      <c r="AT16772" s="247"/>
    </row>
    <row r="16773">
      <c r="C16773" s="278"/>
      <c r="M16773" s="278"/>
      <c r="O16773" s="247"/>
      <c r="AC16773" s="247"/>
      <c r="AT16773" s="247"/>
    </row>
    <row r="16774">
      <c r="C16774" s="278"/>
      <c r="M16774" s="278"/>
      <c r="O16774" s="247"/>
      <c r="AC16774" s="247"/>
      <c r="AT16774" s="247"/>
    </row>
    <row r="16775">
      <c r="C16775" s="278"/>
      <c r="M16775" s="278"/>
      <c r="O16775" s="247"/>
      <c r="AC16775" s="247"/>
      <c r="AT16775" s="247"/>
    </row>
    <row r="16776">
      <c r="C16776" s="278"/>
      <c r="M16776" s="278"/>
      <c r="O16776" s="247"/>
      <c r="AC16776" s="247"/>
      <c r="AT16776" s="247"/>
    </row>
    <row r="16777">
      <c r="C16777" s="278"/>
      <c r="M16777" s="278"/>
      <c r="O16777" s="247"/>
      <c r="AC16777" s="247"/>
      <c r="AT16777" s="247"/>
    </row>
    <row r="16778">
      <c r="C16778" s="278"/>
      <c r="M16778" s="278"/>
      <c r="O16778" s="247"/>
      <c r="AC16778" s="247"/>
      <c r="AT16778" s="247"/>
    </row>
    <row r="16779">
      <c r="C16779" s="278"/>
      <c r="M16779" s="278"/>
      <c r="O16779" s="247"/>
      <c r="AC16779" s="247"/>
      <c r="AT16779" s="247"/>
    </row>
    <row r="16780">
      <c r="C16780" s="278"/>
      <c r="M16780" s="278"/>
      <c r="O16780" s="247"/>
      <c r="AC16780" s="247"/>
      <c r="AT16780" s="247"/>
    </row>
    <row r="16781">
      <c r="C16781" s="278"/>
      <c r="M16781" s="278"/>
      <c r="O16781" s="247"/>
      <c r="AC16781" s="247"/>
      <c r="AT16781" s="247"/>
    </row>
    <row r="16782">
      <c r="C16782" s="278"/>
      <c r="M16782" s="278"/>
      <c r="O16782" s="247"/>
      <c r="AC16782" s="247"/>
      <c r="AT16782" s="247"/>
    </row>
    <row r="16783">
      <c r="C16783" s="278"/>
      <c r="M16783" s="278"/>
      <c r="O16783" s="247"/>
      <c r="AC16783" s="247"/>
      <c r="AT16783" s="247"/>
    </row>
    <row r="16784">
      <c r="C16784" s="278"/>
      <c r="M16784" s="278"/>
      <c r="O16784" s="247"/>
      <c r="AC16784" s="247"/>
      <c r="AT16784" s="247"/>
    </row>
    <row r="16785">
      <c r="C16785" s="278"/>
      <c r="M16785" s="278"/>
      <c r="O16785" s="247"/>
      <c r="AC16785" s="247"/>
      <c r="AT16785" s="247"/>
    </row>
    <row r="16786">
      <c r="C16786" s="278"/>
      <c r="M16786" s="278"/>
      <c r="O16786" s="247"/>
      <c r="AC16786" s="247"/>
      <c r="AT16786" s="247"/>
    </row>
    <row r="16787">
      <c r="C16787" s="278"/>
      <c r="M16787" s="278"/>
      <c r="O16787" s="247"/>
      <c r="AC16787" s="247"/>
      <c r="AT16787" s="247"/>
    </row>
    <row r="16788">
      <c r="C16788" s="278"/>
      <c r="M16788" s="278"/>
      <c r="O16788" s="247"/>
      <c r="AC16788" s="247"/>
      <c r="AT16788" s="247"/>
    </row>
    <row r="16789">
      <c r="C16789" s="278"/>
      <c r="M16789" s="278"/>
      <c r="O16789" s="247"/>
      <c r="AC16789" s="247"/>
      <c r="AT16789" s="247"/>
    </row>
    <row r="16790">
      <c r="C16790" s="278"/>
      <c r="M16790" s="278"/>
      <c r="O16790" s="247"/>
      <c r="AC16790" s="247"/>
      <c r="AT16790" s="247"/>
    </row>
    <row r="16791">
      <c r="C16791" s="278"/>
      <c r="M16791" s="278"/>
      <c r="O16791" s="247"/>
      <c r="AC16791" s="247"/>
      <c r="AT16791" s="247"/>
    </row>
    <row r="16792">
      <c r="C16792" s="278"/>
      <c r="M16792" s="278"/>
      <c r="O16792" s="247"/>
      <c r="AC16792" s="247"/>
      <c r="AT16792" s="247"/>
    </row>
    <row r="16793">
      <c r="C16793" s="278"/>
      <c r="M16793" s="278"/>
      <c r="O16793" s="247"/>
      <c r="AC16793" s="247"/>
      <c r="AT16793" s="247"/>
    </row>
    <row r="16794">
      <c r="C16794" s="278"/>
      <c r="M16794" s="278"/>
      <c r="O16794" s="247"/>
      <c r="AC16794" s="247"/>
      <c r="AT16794" s="247"/>
    </row>
    <row r="16795">
      <c r="C16795" s="278"/>
      <c r="M16795" s="278"/>
      <c r="O16795" s="247"/>
      <c r="AC16795" s="247"/>
      <c r="AT16795" s="247"/>
    </row>
    <row r="16796">
      <c r="C16796" s="278"/>
      <c r="M16796" s="278"/>
      <c r="O16796" s="247"/>
      <c r="AC16796" s="247"/>
      <c r="AT16796" s="247"/>
    </row>
    <row r="16797">
      <c r="C16797" s="278"/>
      <c r="M16797" s="278"/>
      <c r="O16797" s="247"/>
      <c r="AC16797" s="247"/>
      <c r="AT16797" s="247"/>
    </row>
    <row r="16798">
      <c r="C16798" s="278"/>
      <c r="M16798" s="278"/>
      <c r="O16798" s="247"/>
      <c r="AC16798" s="247"/>
      <c r="AT16798" s="247"/>
    </row>
    <row r="16799">
      <c r="C16799" s="278"/>
      <c r="M16799" s="278"/>
      <c r="O16799" s="247"/>
      <c r="AC16799" s="247"/>
      <c r="AT16799" s="247"/>
    </row>
    <row r="16800">
      <c r="C16800" s="278"/>
      <c r="M16800" s="278"/>
      <c r="O16800" s="247"/>
      <c r="AC16800" s="247"/>
      <c r="AT16800" s="247"/>
    </row>
    <row r="16801">
      <c r="C16801" s="278"/>
      <c r="M16801" s="278"/>
      <c r="O16801" s="247"/>
      <c r="AC16801" s="247"/>
      <c r="AT16801" s="247"/>
    </row>
    <row r="16802">
      <c r="C16802" s="278"/>
      <c r="M16802" s="278"/>
      <c r="O16802" s="247"/>
      <c r="AC16802" s="247"/>
      <c r="AT16802" s="247"/>
    </row>
    <row r="16803">
      <c r="C16803" s="278"/>
      <c r="M16803" s="278"/>
      <c r="O16803" s="247"/>
      <c r="AC16803" s="247"/>
      <c r="AT16803" s="247"/>
    </row>
    <row r="16804">
      <c r="C16804" s="278"/>
      <c r="M16804" s="278"/>
      <c r="O16804" s="247"/>
      <c r="AC16804" s="247"/>
      <c r="AT16804" s="247"/>
    </row>
    <row r="16805">
      <c r="C16805" s="278"/>
      <c r="M16805" s="278"/>
      <c r="O16805" s="247"/>
      <c r="AC16805" s="247"/>
      <c r="AT16805" s="247"/>
    </row>
    <row r="16806">
      <c r="C16806" s="278"/>
      <c r="M16806" s="278"/>
      <c r="O16806" s="247"/>
      <c r="AC16806" s="247"/>
      <c r="AT16806" s="247"/>
    </row>
    <row r="16807">
      <c r="C16807" s="278"/>
      <c r="M16807" s="278"/>
      <c r="O16807" s="247"/>
      <c r="AC16807" s="247"/>
      <c r="AT16807" s="247"/>
    </row>
    <row r="16808">
      <c r="C16808" s="278"/>
      <c r="M16808" s="278"/>
      <c r="O16808" s="247"/>
      <c r="AC16808" s="247"/>
      <c r="AT16808" s="247"/>
    </row>
    <row r="16809">
      <c r="C16809" s="278"/>
      <c r="M16809" s="278"/>
      <c r="O16809" s="247"/>
      <c r="AC16809" s="247"/>
      <c r="AT16809" s="247"/>
    </row>
    <row r="16810">
      <c r="C16810" s="278"/>
      <c r="M16810" s="278"/>
      <c r="O16810" s="247"/>
      <c r="AC16810" s="247"/>
      <c r="AT16810" s="247"/>
    </row>
    <row r="16811">
      <c r="C16811" s="278"/>
      <c r="M16811" s="278"/>
      <c r="O16811" s="247"/>
      <c r="AC16811" s="247"/>
      <c r="AT16811" s="247"/>
    </row>
    <row r="16812">
      <c r="C16812" s="278"/>
      <c r="M16812" s="278"/>
      <c r="O16812" s="247"/>
      <c r="AC16812" s="247"/>
      <c r="AT16812" s="247"/>
    </row>
    <row r="16813">
      <c r="C16813" s="278"/>
      <c r="M16813" s="278"/>
      <c r="O16813" s="247"/>
      <c r="AC16813" s="247"/>
      <c r="AT16813" s="247"/>
    </row>
    <row r="16814">
      <c r="C16814" s="278"/>
      <c r="M16814" s="278"/>
      <c r="O16814" s="247"/>
      <c r="AC16814" s="247"/>
      <c r="AT16814" s="247"/>
    </row>
    <row r="16815">
      <c r="C16815" s="278"/>
      <c r="M16815" s="278"/>
      <c r="O16815" s="247"/>
      <c r="AC16815" s="247"/>
      <c r="AT16815" s="247"/>
    </row>
    <row r="16816">
      <c r="C16816" s="278"/>
      <c r="M16816" s="278"/>
      <c r="O16816" s="247"/>
      <c r="AC16816" s="247"/>
      <c r="AT16816" s="247"/>
    </row>
    <row r="16817">
      <c r="C16817" s="278"/>
      <c r="M16817" s="278"/>
      <c r="O16817" s="247"/>
      <c r="AC16817" s="247"/>
      <c r="AT16817" s="247"/>
    </row>
    <row r="16818">
      <c r="C16818" s="278"/>
      <c r="M16818" s="278"/>
      <c r="O16818" s="247"/>
      <c r="AC16818" s="247"/>
      <c r="AT16818" s="247"/>
    </row>
    <row r="16819">
      <c r="C16819" s="278"/>
      <c r="M16819" s="278"/>
      <c r="O16819" s="247"/>
      <c r="AC16819" s="247"/>
      <c r="AT16819" s="247"/>
    </row>
    <row r="16820">
      <c r="C16820" s="278"/>
      <c r="M16820" s="278"/>
      <c r="O16820" s="247"/>
      <c r="AC16820" s="247"/>
      <c r="AT16820" s="247"/>
    </row>
    <row r="16821">
      <c r="C16821" s="278"/>
      <c r="M16821" s="278"/>
      <c r="O16821" s="247"/>
      <c r="AC16821" s="247"/>
      <c r="AT16821" s="247"/>
    </row>
    <row r="16822">
      <c r="C16822" s="278"/>
      <c r="M16822" s="278"/>
      <c r="O16822" s="247"/>
      <c r="AC16822" s="247"/>
      <c r="AT16822" s="247"/>
    </row>
    <row r="16823">
      <c r="C16823" s="278"/>
      <c r="M16823" s="278"/>
      <c r="O16823" s="247"/>
      <c r="AC16823" s="247"/>
      <c r="AT16823" s="247"/>
    </row>
    <row r="16824">
      <c r="C16824" s="278"/>
      <c r="M16824" s="278"/>
      <c r="O16824" s="247"/>
      <c r="AC16824" s="247"/>
      <c r="AT16824" s="247"/>
    </row>
    <row r="16825">
      <c r="C16825" s="278"/>
      <c r="M16825" s="278"/>
      <c r="O16825" s="247"/>
      <c r="AC16825" s="247"/>
      <c r="AT16825" s="247"/>
    </row>
    <row r="16826">
      <c r="C16826" s="278"/>
      <c r="M16826" s="278"/>
      <c r="O16826" s="247"/>
      <c r="AC16826" s="247"/>
      <c r="AT16826" s="247"/>
    </row>
    <row r="16827">
      <c r="C16827" s="278"/>
      <c r="M16827" s="278"/>
      <c r="O16827" s="247"/>
      <c r="AC16827" s="247"/>
      <c r="AT16827" s="247"/>
    </row>
    <row r="16828">
      <c r="C16828" s="278"/>
      <c r="M16828" s="278"/>
      <c r="O16828" s="247"/>
      <c r="AC16828" s="247"/>
      <c r="AT16828" s="247"/>
    </row>
    <row r="16829">
      <c r="C16829" s="278"/>
      <c r="M16829" s="278"/>
      <c r="O16829" s="247"/>
      <c r="AC16829" s="247"/>
      <c r="AT16829" s="247"/>
    </row>
    <row r="16830">
      <c r="C16830" s="278"/>
      <c r="M16830" s="278"/>
      <c r="O16830" s="247"/>
      <c r="AC16830" s="247"/>
      <c r="AT16830" s="247"/>
    </row>
    <row r="16831">
      <c r="C16831" s="278"/>
      <c r="M16831" s="278"/>
      <c r="O16831" s="247"/>
      <c r="AC16831" s="247"/>
      <c r="AT16831" s="247"/>
    </row>
    <row r="16832">
      <c r="C16832" s="278"/>
      <c r="M16832" s="278"/>
      <c r="O16832" s="247"/>
      <c r="AC16832" s="247"/>
      <c r="AT16832" s="247"/>
    </row>
    <row r="16833">
      <c r="C16833" s="278"/>
      <c r="M16833" s="278"/>
      <c r="O16833" s="247"/>
      <c r="AC16833" s="247"/>
      <c r="AT16833" s="247"/>
    </row>
    <row r="16834">
      <c r="C16834" s="278"/>
      <c r="M16834" s="278"/>
      <c r="O16834" s="247"/>
      <c r="AC16834" s="247"/>
      <c r="AT16834" s="247"/>
    </row>
    <row r="16835">
      <c r="C16835" s="278"/>
      <c r="M16835" s="278"/>
      <c r="O16835" s="247"/>
      <c r="AC16835" s="247"/>
      <c r="AT16835" s="247"/>
    </row>
    <row r="16836">
      <c r="C16836" s="278"/>
      <c r="M16836" s="278"/>
      <c r="O16836" s="247"/>
      <c r="AC16836" s="247"/>
      <c r="AT16836" s="247"/>
    </row>
    <row r="16837">
      <c r="C16837" s="278"/>
      <c r="M16837" s="278"/>
      <c r="O16837" s="247"/>
      <c r="AC16837" s="247"/>
      <c r="AT16837" s="247"/>
    </row>
    <row r="16838">
      <c r="C16838" s="278"/>
      <c r="M16838" s="278"/>
      <c r="O16838" s="247"/>
      <c r="AC16838" s="247"/>
      <c r="AT16838" s="247"/>
    </row>
    <row r="16839">
      <c r="C16839" s="278"/>
      <c r="M16839" s="278"/>
      <c r="O16839" s="247"/>
      <c r="AC16839" s="247"/>
      <c r="AT16839" s="247"/>
    </row>
    <row r="16840">
      <c r="C16840" s="278"/>
      <c r="M16840" s="278"/>
      <c r="O16840" s="247"/>
      <c r="AC16840" s="247"/>
      <c r="AT16840" s="247"/>
    </row>
    <row r="16841">
      <c r="C16841" s="278"/>
      <c r="M16841" s="278"/>
      <c r="O16841" s="247"/>
      <c r="AC16841" s="247"/>
      <c r="AT16841" s="247"/>
    </row>
    <row r="16842">
      <c r="C16842" s="278"/>
      <c r="M16842" s="278"/>
      <c r="O16842" s="247"/>
      <c r="AC16842" s="247"/>
      <c r="AT16842" s="247"/>
    </row>
    <row r="16843">
      <c r="C16843" s="278"/>
      <c r="M16843" s="278"/>
      <c r="O16843" s="247"/>
      <c r="AC16843" s="247"/>
      <c r="AT16843" s="247"/>
    </row>
    <row r="16844">
      <c r="C16844" s="278"/>
      <c r="M16844" s="278"/>
      <c r="O16844" s="247"/>
      <c r="AC16844" s="247"/>
      <c r="AT16844" s="247"/>
    </row>
    <row r="16845">
      <c r="C16845" s="278"/>
      <c r="M16845" s="278"/>
      <c r="O16845" s="247"/>
      <c r="AC16845" s="247"/>
      <c r="AT16845" s="247"/>
    </row>
    <row r="16846">
      <c r="C16846" s="278"/>
      <c r="M16846" s="278"/>
      <c r="O16846" s="247"/>
      <c r="AC16846" s="247"/>
      <c r="AT16846" s="247"/>
    </row>
    <row r="16847">
      <c r="C16847" s="278"/>
      <c r="M16847" s="278"/>
      <c r="O16847" s="247"/>
      <c r="AC16847" s="247"/>
      <c r="AT16847" s="247"/>
    </row>
    <row r="16848">
      <c r="C16848" s="278"/>
      <c r="M16848" s="278"/>
      <c r="O16848" s="247"/>
      <c r="AC16848" s="247"/>
      <c r="AT16848" s="247"/>
    </row>
    <row r="16849">
      <c r="C16849" s="278"/>
      <c r="M16849" s="278"/>
      <c r="O16849" s="247"/>
      <c r="AC16849" s="247"/>
      <c r="AT16849" s="247"/>
    </row>
    <row r="16850">
      <c r="C16850" s="278"/>
      <c r="M16850" s="278"/>
      <c r="O16850" s="247"/>
      <c r="AC16850" s="247"/>
      <c r="AT16850" s="247"/>
    </row>
    <row r="16851">
      <c r="C16851" s="278"/>
      <c r="M16851" s="278"/>
      <c r="O16851" s="247"/>
      <c r="AC16851" s="247"/>
      <c r="AT16851" s="247"/>
    </row>
    <row r="16852">
      <c r="C16852" s="278"/>
      <c r="M16852" s="278"/>
      <c r="O16852" s="247"/>
      <c r="AC16852" s="247"/>
      <c r="AT16852" s="247"/>
    </row>
    <row r="16853">
      <c r="C16853" s="278"/>
      <c r="M16853" s="278"/>
      <c r="O16853" s="247"/>
      <c r="AC16853" s="247"/>
      <c r="AT16853" s="247"/>
    </row>
    <row r="16854">
      <c r="C16854" s="278"/>
      <c r="M16854" s="278"/>
      <c r="O16854" s="247"/>
      <c r="AC16854" s="247"/>
      <c r="AT16854" s="247"/>
    </row>
    <row r="16855">
      <c r="C16855" s="278"/>
      <c r="M16855" s="278"/>
      <c r="O16855" s="247"/>
      <c r="AC16855" s="247"/>
      <c r="AT16855" s="247"/>
    </row>
    <row r="16856">
      <c r="C16856" s="278"/>
      <c r="M16856" s="278"/>
      <c r="O16856" s="247"/>
      <c r="AC16856" s="247"/>
      <c r="AT16856" s="247"/>
    </row>
    <row r="16857">
      <c r="C16857" s="278"/>
      <c r="M16857" s="278"/>
      <c r="O16857" s="247"/>
      <c r="AC16857" s="247"/>
      <c r="AT16857" s="247"/>
    </row>
    <row r="16858">
      <c r="C16858" s="278"/>
      <c r="M16858" s="278"/>
      <c r="O16858" s="247"/>
      <c r="AC16858" s="247"/>
      <c r="AT16858" s="247"/>
    </row>
    <row r="16859">
      <c r="C16859" s="278"/>
      <c r="M16859" s="278"/>
      <c r="O16859" s="247"/>
      <c r="AC16859" s="247"/>
      <c r="AT16859" s="247"/>
    </row>
    <row r="16860">
      <c r="C16860" s="278"/>
      <c r="M16860" s="278"/>
      <c r="O16860" s="247"/>
      <c r="AC16860" s="247"/>
      <c r="AT16860" s="247"/>
    </row>
    <row r="16861">
      <c r="C16861" s="278"/>
      <c r="M16861" s="278"/>
      <c r="O16861" s="247"/>
      <c r="AC16861" s="247"/>
      <c r="AT16861" s="247"/>
    </row>
    <row r="16862">
      <c r="C16862" s="278"/>
      <c r="M16862" s="278"/>
      <c r="O16862" s="247"/>
      <c r="AC16862" s="247"/>
      <c r="AT16862" s="247"/>
    </row>
    <row r="16863">
      <c r="C16863" s="278"/>
      <c r="M16863" s="278"/>
      <c r="O16863" s="247"/>
      <c r="AC16863" s="247"/>
      <c r="AT16863" s="247"/>
    </row>
    <row r="16864">
      <c r="C16864" s="278"/>
      <c r="M16864" s="278"/>
      <c r="O16864" s="247"/>
      <c r="AC16864" s="247"/>
      <c r="AT16864" s="247"/>
    </row>
    <row r="16865">
      <c r="C16865" s="278"/>
      <c r="M16865" s="278"/>
      <c r="O16865" s="247"/>
      <c r="AC16865" s="247"/>
      <c r="AT16865" s="247"/>
    </row>
    <row r="16866">
      <c r="C16866" s="278"/>
      <c r="M16866" s="278"/>
      <c r="O16866" s="247"/>
      <c r="AC16866" s="247"/>
      <c r="AT16866" s="247"/>
    </row>
    <row r="16867">
      <c r="C16867" s="278"/>
      <c r="M16867" s="278"/>
      <c r="O16867" s="247"/>
      <c r="AC16867" s="247"/>
      <c r="AT16867" s="247"/>
    </row>
    <row r="16868">
      <c r="C16868" s="278"/>
      <c r="M16868" s="278"/>
      <c r="O16868" s="247"/>
      <c r="AC16868" s="247"/>
      <c r="AT16868" s="247"/>
    </row>
    <row r="16869">
      <c r="C16869" s="278"/>
      <c r="M16869" s="278"/>
      <c r="O16869" s="247"/>
      <c r="AC16869" s="247"/>
      <c r="AT16869" s="247"/>
    </row>
    <row r="16870">
      <c r="C16870" s="278"/>
      <c r="M16870" s="278"/>
      <c r="O16870" s="247"/>
      <c r="AC16870" s="247"/>
      <c r="AT16870" s="247"/>
    </row>
    <row r="16871">
      <c r="C16871" s="278"/>
      <c r="M16871" s="278"/>
      <c r="O16871" s="247"/>
      <c r="AC16871" s="247"/>
      <c r="AT16871" s="247"/>
    </row>
    <row r="16872">
      <c r="C16872" s="278"/>
      <c r="M16872" s="278"/>
      <c r="O16872" s="247"/>
      <c r="AC16872" s="247"/>
      <c r="AT16872" s="247"/>
    </row>
    <row r="16873">
      <c r="C16873" s="278"/>
      <c r="M16873" s="278"/>
      <c r="O16873" s="247"/>
      <c r="AC16873" s="247"/>
      <c r="AT16873" s="247"/>
    </row>
    <row r="16874">
      <c r="C16874" s="278"/>
      <c r="M16874" s="278"/>
      <c r="O16874" s="247"/>
      <c r="AC16874" s="247"/>
      <c r="AT16874" s="247"/>
    </row>
    <row r="16875">
      <c r="C16875" s="278"/>
      <c r="M16875" s="278"/>
      <c r="O16875" s="247"/>
      <c r="AC16875" s="247"/>
      <c r="AT16875" s="247"/>
    </row>
    <row r="16876">
      <c r="C16876" s="278"/>
      <c r="M16876" s="278"/>
      <c r="O16876" s="247"/>
      <c r="AC16876" s="247"/>
      <c r="AT16876" s="247"/>
    </row>
    <row r="16877">
      <c r="C16877" s="278"/>
      <c r="M16877" s="278"/>
      <c r="O16877" s="247"/>
      <c r="AC16877" s="247"/>
      <c r="AT16877" s="247"/>
    </row>
    <row r="16878">
      <c r="C16878" s="278"/>
      <c r="M16878" s="278"/>
      <c r="O16878" s="247"/>
      <c r="AC16878" s="247"/>
      <c r="AT16878" s="247"/>
    </row>
    <row r="16879">
      <c r="C16879" s="278"/>
      <c r="M16879" s="278"/>
      <c r="O16879" s="247"/>
      <c r="AC16879" s="247"/>
      <c r="AT16879" s="247"/>
    </row>
    <row r="16880">
      <c r="C16880" s="278"/>
      <c r="M16880" s="278"/>
      <c r="O16880" s="247"/>
      <c r="AC16880" s="247"/>
      <c r="AT16880" s="247"/>
    </row>
    <row r="16881">
      <c r="C16881" s="278"/>
      <c r="M16881" s="278"/>
      <c r="O16881" s="247"/>
      <c r="AC16881" s="247"/>
      <c r="AT16881" s="247"/>
    </row>
    <row r="16882">
      <c r="C16882" s="278"/>
      <c r="M16882" s="278"/>
      <c r="O16882" s="247"/>
      <c r="AC16882" s="247"/>
      <c r="AT16882" s="247"/>
    </row>
    <row r="16883">
      <c r="C16883" s="278"/>
      <c r="M16883" s="278"/>
      <c r="O16883" s="247"/>
      <c r="AC16883" s="247"/>
      <c r="AT16883" s="247"/>
    </row>
    <row r="16884">
      <c r="C16884" s="278"/>
      <c r="M16884" s="278"/>
      <c r="O16884" s="247"/>
      <c r="AC16884" s="247"/>
      <c r="AT16884" s="247"/>
    </row>
    <row r="16885">
      <c r="C16885" s="278"/>
      <c r="M16885" s="278"/>
      <c r="O16885" s="247"/>
      <c r="AC16885" s="247"/>
      <c r="AT16885" s="247"/>
    </row>
    <row r="16886">
      <c r="C16886" s="278"/>
      <c r="M16886" s="278"/>
      <c r="O16886" s="247"/>
      <c r="AC16886" s="247"/>
      <c r="AT16886" s="247"/>
    </row>
    <row r="16887">
      <c r="C16887" s="278"/>
      <c r="M16887" s="278"/>
      <c r="O16887" s="247"/>
      <c r="AC16887" s="247"/>
      <c r="AT16887" s="247"/>
    </row>
    <row r="16888">
      <c r="C16888" s="278"/>
      <c r="M16888" s="278"/>
      <c r="O16888" s="247"/>
      <c r="AC16888" s="247"/>
      <c r="AT16888" s="247"/>
    </row>
    <row r="16889">
      <c r="C16889" s="278"/>
      <c r="M16889" s="278"/>
      <c r="O16889" s="247"/>
      <c r="AC16889" s="247"/>
      <c r="AT16889" s="247"/>
    </row>
    <row r="16890">
      <c r="C16890" s="278"/>
      <c r="M16890" s="278"/>
      <c r="O16890" s="247"/>
      <c r="AC16890" s="247"/>
      <c r="AT16890" s="247"/>
    </row>
    <row r="16891">
      <c r="C16891" s="278"/>
      <c r="M16891" s="278"/>
      <c r="O16891" s="247"/>
      <c r="AC16891" s="247"/>
      <c r="AT16891" s="247"/>
    </row>
    <row r="16892">
      <c r="C16892" s="278"/>
      <c r="M16892" s="278"/>
      <c r="O16892" s="247"/>
      <c r="AC16892" s="247"/>
      <c r="AT16892" s="247"/>
    </row>
    <row r="16893">
      <c r="C16893" s="278"/>
      <c r="M16893" s="278"/>
      <c r="O16893" s="247"/>
      <c r="AC16893" s="247"/>
      <c r="AT16893" s="247"/>
    </row>
    <row r="16894">
      <c r="C16894" s="278"/>
      <c r="M16894" s="278"/>
      <c r="O16894" s="247"/>
      <c r="AC16894" s="247"/>
      <c r="AT16894" s="247"/>
    </row>
    <row r="16895">
      <c r="C16895" s="278"/>
      <c r="M16895" s="278"/>
      <c r="O16895" s="247"/>
      <c r="AC16895" s="247"/>
      <c r="AT16895" s="247"/>
    </row>
    <row r="16896">
      <c r="C16896" s="278"/>
      <c r="M16896" s="278"/>
      <c r="O16896" s="247"/>
      <c r="AC16896" s="247"/>
      <c r="AT16896" s="247"/>
    </row>
    <row r="16897">
      <c r="C16897" s="278"/>
      <c r="M16897" s="278"/>
      <c r="O16897" s="247"/>
      <c r="AC16897" s="247"/>
      <c r="AT16897" s="247"/>
    </row>
    <row r="16898">
      <c r="C16898" s="278"/>
      <c r="M16898" s="278"/>
      <c r="O16898" s="247"/>
      <c r="AC16898" s="247"/>
      <c r="AT16898" s="247"/>
    </row>
    <row r="16899">
      <c r="C16899" s="278"/>
      <c r="M16899" s="278"/>
      <c r="O16899" s="247"/>
      <c r="AC16899" s="247"/>
      <c r="AT16899" s="247"/>
    </row>
    <row r="16900">
      <c r="C16900" s="278"/>
      <c r="M16900" s="278"/>
      <c r="O16900" s="247"/>
      <c r="AC16900" s="247"/>
      <c r="AT16900" s="247"/>
    </row>
    <row r="16901">
      <c r="C16901" s="278"/>
      <c r="M16901" s="278"/>
      <c r="O16901" s="247"/>
      <c r="AC16901" s="247"/>
      <c r="AT16901" s="247"/>
    </row>
    <row r="16902">
      <c r="C16902" s="278"/>
      <c r="M16902" s="278"/>
      <c r="O16902" s="247"/>
      <c r="AC16902" s="247"/>
      <c r="AT16902" s="247"/>
    </row>
    <row r="16903">
      <c r="C16903" s="278"/>
      <c r="M16903" s="278"/>
      <c r="O16903" s="247"/>
      <c r="AC16903" s="247"/>
      <c r="AT16903" s="247"/>
    </row>
    <row r="16904">
      <c r="C16904" s="278"/>
      <c r="M16904" s="278"/>
      <c r="O16904" s="247"/>
      <c r="AC16904" s="247"/>
      <c r="AT16904" s="247"/>
    </row>
    <row r="16905">
      <c r="C16905" s="278"/>
      <c r="M16905" s="278"/>
      <c r="O16905" s="247"/>
      <c r="AC16905" s="247"/>
      <c r="AT16905" s="247"/>
    </row>
    <row r="16906">
      <c r="C16906" s="278"/>
      <c r="M16906" s="278"/>
      <c r="O16906" s="247"/>
      <c r="AC16906" s="247"/>
      <c r="AT16906" s="247"/>
    </row>
    <row r="16907">
      <c r="C16907" s="278"/>
      <c r="M16907" s="278"/>
      <c r="O16907" s="247"/>
      <c r="AC16907" s="247"/>
      <c r="AT16907" s="247"/>
    </row>
    <row r="16908">
      <c r="C16908" s="278"/>
      <c r="M16908" s="278"/>
      <c r="O16908" s="247"/>
      <c r="AC16908" s="247"/>
      <c r="AT16908" s="247"/>
    </row>
    <row r="16909">
      <c r="C16909" s="278"/>
      <c r="M16909" s="278"/>
      <c r="O16909" s="247"/>
      <c r="AC16909" s="247"/>
      <c r="AT16909" s="247"/>
    </row>
    <row r="16910">
      <c r="C16910" s="278"/>
      <c r="M16910" s="278"/>
      <c r="O16910" s="247"/>
      <c r="AC16910" s="247"/>
      <c r="AT16910" s="247"/>
    </row>
    <row r="16911">
      <c r="C16911" s="278"/>
      <c r="M16911" s="278"/>
      <c r="O16911" s="247"/>
      <c r="AC16911" s="247"/>
      <c r="AT16911" s="247"/>
    </row>
    <row r="16912">
      <c r="C16912" s="278"/>
      <c r="M16912" s="278"/>
      <c r="O16912" s="247"/>
      <c r="AC16912" s="247"/>
      <c r="AT16912" s="247"/>
    </row>
    <row r="16913">
      <c r="C16913" s="278"/>
      <c r="M16913" s="278"/>
      <c r="O16913" s="247"/>
      <c r="AC16913" s="247"/>
      <c r="AT16913" s="247"/>
    </row>
    <row r="16914">
      <c r="C16914" s="278"/>
      <c r="M16914" s="278"/>
      <c r="O16914" s="247"/>
      <c r="AC16914" s="247"/>
      <c r="AT16914" s="247"/>
    </row>
    <row r="16915">
      <c r="C16915" s="278"/>
      <c r="M16915" s="278"/>
      <c r="O16915" s="247"/>
      <c r="AC16915" s="247"/>
      <c r="AT16915" s="247"/>
    </row>
    <row r="16916">
      <c r="C16916" s="278"/>
      <c r="M16916" s="278"/>
      <c r="O16916" s="247"/>
      <c r="AC16916" s="247"/>
      <c r="AT16916" s="247"/>
    </row>
    <row r="16917">
      <c r="C16917" s="278"/>
      <c r="M16917" s="278"/>
      <c r="O16917" s="247"/>
      <c r="AC16917" s="247"/>
      <c r="AT16917" s="247"/>
    </row>
    <row r="16918">
      <c r="C16918" s="278"/>
      <c r="M16918" s="278"/>
      <c r="O16918" s="247"/>
      <c r="AC16918" s="247"/>
      <c r="AT16918" s="247"/>
    </row>
    <row r="16919">
      <c r="C16919" s="278"/>
      <c r="M16919" s="278"/>
      <c r="O16919" s="247"/>
      <c r="AC16919" s="247"/>
      <c r="AT16919" s="247"/>
    </row>
    <row r="16920">
      <c r="C16920" s="278"/>
      <c r="M16920" s="278"/>
      <c r="O16920" s="247"/>
      <c r="AC16920" s="247"/>
      <c r="AT16920" s="247"/>
    </row>
    <row r="16921">
      <c r="C16921" s="278"/>
      <c r="M16921" s="278"/>
      <c r="O16921" s="247"/>
      <c r="AC16921" s="247"/>
      <c r="AT16921" s="247"/>
    </row>
    <row r="16922">
      <c r="C16922" s="278"/>
      <c r="M16922" s="278"/>
      <c r="O16922" s="247"/>
      <c r="AC16922" s="247"/>
      <c r="AT16922" s="247"/>
    </row>
    <row r="16923">
      <c r="C16923" s="278"/>
      <c r="M16923" s="278"/>
      <c r="O16923" s="247"/>
      <c r="AC16923" s="247"/>
      <c r="AT16923" s="247"/>
    </row>
    <row r="16924">
      <c r="C16924" s="278"/>
      <c r="M16924" s="278"/>
      <c r="O16924" s="247"/>
      <c r="AC16924" s="247"/>
      <c r="AT16924" s="247"/>
    </row>
    <row r="16925">
      <c r="C16925" s="278"/>
      <c r="M16925" s="278"/>
      <c r="O16925" s="247"/>
      <c r="AC16925" s="247"/>
      <c r="AT16925" s="247"/>
    </row>
    <row r="16926">
      <c r="C16926" s="278"/>
      <c r="M16926" s="278"/>
      <c r="O16926" s="247"/>
      <c r="AC16926" s="247"/>
      <c r="AT16926" s="247"/>
    </row>
    <row r="16927">
      <c r="C16927" s="278"/>
      <c r="M16927" s="278"/>
      <c r="O16927" s="247"/>
      <c r="AC16927" s="247"/>
      <c r="AT16927" s="247"/>
    </row>
    <row r="16928">
      <c r="C16928" s="278"/>
      <c r="M16928" s="278"/>
      <c r="O16928" s="247"/>
      <c r="AC16928" s="247"/>
      <c r="AT16928" s="247"/>
    </row>
    <row r="16929">
      <c r="C16929" s="278"/>
      <c r="M16929" s="278"/>
      <c r="O16929" s="247"/>
      <c r="AC16929" s="247"/>
      <c r="AT16929" s="247"/>
    </row>
    <row r="16930">
      <c r="C16930" s="278"/>
      <c r="M16930" s="278"/>
      <c r="O16930" s="247"/>
      <c r="AC16930" s="247"/>
      <c r="AT16930" s="247"/>
    </row>
    <row r="16931">
      <c r="C16931" s="278"/>
      <c r="M16931" s="278"/>
      <c r="O16931" s="247"/>
      <c r="AC16931" s="247"/>
      <c r="AT16931" s="247"/>
    </row>
    <row r="16932">
      <c r="C16932" s="278"/>
      <c r="M16932" s="278"/>
      <c r="O16932" s="247"/>
      <c r="AC16932" s="247"/>
      <c r="AT16932" s="247"/>
    </row>
    <row r="16933">
      <c r="C16933" s="278"/>
      <c r="M16933" s="278"/>
      <c r="O16933" s="247"/>
      <c r="AC16933" s="247"/>
      <c r="AT16933" s="247"/>
    </row>
    <row r="16934">
      <c r="C16934" s="278"/>
      <c r="M16934" s="278"/>
      <c r="O16934" s="247"/>
      <c r="AC16934" s="247"/>
      <c r="AT16934" s="247"/>
    </row>
    <row r="16935">
      <c r="C16935" s="278"/>
      <c r="M16935" s="278"/>
      <c r="O16935" s="247"/>
      <c r="AC16935" s="247"/>
      <c r="AT16935" s="247"/>
    </row>
    <row r="16936">
      <c r="C16936" s="278"/>
      <c r="M16936" s="278"/>
      <c r="O16936" s="247"/>
      <c r="AC16936" s="247"/>
      <c r="AT16936" s="247"/>
    </row>
    <row r="16937">
      <c r="C16937" s="278"/>
      <c r="M16937" s="278"/>
      <c r="O16937" s="247"/>
      <c r="AC16937" s="247"/>
      <c r="AT16937" s="247"/>
    </row>
    <row r="16938">
      <c r="C16938" s="278"/>
      <c r="M16938" s="278"/>
      <c r="O16938" s="247"/>
      <c r="AC16938" s="247"/>
      <c r="AT16938" s="247"/>
    </row>
    <row r="16939">
      <c r="C16939" s="278"/>
      <c r="M16939" s="278"/>
      <c r="O16939" s="247"/>
      <c r="AC16939" s="247"/>
      <c r="AT16939" s="247"/>
    </row>
    <row r="16940">
      <c r="C16940" s="278"/>
      <c r="M16940" s="278"/>
      <c r="O16940" s="247"/>
      <c r="AC16940" s="247"/>
      <c r="AT16940" s="247"/>
    </row>
    <row r="16941">
      <c r="C16941" s="278"/>
      <c r="M16941" s="278"/>
      <c r="O16941" s="247"/>
      <c r="AC16941" s="247"/>
      <c r="AT16941" s="247"/>
    </row>
    <row r="16942">
      <c r="C16942" s="278"/>
      <c r="M16942" s="278"/>
      <c r="O16942" s="247"/>
      <c r="AC16942" s="247"/>
      <c r="AT16942" s="247"/>
    </row>
    <row r="16943">
      <c r="C16943" s="278"/>
      <c r="M16943" s="278"/>
      <c r="O16943" s="247"/>
      <c r="AC16943" s="247"/>
      <c r="AT16943" s="247"/>
    </row>
    <row r="16944">
      <c r="C16944" s="278"/>
      <c r="M16944" s="278"/>
      <c r="O16944" s="247"/>
      <c r="AC16944" s="247"/>
      <c r="AT16944" s="247"/>
    </row>
    <row r="16945">
      <c r="C16945" s="278"/>
      <c r="M16945" s="278"/>
      <c r="O16945" s="247"/>
      <c r="AC16945" s="247"/>
      <c r="AT16945" s="247"/>
    </row>
    <row r="16946">
      <c r="C16946" s="278"/>
      <c r="M16946" s="278"/>
      <c r="O16946" s="247"/>
      <c r="AC16946" s="247"/>
      <c r="AT16946" s="247"/>
    </row>
    <row r="16947">
      <c r="C16947" s="278"/>
      <c r="M16947" s="278"/>
      <c r="O16947" s="247"/>
      <c r="AC16947" s="247"/>
      <c r="AT16947" s="247"/>
    </row>
    <row r="16948">
      <c r="C16948" s="278"/>
      <c r="M16948" s="278"/>
      <c r="O16948" s="247"/>
      <c r="AC16948" s="247"/>
      <c r="AT16948" s="247"/>
    </row>
    <row r="16949">
      <c r="C16949" s="278"/>
      <c r="M16949" s="278"/>
      <c r="O16949" s="247"/>
      <c r="AC16949" s="247"/>
      <c r="AT16949" s="247"/>
    </row>
    <row r="16950">
      <c r="C16950" s="278"/>
      <c r="M16950" s="278"/>
      <c r="O16950" s="247"/>
      <c r="AC16950" s="247"/>
      <c r="AT16950" s="247"/>
    </row>
    <row r="16951">
      <c r="C16951" s="278"/>
      <c r="M16951" s="278"/>
      <c r="O16951" s="247"/>
      <c r="AC16951" s="247"/>
      <c r="AT16951" s="247"/>
    </row>
    <row r="16952">
      <c r="C16952" s="278"/>
      <c r="M16952" s="278"/>
      <c r="O16952" s="247"/>
      <c r="AC16952" s="247"/>
      <c r="AT16952" s="247"/>
    </row>
    <row r="16953">
      <c r="C16953" s="278"/>
      <c r="M16953" s="278"/>
      <c r="O16953" s="247"/>
      <c r="AC16953" s="247"/>
      <c r="AT16953" s="247"/>
    </row>
    <row r="16954">
      <c r="C16954" s="278"/>
      <c r="M16954" s="278"/>
      <c r="O16954" s="247"/>
      <c r="AC16954" s="247"/>
      <c r="AT16954" s="247"/>
    </row>
    <row r="16955">
      <c r="C16955" s="278"/>
      <c r="M16955" s="278"/>
      <c r="O16955" s="247"/>
      <c r="AC16955" s="247"/>
      <c r="AT16955" s="247"/>
    </row>
    <row r="16956">
      <c r="C16956" s="277"/>
      <c r="M16956" s="278"/>
      <c r="O16956" s="247"/>
      <c r="AC16956" s="247"/>
      <c r="AT16956" s="247"/>
    </row>
    <row r="16957">
      <c r="C16957" s="278"/>
      <c r="M16957" s="278"/>
      <c r="O16957" s="247"/>
      <c r="AC16957" s="247"/>
      <c r="AT16957" s="247"/>
    </row>
    <row r="16958">
      <c r="C16958" s="278"/>
      <c r="M16958" s="278"/>
      <c r="O16958" s="247"/>
      <c r="AC16958" s="247"/>
      <c r="AT16958" s="247"/>
    </row>
    <row r="16959">
      <c r="C16959" s="278"/>
      <c r="M16959" s="278"/>
      <c r="O16959" s="247"/>
      <c r="AC16959" s="247"/>
      <c r="AT16959" s="247"/>
    </row>
    <row r="16960">
      <c r="C16960" s="278"/>
      <c r="M16960" s="278"/>
      <c r="O16960" s="247"/>
      <c r="AC16960" s="247"/>
      <c r="AT16960" s="247"/>
    </row>
    <row r="16961">
      <c r="C16961" s="278"/>
      <c r="M16961" s="278"/>
      <c r="O16961" s="247"/>
      <c r="AC16961" s="247"/>
      <c r="AT16961" s="247"/>
    </row>
    <row r="16962">
      <c r="C16962" s="278"/>
      <c r="M16962" s="278"/>
      <c r="O16962" s="247"/>
      <c r="AC16962" s="247"/>
      <c r="AT16962" s="247"/>
    </row>
    <row r="16963">
      <c r="C16963" s="278"/>
      <c r="M16963" s="278"/>
      <c r="O16963" s="247"/>
      <c r="AC16963" s="247"/>
      <c r="AT16963" s="247"/>
    </row>
    <row r="16964">
      <c r="C16964" s="278"/>
      <c r="M16964" s="278"/>
      <c r="O16964" s="247"/>
      <c r="AC16964" s="247"/>
      <c r="AT16964" s="247"/>
    </row>
    <row r="16965">
      <c r="C16965" s="278"/>
      <c r="M16965" s="278"/>
      <c r="O16965" s="247"/>
      <c r="AC16965" s="247"/>
      <c r="AT16965" s="247"/>
    </row>
    <row r="16966">
      <c r="C16966" s="278"/>
      <c r="M16966" s="278"/>
      <c r="O16966" s="247"/>
      <c r="AC16966" s="247"/>
      <c r="AT16966" s="247"/>
    </row>
    <row r="16967">
      <c r="C16967" s="278"/>
      <c r="M16967" s="278"/>
      <c r="O16967" s="247"/>
      <c r="AC16967" s="247"/>
      <c r="AT16967" s="247"/>
    </row>
    <row r="16968">
      <c r="C16968" s="278"/>
      <c r="M16968" s="278"/>
      <c r="O16968" s="247"/>
      <c r="AC16968" s="247"/>
      <c r="AT16968" s="247"/>
    </row>
    <row r="16969">
      <c r="C16969" s="278"/>
      <c r="M16969" s="278"/>
      <c r="O16969" s="247"/>
      <c r="AC16969" s="247"/>
      <c r="AT16969" s="247"/>
    </row>
    <row r="16970">
      <c r="C16970" s="278"/>
      <c r="M16970" s="278"/>
      <c r="O16970" s="247"/>
      <c r="AC16970" s="247"/>
      <c r="AT16970" s="247"/>
    </row>
    <row r="16971">
      <c r="C16971" s="278"/>
      <c r="M16971" s="278"/>
      <c r="O16971" s="247"/>
      <c r="AC16971" s="247"/>
      <c r="AT16971" s="247"/>
    </row>
    <row r="16972">
      <c r="C16972" s="278"/>
      <c r="M16972" s="278"/>
      <c r="O16972" s="247"/>
      <c r="AC16972" s="247"/>
      <c r="AT16972" s="247"/>
    </row>
    <row r="16973">
      <c r="C16973" s="278"/>
      <c r="M16973" s="278"/>
      <c r="O16973" s="247"/>
      <c r="AC16973" s="247"/>
      <c r="AT16973" s="247"/>
    </row>
    <row r="16974">
      <c r="C16974" s="278"/>
      <c r="M16974" s="278"/>
      <c r="O16974" s="247"/>
      <c r="AC16974" s="247"/>
      <c r="AT16974" s="247"/>
    </row>
    <row r="16975">
      <c r="C16975" s="278"/>
      <c r="M16975" s="278"/>
      <c r="O16975" s="247"/>
      <c r="AC16975" s="247"/>
      <c r="AT16975" s="247"/>
    </row>
    <row r="16976">
      <c r="C16976" s="278"/>
      <c r="M16976" s="278"/>
      <c r="O16976" s="247"/>
      <c r="AC16976" s="247"/>
      <c r="AT16976" s="247"/>
    </row>
    <row r="16977">
      <c r="C16977" s="278"/>
      <c r="M16977" s="278"/>
      <c r="O16977" s="247"/>
      <c r="AC16977" s="247"/>
      <c r="AT16977" s="247"/>
    </row>
    <row r="16978">
      <c r="C16978" s="278"/>
      <c r="M16978" s="278"/>
      <c r="O16978" s="247"/>
      <c r="AC16978" s="247"/>
      <c r="AT16978" s="247"/>
    </row>
    <row r="16979">
      <c r="C16979" s="278"/>
      <c r="M16979" s="278"/>
      <c r="O16979" s="247"/>
      <c r="AC16979" s="247"/>
      <c r="AT16979" s="247"/>
    </row>
    <row r="16980">
      <c r="C16980" s="278"/>
      <c r="M16980" s="278"/>
      <c r="O16980" s="247"/>
      <c r="AC16980" s="247"/>
      <c r="AT16980" s="247"/>
    </row>
    <row r="16981">
      <c r="C16981" s="278"/>
      <c r="M16981" s="278"/>
      <c r="O16981" s="247"/>
      <c r="AC16981" s="247"/>
      <c r="AT16981" s="247"/>
    </row>
    <row r="16982">
      <c r="C16982" s="278"/>
      <c r="M16982" s="278"/>
      <c r="O16982" s="247"/>
      <c r="AC16982" s="247"/>
      <c r="AT16982" s="247"/>
    </row>
    <row r="16983">
      <c r="C16983" s="278"/>
      <c r="M16983" s="278"/>
      <c r="O16983" s="247"/>
      <c r="AC16983" s="247"/>
      <c r="AT16983" s="247"/>
    </row>
    <row r="16984">
      <c r="C16984" s="278"/>
      <c r="M16984" s="278"/>
      <c r="O16984" s="247"/>
      <c r="AC16984" s="247"/>
      <c r="AT16984" s="247"/>
    </row>
    <row r="16985">
      <c r="C16985" s="278"/>
      <c r="M16985" s="278"/>
      <c r="O16985" s="247"/>
      <c r="AC16985" s="247"/>
      <c r="AT16985" s="247"/>
    </row>
    <row r="16986">
      <c r="C16986" s="278"/>
      <c r="M16986" s="278"/>
      <c r="O16986" s="247"/>
      <c r="AC16986" s="247"/>
      <c r="AT16986" s="247"/>
    </row>
    <row r="16987">
      <c r="C16987" s="278"/>
      <c r="M16987" s="278"/>
      <c r="O16987" s="247"/>
      <c r="AC16987" s="247"/>
      <c r="AT16987" s="247"/>
    </row>
    <row r="16988">
      <c r="C16988" s="278"/>
      <c r="M16988" s="278"/>
      <c r="O16988" s="247"/>
      <c r="AC16988" s="247"/>
      <c r="AT16988" s="247"/>
    </row>
    <row r="16989">
      <c r="C16989" s="278"/>
      <c r="M16989" s="278"/>
      <c r="O16989" s="247"/>
      <c r="AC16989" s="247"/>
      <c r="AT16989" s="247"/>
    </row>
    <row r="16990">
      <c r="C16990" s="278"/>
      <c r="M16990" s="278"/>
      <c r="O16990" s="247"/>
      <c r="AC16990" s="247"/>
      <c r="AT16990" s="247"/>
    </row>
    <row r="16991">
      <c r="C16991" s="278"/>
      <c r="M16991" s="278"/>
      <c r="O16991" s="247"/>
      <c r="AC16991" s="247"/>
      <c r="AT16991" s="247"/>
    </row>
    <row r="16992">
      <c r="C16992" s="278"/>
      <c r="M16992" s="278"/>
      <c r="O16992" s="247"/>
      <c r="AC16992" s="247"/>
      <c r="AT16992" s="247"/>
    </row>
    <row r="16993">
      <c r="C16993" s="278"/>
      <c r="M16993" s="278"/>
      <c r="O16993" s="247"/>
      <c r="AC16993" s="247"/>
      <c r="AT16993" s="247"/>
    </row>
    <row r="16994">
      <c r="C16994" s="278"/>
      <c r="M16994" s="278"/>
      <c r="O16994" s="247"/>
      <c r="AC16994" s="247"/>
      <c r="AT16994" s="247"/>
    </row>
    <row r="16995">
      <c r="C16995" s="278"/>
      <c r="M16995" s="278"/>
      <c r="O16995" s="247"/>
      <c r="AC16995" s="247"/>
      <c r="AT16995" s="247"/>
    </row>
    <row r="16996">
      <c r="C16996" s="278"/>
      <c r="M16996" s="278"/>
      <c r="O16996" s="247"/>
      <c r="AC16996" s="247"/>
      <c r="AT16996" s="247"/>
    </row>
    <row r="16997">
      <c r="C16997" s="278"/>
      <c r="M16997" s="278"/>
      <c r="O16997" s="247"/>
      <c r="AC16997" s="247"/>
      <c r="AT16997" s="247"/>
    </row>
    <row r="16998">
      <c r="C16998" s="278"/>
      <c r="M16998" s="278"/>
      <c r="O16998" s="247"/>
      <c r="AC16998" s="247"/>
      <c r="AT16998" s="247"/>
    </row>
    <row r="16999">
      <c r="C16999" s="278"/>
      <c r="M16999" s="278"/>
      <c r="O16999" s="247"/>
      <c r="AC16999" s="247"/>
      <c r="AT16999" s="247"/>
    </row>
    <row r="17000">
      <c r="C17000" s="278"/>
      <c r="M17000" s="278"/>
      <c r="O17000" s="247"/>
      <c r="AC17000" s="247"/>
      <c r="AT17000" s="247"/>
    </row>
    <row r="17001">
      <c r="C17001" s="278"/>
      <c r="M17001" s="278"/>
      <c r="O17001" s="247"/>
      <c r="AC17001" s="247"/>
      <c r="AT17001" s="247"/>
    </row>
    <row r="17002">
      <c r="C17002" s="278"/>
      <c r="M17002" s="278"/>
      <c r="O17002" s="247"/>
      <c r="AC17002" s="247"/>
      <c r="AT17002" s="247"/>
    </row>
    <row r="17003">
      <c r="C17003" s="278"/>
      <c r="M17003" s="278"/>
      <c r="O17003" s="247"/>
      <c r="AC17003" s="247"/>
      <c r="AT17003" s="247"/>
    </row>
    <row r="17004">
      <c r="C17004" s="278"/>
      <c r="M17004" s="278"/>
      <c r="O17004" s="247"/>
      <c r="AC17004" s="247"/>
      <c r="AT17004" s="247"/>
    </row>
    <row r="17005">
      <c r="C17005" s="278"/>
      <c r="M17005" s="278"/>
      <c r="O17005" s="247"/>
      <c r="AC17005" s="247"/>
      <c r="AT17005" s="247"/>
    </row>
    <row r="17006">
      <c r="C17006" s="278"/>
      <c r="M17006" s="278"/>
      <c r="O17006" s="247"/>
      <c r="AC17006" s="247"/>
      <c r="AT17006" s="247"/>
    </row>
    <row r="17007">
      <c r="C17007" s="278"/>
      <c r="M17007" s="278"/>
      <c r="O17007" s="247"/>
      <c r="AC17007" s="247"/>
      <c r="AT17007" s="247"/>
    </row>
    <row r="17008">
      <c r="C17008" s="278"/>
      <c r="M17008" s="278"/>
      <c r="O17008" s="247"/>
      <c r="AC17008" s="247"/>
      <c r="AT17008" s="247"/>
    </row>
    <row r="17009">
      <c r="C17009" s="278"/>
      <c r="M17009" s="278"/>
      <c r="O17009" s="247"/>
      <c r="AC17009" s="247"/>
      <c r="AT17009" s="247"/>
    </row>
    <row r="17010">
      <c r="C17010" s="278"/>
      <c r="M17010" s="278"/>
      <c r="O17010" s="247"/>
      <c r="AC17010" s="247"/>
      <c r="AT17010" s="247"/>
    </row>
    <row r="17011">
      <c r="C17011" s="278"/>
      <c r="M17011" s="278"/>
      <c r="O17011" s="247"/>
      <c r="AC17011" s="247"/>
      <c r="AT17011" s="247"/>
    </row>
    <row r="17012">
      <c r="C17012" s="277"/>
      <c r="M17012" s="278"/>
      <c r="O17012" s="247"/>
      <c r="AC17012" s="247"/>
      <c r="AT17012" s="247"/>
    </row>
    <row r="17013">
      <c r="C17013" s="278"/>
      <c r="M17013" s="278"/>
      <c r="O17013" s="247"/>
      <c r="AC17013" s="247"/>
      <c r="AT17013" s="247"/>
    </row>
    <row r="17014">
      <c r="C17014" s="277"/>
      <c r="M17014" s="278"/>
      <c r="O17014" s="247"/>
      <c r="AC17014" s="247"/>
      <c r="AT17014" s="247"/>
    </row>
    <row r="17015">
      <c r="C17015" s="278"/>
      <c r="M17015" s="278"/>
      <c r="O17015" s="247"/>
      <c r="AC17015" s="247"/>
      <c r="AT17015" s="247"/>
    </row>
    <row r="17016">
      <c r="C17016" s="278"/>
      <c r="M17016" s="278"/>
      <c r="O17016" s="247"/>
      <c r="AC17016" s="247"/>
      <c r="AT17016" s="247"/>
    </row>
    <row r="17017">
      <c r="C17017" s="278"/>
      <c r="M17017" s="278"/>
      <c r="O17017" s="247"/>
      <c r="AC17017" s="247"/>
      <c r="AT17017" s="247"/>
    </row>
    <row r="17018">
      <c r="C17018" s="278"/>
      <c r="M17018" s="278"/>
      <c r="O17018" s="247"/>
      <c r="AC17018" s="247"/>
      <c r="AT17018" s="247"/>
    </row>
    <row r="17019">
      <c r="C17019" s="278"/>
      <c r="M17019" s="278"/>
      <c r="O17019" s="247"/>
      <c r="AC17019" s="247"/>
      <c r="AT17019" s="247"/>
    </row>
    <row r="17020">
      <c r="C17020" s="278"/>
      <c r="M17020" s="278"/>
      <c r="O17020" s="247"/>
      <c r="AC17020" s="247"/>
      <c r="AT17020" s="247"/>
    </row>
    <row r="17021">
      <c r="C17021" s="278"/>
      <c r="M17021" s="278"/>
      <c r="O17021" s="247"/>
      <c r="AC17021" s="247"/>
      <c r="AT17021" s="247"/>
    </row>
    <row r="17022">
      <c r="C17022" s="278"/>
      <c r="M17022" s="278"/>
      <c r="O17022" s="247"/>
      <c r="AC17022" s="247"/>
      <c r="AT17022" s="247"/>
    </row>
    <row r="17023">
      <c r="C17023" s="278"/>
      <c r="M17023" s="278"/>
      <c r="O17023" s="247"/>
      <c r="AC17023" s="247"/>
      <c r="AT17023" s="247"/>
    </row>
    <row r="17024">
      <c r="C17024" s="278"/>
      <c r="M17024" s="278"/>
      <c r="O17024" s="247"/>
      <c r="AC17024" s="247"/>
      <c r="AT17024" s="247"/>
    </row>
    <row r="17025">
      <c r="C17025" s="278"/>
      <c r="M17025" s="278"/>
      <c r="O17025" s="247"/>
      <c r="AC17025" s="247"/>
      <c r="AT17025" s="247"/>
    </row>
    <row r="17026">
      <c r="C17026" s="278"/>
      <c r="M17026" s="278"/>
      <c r="O17026" s="247"/>
      <c r="AC17026" s="247"/>
      <c r="AT17026" s="247"/>
    </row>
    <row r="17027">
      <c r="C17027" s="278"/>
      <c r="M17027" s="278"/>
      <c r="O17027" s="247"/>
      <c r="AC17027" s="247"/>
      <c r="AT17027" s="247"/>
    </row>
    <row r="17028">
      <c r="C17028" s="278"/>
      <c r="M17028" s="278"/>
      <c r="O17028" s="247"/>
      <c r="AC17028" s="247"/>
      <c r="AT17028" s="247"/>
    </row>
    <row r="17029">
      <c r="C17029" s="278"/>
      <c r="M17029" s="278"/>
      <c r="O17029" s="247"/>
      <c r="AC17029" s="247"/>
      <c r="AT17029" s="247"/>
    </row>
    <row r="17030">
      <c r="C17030" s="278"/>
      <c r="M17030" s="278"/>
      <c r="O17030" s="247"/>
      <c r="AC17030" s="247"/>
      <c r="AT17030" s="247"/>
    </row>
    <row r="17031">
      <c r="C17031" s="278"/>
      <c r="M17031" s="278"/>
      <c r="O17031" s="247"/>
      <c r="AC17031" s="247"/>
      <c r="AT17031" s="247"/>
    </row>
    <row r="17032">
      <c r="C17032" s="278"/>
      <c r="M17032" s="278"/>
      <c r="O17032" s="247"/>
      <c r="AC17032" s="247"/>
      <c r="AT17032" s="247"/>
    </row>
    <row r="17033">
      <c r="C17033" s="278"/>
      <c r="M17033" s="278"/>
      <c r="O17033" s="247"/>
      <c r="AC17033" s="247"/>
      <c r="AT17033" s="247"/>
    </row>
    <row r="17034">
      <c r="C17034" s="278"/>
      <c r="M17034" s="278"/>
      <c r="O17034" s="247"/>
      <c r="AC17034" s="247"/>
      <c r="AT17034" s="247"/>
    </row>
    <row r="17035">
      <c r="C17035" s="278"/>
      <c r="M17035" s="278"/>
      <c r="O17035" s="247"/>
      <c r="AC17035" s="247"/>
      <c r="AT17035" s="247"/>
    </row>
    <row r="17036">
      <c r="C17036" s="278"/>
      <c r="M17036" s="278"/>
      <c r="O17036" s="247"/>
      <c r="AC17036" s="247"/>
      <c r="AT17036" s="247"/>
    </row>
    <row r="17037">
      <c r="C17037" s="278"/>
      <c r="M17037" s="278"/>
      <c r="O17037" s="247"/>
      <c r="AC17037" s="247"/>
      <c r="AT17037" s="247"/>
    </row>
    <row r="17038">
      <c r="C17038" s="278"/>
      <c r="M17038" s="278"/>
      <c r="O17038" s="247"/>
      <c r="AC17038" s="247"/>
      <c r="AT17038" s="247"/>
    </row>
    <row r="17039">
      <c r="C17039" s="278"/>
      <c r="M17039" s="278"/>
      <c r="O17039" s="247"/>
      <c r="AC17039" s="247"/>
      <c r="AT17039" s="247"/>
    </row>
    <row r="17040">
      <c r="C17040" s="278"/>
      <c r="M17040" s="278"/>
      <c r="O17040" s="247"/>
      <c r="AC17040" s="247"/>
      <c r="AT17040" s="247"/>
    </row>
    <row r="17041">
      <c r="C17041" s="278"/>
      <c r="M17041" s="278"/>
      <c r="O17041" s="247"/>
      <c r="AC17041" s="247"/>
      <c r="AT17041" s="247"/>
    </row>
    <row r="17042">
      <c r="C17042" s="278"/>
      <c r="M17042" s="278"/>
      <c r="O17042" s="247"/>
      <c r="AC17042" s="247"/>
      <c r="AT17042" s="247"/>
    </row>
    <row r="17043">
      <c r="C17043" s="278"/>
      <c r="M17043" s="278"/>
      <c r="O17043" s="247"/>
      <c r="AC17043" s="247"/>
      <c r="AT17043" s="247"/>
    </row>
    <row r="17044">
      <c r="C17044" s="278"/>
      <c r="M17044" s="278"/>
      <c r="O17044" s="247"/>
      <c r="AC17044" s="247"/>
      <c r="AT17044" s="247"/>
    </row>
    <row r="17045">
      <c r="C17045" s="278"/>
      <c r="M17045" s="278"/>
      <c r="O17045" s="247"/>
      <c r="AC17045" s="247"/>
      <c r="AT17045" s="247"/>
    </row>
    <row r="17046">
      <c r="C17046" s="278"/>
      <c r="M17046" s="278"/>
      <c r="O17046" s="247"/>
      <c r="AC17046" s="247"/>
      <c r="AT17046" s="247"/>
    </row>
    <row r="17047">
      <c r="C17047" s="278"/>
      <c r="M17047" s="278"/>
      <c r="O17047" s="247"/>
      <c r="AC17047" s="247"/>
      <c r="AT17047" s="247"/>
    </row>
    <row r="17048">
      <c r="C17048" s="278"/>
      <c r="M17048" s="278"/>
      <c r="O17048" s="247"/>
      <c r="AC17048" s="247"/>
      <c r="AT17048" s="247"/>
    </row>
    <row r="17049">
      <c r="C17049" s="278"/>
      <c r="M17049" s="278"/>
      <c r="O17049" s="247"/>
      <c r="AC17049" s="247"/>
      <c r="AT17049" s="247"/>
    </row>
    <row r="17050">
      <c r="C17050" s="278"/>
      <c r="M17050" s="278"/>
      <c r="O17050" s="247"/>
      <c r="AC17050" s="247"/>
      <c r="AT17050" s="247"/>
    </row>
    <row r="17051">
      <c r="C17051" s="278"/>
      <c r="M17051" s="278"/>
      <c r="O17051" s="247"/>
      <c r="AC17051" s="247"/>
      <c r="AT17051" s="247"/>
    </row>
    <row r="17052">
      <c r="C17052" s="278"/>
      <c r="M17052" s="278"/>
      <c r="O17052" s="247"/>
      <c r="AC17052" s="247"/>
      <c r="AT17052" s="247"/>
    </row>
    <row r="17053">
      <c r="C17053" s="278"/>
      <c r="M17053" s="278"/>
      <c r="O17053" s="247"/>
      <c r="AC17053" s="247"/>
      <c r="AT17053" s="247"/>
    </row>
    <row r="17054">
      <c r="C17054" s="278"/>
      <c r="M17054" s="278"/>
      <c r="O17054" s="247"/>
      <c r="AC17054" s="247"/>
      <c r="AT17054" s="247"/>
    </row>
    <row r="17055">
      <c r="C17055" s="278"/>
      <c r="M17055" s="278"/>
      <c r="O17055" s="247"/>
      <c r="AC17055" s="247"/>
      <c r="AT17055" s="247"/>
    </row>
    <row r="17056">
      <c r="C17056" s="278"/>
      <c r="M17056" s="278"/>
      <c r="O17056" s="247"/>
      <c r="AC17056" s="247"/>
      <c r="AT17056" s="247"/>
    </row>
    <row r="17057">
      <c r="C17057" s="278"/>
      <c r="M17057" s="278"/>
      <c r="O17057" s="247"/>
      <c r="AC17057" s="247"/>
      <c r="AT17057" s="247"/>
    </row>
    <row r="17058">
      <c r="C17058" s="278"/>
      <c r="M17058" s="278"/>
      <c r="O17058" s="247"/>
      <c r="AC17058" s="247"/>
      <c r="AT17058" s="247"/>
    </row>
    <row r="17059">
      <c r="C17059" s="278"/>
      <c r="M17059" s="278"/>
      <c r="O17059" s="247"/>
      <c r="AC17059" s="247"/>
      <c r="AT17059" s="247"/>
    </row>
    <row r="17060">
      <c r="C17060" s="278"/>
      <c r="M17060" s="278"/>
      <c r="O17060" s="247"/>
      <c r="AC17060" s="247"/>
      <c r="AT17060" s="247"/>
    </row>
    <row r="17061">
      <c r="C17061" s="278"/>
      <c r="M17061" s="278"/>
      <c r="O17061" s="247"/>
      <c r="AC17061" s="247"/>
      <c r="AT17061" s="247"/>
    </row>
    <row r="17062">
      <c r="C17062" s="278"/>
      <c r="M17062" s="278"/>
      <c r="O17062" s="247"/>
      <c r="AC17062" s="247"/>
      <c r="AT17062" s="247"/>
    </row>
    <row r="17063">
      <c r="C17063" s="278"/>
      <c r="M17063" s="278"/>
      <c r="O17063" s="247"/>
      <c r="AC17063" s="247"/>
      <c r="AT17063" s="247"/>
    </row>
    <row r="17064">
      <c r="C17064" s="278"/>
      <c r="M17064" s="278"/>
      <c r="O17064" s="247"/>
      <c r="AC17064" s="247"/>
      <c r="AT17064" s="247"/>
    </row>
    <row r="17065">
      <c r="C17065" s="278"/>
      <c r="M17065" s="278"/>
      <c r="O17065" s="247"/>
      <c r="AC17065" s="247"/>
      <c r="AT17065" s="247"/>
    </row>
    <row r="17066">
      <c r="C17066" s="278"/>
      <c r="M17066" s="278"/>
      <c r="O17066" s="247"/>
      <c r="AC17066" s="247"/>
      <c r="AT17066" s="247"/>
    </row>
    <row r="17067">
      <c r="C17067" s="278"/>
      <c r="M17067" s="278"/>
      <c r="O17067" s="247"/>
      <c r="AC17067" s="247"/>
      <c r="AT17067" s="247"/>
    </row>
    <row r="17068">
      <c r="C17068" s="278"/>
      <c r="M17068" s="278"/>
      <c r="O17068" s="247"/>
      <c r="AC17068" s="247"/>
      <c r="AT17068" s="247"/>
    </row>
    <row r="17069">
      <c r="C17069" s="278"/>
      <c r="M17069" s="278"/>
      <c r="O17069" s="247"/>
      <c r="AC17069" s="247"/>
      <c r="AT17069" s="247"/>
    </row>
    <row r="17070">
      <c r="C17070" s="278"/>
      <c r="M17070" s="278"/>
      <c r="O17070" s="247"/>
      <c r="AC17070" s="247"/>
      <c r="AT17070" s="247"/>
    </row>
    <row r="17071">
      <c r="C17071" s="278"/>
      <c r="M17071" s="278"/>
      <c r="O17071" s="247"/>
      <c r="AC17071" s="247"/>
      <c r="AT17071" s="247"/>
    </row>
    <row r="17072">
      <c r="C17072" s="278"/>
      <c r="M17072" s="278"/>
      <c r="O17072" s="247"/>
      <c r="AC17072" s="247"/>
      <c r="AT17072" s="247"/>
    </row>
    <row r="17073">
      <c r="C17073" s="278"/>
      <c r="M17073" s="278"/>
      <c r="O17073" s="247"/>
      <c r="AC17073" s="247"/>
      <c r="AT17073" s="247"/>
    </row>
    <row r="17074">
      <c r="C17074" s="278"/>
      <c r="M17074" s="278"/>
      <c r="O17074" s="247"/>
      <c r="AC17074" s="247"/>
      <c r="AT17074" s="247"/>
    </row>
    <row r="17075">
      <c r="C17075" s="278"/>
      <c r="M17075" s="278"/>
      <c r="O17075" s="247"/>
      <c r="AC17075" s="247"/>
      <c r="AT17075" s="247"/>
    </row>
    <row r="17076">
      <c r="C17076" s="278"/>
      <c r="M17076" s="278"/>
      <c r="O17076" s="247"/>
      <c r="AC17076" s="247"/>
      <c r="AT17076" s="247"/>
    </row>
    <row r="17077">
      <c r="C17077" s="278"/>
      <c r="M17077" s="278"/>
      <c r="O17077" s="247"/>
      <c r="AC17077" s="247"/>
      <c r="AT17077" s="247"/>
    </row>
    <row r="17078">
      <c r="C17078" s="278"/>
      <c r="M17078" s="278"/>
      <c r="O17078" s="247"/>
      <c r="AC17078" s="247"/>
      <c r="AT17078" s="247"/>
    </row>
    <row r="17079">
      <c r="C17079" s="278"/>
      <c r="M17079" s="278"/>
      <c r="O17079" s="247"/>
      <c r="AC17079" s="247"/>
      <c r="AT17079" s="247"/>
    </row>
    <row r="17080">
      <c r="C17080" s="278"/>
      <c r="M17080" s="278"/>
      <c r="O17080" s="247"/>
      <c r="AC17080" s="247"/>
      <c r="AT17080" s="247"/>
    </row>
    <row r="17081">
      <c r="C17081" s="278"/>
      <c r="M17081" s="278"/>
      <c r="O17081" s="247"/>
      <c r="AC17081" s="247"/>
      <c r="AT17081" s="247"/>
    </row>
    <row r="17082">
      <c r="C17082" s="278"/>
      <c r="M17082" s="278"/>
      <c r="O17082" s="247"/>
      <c r="AC17082" s="247"/>
      <c r="AT17082" s="247"/>
    </row>
    <row r="17083">
      <c r="C17083" s="278"/>
      <c r="M17083" s="278"/>
      <c r="O17083" s="247"/>
      <c r="AC17083" s="247"/>
      <c r="AT17083" s="247"/>
    </row>
    <row r="17084">
      <c r="C17084" s="278"/>
      <c r="M17084" s="278"/>
      <c r="O17084" s="247"/>
      <c r="AC17084" s="247"/>
      <c r="AT17084" s="247"/>
    </row>
    <row r="17085">
      <c r="C17085" s="278"/>
      <c r="M17085" s="278"/>
      <c r="O17085" s="247"/>
      <c r="AC17085" s="247"/>
      <c r="AT17085" s="247"/>
    </row>
    <row r="17086">
      <c r="C17086" s="278"/>
      <c r="M17086" s="278"/>
      <c r="O17086" s="247"/>
      <c r="AC17086" s="247"/>
      <c r="AT17086" s="247"/>
    </row>
    <row r="17087">
      <c r="C17087" s="278"/>
      <c r="M17087" s="278"/>
      <c r="O17087" s="247"/>
      <c r="AC17087" s="247"/>
      <c r="AT17087" s="247"/>
    </row>
    <row r="17088">
      <c r="C17088" s="278"/>
      <c r="M17088" s="278"/>
      <c r="O17088" s="247"/>
      <c r="AC17088" s="247"/>
      <c r="AT17088" s="247"/>
    </row>
    <row r="17089">
      <c r="C17089" s="278"/>
      <c r="M17089" s="278"/>
      <c r="O17089" s="247"/>
      <c r="AC17089" s="247"/>
      <c r="AT17089" s="247"/>
    </row>
    <row r="17090">
      <c r="C17090" s="278"/>
      <c r="M17090" s="278"/>
      <c r="O17090" s="247"/>
      <c r="AC17090" s="247"/>
      <c r="AT17090" s="247"/>
    </row>
    <row r="17091">
      <c r="C17091" s="278"/>
      <c r="M17091" s="278"/>
      <c r="O17091" s="247"/>
      <c r="AC17091" s="247"/>
      <c r="AT17091" s="247"/>
    </row>
    <row r="17092">
      <c r="C17092" s="278"/>
      <c r="M17092" s="278"/>
      <c r="O17092" s="247"/>
      <c r="AC17092" s="247"/>
      <c r="AT17092" s="247"/>
    </row>
    <row r="17093">
      <c r="C17093" s="278"/>
      <c r="M17093" s="278"/>
      <c r="O17093" s="247"/>
      <c r="AC17093" s="247"/>
      <c r="AT17093" s="247"/>
    </row>
    <row r="17094">
      <c r="C17094" s="278"/>
      <c r="M17094" s="278"/>
      <c r="O17094" s="247"/>
      <c r="AC17094" s="247"/>
      <c r="AT17094" s="247"/>
    </row>
    <row r="17095">
      <c r="C17095" s="278"/>
      <c r="M17095" s="278"/>
      <c r="O17095" s="247"/>
      <c r="AC17095" s="247"/>
      <c r="AT17095" s="247"/>
    </row>
    <row r="17096">
      <c r="C17096" s="278"/>
      <c r="M17096" s="278"/>
      <c r="O17096" s="247"/>
      <c r="AC17096" s="247"/>
      <c r="AT17096" s="247"/>
    </row>
    <row r="17097">
      <c r="C17097" s="278"/>
      <c r="M17097" s="278"/>
      <c r="O17097" s="247"/>
      <c r="AC17097" s="247"/>
      <c r="AT17097" s="247"/>
    </row>
    <row r="17098">
      <c r="C17098" s="278"/>
      <c r="M17098" s="278"/>
      <c r="O17098" s="247"/>
      <c r="AC17098" s="247"/>
      <c r="AT17098" s="247"/>
    </row>
    <row r="17099">
      <c r="C17099" s="278"/>
      <c r="M17099" s="278"/>
      <c r="O17099" s="247"/>
      <c r="AC17099" s="247"/>
      <c r="AT17099" s="247"/>
    </row>
    <row r="17100">
      <c r="C17100" s="278"/>
      <c r="M17100" s="278"/>
      <c r="O17100" s="247"/>
      <c r="AC17100" s="247"/>
      <c r="AT17100" s="247"/>
    </row>
    <row r="17101">
      <c r="C17101" s="278"/>
      <c r="M17101" s="278"/>
      <c r="O17101" s="247"/>
      <c r="AC17101" s="247"/>
      <c r="AT17101" s="247"/>
    </row>
    <row r="17102">
      <c r="C17102" s="278"/>
      <c r="M17102" s="278"/>
      <c r="O17102" s="247"/>
      <c r="AC17102" s="247"/>
      <c r="AT17102" s="247"/>
    </row>
    <row r="17103">
      <c r="C17103" s="278"/>
      <c r="M17103" s="278"/>
      <c r="O17103" s="247"/>
      <c r="AC17103" s="247"/>
      <c r="AT17103" s="247"/>
    </row>
    <row r="17104">
      <c r="C17104" s="278"/>
      <c r="M17104" s="278"/>
      <c r="O17104" s="247"/>
      <c r="AC17104" s="247"/>
      <c r="AT17104" s="247"/>
    </row>
    <row r="17105">
      <c r="C17105" s="278"/>
      <c r="M17105" s="278"/>
      <c r="O17105" s="247"/>
      <c r="AC17105" s="247"/>
      <c r="AT17105" s="247"/>
    </row>
    <row r="17106">
      <c r="C17106" s="278"/>
      <c r="M17106" s="278"/>
      <c r="O17106" s="247"/>
      <c r="AC17106" s="247"/>
      <c r="AT17106" s="247"/>
    </row>
    <row r="17107">
      <c r="C17107" s="278"/>
      <c r="M17107" s="278"/>
      <c r="O17107" s="247"/>
      <c r="AC17107" s="247"/>
      <c r="AT17107" s="247"/>
    </row>
    <row r="17108">
      <c r="C17108" s="278"/>
      <c r="M17108" s="278"/>
      <c r="O17108" s="247"/>
      <c r="AC17108" s="247"/>
      <c r="AT17108" s="247"/>
    </row>
    <row r="17109">
      <c r="C17109" s="278"/>
      <c r="M17109" s="278"/>
      <c r="O17109" s="247"/>
      <c r="AC17109" s="247"/>
      <c r="AT17109" s="247"/>
    </row>
    <row r="17110">
      <c r="C17110" s="278"/>
      <c r="M17110" s="278"/>
      <c r="O17110" s="247"/>
      <c r="AC17110" s="247"/>
      <c r="AT17110" s="247"/>
    </row>
    <row r="17111">
      <c r="C17111" s="278"/>
      <c r="M17111" s="278"/>
      <c r="O17111" s="247"/>
      <c r="AC17111" s="247"/>
      <c r="AT17111" s="247"/>
    </row>
    <row r="17112">
      <c r="C17112" s="278"/>
      <c r="M17112" s="278"/>
      <c r="O17112" s="247"/>
      <c r="AC17112" s="247"/>
      <c r="AT17112" s="247"/>
    </row>
    <row r="17113">
      <c r="C17113" s="278"/>
      <c r="M17113" s="278"/>
      <c r="O17113" s="247"/>
      <c r="AC17113" s="247"/>
      <c r="AT17113" s="247"/>
    </row>
    <row r="17114">
      <c r="C17114" s="278"/>
      <c r="M17114" s="278"/>
      <c r="O17114" s="247"/>
      <c r="AC17114" s="247"/>
      <c r="AT17114" s="247"/>
    </row>
    <row r="17115">
      <c r="C17115" s="278"/>
      <c r="M17115" s="278"/>
      <c r="O17115" s="247"/>
      <c r="AC17115" s="247"/>
      <c r="AT17115" s="247"/>
    </row>
    <row r="17116">
      <c r="C17116" s="278"/>
      <c r="M17116" s="278"/>
      <c r="O17116" s="247"/>
      <c r="AC17116" s="247"/>
      <c r="AT17116" s="247"/>
    </row>
    <row r="17117">
      <c r="C17117" s="278"/>
      <c r="M17117" s="278"/>
      <c r="O17117" s="247"/>
      <c r="AC17117" s="247"/>
      <c r="AT17117" s="247"/>
    </row>
    <row r="17118">
      <c r="C17118" s="278"/>
      <c r="M17118" s="278"/>
      <c r="O17118" s="247"/>
      <c r="AC17118" s="247"/>
      <c r="AT17118" s="247"/>
    </row>
    <row r="17119">
      <c r="C17119" s="278"/>
      <c r="M17119" s="278"/>
      <c r="O17119" s="247"/>
      <c r="AC17119" s="247"/>
      <c r="AT17119" s="247"/>
    </row>
    <row r="17120">
      <c r="C17120" s="278"/>
      <c r="M17120" s="278"/>
      <c r="O17120" s="247"/>
      <c r="AC17120" s="247"/>
      <c r="AT17120" s="247"/>
    </row>
    <row r="17121">
      <c r="C17121" s="278"/>
      <c r="M17121" s="278"/>
      <c r="O17121" s="247"/>
      <c r="AC17121" s="247"/>
      <c r="AT17121" s="247"/>
    </row>
    <row r="17122">
      <c r="C17122" s="278"/>
      <c r="M17122" s="278"/>
      <c r="O17122" s="247"/>
      <c r="AC17122" s="247"/>
      <c r="AT17122" s="247"/>
    </row>
    <row r="17123">
      <c r="C17123" s="278"/>
      <c r="M17123" s="278"/>
      <c r="O17123" s="247"/>
      <c r="AC17123" s="247"/>
      <c r="AT17123" s="247"/>
    </row>
    <row r="17124">
      <c r="C17124" s="278"/>
      <c r="M17124" s="278"/>
      <c r="O17124" s="247"/>
      <c r="AC17124" s="247"/>
      <c r="AT17124" s="247"/>
    </row>
    <row r="17125">
      <c r="C17125" s="278"/>
      <c r="M17125" s="278"/>
      <c r="O17125" s="247"/>
      <c r="AC17125" s="247"/>
      <c r="AT17125" s="247"/>
    </row>
    <row r="17126">
      <c r="C17126" s="278"/>
      <c r="M17126" s="278"/>
      <c r="O17126" s="247"/>
      <c r="AC17126" s="247"/>
      <c r="AT17126" s="247"/>
    </row>
    <row r="17127">
      <c r="C17127" s="278"/>
      <c r="M17127" s="278"/>
      <c r="O17127" s="247"/>
      <c r="AC17127" s="247"/>
      <c r="AT17127" s="247"/>
    </row>
    <row r="17128">
      <c r="C17128" s="278"/>
      <c r="M17128" s="278"/>
      <c r="O17128" s="247"/>
      <c r="AC17128" s="247"/>
      <c r="AT17128" s="247"/>
    </row>
    <row r="17129">
      <c r="C17129" s="278"/>
      <c r="M17129" s="278"/>
      <c r="O17129" s="247"/>
      <c r="AC17129" s="247"/>
      <c r="AT17129" s="247"/>
    </row>
    <row r="17130">
      <c r="C17130" s="278"/>
      <c r="M17130" s="278"/>
      <c r="O17130" s="247"/>
      <c r="AC17130" s="247"/>
      <c r="AT17130" s="247"/>
    </row>
    <row r="17131">
      <c r="C17131" s="278"/>
      <c r="M17131" s="278"/>
      <c r="O17131" s="247"/>
      <c r="AC17131" s="247"/>
      <c r="AT17131" s="247"/>
    </row>
    <row r="17132">
      <c r="C17132" s="278"/>
      <c r="M17132" s="278"/>
      <c r="O17132" s="247"/>
      <c r="AC17132" s="247"/>
      <c r="AT17132" s="247"/>
    </row>
    <row r="17133">
      <c r="C17133" s="278"/>
      <c r="M17133" s="278"/>
      <c r="O17133" s="247"/>
      <c r="AC17133" s="247"/>
      <c r="AT17133" s="247"/>
    </row>
    <row r="17134">
      <c r="C17134" s="278"/>
      <c r="M17134" s="278"/>
      <c r="O17134" s="247"/>
      <c r="AC17134" s="247"/>
      <c r="AT17134" s="247"/>
    </row>
    <row r="17135">
      <c r="C17135" s="278"/>
      <c r="M17135" s="278"/>
      <c r="O17135" s="247"/>
      <c r="AC17135" s="247"/>
      <c r="AT17135" s="247"/>
    </row>
    <row r="17136">
      <c r="C17136" s="278"/>
      <c r="M17136" s="278"/>
      <c r="O17136" s="247"/>
      <c r="AC17136" s="247"/>
      <c r="AT17136" s="247"/>
    </row>
    <row r="17137">
      <c r="C17137" s="278"/>
      <c r="M17137" s="278"/>
      <c r="O17137" s="247"/>
      <c r="AC17137" s="247"/>
      <c r="AT17137" s="247"/>
    </row>
    <row r="17138">
      <c r="C17138" s="278"/>
      <c r="M17138" s="278"/>
      <c r="O17138" s="247"/>
      <c r="AC17138" s="247"/>
      <c r="AT17138" s="247"/>
    </row>
    <row r="17139">
      <c r="C17139" s="278"/>
      <c r="M17139" s="278"/>
      <c r="O17139" s="247"/>
      <c r="AC17139" s="247"/>
      <c r="AT17139" s="247"/>
    </row>
    <row r="17140">
      <c r="C17140" s="278"/>
      <c r="M17140" s="278"/>
      <c r="O17140" s="247"/>
      <c r="AC17140" s="247"/>
      <c r="AT17140" s="247"/>
    </row>
    <row r="17141">
      <c r="C17141" s="278"/>
      <c r="M17141" s="278"/>
      <c r="O17141" s="247"/>
      <c r="AC17141" s="247"/>
      <c r="AT17141" s="247"/>
    </row>
    <row r="17142">
      <c r="C17142" s="278"/>
      <c r="M17142" s="278"/>
      <c r="O17142" s="247"/>
      <c r="AC17142" s="247"/>
      <c r="AT17142" s="247"/>
    </row>
    <row r="17143">
      <c r="C17143" s="278"/>
      <c r="M17143" s="278"/>
      <c r="O17143" s="247"/>
      <c r="AC17143" s="247"/>
      <c r="AT17143" s="247"/>
    </row>
    <row r="17144">
      <c r="C17144" s="278"/>
      <c r="M17144" s="278"/>
      <c r="O17144" s="247"/>
      <c r="AC17144" s="247"/>
      <c r="AT17144" s="247"/>
    </row>
    <row r="17145">
      <c r="C17145" s="278"/>
      <c r="M17145" s="278"/>
      <c r="O17145" s="247"/>
      <c r="AC17145" s="247"/>
      <c r="AT17145" s="247"/>
    </row>
    <row r="17146">
      <c r="C17146" s="278"/>
      <c r="M17146" s="278"/>
      <c r="O17146" s="247"/>
      <c r="AC17146" s="247"/>
      <c r="AT17146" s="247"/>
    </row>
    <row r="17147">
      <c r="C17147" s="278"/>
      <c r="M17147" s="278"/>
      <c r="O17147" s="247"/>
      <c r="AC17147" s="247"/>
      <c r="AT17147" s="247"/>
    </row>
    <row r="17148">
      <c r="C17148" s="278"/>
      <c r="M17148" s="278"/>
      <c r="O17148" s="247"/>
      <c r="AC17148" s="247"/>
      <c r="AT17148" s="247"/>
    </row>
    <row r="17149">
      <c r="C17149" s="278"/>
      <c r="M17149" s="278"/>
      <c r="O17149" s="247"/>
      <c r="AC17149" s="247"/>
      <c r="AT17149" s="247"/>
    </row>
    <row r="17150">
      <c r="C17150" s="278"/>
      <c r="M17150" s="278"/>
      <c r="O17150" s="247"/>
      <c r="AC17150" s="247"/>
      <c r="AT17150" s="247"/>
    </row>
    <row r="17151">
      <c r="C17151" s="278"/>
      <c r="M17151" s="278"/>
      <c r="O17151" s="247"/>
      <c r="AC17151" s="247"/>
      <c r="AT17151" s="247"/>
    </row>
    <row r="17152">
      <c r="C17152" s="278"/>
      <c r="M17152" s="278"/>
      <c r="O17152" s="247"/>
      <c r="AC17152" s="247"/>
      <c r="AT17152" s="247"/>
    </row>
    <row r="17153">
      <c r="C17153" s="278"/>
      <c r="M17153" s="278"/>
      <c r="O17153" s="247"/>
      <c r="AC17153" s="247"/>
      <c r="AT17153" s="247"/>
    </row>
    <row r="17154">
      <c r="C17154" s="278"/>
      <c r="M17154" s="278"/>
      <c r="O17154" s="247"/>
      <c r="AC17154" s="247"/>
      <c r="AT17154" s="247"/>
    </row>
    <row r="17155">
      <c r="C17155" s="278"/>
      <c r="M17155" s="278"/>
      <c r="O17155" s="247"/>
      <c r="AC17155" s="247"/>
      <c r="AT17155" s="247"/>
    </row>
    <row r="17156">
      <c r="C17156" s="278"/>
      <c r="M17156" s="278"/>
      <c r="O17156" s="247"/>
      <c r="AC17156" s="247"/>
      <c r="AT17156" s="247"/>
    </row>
    <row r="17157">
      <c r="C17157" s="278"/>
      <c r="M17157" s="278"/>
      <c r="O17157" s="247"/>
      <c r="AC17157" s="247"/>
      <c r="AT17157" s="247"/>
    </row>
    <row r="17158">
      <c r="C17158" s="278"/>
      <c r="M17158" s="278"/>
      <c r="O17158" s="247"/>
      <c r="AC17158" s="247"/>
      <c r="AT17158" s="247"/>
    </row>
    <row r="17159">
      <c r="C17159" s="278"/>
      <c r="M17159" s="278"/>
      <c r="O17159" s="247"/>
      <c r="AC17159" s="247"/>
      <c r="AT17159" s="247"/>
    </row>
    <row r="17160">
      <c r="C17160" s="278"/>
      <c r="M17160" s="278"/>
      <c r="O17160" s="247"/>
      <c r="AC17160" s="247"/>
      <c r="AT17160" s="247"/>
    </row>
    <row r="17161">
      <c r="C17161" s="278"/>
      <c r="M17161" s="278"/>
      <c r="O17161" s="247"/>
      <c r="AC17161" s="247"/>
      <c r="AT17161" s="247"/>
    </row>
    <row r="17162">
      <c r="C17162" s="278"/>
      <c r="M17162" s="278"/>
      <c r="O17162" s="247"/>
      <c r="AC17162" s="247"/>
      <c r="AT17162" s="247"/>
    </row>
    <row r="17163">
      <c r="C17163" s="278"/>
      <c r="M17163" s="278"/>
      <c r="O17163" s="247"/>
      <c r="AC17163" s="247"/>
      <c r="AT17163" s="247"/>
    </row>
    <row r="17164">
      <c r="C17164" s="278"/>
      <c r="M17164" s="278"/>
      <c r="O17164" s="247"/>
      <c r="AC17164" s="247"/>
      <c r="AT17164" s="247"/>
    </row>
    <row r="17165">
      <c r="C17165" s="278"/>
      <c r="M17165" s="278"/>
      <c r="O17165" s="247"/>
      <c r="AC17165" s="247"/>
      <c r="AT17165" s="247"/>
    </row>
    <row r="17166">
      <c r="C17166" s="278"/>
      <c r="M17166" s="278"/>
      <c r="O17166" s="247"/>
      <c r="AC17166" s="247"/>
      <c r="AT17166" s="247"/>
    </row>
    <row r="17167">
      <c r="C17167" s="278"/>
      <c r="M17167" s="278"/>
      <c r="O17167" s="247"/>
      <c r="AC17167" s="247"/>
      <c r="AT17167" s="247"/>
    </row>
    <row r="17168">
      <c r="C17168" s="278"/>
      <c r="M17168" s="278"/>
      <c r="O17168" s="247"/>
      <c r="AC17168" s="247"/>
      <c r="AT17168" s="247"/>
    </row>
    <row r="17169">
      <c r="C17169" s="278"/>
      <c r="M17169" s="278"/>
      <c r="O17169" s="247"/>
      <c r="AC17169" s="247"/>
      <c r="AT17169" s="247"/>
    </row>
    <row r="17170">
      <c r="C17170" s="278"/>
      <c r="M17170" s="278"/>
      <c r="O17170" s="247"/>
      <c r="AC17170" s="247"/>
      <c r="AT17170" s="247"/>
    </row>
    <row r="17171">
      <c r="C17171" s="278"/>
      <c r="M17171" s="278"/>
      <c r="O17171" s="247"/>
      <c r="AC17171" s="247"/>
      <c r="AT17171" s="247"/>
    </row>
    <row r="17172">
      <c r="C17172" s="278"/>
      <c r="M17172" s="278"/>
      <c r="O17172" s="247"/>
      <c r="AC17172" s="247"/>
      <c r="AT17172" s="247"/>
    </row>
    <row r="17173">
      <c r="C17173" s="278"/>
      <c r="M17173" s="278"/>
      <c r="O17173" s="247"/>
      <c r="AC17173" s="247"/>
      <c r="AT17173" s="247"/>
    </row>
    <row r="17174">
      <c r="C17174" s="278"/>
      <c r="M17174" s="278"/>
      <c r="O17174" s="247"/>
      <c r="AC17174" s="247"/>
      <c r="AT17174" s="247"/>
    </row>
    <row r="17175">
      <c r="C17175" s="278"/>
      <c r="M17175" s="278"/>
      <c r="O17175" s="247"/>
      <c r="AC17175" s="247"/>
      <c r="AT17175" s="247"/>
    </row>
    <row r="17176">
      <c r="C17176" s="278"/>
      <c r="M17176" s="278"/>
      <c r="O17176" s="247"/>
      <c r="AC17176" s="247"/>
      <c r="AT17176" s="247"/>
    </row>
    <row r="17177">
      <c r="C17177" s="278"/>
      <c r="M17177" s="278"/>
      <c r="O17177" s="247"/>
      <c r="AC17177" s="247"/>
      <c r="AT17177" s="247"/>
    </row>
    <row r="17178">
      <c r="C17178" s="278"/>
      <c r="M17178" s="278"/>
      <c r="O17178" s="247"/>
      <c r="AC17178" s="247"/>
      <c r="AT17178" s="247"/>
    </row>
    <row r="17179">
      <c r="C17179" s="278"/>
      <c r="M17179" s="278"/>
      <c r="O17179" s="247"/>
      <c r="AC17179" s="247"/>
      <c r="AT17179" s="247"/>
    </row>
    <row r="17180">
      <c r="C17180" s="278"/>
      <c r="M17180" s="278"/>
      <c r="O17180" s="247"/>
      <c r="AC17180" s="247"/>
      <c r="AT17180" s="247"/>
    </row>
    <row r="17181">
      <c r="C17181" s="278"/>
      <c r="M17181" s="278"/>
      <c r="O17181" s="247"/>
      <c r="AC17181" s="247"/>
      <c r="AT17181" s="247"/>
    </row>
    <row r="17182">
      <c r="C17182" s="278"/>
      <c r="M17182" s="278"/>
      <c r="O17182" s="247"/>
      <c r="AC17182" s="247"/>
      <c r="AT17182" s="247"/>
    </row>
    <row r="17183">
      <c r="C17183" s="278"/>
      <c r="M17183" s="278"/>
      <c r="O17183" s="247"/>
      <c r="AC17183" s="247"/>
      <c r="AT17183" s="247"/>
    </row>
    <row r="17184">
      <c r="C17184" s="278"/>
      <c r="M17184" s="278"/>
      <c r="O17184" s="247"/>
      <c r="AC17184" s="247"/>
      <c r="AT17184" s="247"/>
    </row>
    <row r="17185">
      <c r="C17185" s="278"/>
      <c r="M17185" s="278"/>
      <c r="O17185" s="247"/>
      <c r="AC17185" s="247"/>
      <c r="AT17185" s="247"/>
    </row>
    <row r="17186">
      <c r="C17186" s="278"/>
      <c r="M17186" s="278"/>
      <c r="O17186" s="247"/>
      <c r="AC17186" s="247"/>
      <c r="AT17186" s="247"/>
    </row>
    <row r="17187">
      <c r="C17187" s="278"/>
      <c r="M17187" s="278"/>
      <c r="O17187" s="247"/>
      <c r="AC17187" s="247"/>
      <c r="AT17187" s="247"/>
    </row>
    <row r="17188">
      <c r="C17188" s="278"/>
      <c r="M17188" s="278"/>
      <c r="O17188" s="247"/>
      <c r="AC17188" s="247"/>
      <c r="AT17188" s="247"/>
    </row>
    <row r="17189">
      <c r="C17189" s="278"/>
      <c r="M17189" s="278"/>
      <c r="O17189" s="247"/>
      <c r="AC17189" s="247"/>
      <c r="AT17189" s="247"/>
    </row>
    <row r="17190">
      <c r="C17190" s="278"/>
      <c r="M17190" s="278"/>
      <c r="O17190" s="247"/>
      <c r="AC17190" s="247"/>
      <c r="AT17190" s="247"/>
    </row>
    <row r="17191">
      <c r="C17191" s="278"/>
      <c r="M17191" s="278"/>
      <c r="O17191" s="247"/>
      <c r="AC17191" s="247"/>
      <c r="AT17191" s="247"/>
    </row>
    <row r="17192">
      <c r="C17192" s="278"/>
      <c r="M17192" s="278"/>
      <c r="O17192" s="247"/>
      <c r="AC17192" s="247"/>
      <c r="AT17192" s="247"/>
    </row>
    <row r="17193">
      <c r="C17193" s="278"/>
      <c r="M17193" s="278"/>
      <c r="O17193" s="247"/>
      <c r="AC17193" s="247"/>
      <c r="AT17193" s="247"/>
    </row>
    <row r="17194">
      <c r="C17194" s="278"/>
      <c r="M17194" s="278"/>
      <c r="O17194" s="247"/>
      <c r="AC17194" s="247"/>
      <c r="AT17194" s="247"/>
    </row>
    <row r="17195">
      <c r="C17195" s="278"/>
      <c r="M17195" s="278"/>
      <c r="O17195" s="247"/>
      <c r="AC17195" s="247"/>
      <c r="AT17195" s="247"/>
    </row>
    <row r="17196">
      <c r="C17196" s="278"/>
      <c r="M17196" s="278"/>
      <c r="O17196" s="247"/>
      <c r="AC17196" s="247"/>
      <c r="AT17196" s="247"/>
    </row>
    <row r="17197">
      <c r="C17197" s="278"/>
      <c r="M17197" s="278"/>
      <c r="O17197" s="247"/>
      <c r="AC17197" s="247"/>
      <c r="AT17197" s="247"/>
    </row>
    <row r="17198">
      <c r="C17198" s="278"/>
      <c r="M17198" s="278"/>
      <c r="O17198" s="247"/>
      <c r="AC17198" s="247"/>
      <c r="AT17198" s="247"/>
    </row>
    <row r="17199">
      <c r="C17199" s="278"/>
      <c r="M17199" s="278"/>
      <c r="O17199" s="247"/>
      <c r="AC17199" s="247"/>
      <c r="AT17199" s="247"/>
    </row>
    <row r="17200">
      <c r="C17200" s="278"/>
      <c r="M17200" s="278"/>
      <c r="O17200" s="247"/>
      <c r="AC17200" s="247"/>
      <c r="AT17200" s="247"/>
    </row>
    <row r="17201">
      <c r="C17201" s="278"/>
      <c r="M17201" s="278"/>
      <c r="O17201" s="247"/>
      <c r="AC17201" s="247"/>
      <c r="AT17201" s="247"/>
    </row>
    <row r="17202">
      <c r="C17202" s="278"/>
      <c r="M17202" s="278"/>
      <c r="O17202" s="247"/>
      <c r="AC17202" s="247"/>
      <c r="AT17202" s="247"/>
    </row>
    <row r="17203">
      <c r="C17203" s="278"/>
      <c r="M17203" s="278"/>
      <c r="O17203" s="247"/>
      <c r="AC17203" s="247"/>
      <c r="AT17203" s="247"/>
    </row>
    <row r="17204">
      <c r="C17204" s="278"/>
      <c r="M17204" s="278"/>
      <c r="O17204" s="247"/>
      <c r="AC17204" s="247"/>
      <c r="AT17204" s="247"/>
    </row>
    <row r="17205">
      <c r="C17205" s="278"/>
      <c r="M17205" s="278"/>
      <c r="O17205" s="247"/>
      <c r="AC17205" s="247"/>
      <c r="AT17205" s="247"/>
    </row>
    <row r="17206">
      <c r="C17206" s="278"/>
      <c r="M17206" s="278"/>
      <c r="O17206" s="247"/>
      <c r="AC17206" s="247"/>
      <c r="AT17206" s="247"/>
    </row>
    <row r="17207">
      <c r="C17207" s="278"/>
      <c r="M17207" s="278"/>
      <c r="O17207" s="247"/>
      <c r="AC17207" s="247"/>
      <c r="AT17207" s="247"/>
    </row>
    <row r="17208">
      <c r="C17208" s="278"/>
      <c r="M17208" s="278"/>
      <c r="O17208" s="247"/>
      <c r="AC17208" s="247"/>
      <c r="AT17208" s="247"/>
    </row>
    <row r="17209">
      <c r="C17209" s="278"/>
      <c r="M17209" s="278"/>
      <c r="O17209" s="247"/>
      <c r="AC17209" s="247"/>
      <c r="AT17209" s="247"/>
    </row>
    <row r="17210">
      <c r="C17210" s="278"/>
      <c r="M17210" s="278"/>
      <c r="O17210" s="247"/>
      <c r="AC17210" s="247"/>
      <c r="AT17210" s="247"/>
    </row>
    <row r="17211">
      <c r="C17211" s="278"/>
      <c r="M17211" s="278"/>
      <c r="O17211" s="247"/>
      <c r="AC17211" s="247"/>
      <c r="AT17211" s="247"/>
    </row>
    <row r="17212">
      <c r="C17212" s="278"/>
      <c r="M17212" s="278"/>
      <c r="O17212" s="247"/>
      <c r="AC17212" s="247"/>
      <c r="AT17212" s="247"/>
    </row>
    <row r="17213">
      <c r="C17213" s="278"/>
      <c r="M17213" s="278"/>
      <c r="O17213" s="247"/>
      <c r="AC17213" s="247"/>
      <c r="AT17213" s="247"/>
    </row>
    <row r="17214">
      <c r="C17214" s="278"/>
      <c r="M17214" s="278"/>
      <c r="O17214" s="247"/>
      <c r="AC17214" s="247"/>
      <c r="AT17214" s="247"/>
    </row>
    <row r="17215">
      <c r="C17215" s="278"/>
      <c r="M17215" s="278"/>
      <c r="O17215" s="247"/>
      <c r="AC17215" s="247"/>
      <c r="AT17215" s="247"/>
    </row>
    <row r="17216">
      <c r="C17216" s="278"/>
      <c r="M17216" s="278"/>
      <c r="O17216" s="247"/>
      <c r="AC17216" s="247"/>
      <c r="AT17216" s="247"/>
    </row>
    <row r="17217">
      <c r="C17217" s="278"/>
      <c r="M17217" s="278"/>
      <c r="O17217" s="247"/>
      <c r="AC17217" s="247"/>
      <c r="AT17217" s="247"/>
    </row>
    <row r="17218">
      <c r="C17218" s="278"/>
      <c r="M17218" s="278"/>
      <c r="O17218" s="247"/>
      <c r="AC17218" s="247"/>
      <c r="AT17218" s="247"/>
    </row>
    <row r="17219">
      <c r="C17219" s="278"/>
      <c r="M17219" s="278"/>
      <c r="O17219" s="247"/>
      <c r="AC17219" s="247"/>
      <c r="AT17219" s="247"/>
    </row>
    <row r="17220">
      <c r="C17220" s="278"/>
      <c r="M17220" s="278"/>
      <c r="O17220" s="247"/>
      <c r="AC17220" s="247"/>
      <c r="AT17220" s="247"/>
    </row>
    <row r="17221">
      <c r="C17221" s="278"/>
      <c r="M17221" s="278"/>
      <c r="O17221" s="247"/>
      <c r="AC17221" s="247"/>
      <c r="AT17221" s="247"/>
    </row>
    <row r="17222">
      <c r="C17222" s="278"/>
      <c r="M17222" s="278"/>
      <c r="O17222" s="247"/>
      <c r="AC17222" s="247"/>
      <c r="AT17222" s="247"/>
    </row>
    <row r="17223">
      <c r="C17223" s="278"/>
      <c r="M17223" s="278"/>
      <c r="O17223" s="247"/>
      <c r="AC17223" s="247"/>
      <c r="AT17223" s="247"/>
    </row>
    <row r="17224">
      <c r="C17224" s="278"/>
      <c r="M17224" s="278"/>
      <c r="O17224" s="247"/>
      <c r="AC17224" s="247"/>
      <c r="AT17224" s="247"/>
    </row>
    <row r="17225">
      <c r="C17225" s="278"/>
      <c r="M17225" s="278"/>
      <c r="O17225" s="247"/>
      <c r="AC17225" s="247"/>
      <c r="AT17225" s="247"/>
    </row>
    <row r="17226">
      <c r="C17226" s="278"/>
      <c r="M17226" s="278"/>
      <c r="O17226" s="247"/>
      <c r="AC17226" s="247"/>
      <c r="AT17226" s="247"/>
    </row>
    <row r="17227">
      <c r="C17227" s="278"/>
      <c r="M17227" s="278"/>
      <c r="O17227" s="247"/>
      <c r="AC17227" s="247"/>
      <c r="AT17227" s="247"/>
    </row>
    <row r="17228">
      <c r="C17228" s="278"/>
      <c r="M17228" s="278"/>
      <c r="O17228" s="247"/>
      <c r="AC17228" s="247"/>
      <c r="AT17228" s="247"/>
    </row>
    <row r="17229">
      <c r="C17229" s="278"/>
      <c r="M17229" s="278"/>
      <c r="O17229" s="247"/>
      <c r="AC17229" s="247"/>
      <c r="AT17229" s="247"/>
    </row>
    <row r="17230">
      <c r="C17230" s="278"/>
      <c r="M17230" s="278"/>
      <c r="O17230" s="247"/>
      <c r="AC17230" s="247"/>
      <c r="AT17230" s="247"/>
    </row>
    <row r="17231">
      <c r="C17231" s="278"/>
      <c r="M17231" s="278"/>
      <c r="O17231" s="247"/>
      <c r="AC17231" s="247"/>
      <c r="AT17231" s="247"/>
    </row>
    <row r="17232">
      <c r="C17232" s="278"/>
      <c r="M17232" s="278"/>
      <c r="O17232" s="247"/>
      <c r="AC17232" s="247"/>
      <c r="AT17232" s="247"/>
    </row>
    <row r="17233">
      <c r="C17233" s="278"/>
      <c r="M17233" s="278"/>
      <c r="O17233" s="247"/>
      <c r="AC17233" s="247"/>
      <c r="AT17233" s="247"/>
    </row>
    <row r="17234">
      <c r="C17234" s="278"/>
      <c r="M17234" s="278"/>
      <c r="O17234" s="247"/>
      <c r="AC17234" s="247"/>
      <c r="AT17234" s="247"/>
    </row>
    <row r="17235">
      <c r="C17235" s="278"/>
      <c r="M17235" s="278"/>
      <c r="O17235" s="247"/>
      <c r="AC17235" s="247"/>
      <c r="AT17235" s="247"/>
    </row>
    <row r="17236">
      <c r="C17236" s="278"/>
      <c r="M17236" s="278"/>
      <c r="O17236" s="247"/>
      <c r="AC17236" s="247"/>
      <c r="AT17236" s="247"/>
    </row>
    <row r="17237">
      <c r="C17237" s="278"/>
      <c r="M17237" s="278"/>
      <c r="O17237" s="247"/>
      <c r="AC17237" s="247"/>
      <c r="AT17237" s="247"/>
    </row>
    <row r="17238">
      <c r="C17238" s="278"/>
      <c r="M17238" s="278"/>
      <c r="O17238" s="247"/>
      <c r="AC17238" s="247"/>
      <c r="AT17238" s="247"/>
    </row>
    <row r="17239">
      <c r="C17239" s="278"/>
      <c r="M17239" s="278"/>
      <c r="O17239" s="247"/>
      <c r="AC17239" s="247"/>
      <c r="AT17239" s="247"/>
    </row>
    <row r="17240">
      <c r="C17240" s="278"/>
      <c r="M17240" s="278"/>
      <c r="O17240" s="247"/>
      <c r="AC17240" s="247"/>
      <c r="AT17240" s="247"/>
    </row>
    <row r="17241">
      <c r="C17241" s="278"/>
      <c r="M17241" s="278"/>
      <c r="O17241" s="247"/>
      <c r="AC17241" s="247"/>
      <c r="AT17241" s="247"/>
    </row>
    <row r="17242">
      <c r="C17242" s="278"/>
      <c r="M17242" s="278"/>
      <c r="O17242" s="247"/>
      <c r="AC17242" s="247"/>
      <c r="AT17242" s="247"/>
    </row>
    <row r="17243">
      <c r="C17243" s="278"/>
      <c r="M17243" s="278"/>
      <c r="O17243" s="247"/>
      <c r="AC17243" s="247"/>
      <c r="AT17243" s="247"/>
    </row>
    <row r="17244">
      <c r="C17244" s="278"/>
      <c r="M17244" s="278"/>
      <c r="O17244" s="247"/>
      <c r="AC17244" s="247"/>
      <c r="AT17244" s="247"/>
    </row>
    <row r="17245">
      <c r="C17245" s="278"/>
      <c r="M17245" s="278"/>
      <c r="O17245" s="247"/>
      <c r="AC17245" s="247"/>
      <c r="AT17245" s="247"/>
    </row>
    <row r="17246">
      <c r="C17246" s="278"/>
      <c r="M17246" s="278"/>
      <c r="O17246" s="247"/>
      <c r="AC17246" s="247"/>
      <c r="AT17246" s="247"/>
    </row>
    <row r="17247">
      <c r="C17247" s="278"/>
      <c r="M17247" s="278"/>
      <c r="O17247" s="247"/>
      <c r="AC17247" s="247"/>
      <c r="AT17247" s="247"/>
    </row>
    <row r="17248">
      <c r="C17248" s="278"/>
      <c r="M17248" s="278"/>
      <c r="O17248" s="247"/>
      <c r="AC17248" s="247"/>
      <c r="AT17248" s="247"/>
    </row>
    <row r="17249">
      <c r="C17249" s="278"/>
      <c r="M17249" s="278"/>
      <c r="O17249" s="247"/>
      <c r="AC17249" s="247"/>
      <c r="AT17249" s="247"/>
    </row>
    <row r="17250">
      <c r="C17250" s="278"/>
      <c r="M17250" s="278"/>
      <c r="O17250" s="247"/>
      <c r="AC17250" s="247"/>
      <c r="AT17250" s="247"/>
    </row>
    <row r="17251">
      <c r="C17251" s="278"/>
      <c r="M17251" s="278"/>
      <c r="O17251" s="247"/>
      <c r="AC17251" s="247"/>
      <c r="AT17251" s="247"/>
    </row>
    <row r="17252">
      <c r="C17252" s="278"/>
      <c r="M17252" s="278"/>
      <c r="O17252" s="247"/>
      <c r="AC17252" s="247"/>
      <c r="AT17252" s="247"/>
    </row>
    <row r="17253">
      <c r="C17253" s="278"/>
      <c r="M17253" s="278"/>
      <c r="O17253" s="247"/>
      <c r="AC17253" s="247"/>
      <c r="AT17253" s="247"/>
    </row>
    <row r="17254">
      <c r="C17254" s="278"/>
      <c r="M17254" s="278"/>
      <c r="O17254" s="247"/>
      <c r="AC17254" s="247"/>
      <c r="AT17254" s="247"/>
    </row>
    <row r="17255">
      <c r="C17255" s="278"/>
      <c r="M17255" s="278"/>
      <c r="O17255" s="247"/>
      <c r="AC17255" s="247"/>
      <c r="AT17255" s="247"/>
    </row>
    <row r="17256">
      <c r="C17256" s="278"/>
      <c r="M17256" s="278"/>
      <c r="O17256" s="247"/>
      <c r="AC17256" s="247"/>
      <c r="AT17256" s="247"/>
    </row>
    <row r="17257">
      <c r="C17257" s="278"/>
      <c r="M17257" s="278"/>
      <c r="O17257" s="247"/>
      <c r="AC17257" s="247"/>
      <c r="AT17257" s="247"/>
    </row>
    <row r="17258">
      <c r="C17258" s="278"/>
      <c r="M17258" s="278"/>
      <c r="O17258" s="247"/>
      <c r="AC17258" s="247"/>
      <c r="AT17258" s="247"/>
    </row>
    <row r="17259">
      <c r="C17259" s="278"/>
      <c r="M17259" s="278"/>
      <c r="O17259" s="247"/>
      <c r="AC17259" s="247"/>
      <c r="AT17259" s="247"/>
    </row>
    <row r="17260">
      <c r="C17260" s="278"/>
      <c r="M17260" s="278"/>
      <c r="O17260" s="247"/>
      <c r="AC17260" s="247"/>
      <c r="AT17260" s="247"/>
    </row>
    <row r="17261">
      <c r="C17261" s="278"/>
      <c r="M17261" s="278"/>
      <c r="O17261" s="247"/>
      <c r="AC17261" s="247"/>
      <c r="AT17261" s="247"/>
    </row>
    <row r="17262">
      <c r="C17262" s="278"/>
      <c r="M17262" s="278"/>
      <c r="O17262" s="247"/>
      <c r="AC17262" s="247"/>
      <c r="AT17262" s="247"/>
    </row>
    <row r="17263">
      <c r="C17263" s="278"/>
      <c r="M17263" s="278"/>
      <c r="O17263" s="247"/>
      <c r="AC17263" s="247"/>
      <c r="AT17263" s="247"/>
    </row>
    <row r="17264">
      <c r="C17264" s="278"/>
      <c r="M17264" s="278"/>
      <c r="O17264" s="247"/>
      <c r="AC17264" s="247"/>
      <c r="AT17264" s="247"/>
    </row>
    <row r="17265">
      <c r="C17265" s="278"/>
      <c r="M17265" s="278"/>
      <c r="O17265" s="247"/>
      <c r="AC17265" s="247"/>
      <c r="AT17265" s="247"/>
    </row>
    <row r="17266">
      <c r="C17266" s="278"/>
      <c r="M17266" s="278"/>
      <c r="O17266" s="247"/>
      <c r="AC17266" s="247"/>
      <c r="AT17266" s="247"/>
    </row>
    <row r="17267">
      <c r="C17267" s="278"/>
      <c r="M17267" s="278"/>
      <c r="O17267" s="247"/>
      <c r="AC17267" s="247"/>
      <c r="AT17267" s="247"/>
    </row>
    <row r="17268">
      <c r="C17268" s="278"/>
      <c r="M17268" s="278"/>
      <c r="O17268" s="247"/>
      <c r="AC17268" s="247"/>
      <c r="AT17268" s="247"/>
    </row>
    <row r="17269">
      <c r="C17269" s="278"/>
      <c r="M17269" s="278"/>
      <c r="O17269" s="247"/>
      <c r="AC17269" s="247"/>
      <c r="AT17269" s="247"/>
    </row>
    <row r="17270">
      <c r="C17270" s="278"/>
      <c r="M17270" s="278"/>
      <c r="O17270" s="247"/>
      <c r="AC17270" s="247"/>
      <c r="AT17270" s="247"/>
    </row>
    <row r="17271">
      <c r="C17271" s="278"/>
      <c r="M17271" s="278"/>
      <c r="O17271" s="247"/>
      <c r="AC17271" s="247"/>
      <c r="AT17271" s="247"/>
    </row>
    <row r="17272">
      <c r="C17272" s="278"/>
      <c r="M17272" s="278"/>
      <c r="O17272" s="247"/>
      <c r="AC17272" s="247"/>
      <c r="AT17272" s="247"/>
    </row>
    <row r="17273">
      <c r="C17273" s="278"/>
      <c r="M17273" s="278"/>
      <c r="O17273" s="247"/>
      <c r="AC17273" s="247"/>
      <c r="AT17273" s="247"/>
    </row>
    <row r="17274">
      <c r="C17274" s="278"/>
      <c r="M17274" s="278"/>
      <c r="O17274" s="247"/>
      <c r="AC17274" s="247"/>
      <c r="AT17274" s="247"/>
    </row>
    <row r="17275">
      <c r="C17275" s="278"/>
      <c r="M17275" s="278"/>
      <c r="O17275" s="247"/>
      <c r="AC17275" s="247"/>
      <c r="AT17275" s="247"/>
    </row>
    <row r="17276">
      <c r="C17276" s="278"/>
      <c r="M17276" s="278"/>
      <c r="O17276" s="247"/>
      <c r="AC17276" s="247"/>
      <c r="AT17276" s="247"/>
    </row>
    <row r="17277">
      <c r="C17277" s="278"/>
      <c r="M17277" s="278"/>
      <c r="O17277" s="247"/>
      <c r="AC17277" s="247"/>
      <c r="AT17277" s="247"/>
    </row>
    <row r="17278">
      <c r="C17278" s="278"/>
      <c r="M17278" s="278"/>
      <c r="O17278" s="247"/>
      <c r="AC17278" s="247"/>
      <c r="AT17278" s="247"/>
    </row>
    <row r="17279">
      <c r="C17279" s="278"/>
      <c r="M17279" s="278"/>
      <c r="O17279" s="247"/>
      <c r="AC17279" s="247"/>
      <c r="AT17279" s="247"/>
    </row>
    <row r="17280">
      <c r="C17280" s="278"/>
      <c r="M17280" s="278"/>
      <c r="O17280" s="247"/>
      <c r="AC17280" s="247"/>
      <c r="AT17280" s="247"/>
    </row>
    <row r="17281">
      <c r="C17281" s="278"/>
      <c r="M17281" s="278"/>
      <c r="O17281" s="247"/>
      <c r="AC17281" s="247"/>
      <c r="AT17281" s="247"/>
    </row>
    <row r="17282">
      <c r="C17282" s="278"/>
      <c r="M17282" s="278"/>
      <c r="O17282" s="247"/>
      <c r="AC17282" s="247"/>
      <c r="AT17282" s="247"/>
    </row>
    <row r="17283">
      <c r="C17283" s="278"/>
      <c r="M17283" s="278"/>
      <c r="O17283" s="247"/>
      <c r="AC17283" s="247"/>
      <c r="AT17283" s="247"/>
    </row>
    <row r="17284">
      <c r="C17284" s="278"/>
      <c r="M17284" s="278"/>
      <c r="O17284" s="247"/>
      <c r="AC17284" s="247"/>
      <c r="AT17284" s="247"/>
    </row>
    <row r="17285">
      <c r="C17285" s="278"/>
      <c r="M17285" s="278"/>
      <c r="O17285" s="247"/>
      <c r="AC17285" s="247"/>
      <c r="AT17285" s="247"/>
    </row>
    <row r="17286">
      <c r="C17286" s="278"/>
      <c r="M17286" s="278"/>
      <c r="O17286" s="247"/>
      <c r="AC17286" s="247"/>
      <c r="AT17286" s="247"/>
    </row>
    <row r="17287">
      <c r="C17287" s="278"/>
      <c r="M17287" s="278"/>
      <c r="O17287" s="247"/>
      <c r="AC17287" s="247"/>
      <c r="AT17287" s="247"/>
    </row>
    <row r="17288">
      <c r="C17288" s="278"/>
      <c r="M17288" s="278"/>
      <c r="O17288" s="247"/>
      <c r="AC17288" s="247"/>
      <c r="AT17288" s="247"/>
    </row>
    <row r="17289">
      <c r="C17289" s="278"/>
      <c r="M17289" s="278"/>
      <c r="O17289" s="247"/>
      <c r="AC17289" s="247"/>
      <c r="AT17289" s="247"/>
    </row>
    <row r="17290">
      <c r="C17290" s="278"/>
      <c r="M17290" s="278"/>
      <c r="O17290" s="247"/>
      <c r="AC17290" s="247"/>
      <c r="AT17290" s="247"/>
    </row>
    <row r="17291">
      <c r="C17291" s="278"/>
      <c r="M17291" s="278"/>
      <c r="O17291" s="247"/>
      <c r="AC17291" s="247"/>
      <c r="AT17291" s="247"/>
    </row>
    <row r="17292">
      <c r="C17292" s="278"/>
      <c r="M17292" s="278"/>
      <c r="O17292" s="247"/>
      <c r="AC17292" s="247"/>
      <c r="AT17292" s="247"/>
    </row>
    <row r="17293">
      <c r="C17293" s="278"/>
      <c r="M17293" s="278"/>
      <c r="O17293" s="247"/>
      <c r="AC17293" s="247"/>
      <c r="AT17293" s="247"/>
    </row>
    <row r="17294">
      <c r="C17294" s="278"/>
      <c r="M17294" s="278"/>
      <c r="O17294" s="247"/>
      <c r="AC17294" s="247"/>
      <c r="AT17294" s="247"/>
    </row>
    <row r="17295">
      <c r="C17295" s="278"/>
      <c r="M17295" s="278"/>
      <c r="O17295" s="247"/>
      <c r="AC17295" s="247"/>
      <c r="AT17295" s="247"/>
    </row>
    <row r="17296">
      <c r="C17296" s="278"/>
      <c r="M17296" s="278"/>
      <c r="O17296" s="247"/>
      <c r="AC17296" s="247"/>
      <c r="AT17296" s="247"/>
    </row>
    <row r="17297">
      <c r="C17297" s="278"/>
      <c r="M17297" s="278"/>
      <c r="O17297" s="247"/>
      <c r="AC17297" s="247"/>
      <c r="AT17297" s="247"/>
    </row>
    <row r="17298">
      <c r="C17298" s="278"/>
      <c r="M17298" s="278"/>
      <c r="O17298" s="247"/>
      <c r="AC17298" s="247"/>
      <c r="AT17298" s="247"/>
    </row>
    <row r="17299">
      <c r="C17299" s="278"/>
      <c r="M17299" s="278"/>
      <c r="O17299" s="247"/>
      <c r="AC17299" s="247"/>
      <c r="AT17299" s="247"/>
    </row>
    <row r="17300">
      <c r="C17300" s="278"/>
      <c r="M17300" s="278"/>
      <c r="O17300" s="247"/>
      <c r="AC17300" s="247"/>
      <c r="AT17300" s="247"/>
    </row>
    <row r="17301">
      <c r="C17301" s="278"/>
      <c r="M17301" s="278"/>
      <c r="O17301" s="247"/>
      <c r="AC17301" s="247"/>
      <c r="AT17301" s="247"/>
    </row>
    <row r="17302">
      <c r="C17302" s="278"/>
      <c r="M17302" s="278"/>
      <c r="O17302" s="247"/>
      <c r="AC17302" s="247"/>
      <c r="AT17302" s="247"/>
    </row>
    <row r="17303">
      <c r="C17303" s="278"/>
      <c r="M17303" s="278"/>
      <c r="O17303" s="247"/>
      <c r="AC17303" s="247"/>
      <c r="AT17303" s="247"/>
    </row>
    <row r="17304">
      <c r="C17304" s="278"/>
      <c r="M17304" s="278"/>
      <c r="O17304" s="247"/>
      <c r="AC17304" s="247"/>
      <c r="AT17304" s="247"/>
    </row>
    <row r="17305">
      <c r="C17305" s="278"/>
      <c r="M17305" s="278"/>
      <c r="O17305" s="247"/>
      <c r="AC17305" s="247"/>
      <c r="AT17305" s="247"/>
    </row>
    <row r="17306">
      <c r="C17306" s="278"/>
      <c r="M17306" s="278"/>
      <c r="O17306" s="247"/>
      <c r="AC17306" s="247"/>
      <c r="AT17306" s="247"/>
    </row>
    <row r="17307">
      <c r="C17307" s="278"/>
      <c r="M17307" s="278"/>
      <c r="O17307" s="247"/>
      <c r="AC17307" s="247"/>
      <c r="AT17307" s="247"/>
    </row>
    <row r="17308">
      <c r="C17308" s="278"/>
      <c r="M17308" s="278"/>
      <c r="O17308" s="247"/>
      <c r="AC17308" s="247"/>
      <c r="AT17308" s="247"/>
    </row>
    <row r="17309">
      <c r="C17309" s="278"/>
      <c r="M17309" s="278"/>
      <c r="O17309" s="247"/>
      <c r="AC17309" s="247"/>
      <c r="AT17309" s="247"/>
    </row>
    <row r="17310">
      <c r="C17310" s="278"/>
      <c r="M17310" s="278"/>
      <c r="O17310" s="247"/>
      <c r="AC17310" s="247"/>
      <c r="AT17310" s="247"/>
    </row>
    <row r="17311">
      <c r="C17311" s="278"/>
      <c r="M17311" s="278"/>
      <c r="O17311" s="247"/>
      <c r="AC17311" s="247"/>
      <c r="AT17311" s="247"/>
    </row>
    <row r="17312">
      <c r="C17312" s="278"/>
      <c r="M17312" s="278"/>
      <c r="O17312" s="247"/>
      <c r="AC17312" s="247"/>
      <c r="AT17312" s="247"/>
    </row>
    <row r="17313">
      <c r="C17313" s="278"/>
      <c r="M17313" s="278"/>
      <c r="O17313" s="247"/>
      <c r="AC17313" s="247"/>
      <c r="AT17313" s="247"/>
    </row>
    <row r="17314">
      <c r="C17314" s="278"/>
      <c r="M17314" s="278"/>
      <c r="O17314" s="247"/>
      <c r="AC17314" s="247"/>
      <c r="AT17314" s="247"/>
    </row>
    <row r="17315">
      <c r="C17315" s="278"/>
      <c r="M17315" s="278"/>
      <c r="O17315" s="247"/>
      <c r="AC17315" s="247"/>
      <c r="AT17315" s="247"/>
    </row>
    <row r="17316">
      <c r="C17316" s="278"/>
      <c r="M17316" s="278"/>
      <c r="O17316" s="247"/>
      <c r="AC17316" s="247"/>
      <c r="AT17316" s="247"/>
    </row>
    <row r="17317">
      <c r="C17317" s="278"/>
      <c r="M17317" s="278"/>
      <c r="O17317" s="247"/>
      <c r="AC17317" s="247"/>
      <c r="AT17317" s="247"/>
    </row>
    <row r="17318">
      <c r="C17318" s="278"/>
      <c r="M17318" s="278"/>
      <c r="O17318" s="247"/>
      <c r="AC17318" s="247"/>
      <c r="AT17318" s="247"/>
    </row>
    <row r="17319">
      <c r="C17319" s="278"/>
      <c r="M17319" s="278"/>
      <c r="O17319" s="247"/>
      <c r="AC17319" s="247"/>
      <c r="AT17319" s="247"/>
    </row>
    <row r="17320">
      <c r="C17320" s="278"/>
      <c r="M17320" s="278"/>
      <c r="O17320" s="247"/>
      <c r="AC17320" s="247"/>
      <c r="AT17320" s="247"/>
    </row>
    <row r="17321">
      <c r="C17321" s="278"/>
      <c r="M17321" s="278"/>
      <c r="O17321" s="247"/>
      <c r="AC17321" s="247"/>
      <c r="AT17321" s="247"/>
    </row>
    <row r="17322">
      <c r="C17322" s="278"/>
      <c r="M17322" s="278"/>
      <c r="O17322" s="247"/>
      <c r="AC17322" s="247"/>
      <c r="AT17322" s="247"/>
    </row>
    <row r="17323">
      <c r="C17323" s="278"/>
      <c r="M17323" s="278"/>
      <c r="O17323" s="247"/>
      <c r="AC17323" s="247"/>
      <c r="AT17323" s="247"/>
    </row>
    <row r="17324">
      <c r="C17324" s="278"/>
      <c r="M17324" s="278"/>
      <c r="O17324" s="247"/>
      <c r="AC17324" s="247"/>
      <c r="AT17324" s="247"/>
    </row>
    <row r="17325">
      <c r="C17325" s="278"/>
      <c r="M17325" s="278"/>
      <c r="O17325" s="247"/>
      <c r="AC17325" s="247"/>
      <c r="AT17325" s="247"/>
    </row>
    <row r="17326">
      <c r="C17326" s="278"/>
      <c r="M17326" s="278"/>
      <c r="O17326" s="247"/>
      <c r="AC17326" s="247"/>
      <c r="AT17326" s="247"/>
    </row>
    <row r="17327">
      <c r="C17327" s="278"/>
      <c r="M17327" s="278"/>
      <c r="O17327" s="247"/>
      <c r="AC17327" s="247"/>
      <c r="AT17327" s="247"/>
    </row>
    <row r="17328">
      <c r="C17328" s="278"/>
      <c r="M17328" s="278"/>
      <c r="O17328" s="247"/>
      <c r="AC17328" s="247"/>
      <c r="AT17328" s="247"/>
    </row>
    <row r="17329">
      <c r="C17329" s="278"/>
      <c r="M17329" s="278"/>
      <c r="O17329" s="247"/>
      <c r="AC17329" s="247"/>
      <c r="AT17329" s="247"/>
    </row>
    <row r="17330">
      <c r="C17330" s="278"/>
      <c r="M17330" s="278"/>
      <c r="O17330" s="247"/>
      <c r="AC17330" s="247"/>
      <c r="AT17330" s="247"/>
    </row>
    <row r="17331">
      <c r="C17331" s="278"/>
      <c r="M17331" s="278"/>
      <c r="O17331" s="247"/>
      <c r="AC17331" s="247"/>
      <c r="AT17331" s="247"/>
    </row>
    <row r="17332">
      <c r="C17332" s="278"/>
      <c r="M17332" s="278"/>
      <c r="O17332" s="247"/>
      <c r="AC17332" s="247"/>
      <c r="AT17332" s="247"/>
    </row>
    <row r="17333">
      <c r="C17333" s="278"/>
      <c r="M17333" s="278"/>
      <c r="O17333" s="247"/>
      <c r="AC17333" s="247"/>
      <c r="AT17333" s="247"/>
    </row>
    <row r="17334">
      <c r="C17334" s="278"/>
      <c r="M17334" s="278"/>
      <c r="O17334" s="247"/>
      <c r="AC17334" s="247"/>
      <c r="AT17334" s="247"/>
    </row>
    <row r="17335">
      <c r="C17335" s="278"/>
      <c r="M17335" s="278"/>
      <c r="O17335" s="247"/>
      <c r="AC17335" s="247"/>
      <c r="AT17335" s="247"/>
    </row>
    <row r="17336">
      <c r="C17336" s="278"/>
      <c r="M17336" s="278"/>
      <c r="O17336" s="247"/>
      <c r="AC17336" s="247"/>
      <c r="AT17336" s="247"/>
    </row>
    <row r="17337">
      <c r="C17337" s="278"/>
      <c r="M17337" s="278"/>
      <c r="O17337" s="247"/>
      <c r="AC17337" s="247"/>
      <c r="AT17337" s="247"/>
    </row>
    <row r="17338">
      <c r="C17338" s="278"/>
      <c r="M17338" s="278"/>
      <c r="O17338" s="247"/>
      <c r="AC17338" s="247"/>
      <c r="AT17338" s="247"/>
    </row>
    <row r="17339">
      <c r="C17339" s="278"/>
      <c r="M17339" s="278"/>
      <c r="O17339" s="247"/>
      <c r="AC17339" s="247"/>
      <c r="AT17339" s="247"/>
    </row>
    <row r="17340">
      <c r="C17340" s="278"/>
      <c r="M17340" s="278"/>
      <c r="O17340" s="247"/>
      <c r="AC17340" s="247"/>
      <c r="AT17340" s="247"/>
    </row>
    <row r="17341">
      <c r="C17341" s="278"/>
      <c r="M17341" s="278"/>
      <c r="O17341" s="247"/>
      <c r="AC17341" s="247"/>
      <c r="AT17341" s="247"/>
    </row>
    <row r="17342">
      <c r="C17342" s="278"/>
      <c r="M17342" s="278"/>
      <c r="O17342" s="247"/>
      <c r="AC17342" s="247"/>
      <c r="AT17342" s="247"/>
    </row>
    <row r="17343">
      <c r="C17343" s="278"/>
      <c r="M17343" s="278"/>
      <c r="O17343" s="247"/>
      <c r="AC17343" s="247"/>
      <c r="AT17343" s="247"/>
    </row>
    <row r="17344">
      <c r="C17344" s="278"/>
      <c r="M17344" s="278"/>
      <c r="O17344" s="247"/>
      <c r="AC17344" s="247"/>
      <c r="AT17344" s="247"/>
    </row>
    <row r="17345">
      <c r="C17345" s="278"/>
      <c r="M17345" s="278"/>
      <c r="O17345" s="247"/>
      <c r="AC17345" s="247"/>
      <c r="AT17345" s="247"/>
    </row>
    <row r="17346">
      <c r="C17346" s="278"/>
      <c r="M17346" s="278"/>
      <c r="O17346" s="247"/>
      <c r="AC17346" s="247"/>
      <c r="AT17346" s="247"/>
    </row>
    <row r="17347">
      <c r="C17347" s="278"/>
      <c r="M17347" s="278"/>
      <c r="O17347" s="247"/>
      <c r="AC17347" s="247"/>
      <c r="AT17347" s="247"/>
    </row>
    <row r="17348">
      <c r="C17348" s="278"/>
      <c r="M17348" s="278"/>
      <c r="O17348" s="247"/>
      <c r="AC17348" s="247"/>
      <c r="AT17348" s="247"/>
    </row>
    <row r="17349">
      <c r="C17349" s="278"/>
      <c r="M17349" s="278"/>
      <c r="O17349" s="247"/>
      <c r="AC17349" s="247"/>
      <c r="AT17349" s="247"/>
    </row>
    <row r="17350">
      <c r="C17350" s="278"/>
      <c r="M17350" s="278"/>
      <c r="O17350" s="247"/>
      <c r="AC17350" s="247"/>
      <c r="AT17350" s="247"/>
    </row>
    <row r="17351">
      <c r="C17351" s="278"/>
      <c r="M17351" s="278"/>
      <c r="O17351" s="247"/>
      <c r="AC17351" s="247"/>
      <c r="AT17351" s="247"/>
    </row>
    <row r="17352">
      <c r="C17352" s="278"/>
      <c r="M17352" s="278"/>
      <c r="O17352" s="247"/>
      <c r="AC17352" s="247"/>
      <c r="AT17352" s="247"/>
    </row>
    <row r="17353">
      <c r="C17353" s="278"/>
      <c r="M17353" s="278"/>
      <c r="O17353" s="247"/>
      <c r="AC17353" s="247"/>
      <c r="AT17353" s="247"/>
    </row>
    <row r="17354">
      <c r="C17354" s="278"/>
      <c r="M17354" s="278"/>
      <c r="O17354" s="247"/>
      <c r="AC17354" s="247"/>
      <c r="AT17354" s="247"/>
    </row>
    <row r="17355">
      <c r="C17355" s="278"/>
      <c r="M17355" s="278"/>
      <c r="O17355" s="247"/>
      <c r="AC17355" s="247"/>
      <c r="AT17355" s="247"/>
    </row>
    <row r="17356">
      <c r="C17356" s="278"/>
      <c r="M17356" s="278"/>
      <c r="O17356" s="247"/>
      <c r="AC17356" s="247"/>
      <c r="AT17356" s="247"/>
    </row>
    <row r="17357">
      <c r="C17357" s="278"/>
      <c r="M17357" s="278"/>
      <c r="O17357" s="247"/>
      <c r="AC17357" s="247"/>
      <c r="AT17357" s="247"/>
    </row>
    <row r="17358">
      <c r="C17358" s="278"/>
      <c r="M17358" s="278"/>
      <c r="O17358" s="247"/>
      <c r="AC17358" s="247"/>
      <c r="AT17358" s="247"/>
    </row>
    <row r="17359">
      <c r="C17359" s="278"/>
      <c r="M17359" s="278"/>
      <c r="O17359" s="247"/>
      <c r="AC17359" s="247"/>
      <c r="AT17359" s="247"/>
    </row>
    <row r="17360">
      <c r="C17360" s="278"/>
      <c r="M17360" s="278"/>
      <c r="O17360" s="247"/>
      <c r="AC17360" s="247"/>
      <c r="AT17360" s="247"/>
    </row>
    <row r="17361">
      <c r="C17361" s="277"/>
      <c r="M17361" s="278"/>
      <c r="O17361" s="247"/>
      <c r="AC17361" s="247"/>
      <c r="AT17361" s="247"/>
    </row>
    <row r="17362">
      <c r="C17362" s="278"/>
      <c r="M17362" s="278"/>
      <c r="O17362" s="247"/>
      <c r="AC17362" s="247"/>
      <c r="AT17362" s="247"/>
    </row>
    <row r="17363">
      <c r="C17363" s="278"/>
      <c r="M17363" s="278"/>
      <c r="O17363" s="247"/>
      <c r="AC17363" s="247"/>
      <c r="AT17363" s="247"/>
    </row>
    <row r="17364">
      <c r="C17364" s="278"/>
      <c r="M17364" s="278"/>
      <c r="O17364" s="247"/>
      <c r="AC17364" s="247"/>
      <c r="AT17364" s="247"/>
    </row>
    <row r="17365">
      <c r="C17365" s="278"/>
      <c r="M17365" s="278"/>
      <c r="O17365" s="247"/>
      <c r="AC17365" s="247"/>
      <c r="AT17365" s="247"/>
    </row>
    <row r="17366">
      <c r="C17366" s="278"/>
      <c r="M17366" s="278"/>
      <c r="O17366" s="247"/>
      <c r="AC17366" s="247"/>
      <c r="AT17366" s="247"/>
    </row>
    <row r="17367">
      <c r="C17367" s="278"/>
      <c r="M17367" s="278"/>
      <c r="O17367" s="247"/>
      <c r="AC17367" s="247"/>
      <c r="AT17367" s="247"/>
    </row>
    <row r="17368">
      <c r="C17368" s="278"/>
      <c r="M17368" s="278"/>
      <c r="O17368" s="247"/>
      <c r="AC17368" s="247"/>
      <c r="AT17368" s="247"/>
    </row>
    <row r="17369">
      <c r="C17369" s="278"/>
      <c r="M17369" s="278"/>
      <c r="O17369" s="247"/>
      <c r="AC17369" s="247"/>
      <c r="AT17369" s="247"/>
    </row>
    <row r="17370">
      <c r="C17370" s="278"/>
      <c r="M17370" s="278"/>
      <c r="O17370" s="247"/>
      <c r="AC17370" s="247"/>
      <c r="AT17370" s="247"/>
    </row>
    <row r="17371">
      <c r="C17371" s="278"/>
      <c r="M17371" s="278"/>
      <c r="O17371" s="247"/>
      <c r="AC17371" s="247"/>
      <c r="AT17371" s="247"/>
    </row>
    <row r="17372">
      <c r="C17372" s="278"/>
      <c r="M17372" s="278"/>
      <c r="O17372" s="247"/>
      <c r="AC17372" s="247"/>
      <c r="AT17372" s="247"/>
    </row>
    <row r="17373">
      <c r="C17373" s="278"/>
      <c r="M17373" s="278"/>
      <c r="O17373" s="247"/>
      <c r="AC17373" s="247"/>
      <c r="AT17373" s="247"/>
    </row>
    <row r="17374">
      <c r="C17374" s="278"/>
      <c r="M17374" s="278"/>
      <c r="O17374" s="247"/>
      <c r="AC17374" s="247"/>
      <c r="AT17374" s="247"/>
    </row>
    <row r="17375">
      <c r="C17375" s="278"/>
      <c r="M17375" s="278"/>
      <c r="O17375" s="247"/>
      <c r="AC17375" s="247"/>
      <c r="AT17375" s="247"/>
    </row>
    <row r="17376">
      <c r="C17376" s="278"/>
      <c r="M17376" s="278"/>
      <c r="O17376" s="247"/>
      <c r="AC17376" s="247"/>
      <c r="AT17376" s="247"/>
    </row>
    <row r="17377">
      <c r="C17377" s="278"/>
      <c r="M17377" s="278"/>
      <c r="O17377" s="247"/>
      <c r="AC17377" s="247"/>
      <c r="AT17377" s="247"/>
    </row>
    <row r="17378">
      <c r="C17378" s="278"/>
      <c r="M17378" s="278"/>
      <c r="O17378" s="247"/>
      <c r="AC17378" s="247"/>
      <c r="AT17378" s="247"/>
    </row>
    <row r="17379">
      <c r="C17379" s="278"/>
      <c r="M17379" s="278"/>
      <c r="O17379" s="247"/>
      <c r="AC17379" s="247"/>
      <c r="AT17379" s="247"/>
    </row>
    <row r="17380">
      <c r="C17380" s="278"/>
      <c r="M17380" s="278"/>
      <c r="O17380" s="247"/>
      <c r="AC17380" s="247"/>
      <c r="AT17380" s="247"/>
    </row>
    <row r="17381">
      <c r="C17381" s="278"/>
      <c r="M17381" s="278"/>
      <c r="O17381" s="247"/>
      <c r="AC17381" s="247"/>
      <c r="AT17381" s="247"/>
    </row>
    <row r="17382">
      <c r="C17382" s="278"/>
      <c r="M17382" s="278"/>
      <c r="O17382" s="247"/>
      <c r="AC17382" s="247"/>
      <c r="AT17382" s="247"/>
    </row>
    <row r="17383">
      <c r="C17383" s="278"/>
      <c r="M17383" s="278"/>
      <c r="O17383" s="247"/>
      <c r="AC17383" s="247"/>
      <c r="AT17383" s="247"/>
    </row>
    <row r="17384">
      <c r="C17384" s="278"/>
      <c r="M17384" s="278"/>
      <c r="O17384" s="247"/>
      <c r="AC17384" s="247"/>
      <c r="AT17384" s="247"/>
    </row>
    <row r="17385">
      <c r="C17385" s="278"/>
      <c r="M17385" s="278"/>
      <c r="O17385" s="247"/>
      <c r="AC17385" s="247"/>
      <c r="AT17385" s="247"/>
    </row>
    <row r="17386">
      <c r="C17386" s="278"/>
      <c r="M17386" s="278"/>
      <c r="O17386" s="247"/>
      <c r="AC17386" s="247"/>
      <c r="AT17386" s="247"/>
    </row>
    <row r="17387">
      <c r="C17387" s="278"/>
      <c r="M17387" s="278"/>
      <c r="O17387" s="247"/>
      <c r="AC17387" s="247"/>
      <c r="AT17387" s="247"/>
    </row>
    <row r="17388">
      <c r="C17388" s="278"/>
      <c r="M17388" s="278"/>
      <c r="O17388" s="247"/>
      <c r="AC17388" s="247"/>
      <c r="AT17388" s="247"/>
    </row>
    <row r="17389">
      <c r="C17389" s="278"/>
      <c r="M17389" s="278"/>
      <c r="O17389" s="247"/>
      <c r="AC17389" s="247"/>
      <c r="AT17389" s="247"/>
    </row>
    <row r="17390">
      <c r="C17390" s="278"/>
      <c r="M17390" s="278"/>
      <c r="O17390" s="247"/>
      <c r="AC17390" s="247"/>
      <c r="AT17390" s="247"/>
    </row>
    <row r="17391">
      <c r="C17391" s="278"/>
      <c r="M17391" s="278"/>
      <c r="O17391" s="247"/>
      <c r="AC17391" s="247"/>
      <c r="AT17391" s="247"/>
    </row>
    <row r="17392">
      <c r="C17392" s="278"/>
      <c r="M17392" s="278"/>
      <c r="O17392" s="247"/>
      <c r="AC17392" s="247"/>
      <c r="AT17392" s="247"/>
    </row>
    <row r="17393">
      <c r="C17393" s="278"/>
      <c r="M17393" s="278"/>
      <c r="O17393" s="247"/>
      <c r="AC17393" s="247"/>
      <c r="AT17393" s="247"/>
    </row>
    <row r="17394">
      <c r="C17394" s="278"/>
      <c r="M17394" s="278"/>
      <c r="O17394" s="247"/>
      <c r="AC17394" s="247"/>
      <c r="AT17394" s="247"/>
    </row>
    <row r="17395">
      <c r="C17395" s="278"/>
      <c r="M17395" s="278"/>
      <c r="O17395" s="247"/>
      <c r="AC17395" s="247"/>
      <c r="AT17395" s="247"/>
    </row>
    <row r="17396">
      <c r="C17396" s="278"/>
      <c r="M17396" s="278"/>
      <c r="O17396" s="247"/>
      <c r="AC17396" s="247"/>
      <c r="AT17396" s="247"/>
    </row>
    <row r="17397">
      <c r="C17397" s="278"/>
      <c r="M17397" s="278"/>
      <c r="O17397" s="247"/>
      <c r="AC17397" s="247"/>
      <c r="AT17397" s="247"/>
    </row>
    <row r="17398">
      <c r="C17398" s="278"/>
      <c r="M17398" s="278"/>
      <c r="O17398" s="247"/>
      <c r="AC17398" s="247"/>
      <c r="AT17398" s="247"/>
    </row>
    <row r="17399">
      <c r="C17399" s="278"/>
      <c r="M17399" s="278"/>
      <c r="O17399" s="247"/>
      <c r="AC17399" s="247"/>
      <c r="AT17399" s="247"/>
    </row>
    <row r="17400">
      <c r="C17400" s="278"/>
      <c r="M17400" s="278"/>
      <c r="O17400" s="247"/>
      <c r="AC17400" s="247"/>
      <c r="AT17400" s="247"/>
    </row>
    <row r="17401">
      <c r="C17401" s="278"/>
      <c r="M17401" s="278"/>
      <c r="O17401" s="247"/>
      <c r="AC17401" s="247"/>
      <c r="AT17401" s="247"/>
    </row>
    <row r="17402">
      <c r="C17402" s="278"/>
      <c r="M17402" s="278"/>
      <c r="O17402" s="247"/>
      <c r="AC17402" s="247"/>
      <c r="AT17402" s="247"/>
    </row>
    <row r="17403">
      <c r="C17403" s="278"/>
      <c r="M17403" s="278"/>
      <c r="O17403" s="247"/>
      <c r="AC17403" s="247"/>
      <c r="AT17403" s="247"/>
    </row>
    <row r="17404">
      <c r="C17404" s="278"/>
      <c r="M17404" s="278"/>
      <c r="O17404" s="247"/>
      <c r="AC17404" s="247"/>
      <c r="AT17404" s="247"/>
    </row>
    <row r="17405">
      <c r="C17405" s="278"/>
      <c r="M17405" s="278"/>
      <c r="O17405" s="247"/>
      <c r="AC17405" s="247"/>
      <c r="AT17405" s="247"/>
    </row>
    <row r="17406">
      <c r="C17406" s="278"/>
      <c r="M17406" s="278"/>
      <c r="O17406" s="247"/>
      <c r="AC17406" s="247"/>
      <c r="AT17406" s="247"/>
    </row>
    <row r="17407">
      <c r="C17407" s="278"/>
      <c r="M17407" s="278"/>
      <c r="O17407" s="247"/>
      <c r="AC17407" s="247"/>
      <c r="AT17407" s="247"/>
    </row>
    <row r="17408">
      <c r="C17408" s="278"/>
      <c r="M17408" s="278"/>
      <c r="O17408" s="247"/>
      <c r="AC17408" s="247"/>
      <c r="AT17408" s="247"/>
    </row>
    <row r="17409">
      <c r="C17409" s="278"/>
      <c r="M17409" s="278"/>
      <c r="O17409" s="247"/>
      <c r="AC17409" s="247"/>
      <c r="AT17409" s="247"/>
    </row>
    <row r="17410">
      <c r="C17410" s="278"/>
      <c r="M17410" s="278"/>
      <c r="O17410" s="247"/>
      <c r="AC17410" s="247"/>
      <c r="AT17410" s="247"/>
    </row>
    <row r="17411">
      <c r="C17411" s="278"/>
      <c r="M17411" s="278"/>
      <c r="O17411" s="247"/>
      <c r="AC17411" s="247"/>
      <c r="AT17411" s="247"/>
    </row>
    <row r="17412">
      <c r="C17412" s="278"/>
      <c r="M17412" s="278"/>
      <c r="O17412" s="247"/>
      <c r="AC17412" s="247"/>
      <c r="AT17412" s="247"/>
    </row>
    <row r="17413">
      <c r="C17413" s="277"/>
      <c r="M17413" s="278"/>
      <c r="O17413" s="247"/>
      <c r="AC17413" s="247"/>
      <c r="AT17413" s="247"/>
    </row>
    <row r="17414">
      <c r="C17414" s="278"/>
      <c r="M17414" s="278"/>
      <c r="O17414" s="247"/>
      <c r="AC17414" s="247"/>
      <c r="AT17414" s="247"/>
    </row>
    <row r="17415">
      <c r="C17415" s="278"/>
      <c r="M17415" s="278"/>
      <c r="O17415" s="247"/>
      <c r="AC17415" s="247"/>
      <c r="AT17415" s="247"/>
    </row>
    <row r="17416">
      <c r="C17416" s="278"/>
      <c r="M17416" s="278"/>
      <c r="O17416" s="247"/>
      <c r="AC17416" s="247"/>
      <c r="AT17416" s="247"/>
    </row>
    <row r="17417">
      <c r="C17417" s="278"/>
      <c r="M17417" s="278"/>
      <c r="O17417" s="247"/>
      <c r="AC17417" s="247"/>
      <c r="AT17417" s="247"/>
    </row>
    <row r="17418">
      <c r="C17418" s="278"/>
      <c r="M17418" s="278"/>
      <c r="O17418" s="247"/>
      <c r="AC17418" s="247"/>
      <c r="AT17418" s="247"/>
    </row>
    <row r="17419">
      <c r="C17419" s="278"/>
      <c r="M17419" s="278"/>
      <c r="O17419" s="247"/>
      <c r="AC17419" s="247"/>
      <c r="AT17419" s="247"/>
    </row>
    <row r="17420">
      <c r="C17420" s="278"/>
      <c r="M17420" s="278"/>
      <c r="O17420" s="247"/>
      <c r="AC17420" s="247"/>
      <c r="AT17420" s="247"/>
    </row>
    <row r="17421">
      <c r="C17421" s="278"/>
      <c r="M17421" s="278"/>
      <c r="O17421" s="247"/>
      <c r="AC17421" s="247"/>
      <c r="AT17421" s="247"/>
    </row>
    <row r="17422">
      <c r="C17422" s="278"/>
      <c r="M17422" s="278"/>
      <c r="O17422" s="247"/>
      <c r="AC17422" s="247"/>
      <c r="AT17422" s="247"/>
    </row>
    <row r="17423">
      <c r="C17423" s="278"/>
      <c r="M17423" s="278"/>
      <c r="O17423" s="247"/>
      <c r="AC17423" s="247"/>
      <c r="AT17423" s="247"/>
    </row>
    <row r="17424">
      <c r="C17424" s="278"/>
      <c r="M17424" s="278"/>
      <c r="O17424" s="247"/>
      <c r="AC17424" s="247"/>
      <c r="AT17424" s="247"/>
    </row>
    <row r="17425">
      <c r="C17425" s="278"/>
      <c r="M17425" s="278"/>
      <c r="O17425" s="247"/>
      <c r="AC17425" s="247"/>
      <c r="AT17425" s="247"/>
    </row>
    <row r="17426">
      <c r="C17426" s="278"/>
      <c r="M17426" s="278"/>
      <c r="O17426" s="247"/>
      <c r="AC17426" s="247"/>
      <c r="AT17426" s="247"/>
    </row>
    <row r="17427">
      <c r="C17427" s="278"/>
      <c r="M17427" s="278"/>
      <c r="O17427" s="247"/>
      <c r="AC17427" s="247"/>
      <c r="AT17427" s="247"/>
    </row>
    <row r="17428">
      <c r="C17428" s="278"/>
      <c r="M17428" s="278"/>
      <c r="O17428" s="247"/>
      <c r="AC17428" s="247"/>
      <c r="AT17428" s="247"/>
    </row>
    <row r="17429">
      <c r="C17429" s="278"/>
      <c r="M17429" s="278"/>
      <c r="O17429" s="247"/>
      <c r="AC17429" s="247"/>
      <c r="AT17429" s="247"/>
    </row>
    <row r="17430">
      <c r="C17430" s="278"/>
      <c r="M17430" s="278"/>
      <c r="O17430" s="247"/>
      <c r="AC17430" s="247"/>
      <c r="AT17430" s="247"/>
    </row>
    <row r="17431">
      <c r="C17431" s="278"/>
      <c r="M17431" s="278"/>
      <c r="O17431" s="247"/>
      <c r="AC17431" s="247"/>
      <c r="AT17431" s="247"/>
    </row>
    <row r="17432">
      <c r="C17432" s="278"/>
      <c r="M17432" s="278"/>
      <c r="O17432" s="247"/>
      <c r="AC17432" s="247"/>
      <c r="AT17432" s="247"/>
    </row>
    <row r="17433">
      <c r="C17433" s="278"/>
      <c r="M17433" s="278"/>
      <c r="O17433" s="247"/>
      <c r="AC17433" s="247"/>
      <c r="AT17433" s="247"/>
    </row>
    <row r="17434">
      <c r="C17434" s="278"/>
      <c r="M17434" s="278"/>
      <c r="O17434" s="247"/>
      <c r="AC17434" s="247"/>
      <c r="AT17434" s="247"/>
    </row>
    <row r="17435">
      <c r="C17435" s="278"/>
      <c r="M17435" s="278"/>
      <c r="O17435" s="247"/>
      <c r="AC17435" s="247"/>
      <c r="AT17435" s="247"/>
    </row>
    <row r="17436">
      <c r="C17436" s="278"/>
      <c r="M17436" s="278"/>
      <c r="O17436" s="247"/>
      <c r="AC17436" s="247"/>
      <c r="AT17436" s="247"/>
    </row>
    <row r="17437">
      <c r="C17437" s="278"/>
      <c r="M17437" s="278"/>
      <c r="O17437" s="247"/>
      <c r="AC17437" s="247"/>
      <c r="AT17437" s="247"/>
    </row>
    <row r="17438">
      <c r="C17438" s="278"/>
      <c r="M17438" s="278"/>
      <c r="O17438" s="247"/>
      <c r="AC17438" s="247"/>
      <c r="AT17438" s="247"/>
    </row>
    <row r="17439">
      <c r="C17439" s="278"/>
      <c r="M17439" s="278"/>
      <c r="O17439" s="247"/>
      <c r="AC17439" s="247"/>
      <c r="AT17439" s="247"/>
    </row>
    <row r="17440">
      <c r="C17440" s="278"/>
      <c r="M17440" s="278"/>
      <c r="O17440" s="247"/>
      <c r="AC17440" s="247"/>
      <c r="AT17440" s="247"/>
    </row>
    <row r="17441">
      <c r="C17441" s="278"/>
      <c r="M17441" s="278"/>
      <c r="O17441" s="247"/>
      <c r="AC17441" s="247"/>
      <c r="AT17441" s="247"/>
    </row>
    <row r="17442">
      <c r="C17442" s="278"/>
      <c r="M17442" s="278"/>
      <c r="O17442" s="247"/>
      <c r="AC17442" s="247"/>
      <c r="AT17442" s="247"/>
    </row>
    <row r="17443">
      <c r="C17443" s="278"/>
      <c r="M17443" s="278"/>
      <c r="O17443" s="247"/>
      <c r="AC17443" s="247"/>
      <c r="AT17443" s="247"/>
    </row>
    <row r="17444">
      <c r="C17444" s="278"/>
      <c r="M17444" s="278"/>
      <c r="O17444" s="247"/>
      <c r="AC17444" s="247"/>
      <c r="AT17444" s="247"/>
    </row>
    <row r="17445">
      <c r="C17445" s="278"/>
      <c r="M17445" s="278"/>
      <c r="O17445" s="247"/>
      <c r="AC17445" s="247"/>
      <c r="AT17445" s="247"/>
    </row>
    <row r="17446">
      <c r="C17446" s="278"/>
      <c r="M17446" s="278"/>
      <c r="O17446" s="247"/>
      <c r="AC17446" s="247"/>
      <c r="AT17446" s="247"/>
    </row>
    <row r="17447">
      <c r="C17447" s="278"/>
      <c r="M17447" s="278"/>
      <c r="O17447" s="247"/>
      <c r="AC17447" s="247"/>
      <c r="AT17447" s="247"/>
    </row>
    <row r="17448">
      <c r="C17448" s="278"/>
      <c r="M17448" s="278"/>
      <c r="O17448" s="247"/>
      <c r="AC17448" s="247"/>
      <c r="AT17448" s="247"/>
    </row>
    <row r="17449">
      <c r="C17449" s="278"/>
      <c r="M17449" s="278"/>
      <c r="O17449" s="247"/>
      <c r="AC17449" s="247"/>
      <c r="AT17449" s="247"/>
    </row>
    <row r="17450">
      <c r="C17450" s="278"/>
      <c r="M17450" s="278"/>
      <c r="O17450" s="247"/>
      <c r="AC17450" s="247"/>
      <c r="AT17450" s="247"/>
    </row>
    <row r="17451">
      <c r="C17451" s="278"/>
      <c r="M17451" s="278"/>
      <c r="O17451" s="247"/>
      <c r="AC17451" s="247"/>
      <c r="AT17451" s="247"/>
    </row>
    <row r="17452">
      <c r="C17452" s="278"/>
      <c r="M17452" s="278"/>
      <c r="O17452" s="247"/>
      <c r="AC17452" s="247"/>
      <c r="AT17452" s="247"/>
    </row>
    <row r="17453">
      <c r="C17453" s="278"/>
      <c r="M17453" s="278"/>
      <c r="O17453" s="247"/>
      <c r="AC17453" s="247"/>
      <c r="AT17453" s="247"/>
    </row>
    <row r="17454">
      <c r="C17454" s="278"/>
      <c r="M17454" s="278"/>
      <c r="O17454" s="247"/>
      <c r="AC17454" s="247"/>
      <c r="AT17454" s="247"/>
    </row>
    <row r="17455">
      <c r="C17455" s="278"/>
      <c r="M17455" s="278"/>
      <c r="O17455" s="247"/>
      <c r="AC17455" s="247"/>
      <c r="AT17455" s="247"/>
    </row>
    <row r="17456">
      <c r="C17456" s="278"/>
      <c r="M17456" s="278"/>
      <c r="O17456" s="247"/>
      <c r="AC17456" s="247"/>
      <c r="AT17456" s="247"/>
    </row>
    <row r="17457">
      <c r="C17457" s="278"/>
      <c r="M17457" s="278"/>
      <c r="O17457" s="247"/>
      <c r="AC17457" s="247"/>
      <c r="AT17457" s="247"/>
    </row>
    <row r="17458">
      <c r="C17458" s="278"/>
      <c r="M17458" s="278"/>
      <c r="O17458" s="247"/>
      <c r="AC17458" s="247"/>
      <c r="AT17458" s="247"/>
    </row>
    <row r="17459">
      <c r="C17459" s="278"/>
      <c r="M17459" s="278"/>
      <c r="O17459" s="247"/>
      <c r="AC17459" s="247"/>
      <c r="AT17459" s="247"/>
    </row>
    <row r="17460">
      <c r="C17460" s="278"/>
      <c r="M17460" s="278"/>
      <c r="O17460" s="247"/>
      <c r="AC17460" s="247"/>
      <c r="AT17460" s="247"/>
    </row>
    <row r="17461">
      <c r="C17461" s="278"/>
      <c r="M17461" s="278"/>
      <c r="O17461" s="247"/>
      <c r="AC17461" s="247"/>
      <c r="AT17461" s="247"/>
    </row>
    <row r="17462">
      <c r="C17462" s="278"/>
      <c r="M17462" s="278"/>
      <c r="O17462" s="247"/>
      <c r="AC17462" s="247"/>
      <c r="AT17462" s="247"/>
    </row>
    <row r="17463">
      <c r="C17463" s="278"/>
      <c r="M17463" s="278"/>
      <c r="O17463" s="247"/>
      <c r="AC17463" s="247"/>
      <c r="AT17463" s="247"/>
    </row>
    <row r="17464">
      <c r="C17464" s="278"/>
      <c r="M17464" s="278"/>
      <c r="O17464" s="247"/>
      <c r="AC17464" s="247"/>
      <c r="AT17464" s="247"/>
    </row>
    <row r="17465">
      <c r="C17465" s="278"/>
      <c r="M17465" s="278"/>
      <c r="O17465" s="247"/>
      <c r="AC17465" s="247"/>
      <c r="AT17465" s="247"/>
    </row>
    <row r="17466">
      <c r="C17466" s="278"/>
      <c r="M17466" s="278"/>
      <c r="O17466" s="247"/>
      <c r="AC17466" s="247"/>
      <c r="AT17466" s="247"/>
    </row>
    <row r="17467">
      <c r="C17467" s="278"/>
      <c r="M17467" s="278"/>
      <c r="O17467" s="247"/>
      <c r="AC17467" s="247"/>
      <c r="AT17467" s="247"/>
    </row>
    <row r="17468">
      <c r="C17468" s="278"/>
      <c r="M17468" s="278"/>
      <c r="O17468" s="247"/>
      <c r="AC17468" s="247"/>
      <c r="AT17468" s="247"/>
    </row>
    <row r="17469">
      <c r="C17469" s="278"/>
      <c r="M17469" s="278"/>
      <c r="O17469" s="247"/>
      <c r="AC17469" s="247"/>
      <c r="AT17469" s="247"/>
    </row>
    <row r="17470">
      <c r="C17470" s="278"/>
      <c r="M17470" s="278"/>
      <c r="O17470" s="247"/>
      <c r="AC17470" s="247"/>
      <c r="AT17470" s="247"/>
    </row>
    <row r="17471">
      <c r="C17471" s="278"/>
      <c r="M17471" s="278"/>
      <c r="O17471" s="247"/>
      <c r="AC17471" s="247"/>
      <c r="AT17471" s="247"/>
    </row>
    <row r="17472">
      <c r="C17472" s="278"/>
      <c r="M17472" s="278"/>
      <c r="O17472" s="247"/>
      <c r="AC17472" s="247"/>
      <c r="AT17472" s="247"/>
    </row>
    <row r="17473">
      <c r="C17473" s="278"/>
      <c r="M17473" s="278"/>
      <c r="O17473" s="247"/>
      <c r="AC17473" s="247"/>
      <c r="AT17473" s="247"/>
    </row>
    <row r="17474">
      <c r="C17474" s="278"/>
      <c r="M17474" s="278"/>
      <c r="O17474" s="247"/>
      <c r="AC17474" s="247"/>
      <c r="AT17474" s="247"/>
    </row>
    <row r="17475">
      <c r="C17475" s="278"/>
      <c r="M17475" s="278"/>
      <c r="O17475" s="247"/>
      <c r="AC17475" s="247"/>
      <c r="AT17475" s="247"/>
    </row>
    <row r="17476">
      <c r="C17476" s="278"/>
      <c r="M17476" s="278"/>
      <c r="O17476" s="247"/>
      <c r="AC17476" s="247"/>
      <c r="AT17476" s="247"/>
    </row>
    <row r="17477">
      <c r="C17477" s="278"/>
      <c r="M17477" s="278"/>
      <c r="O17477" s="247"/>
      <c r="AC17477" s="247"/>
      <c r="AT17477" s="247"/>
    </row>
    <row r="17478">
      <c r="C17478" s="278"/>
      <c r="M17478" s="278"/>
      <c r="O17478" s="247"/>
      <c r="AC17478" s="247"/>
      <c r="AT17478" s="247"/>
    </row>
    <row r="17479">
      <c r="C17479" s="278"/>
      <c r="M17479" s="278"/>
      <c r="O17479" s="247"/>
      <c r="AC17479" s="247"/>
      <c r="AT17479" s="247"/>
    </row>
    <row r="17480">
      <c r="C17480" s="278"/>
      <c r="M17480" s="278"/>
      <c r="O17480" s="247"/>
      <c r="AC17480" s="247"/>
      <c r="AT17480" s="247"/>
    </row>
    <row r="17481">
      <c r="C17481" s="278"/>
      <c r="M17481" s="278"/>
      <c r="O17481" s="247"/>
      <c r="AC17481" s="247"/>
      <c r="AT17481" s="247"/>
    </row>
    <row r="17482">
      <c r="C17482" s="278"/>
      <c r="M17482" s="278"/>
      <c r="O17482" s="247"/>
      <c r="AC17482" s="247"/>
      <c r="AT17482" s="247"/>
    </row>
    <row r="17483">
      <c r="C17483" s="278"/>
      <c r="M17483" s="278"/>
      <c r="O17483" s="247"/>
      <c r="AC17483" s="247"/>
      <c r="AT17483" s="247"/>
    </row>
    <row r="17484">
      <c r="C17484" s="278"/>
      <c r="M17484" s="278"/>
      <c r="O17484" s="247"/>
      <c r="AC17484" s="247"/>
      <c r="AT17484" s="247"/>
    </row>
    <row r="17485">
      <c r="C17485" s="278"/>
      <c r="M17485" s="278"/>
      <c r="O17485" s="247"/>
      <c r="AC17485" s="247"/>
      <c r="AT17485" s="247"/>
    </row>
    <row r="17486">
      <c r="C17486" s="278"/>
      <c r="M17486" s="278"/>
      <c r="O17486" s="247"/>
      <c r="AC17486" s="247"/>
      <c r="AT17486" s="247"/>
    </row>
    <row r="17487">
      <c r="C17487" s="277"/>
      <c r="M17487" s="278"/>
      <c r="O17487" s="247"/>
      <c r="AC17487" s="247"/>
      <c r="AT17487" s="247"/>
    </row>
    <row r="17488">
      <c r="C17488" s="278"/>
      <c r="M17488" s="278"/>
      <c r="O17488" s="247"/>
      <c r="AC17488" s="247"/>
      <c r="AT17488" s="247"/>
    </row>
    <row r="17489">
      <c r="C17489" s="278"/>
      <c r="M17489" s="278"/>
      <c r="O17489" s="247"/>
      <c r="AC17489" s="247"/>
      <c r="AT17489" s="247"/>
    </row>
    <row r="17490">
      <c r="C17490" s="278"/>
      <c r="M17490" s="278"/>
      <c r="O17490" s="247"/>
      <c r="AC17490" s="247"/>
      <c r="AT17490" s="247"/>
    </row>
    <row r="17491">
      <c r="C17491" s="278"/>
      <c r="M17491" s="278"/>
      <c r="O17491" s="247"/>
      <c r="AC17491" s="247"/>
      <c r="AT17491" s="247"/>
    </row>
    <row r="17492">
      <c r="C17492" s="278"/>
      <c r="M17492" s="278"/>
      <c r="O17492" s="247"/>
      <c r="AC17492" s="247"/>
      <c r="AT17492" s="247"/>
    </row>
    <row r="17493">
      <c r="C17493" s="278"/>
      <c r="M17493" s="278"/>
      <c r="O17493" s="247"/>
      <c r="AC17493" s="247"/>
      <c r="AT17493" s="247"/>
    </row>
    <row r="17494">
      <c r="C17494" s="278"/>
      <c r="M17494" s="278"/>
      <c r="O17494" s="247"/>
      <c r="AC17494" s="247"/>
      <c r="AT17494" s="247"/>
    </row>
    <row r="17495">
      <c r="C17495" s="278"/>
      <c r="M17495" s="278"/>
      <c r="O17495" s="247"/>
      <c r="AC17495" s="247"/>
      <c r="AT17495" s="247"/>
    </row>
    <row r="17496">
      <c r="C17496" s="278"/>
      <c r="M17496" s="278"/>
      <c r="O17496" s="247"/>
      <c r="AC17496" s="247"/>
      <c r="AT17496" s="247"/>
    </row>
    <row r="17497">
      <c r="C17497" s="278"/>
      <c r="M17497" s="278"/>
      <c r="O17497" s="247"/>
      <c r="AC17497" s="247"/>
      <c r="AT17497" s="247"/>
    </row>
    <row r="17498">
      <c r="C17498" s="278"/>
      <c r="M17498" s="278"/>
      <c r="O17498" s="247"/>
      <c r="AC17498" s="247"/>
      <c r="AT17498" s="247"/>
    </row>
    <row r="17499">
      <c r="C17499" s="278"/>
      <c r="M17499" s="278"/>
      <c r="O17499" s="247"/>
      <c r="AC17499" s="247"/>
      <c r="AT17499" s="247"/>
    </row>
    <row r="17500">
      <c r="C17500" s="278"/>
      <c r="M17500" s="278"/>
      <c r="O17500" s="247"/>
      <c r="AC17500" s="247"/>
      <c r="AT17500" s="247"/>
    </row>
    <row r="17501">
      <c r="C17501" s="278"/>
      <c r="M17501" s="278"/>
      <c r="O17501" s="247"/>
      <c r="AC17501" s="247"/>
      <c r="AT17501" s="247"/>
    </row>
    <row r="17502">
      <c r="C17502" s="278"/>
      <c r="M17502" s="278"/>
      <c r="O17502" s="247"/>
      <c r="AC17502" s="247"/>
      <c r="AT17502" s="247"/>
    </row>
    <row r="17503">
      <c r="C17503" s="278"/>
      <c r="M17503" s="278"/>
      <c r="O17503" s="247"/>
      <c r="AC17503" s="247"/>
      <c r="AT17503" s="247"/>
    </row>
    <row r="17504">
      <c r="C17504" s="278"/>
      <c r="M17504" s="278"/>
      <c r="O17504" s="247"/>
      <c r="AC17504" s="247"/>
      <c r="AT17504" s="247"/>
    </row>
    <row r="17505">
      <c r="C17505" s="278"/>
      <c r="M17505" s="278"/>
      <c r="O17505" s="247"/>
      <c r="AC17505" s="247"/>
      <c r="AT17505" s="247"/>
    </row>
    <row r="17506">
      <c r="C17506" s="278"/>
      <c r="M17506" s="278"/>
      <c r="O17506" s="247"/>
      <c r="AC17506" s="247"/>
      <c r="AT17506" s="247"/>
    </row>
    <row r="17507">
      <c r="C17507" s="278"/>
      <c r="M17507" s="278"/>
      <c r="O17507" s="247"/>
      <c r="AC17507" s="247"/>
      <c r="AT17507" s="247"/>
    </row>
    <row r="17508">
      <c r="C17508" s="278"/>
      <c r="M17508" s="278"/>
      <c r="O17508" s="247"/>
      <c r="AC17508" s="247"/>
      <c r="AT17508" s="247"/>
    </row>
    <row r="17509">
      <c r="C17509" s="278"/>
      <c r="M17509" s="278"/>
      <c r="O17509" s="247"/>
      <c r="AC17509" s="247"/>
      <c r="AT17509" s="247"/>
    </row>
    <row r="17510">
      <c r="C17510" s="278"/>
      <c r="M17510" s="278"/>
      <c r="O17510" s="247"/>
      <c r="AC17510" s="247"/>
      <c r="AT17510" s="247"/>
    </row>
    <row r="17511">
      <c r="C17511" s="278"/>
      <c r="M17511" s="278"/>
      <c r="O17511" s="247"/>
      <c r="AC17511" s="247"/>
      <c r="AT17511" s="247"/>
    </row>
    <row r="17512">
      <c r="C17512" s="278"/>
      <c r="M17512" s="278"/>
      <c r="O17512" s="247"/>
      <c r="AC17512" s="247"/>
      <c r="AT17512" s="247"/>
    </row>
    <row r="17513">
      <c r="C17513" s="278"/>
      <c r="M17513" s="278"/>
      <c r="O17513" s="247"/>
      <c r="AC17513" s="247"/>
      <c r="AT17513" s="247"/>
    </row>
    <row r="17514">
      <c r="C17514" s="278"/>
      <c r="M17514" s="278"/>
      <c r="O17514" s="247"/>
      <c r="AC17514" s="247"/>
      <c r="AT17514" s="247"/>
    </row>
    <row r="17515">
      <c r="C17515" s="278"/>
      <c r="M17515" s="278"/>
      <c r="O17515" s="247"/>
      <c r="AC17515" s="247"/>
      <c r="AT17515" s="247"/>
    </row>
    <row r="17516">
      <c r="C17516" s="278"/>
      <c r="M17516" s="278"/>
      <c r="O17516" s="247"/>
      <c r="AC17516" s="247"/>
      <c r="AT17516" s="247"/>
    </row>
    <row r="17517">
      <c r="C17517" s="278"/>
      <c r="M17517" s="278"/>
      <c r="O17517" s="247"/>
      <c r="AC17517" s="247"/>
      <c r="AT17517" s="247"/>
    </row>
    <row r="17518">
      <c r="C17518" s="278"/>
      <c r="M17518" s="278"/>
      <c r="O17518" s="247"/>
      <c r="AC17518" s="247"/>
      <c r="AT17518" s="247"/>
    </row>
    <row r="17519">
      <c r="C17519" s="278"/>
      <c r="M17519" s="278"/>
      <c r="O17519" s="247"/>
      <c r="AC17519" s="247"/>
      <c r="AT17519" s="247"/>
    </row>
    <row r="17520">
      <c r="C17520" s="278"/>
      <c r="M17520" s="278"/>
      <c r="O17520" s="247"/>
      <c r="AC17520" s="247"/>
      <c r="AT17520" s="247"/>
    </row>
    <row r="17521">
      <c r="C17521" s="278"/>
      <c r="M17521" s="278"/>
      <c r="O17521" s="247"/>
      <c r="AC17521" s="247"/>
      <c r="AT17521" s="247"/>
    </row>
    <row r="17522">
      <c r="C17522" s="278"/>
      <c r="M17522" s="278"/>
      <c r="O17522" s="247"/>
      <c r="AC17522" s="247"/>
      <c r="AT17522" s="247"/>
    </row>
    <row r="17523">
      <c r="C17523" s="278"/>
      <c r="M17523" s="278"/>
      <c r="O17523" s="247"/>
      <c r="AC17523" s="247"/>
      <c r="AT17523" s="247"/>
    </row>
    <row r="17524">
      <c r="C17524" s="278"/>
      <c r="M17524" s="278"/>
      <c r="O17524" s="247"/>
      <c r="AC17524" s="247"/>
      <c r="AT17524" s="247"/>
    </row>
    <row r="17525">
      <c r="C17525" s="278"/>
      <c r="M17525" s="278"/>
      <c r="O17525" s="247"/>
      <c r="AC17525" s="247"/>
      <c r="AT17525" s="247"/>
    </row>
    <row r="17526">
      <c r="C17526" s="278"/>
      <c r="M17526" s="278"/>
      <c r="O17526" s="247"/>
      <c r="AC17526" s="247"/>
      <c r="AT17526" s="247"/>
    </row>
    <row r="17527">
      <c r="C17527" s="278"/>
      <c r="M17527" s="278"/>
      <c r="O17527" s="247"/>
      <c r="AC17527" s="247"/>
      <c r="AT17527" s="247"/>
    </row>
    <row r="17528">
      <c r="C17528" s="278"/>
      <c r="M17528" s="278"/>
      <c r="O17528" s="247"/>
      <c r="AC17528" s="247"/>
      <c r="AT17528" s="247"/>
    </row>
    <row r="17529">
      <c r="C17529" s="278"/>
      <c r="M17529" s="278"/>
      <c r="O17529" s="247"/>
      <c r="AC17529" s="247"/>
      <c r="AT17529" s="247"/>
    </row>
    <row r="17530">
      <c r="C17530" s="278"/>
      <c r="M17530" s="278"/>
      <c r="O17530" s="247"/>
      <c r="AC17530" s="247"/>
      <c r="AT17530" s="247"/>
    </row>
    <row r="17531">
      <c r="C17531" s="278"/>
      <c r="M17531" s="278"/>
      <c r="O17531" s="247"/>
      <c r="AC17531" s="247"/>
      <c r="AT17531" s="247"/>
    </row>
    <row r="17532">
      <c r="C17532" s="278"/>
      <c r="M17532" s="278"/>
      <c r="O17532" s="247"/>
      <c r="AC17532" s="247"/>
      <c r="AT17532" s="247"/>
    </row>
    <row r="17533">
      <c r="C17533" s="278"/>
      <c r="M17533" s="278"/>
      <c r="O17533" s="247"/>
      <c r="AC17533" s="247"/>
      <c r="AT17533" s="247"/>
    </row>
    <row r="17534">
      <c r="C17534" s="278"/>
      <c r="M17534" s="278"/>
      <c r="O17534" s="247"/>
      <c r="AC17534" s="247"/>
      <c r="AT17534" s="247"/>
    </row>
    <row r="17535">
      <c r="C17535" s="278"/>
      <c r="M17535" s="278"/>
      <c r="O17535" s="247"/>
      <c r="AC17535" s="247"/>
      <c r="AT17535" s="247"/>
    </row>
    <row r="17536">
      <c r="C17536" s="278"/>
      <c r="M17536" s="278"/>
      <c r="O17536" s="247"/>
      <c r="AC17536" s="247"/>
      <c r="AT17536" s="247"/>
    </row>
    <row r="17537">
      <c r="C17537" s="278"/>
      <c r="M17537" s="278"/>
      <c r="O17537" s="247"/>
      <c r="AC17537" s="247"/>
      <c r="AT17537" s="247"/>
    </row>
    <row r="17538">
      <c r="C17538" s="278"/>
      <c r="M17538" s="278"/>
      <c r="O17538" s="247"/>
      <c r="AC17538" s="247"/>
      <c r="AT17538" s="247"/>
    </row>
    <row r="17539">
      <c r="C17539" s="278"/>
      <c r="M17539" s="278"/>
      <c r="O17539" s="247"/>
      <c r="AC17539" s="247"/>
      <c r="AT17539" s="247"/>
    </row>
    <row r="17540">
      <c r="C17540" s="278"/>
      <c r="M17540" s="278"/>
      <c r="O17540" s="247"/>
      <c r="AC17540" s="247"/>
      <c r="AT17540" s="247"/>
    </row>
    <row r="17541">
      <c r="C17541" s="278"/>
      <c r="M17541" s="278"/>
      <c r="O17541" s="247"/>
      <c r="AC17541" s="247"/>
      <c r="AT17541" s="247"/>
    </row>
    <row r="17542">
      <c r="C17542" s="278"/>
      <c r="M17542" s="278"/>
      <c r="O17542" s="247"/>
      <c r="AC17542" s="247"/>
      <c r="AT17542" s="247"/>
    </row>
    <row r="17543">
      <c r="C17543" s="278"/>
      <c r="M17543" s="278"/>
      <c r="O17543" s="247"/>
      <c r="AC17543" s="247"/>
      <c r="AT17543" s="247"/>
    </row>
    <row r="17544">
      <c r="C17544" s="278"/>
      <c r="M17544" s="278"/>
      <c r="O17544" s="247"/>
      <c r="AC17544" s="247"/>
      <c r="AT17544" s="247"/>
    </row>
    <row r="17545">
      <c r="C17545" s="278"/>
      <c r="M17545" s="278"/>
      <c r="O17545" s="247"/>
      <c r="AC17545" s="247"/>
      <c r="AT17545" s="247"/>
    </row>
    <row r="17546">
      <c r="C17546" s="278"/>
      <c r="M17546" s="278"/>
      <c r="O17546" s="247"/>
      <c r="AC17546" s="247"/>
      <c r="AT17546" s="247"/>
    </row>
    <row r="17547">
      <c r="C17547" s="278"/>
      <c r="M17547" s="278"/>
      <c r="O17547" s="247"/>
      <c r="AC17547" s="247"/>
      <c r="AT17547" s="247"/>
    </row>
    <row r="17548">
      <c r="C17548" s="278"/>
      <c r="M17548" s="278"/>
      <c r="O17548" s="247"/>
      <c r="AC17548" s="247"/>
      <c r="AT17548" s="247"/>
    </row>
    <row r="17549">
      <c r="C17549" s="278"/>
      <c r="M17549" s="278"/>
      <c r="O17549" s="247"/>
      <c r="AC17549" s="247"/>
      <c r="AT17549" s="247"/>
    </row>
    <row r="17550">
      <c r="C17550" s="278"/>
      <c r="M17550" s="278"/>
      <c r="O17550" s="247"/>
      <c r="AC17550" s="247"/>
      <c r="AT17550" s="247"/>
    </row>
    <row r="17551">
      <c r="C17551" s="278"/>
      <c r="M17551" s="278"/>
      <c r="O17551" s="247"/>
      <c r="AC17551" s="247"/>
      <c r="AT17551" s="247"/>
    </row>
    <row r="17552">
      <c r="C17552" s="278"/>
      <c r="M17552" s="278"/>
      <c r="O17552" s="247"/>
      <c r="AC17552" s="247"/>
      <c r="AT17552" s="247"/>
    </row>
    <row r="17553">
      <c r="C17553" s="278"/>
      <c r="M17553" s="278"/>
      <c r="O17553" s="247"/>
      <c r="AC17553" s="247"/>
      <c r="AT17553" s="247"/>
    </row>
    <row r="17554">
      <c r="C17554" s="278"/>
      <c r="M17554" s="278"/>
      <c r="O17554" s="247"/>
      <c r="AC17554" s="247"/>
      <c r="AT17554" s="247"/>
    </row>
    <row r="17555">
      <c r="C17555" s="278"/>
      <c r="M17555" s="278"/>
      <c r="O17555" s="247"/>
      <c r="AC17555" s="247"/>
      <c r="AT17555" s="247"/>
    </row>
    <row r="17556">
      <c r="C17556" s="278"/>
      <c r="M17556" s="278"/>
      <c r="O17556" s="247"/>
      <c r="AC17556" s="247"/>
      <c r="AT17556" s="247"/>
    </row>
    <row r="17557">
      <c r="C17557" s="278"/>
      <c r="M17557" s="278"/>
      <c r="O17557" s="247"/>
      <c r="AC17557" s="247"/>
      <c r="AT17557" s="247"/>
    </row>
    <row r="17558">
      <c r="C17558" s="278"/>
      <c r="M17558" s="278"/>
      <c r="O17558" s="247"/>
      <c r="AC17558" s="247"/>
      <c r="AT17558" s="247"/>
    </row>
    <row r="17559">
      <c r="C17559" s="278"/>
      <c r="M17559" s="278"/>
      <c r="O17559" s="247"/>
      <c r="AC17559" s="247"/>
      <c r="AT17559" s="247"/>
    </row>
    <row r="17560">
      <c r="C17560" s="278"/>
      <c r="M17560" s="278"/>
      <c r="O17560" s="247"/>
      <c r="AC17560" s="247"/>
      <c r="AT17560" s="247"/>
    </row>
    <row r="17561">
      <c r="C17561" s="278"/>
      <c r="M17561" s="278"/>
      <c r="O17561" s="247"/>
      <c r="AC17561" s="247"/>
      <c r="AT17561" s="247"/>
    </row>
    <row r="17562">
      <c r="C17562" s="278"/>
      <c r="M17562" s="278"/>
      <c r="O17562" s="247"/>
      <c r="AC17562" s="247"/>
      <c r="AT17562" s="247"/>
    </row>
    <row r="17563">
      <c r="C17563" s="278"/>
      <c r="M17563" s="278"/>
      <c r="O17563" s="247"/>
      <c r="AC17563" s="247"/>
      <c r="AT17563" s="247"/>
    </row>
    <row r="17564">
      <c r="C17564" s="278"/>
      <c r="M17564" s="278"/>
      <c r="O17564" s="247"/>
      <c r="AC17564" s="247"/>
      <c r="AT17564" s="247"/>
    </row>
    <row r="17565">
      <c r="C17565" s="278"/>
      <c r="M17565" s="278"/>
      <c r="O17565" s="247"/>
      <c r="AC17565" s="247"/>
      <c r="AT17565" s="247"/>
    </row>
    <row r="17566">
      <c r="C17566" s="278"/>
      <c r="M17566" s="278"/>
      <c r="O17566" s="247"/>
      <c r="AC17566" s="247"/>
      <c r="AT17566" s="247"/>
    </row>
    <row r="17567">
      <c r="C17567" s="278"/>
      <c r="M17567" s="278"/>
      <c r="O17567" s="247"/>
      <c r="AC17567" s="247"/>
      <c r="AT17567" s="247"/>
    </row>
    <row r="17568">
      <c r="C17568" s="278"/>
      <c r="M17568" s="278"/>
      <c r="O17568" s="247"/>
      <c r="AC17568" s="247"/>
      <c r="AT17568" s="247"/>
    </row>
    <row r="17569">
      <c r="C17569" s="278"/>
      <c r="M17569" s="278"/>
      <c r="O17569" s="247"/>
      <c r="AC17569" s="247"/>
      <c r="AT17569" s="247"/>
    </row>
    <row r="17570">
      <c r="C17570" s="278"/>
      <c r="M17570" s="278"/>
      <c r="O17570" s="247"/>
      <c r="AC17570" s="247"/>
      <c r="AT17570" s="247"/>
    </row>
    <row r="17571">
      <c r="C17571" s="278"/>
      <c r="M17571" s="278"/>
      <c r="O17571" s="247"/>
      <c r="AC17571" s="247"/>
      <c r="AT17571" s="247"/>
    </row>
    <row r="17572">
      <c r="C17572" s="278"/>
      <c r="M17572" s="278"/>
      <c r="O17572" s="247"/>
      <c r="AC17572" s="247"/>
      <c r="AT17572" s="247"/>
    </row>
    <row r="17573">
      <c r="C17573" s="278"/>
      <c r="M17573" s="278"/>
      <c r="O17573" s="247"/>
      <c r="AC17573" s="247"/>
      <c r="AT17573" s="247"/>
    </row>
    <row r="17574">
      <c r="C17574" s="278"/>
      <c r="M17574" s="278"/>
      <c r="O17574" s="247"/>
      <c r="AC17574" s="247"/>
      <c r="AT17574" s="247"/>
    </row>
    <row r="17575">
      <c r="C17575" s="278"/>
      <c r="M17575" s="278"/>
      <c r="O17575" s="247"/>
      <c r="AC17575" s="247"/>
      <c r="AT17575" s="247"/>
    </row>
    <row r="17576">
      <c r="C17576" s="278"/>
      <c r="M17576" s="278"/>
      <c r="O17576" s="247"/>
      <c r="AC17576" s="247"/>
      <c r="AT17576" s="247"/>
    </row>
    <row r="17577">
      <c r="C17577" s="278"/>
      <c r="M17577" s="278"/>
      <c r="O17577" s="247"/>
      <c r="AC17577" s="247"/>
      <c r="AT17577" s="247"/>
    </row>
    <row r="17578">
      <c r="C17578" s="278"/>
      <c r="M17578" s="278"/>
      <c r="O17578" s="247"/>
      <c r="AC17578" s="247"/>
      <c r="AT17578" s="247"/>
    </row>
    <row r="17579">
      <c r="C17579" s="278"/>
      <c r="M17579" s="278"/>
      <c r="O17579" s="247"/>
      <c r="AC17579" s="247"/>
      <c r="AT17579" s="247"/>
    </row>
    <row r="17580">
      <c r="C17580" s="278"/>
      <c r="M17580" s="278"/>
      <c r="O17580" s="247"/>
      <c r="AC17580" s="247"/>
      <c r="AT17580" s="247"/>
    </row>
    <row r="17581">
      <c r="C17581" s="278"/>
      <c r="M17581" s="278"/>
      <c r="O17581" s="247"/>
      <c r="AC17581" s="247"/>
      <c r="AT17581" s="247"/>
    </row>
    <row r="17582">
      <c r="C17582" s="278"/>
      <c r="M17582" s="278"/>
      <c r="O17582" s="247"/>
      <c r="AC17582" s="247"/>
      <c r="AT17582" s="247"/>
    </row>
    <row r="17583">
      <c r="C17583" s="278"/>
      <c r="M17583" s="278"/>
      <c r="O17583" s="247"/>
      <c r="AC17583" s="247"/>
      <c r="AT17583" s="247"/>
    </row>
    <row r="17584">
      <c r="C17584" s="278"/>
      <c r="M17584" s="278"/>
      <c r="O17584" s="247"/>
      <c r="AC17584" s="247"/>
      <c r="AT17584" s="247"/>
    </row>
    <row r="17585">
      <c r="C17585" s="278"/>
      <c r="M17585" s="278"/>
      <c r="O17585" s="247"/>
      <c r="AC17585" s="247"/>
      <c r="AT17585" s="247"/>
    </row>
    <row r="17586">
      <c r="C17586" s="278"/>
      <c r="M17586" s="278"/>
      <c r="O17586" s="247"/>
      <c r="AC17586" s="247"/>
      <c r="AT17586" s="247"/>
    </row>
    <row r="17587">
      <c r="C17587" s="278"/>
      <c r="M17587" s="278"/>
      <c r="O17587" s="247"/>
      <c r="AC17587" s="247"/>
      <c r="AT17587" s="247"/>
    </row>
    <row r="17588">
      <c r="C17588" s="278"/>
      <c r="M17588" s="278"/>
      <c r="O17588" s="247"/>
      <c r="AC17588" s="247"/>
      <c r="AT17588" s="247"/>
    </row>
    <row r="17589">
      <c r="C17589" s="278"/>
      <c r="M17589" s="278"/>
      <c r="O17589" s="247"/>
      <c r="AC17589" s="247"/>
      <c r="AT17589" s="247"/>
    </row>
    <row r="17590">
      <c r="C17590" s="278"/>
      <c r="M17590" s="278"/>
      <c r="O17590" s="247"/>
      <c r="AC17590" s="247"/>
      <c r="AT17590" s="247"/>
    </row>
    <row r="17591">
      <c r="C17591" s="278"/>
      <c r="M17591" s="278"/>
      <c r="O17591" s="247"/>
      <c r="AC17591" s="247"/>
      <c r="AT17591" s="247"/>
    </row>
    <row r="17592">
      <c r="C17592" s="278"/>
      <c r="M17592" s="278"/>
      <c r="O17592" s="247"/>
      <c r="AC17592" s="247"/>
      <c r="AT17592" s="247"/>
    </row>
    <row r="17593">
      <c r="C17593" s="278"/>
      <c r="M17593" s="278"/>
      <c r="O17593" s="247"/>
      <c r="AC17593" s="247"/>
      <c r="AT17593" s="247"/>
    </row>
    <row r="17594">
      <c r="C17594" s="278"/>
      <c r="M17594" s="278"/>
      <c r="O17594" s="247"/>
      <c r="AC17594" s="247"/>
      <c r="AT17594" s="247"/>
    </row>
    <row r="17595">
      <c r="C17595" s="278"/>
      <c r="M17595" s="278"/>
      <c r="O17595" s="247"/>
      <c r="AC17595" s="247"/>
      <c r="AT17595" s="247"/>
    </row>
    <row r="17596">
      <c r="C17596" s="278"/>
      <c r="M17596" s="278"/>
      <c r="O17596" s="247"/>
      <c r="AC17596" s="247"/>
      <c r="AT17596" s="247"/>
    </row>
    <row r="17597">
      <c r="C17597" s="278"/>
      <c r="M17597" s="278"/>
      <c r="O17597" s="247"/>
      <c r="AC17597" s="247"/>
      <c r="AT17597" s="247"/>
    </row>
    <row r="17598">
      <c r="C17598" s="278"/>
      <c r="M17598" s="278"/>
      <c r="O17598" s="247"/>
      <c r="AC17598" s="247"/>
      <c r="AT17598" s="247"/>
    </row>
    <row r="17599">
      <c r="C17599" s="278"/>
      <c r="M17599" s="278"/>
      <c r="O17599" s="247"/>
      <c r="AC17599" s="247"/>
      <c r="AT17599" s="247"/>
    </row>
    <row r="17600">
      <c r="C17600" s="278"/>
      <c r="M17600" s="278"/>
      <c r="O17600" s="247"/>
      <c r="AC17600" s="247"/>
      <c r="AT17600" s="247"/>
    </row>
    <row r="17601">
      <c r="C17601" s="278"/>
      <c r="M17601" s="278"/>
      <c r="O17601" s="247"/>
      <c r="AC17601" s="247"/>
      <c r="AT17601" s="247"/>
    </row>
    <row r="17602">
      <c r="C17602" s="278"/>
      <c r="M17602" s="278"/>
      <c r="O17602" s="247"/>
      <c r="AC17602" s="247"/>
      <c r="AT17602" s="247"/>
    </row>
    <row r="17603">
      <c r="C17603" s="278"/>
      <c r="M17603" s="278"/>
      <c r="O17603" s="247"/>
      <c r="AC17603" s="247"/>
      <c r="AT17603" s="247"/>
    </row>
    <row r="17604">
      <c r="C17604" s="278"/>
      <c r="M17604" s="278"/>
      <c r="O17604" s="247"/>
      <c r="AC17604" s="247"/>
      <c r="AT17604" s="247"/>
    </row>
    <row r="17605">
      <c r="C17605" s="278"/>
      <c r="M17605" s="278"/>
      <c r="O17605" s="247"/>
      <c r="AC17605" s="247"/>
      <c r="AT17605" s="247"/>
    </row>
    <row r="17606">
      <c r="C17606" s="278"/>
      <c r="M17606" s="278"/>
      <c r="O17606" s="247"/>
      <c r="AC17606" s="247"/>
      <c r="AT17606" s="247"/>
    </row>
    <row r="17607">
      <c r="C17607" s="278"/>
      <c r="M17607" s="278"/>
      <c r="O17607" s="247"/>
      <c r="AC17607" s="247"/>
      <c r="AT17607" s="247"/>
    </row>
    <row r="17608">
      <c r="C17608" s="278"/>
      <c r="M17608" s="278"/>
      <c r="O17608" s="247"/>
      <c r="AC17608" s="247"/>
      <c r="AT17608" s="247"/>
    </row>
    <row r="17609">
      <c r="C17609" s="278"/>
      <c r="M17609" s="278"/>
      <c r="O17609" s="247"/>
      <c r="AC17609" s="247"/>
      <c r="AT17609" s="247"/>
    </row>
    <row r="17610">
      <c r="C17610" s="278"/>
      <c r="M17610" s="278"/>
      <c r="O17610" s="247"/>
      <c r="AC17610" s="247"/>
      <c r="AT17610" s="247"/>
    </row>
    <row r="17611">
      <c r="C17611" s="278"/>
      <c r="M17611" s="278"/>
      <c r="O17611" s="247"/>
      <c r="AC17611" s="247"/>
      <c r="AT17611" s="247"/>
    </row>
    <row r="17612">
      <c r="C17612" s="278"/>
      <c r="M17612" s="278"/>
      <c r="O17612" s="247"/>
      <c r="AC17612" s="247"/>
      <c r="AT17612" s="247"/>
    </row>
    <row r="17613">
      <c r="C17613" s="278"/>
      <c r="M17613" s="278"/>
      <c r="O17613" s="247"/>
      <c r="AC17613" s="247"/>
      <c r="AT17613" s="247"/>
    </row>
    <row r="17614">
      <c r="C17614" s="278"/>
      <c r="M17614" s="278"/>
      <c r="O17614" s="247"/>
      <c r="AC17614" s="247"/>
      <c r="AT17614" s="247"/>
    </row>
    <row r="17615">
      <c r="C17615" s="278"/>
      <c r="M17615" s="278"/>
      <c r="O17615" s="247"/>
      <c r="AC17615" s="247"/>
      <c r="AT17615" s="247"/>
    </row>
    <row r="17616">
      <c r="C17616" s="278"/>
      <c r="M17616" s="278"/>
      <c r="O17616" s="247"/>
      <c r="AC17616" s="247"/>
      <c r="AT17616" s="247"/>
    </row>
    <row r="17617">
      <c r="C17617" s="278"/>
      <c r="M17617" s="278"/>
      <c r="O17617" s="247"/>
      <c r="AC17617" s="247"/>
      <c r="AT17617" s="247"/>
    </row>
    <row r="17618">
      <c r="C17618" s="278"/>
      <c r="M17618" s="278"/>
      <c r="O17618" s="247"/>
      <c r="AC17618" s="247"/>
      <c r="AT17618" s="247"/>
    </row>
    <row r="17619">
      <c r="C17619" s="278"/>
      <c r="M17619" s="278"/>
      <c r="O17619" s="247"/>
      <c r="AC17619" s="247"/>
      <c r="AT17619" s="247"/>
    </row>
    <row r="17620">
      <c r="C17620" s="278"/>
      <c r="M17620" s="278"/>
      <c r="O17620" s="247"/>
      <c r="AC17620" s="247"/>
      <c r="AT17620" s="247"/>
    </row>
    <row r="17621">
      <c r="C17621" s="278"/>
      <c r="M17621" s="278"/>
      <c r="O17621" s="247"/>
      <c r="AC17621" s="247"/>
      <c r="AT17621" s="247"/>
    </row>
    <row r="17622">
      <c r="C17622" s="278"/>
      <c r="M17622" s="278"/>
      <c r="O17622" s="247"/>
      <c r="AC17622" s="247"/>
      <c r="AT17622" s="247"/>
    </row>
    <row r="17623">
      <c r="C17623" s="278"/>
      <c r="M17623" s="278"/>
      <c r="O17623" s="247"/>
      <c r="AC17623" s="247"/>
      <c r="AT17623" s="247"/>
    </row>
    <row r="17624">
      <c r="C17624" s="278"/>
      <c r="M17624" s="278"/>
      <c r="O17624" s="247"/>
      <c r="AC17624" s="247"/>
      <c r="AT17624" s="247"/>
    </row>
    <row r="17625">
      <c r="C17625" s="278"/>
      <c r="M17625" s="278"/>
      <c r="O17625" s="247"/>
      <c r="AC17625" s="247"/>
      <c r="AT17625" s="247"/>
    </row>
    <row r="17626">
      <c r="C17626" s="278"/>
      <c r="M17626" s="278"/>
      <c r="O17626" s="247"/>
      <c r="AC17626" s="247"/>
      <c r="AT17626" s="247"/>
    </row>
    <row r="17627">
      <c r="C17627" s="278"/>
      <c r="M17627" s="278"/>
      <c r="O17627" s="247"/>
      <c r="AC17627" s="247"/>
      <c r="AT17627" s="247"/>
    </row>
    <row r="17628">
      <c r="C17628" s="278"/>
      <c r="M17628" s="278"/>
      <c r="O17628" s="247"/>
      <c r="AC17628" s="247"/>
      <c r="AT17628" s="247"/>
    </row>
    <row r="17629">
      <c r="C17629" s="278"/>
      <c r="M17629" s="278"/>
      <c r="O17629" s="247"/>
      <c r="AC17629" s="247"/>
      <c r="AT17629" s="247"/>
    </row>
    <row r="17630">
      <c r="C17630" s="278"/>
      <c r="M17630" s="278"/>
      <c r="O17630" s="247"/>
      <c r="AC17630" s="247"/>
      <c r="AT17630" s="247"/>
    </row>
    <row r="17631">
      <c r="C17631" s="278"/>
      <c r="M17631" s="278"/>
      <c r="O17631" s="247"/>
      <c r="AC17631" s="247"/>
      <c r="AT17631" s="247"/>
    </row>
    <row r="17632">
      <c r="C17632" s="278"/>
      <c r="M17632" s="278"/>
      <c r="O17632" s="247"/>
      <c r="AC17632" s="247"/>
      <c r="AT17632" s="247"/>
    </row>
    <row r="17633">
      <c r="C17633" s="278"/>
      <c r="M17633" s="278"/>
      <c r="O17633" s="247"/>
      <c r="AC17633" s="247"/>
      <c r="AT17633" s="247"/>
    </row>
    <row r="17634">
      <c r="C17634" s="278"/>
      <c r="M17634" s="278"/>
      <c r="O17634" s="247"/>
      <c r="AC17634" s="247"/>
      <c r="AT17634" s="247"/>
    </row>
    <row r="17635">
      <c r="C17635" s="278"/>
      <c r="M17635" s="278"/>
      <c r="O17635" s="247"/>
      <c r="AC17635" s="247"/>
      <c r="AT17635" s="247"/>
    </row>
    <row r="17636">
      <c r="C17636" s="278"/>
      <c r="M17636" s="278"/>
      <c r="O17636" s="247"/>
      <c r="AC17636" s="247"/>
      <c r="AT17636" s="247"/>
    </row>
    <row r="17637">
      <c r="C17637" s="278"/>
      <c r="M17637" s="278"/>
      <c r="O17637" s="247"/>
      <c r="AC17637" s="247"/>
      <c r="AT17637" s="247"/>
    </row>
    <row r="17638">
      <c r="C17638" s="278"/>
      <c r="M17638" s="278"/>
      <c r="O17638" s="247"/>
      <c r="AC17638" s="247"/>
      <c r="AT17638" s="247"/>
    </row>
    <row r="17639">
      <c r="C17639" s="278"/>
      <c r="M17639" s="278"/>
      <c r="O17639" s="247"/>
      <c r="AC17639" s="247"/>
      <c r="AT17639" s="247"/>
    </row>
    <row r="17640">
      <c r="C17640" s="278"/>
      <c r="M17640" s="278"/>
      <c r="O17640" s="247"/>
      <c r="AC17640" s="247"/>
      <c r="AT17640" s="247"/>
    </row>
    <row r="17641">
      <c r="C17641" s="278"/>
      <c r="M17641" s="278"/>
      <c r="O17641" s="247"/>
      <c r="AC17641" s="247"/>
      <c r="AT17641" s="247"/>
    </row>
    <row r="17642">
      <c r="C17642" s="278"/>
      <c r="M17642" s="278"/>
      <c r="O17642" s="247"/>
      <c r="AC17642" s="247"/>
      <c r="AT17642" s="247"/>
    </row>
    <row r="17643">
      <c r="C17643" s="278"/>
      <c r="M17643" s="278"/>
      <c r="O17643" s="247"/>
      <c r="AC17643" s="247"/>
      <c r="AT17643" s="247"/>
    </row>
    <row r="17644">
      <c r="C17644" s="278"/>
      <c r="M17644" s="278"/>
      <c r="O17644" s="247"/>
      <c r="AC17644" s="247"/>
      <c r="AT17644" s="247"/>
    </row>
    <row r="17645">
      <c r="C17645" s="278"/>
      <c r="M17645" s="278"/>
      <c r="O17645" s="247"/>
      <c r="AC17645" s="247"/>
      <c r="AT17645" s="247"/>
    </row>
    <row r="17646">
      <c r="C17646" s="278"/>
      <c r="M17646" s="278"/>
      <c r="O17646" s="247"/>
      <c r="AC17646" s="247"/>
      <c r="AT17646" s="247"/>
    </row>
    <row r="17647">
      <c r="C17647" s="278"/>
      <c r="M17647" s="278"/>
      <c r="O17647" s="247"/>
      <c r="AC17647" s="247"/>
      <c r="AT17647" s="247"/>
    </row>
    <row r="17648">
      <c r="C17648" s="278"/>
      <c r="M17648" s="278"/>
      <c r="O17648" s="247"/>
      <c r="AC17648" s="247"/>
      <c r="AT17648" s="247"/>
    </row>
    <row r="17649">
      <c r="C17649" s="278"/>
      <c r="M17649" s="278"/>
      <c r="O17649" s="247"/>
      <c r="AC17649" s="247"/>
      <c r="AT17649" s="247"/>
    </row>
    <row r="17650">
      <c r="C17650" s="278"/>
      <c r="M17650" s="278"/>
      <c r="O17650" s="247"/>
      <c r="AC17650" s="247"/>
      <c r="AT17650" s="247"/>
    </row>
    <row r="17651">
      <c r="C17651" s="278"/>
      <c r="M17651" s="278"/>
      <c r="O17651" s="247"/>
      <c r="AC17651" s="247"/>
      <c r="AT17651" s="247"/>
    </row>
    <row r="17652">
      <c r="C17652" s="278"/>
      <c r="M17652" s="278"/>
      <c r="O17652" s="247"/>
      <c r="AC17652" s="247"/>
      <c r="AT17652" s="247"/>
    </row>
    <row r="17653">
      <c r="C17653" s="278"/>
      <c r="M17653" s="278"/>
      <c r="O17653" s="247"/>
      <c r="AC17653" s="247"/>
      <c r="AT17653" s="247"/>
    </row>
    <row r="17654">
      <c r="C17654" s="278"/>
      <c r="M17654" s="278"/>
      <c r="O17654" s="247"/>
      <c r="AC17654" s="247"/>
      <c r="AT17654" s="247"/>
    </row>
    <row r="17655">
      <c r="C17655" s="278"/>
      <c r="M17655" s="278"/>
      <c r="O17655" s="247"/>
      <c r="AC17655" s="247"/>
      <c r="AT17655" s="247"/>
    </row>
    <row r="17656">
      <c r="C17656" s="278"/>
      <c r="M17656" s="278"/>
      <c r="O17656" s="247"/>
      <c r="AC17656" s="247"/>
      <c r="AT17656" s="247"/>
    </row>
    <row r="17657">
      <c r="C17657" s="278"/>
      <c r="M17657" s="278"/>
      <c r="O17657" s="247"/>
      <c r="AC17657" s="247"/>
      <c r="AT17657" s="247"/>
    </row>
    <row r="17658">
      <c r="C17658" s="278"/>
      <c r="M17658" s="278"/>
      <c r="O17658" s="247"/>
      <c r="AC17658" s="247"/>
      <c r="AT17658" s="247"/>
    </row>
    <row r="17659">
      <c r="C17659" s="278"/>
      <c r="M17659" s="278"/>
      <c r="O17659" s="247"/>
      <c r="AC17659" s="247"/>
      <c r="AT17659" s="247"/>
    </row>
    <row r="17660">
      <c r="C17660" s="278"/>
      <c r="M17660" s="278"/>
      <c r="O17660" s="247"/>
      <c r="AC17660" s="247"/>
      <c r="AT17660" s="247"/>
    </row>
    <row r="17661">
      <c r="C17661" s="278"/>
      <c r="M17661" s="278"/>
      <c r="O17661" s="247"/>
      <c r="AC17661" s="247"/>
      <c r="AT17661" s="247"/>
    </row>
    <row r="17662">
      <c r="C17662" s="278"/>
      <c r="M17662" s="278"/>
      <c r="O17662" s="247"/>
      <c r="AC17662" s="247"/>
      <c r="AT17662" s="247"/>
    </row>
    <row r="17663">
      <c r="C17663" s="278"/>
      <c r="M17663" s="278"/>
      <c r="O17663" s="247"/>
      <c r="AC17663" s="247"/>
      <c r="AT17663" s="247"/>
    </row>
    <row r="17664">
      <c r="C17664" s="278"/>
      <c r="M17664" s="278"/>
      <c r="O17664" s="247"/>
      <c r="AC17664" s="247"/>
      <c r="AT17664" s="247"/>
    </row>
    <row r="17665">
      <c r="C17665" s="278"/>
      <c r="M17665" s="278"/>
      <c r="O17665" s="247"/>
      <c r="AC17665" s="247"/>
      <c r="AT17665" s="247"/>
    </row>
    <row r="17666">
      <c r="C17666" s="278"/>
      <c r="M17666" s="278"/>
      <c r="O17666" s="247"/>
      <c r="AC17666" s="247"/>
      <c r="AT17666" s="247"/>
    </row>
    <row r="17667">
      <c r="C17667" s="278"/>
      <c r="M17667" s="278"/>
      <c r="O17667" s="247"/>
      <c r="AC17667" s="247"/>
      <c r="AT17667" s="247"/>
    </row>
    <row r="17668">
      <c r="C17668" s="278"/>
      <c r="M17668" s="278"/>
      <c r="O17668" s="247"/>
      <c r="AC17668" s="247"/>
      <c r="AT17668" s="247"/>
    </row>
    <row r="17669">
      <c r="C17669" s="277"/>
      <c r="M17669" s="278"/>
      <c r="O17669" s="247"/>
      <c r="AC17669" s="247"/>
      <c r="AT17669" s="247"/>
    </row>
    <row r="17670">
      <c r="C17670" s="278"/>
      <c r="M17670" s="278"/>
      <c r="O17670" s="247"/>
      <c r="AC17670" s="247"/>
      <c r="AT17670" s="247"/>
    </row>
    <row r="17671">
      <c r="C17671" s="278"/>
      <c r="M17671" s="278"/>
      <c r="O17671" s="247"/>
      <c r="AC17671" s="247"/>
      <c r="AT17671" s="247"/>
    </row>
    <row r="17672">
      <c r="C17672" s="278"/>
      <c r="M17672" s="278"/>
      <c r="O17672" s="247"/>
      <c r="AC17672" s="247"/>
      <c r="AT17672" s="247"/>
    </row>
    <row r="17673">
      <c r="C17673" s="278"/>
      <c r="M17673" s="278"/>
      <c r="O17673" s="247"/>
      <c r="AC17673" s="247"/>
      <c r="AT17673" s="247"/>
    </row>
    <row r="17674">
      <c r="C17674" s="278"/>
      <c r="M17674" s="278"/>
      <c r="O17674" s="247"/>
      <c r="AC17674" s="247"/>
      <c r="AT17674" s="247"/>
    </row>
    <row r="17675">
      <c r="C17675" s="278"/>
      <c r="M17675" s="278"/>
      <c r="O17675" s="247"/>
      <c r="AC17675" s="247"/>
      <c r="AT17675" s="247"/>
    </row>
    <row r="17676">
      <c r="C17676" s="278"/>
      <c r="M17676" s="278"/>
      <c r="O17676" s="247"/>
      <c r="AC17676" s="247"/>
      <c r="AT17676" s="247"/>
    </row>
    <row r="17677">
      <c r="C17677" s="278"/>
      <c r="M17677" s="278"/>
      <c r="O17677" s="247"/>
      <c r="AC17677" s="247"/>
      <c r="AT17677" s="247"/>
    </row>
    <row r="17678">
      <c r="C17678" s="278"/>
      <c r="M17678" s="278"/>
      <c r="O17678" s="247"/>
      <c r="AC17678" s="247"/>
      <c r="AT17678" s="247"/>
    </row>
    <row r="17679">
      <c r="C17679" s="278"/>
      <c r="M17679" s="278"/>
      <c r="O17679" s="247"/>
      <c r="AC17679" s="247"/>
      <c r="AT17679" s="247"/>
    </row>
    <row r="17680">
      <c r="C17680" s="278"/>
      <c r="M17680" s="278"/>
      <c r="O17680" s="247"/>
      <c r="AC17680" s="247"/>
      <c r="AT17680" s="247"/>
    </row>
    <row r="17681">
      <c r="C17681" s="278"/>
      <c r="M17681" s="278"/>
      <c r="O17681" s="247"/>
      <c r="AC17681" s="247"/>
      <c r="AT17681" s="247"/>
    </row>
    <row r="17682">
      <c r="C17682" s="278"/>
      <c r="M17682" s="278"/>
      <c r="O17682" s="247"/>
      <c r="AC17682" s="247"/>
      <c r="AT17682" s="247"/>
    </row>
    <row r="17683">
      <c r="C17683" s="278"/>
      <c r="M17683" s="278"/>
      <c r="O17683" s="247"/>
      <c r="AC17683" s="247"/>
      <c r="AT17683" s="247"/>
    </row>
    <row r="17684">
      <c r="C17684" s="278"/>
      <c r="M17684" s="278"/>
      <c r="O17684" s="247"/>
      <c r="AC17684" s="247"/>
      <c r="AT17684" s="247"/>
    </row>
    <row r="17685">
      <c r="C17685" s="278"/>
      <c r="M17685" s="278"/>
      <c r="O17685" s="247"/>
      <c r="AC17685" s="247"/>
      <c r="AT17685" s="247"/>
    </row>
    <row r="17686">
      <c r="C17686" s="278"/>
      <c r="M17686" s="278"/>
      <c r="O17686" s="247"/>
      <c r="AC17686" s="247"/>
      <c r="AT17686" s="247"/>
    </row>
    <row r="17687">
      <c r="C17687" s="278"/>
      <c r="M17687" s="278"/>
      <c r="O17687" s="247"/>
      <c r="AC17687" s="247"/>
      <c r="AT17687" s="247"/>
    </row>
    <row r="17688">
      <c r="C17688" s="278"/>
      <c r="M17688" s="278"/>
      <c r="O17688" s="247"/>
      <c r="AC17688" s="247"/>
      <c r="AT17688" s="247"/>
    </row>
    <row r="17689">
      <c r="C17689" s="277"/>
      <c r="M17689" s="278"/>
      <c r="O17689" s="247"/>
      <c r="AC17689" s="247"/>
      <c r="AT17689" s="247"/>
    </row>
    <row r="17690">
      <c r="C17690" s="278"/>
      <c r="M17690" s="278"/>
      <c r="O17690" s="247"/>
      <c r="AC17690" s="247"/>
      <c r="AT17690" s="247"/>
    </row>
    <row r="17691">
      <c r="C17691" s="278"/>
      <c r="M17691" s="278"/>
      <c r="O17691" s="247"/>
      <c r="AC17691" s="247"/>
      <c r="AT17691" s="247"/>
    </row>
    <row r="17692">
      <c r="C17692" s="278"/>
      <c r="M17692" s="278"/>
      <c r="O17692" s="247"/>
      <c r="AC17692" s="247"/>
      <c r="AT17692" s="247"/>
    </row>
    <row r="17693">
      <c r="C17693" s="278"/>
      <c r="M17693" s="278"/>
      <c r="O17693" s="247"/>
      <c r="AC17693" s="247"/>
      <c r="AT17693" s="247"/>
    </row>
    <row r="17694">
      <c r="C17694" s="278"/>
      <c r="M17694" s="278"/>
      <c r="O17694" s="247"/>
      <c r="AC17694" s="247"/>
      <c r="AT17694" s="247"/>
    </row>
    <row r="17695">
      <c r="C17695" s="278"/>
      <c r="M17695" s="278"/>
      <c r="O17695" s="247"/>
      <c r="AC17695" s="247"/>
      <c r="AT17695" s="247"/>
    </row>
    <row r="17696">
      <c r="C17696" s="278"/>
      <c r="M17696" s="278"/>
      <c r="O17696" s="247"/>
      <c r="AC17696" s="247"/>
      <c r="AT17696" s="247"/>
    </row>
    <row r="17697">
      <c r="C17697" s="277"/>
      <c r="M17697" s="278"/>
      <c r="O17697" s="247"/>
      <c r="AC17697" s="247"/>
      <c r="AT17697" s="247"/>
    </row>
    <row r="17698">
      <c r="C17698" s="278"/>
      <c r="M17698" s="278"/>
      <c r="O17698" s="247"/>
      <c r="AC17698" s="247"/>
      <c r="AT17698" s="247"/>
    </row>
    <row r="17699">
      <c r="C17699" s="278"/>
      <c r="M17699" s="278"/>
      <c r="O17699" s="247"/>
      <c r="AC17699" s="247"/>
      <c r="AT17699" s="247"/>
    </row>
    <row r="17700">
      <c r="C17700" s="278"/>
      <c r="M17700" s="278"/>
      <c r="O17700" s="247"/>
      <c r="AC17700" s="247"/>
      <c r="AT17700" s="247"/>
    </row>
    <row r="17701">
      <c r="C17701" s="278"/>
      <c r="M17701" s="278"/>
      <c r="O17701" s="247"/>
      <c r="AC17701" s="247"/>
      <c r="AT17701" s="247"/>
    </row>
    <row r="17702">
      <c r="C17702" s="278"/>
      <c r="M17702" s="278"/>
      <c r="O17702" s="247"/>
      <c r="AC17702" s="247"/>
      <c r="AT17702" s="247"/>
    </row>
    <row r="17703">
      <c r="C17703" s="278"/>
      <c r="M17703" s="278"/>
      <c r="O17703" s="247"/>
      <c r="AC17703" s="247"/>
      <c r="AT17703" s="247"/>
    </row>
    <row r="17704">
      <c r="C17704" s="278"/>
      <c r="M17704" s="278"/>
      <c r="O17704" s="247"/>
      <c r="AC17704" s="247"/>
      <c r="AT17704" s="247"/>
    </row>
    <row r="17705">
      <c r="C17705" s="278"/>
      <c r="M17705" s="278"/>
      <c r="O17705" s="247"/>
      <c r="AC17705" s="247"/>
      <c r="AT17705" s="247"/>
    </row>
    <row r="17706">
      <c r="C17706" s="278"/>
      <c r="M17706" s="278"/>
      <c r="O17706" s="247"/>
      <c r="AC17706" s="247"/>
      <c r="AT17706" s="247"/>
    </row>
    <row r="17707">
      <c r="C17707" s="278"/>
      <c r="M17707" s="278"/>
      <c r="O17707" s="247"/>
      <c r="AC17707" s="247"/>
      <c r="AT17707" s="247"/>
    </row>
    <row r="17708">
      <c r="C17708" s="278"/>
      <c r="M17708" s="278"/>
      <c r="O17708" s="247"/>
      <c r="AC17708" s="247"/>
      <c r="AT17708" s="247"/>
    </row>
    <row r="17709">
      <c r="C17709" s="278"/>
      <c r="M17709" s="278"/>
      <c r="O17709" s="247"/>
      <c r="AC17709" s="247"/>
      <c r="AT17709" s="247"/>
    </row>
    <row r="17710">
      <c r="C17710" s="278"/>
      <c r="M17710" s="278"/>
      <c r="O17710" s="247"/>
      <c r="AC17710" s="247"/>
      <c r="AT17710" s="247"/>
    </row>
    <row r="17711">
      <c r="C17711" s="278"/>
      <c r="M17711" s="278"/>
      <c r="O17711" s="247"/>
      <c r="AC17711" s="247"/>
      <c r="AT17711" s="247"/>
    </row>
    <row r="17712">
      <c r="C17712" s="278"/>
      <c r="M17712" s="278"/>
      <c r="O17712" s="247"/>
      <c r="AC17712" s="247"/>
      <c r="AT17712" s="247"/>
    </row>
    <row r="17713">
      <c r="C17713" s="278"/>
      <c r="M17713" s="278"/>
      <c r="O17713" s="247"/>
      <c r="AC17713" s="247"/>
      <c r="AT17713" s="247"/>
    </row>
    <row r="17714">
      <c r="C17714" s="278"/>
      <c r="M17714" s="278"/>
      <c r="O17714" s="247"/>
      <c r="AC17714" s="247"/>
      <c r="AT17714" s="247"/>
    </row>
    <row r="17715">
      <c r="C17715" s="278"/>
      <c r="M17715" s="278"/>
      <c r="O17715" s="247"/>
      <c r="AC17715" s="247"/>
      <c r="AT17715" s="247"/>
    </row>
    <row r="17716">
      <c r="C17716" s="278"/>
      <c r="M17716" s="278"/>
      <c r="O17716" s="247"/>
      <c r="AC17716" s="247"/>
      <c r="AT17716" s="247"/>
    </row>
    <row r="17717">
      <c r="C17717" s="278"/>
      <c r="M17717" s="278"/>
      <c r="O17717" s="247"/>
      <c r="AC17717" s="247"/>
      <c r="AT17717" s="247"/>
    </row>
    <row r="17718">
      <c r="C17718" s="278"/>
      <c r="M17718" s="278"/>
      <c r="O17718" s="247"/>
      <c r="AC17718" s="247"/>
      <c r="AT17718" s="247"/>
    </row>
    <row r="17719">
      <c r="C17719" s="278"/>
      <c r="M17719" s="278"/>
      <c r="O17719" s="247"/>
      <c r="AC17719" s="247"/>
      <c r="AT17719" s="247"/>
    </row>
    <row r="17720">
      <c r="C17720" s="278"/>
      <c r="M17720" s="278"/>
      <c r="O17720" s="247"/>
      <c r="AC17720" s="247"/>
      <c r="AT17720" s="247"/>
    </row>
    <row r="17721">
      <c r="C17721" s="278"/>
      <c r="M17721" s="278"/>
      <c r="O17721" s="247"/>
      <c r="AC17721" s="247"/>
      <c r="AT17721" s="247"/>
    </row>
    <row r="17722">
      <c r="C17722" s="278"/>
      <c r="M17722" s="278"/>
      <c r="O17722" s="247"/>
      <c r="AC17722" s="247"/>
      <c r="AT17722" s="247"/>
    </row>
    <row r="17723">
      <c r="C17723" s="278"/>
      <c r="M17723" s="278"/>
      <c r="O17723" s="247"/>
      <c r="AC17723" s="247"/>
      <c r="AT17723" s="247"/>
    </row>
    <row r="17724">
      <c r="C17724" s="278"/>
      <c r="M17724" s="278"/>
      <c r="O17724" s="247"/>
      <c r="AC17724" s="247"/>
      <c r="AT17724" s="247"/>
    </row>
    <row r="17725">
      <c r="C17725" s="278"/>
      <c r="M17725" s="278"/>
      <c r="O17725" s="247"/>
      <c r="AC17725" s="247"/>
      <c r="AT17725" s="247"/>
    </row>
    <row r="17726">
      <c r="C17726" s="278"/>
      <c r="M17726" s="278"/>
      <c r="O17726" s="247"/>
      <c r="AC17726" s="247"/>
      <c r="AT17726" s="247"/>
    </row>
    <row r="17727">
      <c r="C17727" s="278"/>
      <c r="M17727" s="278"/>
      <c r="O17727" s="247"/>
      <c r="AC17727" s="247"/>
      <c r="AT17727" s="247"/>
    </row>
    <row r="17728">
      <c r="C17728" s="278"/>
      <c r="M17728" s="278"/>
      <c r="O17728" s="247"/>
      <c r="AC17728" s="247"/>
      <c r="AT17728" s="247"/>
    </row>
    <row r="17729">
      <c r="C17729" s="278"/>
      <c r="M17729" s="278"/>
      <c r="O17729" s="247"/>
      <c r="AC17729" s="247"/>
      <c r="AT17729" s="247"/>
    </row>
    <row r="17730">
      <c r="C17730" s="278"/>
      <c r="M17730" s="278"/>
      <c r="O17730" s="247"/>
      <c r="AC17730" s="247"/>
      <c r="AT17730" s="247"/>
    </row>
    <row r="17731">
      <c r="C17731" s="278"/>
      <c r="M17731" s="278"/>
      <c r="O17731" s="247"/>
      <c r="AC17731" s="247"/>
      <c r="AT17731" s="247"/>
    </row>
    <row r="17732">
      <c r="C17732" s="277"/>
      <c r="M17732" s="278"/>
      <c r="O17732" s="247"/>
      <c r="AC17732" s="247"/>
      <c r="AT17732" s="247"/>
    </row>
    <row r="17733">
      <c r="C17733" s="278"/>
      <c r="M17733" s="278"/>
      <c r="O17733" s="247"/>
      <c r="AC17733" s="247"/>
      <c r="AT17733" s="247"/>
    </row>
    <row r="17734">
      <c r="C17734" s="278"/>
      <c r="M17734" s="278"/>
      <c r="O17734" s="247"/>
      <c r="AC17734" s="247"/>
      <c r="AT17734" s="247"/>
    </row>
    <row r="17735">
      <c r="C17735" s="278"/>
      <c r="M17735" s="278"/>
      <c r="O17735" s="247"/>
      <c r="AC17735" s="247"/>
      <c r="AT17735" s="247"/>
    </row>
    <row r="17736">
      <c r="C17736" s="278"/>
      <c r="M17736" s="278"/>
      <c r="O17736" s="247"/>
      <c r="AC17736" s="247"/>
      <c r="AT17736" s="247"/>
    </row>
    <row r="17737">
      <c r="C17737" s="278"/>
      <c r="M17737" s="278"/>
      <c r="O17737" s="247"/>
      <c r="AC17737" s="247"/>
      <c r="AT17737" s="247"/>
    </row>
    <row r="17738">
      <c r="C17738" s="278"/>
      <c r="M17738" s="278"/>
      <c r="O17738" s="247"/>
      <c r="AC17738" s="247"/>
      <c r="AT17738" s="247"/>
    </row>
    <row r="17739">
      <c r="C17739" s="278"/>
      <c r="M17739" s="278"/>
      <c r="O17739" s="247"/>
      <c r="AC17739" s="247"/>
      <c r="AT17739" s="247"/>
    </row>
    <row r="17740">
      <c r="C17740" s="278"/>
      <c r="M17740" s="278"/>
      <c r="O17740" s="247"/>
      <c r="AC17740" s="247"/>
      <c r="AT17740" s="247"/>
    </row>
    <row r="17741">
      <c r="C17741" s="278"/>
      <c r="M17741" s="278"/>
      <c r="O17741" s="247"/>
      <c r="AC17741" s="247"/>
      <c r="AT17741" s="247"/>
    </row>
    <row r="17742">
      <c r="C17742" s="278"/>
      <c r="M17742" s="278"/>
      <c r="O17742" s="247"/>
      <c r="AC17742" s="247"/>
      <c r="AT17742" s="247"/>
    </row>
    <row r="17743">
      <c r="C17743" s="278"/>
      <c r="M17743" s="278"/>
      <c r="O17743" s="247"/>
      <c r="AC17743" s="247"/>
      <c r="AT17743" s="247"/>
    </row>
    <row r="17744">
      <c r="C17744" s="278"/>
      <c r="M17744" s="278"/>
      <c r="O17744" s="247"/>
      <c r="AC17744" s="247"/>
      <c r="AT17744" s="247"/>
    </row>
    <row r="17745">
      <c r="C17745" s="278"/>
      <c r="M17745" s="278"/>
      <c r="O17745" s="247"/>
      <c r="AC17745" s="247"/>
      <c r="AT17745" s="247"/>
    </row>
    <row r="17746">
      <c r="C17746" s="278"/>
      <c r="M17746" s="278"/>
      <c r="O17746" s="247"/>
      <c r="AC17746" s="247"/>
      <c r="AT17746" s="247"/>
    </row>
    <row r="17747">
      <c r="C17747" s="278"/>
      <c r="M17747" s="278"/>
      <c r="O17747" s="247"/>
      <c r="AC17747" s="247"/>
      <c r="AT17747" s="247"/>
    </row>
    <row r="17748">
      <c r="C17748" s="278"/>
      <c r="M17748" s="278"/>
      <c r="O17748" s="247"/>
      <c r="AC17748" s="247"/>
      <c r="AT17748" s="247"/>
    </row>
    <row r="17749">
      <c r="C17749" s="278"/>
      <c r="M17749" s="278"/>
      <c r="O17749" s="247"/>
      <c r="AC17749" s="247"/>
      <c r="AT17749" s="247"/>
    </row>
    <row r="17750">
      <c r="C17750" s="278"/>
      <c r="M17750" s="278"/>
      <c r="O17750" s="247"/>
      <c r="AC17750" s="247"/>
      <c r="AT17750" s="247"/>
    </row>
    <row r="17751">
      <c r="C17751" s="278"/>
      <c r="M17751" s="278"/>
      <c r="O17751" s="247"/>
      <c r="AC17751" s="247"/>
      <c r="AT17751" s="247"/>
    </row>
    <row r="17752">
      <c r="C17752" s="277"/>
      <c r="M17752" s="278"/>
      <c r="O17752" s="247"/>
      <c r="AC17752" s="247"/>
      <c r="AT17752" s="247"/>
    </row>
    <row r="17753">
      <c r="C17753" s="278"/>
      <c r="M17753" s="278"/>
      <c r="O17753" s="247"/>
      <c r="AC17753" s="247"/>
      <c r="AT17753" s="247"/>
    </row>
    <row r="17754">
      <c r="C17754" s="278"/>
      <c r="M17754" s="278"/>
      <c r="O17754" s="247"/>
      <c r="AC17754" s="247"/>
      <c r="AT17754" s="247"/>
    </row>
    <row r="17755">
      <c r="C17755" s="278"/>
      <c r="M17755" s="278"/>
      <c r="O17755" s="247"/>
      <c r="AC17755" s="247"/>
      <c r="AT17755" s="247"/>
    </row>
    <row r="17756">
      <c r="C17756" s="278"/>
      <c r="M17756" s="278"/>
      <c r="O17756" s="247"/>
      <c r="AC17756" s="247"/>
      <c r="AT17756" s="247"/>
    </row>
    <row r="17757">
      <c r="C17757" s="278"/>
      <c r="M17757" s="278"/>
      <c r="O17757" s="247"/>
      <c r="AC17757" s="247"/>
      <c r="AT17757" s="247"/>
    </row>
    <row r="17758">
      <c r="C17758" s="278"/>
      <c r="M17758" s="278"/>
      <c r="O17758" s="247"/>
      <c r="AC17758" s="247"/>
      <c r="AT17758" s="247"/>
    </row>
    <row r="17759">
      <c r="C17759" s="278"/>
      <c r="M17759" s="278"/>
      <c r="O17759" s="247"/>
      <c r="AC17759" s="247"/>
      <c r="AT17759" s="247"/>
    </row>
    <row r="17760">
      <c r="C17760" s="278"/>
      <c r="M17760" s="278"/>
      <c r="O17760" s="247"/>
      <c r="AC17760" s="247"/>
      <c r="AT17760" s="247"/>
    </row>
    <row r="17761">
      <c r="C17761" s="278"/>
      <c r="M17761" s="278"/>
      <c r="O17761" s="247"/>
      <c r="AC17761" s="247"/>
      <c r="AT17761" s="247"/>
    </row>
    <row r="17762">
      <c r="C17762" s="278"/>
      <c r="M17762" s="278"/>
      <c r="O17762" s="247"/>
      <c r="AC17762" s="247"/>
      <c r="AT17762" s="247"/>
    </row>
    <row r="17763">
      <c r="C17763" s="278"/>
      <c r="M17763" s="278"/>
      <c r="O17763" s="247"/>
      <c r="AC17763" s="247"/>
      <c r="AT17763" s="247"/>
    </row>
    <row r="17764">
      <c r="C17764" s="278"/>
      <c r="M17764" s="278"/>
      <c r="O17764" s="247"/>
      <c r="AC17764" s="247"/>
      <c r="AT17764" s="247"/>
    </row>
    <row r="17765">
      <c r="C17765" s="278"/>
      <c r="M17765" s="278"/>
      <c r="O17765" s="247"/>
      <c r="AC17765" s="247"/>
      <c r="AT17765" s="247"/>
    </row>
    <row r="17766">
      <c r="C17766" s="278"/>
      <c r="M17766" s="278"/>
      <c r="O17766" s="247"/>
      <c r="AC17766" s="247"/>
      <c r="AT17766" s="247"/>
    </row>
    <row r="17767">
      <c r="C17767" s="278"/>
      <c r="M17767" s="278"/>
      <c r="O17767" s="247"/>
      <c r="AC17767" s="247"/>
      <c r="AT17767" s="247"/>
    </row>
    <row r="17768">
      <c r="C17768" s="278"/>
      <c r="M17768" s="278"/>
      <c r="O17768" s="247"/>
      <c r="AC17768" s="247"/>
      <c r="AT17768" s="247"/>
    </row>
    <row r="17769">
      <c r="C17769" s="278"/>
      <c r="M17769" s="278"/>
      <c r="O17769" s="247"/>
      <c r="AC17769" s="247"/>
      <c r="AT17769" s="247"/>
    </row>
    <row r="17770">
      <c r="C17770" s="278"/>
      <c r="M17770" s="278"/>
      <c r="O17770" s="247"/>
      <c r="AC17770" s="247"/>
      <c r="AT17770" s="247"/>
    </row>
    <row r="17771">
      <c r="C17771" s="277"/>
      <c r="M17771" s="278"/>
      <c r="O17771" s="247"/>
      <c r="AC17771" s="247"/>
      <c r="AT17771" s="247"/>
    </row>
    <row r="17772">
      <c r="C17772" s="278"/>
      <c r="M17772" s="278"/>
      <c r="O17772" s="247"/>
      <c r="AC17772" s="247"/>
      <c r="AT17772" s="247"/>
    </row>
    <row r="17773">
      <c r="C17773" s="278"/>
      <c r="M17773" s="278"/>
      <c r="O17773" s="247"/>
      <c r="AC17773" s="247"/>
      <c r="AT17773" s="247"/>
    </row>
    <row r="17774">
      <c r="C17774" s="278"/>
      <c r="M17774" s="278"/>
      <c r="O17774" s="247"/>
      <c r="AC17774" s="247"/>
      <c r="AT17774" s="247"/>
    </row>
    <row r="17775">
      <c r="C17775" s="277"/>
      <c r="M17775" s="278"/>
      <c r="O17775" s="247"/>
      <c r="AC17775" s="247"/>
      <c r="AT17775" s="247"/>
    </row>
    <row r="17776">
      <c r="C17776" s="278"/>
      <c r="M17776" s="278"/>
      <c r="O17776" s="247"/>
      <c r="AC17776" s="247"/>
      <c r="AT17776" s="247"/>
    </row>
    <row r="17777">
      <c r="C17777" s="278"/>
      <c r="M17777" s="278"/>
      <c r="O17777" s="247"/>
      <c r="AC17777" s="247"/>
      <c r="AT17777" s="247"/>
    </row>
    <row r="17778">
      <c r="C17778" s="278"/>
      <c r="M17778" s="278"/>
      <c r="O17778" s="247"/>
      <c r="AC17778" s="247"/>
      <c r="AT17778" s="247"/>
    </row>
    <row r="17779">
      <c r="C17779" s="277"/>
      <c r="M17779" s="278"/>
      <c r="O17779" s="247"/>
      <c r="AC17779" s="247"/>
      <c r="AT17779" s="247"/>
    </row>
    <row r="17780">
      <c r="C17780" s="278"/>
      <c r="M17780" s="278"/>
      <c r="O17780" s="247"/>
      <c r="AC17780" s="247"/>
      <c r="AT17780" s="247"/>
    </row>
    <row r="17781">
      <c r="C17781" s="278"/>
      <c r="M17781" s="278"/>
      <c r="O17781" s="247"/>
      <c r="AC17781" s="247"/>
      <c r="AT17781" s="247"/>
    </row>
    <row r="17782">
      <c r="C17782" s="278"/>
      <c r="M17782" s="278"/>
      <c r="O17782" s="247"/>
      <c r="AC17782" s="247"/>
      <c r="AT17782" s="247"/>
    </row>
    <row r="17783">
      <c r="C17783" s="278"/>
      <c r="M17783" s="278"/>
      <c r="O17783" s="247"/>
      <c r="AC17783" s="247"/>
      <c r="AT17783" s="247"/>
    </row>
    <row r="17784">
      <c r="C17784" s="278"/>
      <c r="M17784" s="278"/>
      <c r="O17784" s="247"/>
      <c r="AC17784" s="247"/>
      <c r="AT17784" s="247"/>
    </row>
    <row r="17785">
      <c r="C17785" s="278"/>
      <c r="M17785" s="278"/>
      <c r="O17785" s="247"/>
      <c r="AC17785" s="247"/>
      <c r="AT17785" s="247"/>
    </row>
    <row r="17786">
      <c r="C17786" s="278"/>
      <c r="M17786" s="278"/>
      <c r="O17786" s="247"/>
      <c r="AC17786" s="247"/>
      <c r="AT17786" s="247"/>
    </row>
    <row r="17787">
      <c r="C17787" s="278"/>
      <c r="M17787" s="278"/>
      <c r="O17787" s="247"/>
      <c r="AC17787" s="247"/>
      <c r="AT17787" s="247"/>
    </row>
    <row r="17788">
      <c r="C17788" s="278"/>
      <c r="M17788" s="278"/>
      <c r="O17788" s="247"/>
      <c r="AC17788" s="247"/>
      <c r="AT17788" s="247"/>
    </row>
    <row r="17789">
      <c r="C17789" s="278"/>
      <c r="M17789" s="278"/>
      <c r="O17789" s="247"/>
      <c r="AC17789" s="247"/>
      <c r="AT17789" s="247"/>
    </row>
    <row r="17790">
      <c r="C17790" s="278"/>
      <c r="M17790" s="278"/>
      <c r="O17790" s="247"/>
      <c r="AC17790" s="247"/>
      <c r="AT17790" s="247"/>
    </row>
    <row r="17791">
      <c r="C17791" s="278"/>
      <c r="M17791" s="278"/>
      <c r="O17791" s="247"/>
      <c r="AC17791" s="247"/>
      <c r="AT17791" s="247"/>
    </row>
    <row r="17792">
      <c r="C17792" s="278"/>
      <c r="M17792" s="278"/>
      <c r="O17792" s="247"/>
      <c r="AC17792" s="247"/>
      <c r="AT17792" s="247"/>
    </row>
    <row r="17793">
      <c r="C17793" s="278"/>
      <c r="M17793" s="278"/>
      <c r="O17793" s="247"/>
      <c r="AC17793" s="247"/>
      <c r="AT17793" s="247"/>
    </row>
    <row r="17794">
      <c r="C17794" s="278"/>
      <c r="M17794" s="278"/>
      <c r="O17794" s="247"/>
      <c r="AC17794" s="247"/>
      <c r="AT17794" s="247"/>
    </row>
    <row r="17795">
      <c r="C17795" s="278"/>
      <c r="M17795" s="278"/>
      <c r="O17795" s="247"/>
      <c r="AC17795" s="247"/>
      <c r="AT17795" s="247"/>
    </row>
    <row r="17796">
      <c r="C17796" s="278"/>
      <c r="M17796" s="278"/>
      <c r="O17796" s="247"/>
      <c r="AC17796" s="247"/>
      <c r="AT17796" s="247"/>
    </row>
    <row r="17797">
      <c r="C17797" s="278"/>
      <c r="M17797" s="278"/>
      <c r="O17797" s="247"/>
      <c r="AC17797" s="247"/>
      <c r="AT17797" s="247"/>
    </row>
    <row r="17798">
      <c r="C17798" s="278"/>
      <c r="M17798" s="278"/>
      <c r="O17798" s="247"/>
      <c r="AC17798" s="247"/>
      <c r="AT17798" s="247"/>
    </row>
    <row r="17799">
      <c r="C17799" s="278"/>
      <c r="M17799" s="278"/>
      <c r="O17799" s="247"/>
      <c r="AC17799" s="247"/>
      <c r="AT17799" s="247"/>
    </row>
    <row r="17800">
      <c r="C17800" s="278"/>
      <c r="M17800" s="278"/>
      <c r="O17800" s="247"/>
      <c r="AC17800" s="247"/>
      <c r="AT17800" s="247"/>
    </row>
    <row r="17801">
      <c r="C17801" s="278"/>
      <c r="M17801" s="278"/>
      <c r="O17801" s="247"/>
      <c r="AC17801" s="247"/>
      <c r="AT17801" s="247"/>
    </row>
    <row r="17802">
      <c r="C17802" s="278"/>
      <c r="M17802" s="278"/>
      <c r="O17802" s="247"/>
      <c r="AC17802" s="247"/>
      <c r="AT17802" s="247"/>
    </row>
    <row r="17803">
      <c r="C17803" s="278"/>
      <c r="M17803" s="278"/>
      <c r="O17803" s="247"/>
      <c r="AC17803" s="247"/>
      <c r="AT17803" s="247"/>
    </row>
    <row r="17804">
      <c r="C17804" s="278"/>
      <c r="M17804" s="278"/>
      <c r="O17804" s="247"/>
      <c r="AC17804" s="247"/>
      <c r="AT17804" s="247"/>
    </row>
    <row r="17805">
      <c r="C17805" s="278"/>
      <c r="M17805" s="278"/>
      <c r="O17805" s="247"/>
      <c r="AC17805" s="247"/>
      <c r="AT17805" s="247"/>
    </row>
    <row r="17806">
      <c r="C17806" s="278"/>
      <c r="M17806" s="278"/>
      <c r="O17806" s="247"/>
      <c r="AC17806" s="247"/>
      <c r="AT17806" s="247"/>
    </row>
    <row r="17807">
      <c r="C17807" s="278"/>
      <c r="M17807" s="278"/>
      <c r="O17807" s="247"/>
      <c r="AC17807" s="247"/>
      <c r="AT17807" s="247"/>
    </row>
    <row r="17808">
      <c r="C17808" s="278"/>
      <c r="M17808" s="278"/>
      <c r="O17808" s="247"/>
      <c r="AC17808" s="247"/>
      <c r="AT17808" s="247"/>
    </row>
    <row r="17809">
      <c r="C17809" s="278"/>
      <c r="M17809" s="278"/>
      <c r="O17809" s="247"/>
      <c r="AC17809" s="247"/>
      <c r="AT17809" s="247"/>
    </row>
    <row r="17810">
      <c r="C17810" s="277"/>
      <c r="M17810" s="278"/>
      <c r="O17810" s="247"/>
      <c r="AC17810" s="247"/>
      <c r="AT17810" s="247"/>
    </row>
    <row r="17811">
      <c r="C17811" s="278"/>
      <c r="M17811" s="278"/>
      <c r="O17811" s="247"/>
      <c r="AC17811" s="247"/>
      <c r="AT17811" s="247"/>
    </row>
    <row r="17812">
      <c r="C17812" s="278"/>
      <c r="M17812" s="278"/>
      <c r="O17812" s="247"/>
      <c r="AC17812" s="247"/>
      <c r="AT17812" s="247"/>
    </row>
    <row r="17813">
      <c r="C17813" s="278"/>
      <c r="M17813" s="278"/>
      <c r="O17813" s="247"/>
      <c r="AC17813" s="247"/>
      <c r="AT17813" s="247"/>
    </row>
    <row r="17814">
      <c r="C17814" s="278"/>
      <c r="M17814" s="278"/>
      <c r="O17814" s="247"/>
      <c r="AC17814" s="247"/>
      <c r="AT17814" s="247"/>
    </row>
    <row r="17815">
      <c r="C17815" s="278"/>
      <c r="M17815" s="278"/>
      <c r="O17815" s="247"/>
      <c r="AC17815" s="247"/>
      <c r="AT17815" s="247"/>
    </row>
    <row r="17816">
      <c r="C17816" s="278"/>
      <c r="M17816" s="278"/>
      <c r="O17816" s="247"/>
      <c r="AC17816" s="247"/>
      <c r="AT17816" s="247"/>
    </row>
    <row r="17817">
      <c r="C17817" s="278"/>
      <c r="M17817" s="278"/>
      <c r="O17817" s="247"/>
      <c r="AC17817" s="247"/>
      <c r="AT17817" s="247"/>
    </row>
    <row r="17818">
      <c r="C17818" s="278"/>
      <c r="M17818" s="278"/>
      <c r="O17818" s="247"/>
      <c r="AC17818" s="247"/>
      <c r="AT17818" s="247"/>
    </row>
    <row r="17819">
      <c r="C17819" s="278"/>
      <c r="M17819" s="278"/>
      <c r="O17819" s="247"/>
      <c r="AC17819" s="247"/>
      <c r="AT17819" s="247"/>
    </row>
    <row r="17820">
      <c r="C17820" s="278"/>
      <c r="M17820" s="278"/>
      <c r="O17820" s="247"/>
      <c r="AC17820" s="247"/>
      <c r="AT17820" s="247"/>
    </row>
    <row r="17821">
      <c r="C17821" s="278"/>
      <c r="M17821" s="278"/>
      <c r="O17821" s="247"/>
      <c r="AC17821" s="247"/>
      <c r="AT17821" s="247"/>
    </row>
    <row r="17822">
      <c r="C17822" s="278"/>
      <c r="M17822" s="278"/>
      <c r="O17822" s="247"/>
      <c r="AC17822" s="247"/>
      <c r="AT17822" s="247"/>
    </row>
    <row r="17823">
      <c r="C17823" s="278"/>
      <c r="M17823" s="278"/>
      <c r="O17823" s="247"/>
      <c r="AC17823" s="247"/>
      <c r="AT17823" s="247"/>
    </row>
    <row r="17824">
      <c r="C17824" s="278"/>
      <c r="M17824" s="278"/>
      <c r="O17824" s="247"/>
      <c r="AC17824" s="247"/>
      <c r="AT17824" s="247"/>
    </row>
    <row r="17825">
      <c r="C17825" s="278"/>
      <c r="M17825" s="278"/>
      <c r="O17825" s="247"/>
      <c r="AC17825" s="247"/>
      <c r="AT17825" s="247"/>
    </row>
    <row r="17826">
      <c r="C17826" s="277"/>
      <c r="M17826" s="278"/>
      <c r="O17826" s="247"/>
      <c r="AC17826" s="247"/>
      <c r="AT17826" s="247"/>
    </row>
    <row r="17827">
      <c r="C17827" s="278"/>
      <c r="M17827" s="278"/>
      <c r="O17827" s="247"/>
      <c r="AC17827" s="247"/>
      <c r="AT17827" s="247"/>
    </row>
    <row r="17828">
      <c r="C17828" s="277"/>
      <c r="M17828" s="278"/>
      <c r="O17828" s="247"/>
      <c r="AC17828" s="247"/>
      <c r="AT17828" s="247"/>
    </row>
    <row r="17829">
      <c r="C17829" s="278"/>
      <c r="M17829" s="278"/>
      <c r="O17829" s="247"/>
      <c r="AC17829" s="247"/>
      <c r="AT17829" s="247"/>
    </row>
    <row r="17830">
      <c r="C17830" s="277"/>
      <c r="M17830" s="278"/>
      <c r="O17830" s="247"/>
      <c r="AC17830" s="247"/>
      <c r="AT17830" s="247"/>
    </row>
    <row r="17831">
      <c r="C17831" s="278"/>
      <c r="M17831" s="278"/>
      <c r="O17831" s="247"/>
      <c r="AC17831" s="247"/>
      <c r="AT17831" s="247"/>
    </row>
    <row r="17832">
      <c r="C17832" s="278"/>
      <c r="M17832" s="278"/>
      <c r="O17832" s="247"/>
      <c r="AC17832" s="247"/>
      <c r="AT17832" s="247"/>
    </row>
    <row r="17833">
      <c r="C17833" s="278"/>
      <c r="M17833" s="278"/>
      <c r="O17833" s="247"/>
      <c r="AC17833" s="247"/>
      <c r="AT17833" s="247"/>
    </row>
    <row r="17834">
      <c r="C17834" s="278"/>
      <c r="M17834" s="278"/>
      <c r="O17834" s="247"/>
      <c r="AC17834" s="247"/>
      <c r="AT17834" s="247"/>
    </row>
    <row r="17835">
      <c r="C17835" s="278"/>
      <c r="M17835" s="278"/>
      <c r="O17835" s="247"/>
      <c r="AC17835" s="247"/>
      <c r="AT17835" s="247"/>
    </row>
    <row r="17836">
      <c r="C17836" s="278"/>
      <c r="M17836" s="278"/>
      <c r="O17836" s="247"/>
      <c r="AC17836" s="247"/>
      <c r="AT17836" s="247"/>
    </row>
    <row r="17837">
      <c r="C17837" s="278"/>
      <c r="M17837" s="278"/>
      <c r="O17837" s="247"/>
      <c r="AC17837" s="247"/>
      <c r="AT17837" s="247"/>
    </row>
    <row r="17838">
      <c r="C17838" s="278"/>
      <c r="M17838" s="278"/>
      <c r="O17838" s="247"/>
      <c r="AC17838" s="247"/>
      <c r="AT17838" s="247"/>
    </row>
    <row r="17839">
      <c r="C17839" s="278"/>
      <c r="M17839" s="278"/>
      <c r="O17839" s="247"/>
      <c r="AC17839" s="247"/>
      <c r="AT17839" s="247"/>
    </row>
    <row r="17840">
      <c r="C17840" s="278"/>
      <c r="M17840" s="278"/>
      <c r="O17840" s="247"/>
      <c r="AC17840" s="247"/>
      <c r="AT17840" s="247"/>
    </row>
    <row r="17841">
      <c r="C17841" s="278"/>
      <c r="M17841" s="278"/>
      <c r="O17841" s="247"/>
      <c r="AC17841" s="247"/>
      <c r="AT17841" s="247"/>
    </row>
    <row r="17842">
      <c r="C17842" s="278"/>
      <c r="M17842" s="278"/>
      <c r="O17842" s="247"/>
      <c r="AC17842" s="247"/>
      <c r="AT17842" s="247"/>
    </row>
    <row r="17843">
      <c r="C17843" s="278"/>
      <c r="M17843" s="278"/>
      <c r="O17843" s="247"/>
      <c r="AC17843" s="247"/>
      <c r="AT17843" s="247"/>
    </row>
    <row r="17844">
      <c r="C17844" s="278"/>
      <c r="M17844" s="278"/>
      <c r="O17844" s="247"/>
      <c r="AC17844" s="247"/>
      <c r="AT17844" s="247"/>
    </row>
    <row r="17845">
      <c r="C17845" s="278"/>
      <c r="M17845" s="278"/>
      <c r="O17845" s="247"/>
      <c r="AC17845" s="247"/>
      <c r="AT17845" s="247"/>
    </row>
    <row r="17846">
      <c r="C17846" s="278"/>
      <c r="M17846" s="278"/>
      <c r="O17846" s="247"/>
      <c r="AC17846" s="247"/>
      <c r="AT17846" s="247"/>
    </row>
    <row r="17847">
      <c r="C17847" s="278"/>
      <c r="M17847" s="278"/>
      <c r="O17847" s="247"/>
      <c r="AC17847" s="247"/>
      <c r="AT17847" s="247"/>
    </row>
    <row r="17848">
      <c r="C17848" s="278"/>
      <c r="M17848" s="278"/>
      <c r="O17848" s="247"/>
      <c r="AC17848" s="247"/>
      <c r="AT17848" s="247"/>
    </row>
    <row r="17849">
      <c r="C17849" s="278"/>
      <c r="M17849" s="278"/>
      <c r="O17849" s="247"/>
      <c r="AC17849" s="247"/>
      <c r="AT17849" s="247"/>
    </row>
    <row r="17850">
      <c r="C17850" s="278"/>
      <c r="M17850" s="278"/>
      <c r="O17850" s="247"/>
      <c r="AC17850" s="247"/>
      <c r="AT17850" s="247"/>
    </row>
    <row r="17851">
      <c r="C17851" s="278"/>
      <c r="M17851" s="278"/>
      <c r="O17851" s="247"/>
      <c r="AC17851" s="247"/>
      <c r="AT17851" s="247"/>
    </row>
    <row r="17852">
      <c r="C17852" s="277"/>
      <c r="M17852" s="278"/>
      <c r="O17852" s="247"/>
      <c r="AC17852" s="247"/>
      <c r="AT17852" s="247"/>
    </row>
    <row r="17853">
      <c r="C17853" s="277"/>
      <c r="M17853" s="278"/>
      <c r="O17853" s="247"/>
      <c r="AC17853" s="247"/>
      <c r="AT17853" s="247"/>
    </row>
    <row r="17854">
      <c r="C17854" s="278"/>
      <c r="M17854" s="278"/>
      <c r="O17854" s="247"/>
      <c r="AC17854" s="247"/>
      <c r="AT17854" s="247"/>
    </row>
    <row r="17855">
      <c r="C17855" s="278"/>
      <c r="M17855" s="278"/>
      <c r="O17855" s="247"/>
      <c r="AC17855" s="247"/>
      <c r="AT17855" s="247"/>
    </row>
    <row r="17856">
      <c r="C17856" s="278"/>
      <c r="M17856" s="278"/>
      <c r="O17856" s="247"/>
      <c r="AC17856" s="247"/>
      <c r="AT17856" s="247"/>
    </row>
    <row r="17857">
      <c r="C17857" s="278"/>
      <c r="M17857" s="278"/>
      <c r="O17857" s="247"/>
      <c r="AC17857" s="247"/>
      <c r="AT17857" s="247"/>
    </row>
    <row r="17858">
      <c r="C17858" s="278"/>
      <c r="M17858" s="278"/>
      <c r="O17858" s="247"/>
      <c r="AC17858" s="247"/>
      <c r="AT17858" s="247"/>
    </row>
    <row r="17859">
      <c r="C17859" s="278"/>
      <c r="M17859" s="278"/>
      <c r="O17859" s="247"/>
      <c r="AC17859" s="247"/>
      <c r="AT17859" s="247"/>
    </row>
    <row r="17860">
      <c r="C17860" s="278"/>
      <c r="M17860" s="278"/>
      <c r="O17860" s="247"/>
      <c r="AC17860" s="247"/>
      <c r="AT17860" s="247"/>
    </row>
    <row r="17861">
      <c r="C17861" s="278"/>
      <c r="M17861" s="278"/>
      <c r="O17861" s="247"/>
      <c r="AC17861" s="247"/>
      <c r="AT17861" s="247"/>
    </row>
    <row r="17862">
      <c r="C17862" s="278"/>
      <c r="M17862" s="278"/>
      <c r="O17862" s="247"/>
      <c r="AC17862" s="247"/>
      <c r="AT17862" s="247"/>
    </row>
    <row r="17863">
      <c r="C17863" s="278"/>
      <c r="M17863" s="278"/>
      <c r="O17863" s="247"/>
      <c r="AC17863" s="247"/>
      <c r="AT17863" s="247"/>
    </row>
    <row r="17864">
      <c r="C17864" s="278"/>
      <c r="M17864" s="278"/>
      <c r="O17864" s="247"/>
      <c r="AC17864" s="247"/>
      <c r="AT17864" s="247"/>
    </row>
    <row r="17865">
      <c r="C17865" s="278"/>
      <c r="M17865" s="278"/>
      <c r="O17865" s="247"/>
      <c r="AC17865" s="247"/>
      <c r="AT17865" s="247"/>
    </row>
    <row r="17866">
      <c r="C17866" s="278"/>
      <c r="M17866" s="278"/>
      <c r="O17866" s="247"/>
      <c r="AC17866" s="247"/>
      <c r="AT17866" s="247"/>
    </row>
    <row r="17867">
      <c r="C17867" s="278"/>
      <c r="M17867" s="278"/>
      <c r="O17867" s="247"/>
      <c r="AC17867" s="247"/>
      <c r="AT17867" s="247"/>
    </row>
    <row r="17868">
      <c r="C17868" s="278"/>
      <c r="M17868" s="278"/>
      <c r="O17868" s="247"/>
      <c r="AC17868" s="247"/>
      <c r="AT17868" s="247"/>
    </row>
    <row r="17869">
      <c r="C17869" s="278"/>
      <c r="M17869" s="278"/>
      <c r="O17869" s="247"/>
      <c r="AC17869" s="247"/>
      <c r="AT17869" s="247"/>
    </row>
    <row r="17870">
      <c r="C17870" s="278"/>
      <c r="M17870" s="278"/>
      <c r="O17870" s="247"/>
      <c r="AC17870" s="247"/>
      <c r="AT17870" s="247"/>
    </row>
    <row r="17871">
      <c r="C17871" s="278"/>
      <c r="M17871" s="278"/>
      <c r="O17871" s="247"/>
      <c r="AC17871" s="247"/>
      <c r="AT17871" s="247"/>
    </row>
    <row r="17872">
      <c r="C17872" s="278"/>
      <c r="M17872" s="278"/>
      <c r="O17872" s="247"/>
      <c r="AC17872" s="247"/>
      <c r="AT17872" s="247"/>
    </row>
    <row r="17873">
      <c r="C17873" s="278"/>
      <c r="M17873" s="278"/>
      <c r="O17873" s="247"/>
      <c r="AC17873" s="247"/>
      <c r="AT17873" s="247"/>
    </row>
    <row r="17874">
      <c r="C17874" s="278"/>
      <c r="M17874" s="278"/>
      <c r="O17874" s="247"/>
      <c r="AC17874" s="247"/>
      <c r="AT17874" s="247"/>
    </row>
    <row r="17875">
      <c r="C17875" s="278"/>
      <c r="M17875" s="278"/>
      <c r="O17875" s="247"/>
      <c r="AC17875" s="247"/>
      <c r="AT17875" s="247"/>
    </row>
    <row r="17876">
      <c r="C17876" s="278"/>
      <c r="M17876" s="278"/>
      <c r="O17876" s="247"/>
      <c r="AC17876" s="247"/>
      <c r="AT17876" s="247"/>
    </row>
    <row r="17877">
      <c r="C17877" s="278"/>
      <c r="M17877" s="278"/>
      <c r="O17877" s="247"/>
      <c r="AC17877" s="247"/>
      <c r="AT17877" s="247"/>
    </row>
    <row r="17878">
      <c r="C17878" s="278"/>
      <c r="M17878" s="278"/>
      <c r="O17878" s="247"/>
      <c r="AC17878" s="247"/>
      <c r="AT17878" s="247"/>
    </row>
    <row r="17879">
      <c r="C17879" s="278"/>
      <c r="M17879" s="278"/>
      <c r="O17879" s="247"/>
      <c r="AC17879" s="247"/>
      <c r="AT17879" s="247"/>
    </row>
    <row r="17880">
      <c r="C17880" s="278"/>
      <c r="M17880" s="278"/>
      <c r="O17880" s="247"/>
      <c r="AC17880" s="247"/>
      <c r="AT17880" s="247"/>
    </row>
    <row r="17881">
      <c r="C17881" s="278"/>
      <c r="M17881" s="278"/>
      <c r="O17881" s="247"/>
      <c r="AC17881" s="247"/>
      <c r="AT17881" s="247"/>
    </row>
    <row r="17882">
      <c r="C17882" s="278"/>
      <c r="M17882" s="278"/>
      <c r="O17882" s="247"/>
      <c r="AC17882" s="247"/>
      <c r="AT17882" s="247"/>
    </row>
    <row r="17883">
      <c r="C17883" s="278"/>
      <c r="M17883" s="278"/>
      <c r="O17883" s="247"/>
      <c r="AC17883" s="247"/>
      <c r="AT17883" s="247"/>
    </row>
    <row r="17884">
      <c r="C17884" s="278"/>
      <c r="M17884" s="278"/>
      <c r="O17884" s="247"/>
      <c r="AC17884" s="247"/>
      <c r="AT17884" s="247"/>
    </row>
    <row r="17885">
      <c r="C17885" s="278"/>
      <c r="M17885" s="278"/>
      <c r="O17885" s="247"/>
      <c r="AC17885" s="247"/>
      <c r="AT17885" s="247"/>
    </row>
    <row r="17886">
      <c r="C17886" s="278"/>
      <c r="M17886" s="278"/>
      <c r="O17886" s="247"/>
      <c r="AC17886" s="247"/>
      <c r="AT17886" s="247"/>
    </row>
    <row r="17887">
      <c r="C17887" s="278"/>
      <c r="M17887" s="278"/>
      <c r="O17887" s="247"/>
      <c r="AC17887" s="247"/>
      <c r="AT17887" s="247"/>
    </row>
    <row r="17888">
      <c r="C17888" s="278"/>
      <c r="M17888" s="278"/>
      <c r="O17888" s="247"/>
      <c r="AC17888" s="247"/>
      <c r="AT17888" s="247"/>
    </row>
    <row r="17889">
      <c r="C17889" s="278"/>
      <c r="M17889" s="278"/>
      <c r="O17889" s="247"/>
      <c r="AC17889" s="247"/>
      <c r="AT17889" s="247"/>
    </row>
    <row r="17890">
      <c r="C17890" s="278"/>
      <c r="M17890" s="278"/>
      <c r="O17890" s="247"/>
      <c r="AC17890" s="247"/>
      <c r="AT17890" s="247"/>
    </row>
    <row r="17891">
      <c r="C17891" s="278"/>
      <c r="M17891" s="278"/>
      <c r="O17891" s="247"/>
      <c r="AC17891" s="247"/>
      <c r="AT17891" s="247"/>
    </row>
    <row r="17892">
      <c r="C17892" s="278"/>
      <c r="M17892" s="278"/>
      <c r="O17892" s="247"/>
      <c r="AC17892" s="247"/>
      <c r="AT17892" s="247"/>
    </row>
    <row r="17893">
      <c r="C17893" s="278"/>
      <c r="M17893" s="278"/>
      <c r="O17893" s="247"/>
      <c r="AC17893" s="247"/>
      <c r="AT17893" s="247"/>
    </row>
    <row r="17894">
      <c r="C17894" s="278"/>
      <c r="M17894" s="278"/>
      <c r="O17894" s="247"/>
      <c r="AC17894" s="247"/>
      <c r="AT17894" s="247"/>
    </row>
    <row r="17895">
      <c r="C17895" s="278"/>
      <c r="M17895" s="278"/>
      <c r="O17895" s="247"/>
      <c r="AC17895" s="247"/>
      <c r="AT17895" s="247"/>
    </row>
    <row r="17896">
      <c r="C17896" s="278"/>
      <c r="M17896" s="278"/>
      <c r="O17896" s="247"/>
      <c r="AC17896" s="247"/>
      <c r="AT17896" s="247"/>
    </row>
    <row r="17897">
      <c r="C17897" s="278"/>
      <c r="M17897" s="278"/>
      <c r="O17897" s="247"/>
      <c r="AC17897" s="247"/>
      <c r="AT17897" s="247"/>
    </row>
    <row r="17898">
      <c r="C17898" s="278"/>
      <c r="M17898" s="278"/>
      <c r="O17898" s="247"/>
      <c r="AC17898" s="247"/>
      <c r="AT17898" s="247"/>
    </row>
    <row r="17899">
      <c r="C17899" s="278"/>
      <c r="M17899" s="278"/>
      <c r="O17899" s="247"/>
      <c r="AC17899" s="247"/>
      <c r="AT17899" s="247"/>
    </row>
    <row r="17900">
      <c r="C17900" s="278"/>
      <c r="M17900" s="278"/>
      <c r="O17900" s="247"/>
      <c r="AC17900" s="247"/>
      <c r="AT17900" s="247"/>
    </row>
    <row r="17901">
      <c r="C17901" s="278"/>
      <c r="M17901" s="278"/>
      <c r="O17901" s="247"/>
      <c r="AC17901" s="247"/>
      <c r="AT17901" s="247"/>
    </row>
    <row r="17902">
      <c r="C17902" s="278"/>
      <c r="M17902" s="278"/>
      <c r="O17902" s="247"/>
      <c r="AC17902" s="247"/>
      <c r="AT17902" s="247"/>
    </row>
    <row r="17903">
      <c r="C17903" s="278"/>
      <c r="M17903" s="278"/>
      <c r="O17903" s="247"/>
      <c r="AC17903" s="247"/>
      <c r="AT17903" s="247"/>
    </row>
    <row r="17904">
      <c r="C17904" s="278"/>
      <c r="M17904" s="278"/>
      <c r="O17904" s="247"/>
      <c r="AC17904" s="247"/>
      <c r="AT17904" s="247"/>
    </row>
    <row r="17905">
      <c r="C17905" s="278"/>
      <c r="M17905" s="278"/>
      <c r="O17905" s="247"/>
      <c r="AC17905" s="247"/>
      <c r="AT17905" s="247"/>
    </row>
    <row r="17906">
      <c r="C17906" s="278"/>
      <c r="M17906" s="278"/>
      <c r="O17906" s="247"/>
      <c r="AC17906" s="247"/>
      <c r="AT17906" s="247"/>
    </row>
    <row r="17907">
      <c r="C17907" s="278"/>
      <c r="M17907" s="278"/>
      <c r="O17907" s="247"/>
      <c r="AC17907" s="247"/>
      <c r="AT17907" s="247"/>
    </row>
    <row r="17908">
      <c r="C17908" s="278"/>
      <c r="M17908" s="278"/>
      <c r="O17908" s="247"/>
      <c r="AC17908" s="247"/>
      <c r="AT17908" s="247"/>
    </row>
    <row r="17909">
      <c r="C17909" s="278"/>
      <c r="M17909" s="278"/>
      <c r="O17909" s="247"/>
      <c r="AC17909" s="247"/>
      <c r="AT17909" s="247"/>
    </row>
    <row r="17910">
      <c r="C17910" s="278"/>
      <c r="M17910" s="278"/>
      <c r="O17910" s="247"/>
      <c r="AC17910" s="247"/>
      <c r="AT17910" s="247"/>
    </row>
    <row r="17911">
      <c r="C17911" s="278"/>
      <c r="M17911" s="278"/>
      <c r="O17911" s="247"/>
      <c r="AC17911" s="247"/>
      <c r="AT17911" s="247"/>
    </row>
    <row r="17912">
      <c r="C17912" s="278"/>
      <c r="M17912" s="278"/>
      <c r="O17912" s="247"/>
      <c r="AC17912" s="247"/>
      <c r="AT17912" s="247"/>
    </row>
    <row r="17913">
      <c r="C17913" s="278"/>
      <c r="M17913" s="278"/>
      <c r="O17913" s="247"/>
      <c r="AC17913" s="247"/>
      <c r="AT17913" s="247"/>
    </row>
    <row r="17914">
      <c r="C17914" s="278"/>
      <c r="M17914" s="278"/>
      <c r="O17914" s="247"/>
      <c r="AC17914" s="247"/>
      <c r="AT17914" s="247"/>
    </row>
    <row r="17915">
      <c r="C17915" s="278"/>
      <c r="M17915" s="278"/>
      <c r="O17915" s="247"/>
      <c r="AC17915" s="247"/>
      <c r="AT17915" s="247"/>
    </row>
    <row r="17916">
      <c r="C17916" s="278"/>
      <c r="M17916" s="278"/>
      <c r="O17916" s="247"/>
      <c r="AC17916" s="247"/>
      <c r="AT17916" s="247"/>
    </row>
    <row r="17917">
      <c r="C17917" s="278"/>
      <c r="M17917" s="278"/>
      <c r="O17917" s="247"/>
      <c r="AC17917" s="247"/>
      <c r="AT17917" s="247"/>
    </row>
    <row r="17918">
      <c r="C17918" s="278"/>
      <c r="M17918" s="278"/>
      <c r="O17918" s="247"/>
      <c r="AC17918" s="247"/>
      <c r="AT17918" s="247"/>
    </row>
    <row r="17919">
      <c r="C17919" s="278"/>
      <c r="M17919" s="278"/>
      <c r="O17919" s="247"/>
      <c r="AC17919" s="247"/>
      <c r="AT17919" s="247"/>
    </row>
    <row r="17920">
      <c r="C17920" s="278"/>
      <c r="M17920" s="278"/>
      <c r="O17920" s="247"/>
      <c r="AC17920" s="247"/>
      <c r="AT17920" s="247"/>
    </row>
    <row r="17921">
      <c r="C17921" s="278"/>
      <c r="M17921" s="278"/>
      <c r="O17921" s="247"/>
      <c r="AC17921" s="247"/>
      <c r="AT17921" s="247"/>
    </row>
    <row r="17922">
      <c r="C17922" s="278"/>
      <c r="M17922" s="278"/>
      <c r="O17922" s="247"/>
      <c r="AC17922" s="247"/>
      <c r="AT17922" s="247"/>
    </row>
    <row r="17923">
      <c r="C17923" s="278"/>
      <c r="M17923" s="278"/>
      <c r="O17923" s="247"/>
      <c r="AC17923" s="247"/>
      <c r="AT17923" s="247"/>
    </row>
    <row r="17924">
      <c r="C17924" s="278"/>
      <c r="M17924" s="278"/>
      <c r="O17924" s="247"/>
      <c r="AC17924" s="247"/>
      <c r="AT17924" s="247"/>
    </row>
    <row r="17925">
      <c r="C17925" s="278"/>
      <c r="M17925" s="278"/>
      <c r="O17925" s="247"/>
      <c r="AC17925" s="247"/>
      <c r="AT17925" s="247"/>
    </row>
    <row r="17926">
      <c r="C17926" s="278"/>
      <c r="M17926" s="278"/>
      <c r="O17926" s="247"/>
      <c r="AC17926" s="247"/>
      <c r="AT17926" s="247"/>
    </row>
    <row r="17927">
      <c r="C17927" s="278"/>
      <c r="M17927" s="278"/>
      <c r="O17927" s="247"/>
      <c r="AC17927" s="247"/>
      <c r="AT17927" s="247"/>
    </row>
    <row r="17928">
      <c r="C17928" s="278"/>
      <c r="M17928" s="278"/>
      <c r="O17928" s="247"/>
      <c r="AC17928" s="247"/>
      <c r="AT17928" s="247"/>
    </row>
    <row r="17929">
      <c r="C17929" s="278"/>
      <c r="M17929" s="278"/>
      <c r="O17929" s="247"/>
      <c r="AC17929" s="247"/>
      <c r="AT17929" s="247"/>
    </row>
    <row r="17930">
      <c r="C17930" s="278"/>
      <c r="M17930" s="278"/>
      <c r="O17930" s="247"/>
      <c r="AC17930" s="247"/>
      <c r="AT17930" s="247"/>
    </row>
    <row r="17931">
      <c r="C17931" s="278"/>
      <c r="M17931" s="278"/>
      <c r="O17931" s="247"/>
      <c r="AC17931" s="247"/>
      <c r="AT17931" s="247"/>
    </row>
    <row r="17932">
      <c r="C17932" s="278"/>
      <c r="M17932" s="278"/>
      <c r="O17932" s="247"/>
      <c r="AC17932" s="247"/>
      <c r="AT17932" s="247"/>
    </row>
    <row r="17933">
      <c r="C17933" s="278"/>
      <c r="M17933" s="278"/>
      <c r="O17933" s="247"/>
      <c r="AC17933" s="247"/>
      <c r="AT17933" s="247"/>
    </row>
    <row r="17934">
      <c r="C17934" s="278"/>
      <c r="M17934" s="278"/>
      <c r="O17934" s="247"/>
      <c r="AC17934" s="247"/>
      <c r="AT17934" s="247"/>
    </row>
    <row r="17935">
      <c r="C17935" s="278"/>
      <c r="M17935" s="278"/>
      <c r="O17935" s="247"/>
      <c r="AC17935" s="247"/>
      <c r="AT17935" s="247"/>
    </row>
    <row r="17936">
      <c r="C17936" s="278"/>
      <c r="M17936" s="278"/>
      <c r="O17936" s="247"/>
      <c r="AC17936" s="247"/>
      <c r="AT17936" s="247"/>
    </row>
    <row r="17937">
      <c r="C17937" s="278"/>
      <c r="M17937" s="278"/>
      <c r="O17937" s="247"/>
      <c r="AC17937" s="247"/>
      <c r="AT17937" s="247"/>
    </row>
    <row r="17938">
      <c r="C17938" s="278"/>
      <c r="M17938" s="278"/>
      <c r="O17938" s="247"/>
      <c r="AC17938" s="247"/>
      <c r="AT17938" s="247"/>
    </row>
    <row r="17939">
      <c r="C17939" s="278"/>
      <c r="M17939" s="278"/>
      <c r="O17939" s="247"/>
      <c r="AC17939" s="247"/>
      <c r="AT17939" s="247"/>
    </row>
    <row r="17940">
      <c r="C17940" s="278"/>
      <c r="M17940" s="278"/>
      <c r="O17940" s="247"/>
      <c r="AC17940" s="247"/>
      <c r="AT17940" s="247"/>
    </row>
    <row r="17941">
      <c r="C17941" s="278"/>
      <c r="M17941" s="278"/>
      <c r="O17941" s="247"/>
      <c r="AC17941" s="247"/>
      <c r="AT17941" s="247"/>
    </row>
    <row r="17942">
      <c r="C17942" s="278"/>
      <c r="M17942" s="278"/>
      <c r="O17942" s="247"/>
      <c r="AC17942" s="247"/>
      <c r="AT17942" s="247"/>
    </row>
    <row r="17943">
      <c r="C17943" s="278"/>
      <c r="M17943" s="278"/>
      <c r="O17943" s="247"/>
      <c r="AC17943" s="247"/>
      <c r="AT17943" s="247"/>
    </row>
    <row r="17944">
      <c r="C17944" s="278"/>
      <c r="M17944" s="278"/>
      <c r="O17944" s="247"/>
      <c r="AC17944" s="247"/>
      <c r="AT17944" s="247"/>
    </row>
    <row r="17945">
      <c r="C17945" s="278"/>
      <c r="M17945" s="278"/>
      <c r="O17945" s="247"/>
      <c r="AC17945" s="247"/>
      <c r="AT17945" s="247"/>
    </row>
    <row r="17946">
      <c r="C17946" s="278"/>
      <c r="M17946" s="278"/>
      <c r="O17946" s="247"/>
      <c r="AC17946" s="247"/>
      <c r="AT17946" s="247"/>
    </row>
    <row r="17947">
      <c r="C17947" s="278"/>
      <c r="M17947" s="278"/>
      <c r="O17947" s="247"/>
      <c r="AC17947" s="247"/>
      <c r="AT17947" s="247"/>
    </row>
    <row r="17948">
      <c r="C17948" s="278"/>
      <c r="M17948" s="278"/>
      <c r="O17948" s="247"/>
      <c r="AC17948" s="247"/>
      <c r="AT17948" s="247"/>
    </row>
    <row r="17949">
      <c r="C17949" s="278"/>
      <c r="M17949" s="278"/>
      <c r="O17949" s="247"/>
      <c r="AC17949" s="247"/>
      <c r="AT17949" s="247"/>
    </row>
    <row r="17950">
      <c r="C17950" s="278"/>
      <c r="M17950" s="278"/>
      <c r="O17950" s="247"/>
      <c r="AC17950" s="247"/>
      <c r="AT17950" s="247"/>
    </row>
    <row r="17951">
      <c r="C17951" s="278"/>
      <c r="M17951" s="278"/>
      <c r="O17951" s="247"/>
      <c r="AC17951" s="247"/>
      <c r="AT17951" s="247"/>
    </row>
    <row r="17952">
      <c r="C17952" s="278"/>
      <c r="M17952" s="278"/>
      <c r="O17952" s="247"/>
      <c r="AC17952" s="247"/>
      <c r="AT17952" s="247"/>
    </row>
    <row r="17953">
      <c r="C17953" s="278"/>
      <c r="M17953" s="278"/>
      <c r="O17953" s="247"/>
      <c r="AC17953" s="247"/>
      <c r="AT17953" s="247"/>
    </row>
    <row r="17954">
      <c r="C17954" s="278"/>
      <c r="M17954" s="278"/>
      <c r="O17954" s="247"/>
      <c r="AC17954" s="247"/>
      <c r="AT17954" s="247"/>
    </row>
    <row r="17955">
      <c r="C17955" s="278"/>
      <c r="M17955" s="278"/>
      <c r="O17955" s="247"/>
      <c r="AC17955" s="247"/>
      <c r="AT17955" s="247"/>
    </row>
    <row r="17956">
      <c r="C17956" s="278"/>
      <c r="M17956" s="278"/>
      <c r="O17956" s="247"/>
      <c r="AC17956" s="247"/>
      <c r="AT17956" s="247"/>
    </row>
    <row r="17957">
      <c r="C17957" s="278"/>
      <c r="M17957" s="278"/>
      <c r="O17957" s="247"/>
      <c r="AC17957" s="247"/>
      <c r="AT17957" s="247"/>
    </row>
    <row r="17958">
      <c r="C17958" s="278"/>
      <c r="M17958" s="278"/>
      <c r="O17958" s="247"/>
      <c r="AC17958" s="247"/>
      <c r="AT17958" s="247"/>
    </row>
    <row r="17959">
      <c r="C17959" s="277"/>
      <c r="M17959" s="278"/>
      <c r="O17959" s="247"/>
      <c r="AC17959" s="247"/>
      <c r="AT17959" s="247"/>
    </row>
    <row r="17960">
      <c r="C17960" s="278"/>
      <c r="M17960" s="278"/>
      <c r="O17960" s="247"/>
      <c r="AC17960" s="247"/>
      <c r="AT17960" s="247"/>
    </row>
    <row r="17961">
      <c r="C17961" s="278"/>
      <c r="M17961" s="278"/>
      <c r="O17961" s="247"/>
      <c r="AC17961" s="247"/>
      <c r="AT17961" s="247"/>
    </row>
    <row r="17962">
      <c r="C17962" s="278"/>
      <c r="M17962" s="278"/>
      <c r="O17962" s="247"/>
      <c r="AC17962" s="247"/>
      <c r="AT17962" s="247"/>
    </row>
    <row r="17963">
      <c r="C17963" s="278"/>
      <c r="M17963" s="278"/>
      <c r="O17963" s="247"/>
      <c r="AC17963" s="247"/>
      <c r="AT17963" s="247"/>
    </row>
    <row r="17964">
      <c r="C17964" s="278"/>
      <c r="M17964" s="278"/>
      <c r="O17964" s="247"/>
      <c r="AC17964" s="247"/>
      <c r="AT17964" s="247"/>
    </row>
    <row r="17965">
      <c r="C17965" s="278"/>
      <c r="M17965" s="278"/>
      <c r="O17965" s="247"/>
      <c r="AC17965" s="247"/>
      <c r="AT17965" s="247"/>
    </row>
    <row r="17966">
      <c r="C17966" s="278"/>
      <c r="M17966" s="278"/>
      <c r="O17966" s="247"/>
      <c r="AC17966" s="247"/>
      <c r="AT17966" s="247"/>
    </row>
    <row r="17967">
      <c r="C17967" s="278"/>
      <c r="M17967" s="278"/>
      <c r="O17967" s="247"/>
      <c r="AC17967" s="247"/>
      <c r="AT17967" s="247"/>
    </row>
    <row r="17968">
      <c r="C17968" s="278"/>
      <c r="M17968" s="278"/>
      <c r="O17968" s="247"/>
      <c r="AC17968" s="247"/>
      <c r="AT17968" s="247"/>
    </row>
    <row r="17969">
      <c r="C17969" s="278"/>
      <c r="M17969" s="278"/>
      <c r="O17969" s="247"/>
      <c r="AC17969" s="247"/>
      <c r="AT17969" s="247"/>
    </row>
    <row r="17970">
      <c r="C17970" s="278"/>
      <c r="M17970" s="278"/>
      <c r="O17970" s="247"/>
      <c r="AC17970" s="247"/>
      <c r="AT17970" s="247"/>
    </row>
    <row r="17971">
      <c r="C17971" s="278"/>
      <c r="M17971" s="278"/>
      <c r="O17971" s="247"/>
      <c r="AC17971" s="247"/>
      <c r="AT17971" s="247"/>
    </row>
    <row r="17972">
      <c r="C17972" s="278"/>
      <c r="M17972" s="278"/>
      <c r="O17972" s="247"/>
      <c r="AC17972" s="247"/>
      <c r="AT17972" s="247"/>
    </row>
    <row r="17973">
      <c r="C17973" s="278"/>
      <c r="M17973" s="278"/>
      <c r="O17973" s="247"/>
      <c r="AC17973" s="247"/>
      <c r="AT17973" s="247"/>
    </row>
    <row r="17974">
      <c r="C17974" s="278"/>
      <c r="M17974" s="278"/>
      <c r="O17974" s="247"/>
      <c r="AC17974" s="247"/>
      <c r="AT17974" s="247"/>
    </row>
    <row r="17975">
      <c r="C17975" s="278"/>
      <c r="M17975" s="278"/>
      <c r="O17975" s="247"/>
      <c r="AC17975" s="247"/>
      <c r="AT17975" s="247"/>
    </row>
    <row r="17976">
      <c r="C17976" s="278"/>
      <c r="M17976" s="278"/>
      <c r="O17976" s="247"/>
      <c r="AC17976" s="247"/>
      <c r="AT17976" s="247"/>
    </row>
    <row r="17977">
      <c r="C17977" s="278"/>
      <c r="M17977" s="278"/>
      <c r="O17977" s="247"/>
      <c r="AC17977" s="247"/>
      <c r="AT17977" s="247"/>
    </row>
    <row r="17978">
      <c r="C17978" s="278"/>
      <c r="M17978" s="278"/>
      <c r="O17978" s="247"/>
      <c r="AC17978" s="247"/>
      <c r="AT17978" s="247"/>
    </row>
    <row r="17979">
      <c r="C17979" s="278"/>
      <c r="M17979" s="278"/>
      <c r="O17979" s="247"/>
      <c r="AC17979" s="247"/>
      <c r="AT17979" s="247"/>
    </row>
    <row r="17980">
      <c r="C17980" s="278"/>
      <c r="M17980" s="278"/>
      <c r="O17980" s="247"/>
      <c r="AC17980" s="247"/>
      <c r="AT17980" s="247"/>
    </row>
    <row r="17981">
      <c r="C17981" s="278"/>
      <c r="M17981" s="278"/>
      <c r="O17981" s="247"/>
      <c r="AC17981" s="247"/>
      <c r="AT17981" s="247"/>
    </row>
    <row r="17982">
      <c r="C17982" s="278"/>
      <c r="M17982" s="278"/>
      <c r="O17982" s="247"/>
      <c r="AC17982" s="247"/>
      <c r="AT17982" s="247"/>
    </row>
    <row r="17983">
      <c r="C17983" s="278"/>
      <c r="M17983" s="278"/>
      <c r="O17983" s="247"/>
      <c r="AC17983" s="247"/>
      <c r="AT17983" s="247"/>
    </row>
    <row r="17984">
      <c r="C17984" s="278"/>
      <c r="M17984" s="278"/>
      <c r="O17984" s="247"/>
      <c r="AC17984" s="247"/>
      <c r="AT17984" s="247"/>
    </row>
    <row r="17985">
      <c r="C17985" s="278"/>
      <c r="M17985" s="278"/>
      <c r="O17985" s="247"/>
      <c r="AC17985" s="247"/>
      <c r="AT17985" s="247"/>
    </row>
    <row r="17986">
      <c r="C17986" s="278"/>
      <c r="M17986" s="278"/>
      <c r="O17986" s="247"/>
      <c r="AC17986" s="247"/>
      <c r="AT17986" s="247"/>
    </row>
    <row r="17987">
      <c r="C17987" s="278"/>
      <c r="M17987" s="278"/>
      <c r="O17987" s="247"/>
      <c r="AC17987" s="247"/>
      <c r="AT17987" s="247"/>
    </row>
    <row r="17988">
      <c r="C17988" s="278"/>
      <c r="M17988" s="278"/>
      <c r="O17988" s="247"/>
      <c r="AC17988" s="247"/>
      <c r="AT17988" s="247"/>
    </row>
    <row r="17989">
      <c r="C17989" s="278"/>
      <c r="M17989" s="278"/>
      <c r="O17989" s="247"/>
      <c r="AC17989" s="247"/>
      <c r="AT17989" s="247"/>
    </row>
    <row r="17990">
      <c r="C17990" s="278"/>
      <c r="M17990" s="278"/>
      <c r="O17990" s="247"/>
      <c r="AC17990" s="247"/>
      <c r="AT17990" s="247"/>
    </row>
    <row r="17991">
      <c r="C17991" s="278"/>
      <c r="M17991" s="278"/>
      <c r="O17991" s="247"/>
      <c r="AC17991" s="247"/>
      <c r="AT17991" s="247"/>
    </row>
    <row r="17992">
      <c r="C17992" s="278"/>
      <c r="M17992" s="278"/>
      <c r="O17992" s="247"/>
      <c r="AC17992" s="247"/>
      <c r="AT17992" s="247"/>
    </row>
    <row r="17993">
      <c r="C17993" s="278"/>
      <c r="M17993" s="278"/>
      <c r="O17993" s="247"/>
      <c r="AC17993" s="247"/>
      <c r="AT17993" s="247"/>
    </row>
    <row r="17994">
      <c r="C17994" s="278"/>
      <c r="M17994" s="278"/>
      <c r="O17994" s="247"/>
      <c r="AC17994" s="247"/>
      <c r="AT17994" s="247"/>
    </row>
    <row r="17995">
      <c r="C17995" s="278"/>
      <c r="M17995" s="278"/>
      <c r="O17995" s="247"/>
      <c r="AC17995" s="247"/>
      <c r="AT17995" s="247"/>
    </row>
    <row r="17996">
      <c r="C17996" s="278"/>
      <c r="M17996" s="278"/>
      <c r="O17996" s="247"/>
      <c r="AC17996" s="247"/>
      <c r="AT17996" s="247"/>
    </row>
    <row r="17997">
      <c r="C17997" s="278"/>
      <c r="M17997" s="278"/>
      <c r="O17997" s="247"/>
      <c r="AC17997" s="247"/>
      <c r="AT17997" s="247"/>
    </row>
    <row r="17998">
      <c r="C17998" s="278"/>
      <c r="M17998" s="278"/>
      <c r="O17998" s="247"/>
      <c r="AC17998" s="247"/>
      <c r="AT17998" s="247"/>
    </row>
    <row r="17999">
      <c r="C17999" s="278"/>
      <c r="M17999" s="278"/>
      <c r="O17999" s="247"/>
      <c r="AC17999" s="247"/>
      <c r="AT17999" s="247"/>
    </row>
    <row r="18000">
      <c r="C18000" s="278"/>
      <c r="M18000" s="278"/>
      <c r="O18000" s="247"/>
      <c r="AC18000" s="247"/>
      <c r="AT18000" s="247"/>
    </row>
    <row r="18001">
      <c r="C18001" s="278"/>
      <c r="M18001" s="278"/>
      <c r="O18001" s="247"/>
      <c r="AC18001" s="247"/>
      <c r="AT18001" s="247"/>
    </row>
    <row r="18002">
      <c r="C18002" s="278"/>
      <c r="M18002" s="278"/>
      <c r="O18002" s="247"/>
      <c r="AC18002" s="247"/>
      <c r="AT18002" s="247"/>
    </row>
    <row r="18003">
      <c r="C18003" s="278"/>
      <c r="M18003" s="278"/>
      <c r="O18003" s="247"/>
      <c r="AC18003" s="247"/>
      <c r="AT18003" s="247"/>
    </row>
    <row r="18004">
      <c r="C18004" s="278"/>
      <c r="M18004" s="278"/>
      <c r="O18004" s="247"/>
      <c r="AC18004" s="247"/>
      <c r="AT18004" s="247"/>
    </row>
    <row r="18005">
      <c r="C18005" s="278"/>
      <c r="M18005" s="278"/>
      <c r="O18005" s="247"/>
      <c r="AC18005" s="247"/>
      <c r="AT18005" s="247"/>
    </row>
    <row r="18006">
      <c r="C18006" s="278"/>
      <c r="M18006" s="278"/>
      <c r="O18006" s="247"/>
      <c r="AC18006" s="247"/>
      <c r="AT18006" s="247"/>
    </row>
    <row r="18007">
      <c r="C18007" s="278"/>
      <c r="M18007" s="278"/>
      <c r="O18007" s="247"/>
      <c r="AC18007" s="247"/>
      <c r="AT18007" s="247"/>
    </row>
    <row r="18008">
      <c r="C18008" s="278"/>
      <c r="M18008" s="278"/>
      <c r="O18008" s="247"/>
      <c r="AC18008" s="247"/>
      <c r="AT18008" s="247"/>
    </row>
    <row r="18009">
      <c r="C18009" s="278"/>
      <c r="M18009" s="278"/>
      <c r="O18009" s="247"/>
      <c r="AC18009" s="247"/>
      <c r="AT18009" s="247"/>
    </row>
    <row r="18010">
      <c r="C18010" s="278"/>
      <c r="M18010" s="278"/>
      <c r="O18010" s="247"/>
      <c r="AC18010" s="247"/>
      <c r="AT18010" s="247"/>
    </row>
    <row r="18011">
      <c r="C18011" s="277"/>
      <c r="M18011" s="278"/>
      <c r="O18011" s="247"/>
      <c r="AC18011" s="247"/>
      <c r="AT18011" s="247"/>
    </row>
    <row r="18012">
      <c r="C18012" s="278"/>
      <c r="M18012" s="278"/>
      <c r="O18012" s="247"/>
      <c r="AC18012" s="247"/>
      <c r="AT18012" s="247"/>
    </row>
    <row r="18013">
      <c r="C18013" s="278"/>
      <c r="M18013" s="278"/>
      <c r="O18013" s="247"/>
      <c r="AC18013" s="247"/>
      <c r="AT18013" s="247"/>
    </row>
    <row r="18014">
      <c r="C18014" s="278"/>
      <c r="M18014" s="278"/>
      <c r="O18014" s="247"/>
      <c r="AC18014" s="247"/>
      <c r="AT18014" s="247"/>
    </row>
    <row r="18015">
      <c r="C18015" s="278"/>
      <c r="M18015" s="278"/>
      <c r="O18015" s="247"/>
      <c r="AC18015" s="247"/>
      <c r="AT18015" s="247"/>
    </row>
    <row r="18016">
      <c r="C18016" s="278"/>
      <c r="M18016" s="278"/>
      <c r="O18016" s="247"/>
      <c r="AC18016" s="247"/>
      <c r="AT18016" s="247"/>
    </row>
    <row r="18017">
      <c r="C18017" s="278"/>
      <c r="M18017" s="278"/>
      <c r="O18017" s="247"/>
      <c r="AC18017" s="247"/>
      <c r="AT18017" s="247"/>
    </row>
    <row r="18018">
      <c r="C18018" s="278"/>
      <c r="M18018" s="278"/>
      <c r="O18018" s="247"/>
      <c r="AC18018" s="247"/>
      <c r="AT18018" s="247"/>
    </row>
    <row r="18019">
      <c r="C18019" s="278"/>
      <c r="M18019" s="278"/>
      <c r="O18019" s="247"/>
      <c r="AC18019" s="247"/>
      <c r="AT18019" s="247"/>
    </row>
    <row r="18020">
      <c r="C18020" s="278"/>
      <c r="M18020" s="278"/>
      <c r="O18020" s="247"/>
      <c r="AC18020" s="247"/>
      <c r="AT18020" s="247"/>
    </row>
    <row r="18021">
      <c r="C18021" s="278"/>
      <c r="M18021" s="278"/>
      <c r="O18021" s="247"/>
      <c r="AC18021" s="247"/>
      <c r="AT18021" s="247"/>
    </row>
    <row r="18022">
      <c r="C18022" s="278"/>
      <c r="M18022" s="278"/>
      <c r="O18022" s="247"/>
      <c r="AC18022" s="247"/>
      <c r="AT18022" s="247"/>
    </row>
    <row r="18023">
      <c r="C18023" s="278"/>
      <c r="M18023" s="278"/>
      <c r="O18023" s="247"/>
      <c r="AC18023" s="247"/>
      <c r="AT18023" s="247"/>
    </row>
    <row r="18024">
      <c r="C18024" s="278"/>
      <c r="M18024" s="278"/>
      <c r="O18024" s="247"/>
      <c r="AC18024" s="247"/>
      <c r="AT18024" s="247"/>
    </row>
    <row r="18025">
      <c r="C18025" s="278"/>
      <c r="M18025" s="278"/>
      <c r="O18025" s="247"/>
      <c r="AC18025" s="247"/>
      <c r="AT18025" s="247"/>
    </row>
    <row r="18026">
      <c r="C18026" s="278"/>
      <c r="M18026" s="278"/>
      <c r="O18026" s="247"/>
      <c r="AC18026" s="247"/>
      <c r="AT18026" s="247"/>
    </row>
    <row r="18027">
      <c r="C18027" s="277"/>
      <c r="M18027" s="278"/>
      <c r="O18027" s="247"/>
      <c r="AC18027" s="247"/>
      <c r="AT18027" s="247"/>
    </row>
    <row r="18028">
      <c r="C18028" s="278"/>
      <c r="M18028" s="278"/>
      <c r="O18028" s="247"/>
      <c r="AC18028" s="247"/>
      <c r="AT18028" s="247"/>
    </row>
    <row r="18029">
      <c r="C18029" s="278"/>
      <c r="M18029" s="278"/>
      <c r="O18029" s="247"/>
      <c r="AC18029" s="247"/>
      <c r="AT18029" s="247"/>
    </row>
    <row r="18030">
      <c r="C18030" s="278"/>
      <c r="M18030" s="278"/>
      <c r="O18030" s="247"/>
      <c r="AC18030" s="247"/>
      <c r="AT18030" s="247"/>
    </row>
    <row r="18031">
      <c r="C18031" s="278"/>
      <c r="M18031" s="278"/>
      <c r="O18031" s="247"/>
      <c r="AC18031" s="247"/>
      <c r="AT18031" s="247"/>
    </row>
    <row r="18032">
      <c r="C18032" s="278"/>
      <c r="M18032" s="278"/>
      <c r="O18032" s="247"/>
      <c r="AC18032" s="247"/>
      <c r="AT18032" s="247"/>
    </row>
    <row r="18033">
      <c r="C18033" s="278"/>
      <c r="M18033" s="278"/>
      <c r="O18033" s="247"/>
      <c r="AC18033" s="247"/>
      <c r="AT18033" s="247"/>
    </row>
    <row r="18034">
      <c r="C18034" s="278"/>
      <c r="M18034" s="278"/>
      <c r="O18034" s="247"/>
      <c r="AC18034" s="247"/>
      <c r="AT18034" s="247"/>
    </row>
    <row r="18035">
      <c r="C18035" s="278"/>
      <c r="M18035" s="278"/>
      <c r="O18035" s="247"/>
      <c r="AC18035" s="247"/>
      <c r="AT18035" s="247"/>
    </row>
    <row r="18036">
      <c r="C18036" s="278"/>
      <c r="M18036" s="278"/>
      <c r="O18036" s="247"/>
      <c r="AC18036" s="247"/>
      <c r="AT18036" s="247"/>
    </row>
    <row r="18037">
      <c r="C18037" s="278"/>
      <c r="M18037" s="278"/>
      <c r="O18037" s="247"/>
      <c r="AC18037" s="247"/>
      <c r="AT18037" s="247"/>
    </row>
    <row r="18038">
      <c r="C18038" s="278"/>
      <c r="M18038" s="278"/>
      <c r="O18038" s="247"/>
      <c r="AC18038" s="247"/>
      <c r="AT18038" s="247"/>
    </row>
    <row r="18039">
      <c r="C18039" s="278"/>
      <c r="M18039" s="278"/>
      <c r="O18039" s="247"/>
      <c r="AC18039" s="247"/>
      <c r="AT18039" s="247"/>
    </row>
    <row r="18040">
      <c r="C18040" s="278"/>
      <c r="M18040" s="278"/>
      <c r="O18040" s="247"/>
      <c r="AC18040" s="247"/>
      <c r="AT18040" s="247"/>
    </row>
    <row r="18041">
      <c r="C18041" s="278"/>
      <c r="M18041" s="278"/>
      <c r="O18041" s="247"/>
      <c r="AC18041" s="247"/>
      <c r="AT18041" s="247"/>
    </row>
    <row r="18042">
      <c r="C18042" s="278"/>
      <c r="M18042" s="278"/>
      <c r="O18042" s="247"/>
      <c r="AC18042" s="247"/>
      <c r="AT18042" s="247"/>
    </row>
    <row r="18043">
      <c r="C18043" s="278"/>
      <c r="M18043" s="278"/>
      <c r="O18043" s="247"/>
      <c r="AC18043" s="247"/>
      <c r="AT18043" s="247"/>
    </row>
    <row r="18044">
      <c r="C18044" s="278"/>
      <c r="M18044" s="278"/>
      <c r="O18044" s="247"/>
      <c r="AC18044" s="247"/>
      <c r="AT18044" s="247"/>
    </row>
    <row r="18045">
      <c r="C18045" s="278"/>
      <c r="M18045" s="278"/>
      <c r="O18045" s="247"/>
      <c r="AC18045" s="247"/>
      <c r="AT18045" s="247"/>
    </row>
    <row r="18046">
      <c r="C18046" s="278"/>
      <c r="M18046" s="278"/>
      <c r="O18046" s="247"/>
      <c r="AC18046" s="247"/>
      <c r="AT18046" s="247"/>
    </row>
    <row r="18047">
      <c r="C18047" s="278"/>
      <c r="M18047" s="278"/>
      <c r="O18047" s="247"/>
      <c r="AC18047" s="247"/>
      <c r="AT18047" s="247"/>
    </row>
    <row r="18048">
      <c r="C18048" s="278"/>
      <c r="M18048" s="278"/>
      <c r="O18048" s="247"/>
      <c r="AC18048" s="247"/>
      <c r="AT18048" s="247"/>
    </row>
    <row r="18049">
      <c r="C18049" s="278"/>
      <c r="M18049" s="278"/>
      <c r="O18049" s="247"/>
      <c r="AC18049" s="247"/>
      <c r="AT18049" s="247"/>
    </row>
    <row r="18050">
      <c r="C18050" s="278"/>
      <c r="M18050" s="278"/>
      <c r="O18050" s="247"/>
      <c r="AC18050" s="247"/>
      <c r="AT18050" s="247"/>
    </row>
    <row r="18051">
      <c r="C18051" s="278"/>
      <c r="M18051" s="278"/>
      <c r="O18051" s="247"/>
      <c r="AC18051" s="247"/>
      <c r="AT18051" s="247"/>
    </row>
    <row r="18052">
      <c r="C18052" s="278"/>
      <c r="M18052" s="278"/>
      <c r="O18052" s="247"/>
      <c r="AC18052" s="247"/>
      <c r="AT18052" s="247"/>
    </row>
    <row r="18053">
      <c r="C18053" s="278"/>
      <c r="M18053" s="278"/>
      <c r="O18053" s="247"/>
      <c r="AC18053" s="247"/>
      <c r="AT18053" s="247"/>
    </row>
    <row r="18054">
      <c r="C18054" s="278"/>
      <c r="M18054" s="278"/>
      <c r="O18054" s="247"/>
      <c r="AC18054" s="247"/>
      <c r="AT18054" s="247"/>
    </row>
    <row r="18055">
      <c r="C18055" s="278"/>
      <c r="M18055" s="278"/>
      <c r="O18055" s="247"/>
      <c r="AC18055" s="247"/>
      <c r="AT18055" s="247"/>
    </row>
    <row r="18056">
      <c r="C18056" s="278"/>
      <c r="M18056" s="278"/>
      <c r="O18056" s="247"/>
      <c r="AC18056" s="247"/>
      <c r="AT18056" s="247"/>
    </row>
    <row r="18057">
      <c r="C18057" s="278"/>
      <c r="M18057" s="278"/>
      <c r="O18057" s="247"/>
      <c r="AC18057" s="247"/>
      <c r="AT18057" s="247"/>
    </row>
    <row r="18058">
      <c r="C18058" s="278"/>
      <c r="M18058" s="278"/>
      <c r="O18058" s="247"/>
      <c r="AC18058" s="247"/>
      <c r="AT18058" s="247"/>
    </row>
    <row r="18059">
      <c r="C18059" s="278"/>
      <c r="M18059" s="278"/>
      <c r="O18059" s="247"/>
      <c r="AC18059" s="247"/>
      <c r="AT18059" s="247"/>
    </row>
    <row r="18060">
      <c r="C18060" s="278"/>
      <c r="M18060" s="278"/>
      <c r="O18060" s="247"/>
      <c r="AC18060" s="247"/>
      <c r="AT18060" s="247"/>
    </row>
    <row r="18061">
      <c r="C18061" s="278"/>
      <c r="M18061" s="278"/>
      <c r="O18061" s="247"/>
      <c r="AC18061" s="247"/>
      <c r="AT18061" s="247"/>
    </row>
    <row r="18062">
      <c r="C18062" s="278"/>
      <c r="M18062" s="278"/>
      <c r="O18062" s="247"/>
      <c r="AC18062" s="247"/>
      <c r="AT18062" s="247"/>
    </row>
    <row r="18063">
      <c r="C18063" s="278"/>
      <c r="M18063" s="278"/>
      <c r="O18063" s="247"/>
      <c r="AC18063" s="247"/>
      <c r="AT18063" s="247"/>
    </row>
    <row r="18064">
      <c r="C18064" s="278"/>
      <c r="M18064" s="278"/>
      <c r="O18064" s="247"/>
      <c r="AC18064" s="247"/>
      <c r="AT18064" s="247"/>
    </row>
    <row r="18065">
      <c r="C18065" s="278"/>
      <c r="M18065" s="278"/>
      <c r="O18065" s="247"/>
      <c r="AC18065" s="247"/>
      <c r="AT18065" s="247"/>
    </row>
    <row r="18066">
      <c r="C18066" s="278"/>
      <c r="M18066" s="278"/>
      <c r="O18066" s="247"/>
      <c r="AC18066" s="247"/>
      <c r="AT18066" s="247"/>
    </row>
    <row r="18067">
      <c r="C18067" s="278"/>
      <c r="M18067" s="278"/>
      <c r="O18067" s="247"/>
      <c r="AC18067" s="247"/>
      <c r="AT18067" s="247"/>
    </row>
    <row r="18068">
      <c r="C18068" s="278"/>
      <c r="M18068" s="278"/>
      <c r="O18068" s="247"/>
      <c r="AC18068" s="247"/>
      <c r="AT18068" s="247"/>
    </row>
    <row r="18069">
      <c r="C18069" s="278"/>
      <c r="M18069" s="278"/>
      <c r="O18069" s="247"/>
      <c r="AC18069" s="247"/>
      <c r="AT18069" s="247"/>
    </row>
    <row r="18070">
      <c r="C18070" s="278"/>
      <c r="M18070" s="278"/>
      <c r="O18070" s="247"/>
      <c r="AC18070" s="247"/>
      <c r="AT18070" s="247"/>
    </row>
    <row r="18071">
      <c r="C18071" s="278"/>
      <c r="M18071" s="278"/>
      <c r="O18071" s="247"/>
      <c r="AC18071" s="247"/>
      <c r="AT18071" s="247"/>
    </row>
    <row r="18072">
      <c r="C18072" s="278"/>
      <c r="M18072" s="278"/>
      <c r="O18072" s="247"/>
      <c r="AC18072" s="247"/>
      <c r="AT18072" s="247"/>
    </row>
    <row r="18073">
      <c r="C18073" s="278"/>
      <c r="M18073" s="278"/>
      <c r="O18073" s="247"/>
      <c r="AC18073" s="247"/>
      <c r="AT18073" s="247"/>
    </row>
    <row r="18074">
      <c r="C18074" s="278"/>
      <c r="M18074" s="278"/>
      <c r="O18074" s="247"/>
      <c r="AC18074" s="247"/>
      <c r="AT18074" s="247"/>
    </row>
    <row r="18075">
      <c r="C18075" s="278"/>
      <c r="M18075" s="278"/>
      <c r="O18075" s="247"/>
      <c r="AC18075" s="247"/>
      <c r="AT18075" s="247"/>
    </row>
    <row r="18076">
      <c r="C18076" s="278"/>
      <c r="M18076" s="278"/>
      <c r="O18076" s="247"/>
      <c r="AC18076" s="247"/>
      <c r="AT18076" s="247"/>
    </row>
    <row r="18077">
      <c r="C18077" s="278"/>
      <c r="M18077" s="278"/>
      <c r="O18077" s="247"/>
      <c r="AC18077" s="247"/>
      <c r="AT18077" s="247"/>
    </row>
    <row r="18078">
      <c r="C18078" s="278"/>
      <c r="M18078" s="278"/>
      <c r="O18078" s="247"/>
      <c r="AC18078" s="247"/>
      <c r="AT18078" s="247"/>
    </row>
    <row r="18079">
      <c r="C18079" s="278"/>
      <c r="M18079" s="278"/>
      <c r="O18079" s="247"/>
      <c r="AC18079" s="247"/>
      <c r="AT18079" s="247"/>
    </row>
    <row r="18080">
      <c r="C18080" s="278"/>
      <c r="M18080" s="278"/>
      <c r="O18080" s="247"/>
      <c r="AC18080" s="247"/>
      <c r="AT18080" s="247"/>
    </row>
    <row r="18081">
      <c r="C18081" s="278"/>
      <c r="M18081" s="278"/>
      <c r="O18081" s="247"/>
      <c r="AC18081" s="247"/>
      <c r="AT18081" s="247"/>
    </row>
    <row r="18082">
      <c r="C18082" s="278"/>
      <c r="M18082" s="278"/>
      <c r="O18082" s="247"/>
      <c r="AC18082" s="247"/>
      <c r="AT18082" s="247"/>
    </row>
    <row r="18083">
      <c r="C18083" s="278"/>
      <c r="M18083" s="278"/>
      <c r="O18083" s="247"/>
      <c r="AC18083" s="247"/>
      <c r="AT18083" s="247"/>
    </row>
    <row r="18084">
      <c r="C18084" s="278"/>
      <c r="M18084" s="278"/>
      <c r="O18084" s="247"/>
      <c r="AC18084" s="247"/>
      <c r="AT18084" s="247"/>
    </row>
    <row r="18085">
      <c r="C18085" s="278"/>
      <c r="M18085" s="278"/>
      <c r="O18085" s="247"/>
      <c r="AC18085" s="247"/>
      <c r="AT18085" s="247"/>
    </row>
    <row r="18086">
      <c r="C18086" s="277"/>
      <c r="M18086" s="278"/>
      <c r="O18086" s="247"/>
      <c r="AC18086" s="247"/>
      <c r="AT18086" s="247"/>
    </row>
    <row r="18087">
      <c r="C18087" s="277"/>
      <c r="M18087" s="278"/>
      <c r="O18087" s="247"/>
      <c r="AC18087" s="247"/>
      <c r="AT18087" s="247"/>
    </row>
    <row r="18088">
      <c r="C18088" s="277"/>
      <c r="M18088" s="278"/>
      <c r="O18088" s="247"/>
      <c r="AC18088" s="247"/>
      <c r="AT18088" s="247"/>
    </row>
    <row r="18089">
      <c r="C18089" s="277"/>
      <c r="M18089" s="278"/>
      <c r="O18089" s="247"/>
      <c r="AC18089" s="247"/>
      <c r="AT18089" s="247"/>
    </row>
    <row r="18090">
      <c r="C18090" s="277"/>
      <c r="M18090" s="278"/>
      <c r="O18090" s="247"/>
      <c r="AC18090" s="247"/>
      <c r="AT18090" s="247"/>
    </row>
    <row r="18091">
      <c r="C18091" s="277"/>
      <c r="M18091" s="278"/>
      <c r="O18091" s="247"/>
      <c r="AC18091" s="247"/>
      <c r="AT18091" s="247"/>
    </row>
    <row r="18092">
      <c r="C18092" s="277"/>
      <c r="M18092" s="278"/>
      <c r="O18092" s="247"/>
      <c r="AC18092" s="247"/>
      <c r="AT18092" s="247"/>
    </row>
    <row r="18093">
      <c r="C18093" s="277"/>
      <c r="M18093" s="278"/>
      <c r="O18093" s="247"/>
      <c r="AC18093" s="247"/>
      <c r="AT18093" s="247"/>
    </row>
    <row r="18094">
      <c r="C18094" s="277"/>
      <c r="M18094" s="278"/>
      <c r="O18094" s="247"/>
      <c r="AC18094" s="247"/>
      <c r="AT18094" s="247"/>
    </row>
    <row r="18095">
      <c r="C18095" s="277"/>
      <c r="M18095" s="278"/>
      <c r="O18095" s="247"/>
      <c r="AC18095" s="247"/>
      <c r="AT18095" s="247"/>
    </row>
    <row r="18096">
      <c r="C18096" s="277"/>
      <c r="M18096" s="278"/>
      <c r="O18096" s="247"/>
      <c r="AC18096" s="247"/>
      <c r="AT18096" s="247"/>
    </row>
    <row r="18097">
      <c r="C18097" s="277"/>
      <c r="M18097" s="278"/>
      <c r="O18097" s="247"/>
      <c r="AC18097" s="247"/>
      <c r="AT18097" s="247"/>
    </row>
    <row r="18098">
      <c r="C18098" s="277"/>
      <c r="M18098" s="278"/>
      <c r="O18098" s="247"/>
      <c r="AC18098" s="247"/>
      <c r="AT18098" s="247"/>
    </row>
    <row r="18099">
      <c r="C18099" s="277"/>
      <c r="M18099" s="278"/>
      <c r="O18099" s="247"/>
      <c r="AC18099" s="247"/>
      <c r="AT18099" s="247"/>
    </row>
    <row r="18100">
      <c r="C18100" s="277"/>
      <c r="M18100" s="278"/>
      <c r="O18100" s="247"/>
      <c r="AC18100" s="247"/>
      <c r="AT18100" s="247"/>
    </row>
    <row r="18101">
      <c r="C18101" s="277"/>
      <c r="M18101" s="278"/>
      <c r="O18101" s="247"/>
      <c r="AC18101" s="247"/>
      <c r="AT18101" s="247"/>
    </row>
    <row r="18102">
      <c r="C18102" s="277"/>
      <c r="M18102" s="278"/>
      <c r="O18102" s="247"/>
      <c r="AC18102" s="247"/>
      <c r="AT18102" s="247"/>
    </row>
    <row r="18103">
      <c r="C18103" s="277"/>
      <c r="M18103" s="278"/>
      <c r="O18103" s="247"/>
      <c r="AC18103" s="247"/>
      <c r="AT18103" s="247"/>
    </row>
    <row r="18104">
      <c r="C18104" s="277"/>
      <c r="M18104" s="278"/>
      <c r="O18104" s="247"/>
      <c r="AC18104" s="247"/>
      <c r="AT18104" s="247"/>
    </row>
    <row r="18105">
      <c r="C18105" s="277"/>
      <c r="M18105" s="278"/>
      <c r="O18105" s="247"/>
      <c r="AC18105" s="247"/>
      <c r="AT18105" s="247"/>
    </row>
    <row r="18106">
      <c r="C18106" s="277"/>
      <c r="M18106" s="278"/>
      <c r="O18106" s="247"/>
      <c r="AC18106" s="247"/>
      <c r="AT18106" s="247"/>
    </row>
    <row r="18107">
      <c r="C18107" s="277"/>
      <c r="M18107" s="278"/>
      <c r="O18107" s="247"/>
      <c r="AC18107" s="247"/>
      <c r="AT18107" s="247"/>
    </row>
    <row r="18108">
      <c r="C18108" s="277"/>
      <c r="M18108" s="278"/>
      <c r="O18108" s="247"/>
      <c r="AC18108" s="247"/>
      <c r="AT18108" s="247"/>
    </row>
    <row r="18109">
      <c r="C18109" s="277"/>
      <c r="M18109" s="278"/>
      <c r="O18109" s="247"/>
      <c r="AC18109" s="247"/>
      <c r="AT18109" s="247"/>
    </row>
    <row r="18110">
      <c r="C18110" s="277"/>
      <c r="M18110" s="278"/>
      <c r="O18110" s="247"/>
      <c r="AC18110" s="247"/>
      <c r="AT18110" s="247"/>
    </row>
    <row r="18111">
      <c r="C18111" s="277"/>
      <c r="M18111" s="278"/>
      <c r="O18111" s="247"/>
      <c r="AC18111" s="247"/>
      <c r="AT18111" s="247"/>
    </row>
    <row r="18112">
      <c r="C18112" s="277"/>
      <c r="M18112" s="278"/>
      <c r="O18112" s="247"/>
      <c r="AC18112" s="247"/>
      <c r="AT18112" s="247"/>
    </row>
    <row r="18113">
      <c r="C18113" s="277"/>
      <c r="M18113" s="278"/>
      <c r="O18113" s="247"/>
      <c r="AC18113" s="247"/>
      <c r="AT18113" s="247"/>
    </row>
    <row r="18114">
      <c r="C18114" s="277"/>
      <c r="M18114" s="278"/>
      <c r="O18114" s="247"/>
      <c r="AC18114" s="247"/>
      <c r="AT18114" s="247"/>
    </row>
    <row r="18115">
      <c r="C18115" s="277"/>
      <c r="M18115" s="278"/>
      <c r="O18115" s="247"/>
      <c r="AC18115" s="247"/>
      <c r="AT18115" s="247"/>
    </row>
    <row r="18116">
      <c r="C18116" s="277"/>
      <c r="M18116" s="278"/>
      <c r="O18116" s="247"/>
      <c r="AC18116" s="247"/>
      <c r="AT18116" s="247"/>
    </row>
    <row r="18117">
      <c r="C18117" s="277"/>
      <c r="M18117" s="278"/>
      <c r="O18117" s="247"/>
      <c r="AC18117" s="247"/>
      <c r="AT18117" s="247"/>
    </row>
    <row r="18118">
      <c r="C18118" s="277"/>
      <c r="M18118" s="278"/>
      <c r="O18118" s="247"/>
      <c r="AC18118" s="247"/>
      <c r="AT18118" s="247"/>
    </row>
    <row r="18119">
      <c r="C18119" s="277"/>
      <c r="M18119" s="278"/>
      <c r="O18119" s="247"/>
      <c r="AC18119" s="247"/>
      <c r="AT18119" s="247"/>
    </row>
    <row r="18120">
      <c r="C18120" s="277"/>
      <c r="M18120" s="278"/>
      <c r="O18120" s="247"/>
      <c r="AC18120" s="247"/>
      <c r="AT18120" s="247"/>
    </row>
    <row r="18121">
      <c r="C18121" s="277"/>
      <c r="M18121" s="278"/>
      <c r="O18121" s="247"/>
      <c r="AC18121" s="247"/>
      <c r="AT18121" s="247"/>
    </row>
    <row r="18122">
      <c r="C18122" s="277"/>
      <c r="M18122" s="278"/>
      <c r="O18122" s="247"/>
      <c r="AC18122" s="247"/>
      <c r="AT18122" s="247"/>
    </row>
    <row r="18123">
      <c r="C18123" s="277"/>
      <c r="M18123" s="278"/>
      <c r="O18123" s="247"/>
      <c r="AC18123" s="247"/>
      <c r="AT18123" s="247"/>
    </row>
    <row r="18124">
      <c r="C18124" s="277"/>
      <c r="M18124" s="278"/>
      <c r="O18124" s="247"/>
      <c r="AC18124" s="247"/>
      <c r="AT18124" s="247"/>
    </row>
    <row r="18125">
      <c r="C18125" s="277"/>
      <c r="M18125" s="278"/>
      <c r="O18125" s="247"/>
      <c r="AC18125" s="247"/>
      <c r="AT18125" s="247"/>
    </row>
    <row r="18126">
      <c r="C18126" s="277"/>
      <c r="M18126" s="278"/>
      <c r="O18126" s="247"/>
      <c r="AC18126" s="247"/>
      <c r="AT18126" s="247"/>
    </row>
    <row r="18127">
      <c r="C18127" s="277"/>
      <c r="M18127" s="278"/>
      <c r="O18127" s="247"/>
      <c r="AC18127" s="247"/>
      <c r="AT18127" s="247"/>
    </row>
    <row r="18128">
      <c r="C18128" s="277"/>
      <c r="M18128" s="278"/>
      <c r="O18128" s="247"/>
      <c r="AC18128" s="247"/>
      <c r="AT18128" s="247"/>
    </row>
    <row r="18129">
      <c r="C18129" s="277"/>
      <c r="M18129" s="278"/>
      <c r="O18129" s="247"/>
      <c r="AC18129" s="247"/>
      <c r="AT18129" s="247"/>
    </row>
    <row r="18130">
      <c r="C18130" s="277"/>
      <c r="M18130" s="278"/>
      <c r="O18130" s="247"/>
      <c r="AC18130" s="247"/>
      <c r="AT18130" s="247"/>
    </row>
    <row r="18131">
      <c r="C18131" s="277"/>
      <c r="M18131" s="278"/>
      <c r="O18131" s="247"/>
      <c r="AC18131" s="247"/>
      <c r="AT18131" s="247"/>
    </row>
    <row r="18132">
      <c r="C18132" s="277"/>
      <c r="M18132" s="278"/>
      <c r="O18132" s="247"/>
      <c r="AC18132" s="247"/>
      <c r="AT18132" s="247"/>
    </row>
    <row r="18133">
      <c r="C18133" s="277"/>
      <c r="M18133" s="278"/>
      <c r="O18133" s="247"/>
      <c r="AC18133" s="247"/>
      <c r="AT18133" s="247"/>
    </row>
    <row r="18134">
      <c r="C18134" s="277"/>
      <c r="M18134" s="278"/>
      <c r="O18134" s="247"/>
      <c r="AC18134" s="247"/>
      <c r="AT18134" s="247"/>
    </row>
    <row r="18135">
      <c r="C18135" s="277"/>
      <c r="M18135" s="278"/>
      <c r="O18135" s="247"/>
      <c r="AC18135" s="247"/>
      <c r="AT18135" s="247"/>
    </row>
    <row r="18136">
      <c r="C18136" s="277"/>
      <c r="M18136" s="278"/>
      <c r="O18136" s="247"/>
      <c r="AC18136" s="247"/>
      <c r="AT18136" s="247"/>
    </row>
    <row r="18137">
      <c r="C18137" s="277"/>
      <c r="M18137" s="278"/>
      <c r="O18137" s="247"/>
      <c r="AC18137" s="247"/>
      <c r="AT18137" s="247"/>
    </row>
    <row r="18138">
      <c r="C18138" s="277"/>
      <c r="M18138" s="278"/>
      <c r="O18138" s="247"/>
      <c r="AC18138" s="247"/>
      <c r="AT18138" s="247"/>
    </row>
    <row r="18139">
      <c r="C18139" s="277"/>
      <c r="M18139" s="278"/>
      <c r="O18139" s="247"/>
      <c r="AC18139" s="247"/>
      <c r="AT18139" s="247"/>
    </row>
    <row r="18140">
      <c r="C18140" s="277"/>
      <c r="M18140" s="278"/>
      <c r="O18140" s="247"/>
      <c r="AC18140" s="247"/>
      <c r="AT18140" s="247"/>
    </row>
    <row r="18141">
      <c r="C18141" s="277"/>
      <c r="M18141" s="278"/>
      <c r="O18141" s="247"/>
      <c r="AC18141" s="247"/>
      <c r="AT18141" s="247"/>
    </row>
    <row r="18142">
      <c r="C18142" s="277"/>
      <c r="M18142" s="278"/>
      <c r="O18142" s="247"/>
      <c r="AC18142" s="247"/>
      <c r="AT18142" s="247"/>
    </row>
    <row r="18143">
      <c r="C18143" s="277"/>
      <c r="M18143" s="278"/>
      <c r="O18143" s="247"/>
      <c r="AC18143" s="247"/>
      <c r="AT18143" s="247"/>
    </row>
    <row r="18144">
      <c r="C18144" s="277"/>
      <c r="M18144" s="278"/>
      <c r="O18144" s="247"/>
      <c r="AC18144" s="247"/>
      <c r="AT18144" s="247"/>
    </row>
    <row r="18145">
      <c r="C18145" s="277"/>
      <c r="M18145" s="277"/>
      <c r="O18145" s="247"/>
      <c r="AC18145" s="247"/>
      <c r="AT18145" s="247"/>
    </row>
    <row r="18146">
      <c r="C18146" s="277"/>
      <c r="M18146" s="277"/>
      <c r="O18146" s="247"/>
      <c r="AC18146" s="247"/>
      <c r="AT18146" s="247"/>
    </row>
    <row r="18147">
      <c r="C18147" s="277"/>
      <c r="M18147" s="277"/>
      <c r="O18147" s="247"/>
      <c r="AC18147" s="247"/>
      <c r="AT18147" s="247"/>
    </row>
    <row r="18148">
      <c r="C18148" s="277"/>
      <c r="M18148" s="277"/>
      <c r="O18148" s="247"/>
      <c r="AC18148" s="247"/>
      <c r="AT18148" s="247"/>
    </row>
    <row r="18149">
      <c r="C18149" s="277"/>
      <c r="M18149" s="277"/>
      <c r="O18149" s="247"/>
      <c r="AC18149" s="247"/>
      <c r="AT18149" s="247"/>
    </row>
    <row r="18150">
      <c r="C18150" s="277"/>
      <c r="M18150" s="277"/>
      <c r="O18150" s="247"/>
      <c r="AC18150" s="247"/>
      <c r="AT18150" s="247"/>
    </row>
    <row r="18151">
      <c r="C18151" s="277"/>
      <c r="M18151" s="277"/>
      <c r="O18151" s="247"/>
      <c r="AC18151" s="247"/>
      <c r="AT18151" s="247"/>
    </row>
    <row r="18152">
      <c r="C18152" s="277"/>
      <c r="M18152" s="277"/>
      <c r="O18152" s="247"/>
      <c r="AC18152" s="247"/>
      <c r="AT18152" s="247"/>
    </row>
    <row r="18153">
      <c r="C18153" s="277"/>
      <c r="M18153" s="277"/>
      <c r="O18153" s="247"/>
      <c r="AC18153" s="247"/>
      <c r="AT18153" s="247"/>
    </row>
    <row r="18154">
      <c r="C18154" s="277"/>
      <c r="M18154" s="277"/>
      <c r="O18154" s="247"/>
      <c r="AC18154" s="247"/>
      <c r="AT18154" s="247"/>
    </row>
    <row r="18155">
      <c r="C18155" s="277"/>
      <c r="M18155" s="277"/>
      <c r="O18155" s="247"/>
      <c r="AC18155" s="247"/>
      <c r="AT18155" s="247"/>
    </row>
    <row r="18156">
      <c r="C18156" s="277"/>
      <c r="M18156" s="277"/>
      <c r="O18156" s="247"/>
      <c r="AC18156" s="247"/>
      <c r="AT18156" s="247"/>
    </row>
    <row r="18157">
      <c r="C18157" s="277"/>
      <c r="M18157" s="277"/>
      <c r="O18157" s="247"/>
      <c r="AC18157" s="247"/>
      <c r="AT18157" s="247"/>
    </row>
    <row r="18158">
      <c r="C18158" s="277"/>
      <c r="M18158" s="277"/>
      <c r="O18158" s="247"/>
      <c r="AC18158" s="247"/>
      <c r="AT18158" s="247"/>
    </row>
    <row r="18159">
      <c r="C18159" s="277"/>
      <c r="M18159" s="277"/>
      <c r="O18159" s="247"/>
      <c r="AC18159" s="247"/>
      <c r="AT18159" s="247"/>
    </row>
    <row r="18160">
      <c r="C18160" s="277"/>
      <c r="M18160" s="277"/>
      <c r="O18160" s="247"/>
      <c r="AC18160" s="247"/>
      <c r="AT18160" s="247"/>
    </row>
    <row r="18161">
      <c r="C18161" s="277"/>
      <c r="M18161" s="277"/>
      <c r="O18161" s="247"/>
      <c r="AC18161" s="247"/>
      <c r="AT18161" s="247"/>
    </row>
    <row r="18162">
      <c r="C18162" s="277"/>
      <c r="M18162" s="277"/>
      <c r="O18162" s="247"/>
      <c r="AC18162" s="247"/>
      <c r="AT18162" s="247"/>
    </row>
    <row r="18163">
      <c r="C18163" s="277"/>
      <c r="M18163" s="277"/>
      <c r="O18163" s="247"/>
      <c r="AC18163" s="247"/>
      <c r="AT18163" s="247"/>
    </row>
    <row r="18164">
      <c r="C18164" s="277"/>
      <c r="M18164" s="277"/>
      <c r="O18164" s="247"/>
      <c r="AC18164" s="247"/>
      <c r="AT18164" s="247"/>
    </row>
    <row r="18165">
      <c r="C18165" s="277"/>
      <c r="M18165" s="277"/>
      <c r="O18165" s="247"/>
      <c r="AC18165" s="247"/>
      <c r="AT18165" s="247"/>
    </row>
    <row r="18166">
      <c r="C18166" s="277"/>
      <c r="M18166" s="277"/>
      <c r="O18166" s="247"/>
      <c r="AC18166" s="247"/>
      <c r="AT18166" s="247"/>
    </row>
    <row r="18167">
      <c r="C18167" s="277"/>
      <c r="M18167" s="277"/>
      <c r="O18167" s="247"/>
      <c r="AC18167" s="247"/>
      <c r="AT18167" s="247"/>
    </row>
    <row r="18168">
      <c r="C18168" s="277"/>
      <c r="M18168" s="277"/>
      <c r="O18168" s="247"/>
      <c r="AC18168" s="247"/>
      <c r="AT18168" s="247"/>
    </row>
    <row r="18169">
      <c r="C18169" s="277"/>
      <c r="M18169" s="277"/>
      <c r="O18169" s="247"/>
      <c r="AC18169" s="247"/>
      <c r="AT18169" s="247"/>
    </row>
    <row r="18170">
      <c r="C18170" s="277"/>
      <c r="M18170" s="277"/>
      <c r="O18170" s="247"/>
      <c r="AC18170" s="247"/>
      <c r="AT18170" s="247"/>
    </row>
    <row r="18171">
      <c r="C18171" s="277"/>
      <c r="M18171" s="277"/>
      <c r="O18171" s="247"/>
      <c r="AC18171" s="247"/>
      <c r="AT18171" s="247"/>
    </row>
    <row r="18172">
      <c r="C18172" s="277"/>
      <c r="M18172" s="277"/>
      <c r="O18172" s="247"/>
      <c r="AC18172" s="247"/>
      <c r="AT18172" s="247"/>
    </row>
    <row r="18173">
      <c r="C18173" s="277"/>
      <c r="M18173" s="277"/>
      <c r="O18173" s="247"/>
      <c r="AC18173" s="247"/>
      <c r="AT18173" s="247"/>
    </row>
    <row r="18174">
      <c r="C18174" s="277"/>
      <c r="M18174" s="277"/>
      <c r="O18174" s="247"/>
      <c r="AC18174" s="247"/>
      <c r="AT18174" s="247"/>
    </row>
    <row r="18175">
      <c r="C18175" s="277"/>
      <c r="M18175" s="277"/>
      <c r="O18175" s="247"/>
      <c r="AC18175" s="247"/>
      <c r="AT18175" s="247"/>
    </row>
    <row r="18176">
      <c r="C18176" s="277"/>
      <c r="M18176" s="277"/>
      <c r="O18176" s="247"/>
      <c r="AC18176" s="247"/>
      <c r="AT18176" s="247"/>
    </row>
    <row r="18177">
      <c r="C18177" s="277"/>
      <c r="M18177" s="277"/>
      <c r="O18177" s="247"/>
      <c r="AC18177" s="247"/>
      <c r="AT18177" s="247"/>
    </row>
    <row r="18178">
      <c r="C18178" s="277"/>
      <c r="M18178" s="277"/>
      <c r="O18178" s="247"/>
      <c r="AC18178" s="247"/>
      <c r="AT18178" s="247"/>
    </row>
    <row r="18179">
      <c r="C18179" s="277"/>
      <c r="M18179" s="277"/>
      <c r="O18179" s="247"/>
      <c r="AC18179" s="247"/>
      <c r="AT18179" s="247"/>
    </row>
    <row r="18180">
      <c r="C18180" s="277"/>
      <c r="M18180" s="277"/>
      <c r="O18180" s="247"/>
      <c r="AC18180" s="247"/>
      <c r="AT18180" s="247"/>
    </row>
    <row r="18181">
      <c r="C18181" s="277"/>
      <c r="M18181" s="277"/>
      <c r="O18181" s="247"/>
      <c r="AC18181" s="247"/>
      <c r="AT18181" s="247"/>
    </row>
    <row r="18182">
      <c r="C18182" s="277"/>
      <c r="M18182" s="277"/>
      <c r="O18182" s="247"/>
      <c r="AC18182" s="247"/>
      <c r="AT18182" s="247"/>
    </row>
    <row r="18183">
      <c r="C18183" s="277"/>
      <c r="M18183" s="277"/>
      <c r="O18183" s="247"/>
      <c r="AC18183" s="247"/>
      <c r="AT18183" s="247"/>
    </row>
    <row r="18184">
      <c r="C18184" s="277"/>
      <c r="M18184" s="277"/>
      <c r="O18184" s="247"/>
      <c r="AC18184" s="247"/>
      <c r="AT18184" s="247"/>
    </row>
    <row r="18185">
      <c r="C18185" s="277"/>
      <c r="M18185" s="277"/>
      <c r="O18185" s="247"/>
      <c r="AC18185" s="247"/>
      <c r="AT18185" s="247"/>
    </row>
    <row r="18186">
      <c r="C18186" s="277"/>
      <c r="M18186" s="277"/>
      <c r="O18186" s="247"/>
      <c r="AC18186" s="247"/>
      <c r="AT18186" s="247"/>
    </row>
    <row r="18187">
      <c r="C18187" s="277"/>
      <c r="M18187" s="277"/>
      <c r="O18187" s="247"/>
      <c r="AC18187" s="247"/>
      <c r="AT18187" s="247"/>
    </row>
    <row r="18188">
      <c r="C18188" s="277"/>
      <c r="M18188" s="277"/>
      <c r="O18188" s="247"/>
      <c r="AC18188" s="247"/>
      <c r="AT18188" s="247"/>
    </row>
    <row r="18189">
      <c r="C18189" s="277"/>
      <c r="M18189" s="277"/>
      <c r="O18189" s="247"/>
      <c r="AC18189" s="247"/>
      <c r="AT18189" s="247"/>
    </row>
    <row r="18190">
      <c r="C18190" s="277"/>
      <c r="M18190" s="277"/>
      <c r="O18190" s="247"/>
      <c r="AC18190" s="247"/>
      <c r="AT18190" s="247"/>
    </row>
    <row r="18191">
      <c r="C18191" s="277"/>
      <c r="M18191" s="277"/>
      <c r="O18191" s="247"/>
      <c r="AC18191" s="247"/>
      <c r="AT18191" s="247"/>
    </row>
    <row r="18192">
      <c r="C18192" s="277"/>
      <c r="M18192" s="277"/>
      <c r="O18192" s="247"/>
      <c r="AC18192" s="247"/>
      <c r="AT18192" s="247"/>
    </row>
    <row r="18193">
      <c r="C18193" s="277"/>
      <c r="M18193" s="277"/>
      <c r="O18193" s="247"/>
      <c r="AC18193" s="247"/>
      <c r="AT18193" s="247"/>
    </row>
    <row r="18194">
      <c r="C18194" s="277"/>
      <c r="M18194" s="277"/>
      <c r="O18194" s="247"/>
      <c r="AC18194" s="247"/>
      <c r="AT18194" s="247"/>
    </row>
    <row r="18195">
      <c r="C18195" s="277"/>
      <c r="M18195" s="277"/>
      <c r="O18195" s="247"/>
      <c r="AC18195" s="247"/>
      <c r="AT18195" s="247"/>
    </row>
    <row r="18196">
      <c r="C18196" s="277"/>
      <c r="M18196" s="277"/>
      <c r="O18196" s="247"/>
      <c r="AC18196" s="247"/>
      <c r="AT18196" s="247"/>
    </row>
    <row r="18197">
      <c r="C18197" s="277"/>
      <c r="M18197" s="277"/>
      <c r="O18197" s="247"/>
      <c r="AC18197" s="247"/>
      <c r="AT18197" s="247"/>
    </row>
    <row r="18198">
      <c r="C18198" s="277"/>
      <c r="M18198" s="277"/>
      <c r="O18198" s="247"/>
      <c r="AC18198" s="247"/>
      <c r="AT18198" s="247"/>
    </row>
    <row r="18199">
      <c r="C18199" s="277"/>
      <c r="M18199" s="277"/>
      <c r="O18199" s="247"/>
      <c r="AC18199" s="247"/>
      <c r="AT18199" s="247"/>
    </row>
    <row r="18200">
      <c r="C18200" s="277"/>
      <c r="M18200" s="277"/>
      <c r="O18200" s="247"/>
      <c r="AC18200" s="247"/>
      <c r="AT18200" s="247"/>
    </row>
    <row r="18201">
      <c r="C18201" s="277"/>
      <c r="M18201" s="277"/>
      <c r="O18201" s="247"/>
      <c r="AC18201" s="247"/>
      <c r="AT18201" s="247"/>
    </row>
    <row r="18202">
      <c r="C18202" s="277"/>
      <c r="M18202" s="277"/>
      <c r="O18202" s="247"/>
      <c r="AC18202" s="247"/>
      <c r="AT18202" s="247"/>
    </row>
    <row r="18203">
      <c r="C18203" s="277"/>
      <c r="M18203" s="277"/>
      <c r="O18203" s="247"/>
      <c r="AC18203" s="247"/>
      <c r="AT18203" s="247"/>
    </row>
    <row r="18204">
      <c r="C18204" s="277"/>
      <c r="M18204" s="277"/>
      <c r="O18204" s="247"/>
      <c r="AC18204" s="247"/>
      <c r="AT18204" s="247"/>
    </row>
    <row r="18205">
      <c r="C18205" s="277"/>
      <c r="M18205" s="277"/>
      <c r="O18205" s="247"/>
      <c r="AC18205" s="247"/>
      <c r="AT18205" s="247"/>
    </row>
    <row r="18206">
      <c r="C18206" s="277"/>
      <c r="M18206" s="277"/>
      <c r="O18206" s="247"/>
      <c r="AC18206" s="247"/>
      <c r="AT18206" s="247"/>
    </row>
    <row r="18207">
      <c r="C18207" s="277"/>
      <c r="M18207" s="277"/>
      <c r="O18207" s="247"/>
      <c r="AC18207" s="247"/>
      <c r="AT18207" s="247"/>
    </row>
    <row r="18208">
      <c r="C18208" s="277"/>
      <c r="M18208" s="277"/>
      <c r="O18208" s="247"/>
      <c r="AC18208" s="247"/>
      <c r="AT18208" s="247"/>
    </row>
    <row r="18209">
      <c r="C18209" s="277"/>
      <c r="M18209" s="277"/>
      <c r="O18209" s="247"/>
      <c r="AC18209" s="247"/>
      <c r="AT18209" s="247"/>
    </row>
    <row r="18210">
      <c r="C18210" s="277"/>
      <c r="M18210" s="277"/>
      <c r="O18210" s="247"/>
      <c r="AC18210" s="247"/>
      <c r="AT18210" s="247"/>
    </row>
    <row r="18211">
      <c r="C18211" s="277"/>
      <c r="M18211" s="277"/>
      <c r="O18211" s="247"/>
      <c r="AC18211" s="247"/>
      <c r="AT18211" s="247"/>
    </row>
    <row r="18212">
      <c r="C18212" s="277"/>
      <c r="M18212" s="277"/>
      <c r="O18212" s="247"/>
      <c r="AC18212" s="247"/>
      <c r="AT18212" s="247"/>
    </row>
    <row r="18213">
      <c r="C18213" s="277"/>
      <c r="M18213" s="277"/>
      <c r="O18213" s="247"/>
      <c r="AC18213" s="247"/>
      <c r="AT18213" s="247"/>
    </row>
    <row r="18214">
      <c r="C18214" s="277"/>
      <c r="M18214" s="277"/>
      <c r="O18214" s="247"/>
      <c r="AC18214" s="247"/>
      <c r="AT18214" s="247"/>
    </row>
    <row r="18215">
      <c r="C18215" s="277"/>
      <c r="M18215" s="277"/>
      <c r="O18215" s="247"/>
      <c r="AC18215" s="247"/>
      <c r="AT18215" s="247"/>
    </row>
    <row r="18216">
      <c r="C18216" s="277"/>
      <c r="M18216" s="277"/>
      <c r="O18216" s="247"/>
      <c r="AC18216" s="247"/>
      <c r="AT18216" s="247"/>
    </row>
    <row r="18217">
      <c r="C18217" s="277"/>
      <c r="M18217" s="277"/>
      <c r="O18217" s="247"/>
      <c r="AC18217" s="247"/>
      <c r="AT18217" s="247"/>
    </row>
    <row r="18218">
      <c r="C18218" s="277"/>
      <c r="M18218" s="277"/>
      <c r="O18218" s="247"/>
      <c r="AC18218" s="247"/>
      <c r="AT18218" s="247"/>
    </row>
    <row r="18219">
      <c r="C18219" s="277"/>
      <c r="M18219" s="277"/>
      <c r="O18219" s="247"/>
      <c r="AC18219" s="247"/>
      <c r="AT18219" s="247"/>
    </row>
    <row r="18220">
      <c r="C18220" s="277"/>
      <c r="M18220" s="277"/>
      <c r="O18220" s="247"/>
      <c r="AC18220" s="247"/>
      <c r="AT18220" s="247"/>
    </row>
    <row r="18221">
      <c r="C18221" s="277"/>
      <c r="M18221" s="277"/>
      <c r="O18221" s="247"/>
      <c r="AC18221" s="247"/>
      <c r="AT18221" s="247"/>
    </row>
    <row r="18222">
      <c r="C18222" s="277"/>
      <c r="M18222" s="277"/>
      <c r="O18222" s="247"/>
      <c r="AC18222" s="247"/>
      <c r="AT18222" s="247"/>
    </row>
    <row r="18223">
      <c r="C18223" s="277"/>
      <c r="M18223" s="277"/>
      <c r="O18223" s="247"/>
      <c r="AC18223" s="247"/>
      <c r="AT18223" s="247"/>
    </row>
    <row r="18224">
      <c r="C18224" s="277"/>
      <c r="M18224" s="277"/>
      <c r="O18224" s="247"/>
      <c r="AC18224" s="247"/>
      <c r="AT18224" s="247"/>
    </row>
    <row r="18225">
      <c r="C18225" s="277"/>
      <c r="M18225" s="277"/>
      <c r="O18225" s="247"/>
      <c r="AC18225" s="247"/>
      <c r="AT18225" s="247"/>
    </row>
    <row r="18226">
      <c r="C18226" s="277"/>
      <c r="M18226" s="277"/>
      <c r="O18226" s="247"/>
      <c r="AC18226" s="247"/>
      <c r="AT18226" s="247"/>
    </row>
    <row r="18227">
      <c r="C18227" s="277"/>
      <c r="M18227" s="277"/>
      <c r="O18227" s="247"/>
      <c r="AC18227" s="247"/>
      <c r="AT18227" s="247"/>
    </row>
    <row r="18228">
      <c r="C18228" s="277"/>
      <c r="M18228" s="277"/>
      <c r="O18228" s="247"/>
      <c r="AC18228" s="247"/>
      <c r="AT18228" s="247"/>
    </row>
    <row r="18229">
      <c r="C18229" s="277"/>
      <c r="M18229" s="277"/>
      <c r="O18229" s="247"/>
      <c r="AC18229" s="247"/>
      <c r="AT18229" s="247"/>
    </row>
    <row r="18230">
      <c r="C18230" s="277"/>
      <c r="M18230" s="277"/>
      <c r="O18230" s="247"/>
      <c r="AC18230" s="247"/>
      <c r="AT18230" s="247"/>
    </row>
    <row r="18231">
      <c r="C18231" s="277"/>
      <c r="M18231" s="277"/>
      <c r="O18231" s="247"/>
      <c r="AC18231" s="247"/>
      <c r="AT18231" s="247"/>
    </row>
    <row r="18232">
      <c r="C18232" s="277"/>
      <c r="M18232" s="277"/>
      <c r="O18232" s="247"/>
      <c r="AC18232" s="247"/>
      <c r="AT18232" s="247"/>
    </row>
    <row r="18233">
      <c r="C18233" s="277"/>
      <c r="M18233" s="277"/>
      <c r="O18233" s="247"/>
      <c r="AC18233" s="247"/>
      <c r="AT18233" s="247"/>
    </row>
    <row r="18234">
      <c r="C18234" s="277"/>
      <c r="M18234" s="277"/>
      <c r="O18234" s="247"/>
      <c r="AC18234" s="247"/>
      <c r="AT18234" s="247"/>
    </row>
    <row r="18235">
      <c r="C18235" s="277"/>
      <c r="M18235" s="277"/>
      <c r="O18235" s="247"/>
      <c r="AC18235" s="247"/>
      <c r="AT18235" s="247"/>
    </row>
    <row r="18236">
      <c r="C18236" s="277"/>
      <c r="M18236" s="277"/>
      <c r="O18236" s="247"/>
      <c r="AC18236" s="247"/>
      <c r="AT18236" s="247"/>
    </row>
    <row r="18237">
      <c r="C18237" s="277"/>
      <c r="M18237" s="277"/>
      <c r="O18237" s="247"/>
      <c r="AC18237" s="247"/>
      <c r="AT18237" s="247"/>
    </row>
    <row r="18238">
      <c r="C18238" s="277"/>
      <c r="M18238" s="277"/>
      <c r="O18238" s="247"/>
      <c r="AC18238" s="247"/>
      <c r="AT18238" s="247"/>
    </row>
    <row r="18239">
      <c r="C18239" s="277"/>
      <c r="M18239" s="277"/>
      <c r="O18239" s="247"/>
      <c r="AC18239" s="247"/>
      <c r="AT18239" s="247"/>
    </row>
    <row r="18240">
      <c r="C18240" s="277"/>
      <c r="M18240" s="277"/>
      <c r="O18240" s="247"/>
      <c r="AC18240" s="247"/>
      <c r="AT18240" s="247"/>
    </row>
    <row r="18241">
      <c r="C18241" s="277"/>
      <c r="M18241" s="277"/>
      <c r="O18241" s="247"/>
      <c r="AC18241" s="247"/>
      <c r="AT18241" s="247"/>
    </row>
    <row r="18242">
      <c r="C18242" s="277"/>
      <c r="M18242" s="277"/>
      <c r="O18242" s="247"/>
      <c r="AC18242" s="247"/>
      <c r="AT18242" s="247"/>
    </row>
    <row r="18243">
      <c r="C18243" s="277"/>
      <c r="M18243" s="277"/>
      <c r="O18243" s="247"/>
      <c r="AC18243" s="247"/>
      <c r="AT18243" s="247"/>
    </row>
    <row r="18244">
      <c r="C18244" s="277"/>
      <c r="M18244" s="277"/>
      <c r="O18244" s="247"/>
      <c r="AC18244" s="247"/>
      <c r="AT18244" s="247"/>
    </row>
    <row r="18245">
      <c r="C18245" s="277"/>
      <c r="M18245" s="277"/>
      <c r="O18245" s="247"/>
      <c r="AC18245" s="247"/>
      <c r="AT18245" s="247"/>
    </row>
    <row r="18246">
      <c r="C18246" s="277"/>
      <c r="M18246" s="277"/>
      <c r="O18246" s="247"/>
      <c r="AC18246" s="247"/>
      <c r="AT18246" s="247"/>
    </row>
    <row r="18247">
      <c r="C18247" s="277"/>
      <c r="M18247" s="277"/>
      <c r="O18247" s="247"/>
      <c r="AC18247" s="247"/>
      <c r="AT18247" s="247"/>
    </row>
    <row r="18248">
      <c r="C18248" s="277"/>
      <c r="M18248" s="277"/>
      <c r="O18248" s="247"/>
      <c r="AC18248" s="247"/>
      <c r="AT18248" s="247"/>
    </row>
    <row r="18249">
      <c r="C18249" s="277"/>
      <c r="M18249" s="277"/>
      <c r="O18249" s="247"/>
      <c r="AC18249" s="247"/>
      <c r="AT18249" s="247"/>
    </row>
    <row r="18250">
      <c r="C18250" s="277"/>
      <c r="M18250" s="277"/>
      <c r="O18250" s="247"/>
      <c r="AC18250" s="247"/>
      <c r="AT18250" s="247"/>
    </row>
    <row r="18251">
      <c r="C18251" s="277"/>
      <c r="M18251" s="277"/>
      <c r="O18251" s="247"/>
      <c r="AC18251" s="247"/>
      <c r="AT18251" s="247"/>
    </row>
    <row r="18252">
      <c r="C18252" s="277"/>
      <c r="M18252" s="277"/>
      <c r="O18252" s="247"/>
      <c r="AC18252" s="247"/>
      <c r="AT18252" s="247"/>
    </row>
    <row r="18253">
      <c r="C18253" s="277"/>
      <c r="M18253" s="277"/>
      <c r="O18253" s="247"/>
      <c r="AC18253" s="247"/>
      <c r="AT18253" s="247"/>
    </row>
    <row r="18254">
      <c r="C18254" s="277"/>
      <c r="M18254" s="277"/>
      <c r="O18254" s="247"/>
      <c r="AC18254" s="247"/>
      <c r="AT18254" s="247"/>
    </row>
    <row r="18255">
      <c r="C18255" s="277"/>
      <c r="M18255" s="277"/>
      <c r="O18255" s="247"/>
      <c r="AC18255" s="247"/>
      <c r="AT18255" s="247"/>
    </row>
    <row r="18256">
      <c r="C18256" s="277"/>
      <c r="M18256" s="277"/>
      <c r="O18256" s="247"/>
      <c r="AC18256" s="247"/>
      <c r="AT18256" s="247"/>
    </row>
    <row r="18257">
      <c r="C18257" s="277"/>
      <c r="M18257" s="277"/>
      <c r="O18257" s="247"/>
      <c r="AC18257" s="247"/>
      <c r="AT18257" s="247"/>
    </row>
    <row r="18258">
      <c r="C18258" s="277"/>
      <c r="M18258" s="277"/>
      <c r="O18258" s="247"/>
      <c r="AC18258" s="247"/>
      <c r="AT18258" s="247"/>
    </row>
    <row r="18259">
      <c r="C18259" s="277"/>
      <c r="M18259" s="277"/>
      <c r="O18259" s="247"/>
      <c r="AC18259" s="247"/>
      <c r="AT18259" s="247"/>
    </row>
    <row r="18260">
      <c r="C18260" s="277"/>
      <c r="M18260" s="277"/>
      <c r="O18260" s="247"/>
      <c r="AC18260" s="247"/>
      <c r="AT18260" s="247"/>
    </row>
    <row r="18261">
      <c r="C18261" s="277"/>
      <c r="M18261" s="277"/>
      <c r="O18261" s="247"/>
      <c r="AC18261" s="247"/>
      <c r="AT18261" s="247"/>
    </row>
    <row r="18262">
      <c r="C18262" s="277"/>
      <c r="M18262" s="277"/>
      <c r="O18262" s="247"/>
      <c r="AC18262" s="247"/>
      <c r="AT18262" s="247"/>
    </row>
    <row r="18263">
      <c r="C18263" s="277"/>
      <c r="M18263" s="277"/>
      <c r="O18263" s="247"/>
      <c r="AC18263" s="247"/>
      <c r="AT18263" s="247"/>
    </row>
    <row r="18264">
      <c r="C18264" s="277"/>
      <c r="M18264" s="277"/>
      <c r="O18264" s="247"/>
      <c r="AC18264" s="247"/>
      <c r="AT18264" s="247"/>
    </row>
    <row r="18265">
      <c r="C18265" s="277"/>
      <c r="M18265" s="277"/>
      <c r="O18265" s="247"/>
      <c r="AC18265" s="247"/>
      <c r="AT18265" s="247"/>
    </row>
    <row r="18266">
      <c r="C18266" s="277"/>
      <c r="M18266" s="277"/>
      <c r="O18266" s="247"/>
      <c r="AC18266" s="247"/>
      <c r="AT18266" s="247"/>
    </row>
    <row r="18267">
      <c r="C18267" s="277"/>
      <c r="M18267" s="277"/>
      <c r="O18267" s="247"/>
      <c r="AC18267" s="247"/>
      <c r="AT18267" s="247"/>
    </row>
    <row r="18268">
      <c r="C18268" s="277"/>
      <c r="M18268" s="277"/>
      <c r="O18268" s="247"/>
      <c r="AC18268" s="247"/>
      <c r="AT18268" s="247"/>
    </row>
    <row r="18269">
      <c r="C18269" s="277"/>
      <c r="M18269" s="277"/>
      <c r="O18269" s="247"/>
      <c r="AC18269" s="247"/>
      <c r="AT18269" s="247"/>
    </row>
    <row r="18270">
      <c r="C18270" s="277"/>
      <c r="M18270" s="277"/>
      <c r="O18270" s="247"/>
      <c r="AC18270" s="247"/>
      <c r="AT18270" s="247"/>
    </row>
    <row r="18271">
      <c r="C18271" s="277"/>
      <c r="M18271" s="277"/>
      <c r="O18271" s="247"/>
      <c r="AC18271" s="247"/>
      <c r="AT18271" s="247"/>
    </row>
    <row r="18272">
      <c r="C18272" s="277"/>
      <c r="M18272" s="277"/>
      <c r="O18272" s="247"/>
      <c r="AC18272" s="247"/>
      <c r="AT18272" s="247"/>
    </row>
    <row r="18273">
      <c r="C18273" s="277"/>
      <c r="M18273" s="277"/>
      <c r="O18273" s="247"/>
      <c r="AC18273" s="247"/>
      <c r="AT18273" s="247"/>
    </row>
    <row r="18274">
      <c r="C18274" s="277"/>
      <c r="M18274" s="277"/>
      <c r="O18274" s="247"/>
      <c r="AC18274" s="247"/>
      <c r="AT18274" s="247"/>
    </row>
    <row r="18275">
      <c r="C18275" s="277"/>
      <c r="M18275" s="277"/>
      <c r="O18275" s="247"/>
      <c r="AC18275" s="247"/>
      <c r="AT18275" s="247"/>
    </row>
    <row r="18276">
      <c r="C18276" s="277"/>
      <c r="M18276" s="277"/>
      <c r="O18276" s="247"/>
      <c r="AC18276" s="247"/>
      <c r="AT18276" s="247"/>
    </row>
    <row r="18277">
      <c r="C18277" s="277"/>
      <c r="M18277" s="277"/>
      <c r="O18277" s="247"/>
      <c r="AC18277" s="247"/>
      <c r="AT18277" s="247"/>
    </row>
    <row r="18278">
      <c r="C18278" s="277"/>
      <c r="M18278" s="277"/>
      <c r="O18278" s="247"/>
      <c r="AC18278" s="247"/>
      <c r="AT18278" s="247"/>
    </row>
    <row r="18279">
      <c r="C18279" s="277"/>
      <c r="M18279" s="277"/>
      <c r="O18279" s="247"/>
      <c r="AC18279" s="247"/>
      <c r="AT18279" s="247"/>
    </row>
    <row r="18280">
      <c r="C18280" s="277"/>
      <c r="M18280" s="277"/>
      <c r="O18280" s="247"/>
      <c r="AC18280" s="247"/>
      <c r="AT18280" s="247"/>
    </row>
    <row r="18281">
      <c r="C18281" s="277"/>
      <c r="M18281" s="277"/>
      <c r="O18281" s="247"/>
      <c r="AC18281" s="247"/>
      <c r="AT18281" s="247"/>
    </row>
    <row r="18282">
      <c r="C18282" s="277"/>
      <c r="M18282" s="277"/>
      <c r="O18282" s="247"/>
      <c r="AC18282" s="247"/>
      <c r="AT18282" s="247"/>
    </row>
    <row r="18283">
      <c r="C18283" s="277"/>
      <c r="M18283" s="277"/>
      <c r="O18283" s="247"/>
      <c r="AC18283" s="247"/>
      <c r="AT18283" s="247"/>
    </row>
    <row r="18284">
      <c r="C18284" s="277"/>
      <c r="M18284" s="277"/>
      <c r="O18284" s="247"/>
      <c r="AC18284" s="247"/>
      <c r="AT18284" s="247"/>
    </row>
    <row r="18285">
      <c r="C18285" s="277"/>
      <c r="M18285" s="277"/>
      <c r="O18285" s="247"/>
      <c r="AC18285" s="247"/>
      <c r="AT18285" s="247"/>
    </row>
    <row r="18286">
      <c r="C18286" s="277"/>
      <c r="M18286" s="277"/>
      <c r="O18286" s="247"/>
      <c r="AC18286" s="247"/>
      <c r="AT18286" s="247"/>
    </row>
    <row r="18287">
      <c r="C18287" s="277"/>
      <c r="M18287" s="277"/>
      <c r="O18287" s="247"/>
      <c r="AC18287" s="247"/>
      <c r="AT18287" s="247"/>
    </row>
    <row r="18288">
      <c r="C18288" s="277"/>
      <c r="M18288" s="277"/>
      <c r="O18288" s="247"/>
      <c r="AC18288" s="247"/>
      <c r="AT18288" s="247"/>
    </row>
    <row r="18289">
      <c r="C18289" s="277"/>
      <c r="M18289" s="277"/>
      <c r="O18289" s="247"/>
      <c r="AC18289" s="247"/>
      <c r="AT18289" s="247"/>
    </row>
    <row r="18290">
      <c r="C18290" s="277"/>
      <c r="M18290" s="277"/>
      <c r="O18290" s="247"/>
      <c r="AC18290" s="247"/>
      <c r="AT18290" s="247"/>
    </row>
    <row r="18291">
      <c r="C18291" s="277"/>
      <c r="M18291" s="277"/>
      <c r="O18291" s="247"/>
      <c r="AC18291" s="247"/>
      <c r="AT18291" s="247"/>
    </row>
    <row r="18292">
      <c r="C18292" s="277"/>
      <c r="M18292" s="277"/>
      <c r="O18292" s="247"/>
      <c r="AC18292" s="247"/>
      <c r="AT18292" s="247"/>
    </row>
    <row r="18293">
      <c r="C18293" s="277"/>
      <c r="M18293" s="277"/>
      <c r="O18293" s="247"/>
      <c r="AC18293" s="247"/>
      <c r="AT18293" s="247"/>
    </row>
    <row r="18294">
      <c r="C18294" s="277"/>
      <c r="M18294" s="277"/>
      <c r="O18294" s="247"/>
      <c r="AC18294" s="247"/>
      <c r="AT18294" s="247"/>
    </row>
    <row r="18295">
      <c r="C18295" s="277"/>
      <c r="M18295" s="277"/>
      <c r="O18295" s="247"/>
      <c r="AC18295" s="247"/>
      <c r="AT18295" s="247"/>
    </row>
    <row r="18296">
      <c r="C18296" s="277"/>
      <c r="M18296" s="277"/>
      <c r="O18296" s="247"/>
      <c r="AC18296" s="247"/>
      <c r="AT18296" s="247"/>
    </row>
    <row r="18297">
      <c r="C18297" s="277"/>
      <c r="M18297" s="277"/>
      <c r="O18297" s="247"/>
      <c r="AC18297" s="247"/>
      <c r="AT18297" s="247"/>
    </row>
    <row r="18298">
      <c r="C18298" s="277"/>
      <c r="M18298" s="277"/>
      <c r="O18298" s="247"/>
      <c r="AC18298" s="247"/>
      <c r="AT18298" s="247"/>
    </row>
    <row r="18299">
      <c r="C18299" s="277"/>
      <c r="M18299" s="277"/>
      <c r="O18299" s="247"/>
      <c r="AC18299" s="247"/>
      <c r="AT18299" s="247"/>
    </row>
    <row r="18300">
      <c r="C18300" s="277"/>
      <c r="M18300" s="277"/>
      <c r="O18300" s="247"/>
      <c r="AC18300" s="247"/>
      <c r="AT18300" s="247"/>
    </row>
    <row r="18301">
      <c r="C18301" s="277"/>
      <c r="M18301" s="277"/>
      <c r="O18301" s="247"/>
      <c r="AC18301" s="247"/>
      <c r="AT18301" s="247"/>
    </row>
    <row r="18302">
      <c r="C18302" s="277"/>
      <c r="M18302" s="277"/>
      <c r="O18302" s="247"/>
      <c r="AC18302" s="247"/>
      <c r="AT18302" s="247"/>
    </row>
    <row r="18303">
      <c r="C18303" s="277"/>
      <c r="M18303" s="277"/>
      <c r="O18303" s="247"/>
      <c r="AC18303" s="247"/>
      <c r="AT18303" s="247"/>
    </row>
    <row r="18304">
      <c r="C18304" s="277"/>
      <c r="M18304" s="277"/>
      <c r="O18304" s="247"/>
      <c r="AC18304" s="247"/>
      <c r="AT18304" s="247"/>
    </row>
    <row r="18305">
      <c r="C18305" s="277"/>
      <c r="M18305" s="277"/>
      <c r="O18305" s="247"/>
      <c r="AC18305" s="247"/>
      <c r="AT18305" s="247"/>
    </row>
    <row r="18306">
      <c r="C18306" s="277"/>
      <c r="M18306" s="277"/>
      <c r="O18306" s="247"/>
      <c r="AC18306" s="247"/>
      <c r="AT18306" s="247"/>
    </row>
    <row r="18307">
      <c r="C18307" s="277"/>
      <c r="M18307" s="277"/>
      <c r="O18307" s="247"/>
      <c r="AC18307" s="247"/>
      <c r="AT18307" s="247"/>
    </row>
    <row r="18308">
      <c r="C18308" s="277"/>
      <c r="M18308" s="277"/>
      <c r="O18308" s="247"/>
      <c r="AC18308" s="247"/>
      <c r="AT18308" s="247"/>
    </row>
    <row r="18309">
      <c r="C18309" s="277"/>
      <c r="M18309" s="277"/>
      <c r="O18309" s="247"/>
      <c r="AC18309" s="247"/>
      <c r="AT18309" s="247"/>
    </row>
    <row r="18310">
      <c r="C18310" s="277"/>
      <c r="M18310" s="277"/>
      <c r="O18310" s="247"/>
      <c r="AC18310" s="247"/>
      <c r="AT18310" s="247"/>
    </row>
    <row r="18311">
      <c r="C18311" s="277"/>
      <c r="M18311" s="277"/>
      <c r="O18311" s="247"/>
      <c r="AC18311" s="247"/>
      <c r="AT18311" s="247"/>
    </row>
    <row r="18312">
      <c r="C18312" s="277"/>
      <c r="M18312" s="277"/>
      <c r="O18312" s="247"/>
      <c r="AC18312" s="247"/>
      <c r="AT18312" s="247"/>
    </row>
    <row r="18313">
      <c r="C18313" s="277"/>
      <c r="M18313" s="277"/>
      <c r="O18313" s="247"/>
      <c r="AC18313" s="247"/>
      <c r="AT18313" s="247"/>
    </row>
    <row r="18314">
      <c r="C18314" s="277"/>
      <c r="M18314" s="277"/>
      <c r="O18314" s="247"/>
      <c r="AC18314" s="247"/>
      <c r="AT18314" s="247"/>
    </row>
    <row r="18315">
      <c r="C18315" s="277"/>
      <c r="M18315" s="277"/>
      <c r="O18315" s="247"/>
      <c r="AC18315" s="247"/>
      <c r="AT18315" s="247"/>
    </row>
    <row r="18316">
      <c r="C18316" s="277"/>
      <c r="M18316" s="277"/>
      <c r="O18316" s="247"/>
      <c r="AC18316" s="247"/>
      <c r="AT18316" s="247"/>
    </row>
    <row r="18317">
      <c r="C18317" s="277"/>
      <c r="M18317" s="277"/>
      <c r="O18317" s="247"/>
      <c r="AC18317" s="247"/>
      <c r="AT18317" s="247"/>
    </row>
    <row r="18318">
      <c r="C18318" s="277"/>
      <c r="M18318" s="277"/>
      <c r="O18318" s="247"/>
      <c r="AC18318" s="247"/>
      <c r="AT18318" s="247"/>
    </row>
    <row r="18319">
      <c r="C18319" s="277"/>
      <c r="M18319" s="277"/>
      <c r="O18319" s="247"/>
      <c r="AC18319" s="247"/>
      <c r="AT18319" s="247"/>
    </row>
    <row r="18320">
      <c r="C18320" s="277"/>
      <c r="M18320" s="277"/>
      <c r="O18320" s="247"/>
      <c r="AC18320" s="247"/>
      <c r="AT18320" s="247"/>
    </row>
    <row r="18321">
      <c r="C18321" s="277"/>
      <c r="M18321" s="277"/>
      <c r="O18321" s="247"/>
      <c r="AC18321" s="247"/>
      <c r="AT18321" s="247"/>
    </row>
    <row r="18322">
      <c r="C18322" s="277"/>
      <c r="M18322" s="277"/>
      <c r="O18322" s="247"/>
      <c r="AC18322" s="247"/>
      <c r="AT18322" s="247"/>
    </row>
    <row r="18323">
      <c r="C18323" s="277"/>
      <c r="M18323" s="277"/>
      <c r="O18323" s="247"/>
      <c r="AC18323" s="247"/>
      <c r="AT18323" s="247"/>
    </row>
    <row r="18324">
      <c r="C18324" s="277"/>
      <c r="M18324" s="277"/>
      <c r="O18324" s="247"/>
      <c r="AC18324" s="247"/>
      <c r="AT18324" s="247"/>
    </row>
    <row r="18325">
      <c r="C18325" s="277"/>
      <c r="M18325" s="277"/>
      <c r="O18325" s="247"/>
      <c r="AC18325" s="247"/>
      <c r="AT18325" s="247"/>
    </row>
    <row r="18326">
      <c r="C18326" s="277"/>
      <c r="M18326" s="277"/>
      <c r="O18326" s="247"/>
      <c r="AC18326" s="247"/>
      <c r="AT18326" s="247"/>
    </row>
    <row r="18327">
      <c r="C18327" s="277"/>
      <c r="M18327" s="277"/>
      <c r="O18327" s="247"/>
      <c r="AC18327" s="247"/>
      <c r="AT18327" s="247"/>
    </row>
    <row r="18328">
      <c r="C18328" s="277"/>
      <c r="M18328" s="277"/>
      <c r="O18328" s="247"/>
      <c r="AC18328" s="247"/>
      <c r="AT18328" s="247"/>
    </row>
    <row r="18329">
      <c r="C18329" s="277"/>
      <c r="M18329" s="277"/>
      <c r="O18329" s="247"/>
      <c r="AC18329" s="247"/>
      <c r="AT18329" s="247"/>
    </row>
    <row r="18330">
      <c r="C18330" s="277"/>
      <c r="M18330" s="277"/>
      <c r="O18330" s="247"/>
      <c r="AC18330" s="247"/>
      <c r="AT18330" s="247"/>
    </row>
    <row r="18331">
      <c r="C18331" s="277"/>
      <c r="M18331" s="277"/>
      <c r="O18331" s="247"/>
      <c r="AC18331" s="247"/>
      <c r="AT18331" s="247"/>
    </row>
    <row r="18332">
      <c r="C18332" s="277"/>
      <c r="M18332" s="277"/>
      <c r="O18332" s="247"/>
      <c r="AC18332" s="247"/>
      <c r="AT18332" s="247"/>
    </row>
    <row r="18333">
      <c r="C18333" s="277"/>
      <c r="M18333" s="277"/>
      <c r="O18333" s="247"/>
      <c r="AC18333" s="247"/>
      <c r="AT18333" s="247"/>
    </row>
    <row r="18334">
      <c r="C18334" s="277"/>
      <c r="M18334" s="277"/>
      <c r="O18334" s="247"/>
      <c r="AC18334" s="247"/>
      <c r="AT18334" s="247"/>
    </row>
    <row r="18335">
      <c r="C18335" s="277"/>
      <c r="M18335" s="277"/>
      <c r="O18335" s="247"/>
      <c r="AC18335" s="247"/>
      <c r="AT18335" s="247"/>
    </row>
    <row r="18336">
      <c r="C18336" s="277"/>
      <c r="M18336" s="277"/>
      <c r="O18336" s="247"/>
      <c r="AC18336" s="247"/>
      <c r="AT18336" s="247"/>
    </row>
    <row r="18337">
      <c r="C18337" s="277"/>
      <c r="M18337" s="277"/>
      <c r="O18337" s="247"/>
      <c r="AC18337" s="247"/>
      <c r="AT18337" s="247"/>
    </row>
    <row r="18338">
      <c r="C18338" s="277"/>
      <c r="M18338" s="277"/>
      <c r="O18338" s="247"/>
      <c r="AC18338" s="247"/>
      <c r="AT18338" s="247"/>
    </row>
    <row r="18339">
      <c r="C18339" s="277"/>
      <c r="M18339" s="277"/>
      <c r="O18339" s="247"/>
      <c r="AC18339" s="247"/>
      <c r="AT18339" s="247"/>
    </row>
    <row r="18340">
      <c r="C18340" s="277"/>
      <c r="M18340" s="277"/>
      <c r="O18340" s="247"/>
      <c r="AC18340" s="247"/>
      <c r="AT18340" s="247"/>
    </row>
    <row r="18341">
      <c r="C18341" s="277"/>
      <c r="M18341" s="277"/>
      <c r="O18341" s="247"/>
      <c r="AC18341" s="247"/>
      <c r="AT18341" s="247"/>
    </row>
    <row r="18342">
      <c r="C18342" s="277"/>
      <c r="M18342" s="277"/>
      <c r="O18342" s="247"/>
      <c r="AC18342" s="247"/>
      <c r="AT18342" s="247"/>
    </row>
    <row r="18343">
      <c r="C18343" s="277"/>
      <c r="M18343" s="277"/>
      <c r="O18343" s="247"/>
      <c r="AC18343" s="247"/>
      <c r="AT18343" s="247"/>
    </row>
    <row r="18344">
      <c r="C18344" s="277"/>
      <c r="M18344" s="277"/>
      <c r="O18344" s="247"/>
      <c r="AC18344" s="247"/>
      <c r="AT18344" s="247"/>
    </row>
    <row r="18345">
      <c r="C18345" s="277"/>
      <c r="M18345" s="277"/>
      <c r="O18345" s="247"/>
      <c r="AC18345" s="247"/>
      <c r="AT18345" s="247"/>
    </row>
    <row r="18346">
      <c r="C18346" s="277"/>
      <c r="M18346" s="277"/>
      <c r="O18346" s="247"/>
      <c r="AC18346" s="247"/>
      <c r="AT18346" s="247"/>
    </row>
    <row r="18347">
      <c r="C18347" s="277"/>
      <c r="M18347" s="277"/>
      <c r="O18347" s="247"/>
      <c r="AC18347" s="247"/>
      <c r="AT18347" s="247"/>
    </row>
    <row r="18348">
      <c r="C18348" s="277"/>
      <c r="M18348" s="277"/>
      <c r="O18348" s="247"/>
      <c r="AC18348" s="247"/>
      <c r="AT18348" s="247"/>
    </row>
    <row r="18349">
      <c r="C18349" s="277"/>
      <c r="M18349" s="277"/>
      <c r="O18349" s="247"/>
      <c r="AC18349" s="247"/>
      <c r="AT18349" s="247"/>
    </row>
    <row r="18350">
      <c r="C18350" s="277"/>
      <c r="M18350" s="277"/>
      <c r="O18350" s="247"/>
      <c r="AC18350" s="247"/>
      <c r="AT18350" s="247"/>
    </row>
    <row r="18351">
      <c r="C18351" s="277"/>
      <c r="M18351" s="277"/>
      <c r="O18351" s="247"/>
      <c r="AC18351" s="247"/>
      <c r="AT18351" s="247"/>
    </row>
    <row r="18352">
      <c r="C18352" s="277"/>
      <c r="M18352" s="277"/>
      <c r="O18352" s="247"/>
      <c r="AC18352" s="247"/>
      <c r="AT18352" s="247"/>
    </row>
    <row r="18353">
      <c r="C18353" s="277"/>
      <c r="M18353" s="277"/>
      <c r="O18353" s="247"/>
      <c r="AC18353" s="247"/>
      <c r="AT18353" s="247"/>
    </row>
    <row r="18354">
      <c r="C18354" s="277"/>
      <c r="M18354" s="277"/>
      <c r="O18354" s="247"/>
      <c r="AC18354" s="247"/>
      <c r="AT18354" s="247"/>
    </row>
    <row r="18355">
      <c r="C18355" s="277"/>
      <c r="M18355" s="277"/>
      <c r="O18355" s="247"/>
      <c r="AC18355" s="247"/>
      <c r="AT18355" s="247"/>
    </row>
    <row r="18356">
      <c r="C18356" s="277"/>
      <c r="M18356" s="277"/>
      <c r="O18356" s="247"/>
      <c r="AC18356" s="247"/>
      <c r="AT18356" s="247"/>
    </row>
    <row r="18357">
      <c r="C18357" s="277"/>
      <c r="M18357" s="277"/>
      <c r="O18357" s="247"/>
      <c r="AC18357" s="247"/>
      <c r="AT18357" s="247"/>
    </row>
    <row r="18358">
      <c r="C18358" s="277"/>
      <c r="M18358" s="277"/>
      <c r="O18358" s="247"/>
      <c r="AC18358" s="247"/>
      <c r="AT18358" s="247"/>
    </row>
    <row r="18359">
      <c r="C18359" s="277"/>
      <c r="M18359" s="277"/>
      <c r="O18359" s="247"/>
      <c r="AC18359" s="247"/>
      <c r="AT18359" s="247"/>
    </row>
    <row r="18360">
      <c r="C18360" s="277"/>
      <c r="M18360" s="277"/>
      <c r="O18360" s="247"/>
      <c r="AC18360" s="247"/>
      <c r="AT18360" s="247"/>
    </row>
    <row r="18361">
      <c r="C18361" s="277"/>
      <c r="M18361" s="277"/>
      <c r="O18361" s="247"/>
      <c r="AC18361" s="247"/>
      <c r="AT18361" s="247"/>
    </row>
    <row r="18362">
      <c r="C18362" s="277"/>
      <c r="M18362" s="277"/>
      <c r="O18362" s="247"/>
      <c r="AC18362" s="247"/>
      <c r="AT18362" s="247"/>
    </row>
    <row r="18363">
      <c r="C18363" s="277"/>
      <c r="M18363" s="277"/>
      <c r="O18363" s="247"/>
      <c r="AC18363" s="247"/>
      <c r="AT18363" s="247"/>
    </row>
    <row r="18364">
      <c r="C18364" s="277"/>
      <c r="M18364" s="277"/>
      <c r="O18364" s="247"/>
      <c r="AC18364" s="247"/>
      <c r="AT18364" s="247"/>
    </row>
    <row r="18365">
      <c r="C18365" s="277"/>
      <c r="M18365" s="277"/>
      <c r="O18365" s="247"/>
      <c r="AC18365" s="247"/>
      <c r="AT18365" s="247"/>
    </row>
    <row r="18366">
      <c r="C18366" s="277"/>
      <c r="M18366" s="277"/>
      <c r="O18366" s="247"/>
      <c r="AC18366" s="247"/>
      <c r="AT18366" s="247"/>
    </row>
    <row r="18367">
      <c r="C18367" s="277"/>
      <c r="M18367" s="277"/>
      <c r="O18367" s="247"/>
      <c r="AC18367" s="247"/>
      <c r="AT18367" s="247"/>
    </row>
    <row r="18368">
      <c r="C18368" s="277"/>
      <c r="M18368" s="277"/>
      <c r="O18368" s="247"/>
      <c r="AC18368" s="247"/>
      <c r="AT18368" s="247"/>
    </row>
    <row r="18369">
      <c r="C18369" s="277"/>
      <c r="M18369" s="277"/>
      <c r="O18369" s="247"/>
      <c r="AC18369" s="247"/>
      <c r="AT18369" s="247"/>
    </row>
    <row r="18370">
      <c r="C18370" s="277"/>
      <c r="M18370" s="277"/>
      <c r="O18370" s="247"/>
      <c r="AC18370" s="247"/>
      <c r="AT18370" s="247"/>
    </row>
    <row r="18371">
      <c r="C18371" s="277"/>
      <c r="M18371" s="277"/>
      <c r="O18371" s="247"/>
      <c r="AC18371" s="247"/>
      <c r="AT18371" s="247"/>
    </row>
    <row r="18372">
      <c r="C18372" s="277"/>
      <c r="M18372" s="277"/>
      <c r="O18372" s="247"/>
      <c r="AC18372" s="247"/>
      <c r="AT18372" s="247"/>
    </row>
    <row r="18373">
      <c r="C18373" s="277"/>
      <c r="M18373" s="277"/>
      <c r="O18373" s="247"/>
      <c r="AC18373" s="247"/>
      <c r="AT18373" s="247"/>
    </row>
    <row r="18374">
      <c r="C18374" s="277"/>
      <c r="M18374" s="277"/>
      <c r="O18374" s="247"/>
      <c r="AC18374" s="247"/>
      <c r="AT18374" s="247"/>
    </row>
    <row r="18375">
      <c r="C18375" s="277"/>
      <c r="M18375" s="277"/>
      <c r="O18375" s="247"/>
      <c r="AC18375" s="247"/>
      <c r="AT18375" s="247"/>
    </row>
    <row r="18376">
      <c r="C18376" s="277"/>
      <c r="M18376" s="277"/>
      <c r="O18376" s="247"/>
      <c r="AC18376" s="247"/>
      <c r="AT18376" s="247"/>
    </row>
    <row r="18377">
      <c r="C18377" s="277"/>
      <c r="M18377" s="277"/>
      <c r="O18377" s="247"/>
      <c r="AC18377" s="247"/>
      <c r="AT18377" s="247"/>
    </row>
    <row r="18378">
      <c r="C18378" s="277"/>
      <c r="M18378" s="277"/>
      <c r="O18378" s="247"/>
      <c r="AC18378" s="247"/>
      <c r="AT18378" s="247"/>
    </row>
    <row r="18379">
      <c r="C18379" s="277"/>
      <c r="M18379" s="277"/>
      <c r="O18379" s="247"/>
      <c r="AC18379" s="247"/>
      <c r="AT18379" s="247"/>
    </row>
    <row r="18380">
      <c r="C18380" s="277"/>
      <c r="M18380" s="277"/>
      <c r="O18380" s="247"/>
      <c r="AC18380" s="247"/>
      <c r="AT18380" s="247"/>
    </row>
    <row r="18381">
      <c r="C18381" s="277"/>
      <c r="M18381" s="277"/>
      <c r="O18381" s="247"/>
      <c r="AC18381" s="247"/>
      <c r="AT18381" s="247"/>
    </row>
    <row r="18382">
      <c r="C18382" s="277"/>
      <c r="M18382" s="277"/>
      <c r="O18382" s="247"/>
      <c r="AC18382" s="247"/>
      <c r="AT18382" s="247"/>
    </row>
    <row r="18383">
      <c r="C18383" s="277"/>
      <c r="M18383" s="277"/>
      <c r="O18383" s="247"/>
      <c r="AC18383" s="247"/>
      <c r="AT18383" s="247"/>
    </row>
    <row r="18384">
      <c r="C18384" s="277"/>
      <c r="M18384" s="277"/>
      <c r="O18384" s="247"/>
      <c r="AC18384" s="247"/>
      <c r="AT18384" s="247"/>
    </row>
    <row r="18385">
      <c r="C18385" s="277"/>
      <c r="M18385" s="277"/>
      <c r="O18385" s="247"/>
      <c r="AC18385" s="247"/>
      <c r="AT18385" s="247"/>
    </row>
    <row r="18386">
      <c r="C18386" s="277"/>
      <c r="M18386" s="277"/>
      <c r="O18386" s="247"/>
      <c r="AC18386" s="247"/>
      <c r="AT18386" s="247"/>
    </row>
    <row r="18387">
      <c r="C18387" s="277"/>
      <c r="M18387" s="277"/>
      <c r="O18387" s="247"/>
      <c r="AC18387" s="247"/>
      <c r="AT18387" s="247"/>
    </row>
    <row r="18388">
      <c r="C18388" s="277"/>
      <c r="M18388" s="277"/>
      <c r="O18388" s="247"/>
      <c r="AC18388" s="247"/>
      <c r="AT18388" s="247"/>
    </row>
    <row r="18389">
      <c r="C18389" s="277"/>
      <c r="M18389" s="277"/>
      <c r="O18389" s="247"/>
      <c r="AC18389" s="247"/>
      <c r="AT18389" s="247"/>
    </row>
    <row r="18390">
      <c r="C18390" s="277"/>
      <c r="M18390" s="277"/>
      <c r="O18390" s="247"/>
      <c r="AC18390" s="247"/>
      <c r="AT18390" s="247"/>
    </row>
    <row r="18391">
      <c r="C18391" s="277"/>
      <c r="M18391" s="277"/>
      <c r="O18391" s="247"/>
      <c r="AC18391" s="247"/>
      <c r="AT18391" s="247"/>
    </row>
    <row r="18392">
      <c r="C18392" s="277"/>
      <c r="M18392" s="277"/>
      <c r="O18392" s="247"/>
      <c r="AC18392" s="247"/>
      <c r="AT18392" s="247"/>
    </row>
    <row r="18393">
      <c r="C18393" s="277"/>
      <c r="M18393" s="277"/>
      <c r="O18393" s="247"/>
      <c r="AC18393" s="247"/>
      <c r="AT18393" s="247"/>
    </row>
    <row r="18394">
      <c r="C18394" s="277"/>
      <c r="M18394" s="277"/>
      <c r="O18394" s="247"/>
      <c r="AC18394" s="247"/>
      <c r="AT18394" s="247"/>
    </row>
    <row r="18395">
      <c r="C18395" s="277"/>
      <c r="M18395" s="277"/>
      <c r="O18395" s="247"/>
      <c r="AC18395" s="247"/>
      <c r="AT18395" s="247"/>
    </row>
    <row r="18396">
      <c r="C18396" s="277"/>
      <c r="M18396" s="277"/>
      <c r="O18396" s="247"/>
      <c r="AC18396" s="247"/>
      <c r="AT18396" s="247"/>
    </row>
    <row r="18397">
      <c r="C18397" s="277"/>
      <c r="M18397" s="277"/>
      <c r="O18397" s="247"/>
      <c r="AC18397" s="247"/>
      <c r="AT18397" s="247"/>
    </row>
    <row r="18398">
      <c r="C18398" s="277"/>
      <c r="M18398" s="277"/>
      <c r="O18398" s="247"/>
      <c r="AC18398" s="247"/>
      <c r="AT18398" s="247"/>
    </row>
    <row r="18399">
      <c r="C18399" s="277"/>
      <c r="M18399" s="277"/>
      <c r="O18399" s="247"/>
      <c r="AC18399" s="247"/>
      <c r="AT18399" s="247"/>
    </row>
    <row r="18400">
      <c r="C18400" s="277"/>
      <c r="M18400" s="277"/>
      <c r="O18400" s="247"/>
      <c r="AC18400" s="247"/>
      <c r="AT18400" s="247"/>
    </row>
    <row r="18401">
      <c r="C18401" s="277"/>
      <c r="M18401" s="277"/>
      <c r="O18401" s="247"/>
      <c r="AC18401" s="247"/>
      <c r="AT18401" s="247"/>
    </row>
    <row r="18402">
      <c r="C18402" s="277"/>
      <c r="M18402" s="277"/>
      <c r="O18402" s="247"/>
      <c r="AC18402" s="247"/>
      <c r="AT18402" s="247"/>
    </row>
    <row r="18403">
      <c r="C18403" s="277"/>
      <c r="M18403" s="277"/>
      <c r="O18403" s="247"/>
      <c r="AC18403" s="247"/>
      <c r="AT18403" s="247"/>
    </row>
    <row r="18404">
      <c r="C18404" s="277"/>
      <c r="M18404" s="277"/>
      <c r="O18404" s="247"/>
      <c r="AC18404" s="247"/>
      <c r="AT18404" s="247"/>
    </row>
    <row r="18405">
      <c r="C18405" s="277"/>
      <c r="M18405" s="277"/>
      <c r="O18405" s="247"/>
      <c r="AC18405" s="247"/>
      <c r="AT18405" s="247"/>
    </row>
    <row r="18406">
      <c r="C18406" s="277"/>
      <c r="M18406" s="277"/>
      <c r="O18406" s="247"/>
      <c r="AC18406" s="247"/>
      <c r="AT18406" s="247"/>
    </row>
    <row r="18407">
      <c r="C18407" s="277"/>
      <c r="M18407" s="277"/>
      <c r="O18407" s="247"/>
      <c r="AC18407" s="247"/>
      <c r="AT18407" s="247"/>
    </row>
    <row r="18408">
      <c r="C18408" s="277"/>
      <c r="M18408" s="277"/>
      <c r="O18408" s="247"/>
      <c r="AC18408" s="247"/>
      <c r="AT18408" s="247"/>
    </row>
    <row r="18409">
      <c r="C18409" s="277"/>
      <c r="M18409" s="277"/>
      <c r="O18409" s="247"/>
      <c r="AC18409" s="247"/>
      <c r="AT18409" s="247"/>
    </row>
    <row r="18410">
      <c r="C18410" s="277"/>
      <c r="M18410" s="277"/>
      <c r="O18410" s="247"/>
      <c r="AC18410" s="247"/>
      <c r="AT18410" s="247"/>
    </row>
    <row r="18411">
      <c r="C18411" s="277"/>
      <c r="M18411" s="277"/>
      <c r="O18411" s="247"/>
      <c r="AC18411" s="247"/>
      <c r="AT18411" s="247"/>
    </row>
    <row r="18412">
      <c r="C18412" s="277"/>
      <c r="M18412" s="277"/>
      <c r="O18412" s="247"/>
      <c r="AC18412" s="247"/>
      <c r="AT18412" s="247"/>
    </row>
    <row r="18413">
      <c r="C18413" s="277"/>
      <c r="M18413" s="277"/>
      <c r="O18413" s="247"/>
      <c r="AC18413" s="247"/>
      <c r="AT18413" s="247"/>
    </row>
    <row r="18414">
      <c r="C18414" s="277"/>
      <c r="M18414" s="277"/>
      <c r="O18414" s="247"/>
      <c r="AC18414" s="247"/>
      <c r="AT18414" s="247"/>
    </row>
    <row r="18415">
      <c r="C18415" s="277"/>
      <c r="M18415" s="277"/>
      <c r="O18415" s="247"/>
      <c r="AC18415" s="247"/>
      <c r="AT18415" s="247"/>
    </row>
    <row r="18416">
      <c r="C18416" s="277"/>
      <c r="M18416" s="277"/>
      <c r="O18416" s="247"/>
      <c r="AC18416" s="247"/>
      <c r="AT18416" s="247"/>
    </row>
    <row r="18417">
      <c r="C18417" s="277"/>
      <c r="M18417" s="277"/>
      <c r="O18417" s="247"/>
      <c r="AC18417" s="247"/>
      <c r="AT18417" s="247"/>
    </row>
    <row r="18418">
      <c r="C18418" s="277"/>
      <c r="M18418" s="277"/>
      <c r="O18418" s="247"/>
      <c r="AC18418" s="247"/>
      <c r="AT18418" s="247"/>
    </row>
    <row r="18419">
      <c r="C18419" s="277"/>
      <c r="M18419" s="277"/>
      <c r="O18419" s="247"/>
      <c r="AC18419" s="247"/>
      <c r="AT18419" s="247"/>
    </row>
    <row r="18420">
      <c r="C18420" s="277"/>
      <c r="M18420" s="277"/>
      <c r="O18420" s="247"/>
      <c r="AC18420" s="247"/>
      <c r="AT18420" s="247"/>
    </row>
    <row r="18421">
      <c r="C18421" s="277"/>
      <c r="M18421" s="277"/>
      <c r="O18421" s="247"/>
      <c r="AC18421" s="247"/>
      <c r="AT18421" s="247"/>
    </row>
    <row r="18422">
      <c r="C18422" s="277"/>
      <c r="M18422" s="277"/>
      <c r="O18422" s="247"/>
      <c r="AC18422" s="247"/>
      <c r="AT18422" s="247"/>
    </row>
    <row r="18423">
      <c r="C18423" s="277"/>
      <c r="M18423" s="277"/>
      <c r="O18423" s="247"/>
      <c r="AC18423" s="247"/>
      <c r="AT18423" s="247"/>
    </row>
    <row r="18424">
      <c r="C18424" s="277"/>
      <c r="M18424" s="277"/>
      <c r="O18424" s="247"/>
      <c r="AC18424" s="247"/>
      <c r="AT18424" s="247"/>
    </row>
    <row r="18425">
      <c r="C18425" s="277"/>
      <c r="M18425" s="277"/>
      <c r="O18425" s="247"/>
      <c r="AC18425" s="247"/>
      <c r="AT18425" s="247"/>
    </row>
    <row r="18426">
      <c r="C18426" s="277"/>
      <c r="M18426" s="277"/>
      <c r="O18426" s="247"/>
      <c r="AC18426" s="247"/>
      <c r="AT18426" s="247"/>
    </row>
    <row r="18427">
      <c r="C18427" s="277"/>
      <c r="M18427" s="277"/>
      <c r="O18427" s="247"/>
      <c r="AC18427" s="247"/>
      <c r="AT18427" s="247"/>
    </row>
    <row r="18428">
      <c r="C18428" s="277"/>
      <c r="M18428" s="277"/>
      <c r="O18428" s="247"/>
      <c r="AC18428" s="247"/>
      <c r="AT18428" s="247"/>
    </row>
    <row r="18429">
      <c r="C18429" s="277"/>
      <c r="M18429" s="277"/>
      <c r="O18429" s="247"/>
      <c r="AC18429" s="247"/>
      <c r="AT18429" s="247"/>
    </row>
    <row r="18430">
      <c r="C18430" s="277"/>
      <c r="M18430" s="277"/>
      <c r="O18430" s="247"/>
      <c r="AC18430" s="247"/>
      <c r="AT18430" s="247"/>
    </row>
    <row r="18431">
      <c r="C18431" s="277"/>
      <c r="M18431" s="277"/>
      <c r="O18431" s="247"/>
      <c r="AC18431" s="247"/>
      <c r="AT18431" s="247"/>
    </row>
    <row r="18432">
      <c r="C18432" s="277"/>
      <c r="M18432" s="277"/>
      <c r="O18432" s="247"/>
      <c r="AC18432" s="247"/>
      <c r="AT18432" s="247"/>
    </row>
    <row r="18433">
      <c r="C18433" s="277"/>
      <c r="M18433" s="277"/>
      <c r="O18433" s="247"/>
      <c r="AC18433" s="247"/>
      <c r="AT18433" s="247"/>
    </row>
    <row r="18434">
      <c r="C18434" s="277"/>
      <c r="M18434" s="277"/>
      <c r="O18434" s="247"/>
      <c r="AC18434" s="247"/>
      <c r="AT18434" s="247"/>
    </row>
    <row r="18435">
      <c r="C18435" s="277"/>
      <c r="M18435" s="277"/>
      <c r="O18435" s="247"/>
      <c r="AC18435" s="247"/>
      <c r="AT18435" s="247"/>
    </row>
    <row r="18436">
      <c r="C18436" s="277"/>
      <c r="M18436" s="277"/>
      <c r="O18436" s="247"/>
      <c r="AC18436" s="247"/>
      <c r="AT18436" s="247"/>
    </row>
    <row r="18437">
      <c r="C18437" s="277"/>
      <c r="M18437" s="277"/>
      <c r="O18437" s="247"/>
      <c r="AC18437" s="247"/>
      <c r="AT18437" s="247"/>
    </row>
    <row r="18438">
      <c r="C18438" s="277"/>
      <c r="M18438" s="277"/>
      <c r="O18438" s="247"/>
      <c r="AC18438" s="247"/>
      <c r="AT18438" s="247"/>
    </row>
    <row r="18439">
      <c r="C18439" s="277"/>
      <c r="M18439" s="277"/>
      <c r="O18439" s="247"/>
      <c r="AC18439" s="247"/>
      <c r="AT18439" s="247"/>
    </row>
    <row r="18440">
      <c r="C18440" s="277"/>
      <c r="M18440" s="277"/>
      <c r="O18440" s="247"/>
      <c r="AC18440" s="247"/>
      <c r="AT18440" s="247"/>
    </row>
    <row r="18441">
      <c r="C18441" s="277"/>
      <c r="M18441" s="277"/>
      <c r="O18441" s="247"/>
      <c r="AC18441" s="247"/>
      <c r="AT18441" s="247"/>
    </row>
    <row r="18442">
      <c r="C18442" s="277"/>
      <c r="M18442" s="277"/>
      <c r="O18442" s="247"/>
      <c r="AC18442" s="247"/>
      <c r="AT18442" s="247"/>
    </row>
    <row r="18443">
      <c r="C18443" s="277"/>
      <c r="M18443" s="277"/>
      <c r="O18443" s="247"/>
      <c r="AC18443" s="247"/>
      <c r="AT18443" s="247"/>
    </row>
    <row r="18444">
      <c r="C18444" s="277"/>
      <c r="M18444" s="277"/>
      <c r="O18444" s="247"/>
      <c r="AC18444" s="247"/>
      <c r="AT18444" s="247"/>
    </row>
    <row r="18445">
      <c r="C18445" s="277"/>
      <c r="M18445" s="277"/>
      <c r="O18445" s="247"/>
      <c r="AC18445" s="247"/>
      <c r="AT18445" s="247"/>
    </row>
    <row r="18446">
      <c r="C18446" s="277"/>
      <c r="M18446" s="277"/>
      <c r="O18446" s="247"/>
      <c r="AC18446" s="247"/>
      <c r="AT18446" s="247"/>
    </row>
    <row r="18447">
      <c r="C18447" s="277"/>
      <c r="M18447" s="277"/>
      <c r="O18447" s="247"/>
      <c r="AC18447" s="247"/>
      <c r="AT18447" s="247"/>
    </row>
    <row r="18448">
      <c r="C18448" s="277"/>
      <c r="M18448" s="277"/>
      <c r="O18448" s="247"/>
      <c r="AC18448" s="247"/>
      <c r="AT18448" s="247"/>
    </row>
    <row r="18449">
      <c r="C18449" s="277"/>
      <c r="M18449" s="277"/>
      <c r="O18449" s="247"/>
      <c r="AC18449" s="247"/>
      <c r="AT18449" s="247"/>
    </row>
    <row r="18450">
      <c r="C18450" s="277"/>
      <c r="M18450" s="277"/>
      <c r="O18450" s="247"/>
      <c r="AC18450" s="247"/>
      <c r="AT18450" s="247"/>
    </row>
    <row r="18451">
      <c r="C18451" s="277"/>
      <c r="M18451" s="277"/>
      <c r="O18451" s="247"/>
      <c r="AC18451" s="247"/>
      <c r="AT18451" s="247"/>
    </row>
    <row r="18452">
      <c r="C18452" s="277"/>
      <c r="M18452" s="277"/>
      <c r="O18452" s="247"/>
      <c r="AC18452" s="247"/>
      <c r="AT18452" s="247"/>
    </row>
    <row r="18453">
      <c r="C18453" s="277"/>
      <c r="M18453" s="277"/>
      <c r="O18453" s="247"/>
      <c r="AC18453" s="247"/>
      <c r="AT18453" s="247"/>
    </row>
    <row r="18454">
      <c r="C18454" s="277"/>
      <c r="M18454" s="277"/>
      <c r="O18454" s="247"/>
      <c r="AC18454" s="247"/>
      <c r="AT18454" s="247"/>
    </row>
    <row r="18455">
      <c r="C18455" s="277"/>
      <c r="M18455" s="277"/>
      <c r="O18455" s="247"/>
      <c r="AC18455" s="247"/>
      <c r="AT18455" s="247"/>
    </row>
    <row r="18456">
      <c r="C18456" s="277"/>
      <c r="M18456" s="277"/>
      <c r="O18456" s="247"/>
      <c r="AC18456" s="247"/>
      <c r="AT18456" s="247"/>
    </row>
    <row r="18457">
      <c r="C18457" s="277"/>
      <c r="M18457" s="277"/>
      <c r="O18457" s="247"/>
      <c r="AC18457" s="247"/>
      <c r="AT18457" s="247"/>
    </row>
    <row r="18458">
      <c r="C18458" s="277"/>
      <c r="M18458" s="277"/>
      <c r="O18458" s="247"/>
      <c r="AC18458" s="247"/>
      <c r="AT18458" s="247"/>
    </row>
    <row r="18459">
      <c r="C18459" s="277"/>
      <c r="M18459" s="277"/>
      <c r="O18459" s="247"/>
      <c r="AC18459" s="247"/>
      <c r="AT18459" s="247"/>
    </row>
    <row r="18460">
      <c r="C18460" s="277"/>
      <c r="M18460" s="277"/>
      <c r="O18460" s="247"/>
      <c r="AC18460" s="247"/>
      <c r="AT18460" s="247"/>
    </row>
    <row r="18461">
      <c r="C18461" s="277"/>
      <c r="M18461" s="277"/>
      <c r="O18461" s="247"/>
      <c r="AC18461" s="247"/>
      <c r="AT18461" s="247"/>
    </row>
    <row r="18462">
      <c r="C18462" s="277"/>
      <c r="M18462" s="277"/>
      <c r="O18462" s="247"/>
      <c r="AC18462" s="247"/>
      <c r="AT18462" s="247"/>
    </row>
    <row r="18463">
      <c r="C18463" s="277"/>
      <c r="M18463" s="277"/>
      <c r="O18463" s="247"/>
      <c r="AC18463" s="247"/>
      <c r="AT18463" s="247"/>
    </row>
    <row r="18464">
      <c r="C18464" s="277"/>
      <c r="M18464" s="277"/>
      <c r="O18464" s="247"/>
      <c r="AC18464" s="247"/>
      <c r="AT18464" s="247"/>
    </row>
    <row r="18465">
      <c r="C18465" s="277"/>
      <c r="M18465" s="277"/>
      <c r="O18465" s="247"/>
      <c r="AC18465" s="247"/>
      <c r="AT18465" s="247"/>
    </row>
    <row r="18466">
      <c r="C18466" s="277"/>
      <c r="M18466" s="277"/>
      <c r="O18466" s="247"/>
      <c r="AC18466" s="247"/>
      <c r="AT18466" s="247"/>
    </row>
    <row r="18467">
      <c r="C18467" s="277"/>
      <c r="M18467" s="277"/>
      <c r="O18467" s="247"/>
      <c r="AC18467" s="247"/>
      <c r="AT18467" s="247"/>
    </row>
    <row r="18468">
      <c r="C18468" s="277"/>
      <c r="M18468" s="277"/>
      <c r="O18468" s="247"/>
      <c r="AC18468" s="247"/>
      <c r="AT18468" s="247"/>
    </row>
    <row r="18469">
      <c r="C18469" s="277"/>
      <c r="M18469" s="277"/>
      <c r="O18469" s="247"/>
      <c r="AC18469" s="247"/>
      <c r="AT18469" s="247"/>
    </row>
    <row r="18470">
      <c r="C18470" s="277"/>
      <c r="M18470" s="277"/>
      <c r="O18470" s="247"/>
      <c r="AC18470" s="247"/>
      <c r="AT18470" s="247"/>
    </row>
    <row r="18471">
      <c r="C18471" s="277"/>
      <c r="M18471" s="277"/>
      <c r="O18471" s="247"/>
      <c r="AC18471" s="247"/>
      <c r="AT18471" s="247"/>
    </row>
    <row r="18472">
      <c r="C18472" s="277"/>
      <c r="M18472" s="277"/>
      <c r="O18472" s="247"/>
      <c r="AC18472" s="247"/>
      <c r="AT18472" s="247"/>
    </row>
    <row r="18473">
      <c r="C18473" s="277"/>
      <c r="M18473" s="277"/>
      <c r="O18473" s="247"/>
      <c r="AC18473" s="247"/>
      <c r="AT18473" s="247"/>
    </row>
    <row r="18474">
      <c r="C18474" s="277"/>
      <c r="M18474" s="277"/>
      <c r="O18474" s="247"/>
      <c r="AC18474" s="247"/>
      <c r="AT18474" s="247"/>
    </row>
    <row r="18475">
      <c r="C18475" s="277"/>
      <c r="M18475" s="277"/>
      <c r="O18475" s="247"/>
      <c r="AC18475" s="247"/>
      <c r="AT18475" s="247"/>
    </row>
    <row r="18476">
      <c r="C18476" s="277"/>
      <c r="M18476" s="277"/>
      <c r="O18476" s="247"/>
      <c r="AC18476" s="247"/>
      <c r="AT18476" s="247"/>
    </row>
    <row r="18477">
      <c r="C18477" s="277"/>
      <c r="M18477" s="277"/>
      <c r="O18477" s="247"/>
      <c r="AC18477" s="247"/>
      <c r="AT18477" s="247"/>
    </row>
    <row r="18478">
      <c r="C18478" s="277"/>
      <c r="M18478" s="277"/>
      <c r="O18478" s="247"/>
      <c r="AC18478" s="247"/>
      <c r="AT18478" s="247"/>
    </row>
    <row r="18479">
      <c r="C18479" s="277"/>
      <c r="M18479" s="277"/>
      <c r="O18479" s="247"/>
      <c r="AC18479" s="247"/>
      <c r="AT18479" s="247"/>
    </row>
    <row r="18480">
      <c r="C18480" s="277"/>
      <c r="M18480" s="277"/>
      <c r="O18480" s="247"/>
      <c r="AC18480" s="247"/>
      <c r="AT18480" s="247"/>
    </row>
    <row r="18481">
      <c r="C18481" s="277"/>
      <c r="M18481" s="277"/>
      <c r="O18481" s="247"/>
      <c r="AC18481" s="247"/>
      <c r="AT18481" s="247"/>
    </row>
    <row r="18482">
      <c r="C18482" s="277"/>
      <c r="M18482" s="277"/>
      <c r="O18482" s="247"/>
      <c r="AC18482" s="247"/>
      <c r="AT18482" s="247"/>
    </row>
    <row r="18483">
      <c r="C18483" s="277"/>
      <c r="M18483" s="277"/>
      <c r="O18483" s="247"/>
      <c r="AC18483" s="247"/>
      <c r="AT18483" s="247"/>
    </row>
    <row r="18484">
      <c r="C18484" s="277"/>
      <c r="M18484" s="277"/>
      <c r="O18484" s="247"/>
      <c r="AC18484" s="247"/>
      <c r="AT18484" s="247"/>
    </row>
    <row r="18485">
      <c r="C18485" s="277"/>
      <c r="M18485" s="277"/>
      <c r="O18485" s="247"/>
      <c r="AC18485" s="247"/>
      <c r="AT18485" s="247"/>
    </row>
    <row r="18486">
      <c r="C18486" s="277"/>
      <c r="M18486" s="277"/>
      <c r="O18486" s="247"/>
      <c r="AC18486" s="247"/>
      <c r="AT18486" s="247"/>
    </row>
    <row r="18487">
      <c r="C18487" s="277"/>
      <c r="M18487" s="277"/>
      <c r="O18487" s="247"/>
      <c r="AC18487" s="247"/>
      <c r="AT18487" s="247"/>
    </row>
    <row r="18488">
      <c r="C18488" s="277"/>
      <c r="M18488" s="277"/>
      <c r="O18488" s="247"/>
      <c r="AC18488" s="247"/>
      <c r="AT18488" s="247"/>
    </row>
    <row r="18489">
      <c r="C18489" s="277"/>
      <c r="M18489" s="277"/>
      <c r="O18489" s="247"/>
      <c r="AC18489" s="247"/>
      <c r="AT18489" s="247"/>
    </row>
    <row r="18490">
      <c r="C18490" s="277"/>
      <c r="M18490" s="277"/>
      <c r="O18490" s="247"/>
      <c r="AC18490" s="247"/>
      <c r="AT18490" s="247"/>
    </row>
    <row r="18491">
      <c r="C18491" s="277"/>
      <c r="M18491" s="277"/>
      <c r="O18491" s="247"/>
      <c r="AC18491" s="247"/>
      <c r="AT18491" s="247"/>
    </row>
    <row r="18492">
      <c r="C18492" s="277"/>
      <c r="M18492" s="277"/>
      <c r="O18492" s="247"/>
      <c r="AC18492" s="247"/>
      <c r="AT18492" s="247"/>
    </row>
    <row r="18493">
      <c r="C18493" s="277"/>
      <c r="M18493" s="277"/>
      <c r="O18493" s="247"/>
      <c r="AC18493" s="247"/>
      <c r="AT18493" s="247"/>
    </row>
    <row r="18494">
      <c r="C18494" s="277"/>
      <c r="M18494" s="277"/>
      <c r="O18494" s="247"/>
      <c r="AC18494" s="247"/>
      <c r="AT18494" s="247"/>
    </row>
    <row r="18495">
      <c r="C18495" s="277"/>
      <c r="M18495" s="277"/>
      <c r="O18495" s="247"/>
      <c r="AC18495" s="247"/>
      <c r="AT18495" s="247"/>
    </row>
    <row r="18496">
      <c r="C18496" s="277"/>
      <c r="M18496" s="277"/>
      <c r="O18496" s="247"/>
      <c r="AC18496" s="247"/>
      <c r="AT18496" s="247"/>
    </row>
    <row r="18497">
      <c r="C18497" s="277"/>
      <c r="M18497" s="277"/>
      <c r="O18497" s="247"/>
      <c r="AC18497" s="247"/>
      <c r="AT18497" s="247"/>
    </row>
    <row r="18498">
      <c r="C18498" s="277"/>
      <c r="M18498" s="277"/>
      <c r="O18498" s="247"/>
      <c r="AC18498" s="247"/>
      <c r="AT18498" s="247"/>
    </row>
    <row r="18499">
      <c r="C18499" s="277"/>
      <c r="M18499" s="277"/>
      <c r="O18499" s="247"/>
      <c r="AC18499" s="247"/>
      <c r="AT18499" s="247"/>
    </row>
    <row r="18500">
      <c r="C18500" s="277"/>
      <c r="M18500" s="277"/>
      <c r="O18500" s="247"/>
      <c r="AC18500" s="247"/>
      <c r="AT18500" s="247"/>
    </row>
    <row r="18501">
      <c r="C18501" s="277"/>
      <c r="M18501" s="277"/>
      <c r="O18501" s="247"/>
      <c r="AC18501" s="247"/>
      <c r="AT18501" s="247"/>
    </row>
    <row r="18502">
      <c r="C18502" s="277"/>
      <c r="M18502" s="277"/>
      <c r="O18502" s="247"/>
      <c r="AC18502" s="247"/>
      <c r="AT18502" s="247"/>
    </row>
    <row r="18503">
      <c r="C18503" s="277"/>
      <c r="M18503" s="277"/>
      <c r="O18503" s="247"/>
      <c r="AC18503" s="247"/>
      <c r="AT18503" s="247"/>
    </row>
    <row r="18504">
      <c r="C18504" s="277"/>
      <c r="M18504" s="277"/>
      <c r="O18504" s="247"/>
      <c r="AC18504" s="247"/>
      <c r="AT18504" s="247"/>
    </row>
    <row r="18505">
      <c r="C18505" s="277"/>
      <c r="M18505" s="277"/>
      <c r="O18505" s="247"/>
      <c r="AC18505" s="247"/>
      <c r="AT18505" s="247"/>
    </row>
    <row r="18506">
      <c r="C18506" s="277"/>
      <c r="M18506" s="277"/>
      <c r="O18506" s="247"/>
      <c r="AC18506" s="247"/>
      <c r="AT18506" s="247"/>
    </row>
    <row r="18507">
      <c r="C18507" s="277"/>
      <c r="M18507" s="277"/>
      <c r="O18507" s="247"/>
      <c r="AC18507" s="247"/>
      <c r="AT18507" s="247"/>
    </row>
    <row r="18508">
      <c r="C18508" s="277"/>
      <c r="M18508" s="277"/>
      <c r="O18508" s="247"/>
      <c r="AC18508" s="247"/>
      <c r="AT18508" s="247"/>
    </row>
    <row r="18509">
      <c r="C18509" s="277"/>
      <c r="M18509" s="277"/>
      <c r="O18509" s="247"/>
      <c r="AC18509" s="247"/>
      <c r="AT18509" s="247"/>
    </row>
    <row r="18510">
      <c r="C18510" s="277"/>
      <c r="M18510" s="277"/>
      <c r="O18510" s="247"/>
      <c r="AC18510" s="247"/>
      <c r="AT18510" s="247"/>
    </row>
    <row r="18511">
      <c r="C18511" s="277"/>
      <c r="M18511" s="277"/>
      <c r="O18511" s="247"/>
      <c r="AC18511" s="247"/>
      <c r="AT18511" s="247"/>
    </row>
    <row r="18512">
      <c r="C18512" s="277"/>
      <c r="M18512" s="277"/>
      <c r="O18512" s="247"/>
      <c r="AC18512" s="247"/>
      <c r="AT18512" s="247"/>
    </row>
    <row r="18513">
      <c r="C18513" s="277"/>
      <c r="M18513" s="277"/>
      <c r="O18513" s="247"/>
      <c r="AC18513" s="247"/>
      <c r="AT18513" s="247"/>
    </row>
    <row r="18514">
      <c r="C18514" s="277"/>
      <c r="M18514" s="277"/>
      <c r="O18514" s="247"/>
      <c r="AC18514" s="247"/>
      <c r="AT18514" s="247"/>
    </row>
    <row r="18515">
      <c r="C18515" s="277"/>
      <c r="M18515" s="277"/>
      <c r="O18515" s="247"/>
      <c r="AC18515" s="247"/>
      <c r="AT18515" s="247"/>
    </row>
    <row r="18516">
      <c r="C18516" s="277"/>
      <c r="M18516" s="277"/>
      <c r="O18516" s="247"/>
      <c r="AC18516" s="247"/>
      <c r="AT18516" s="247"/>
    </row>
    <row r="18517">
      <c r="C18517" s="277"/>
      <c r="M18517" s="277"/>
      <c r="O18517" s="247"/>
      <c r="AC18517" s="247"/>
      <c r="AT18517" s="247"/>
    </row>
    <row r="18518">
      <c r="C18518" s="277"/>
      <c r="M18518" s="277"/>
      <c r="O18518" s="247"/>
      <c r="AC18518" s="247"/>
      <c r="AT18518" s="247"/>
    </row>
    <row r="18519">
      <c r="C18519" s="277"/>
      <c r="M18519" s="277"/>
      <c r="O18519" s="247"/>
      <c r="AC18519" s="247"/>
      <c r="AT18519" s="247"/>
    </row>
    <row r="18520">
      <c r="C18520" s="277"/>
      <c r="M18520" s="277"/>
      <c r="O18520" s="247"/>
      <c r="AC18520" s="247"/>
      <c r="AT18520" s="247"/>
    </row>
    <row r="18521">
      <c r="C18521" s="277"/>
      <c r="M18521" s="277"/>
      <c r="O18521" s="247"/>
      <c r="AC18521" s="247"/>
      <c r="AT18521" s="247"/>
    </row>
    <row r="18522">
      <c r="C18522" s="277"/>
      <c r="M18522" s="277"/>
      <c r="O18522" s="247"/>
      <c r="AC18522" s="247"/>
      <c r="AT18522" s="247"/>
    </row>
    <row r="18523">
      <c r="C18523" s="277"/>
      <c r="M18523" s="277"/>
      <c r="O18523" s="247"/>
      <c r="AC18523" s="247"/>
      <c r="AT18523" s="247"/>
    </row>
    <row r="18524">
      <c r="C18524" s="277"/>
      <c r="M18524" s="277"/>
      <c r="O18524" s="247"/>
      <c r="AC18524" s="247"/>
      <c r="AT18524" s="247"/>
    </row>
    <row r="18525">
      <c r="C18525" s="277"/>
      <c r="M18525" s="277"/>
      <c r="O18525" s="247"/>
      <c r="AC18525" s="247"/>
      <c r="AT18525" s="247"/>
    </row>
    <row r="18526">
      <c r="C18526" s="277"/>
      <c r="M18526" s="277"/>
      <c r="O18526" s="247"/>
      <c r="AC18526" s="247"/>
      <c r="AT18526" s="247"/>
    </row>
    <row r="18527">
      <c r="C18527" s="277"/>
      <c r="M18527" s="277"/>
      <c r="O18527" s="247"/>
      <c r="AC18527" s="247"/>
      <c r="AT18527" s="247"/>
    </row>
    <row r="18528">
      <c r="C18528" s="277"/>
      <c r="M18528" s="277"/>
      <c r="O18528" s="247"/>
      <c r="AC18528" s="247"/>
      <c r="AT18528" s="247"/>
    </row>
    <row r="18529">
      <c r="C18529" s="277"/>
      <c r="M18529" s="277"/>
      <c r="O18529" s="247"/>
      <c r="AC18529" s="247"/>
      <c r="AT18529" s="247"/>
    </row>
    <row r="18530">
      <c r="C18530" s="277"/>
      <c r="M18530" s="277"/>
      <c r="O18530" s="247"/>
      <c r="AC18530" s="247"/>
      <c r="AT18530" s="247"/>
    </row>
    <row r="18531">
      <c r="C18531" s="277"/>
      <c r="M18531" s="277"/>
      <c r="O18531" s="247"/>
      <c r="AC18531" s="247"/>
      <c r="AT18531" s="247"/>
    </row>
    <row r="18532">
      <c r="C18532" s="277"/>
      <c r="M18532" s="277"/>
      <c r="O18532" s="247"/>
      <c r="AC18532" s="247"/>
      <c r="AT18532" s="247"/>
    </row>
    <row r="18533">
      <c r="C18533" s="277"/>
      <c r="M18533" s="277"/>
      <c r="O18533" s="247"/>
      <c r="AC18533" s="247"/>
      <c r="AT18533" s="247"/>
    </row>
    <row r="18534">
      <c r="C18534" s="277"/>
      <c r="M18534" s="277"/>
      <c r="O18534" s="247"/>
      <c r="AC18534" s="247"/>
      <c r="AT18534" s="247"/>
    </row>
    <row r="18535">
      <c r="C18535" s="277"/>
      <c r="M18535" s="277"/>
      <c r="O18535" s="247"/>
      <c r="AC18535" s="247"/>
      <c r="AT18535" s="247"/>
    </row>
    <row r="18536">
      <c r="C18536" s="277"/>
      <c r="M18536" s="277"/>
      <c r="O18536" s="247"/>
      <c r="AC18536" s="247"/>
      <c r="AT18536" s="247"/>
    </row>
    <row r="18537">
      <c r="C18537" s="277"/>
      <c r="M18537" s="277"/>
      <c r="O18537" s="247"/>
      <c r="AC18537" s="247"/>
      <c r="AT18537" s="247"/>
    </row>
    <row r="18538">
      <c r="C18538" s="277"/>
      <c r="M18538" s="277"/>
      <c r="O18538" s="247"/>
      <c r="AC18538" s="247"/>
      <c r="AT18538" s="247"/>
    </row>
    <row r="18539">
      <c r="C18539" s="277"/>
      <c r="M18539" s="277"/>
      <c r="O18539" s="247"/>
      <c r="AC18539" s="247"/>
      <c r="AT18539" s="247"/>
    </row>
    <row r="18540">
      <c r="C18540" s="277"/>
      <c r="M18540" s="277"/>
      <c r="O18540" s="247"/>
      <c r="AC18540" s="247"/>
      <c r="AT18540" s="247"/>
    </row>
    <row r="18541">
      <c r="C18541" s="277"/>
      <c r="M18541" s="277"/>
      <c r="O18541" s="247"/>
      <c r="AC18541" s="247"/>
      <c r="AT18541" s="247"/>
    </row>
    <row r="18542">
      <c r="C18542" s="277"/>
      <c r="M18542" s="277"/>
      <c r="O18542" s="247"/>
      <c r="AC18542" s="247"/>
      <c r="AT18542" s="247"/>
    </row>
    <row r="18543">
      <c r="C18543" s="277"/>
      <c r="M18543" s="277"/>
      <c r="O18543" s="247"/>
      <c r="AC18543" s="247"/>
      <c r="AT18543" s="247"/>
    </row>
    <row r="18544">
      <c r="C18544" s="277"/>
      <c r="M18544" s="277"/>
      <c r="O18544" s="247"/>
      <c r="AC18544" s="247"/>
      <c r="AT18544" s="247"/>
    </row>
    <row r="18545">
      <c r="C18545" s="277"/>
      <c r="M18545" s="277"/>
      <c r="O18545" s="247"/>
      <c r="AC18545" s="247"/>
      <c r="AT18545" s="247"/>
    </row>
    <row r="18546">
      <c r="C18546" s="277"/>
      <c r="M18546" s="277"/>
      <c r="O18546" s="247"/>
      <c r="AC18546" s="247"/>
      <c r="AT18546" s="247"/>
    </row>
    <row r="18547">
      <c r="C18547" s="277"/>
      <c r="M18547" s="277"/>
      <c r="O18547" s="247"/>
      <c r="AC18547" s="247"/>
      <c r="AT18547" s="247"/>
    </row>
    <row r="18548">
      <c r="C18548" s="277"/>
      <c r="M18548" s="277"/>
      <c r="O18548" s="247"/>
      <c r="AC18548" s="247"/>
      <c r="AT18548" s="247"/>
    </row>
    <row r="18549">
      <c r="C18549" s="277"/>
      <c r="M18549" s="277"/>
      <c r="O18549" s="247"/>
      <c r="AC18549" s="247"/>
      <c r="AT18549" s="247"/>
    </row>
    <row r="18550">
      <c r="C18550" s="277"/>
      <c r="M18550" s="277"/>
      <c r="O18550" s="247"/>
      <c r="AC18550" s="247"/>
      <c r="AT18550" s="247"/>
    </row>
    <row r="18551">
      <c r="C18551" s="277"/>
      <c r="M18551" s="277"/>
      <c r="O18551" s="247"/>
      <c r="AC18551" s="247"/>
      <c r="AT18551" s="247"/>
    </row>
    <row r="18552">
      <c r="C18552" s="277"/>
      <c r="M18552" s="277"/>
      <c r="O18552" s="247"/>
      <c r="AC18552" s="247"/>
      <c r="AT18552" s="247"/>
    </row>
    <row r="18553">
      <c r="C18553" s="277"/>
      <c r="M18553" s="277"/>
      <c r="O18553" s="247"/>
      <c r="AC18553" s="247"/>
      <c r="AT18553" s="247"/>
    </row>
    <row r="18554">
      <c r="C18554" s="277"/>
      <c r="M18554" s="277"/>
      <c r="O18554" s="247"/>
      <c r="AC18554" s="247"/>
      <c r="AT18554" s="247"/>
    </row>
    <row r="18555">
      <c r="C18555" s="277"/>
      <c r="M18555" s="277"/>
      <c r="O18555" s="247"/>
      <c r="AC18555" s="247"/>
      <c r="AT18555" s="247"/>
    </row>
    <row r="18556">
      <c r="C18556" s="277"/>
      <c r="M18556" s="277"/>
      <c r="O18556" s="247"/>
      <c r="AC18556" s="247"/>
      <c r="AT18556" s="247"/>
    </row>
    <row r="18557">
      <c r="C18557" s="277"/>
      <c r="M18557" s="277"/>
      <c r="O18557" s="247"/>
      <c r="AC18557" s="247"/>
      <c r="AT18557" s="247"/>
    </row>
    <row r="18558">
      <c r="C18558" s="277"/>
      <c r="M18558" s="277"/>
      <c r="O18558" s="247"/>
      <c r="AC18558" s="247"/>
      <c r="AT18558" s="247"/>
    </row>
    <row r="18559">
      <c r="C18559" s="277"/>
      <c r="M18559" s="277"/>
      <c r="O18559" s="247"/>
      <c r="AC18559" s="247"/>
      <c r="AT18559" s="247"/>
    </row>
    <row r="18560">
      <c r="C18560" s="277"/>
      <c r="M18560" s="277"/>
      <c r="O18560" s="247"/>
      <c r="AC18560" s="247"/>
      <c r="AT18560" s="247"/>
    </row>
    <row r="18561">
      <c r="C18561" s="277"/>
      <c r="M18561" s="277"/>
      <c r="O18561" s="247"/>
      <c r="AC18561" s="247"/>
      <c r="AT18561" s="247"/>
    </row>
    <row r="18562">
      <c r="C18562" s="277"/>
      <c r="M18562" s="277"/>
      <c r="O18562" s="247"/>
      <c r="AC18562" s="247"/>
      <c r="AT18562" s="247"/>
    </row>
    <row r="18563">
      <c r="C18563" s="277"/>
      <c r="M18563" s="277"/>
      <c r="O18563" s="247"/>
      <c r="AC18563" s="247"/>
      <c r="AT18563" s="247"/>
    </row>
    <row r="18564">
      <c r="C18564" s="277"/>
      <c r="M18564" s="277"/>
      <c r="O18564" s="247"/>
      <c r="AC18564" s="247"/>
      <c r="AT18564" s="247"/>
    </row>
    <row r="18565">
      <c r="C18565" s="277"/>
      <c r="M18565" s="277"/>
      <c r="O18565" s="247"/>
      <c r="AC18565" s="247"/>
      <c r="AT18565" s="247"/>
    </row>
    <row r="18566">
      <c r="C18566" s="277"/>
      <c r="M18566" s="277"/>
      <c r="O18566" s="247"/>
      <c r="AC18566" s="247"/>
      <c r="AT18566" s="247"/>
    </row>
    <row r="18567">
      <c r="C18567" s="277"/>
      <c r="M18567" s="277"/>
      <c r="O18567" s="247"/>
      <c r="AC18567" s="247"/>
      <c r="AT18567" s="247"/>
    </row>
    <row r="18568">
      <c r="C18568" s="277"/>
      <c r="M18568" s="277"/>
      <c r="O18568" s="247"/>
      <c r="AC18568" s="247"/>
      <c r="AT18568" s="247"/>
    </row>
    <row r="18569">
      <c r="C18569" s="277"/>
      <c r="M18569" s="277"/>
      <c r="O18569" s="247"/>
      <c r="AC18569" s="247"/>
      <c r="AT18569" s="247"/>
    </row>
    <row r="18570">
      <c r="C18570" s="277"/>
      <c r="M18570" s="277"/>
      <c r="O18570" s="247"/>
      <c r="AC18570" s="247"/>
      <c r="AT18570" s="247"/>
    </row>
    <row r="18571">
      <c r="C18571" s="277"/>
      <c r="M18571" s="277"/>
      <c r="O18571" s="247"/>
      <c r="AC18571" s="247"/>
      <c r="AT18571" s="247"/>
    </row>
    <row r="18572">
      <c r="C18572" s="277"/>
      <c r="M18572" s="277"/>
      <c r="O18572" s="247"/>
      <c r="AC18572" s="247"/>
      <c r="AT18572" s="247"/>
    </row>
    <row r="18573">
      <c r="C18573" s="277"/>
      <c r="M18573" s="277"/>
      <c r="O18573" s="247"/>
      <c r="AC18573" s="247"/>
      <c r="AT18573" s="247"/>
    </row>
    <row r="18574">
      <c r="C18574" s="277"/>
      <c r="M18574" s="277"/>
      <c r="O18574" s="247"/>
      <c r="AC18574" s="247"/>
      <c r="AT18574" s="247"/>
    </row>
    <row r="18575">
      <c r="C18575" s="277"/>
      <c r="M18575" s="277"/>
      <c r="O18575" s="247"/>
      <c r="AC18575" s="247"/>
      <c r="AT18575" s="247"/>
    </row>
    <row r="18576">
      <c r="C18576" s="277"/>
      <c r="M18576" s="277"/>
      <c r="O18576" s="247"/>
      <c r="AC18576" s="247"/>
      <c r="AT18576" s="247"/>
    </row>
    <row r="18577">
      <c r="C18577" s="277"/>
      <c r="M18577" s="277"/>
      <c r="O18577" s="247"/>
      <c r="AC18577" s="247"/>
      <c r="AT18577" s="247"/>
    </row>
    <row r="18578">
      <c r="C18578" s="277"/>
      <c r="M18578" s="277"/>
      <c r="O18578" s="247"/>
      <c r="AC18578" s="247"/>
      <c r="AT18578" s="247"/>
    </row>
    <row r="18579">
      <c r="C18579" s="277"/>
      <c r="M18579" s="277"/>
      <c r="O18579" s="247"/>
      <c r="AC18579" s="247"/>
      <c r="AT18579" s="247"/>
    </row>
    <row r="18580">
      <c r="C18580" s="277"/>
      <c r="M18580" s="277"/>
      <c r="O18580" s="247"/>
      <c r="AC18580" s="247"/>
      <c r="AT18580" s="247"/>
    </row>
    <row r="18581">
      <c r="C18581" s="277"/>
      <c r="M18581" s="277"/>
      <c r="O18581" s="247"/>
      <c r="AC18581" s="247"/>
      <c r="AT18581" s="247"/>
    </row>
    <row r="18582">
      <c r="C18582" s="277"/>
      <c r="M18582" s="277"/>
      <c r="O18582" s="247"/>
      <c r="AC18582" s="247"/>
      <c r="AT18582" s="247"/>
    </row>
    <row r="18583">
      <c r="C18583" s="277"/>
      <c r="M18583" s="277"/>
      <c r="O18583" s="247"/>
      <c r="AC18583" s="247"/>
      <c r="AT18583" s="247"/>
    </row>
    <row r="18584">
      <c r="C18584" s="277"/>
      <c r="M18584" s="277"/>
      <c r="O18584" s="247"/>
      <c r="AC18584" s="247"/>
      <c r="AT18584" s="247"/>
    </row>
    <row r="18585">
      <c r="C18585" s="277"/>
      <c r="M18585" s="277"/>
      <c r="O18585" s="247"/>
      <c r="AC18585" s="247"/>
      <c r="AT18585" s="247"/>
    </row>
    <row r="18586">
      <c r="C18586" s="277"/>
      <c r="M18586" s="277"/>
      <c r="O18586" s="247"/>
      <c r="AC18586" s="247"/>
      <c r="AT18586" s="247"/>
    </row>
    <row r="18587">
      <c r="C18587" s="277"/>
      <c r="M18587" s="277"/>
      <c r="O18587" s="247"/>
      <c r="AC18587" s="247"/>
      <c r="AT18587" s="247"/>
    </row>
    <row r="18588">
      <c r="C18588" s="277"/>
      <c r="M18588" s="277"/>
      <c r="O18588" s="247"/>
      <c r="AC18588" s="247"/>
      <c r="AT18588" s="247"/>
    </row>
    <row r="18589">
      <c r="C18589" s="277"/>
      <c r="M18589" s="277"/>
      <c r="O18589" s="247"/>
      <c r="AC18589" s="247"/>
      <c r="AT18589" s="247"/>
    </row>
    <row r="18590">
      <c r="C18590" s="277"/>
      <c r="M18590" s="277"/>
      <c r="O18590" s="247"/>
      <c r="AC18590" s="247"/>
      <c r="AT18590" s="247"/>
    </row>
    <row r="18591">
      <c r="C18591" s="277"/>
      <c r="M18591" s="277"/>
      <c r="O18591" s="247"/>
      <c r="AC18591" s="247"/>
      <c r="AT18591" s="247"/>
    </row>
    <row r="18592">
      <c r="C18592" s="277"/>
      <c r="M18592" s="277"/>
      <c r="O18592" s="247"/>
      <c r="AC18592" s="247"/>
      <c r="AT18592" s="247"/>
    </row>
    <row r="18593">
      <c r="C18593" s="277"/>
      <c r="M18593" s="277"/>
      <c r="O18593" s="247"/>
      <c r="AC18593" s="247"/>
      <c r="AT18593" s="247"/>
    </row>
    <row r="18594">
      <c r="C18594" s="277"/>
      <c r="M18594" s="277"/>
      <c r="O18594" s="247"/>
      <c r="AC18594" s="247"/>
      <c r="AT18594" s="247"/>
    </row>
    <row r="18595">
      <c r="C18595" s="277"/>
      <c r="M18595" s="277"/>
      <c r="O18595" s="247"/>
      <c r="AC18595" s="247"/>
      <c r="AT18595" s="247"/>
    </row>
    <row r="18596">
      <c r="C18596" s="277"/>
      <c r="M18596" s="277"/>
      <c r="O18596" s="247"/>
      <c r="AC18596" s="247"/>
      <c r="AT18596" s="247"/>
    </row>
    <row r="18597">
      <c r="C18597" s="277"/>
      <c r="M18597" s="277"/>
      <c r="O18597" s="247"/>
      <c r="AC18597" s="247"/>
      <c r="AT18597" s="247"/>
    </row>
    <row r="18598">
      <c r="C18598" s="277"/>
      <c r="M18598" s="277"/>
      <c r="O18598" s="247"/>
      <c r="AC18598" s="247"/>
      <c r="AT18598" s="247"/>
    </row>
    <row r="18599">
      <c r="C18599" s="277"/>
      <c r="M18599" s="277"/>
      <c r="O18599" s="247"/>
      <c r="AC18599" s="247"/>
      <c r="AT18599" s="247"/>
    </row>
    <row r="18600">
      <c r="C18600" s="277"/>
      <c r="M18600" s="277"/>
      <c r="O18600" s="247"/>
      <c r="AC18600" s="247"/>
      <c r="AT18600" s="247"/>
    </row>
    <row r="18601">
      <c r="C18601" s="277"/>
      <c r="M18601" s="277"/>
      <c r="O18601" s="247"/>
      <c r="AC18601" s="247"/>
      <c r="AT18601" s="247"/>
    </row>
    <row r="18602">
      <c r="C18602" s="277"/>
      <c r="M18602" s="277"/>
      <c r="O18602" s="247"/>
      <c r="AC18602" s="247"/>
      <c r="AT18602" s="247"/>
    </row>
    <row r="18603">
      <c r="C18603" s="277"/>
      <c r="M18603" s="277"/>
      <c r="O18603" s="247"/>
      <c r="AC18603" s="247"/>
      <c r="AT18603" s="247"/>
    </row>
    <row r="18604">
      <c r="C18604" s="277"/>
      <c r="M18604" s="277"/>
      <c r="O18604" s="247"/>
      <c r="AC18604" s="247"/>
      <c r="AT18604" s="247"/>
    </row>
    <row r="18605">
      <c r="C18605" s="277"/>
      <c r="M18605" s="277"/>
      <c r="O18605" s="247"/>
      <c r="AC18605" s="247"/>
      <c r="AT18605" s="247"/>
    </row>
    <row r="18606">
      <c r="C18606" s="277"/>
      <c r="M18606" s="277"/>
      <c r="O18606" s="247"/>
      <c r="AC18606" s="247"/>
      <c r="AT18606" s="247"/>
    </row>
    <row r="18607">
      <c r="C18607" s="277"/>
      <c r="M18607" s="277"/>
      <c r="O18607" s="247"/>
      <c r="AC18607" s="247"/>
      <c r="AT18607" s="247"/>
    </row>
    <row r="18608">
      <c r="C18608" s="277"/>
      <c r="M18608" s="277"/>
      <c r="O18608" s="247"/>
      <c r="AC18608" s="247"/>
      <c r="AT18608" s="247"/>
    </row>
    <row r="18609">
      <c r="C18609" s="277"/>
      <c r="M18609" s="277"/>
      <c r="O18609" s="247"/>
      <c r="AC18609" s="247"/>
      <c r="AT18609" s="247"/>
    </row>
    <row r="18610">
      <c r="C18610" s="277"/>
      <c r="M18610" s="277"/>
      <c r="O18610" s="247"/>
      <c r="AC18610" s="247"/>
      <c r="AT18610" s="247"/>
    </row>
    <row r="18611">
      <c r="C18611" s="277"/>
      <c r="M18611" s="277"/>
      <c r="O18611" s="247"/>
      <c r="AC18611" s="247"/>
      <c r="AT18611" s="247"/>
    </row>
    <row r="18612">
      <c r="C18612" s="277"/>
      <c r="M18612" s="277"/>
      <c r="O18612" s="247"/>
      <c r="AC18612" s="247"/>
      <c r="AT18612" s="247"/>
    </row>
    <row r="18613">
      <c r="C18613" s="277"/>
      <c r="M18613" s="277"/>
      <c r="O18613" s="247"/>
      <c r="AC18613" s="247"/>
      <c r="AT18613" s="247"/>
    </row>
    <row r="18614">
      <c r="C18614" s="277"/>
      <c r="M18614" s="277"/>
      <c r="O18614" s="247"/>
      <c r="AC18614" s="247"/>
      <c r="AT18614" s="247"/>
    </row>
    <row r="18615">
      <c r="C18615" s="277"/>
      <c r="M18615" s="277"/>
      <c r="O18615" s="247"/>
      <c r="AC18615" s="247"/>
      <c r="AT18615" s="247"/>
    </row>
    <row r="18616">
      <c r="C18616" s="277"/>
      <c r="M18616" s="277"/>
      <c r="O18616" s="247"/>
      <c r="AC18616" s="247"/>
      <c r="AT18616" s="247"/>
    </row>
    <row r="18617">
      <c r="C18617" s="277"/>
      <c r="M18617" s="277"/>
      <c r="O18617" s="247"/>
      <c r="AC18617" s="247"/>
      <c r="AT18617" s="247"/>
    </row>
    <row r="18618">
      <c r="C18618" s="277"/>
      <c r="M18618" s="277"/>
      <c r="O18618" s="247"/>
      <c r="AC18618" s="247"/>
      <c r="AT18618" s="247"/>
    </row>
    <row r="18619">
      <c r="C18619" s="277"/>
      <c r="M18619" s="277"/>
      <c r="O18619" s="247"/>
      <c r="AC18619" s="247"/>
      <c r="AT18619" s="247"/>
    </row>
    <row r="18620">
      <c r="C18620" s="277"/>
      <c r="M18620" s="277"/>
      <c r="O18620" s="247"/>
      <c r="AC18620" s="247"/>
      <c r="AT18620" s="247"/>
    </row>
    <row r="18621">
      <c r="C18621" s="277"/>
      <c r="M18621" s="277"/>
      <c r="O18621" s="247"/>
      <c r="AC18621" s="247"/>
      <c r="AT18621" s="247"/>
    </row>
    <row r="18622">
      <c r="C18622" s="277"/>
      <c r="M18622" s="277"/>
      <c r="O18622" s="247"/>
      <c r="AC18622" s="247"/>
      <c r="AT18622" s="247"/>
    </row>
    <row r="18623">
      <c r="C18623" s="277"/>
      <c r="M18623" s="277"/>
      <c r="O18623" s="247"/>
      <c r="AC18623" s="247"/>
      <c r="AT18623" s="247"/>
    </row>
    <row r="18624">
      <c r="C18624" s="277"/>
      <c r="M18624" s="277"/>
      <c r="O18624" s="247"/>
      <c r="AC18624" s="247"/>
      <c r="AT18624" s="247"/>
    </row>
    <row r="18625">
      <c r="C18625" s="277"/>
      <c r="M18625" s="277"/>
      <c r="O18625" s="247"/>
      <c r="AC18625" s="247"/>
      <c r="AT18625" s="247"/>
    </row>
    <row r="18626">
      <c r="C18626" s="277"/>
      <c r="M18626" s="277"/>
      <c r="O18626" s="247"/>
      <c r="AC18626" s="247"/>
      <c r="AT18626" s="247"/>
    </row>
    <row r="18627">
      <c r="C18627" s="277"/>
      <c r="M18627" s="277"/>
      <c r="O18627" s="247"/>
      <c r="AC18627" s="247"/>
      <c r="AT18627" s="247"/>
    </row>
    <row r="18628">
      <c r="C18628" s="277"/>
      <c r="M18628" s="277"/>
      <c r="O18628" s="247"/>
      <c r="AC18628" s="247"/>
      <c r="AT18628" s="247"/>
    </row>
    <row r="18629">
      <c r="C18629" s="277"/>
      <c r="M18629" s="277"/>
      <c r="O18629" s="247"/>
      <c r="AC18629" s="247"/>
      <c r="AT18629" s="247"/>
    </row>
    <row r="18630">
      <c r="C18630" s="277"/>
      <c r="M18630" s="277"/>
      <c r="O18630" s="247"/>
      <c r="AC18630" s="247"/>
      <c r="AT18630" s="247"/>
    </row>
    <row r="18631">
      <c r="C18631" s="277"/>
      <c r="M18631" s="277"/>
      <c r="O18631" s="247"/>
      <c r="AC18631" s="247"/>
      <c r="AT18631" s="247"/>
    </row>
    <row r="18632">
      <c r="C18632" s="277"/>
      <c r="M18632" s="277"/>
      <c r="O18632" s="247"/>
      <c r="AC18632" s="247"/>
      <c r="AT18632" s="247"/>
    </row>
    <row r="18633">
      <c r="C18633" s="277"/>
      <c r="M18633" s="277"/>
      <c r="O18633" s="247"/>
      <c r="AC18633" s="247"/>
      <c r="AT18633" s="247"/>
    </row>
    <row r="18634">
      <c r="C18634" s="277"/>
      <c r="M18634" s="277"/>
      <c r="O18634" s="247"/>
      <c r="AC18634" s="247"/>
      <c r="AT18634" s="247"/>
    </row>
    <row r="18635">
      <c r="C18635" s="277"/>
      <c r="M18635" s="277"/>
      <c r="O18635" s="247"/>
      <c r="AC18635" s="247"/>
      <c r="AT18635" s="247"/>
    </row>
    <row r="18636">
      <c r="C18636" s="277"/>
      <c r="M18636" s="277"/>
      <c r="O18636" s="247"/>
      <c r="AC18636" s="247"/>
      <c r="AT18636" s="247"/>
    </row>
    <row r="18637">
      <c r="C18637" s="277"/>
      <c r="M18637" s="277"/>
      <c r="O18637" s="247"/>
      <c r="AC18637" s="247"/>
      <c r="AT18637" s="247"/>
    </row>
    <row r="18638">
      <c r="C18638" s="277"/>
      <c r="M18638" s="277"/>
      <c r="O18638" s="247"/>
      <c r="AC18638" s="247"/>
      <c r="AT18638" s="247"/>
    </row>
    <row r="18639">
      <c r="C18639" s="277"/>
      <c r="M18639" s="277"/>
      <c r="O18639" s="247"/>
      <c r="AC18639" s="247"/>
      <c r="AT18639" s="247"/>
    </row>
    <row r="18640">
      <c r="C18640" s="277"/>
      <c r="M18640" s="277"/>
      <c r="O18640" s="247"/>
      <c r="AC18640" s="247"/>
      <c r="AT18640" s="247"/>
    </row>
    <row r="18641">
      <c r="C18641" s="277"/>
      <c r="M18641" s="277"/>
      <c r="O18641" s="247"/>
      <c r="AC18641" s="247"/>
      <c r="AT18641" s="247"/>
    </row>
    <row r="18642">
      <c r="C18642" s="277"/>
      <c r="M18642" s="277"/>
      <c r="O18642" s="247"/>
      <c r="AC18642" s="247"/>
      <c r="AT18642" s="247"/>
    </row>
    <row r="18643">
      <c r="C18643" s="277"/>
      <c r="M18643" s="277"/>
      <c r="O18643" s="247"/>
      <c r="AC18643" s="247"/>
      <c r="AT18643" s="247"/>
    </row>
    <row r="18644">
      <c r="C18644" s="277"/>
      <c r="M18644" s="277"/>
      <c r="O18644" s="247"/>
      <c r="AC18644" s="247"/>
      <c r="AT18644" s="247"/>
    </row>
    <row r="18645">
      <c r="C18645" s="277"/>
      <c r="M18645" s="277"/>
      <c r="O18645" s="247"/>
      <c r="AC18645" s="247"/>
      <c r="AT18645" s="247"/>
    </row>
    <row r="18646">
      <c r="C18646" s="277"/>
      <c r="M18646" s="277"/>
      <c r="O18646" s="247"/>
      <c r="AC18646" s="247"/>
      <c r="AT18646" s="247"/>
    </row>
    <row r="18647">
      <c r="C18647" s="277"/>
      <c r="M18647" s="277"/>
      <c r="O18647" s="247"/>
      <c r="AC18647" s="247"/>
      <c r="AT18647" s="247"/>
    </row>
    <row r="18648">
      <c r="C18648" s="277"/>
      <c r="M18648" s="277"/>
      <c r="O18648" s="247"/>
      <c r="AC18648" s="247"/>
      <c r="AT18648" s="247"/>
    </row>
    <row r="18649">
      <c r="C18649" s="277"/>
      <c r="M18649" s="277"/>
      <c r="O18649" s="247"/>
      <c r="AC18649" s="247"/>
      <c r="AT18649" s="247"/>
    </row>
    <row r="18650">
      <c r="C18650" s="277"/>
      <c r="M18650" s="277"/>
      <c r="O18650" s="247"/>
      <c r="AC18650" s="247"/>
      <c r="AT18650" s="247"/>
    </row>
    <row r="18651">
      <c r="C18651" s="277"/>
      <c r="M18651" s="277"/>
      <c r="O18651" s="247"/>
      <c r="AC18651" s="247"/>
      <c r="AT18651" s="247"/>
    </row>
    <row r="18652">
      <c r="C18652" s="277"/>
      <c r="M18652" s="277"/>
      <c r="O18652" s="247"/>
      <c r="AC18652" s="247"/>
      <c r="AT18652" s="247"/>
    </row>
    <row r="18653">
      <c r="C18653" s="277"/>
      <c r="M18653" s="277"/>
      <c r="O18653" s="247"/>
      <c r="AC18653" s="247"/>
      <c r="AT18653" s="247"/>
    </row>
    <row r="18654">
      <c r="C18654" s="277"/>
      <c r="M18654" s="277"/>
      <c r="O18654" s="247"/>
      <c r="AC18654" s="247"/>
      <c r="AT18654" s="247"/>
    </row>
    <row r="18655">
      <c r="C18655" s="277"/>
      <c r="M18655" s="277"/>
      <c r="O18655" s="247"/>
      <c r="AC18655" s="247"/>
      <c r="AT18655" s="247"/>
    </row>
    <row r="18656">
      <c r="C18656" s="277"/>
      <c r="M18656" s="277"/>
      <c r="O18656" s="247"/>
      <c r="AC18656" s="247"/>
      <c r="AT18656" s="247"/>
    </row>
    <row r="18657">
      <c r="C18657" s="277"/>
      <c r="M18657" s="277"/>
      <c r="O18657" s="247"/>
      <c r="AC18657" s="247"/>
      <c r="AT18657" s="247"/>
    </row>
    <row r="18658">
      <c r="C18658" s="277"/>
      <c r="M18658" s="277"/>
      <c r="O18658" s="247"/>
      <c r="AC18658" s="247"/>
      <c r="AT18658" s="247"/>
    </row>
    <row r="18659">
      <c r="C18659" s="277"/>
      <c r="M18659" s="277"/>
      <c r="O18659" s="247"/>
      <c r="AC18659" s="247"/>
      <c r="AT18659" s="247"/>
    </row>
    <row r="18660">
      <c r="C18660" s="277"/>
      <c r="M18660" s="277"/>
      <c r="O18660" s="247"/>
      <c r="AC18660" s="247"/>
      <c r="AT18660" s="247"/>
    </row>
    <row r="18661">
      <c r="C18661" s="277"/>
      <c r="M18661" s="277"/>
      <c r="O18661" s="247"/>
      <c r="AC18661" s="247"/>
      <c r="AT18661" s="247"/>
    </row>
    <row r="18662">
      <c r="C18662" s="277"/>
      <c r="M18662" s="277"/>
      <c r="O18662" s="247"/>
      <c r="AC18662" s="247"/>
      <c r="AT18662" s="247"/>
    </row>
    <row r="18663">
      <c r="C18663" s="277"/>
      <c r="M18663" s="277"/>
      <c r="O18663" s="247"/>
      <c r="AC18663" s="247"/>
      <c r="AT18663" s="247"/>
    </row>
    <row r="18664">
      <c r="C18664" s="277"/>
      <c r="M18664" s="277"/>
      <c r="O18664" s="247"/>
      <c r="AC18664" s="247"/>
      <c r="AT18664" s="247"/>
    </row>
    <row r="18665">
      <c r="C18665" s="277"/>
      <c r="M18665" s="277"/>
      <c r="O18665" s="247"/>
      <c r="AC18665" s="247"/>
      <c r="AT18665" s="247"/>
    </row>
    <row r="18666">
      <c r="C18666" s="277"/>
      <c r="M18666" s="277"/>
      <c r="O18666" s="247"/>
      <c r="AC18666" s="247"/>
      <c r="AT18666" s="247"/>
    </row>
    <row r="18667">
      <c r="C18667" s="277"/>
      <c r="M18667" s="277"/>
      <c r="O18667" s="247"/>
      <c r="AC18667" s="247"/>
      <c r="AT18667" s="247"/>
    </row>
    <row r="18668">
      <c r="C18668" s="277"/>
      <c r="M18668" s="277"/>
      <c r="O18668" s="247"/>
      <c r="AC18668" s="247"/>
      <c r="AT18668" s="247"/>
    </row>
    <row r="18669">
      <c r="C18669" s="277"/>
      <c r="M18669" s="277"/>
      <c r="O18669" s="247"/>
      <c r="AC18669" s="247"/>
      <c r="AT18669" s="247"/>
    </row>
    <row r="18670">
      <c r="C18670" s="277"/>
      <c r="M18670" s="277"/>
      <c r="O18670" s="247"/>
      <c r="AC18670" s="247"/>
      <c r="AT18670" s="247"/>
    </row>
    <row r="18671">
      <c r="C18671" s="277"/>
      <c r="M18671" s="277"/>
      <c r="O18671" s="247"/>
      <c r="AC18671" s="247"/>
      <c r="AT18671" s="247"/>
    </row>
    <row r="18672">
      <c r="C18672" s="277"/>
      <c r="M18672" s="277"/>
      <c r="O18672" s="247"/>
      <c r="AC18672" s="247"/>
      <c r="AT18672" s="247"/>
    </row>
    <row r="18673">
      <c r="C18673" s="277"/>
      <c r="M18673" s="277"/>
      <c r="O18673" s="247"/>
      <c r="AC18673" s="247"/>
      <c r="AT18673" s="247"/>
    </row>
    <row r="18674">
      <c r="C18674" s="277"/>
      <c r="M18674" s="277"/>
      <c r="O18674" s="247"/>
      <c r="AC18674" s="247"/>
      <c r="AT18674" s="247"/>
    </row>
    <row r="18675">
      <c r="C18675" s="277"/>
      <c r="M18675" s="277"/>
      <c r="O18675" s="247"/>
      <c r="AC18675" s="247"/>
      <c r="AT18675" s="247"/>
    </row>
    <row r="18676">
      <c r="C18676" s="277"/>
      <c r="M18676" s="277"/>
      <c r="O18676" s="247"/>
      <c r="AC18676" s="247"/>
      <c r="AT18676" s="247"/>
    </row>
    <row r="18677">
      <c r="C18677" s="277"/>
      <c r="M18677" s="277"/>
      <c r="O18677" s="247"/>
      <c r="AC18677" s="247"/>
      <c r="AT18677" s="247"/>
    </row>
    <row r="18678">
      <c r="C18678" s="277"/>
      <c r="M18678" s="277"/>
      <c r="O18678" s="247"/>
      <c r="AC18678" s="247"/>
      <c r="AT18678" s="247"/>
    </row>
    <row r="18679">
      <c r="C18679" s="277"/>
      <c r="M18679" s="277"/>
      <c r="O18679" s="247"/>
      <c r="AC18679" s="247"/>
      <c r="AT18679" s="247"/>
    </row>
    <row r="18680">
      <c r="C18680" s="277"/>
      <c r="M18680" s="277"/>
      <c r="O18680" s="247"/>
      <c r="AC18680" s="247"/>
      <c r="AT18680" s="247"/>
    </row>
    <row r="18681">
      <c r="C18681" s="277"/>
      <c r="M18681" s="277"/>
      <c r="O18681" s="247"/>
      <c r="AC18681" s="247"/>
      <c r="AT18681" s="247"/>
    </row>
    <row r="18682">
      <c r="C18682" s="277"/>
      <c r="M18682" s="277"/>
      <c r="O18682" s="247"/>
      <c r="AC18682" s="247"/>
      <c r="AT18682" s="247"/>
    </row>
    <row r="18683">
      <c r="C18683" s="277"/>
      <c r="M18683" s="277"/>
      <c r="O18683" s="247"/>
      <c r="AC18683" s="247"/>
      <c r="AT18683" s="247"/>
    </row>
    <row r="18684">
      <c r="C18684" s="277"/>
      <c r="M18684" s="277"/>
      <c r="O18684" s="247"/>
      <c r="AC18684" s="247"/>
      <c r="AT18684" s="247"/>
    </row>
    <row r="18685">
      <c r="C18685" s="277"/>
      <c r="M18685" s="277"/>
      <c r="O18685" s="247"/>
      <c r="AC18685" s="247"/>
      <c r="AT18685" s="247"/>
    </row>
    <row r="18686">
      <c r="C18686" s="277"/>
      <c r="M18686" s="277"/>
      <c r="O18686" s="247"/>
      <c r="AC18686" s="247"/>
      <c r="AT18686" s="247"/>
    </row>
    <row r="18687">
      <c r="C18687" s="277"/>
      <c r="M18687" s="277"/>
      <c r="O18687" s="247"/>
      <c r="AC18687" s="247"/>
      <c r="AT18687" s="247"/>
    </row>
    <row r="18688">
      <c r="C18688" s="277"/>
      <c r="M18688" s="277"/>
      <c r="O18688" s="247"/>
      <c r="AC18688" s="247"/>
      <c r="AT18688" s="247"/>
    </row>
    <row r="18689">
      <c r="C18689" s="277"/>
      <c r="M18689" s="277"/>
      <c r="O18689" s="247"/>
      <c r="AC18689" s="247"/>
      <c r="AT18689" s="247"/>
    </row>
    <row r="18690">
      <c r="C18690" s="277"/>
      <c r="M18690" s="277"/>
      <c r="O18690" s="247"/>
      <c r="AC18690" s="247"/>
      <c r="AT18690" s="247"/>
    </row>
    <row r="18691">
      <c r="C18691" s="277"/>
      <c r="M18691" s="277"/>
      <c r="O18691" s="247"/>
      <c r="AC18691" s="247"/>
      <c r="AT18691" s="247"/>
    </row>
    <row r="18692">
      <c r="C18692" s="277"/>
      <c r="M18692" s="277"/>
      <c r="O18692" s="247"/>
      <c r="AC18692" s="247"/>
      <c r="AT18692" s="247"/>
    </row>
    <row r="18693">
      <c r="C18693" s="277"/>
      <c r="M18693" s="277"/>
      <c r="O18693" s="247"/>
      <c r="AC18693" s="247"/>
      <c r="AT18693" s="247"/>
    </row>
    <row r="18694">
      <c r="C18694" s="277"/>
      <c r="M18694" s="277"/>
      <c r="O18694" s="247"/>
      <c r="AC18694" s="247"/>
      <c r="AT18694" s="247"/>
    </row>
    <row r="18695">
      <c r="C18695" s="277"/>
      <c r="M18695" s="277"/>
      <c r="O18695" s="247"/>
      <c r="AC18695" s="247"/>
      <c r="AT18695" s="247"/>
    </row>
    <row r="18696">
      <c r="C18696" s="277"/>
      <c r="M18696" s="277"/>
      <c r="O18696" s="247"/>
      <c r="AC18696" s="247"/>
      <c r="AT18696" s="247"/>
    </row>
    <row r="18697">
      <c r="C18697" s="277"/>
      <c r="M18697" s="277"/>
      <c r="O18697" s="247"/>
      <c r="AC18697" s="247"/>
      <c r="AT18697" s="247"/>
    </row>
    <row r="18698">
      <c r="C18698" s="277"/>
      <c r="M18698" s="277"/>
      <c r="O18698" s="247"/>
      <c r="AC18698" s="247"/>
      <c r="AT18698" s="247"/>
    </row>
    <row r="18699">
      <c r="C18699" s="277"/>
      <c r="M18699" s="277"/>
      <c r="O18699" s="247"/>
      <c r="AC18699" s="247"/>
      <c r="AT18699" s="247"/>
    </row>
    <row r="18700">
      <c r="C18700" s="277"/>
      <c r="M18700" s="277"/>
      <c r="O18700" s="247"/>
      <c r="AC18700" s="247"/>
      <c r="AT18700" s="247"/>
    </row>
    <row r="18701">
      <c r="C18701" s="277"/>
      <c r="M18701" s="277"/>
      <c r="O18701" s="247"/>
      <c r="AC18701" s="247"/>
      <c r="AT18701" s="247"/>
    </row>
    <row r="18702">
      <c r="C18702" s="277"/>
      <c r="M18702" s="277"/>
      <c r="O18702" s="247"/>
      <c r="AC18702" s="247"/>
      <c r="AT18702" s="247"/>
    </row>
    <row r="18703">
      <c r="C18703" s="277"/>
      <c r="M18703" s="277"/>
      <c r="O18703" s="247"/>
      <c r="AC18703" s="247"/>
      <c r="AT18703" s="247"/>
    </row>
    <row r="18704">
      <c r="C18704" s="277"/>
      <c r="M18704" s="277"/>
      <c r="O18704" s="247"/>
      <c r="AC18704" s="247"/>
      <c r="AT18704" s="247"/>
    </row>
    <row r="18705">
      <c r="C18705" s="277"/>
      <c r="M18705" s="277"/>
      <c r="O18705" s="247"/>
      <c r="AC18705" s="247"/>
      <c r="AT18705" s="247"/>
    </row>
    <row r="18706">
      <c r="C18706" s="277"/>
      <c r="M18706" s="277"/>
      <c r="O18706" s="247"/>
      <c r="AC18706" s="247"/>
      <c r="AT18706" s="247"/>
    </row>
    <row r="18707">
      <c r="C18707" s="277"/>
      <c r="M18707" s="277"/>
      <c r="O18707" s="247"/>
      <c r="AC18707" s="247"/>
      <c r="AT18707" s="247"/>
    </row>
    <row r="18708">
      <c r="C18708" s="277"/>
      <c r="M18708" s="277"/>
      <c r="O18708" s="247"/>
      <c r="AC18708" s="247"/>
      <c r="AT18708" s="247"/>
    </row>
    <row r="18709">
      <c r="C18709" s="277"/>
      <c r="M18709" s="277"/>
      <c r="O18709" s="247"/>
      <c r="AC18709" s="247"/>
      <c r="AT18709" s="247"/>
    </row>
    <row r="18710">
      <c r="C18710" s="277"/>
      <c r="M18710" s="277"/>
      <c r="O18710" s="247"/>
      <c r="AC18710" s="247"/>
      <c r="AT18710" s="247"/>
    </row>
    <row r="18711">
      <c r="C18711" s="277"/>
      <c r="M18711" s="277"/>
      <c r="O18711" s="247"/>
      <c r="AC18711" s="247"/>
      <c r="AT18711" s="247"/>
    </row>
    <row r="18712">
      <c r="C18712" s="277"/>
      <c r="M18712" s="277"/>
      <c r="O18712" s="247"/>
      <c r="AC18712" s="247"/>
      <c r="AT18712" s="247"/>
    </row>
    <row r="18713">
      <c r="C18713" s="277"/>
      <c r="M18713" s="277"/>
      <c r="O18713" s="247"/>
      <c r="AC18713" s="247"/>
      <c r="AT18713" s="247"/>
    </row>
    <row r="18714">
      <c r="C18714" s="277"/>
      <c r="M18714" s="277"/>
      <c r="O18714" s="247"/>
      <c r="AC18714" s="247"/>
      <c r="AT18714" s="247"/>
    </row>
    <row r="18715">
      <c r="C18715" s="277"/>
      <c r="M18715" s="277"/>
      <c r="O18715" s="247"/>
      <c r="AC18715" s="247"/>
      <c r="AT18715" s="247"/>
    </row>
    <row r="18716">
      <c r="C18716" s="277"/>
      <c r="M18716" s="277"/>
      <c r="O18716" s="247"/>
      <c r="AC18716" s="247"/>
      <c r="AT18716" s="247"/>
    </row>
    <row r="18717">
      <c r="C18717" s="277"/>
      <c r="M18717" s="277"/>
      <c r="O18717" s="247"/>
      <c r="AC18717" s="247"/>
      <c r="AT18717" s="247"/>
    </row>
    <row r="18718">
      <c r="C18718" s="277"/>
      <c r="M18718" s="277"/>
      <c r="O18718" s="247"/>
      <c r="AC18718" s="247"/>
      <c r="AT18718" s="247"/>
    </row>
    <row r="18719">
      <c r="C18719" s="277"/>
      <c r="M18719" s="277"/>
      <c r="O18719" s="247"/>
      <c r="AC18719" s="247"/>
      <c r="AT18719" s="247"/>
    </row>
    <row r="18720">
      <c r="C18720" s="277"/>
      <c r="M18720" s="277"/>
      <c r="O18720" s="247"/>
      <c r="AC18720" s="247"/>
      <c r="AT18720" s="247"/>
    </row>
    <row r="18721">
      <c r="C18721" s="277"/>
      <c r="M18721" s="277"/>
      <c r="O18721" s="247"/>
      <c r="AC18721" s="247"/>
      <c r="AT18721" s="247"/>
    </row>
    <row r="18722">
      <c r="C18722" s="277"/>
      <c r="M18722" s="277"/>
      <c r="O18722" s="247"/>
      <c r="AC18722" s="247"/>
      <c r="AT18722" s="247"/>
    </row>
    <row r="18723">
      <c r="C18723" s="277"/>
      <c r="M18723" s="277"/>
      <c r="O18723" s="247"/>
      <c r="AC18723" s="247"/>
      <c r="AT18723" s="247"/>
    </row>
    <row r="18724">
      <c r="C18724" s="277"/>
      <c r="M18724" s="277"/>
      <c r="O18724" s="247"/>
      <c r="AC18724" s="247"/>
      <c r="AT18724" s="247"/>
    </row>
    <row r="18725">
      <c r="C18725" s="277"/>
      <c r="M18725" s="277"/>
      <c r="O18725" s="247"/>
      <c r="AC18725" s="247"/>
      <c r="AT18725" s="247"/>
    </row>
    <row r="18726">
      <c r="C18726" s="277"/>
      <c r="M18726" s="277"/>
      <c r="O18726" s="247"/>
      <c r="AC18726" s="247"/>
      <c r="AT18726" s="247"/>
    </row>
    <row r="18727">
      <c r="C18727" s="277"/>
      <c r="M18727" s="277"/>
      <c r="O18727" s="247"/>
      <c r="AC18727" s="247"/>
      <c r="AT18727" s="247"/>
    </row>
    <row r="18728">
      <c r="C18728" s="277"/>
      <c r="M18728" s="277"/>
      <c r="O18728" s="247"/>
      <c r="AC18728" s="247"/>
      <c r="AT18728" s="247"/>
    </row>
    <row r="18729">
      <c r="C18729" s="277"/>
      <c r="M18729" s="277"/>
      <c r="O18729" s="247"/>
      <c r="AC18729" s="247"/>
      <c r="AT18729" s="247"/>
    </row>
    <row r="18730">
      <c r="C18730" s="277"/>
      <c r="M18730" s="277"/>
      <c r="O18730" s="247"/>
      <c r="AC18730" s="247"/>
      <c r="AT18730" s="247"/>
    </row>
    <row r="18731">
      <c r="C18731" s="277"/>
      <c r="M18731" s="277"/>
      <c r="O18731" s="247"/>
      <c r="AC18731" s="247"/>
      <c r="AT18731" s="247"/>
    </row>
    <row r="18732">
      <c r="C18732" s="277"/>
      <c r="M18732" s="277"/>
      <c r="O18732" s="247"/>
      <c r="AC18732" s="247"/>
      <c r="AT18732" s="247"/>
    </row>
    <row r="18733">
      <c r="C18733" s="277"/>
      <c r="M18733" s="277"/>
      <c r="O18733" s="247"/>
      <c r="AC18733" s="247"/>
      <c r="AT18733" s="247"/>
    </row>
    <row r="18734">
      <c r="C18734" s="277"/>
      <c r="M18734" s="277"/>
      <c r="O18734" s="247"/>
      <c r="AC18734" s="247"/>
      <c r="AT18734" s="247"/>
    </row>
    <row r="18735">
      <c r="C18735" s="277"/>
      <c r="M18735" s="277"/>
      <c r="O18735" s="247"/>
      <c r="AC18735" s="247"/>
      <c r="AT18735" s="247"/>
    </row>
    <row r="18736">
      <c r="C18736" s="277"/>
      <c r="M18736" s="277"/>
      <c r="O18736" s="247"/>
      <c r="AC18736" s="247"/>
      <c r="AT18736" s="247"/>
    </row>
    <row r="18737">
      <c r="C18737" s="277"/>
      <c r="M18737" s="277"/>
      <c r="O18737" s="247"/>
      <c r="AC18737" s="247"/>
      <c r="AT18737" s="247"/>
    </row>
    <row r="18738">
      <c r="C18738" s="277"/>
      <c r="M18738" s="277"/>
      <c r="O18738" s="247"/>
      <c r="AC18738" s="247"/>
      <c r="AT18738" s="247"/>
    </row>
    <row r="18739">
      <c r="C18739" s="277"/>
      <c r="M18739" s="277"/>
      <c r="O18739" s="247"/>
      <c r="AC18739" s="247"/>
      <c r="AT18739" s="247"/>
    </row>
    <row r="18740">
      <c r="C18740" s="277"/>
      <c r="M18740" s="277"/>
      <c r="O18740" s="247"/>
      <c r="AC18740" s="247"/>
      <c r="AT18740" s="247"/>
    </row>
    <row r="18741">
      <c r="C18741" s="277"/>
      <c r="M18741" s="277"/>
      <c r="O18741" s="247"/>
      <c r="AC18741" s="247"/>
      <c r="AT18741" s="247"/>
    </row>
    <row r="18742">
      <c r="C18742" s="277"/>
      <c r="M18742" s="277"/>
      <c r="O18742" s="247"/>
      <c r="AC18742" s="247"/>
      <c r="AT18742" s="247"/>
    </row>
    <row r="18743">
      <c r="C18743" s="277"/>
      <c r="M18743" s="277"/>
      <c r="O18743" s="247"/>
      <c r="AC18743" s="247"/>
      <c r="AT18743" s="247"/>
    </row>
    <row r="18744">
      <c r="C18744" s="277"/>
      <c r="M18744" s="277"/>
      <c r="O18744" s="247"/>
      <c r="AC18744" s="247"/>
      <c r="AT18744" s="247"/>
    </row>
    <row r="18745">
      <c r="C18745" s="277"/>
      <c r="M18745" s="277"/>
      <c r="O18745" s="247"/>
      <c r="AC18745" s="247"/>
      <c r="AT18745" s="247"/>
    </row>
    <row r="18746">
      <c r="C18746" s="277"/>
      <c r="M18746" s="277"/>
      <c r="O18746" s="247"/>
      <c r="AC18746" s="247"/>
      <c r="AT18746" s="247"/>
    </row>
    <row r="18747">
      <c r="C18747" s="277"/>
      <c r="M18747" s="277"/>
      <c r="O18747" s="247"/>
      <c r="AC18747" s="247"/>
      <c r="AT18747" s="247"/>
    </row>
    <row r="18748">
      <c r="C18748" s="277"/>
      <c r="M18748" s="277"/>
      <c r="O18748" s="247"/>
      <c r="AC18748" s="247"/>
      <c r="AT18748" s="247"/>
    </row>
    <row r="18749">
      <c r="C18749" s="277"/>
      <c r="M18749" s="277"/>
      <c r="O18749" s="247"/>
      <c r="AC18749" s="247"/>
      <c r="AT18749" s="247"/>
    </row>
    <row r="18750">
      <c r="C18750" s="277"/>
      <c r="M18750" s="277"/>
      <c r="O18750" s="247"/>
      <c r="AC18750" s="247"/>
      <c r="AT18750" s="247"/>
    </row>
    <row r="18751">
      <c r="C18751" s="277"/>
      <c r="M18751" s="277"/>
      <c r="O18751" s="247"/>
      <c r="AC18751" s="247"/>
      <c r="AT18751" s="247"/>
    </row>
    <row r="18752">
      <c r="C18752" s="277"/>
      <c r="M18752" s="277"/>
      <c r="O18752" s="247"/>
      <c r="AC18752" s="247"/>
      <c r="AT18752" s="247"/>
    </row>
    <row r="18753">
      <c r="C18753" s="277"/>
      <c r="M18753" s="277"/>
      <c r="O18753" s="247"/>
      <c r="AC18753" s="247"/>
      <c r="AT18753" s="247"/>
    </row>
    <row r="18754">
      <c r="C18754" s="277"/>
      <c r="M18754" s="277"/>
      <c r="O18754" s="247"/>
      <c r="AC18754" s="247"/>
      <c r="AT18754" s="247"/>
    </row>
    <row r="18755">
      <c r="C18755" s="277"/>
      <c r="M18755" s="277"/>
      <c r="O18755" s="247"/>
      <c r="AC18755" s="247"/>
      <c r="AT18755" s="247"/>
    </row>
    <row r="18756">
      <c r="C18756" s="277"/>
      <c r="M18756" s="277"/>
      <c r="O18756" s="247"/>
      <c r="AC18756" s="247"/>
      <c r="AT18756" s="247"/>
    </row>
    <row r="18757">
      <c r="C18757" s="277"/>
      <c r="M18757" s="277"/>
      <c r="O18757" s="247"/>
      <c r="AC18757" s="247"/>
      <c r="AT18757" s="247"/>
    </row>
    <row r="18758">
      <c r="C18758" s="277"/>
      <c r="M18758" s="277"/>
      <c r="O18758" s="247"/>
      <c r="AC18758" s="247"/>
      <c r="AT18758" s="247"/>
    </row>
    <row r="18759">
      <c r="C18759" s="277"/>
      <c r="M18759" s="277"/>
      <c r="O18759" s="247"/>
      <c r="AC18759" s="247"/>
      <c r="AT18759" s="247"/>
    </row>
    <row r="18760">
      <c r="C18760" s="277"/>
      <c r="M18760" s="277"/>
      <c r="O18760" s="247"/>
      <c r="AC18760" s="247"/>
      <c r="AT18760" s="247"/>
    </row>
    <row r="18761">
      <c r="C18761" s="277"/>
      <c r="M18761" s="277"/>
      <c r="O18761" s="247"/>
      <c r="AC18761" s="247"/>
      <c r="AT18761" s="247"/>
    </row>
    <row r="18762">
      <c r="C18762" s="277"/>
      <c r="M18762" s="277"/>
      <c r="O18762" s="247"/>
      <c r="AC18762" s="247"/>
      <c r="AT18762" s="247"/>
    </row>
    <row r="18763">
      <c r="C18763" s="277"/>
      <c r="M18763" s="277"/>
      <c r="O18763" s="247"/>
      <c r="AC18763" s="247"/>
      <c r="AT18763" s="247"/>
    </row>
    <row r="18764">
      <c r="C18764" s="277"/>
      <c r="M18764" s="277"/>
      <c r="O18764" s="247"/>
      <c r="AC18764" s="247"/>
      <c r="AT18764" s="247"/>
    </row>
    <row r="18765">
      <c r="C18765" s="277"/>
      <c r="M18765" s="277"/>
      <c r="O18765" s="247"/>
      <c r="AC18765" s="247"/>
      <c r="AT18765" s="247"/>
    </row>
    <row r="18766">
      <c r="C18766" s="277"/>
      <c r="M18766" s="277"/>
      <c r="O18766" s="247"/>
      <c r="AC18766" s="247"/>
      <c r="AT18766" s="247"/>
    </row>
    <row r="18767">
      <c r="C18767" s="277"/>
      <c r="M18767" s="277"/>
      <c r="O18767" s="247"/>
      <c r="AC18767" s="247"/>
      <c r="AT18767" s="247"/>
    </row>
    <row r="18768">
      <c r="C18768" s="277"/>
      <c r="M18768" s="277"/>
      <c r="O18768" s="247"/>
      <c r="AC18768" s="247"/>
      <c r="AT18768" s="247"/>
    </row>
    <row r="18769">
      <c r="C18769" s="277"/>
      <c r="M18769" s="277"/>
      <c r="O18769" s="247"/>
      <c r="AC18769" s="247"/>
      <c r="AT18769" s="247"/>
    </row>
    <row r="18770">
      <c r="C18770" s="277"/>
      <c r="M18770" s="277"/>
      <c r="O18770" s="247"/>
      <c r="AC18770" s="247"/>
      <c r="AT18770" s="247"/>
    </row>
    <row r="18771">
      <c r="C18771" s="277"/>
      <c r="M18771" s="277"/>
      <c r="O18771" s="247"/>
      <c r="AC18771" s="247"/>
      <c r="AT18771" s="247"/>
    </row>
    <row r="18772">
      <c r="C18772" s="277"/>
      <c r="M18772" s="277"/>
      <c r="O18772" s="247"/>
      <c r="AC18772" s="247"/>
      <c r="AT18772" s="247"/>
    </row>
    <row r="18773">
      <c r="C18773" s="277"/>
      <c r="M18773" s="277"/>
      <c r="O18773" s="247"/>
      <c r="AC18773" s="247"/>
      <c r="AT18773" s="247"/>
    </row>
    <row r="18774">
      <c r="C18774" s="277"/>
      <c r="M18774" s="277"/>
      <c r="O18774" s="247"/>
      <c r="AC18774" s="247"/>
      <c r="AT18774" s="247"/>
    </row>
    <row r="18775">
      <c r="C18775" s="277"/>
      <c r="M18775" s="277"/>
      <c r="O18775" s="247"/>
      <c r="AC18775" s="247"/>
      <c r="AT18775" s="247"/>
    </row>
    <row r="18776">
      <c r="C18776" s="277"/>
      <c r="M18776" s="277"/>
      <c r="O18776" s="247"/>
      <c r="AC18776" s="247"/>
      <c r="AT18776" s="247"/>
    </row>
    <row r="18777">
      <c r="C18777" s="277"/>
      <c r="M18777" s="277"/>
      <c r="O18777" s="247"/>
      <c r="AC18777" s="247"/>
      <c r="AT18777" s="247"/>
    </row>
    <row r="18778">
      <c r="C18778" s="277"/>
      <c r="M18778" s="277"/>
      <c r="O18778" s="247"/>
      <c r="AC18778" s="247"/>
      <c r="AT18778" s="247"/>
    </row>
    <row r="18779">
      <c r="C18779" s="277"/>
      <c r="M18779" s="277"/>
      <c r="O18779" s="247"/>
      <c r="AC18779" s="247"/>
      <c r="AT18779" s="247"/>
    </row>
    <row r="18780">
      <c r="C18780" s="277"/>
      <c r="M18780" s="277"/>
      <c r="O18780" s="247"/>
      <c r="AC18780" s="247"/>
      <c r="AT18780" s="247"/>
    </row>
    <row r="18781">
      <c r="C18781" s="277"/>
      <c r="M18781" s="277"/>
      <c r="O18781" s="247"/>
      <c r="AC18781" s="247"/>
      <c r="AT18781" s="247"/>
    </row>
    <row r="18782">
      <c r="C18782" s="277"/>
      <c r="M18782" s="277"/>
      <c r="O18782" s="247"/>
      <c r="AC18782" s="247"/>
      <c r="AT18782" s="247"/>
    </row>
    <row r="18783">
      <c r="C18783" s="277"/>
      <c r="M18783" s="277"/>
      <c r="O18783" s="247"/>
      <c r="AC18783" s="247"/>
      <c r="AT18783" s="247"/>
    </row>
    <row r="18784">
      <c r="C18784" s="277"/>
      <c r="M18784" s="277"/>
      <c r="O18784" s="247"/>
      <c r="AC18784" s="247"/>
      <c r="AT18784" s="247"/>
    </row>
    <row r="18785">
      <c r="C18785" s="277"/>
      <c r="M18785" s="277"/>
      <c r="O18785" s="247"/>
      <c r="AC18785" s="247"/>
      <c r="AT18785" s="247"/>
    </row>
    <row r="18786">
      <c r="C18786" s="277"/>
      <c r="M18786" s="277"/>
      <c r="O18786" s="247"/>
      <c r="AC18786" s="247"/>
      <c r="AT18786" s="247"/>
    </row>
    <row r="18787">
      <c r="C18787" s="277"/>
      <c r="M18787" s="277"/>
      <c r="O18787" s="247"/>
      <c r="AC18787" s="247"/>
      <c r="AT18787" s="247"/>
    </row>
    <row r="18788">
      <c r="C18788" s="277"/>
      <c r="M18788" s="277"/>
      <c r="O18788" s="247"/>
      <c r="AC18788" s="247"/>
      <c r="AT18788" s="247"/>
    </row>
    <row r="18789">
      <c r="C18789" s="277"/>
      <c r="M18789" s="277"/>
      <c r="O18789" s="247"/>
      <c r="AC18789" s="247"/>
      <c r="AT18789" s="247"/>
    </row>
    <row r="18790">
      <c r="C18790" s="277"/>
      <c r="M18790" s="277"/>
      <c r="O18790" s="247"/>
      <c r="AC18790" s="247"/>
      <c r="AT18790" s="247"/>
    </row>
    <row r="18791">
      <c r="C18791" s="277"/>
      <c r="M18791" s="277"/>
      <c r="O18791" s="247"/>
      <c r="AC18791" s="247"/>
      <c r="AT18791" s="247"/>
    </row>
    <row r="18792">
      <c r="C18792" s="277"/>
      <c r="M18792" s="277"/>
      <c r="O18792" s="247"/>
      <c r="AC18792" s="247"/>
      <c r="AT18792" s="247"/>
    </row>
    <row r="18793">
      <c r="C18793" s="277"/>
      <c r="M18793" s="277"/>
      <c r="O18793" s="247"/>
      <c r="AC18793" s="247"/>
      <c r="AT18793" s="247"/>
    </row>
    <row r="18794">
      <c r="C18794" s="277"/>
      <c r="M18794" s="277"/>
      <c r="O18794" s="247"/>
      <c r="AC18794" s="247"/>
      <c r="AT18794" s="247"/>
    </row>
    <row r="18795">
      <c r="C18795" s="277"/>
      <c r="M18795" s="277"/>
      <c r="O18795" s="247"/>
      <c r="AC18795" s="247"/>
      <c r="AT18795" s="247"/>
    </row>
    <row r="18796">
      <c r="C18796" s="277"/>
      <c r="M18796" s="277"/>
      <c r="O18796" s="247"/>
      <c r="AC18796" s="247"/>
      <c r="AT18796" s="247"/>
    </row>
    <row r="18797">
      <c r="C18797" s="277"/>
      <c r="M18797" s="277"/>
      <c r="O18797" s="247"/>
      <c r="AC18797" s="247"/>
      <c r="AT18797" s="247"/>
    </row>
    <row r="18798">
      <c r="C18798" s="277"/>
      <c r="M18798" s="277"/>
      <c r="O18798" s="247"/>
      <c r="AC18798" s="247"/>
      <c r="AT18798" s="247"/>
    </row>
    <row r="18799">
      <c r="C18799" s="277"/>
      <c r="M18799" s="277"/>
      <c r="O18799" s="247"/>
      <c r="AC18799" s="247"/>
      <c r="AT18799" s="247"/>
    </row>
    <row r="18800">
      <c r="C18800" s="277"/>
      <c r="M18800" s="277"/>
      <c r="O18800" s="247"/>
      <c r="AC18800" s="247"/>
      <c r="AT18800" s="247"/>
    </row>
    <row r="18801">
      <c r="C18801" s="277"/>
      <c r="M18801" s="277"/>
      <c r="O18801" s="247"/>
      <c r="AC18801" s="247"/>
      <c r="AT18801" s="247"/>
    </row>
    <row r="18802">
      <c r="C18802" s="277"/>
      <c r="M18802" s="277"/>
      <c r="O18802" s="247"/>
      <c r="AC18802" s="247"/>
      <c r="AT18802" s="247"/>
    </row>
    <row r="18803">
      <c r="C18803" s="277"/>
      <c r="M18803" s="277"/>
      <c r="O18803" s="247"/>
      <c r="AC18803" s="247"/>
      <c r="AT18803" s="247"/>
    </row>
    <row r="18804">
      <c r="C18804" s="277"/>
      <c r="M18804" s="277"/>
      <c r="O18804" s="247"/>
      <c r="AC18804" s="247"/>
      <c r="AT18804" s="247"/>
    </row>
    <row r="18805">
      <c r="C18805" s="277"/>
      <c r="M18805" s="277"/>
      <c r="O18805" s="247"/>
      <c r="AC18805" s="247"/>
      <c r="AT18805" s="247"/>
    </row>
    <row r="18806">
      <c r="C18806" s="277"/>
      <c r="M18806" s="277"/>
      <c r="O18806" s="247"/>
      <c r="AC18806" s="247"/>
      <c r="AT18806" s="247"/>
    </row>
    <row r="18807">
      <c r="C18807" s="277"/>
      <c r="M18807" s="277"/>
      <c r="O18807" s="247"/>
      <c r="AC18807" s="247"/>
      <c r="AT18807" s="247"/>
    </row>
    <row r="18808">
      <c r="C18808" s="277"/>
      <c r="M18808" s="277"/>
      <c r="O18808" s="247"/>
      <c r="AC18808" s="247"/>
      <c r="AT18808" s="247"/>
    </row>
    <row r="18809">
      <c r="C18809" s="277"/>
      <c r="M18809" s="277"/>
      <c r="O18809" s="247"/>
      <c r="AC18809" s="247"/>
      <c r="AT18809" s="247"/>
    </row>
    <row r="18810">
      <c r="C18810" s="277"/>
      <c r="M18810" s="277"/>
      <c r="O18810" s="247"/>
      <c r="AC18810" s="247"/>
      <c r="AT18810" s="247"/>
    </row>
    <row r="18811">
      <c r="C18811" s="277"/>
      <c r="M18811" s="277"/>
      <c r="O18811" s="247"/>
      <c r="AC18811" s="247"/>
      <c r="AT18811" s="247"/>
    </row>
    <row r="18812">
      <c r="C18812" s="277"/>
      <c r="M18812" s="277"/>
      <c r="O18812" s="247"/>
      <c r="AC18812" s="247"/>
      <c r="AT18812" s="247"/>
    </row>
    <row r="18813">
      <c r="C18813" s="277"/>
      <c r="M18813" s="277"/>
      <c r="O18813" s="247"/>
      <c r="AC18813" s="247"/>
      <c r="AT18813" s="247"/>
    </row>
    <row r="18814">
      <c r="C18814" s="277"/>
      <c r="M18814" s="277"/>
      <c r="O18814" s="247"/>
      <c r="AC18814" s="247"/>
      <c r="AT18814" s="247"/>
    </row>
    <row r="18815">
      <c r="C18815" s="277"/>
      <c r="M18815" s="277"/>
      <c r="O18815" s="247"/>
      <c r="AC18815" s="247"/>
      <c r="AT18815" s="247"/>
    </row>
    <row r="18816">
      <c r="C18816" s="277"/>
      <c r="M18816" s="277"/>
      <c r="O18816" s="247"/>
      <c r="AC18816" s="247"/>
      <c r="AT18816" s="247"/>
    </row>
    <row r="18817">
      <c r="C18817" s="277"/>
      <c r="M18817" s="277"/>
      <c r="O18817" s="247"/>
      <c r="AC18817" s="247"/>
      <c r="AT18817" s="247"/>
    </row>
    <row r="18818">
      <c r="C18818" s="277"/>
      <c r="M18818" s="277"/>
      <c r="O18818" s="247"/>
      <c r="AC18818" s="247"/>
      <c r="AT18818" s="247"/>
    </row>
    <row r="18819">
      <c r="C18819" s="277"/>
      <c r="M18819" s="277"/>
      <c r="O18819" s="247"/>
      <c r="AC18819" s="247"/>
      <c r="AT18819" s="247"/>
    </row>
    <row r="18820">
      <c r="C18820" s="277"/>
      <c r="M18820" s="277"/>
      <c r="O18820" s="247"/>
      <c r="AC18820" s="247"/>
      <c r="AT18820" s="247"/>
    </row>
    <row r="18821">
      <c r="C18821" s="277"/>
      <c r="M18821" s="277"/>
      <c r="O18821" s="247"/>
      <c r="AC18821" s="247"/>
      <c r="AT18821" s="247"/>
    </row>
    <row r="18822">
      <c r="C18822" s="277"/>
      <c r="M18822" s="277"/>
      <c r="O18822" s="247"/>
      <c r="AC18822" s="247"/>
      <c r="AT18822" s="247"/>
    </row>
    <row r="18823">
      <c r="C18823" s="277"/>
      <c r="M18823" s="277"/>
      <c r="O18823" s="247"/>
      <c r="AC18823" s="247"/>
      <c r="AT18823" s="247"/>
    </row>
    <row r="18824">
      <c r="C18824" s="277"/>
      <c r="M18824" s="277"/>
      <c r="O18824" s="247"/>
      <c r="AC18824" s="247"/>
      <c r="AT18824" s="247"/>
    </row>
    <row r="18825">
      <c r="C18825" s="277"/>
      <c r="M18825" s="277"/>
      <c r="O18825" s="247"/>
      <c r="AC18825" s="247"/>
      <c r="AT18825" s="247"/>
    </row>
    <row r="18826">
      <c r="C18826" s="277"/>
      <c r="M18826" s="277"/>
      <c r="O18826" s="247"/>
      <c r="AC18826" s="247"/>
      <c r="AT18826" s="247"/>
    </row>
    <row r="18827">
      <c r="C18827" s="277"/>
      <c r="M18827" s="277"/>
      <c r="O18827" s="247"/>
      <c r="AC18827" s="247"/>
      <c r="AT18827" s="247"/>
    </row>
    <row r="18828">
      <c r="C18828" s="277"/>
      <c r="M18828" s="277"/>
      <c r="O18828" s="247"/>
      <c r="AC18828" s="247"/>
      <c r="AT18828" s="247"/>
    </row>
    <row r="18829">
      <c r="C18829" s="277"/>
      <c r="M18829" s="277"/>
      <c r="O18829" s="247"/>
      <c r="AC18829" s="247"/>
      <c r="AT18829" s="247"/>
    </row>
    <row r="18830">
      <c r="C18830" s="277"/>
      <c r="M18830" s="277"/>
      <c r="O18830" s="247"/>
      <c r="AC18830" s="247"/>
      <c r="AT18830" s="247"/>
    </row>
    <row r="18831">
      <c r="C18831" s="277"/>
      <c r="M18831" s="277"/>
      <c r="O18831" s="247"/>
      <c r="AC18831" s="247"/>
      <c r="AT18831" s="247"/>
    </row>
    <row r="18832">
      <c r="C18832" s="277"/>
      <c r="M18832" s="277"/>
      <c r="O18832" s="247"/>
      <c r="AC18832" s="247"/>
      <c r="AT18832" s="247"/>
    </row>
    <row r="18833">
      <c r="C18833" s="277"/>
      <c r="M18833" s="277"/>
      <c r="O18833" s="247"/>
      <c r="AC18833" s="247"/>
      <c r="AT18833" s="247"/>
    </row>
    <row r="18834">
      <c r="C18834" s="277"/>
      <c r="M18834" s="277"/>
      <c r="O18834" s="247"/>
      <c r="AC18834" s="247"/>
      <c r="AT18834" s="247"/>
    </row>
    <row r="18835">
      <c r="C18835" s="277"/>
      <c r="M18835" s="277"/>
      <c r="O18835" s="247"/>
      <c r="AC18835" s="247"/>
      <c r="AT18835" s="247"/>
    </row>
    <row r="18836">
      <c r="C18836" s="277"/>
      <c r="M18836" s="277"/>
      <c r="O18836" s="247"/>
      <c r="AC18836" s="247"/>
      <c r="AT18836" s="247"/>
    </row>
    <row r="18837">
      <c r="C18837" s="277"/>
      <c r="M18837" s="277"/>
      <c r="O18837" s="247"/>
      <c r="AC18837" s="247"/>
      <c r="AT18837" s="247"/>
    </row>
    <row r="18838">
      <c r="C18838" s="277"/>
      <c r="M18838" s="277"/>
      <c r="O18838" s="247"/>
      <c r="AC18838" s="247"/>
      <c r="AT18838" s="247"/>
    </row>
    <row r="18839">
      <c r="C18839" s="277"/>
      <c r="M18839" s="277"/>
      <c r="O18839" s="247"/>
      <c r="AC18839" s="247"/>
      <c r="AT18839" s="247"/>
    </row>
    <row r="18840">
      <c r="C18840" s="277"/>
      <c r="M18840" s="277"/>
      <c r="O18840" s="247"/>
      <c r="AC18840" s="247"/>
      <c r="AT18840" s="247"/>
    </row>
    <row r="18841">
      <c r="C18841" s="277"/>
      <c r="M18841" s="277"/>
      <c r="O18841" s="247"/>
      <c r="AC18841" s="247"/>
      <c r="AT18841" s="247"/>
    </row>
    <row r="18842">
      <c r="C18842" s="277"/>
      <c r="M18842" s="277"/>
      <c r="O18842" s="247"/>
      <c r="AC18842" s="247"/>
      <c r="AT18842" s="247"/>
    </row>
    <row r="18843">
      <c r="C18843" s="277"/>
      <c r="M18843" s="277"/>
      <c r="O18843" s="247"/>
      <c r="AC18843" s="247"/>
      <c r="AT18843" s="247"/>
    </row>
    <row r="18844">
      <c r="C18844" s="277"/>
      <c r="M18844" s="277"/>
      <c r="O18844" s="247"/>
      <c r="AC18844" s="247"/>
      <c r="AT18844" s="247"/>
    </row>
    <row r="18845">
      <c r="C18845" s="277"/>
      <c r="M18845" s="277"/>
      <c r="O18845" s="247"/>
      <c r="AC18845" s="247"/>
      <c r="AT18845" s="247"/>
    </row>
    <row r="18846">
      <c r="C18846" s="277"/>
      <c r="M18846" s="277"/>
      <c r="O18846" s="247"/>
      <c r="AC18846" s="247"/>
      <c r="AT18846" s="247"/>
    </row>
    <row r="18847">
      <c r="C18847" s="277"/>
      <c r="M18847" s="277"/>
      <c r="O18847" s="247"/>
      <c r="AC18847" s="247"/>
      <c r="AT18847" s="247"/>
    </row>
    <row r="18848">
      <c r="C18848" s="277"/>
      <c r="M18848" s="277"/>
      <c r="O18848" s="247"/>
      <c r="AC18848" s="247"/>
      <c r="AT18848" s="247"/>
    </row>
    <row r="18849">
      <c r="C18849" s="277"/>
      <c r="M18849" s="277"/>
      <c r="O18849" s="247"/>
      <c r="AC18849" s="247"/>
      <c r="AT18849" s="247"/>
    </row>
    <row r="18850">
      <c r="C18850" s="277"/>
      <c r="M18850" s="277"/>
      <c r="O18850" s="247"/>
      <c r="AC18850" s="247"/>
      <c r="AT18850" s="247"/>
    </row>
    <row r="18851">
      <c r="C18851" s="277"/>
      <c r="M18851" s="277"/>
      <c r="O18851" s="247"/>
      <c r="AC18851" s="247"/>
      <c r="AT18851" s="247"/>
    </row>
    <row r="18852">
      <c r="C18852" s="277"/>
      <c r="M18852" s="277"/>
      <c r="O18852" s="247"/>
      <c r="AC18852" s="247"/>
      <c r="AT18852" s="247"/>
    </row>
    <row r="18853">
      <c r="C18853" s="277"/>
      <c r="M18853" s="277"/>
      <c r="O18853" s="247"/>
      <c r="AC18853" s="247"/>
      <c r="AT18853" s="247"/>
    </row>
    <row r="18854">
      <c r="C18854" s="277"/>
      <c r="M18854" s="277"/>
      <c r="O18854" s="247"/>
      <c r="AC18854" s="247"/>
      <c r="AT18854" s="247"/>
    </row>
    <row r="18855">
      <c r="C18855" s="277"/>
      <c r="M18855" s="277"/>
      <c r="O18855" s="247"/>
      <c r="AC18855" s="247"/>
      <c r="AT18855" s="247"/>
    </row>
    <row r="18856">
      <c r="C18856" s="277"/>
      <c r="M18856" s="277"/>
      <c r="O18856" s="247"/>
      <c r="AC18856" s="247"/>
      <c r="AT18856" s="247"/>
    </row>
    <row r="18857">
      <c r="C18857" s="277"/>
      <c r="M18857" s="277"/>
      <c r="O18857" s="247"/>
      <c r="AC18857" s="247"/>
      <c r="AT18857" s="247"/>
    </row>
    <row r="18858">
      <c r="C18858" s="277"/>
      <c r="M18858" s="277"/>
      <c r="O18858" s="247"/>
      <c r="AC18858" s="247"/>
      <c r="AT18858" s="247"/>
    </row>
    <row r="18859">
      <c r="C18859" s="277"/>
      <c r="M18859" s="277"/>
      <c r="O18859" s="247"/>
      <c r="AC18859" s="247"/>
      <c r="AT18859" s="247"/>
    </row>
    <row r="18860">
      <c r="C18860" s="277"/>
      <c r="M18860" s="277"/>
      <c r="O18860" s="247"/>
      <c r="AC18860" s="247"/>
      <c r="AT18860" s="247"/>
    </row>
    <row r="18861">
      <c r="C18861" s="277"/>
      <c r="M18861" s="277"/>
      <c r="O18861" s="247"/>
      <c r="AC18861" s="247"/>
      <c r="AT18861" s="247"/>
    </row>
    <row r="18862">
      <c r="C18862" s="277"/>
      <c r="M18862" s="277"/>
      <c r="O18862" s="247"/>
      <c r="AC18862" s="247"/>
      <c r="AT18862" s="247"/>
    </row>
    <row r="18863">
      <c r="C18863" s="277"/>
      <c r="M18863" s="277"/>
      <c r="O18863" s="247"/>
      <c r="AC18863" s="247"/>
      <c r="AT18863" s="247"/>
    </row>
    <row r="18864">
      <c r="C18864" s="277"/>
      <c r="M18864" s="277"/>
      <c r="O18864" s="247"/>
      <c r="AC18864" s="247"/>
      <c r="AT18864" s="247"/>
    </row>
    <row r="18865">
      <c r="C18865" s="277"/>
      <c r="M18865" s="277"/>
      <c r="O18865" s="247"/>
      <c r="AC18865" s="247"/>
      <c r="AT18865" s="247"/>
    </row>
    <row r="18866">
      <c r="C18866" s="277"/>
      <c r="M18866" s="277"/>
      <c r="O18866" s="247"/>
      <c r="AC18866" s="247"/>
      <c r="AT18866" s="247"/>
    </row>
    <row r="18867">
      <c r="C18867" s="277"/>
      <c r="M18867" s="277"/>
      <c r="O18867" s="247"/>
      <c r="AC18867" s="247"/>
      <c r="AT18867" s="247"/>
    </row>
    <row r="18868">
      <c r="C18868" s="277"/>
      <c r="M18868" s="277"/>
      <c r="O18868" s="247"/>
      <c r="AC18868" s="247"/>
      <c r="AT18868" s="247"/>
    </row>
    <row r="18869">
      <c r="C18869" s="277"/>
      <c r="M18869" s="277"/>
      <c r="O18869" s="247"/>
      <c r="AC18869" s="247"/>
      <c r="AT18869" s="247"/>
    </row>
    <row r="18870">
      <c r="C18870" s="277"/>
      <c r="M18870" s="277"/>
      <c r="O18870" s="247"/>
      <c r="AC18870" s="247"/>
      <c r="AT18870" s="247"/>
    </row>
    <row r="18871">
      <c r="C18871" s="277"/>
      <c r="M18871" s="277"/>
      <c r="O18871" s="247"/>
      <c r="AC18871" s="247"/>
      <c r="AT18871" s="247"/>
    </row>
    <row r="18872">
      <c r="C18872" s="277"/>
      <c r="M18872" s="277"/>
      <c r="O18872" s="247"/>
      <c r="AC18872" s="247"/>
      <c r="AT18872" s="247"/>
    </row>
    <row r="18873">
      <c r="C18873" s="277"/>
      <c r="M18873" s="277"/>
      <c r="O18873" s="247"/>
      <c r="AC18873" s="247"/>
      <c r="AT18873" s="247"/>
    </row>
    <row r="18874">
      <c r="C18874" s="277"/>
      <c r="M18874" s="277"/>
      <c r="O18874" s="247"/>
      <c r="AC18874" s="247"/>
      <c r="AT18874" s="247"/>
    </row>
    <row r="18875">
      <c r="C18875" s="277"/>
      <c r="M18875" s="277"/>
      <c r="O18875" s="247"/>
      <c r="AC18875" s="247"/>
      <c r="AT18875" s="247"/>
    </row>
    <row r="18876">
      <c r="C18876" s="277"/>
      <c r="M18876" s="277"/>
      <c r="O18876" s="247"/>
      <c r="AC18876" s="247"/>
      <c r="AT18876" s="247"/>
    </row>
    <row r="18877">
      <c r="C18877" s="277"/>
      <c r="M18877" s="277"/>
      <c r="O18877" s="247"/>
      <c r="AC18877" s="247"/>
      <c r="AT18877" s="247"/>
    </row>
    <row r="18878">
      <c r="C18878" s="277"/>
      <c r="M18878" s="277"/>
      <c r="O18878" s="247"/>
      <c r="AC18878" s="247"/>
      <c r="AT18878" s="247"/>
    </row>
    <row r="18879">
      <c r="C18879" s="277"/>
      <c r="M18879" s="277"/>
      <c r="O18879" s="247"/>
      <c r="AC18879" s="247"/>
      <c r="AT18879" s="247"/>
    </row>
    <row r="18880">
      <c r="C18880" s="277"/>
      <c r="M18880" s="277"/>
      <c r="O18880" s="247"/>
      <c r="AC18880" s="247"/>
      <c r="AT18880" s="247"/>
    </row>
    <row r="18881">
      <c r="C18881" s="277"/>
      <c r="M18881" s="277"/>
      <c r="O18881" s="247"/>
      <c r="AC18881" s="247"/>
      <c r="AT18881" s="247"/>
    </row>
    <row r="18882">
      <c r="C18882" s="277"/>
      <c r="M18882" s="277"/>
      <c r="O18882" s="247"/>
      <c r="AC18882" s="247"/>
      <c r="AT18882" s="247"/>
    </row>
    <row r="18883">
      <c r="C18883" s="277"/>
      <c r="M18883" s="277"/>
      <c r="O18883" s="247"/>
      <c r="AC18883" s="247"/>
      <c r="AT18883" s="247"/>
    </row>
    <row r="18884">
      <c r="C18884" s="277"/>
      <c r="M18884" s="277"/>
      <c r="O18884" s="247"/>
      <c r="AC18884" s="247"/>
      <c r="AT18884" s="247"/>
    </row>
    <row r="18885">
      <c r="C18885" s="277"/>
      <c r="M18885" s="277"/>
      <c r="O18885" s="247"/>
      <c r="AC18885" s="247"/>
      <c r="AT18885" s="247"/>
    </row>
    <row r="18886">
      <c r="C18886" s="277"/>
      <c r="M18886" s="277"/>
      <c r="O18886" s="247"/>
      <c r="AC18886" s="247"/>
      <c r="AT18886" s="247"/>
    </row>
    <row r="18887">
      <c r="C18887" s="277"/>
      <c r="M18887" s="277"/>
      <c r="O18887" s="247"/>
      <c r="AC18887" s="247"/>
      <c r="AT18887" s="247"/>
    </row>
    <row r="18888">
      <c r="C18888" s="277"/>
      <c r="M18888" s="277"/>
      <c r="O18888" s="247"/>
      <c r="AC18888" s="247"/>
      <c r="AT18888" s="247"/>
    </row>
    <row r="18889">
      <c r="C18889" s="277"/>
      <c r="M18889" s="277"/>
      <c r="O18889" s="247"/>
      <c r="AC18889" s="247"/>
      <c r="AT18889" s="247"/>
    </row>
    <row r="18890">
      <c r="C18890" s="277"/>
      <c r="M18890" s="277"/>
      <c r="O18890" s="247"/>
      <c r="AC18890" s="247"/>
      <c r="AT18890" s="247"/>
    </row>
    <row r="18891">
      <c r="C18891" s="277"/>
      <c r="M18891" s="277"/>
      <c r="O18891" s="247"/>
      <c r="AC18891" s="247"/>
      <c r="AT18891" s="247"/>
    </row>
    <row r="18892">
      <c r="C18892" s="277"/>
      <c r="M18892" s="277"/>
      <c r="O18892" s="247"/>
      <c r="AC18892" s="247"/>
      <c r="AT18892" s="247"/>
    </row>
    <row r="18893">
      <c r="C18893" s="277"/>
      <c r="M18893" s="277"/>
      <c r="O18893" s="247"/>
      <c r="AC18893" s="247"/>
      <c r="AT18893" s="247"/>
    </row>
    <row r="18894">
      <c r="C18894" s="277"/>
      <c r="M18894" s="277"/>
      <c r="O18894" s="247"/>
      <c r="AC18894" s="247"/>
      <c r="AT18894" s="247"/>
    </row>
    <row r="18895">
      <c r="C18895" s="277"/>
      <c r="M18895" s="277"/>
      <c r="O18895" s="247"/>
      <c r="AC18895" s="247"/>
      <c r="AT18895" s="247"/>
    </row>
    <row r="18896">
      <c r="C18896" s="277"/>
      <c r="M18896" s="277"/>
      <c r="O18896" s="247"/>
      <c r="AC18896" s="247"/>
      <c r="AT18896" s="247"/>
    </row>
    <row r="18897">
      <c r="C18897" s="277"/>
      <c r="M18897" s="277"/>
      <c r="O18897" s="247"/>
      <c r="AC18897" s="247"/>
      <c r="AT18897" s="247"/>
    </row>
    <row r="18898">
      <c r="C18898" s="277"/>
      <c r="M18898" s="277"/>
      <c r="O18898" s="247"/>
      <c r="AC18898" s="247"/>
      <c r="AT18898" s="247"/>
    </row>
    <row r="18899">
      <c r="C18899" s="277"/>
      <c r="M18899" s="277"/>
      <c r="O18899" s="247"/>
      <c r="AC18899" s="247"/>
      <c r="AT18899" s="247"/>
    </row>
    <row r="18900">
      <c r="C18900" s="277"/>
      <c r="M18900" s="277"/>
      <c r="O18900" s="247"/>
      <c r="AC18900" s="247"/>
      <c r="AT18900" s="247"/>
    </row>
    <row r="18901">
      <c r="C18901" s="277"/>
      <c r="M18901" s="277"/>
      <c r="O18901" s="247"/>
      <c r="AC18901" s="247"/>
      <c r="AT18901" s="247"/>
    </row>
    <row r="18902">
      <c r="C18902" s="277"/>
      <c r="M18902" s="277"/>
      <c r="O18902" s="247"/>
      <c r="AC18902" s="247"/>
      <c r="AT18902" s="247"/>
    </row>
    <row r="18903">
      <c r="C18903" s="277"/>
      <c r="M18903" s="277"/>
      <c r="O18903" s="247"/>
      <c r="AC18903" s="247"/>
      <c r="AT18903" s="247"/>
    </row>
    <row r="18904">
      <c r="C18904" s="277"/>
      <c r="M18904" s="277"/>
      <c r="O18904" s="247"/>
      <c r="AC18904" s="247"/>
      <c r="AT18904" s="247"/>
    </row>
    <row r="18905">
      <c r="C18905" s="277"/>
      <c r="M18905" s="277"/>
      <c r="O18905" s="247"/>
      <c r="AC18905" s="247"/>
      <c r="AT18905" s="247"/>
    </row>
    <row r="18906">
      <c r="C18906" s="277"/>
      <c r="M18906" s="277"/>
      <c r="O18906" s="247"/>
      <c r="AC18906" s="247"/>
      <c r="AT18906" s="247"/>
    </row>
    <row r="18907">
      <c r="C18907" s="277"/>
      <c r="M18907" s="277"/>
      <c r="O18907" s="247"/>
      <c r="AC18907" s="247"/>
      <c r="AT18907" s="247"/>
    </row>
    <row r="18908">
      <c r="C18908" s="277"/>
      <c r="M18908" s="277"/>
      <c r="O18908" s="247"/>
      <c r="AC18908" s="247"/>
      <c r="AT18908" s="247"/>
    </row>
    <row r="18909">
      <c r="C18909" s="277"/>
      <c r="M18909" s="277"/>
      <c r="O18909" s="247"/>
      <c r="AC18909" s="247"/>
      <c r="AT18909" s="247"/>
    </row>
    <row r="18910">
      <c r="C18910" s="277"/>
      <c r="M18910" s="277"/>
      <c r="O18910" s="247"/>
      <c r="AC18910" s="247"/>
      <c r="AT18910" s="247"/>
    </row>
    <row r="18911">
      <c r="C18911" s="277"/>
      <c r="M18911" s="277"/>
      <c r="O18911" s="247"/>
      <c r="AC18911" s="247"/>
      <c r="AT18911" s="247"/>
    </row>
    <row r="18912">
      <c r="C18912" s="277"/>
      <c r="M18912" s="277"/>
      <c r="O18912" s="247"/>
      <c r="AC18912" s="247"/>
      <c r="AT18912" s="247"/>
    </row>
    <row r="18913">
      <c r="C18913" s="277"/>
      <c r="M18913" s="277"/>
      <c r="O18913" s="247"/>
      <c r="AC18913" s="247"/>
      <c r="AT18913" s="247"/>
    </row>
    <row r="18914">
      <c r="C18914" s="277"/>
      <c r="M18914" s="277"/>
      <c r="O18914" s="247"/>
      <c r="AC18914" s="247"/>
      <c r="AT18914" s="247"/>
    </row>
    <row r="18915">
      <c r="C18915" s="277"/>
      <c r="M18915" s="277"/>
      <c r="O18915" s="247"/>
      <c r="AC18915" s="247"/>
      <c r="AT18915" s="247"/>
    </row>
    <row r="18916">
      <c r="C18916" s="277"/>
      <c r="M18916" s="277"/>
      <c r="O18916" s="247"/>
      <c r="AC18916" s="247"/>
      <c r="AT18916" s="247"/>
    </row>
    <row r="18917">
      <c r="C18917" s="277"/>
      <c r="M18917" s="277"/>
      <c r="O18917" s="247"/>
      <c r="AC18917" s="247"/>
      <c r="AT18917" s="247"/>
    </row>
    <row r="18918">
      <c r="C18918" s="277"/>
      <c r="M18918" s="277"/>
      <c r="O18918" s="247"/>
      <c r="AC18918" s="247"/>
      <c r="AT18918" s="247"/>
    </row>
    <row r="18919">
      <c r="C18919" s="277"/>
      <c r="M18919" s="277"/>
      <c r="O18919" s="247"/>
      <c r="AC18919" s="247"/>
      <c r="AT18919" s="247"/>
    </row>
    <row r="18920">
      <c r="C18920" s="277"/>
      <c r="M18920" s="277"/>
      <c r="O18920" s="247"/>
      <c r="AC18920" s="247"/>
      <c r="AT18920" s="247"/>
    </row>
    <row r="18921">
      <c r="C18921" s="277"/>
      <c r="M18921" s="277"/>
      <c r="O18921" s="247"/>
      <c r="AC18921" s="247"/>
      <c r="AT18921" s="247"/>
    </row>
    <row r="18922">
      <c r="C18922" s="277"/>
      <c r="M18922" s="277"/>
      <c r="O18922" s="247"/>
      <c r="AC18922" s="247"/>
      <c r="AT18922" s="247"/>
    </row>
    <row r="18923">
      <c r="C18923" s="277"/>
      <c r="M18923" s="277"/>
      <c r="O18923" s="247"/>
      <c r="AC18923" s="247"/>
      <c r="AT18923" s="247"/>
    </row>
    <row r="18924">
      <c r="C18924" s="277"/>
      <c r="M18924" s="277"/>
      <c r="O18924" s="247"/>
      <c r="AC18924" s="247"/>
      <c r="AT18924" s="247"/>
    </row>
    <row r="18925">
      <c r="C18925" s="277"/>
      <c r="M18925" s="277"/>
      <c r="O18925" s="247"/>
      <c r="AC18925" s="247"/>
      <c r="AT18925" s="247"/>
    </row>
    <row r="18926">
      <c r="C18926" s="277"/>
      <c r="M18926" s="277"/>
      <c r="O18926" s="247"/>
      <c r="AC18926" s="247"/>
      <c r="AT18926" s="247"/>
    </row>
    <row r="18927">
      <c r="C18927" s="277"/>
      <c r="M18927" s="277"/>
      <c r="O18927" s="247"/>
      <c r="AC18927" s="247"/>
      <c r="AT18927" s="247"/>
    </row>
    <row r="18928">
      <c r="C18928" s="277"/>
      <c r="M18928" s="277"/>
      <c r="O18928" s="247"/>
      <c r="AC18928" s="247"/>
      <c r="AT18928" s="247"/>
    </row>
    <row r="18929">
      <c r="C18929" s="277"/>
      <c r="M18929" s="277"/>
      <c r="O18929" s="247"/>
      <c r="AC18929" s="247"/>
      <c r="AT18929" s="247"/>
    </row>
    <row r="18930">
      <c r="C18930" s="277"/>
      <c r="M18930" s="277"/>
      <c r="O18930" s="247"/>
      <c r="AC18930" s="247"/>
      <c r="AT18930" s="247"/>
    </row>
    <row r="18931">
      <c r="C18931" s="277"/>
      <c r="M18931" s="277"/>
      <c r="O18931" s="247"/>
      <c r="AC18931" s="247"/>
      <c r="AT18931" s="247"/>
    </row>
    <row r="18932">
      <c r="C18932" s="277"/>
      <c r="M18932" s="277"/>
      <c r="O18932" s="247"/>
      <c r="AC18932" s="247"/>
      <c r="AT18932" s="247"/>
    </row>
    <row r="18933">
      <c r="C18933" s="277"/>
      <c r="M18933" s="277"/>
      <c r="O18933" s="247"/>
      <c r="AC18933" s="247"/>
      <c r="AT18933" s="247"/>
    </row>
    <row r="18934">
      <c r="C18934" s="277"/>
      <c r="M18934" s="277"/>
      <c r="O18934" s="247"/>
      <c r="AC18934" s="247"/>
      <c r="AT18934" s="247"/>
    </row>
    <row r="18935">
      <c r="C18935" s="277"/>
      <c r="M18935" s="277"/>
      <c r="O18935" s="247"/>
      <c r="AC18935" s="247"/>
      <c r="AT18935" s="247"/>
    </row>
    <row r="18936">
      <c r="C18936" s="277"/>
      <c r="M18936" s="277"/>
      <c r="O18936" s="247"/>
      <c r="AC18936" s="247"/>
      <c r="AT18936" s="247"/>
    </row>
    <row r="18937">
      <c r="C18937" s="277"/>
      <c r="M18937" s="277"/>
      <c r="O18937" s="247"/>
      <c r="AC18937" s="247"/>
      <c r="AT18937" s="247"/>
    </row>
    <row r="18938">
      <c r="C18938" s="277"/>
      <c r="M18938" s="277"/>
      <c r="O18938" s="247"/>
      <c r="AC18938" s="247"/>
      <c r="AT18938" s="247"/>
    </row>
    <row r="18939">
      <c r="C18939" s="277"/>
      <c r="M18939" s="277"/>
      <c r="O18939" s="247"/>
      <c r="AC18939" s="247"/>
      <c r="AT18939" s="247"/>
    </row>
    <row r="18940">
      <c r="C18940" s="277"/>
      <c r="M18940" s="277"/>
      <c r="O18940" s="247"/>
      <c r="AC18940" s="247"/>
      <c r="AT18940" s="247"/>
    </row>
    <row r="18941">
      <c r="C18941" s="277"/>
      <c r="M18941" s="277"/>
      <c r="O18941" s="247"/>
      <c r="AC18941" s="247"/>
      <c r="AT18941" s="247"/>
    </row>
    <row r="18942">
      <c r="C18942" s="277"/>
      <c r="M18942" s="277"/>
      <c r="O18942" s="247"/>
      <c r="AC18942" s="247"/>
      <c r="AT18942" s="247"/>
    </row>
    <row r="18943">
      <c r="C18943" s="277"/>
      <c r="M18943" s="277"/>
      <c r="O18943" s="247"/>
      <c r="AC18943" s="247"/>
      <c r="AT18943" s="247"/>
    </row>
    <row r="18944">
      <c r="C18944" s="277"/>
      <c r="M18944" s="277"/>
      <c r="O18944" s="247"/>
      <c r="AC18944" s="247"/>
      <c r="AT18944" s="247"/>
    </row>
    <row r="18945">
      <c r="C18945" s="277"/>
      <c r="M18945" s="277"/>
      <c r="O18945" s="247"/>
      <c r="AC18945" s="247"/>
      <c r="AT18945" s="247"/>
    </row>
    <row r="18946">
      <c r="C18946" s="277"/>
      <c r="M18946" s="277"/>
      <c r="O18946" s="247"/>
      <c r="AC18946" s="247"/>
      <c r="AT18946" s="247"/>
    </row>
    <row r="18947">
      <c r="C18947" s="277"/>
      <c r="M18947" s="277"/>
      <c r="O18947" s="247"/>
      <c r="AC18947" s="247"/>
      <c r="AT18947" s="247"/>
    </row>
    <row r="18948">
      <c r="C18948" s="277"/>
      <c r="M18948" s="277"/>
      <c r="O18948" s="247"/>
      <c r="AC18948" s="247"/>
      <c r="AT18948" s="247"/>
    </row>
    <row r="18949">
      <c r="C18949" s="277"/>
      <c r="M18949" s="277"/>
      <c r="O18949" s="247"/>
      <c r="AC18949" s="247"/>
      <c r="AT18949" s="247"/>
    </row>
    <row r="18950">
      <c r="C18950" s="277"/>
      <c r="M18950" s="277"/>
      <c r="O18950" s="247"/>
      <c r="AC18950" s="247"/>
      <c r="AT18950" s="247"/>
    </row>
    <row r="18951">
      <c r="C18951" s="277"/>
      <c r="M18951" s="277"/>
      <c r="O18951" s="247"/>
      <c r="AC18951" s="247"/>
      <c r="AT18951" s="247"/>
    </row>
    <row r="18952">
      <c r="C18952" s="277"/>
      <c r="M18952" s="277"/>
      <c r="O18952" s="247"/>
      <c r="AC18952" s="247"/>
      <c r="AT18952" s="247"/>
    </row>
    <row r="18953">
      <c r="C18953" s="277"/>
      <c r="M18953" s="277"/>
      <c r="O18953" s="247"/>
      <c r="AC18953" s="247"/>
      <c r="AT18953" s="247"/>
    </row>
    <row r="18954">
      <c r="C18954" s="277"/>
      <c r="M18954" s="277"/>
      <c r="O18954" s="247"/>
      <c r="AC18954" s="247"/>
      <c r="AT18954" s="247"/>
    </row>
    <row r="18955">
      <c r="C18955" s="277"/>
      <c r="M18955" s="277"/>
      <c r="O18955" s="247"/>
      <c r="AC18955" s="247"/>
      <c r="AT18955" s="247"/>
    </row>
    <row r="18956">
      <c r="C18956" s="277"/>
      <c r="M18956" s="277"/>
      <c r="O18956" s="247"/>
      <c r="AC18956" s="247"/>
      <c r="AT18956" s="247"/>
    </row>
    <row r="18957">
      <c r="C18957" s="277"/>
      <c r="M18957" s="277"/>
      <c r="O18957" s="247"/>
      <c r="AC18957" s="247"/>
      <c r="AT18957" s="247"/>
    </row>
    <row r="18958">
      <c r="C18958" s="277"/>
      <c r="M18958" s="277"/>
      <c r="O18958" s="247"/>
      <c r="AC18958" s="247"/>
      <c r="AT18958" s="247"/>
    </row>
    <row r="18959">
      <c r="C18959" s="277"/>
      <c r="M18959" s="277"/>
      <c r="O18959" s="247"/>
      <c r="AC18959" s="247"/>
      <c r="AT18959" s="247"/>
    </row>
    <row r="18960">
      <c r="C18960" s="277"/>
      <c r="M18960" s="277"/>
      <c r="O18960" s="247"/>
      <c r="AC18960" s="247"/>
      <c r="AT18960" s="247"/>
    </row>
    <row r="18961">
      <c r="C18961" s="277"/>
      <c r="M18961" s="277"/>
      <c r="O18961" s="247"/>
      <c r="AC18961" s="247"/>
      <c r="AT18961" s="247"/>
    </row>
    <row r="18962">
      <c r="C18962" s="277"/>
      <c r="M18962" s="277"/>
      <c r="O18962" s="247"/>
      <c r="AC18962" s="247"/>
      <c r="AT18962" s="247"/>
    </row>
    <row r="18963">
      <c r="C18963" s="277"/>
      <c r="M18963" s="277"/>
      <c r="O18963" s="247"/>
      <c r="AC18963" s="247"/>
      <c r="AT18963" s="247"/>
    </row>
    <row r="18964">
      <c r="C18964" s="277"/>
      <c r="M18964" s="277"/>
      <c r="O18964" s="247"/>
      <c r="AC18964" s="247"/>
      <c r="AT18964" s="247"/>
    </row>
    <row r="18965">
      <c r="C18965" s="277"/>
      <c r="M18965" s="277"/>
      <c r="O18965" s="247"/>
      <c r="AC18965" s="247"/>
      <c r="AT18965" s="247"/>
    </row>
    <row r="18966">
      <c r="C18966" s="277"/>
      <c r="M18966" s="277"/>
      <c r="O18966" s="247"/>
      <c r="AC18966" s="247"/>
      <c r="AT18966" s="247"/>
    </row>
    <row r="18967">
      <c r="C18967" s="277"/>
      <c r="M18967" s="277"/>
      <c r="O18967" s="247"/>
      <c r="AC18967" s="247"/>
      <c r="AT18967" s="247"/>
    </row>
    <row r="18968">
      <c r="C18968" s="277"/>
      <c r="M18968" s="277"/>
      <c r="O18968" s="247"/>
      <c r="AC18968" s="247"/>
      <c r="AT18968" s="247"/>
    </row>
    <row r="18969">
      <c r="C18969" s="277"/>
      <c r="M18969" s="277"/>
      <c r="O18969" s="247"/>
      <c r="AC18969" s="247"/>
      <c r="AT18969" s="247"/>
    </row>
    <row r="18970">
      <c r="C18970" s="277"/>
      <c r="M18970" s="277"/>
      <c r="O18970" s="247"/>
      <c r="AC18970" s="247"/>
      <c r="AT18970" s="247"/>
    </row>
    <row r="18971">
      <c r="C18971" s="277"/>
      <c r="M18971" s="277"/>
      <c r="O18971" s="247"/>
      <c r="AC18971" s="247"/>
      <c r="AT18971" s="247"/>
    </row>
    <row r="18972">
      <c r="C18972" s="277"/>
      <c r="M18972" s="277"/>
      <c r="O18972" s="247"/>
      <c r="AC18972" s="247"/>
      <c r="AT18972" s="247"/>
    </row>
    <row r="18973">
      <c r="C18973" s="277"/>
      <c r="M18973" s="277"/>
      <c r="O18973" s="247"/>
      <c r="AC18973" s="247"/>
      <c r="AT18973" s="247"/>
    </row>
    <row r="18974">
      <c r="C18974" s="277"/>
      <c r="M18974" s="277"/>
      <c r="O18974" s="247"/>
      <c r="AC18974" s="247"/>
      <c r="AT18974" s="247"/>
    </row>
    <row r="18975">
      <c r="C18975" s="277"/>
      <c r="M18975" s="277"/>
      <c r="O18975" s="247"/>
      <c r="AC18975" s="247"/>
      <c r="AT18975" s="247"/>
    </row>
    <row r="18976">
      <c r="C18976" s="277"/>
      <c r="M18976" s="277"/>
      <c r="O18976" s="247"/>
      <c r="AC18976" s="247"/>
      <c r="AT18976" s="247"/>
    </row>
    <row r="18977">
      <c r="C18977" s="277"/>
      <c r="M18977" s="277"/>
      <c r="O18977" s="247"/>
      <c r="AC18977" s="247"/>
      <c r="AT18977" s="247"/>
    </row>
    <row r="18978">
      <c r="C18978" s="277"/>
      <c r="M18978" s="277"/>
      <c r="O18978" s="247"/>
      <c r="AC18978" s="247"/>
      <c r="AT18978" s="247"/>
    </row>
    <row r="18979">
      <c r="C18979" s="277"/>
      <c r="M18979" s="277"/>
      <c r="O18979" s="247"/>
      <c r="AC18979" s="247"/>
      <c r="AT18979" s="247"/>
    </row>
    <row r="18980">
      <c r="C18980" s="277"/>
      <c r="M18980" s="277"/>
      <c r="O18980" s="247"/>
      <c r="AC18980" s="247"/>
      <c r="AT18980" s="247"/>
    </row>
    <row r="18981">
      <c r="C18981" s="277"/>
      <c r="M18981" s="277"/>
      <c r="O18981" s="247"/>
      <c r="AC18981" s="247"/>
      <c r="AT18981" s="247"/>
    </row>
    <row r="18982">
      <c r="C18982" s="277"/>
      <c r="M18982" s="277"/>
      <c r="O18982" s="247"/>
      <c r="AC18982" s="247"/>
      <c r="AT18982" s="247"/>
    </row>
    <row r="18983">
      <c r="C18983" s="277"/>
      <c r="M18983" s="277"/>
      <c r="O18983" s="247"/>
      <c r="AC18983" s="247"/>
      <c r="AT18983" s="247"/>
    </row>
    <row r="18984">
      <c r="C18984" s="277"/>
      <c r="M18984" s="277"/>
      <c r="O18984" s="247"/>
      <c r="AC18984" s="247"/>
      <c r="AT18984" s="247"/>
    </row>
    <row r="18985">
      <c r="C18985" s="277"/>
      <c r="M18985" s="277"/>
      <c r="O18985" s="247"/>
      <c r="AC18985" s="247"/>
      <c r="AT18985" s="247"/>
    </row>
    <row r="18986">
      <c r="C18986" s="277"/>
      <c r="M18986" s="277"/>
      <c r="O18986" s="247"/>
      <c r="AC18986" s="247"/>
      <c r="AT18986" s="247"/>
    </row>
    <row r="18987">
      <c r="C18987" s="277"/>
      <c r="M18987" s="277"/>
      <c r="O18987" s="247"/>
      <c r="AC18987" s="247"/>
      <c r="AT18987" s="247"/>
    </row>
    <row r="18988">
      <c r="C18988" s="277"/>
      <c r="M18988" s="277"/>
      <c r="O18988" s="247"/>
      <c r="AC18988" s="247"/>
      <c r="AT18988" s="247"/>
    </row>
    <row r="18989">
      <c r="C18989" s="277"/>
      <c r="M18989" s="277"/>
      <c r="O18989" s="247"/>
      <c r="AC18989" s="247"/>
      <c r="AT18989" s="247"/>
    </row>
    <row r="18990">
      <c r="C18990" s="277"/>
      <c r="M18990" s="277"/>
      <c r="O18990" s="247"/>
      <c r="AC18990" s="247"/>
      <c r="AT18990" s="247"/>
    </row>
    <row r="18991">
      <c r="C18991" s="277"/>
      <c r="M18991" s="277"/>
      <c r="O18991" s="247"/>
      <c r="AC18991" s="247"/>
      <c r="AT18991" s="247"/>
    </row>
    <row r="18992">
      <c r="C18992" s="277"/>
      <c r="M18992" s="277"/>
      <c r="O18992" s="247"/>
      <c r="AC18992" s="247"/>
      <c r="AT18992" s="247"/>
    </row>
    <row r="18993">
      <c r="C18993" s="277"/>
      <c r="M18993" s="277"/>
      <c r="O18993" s="247"/>
      <c r="AC18993" s="247"/>
      <c r="AT18993" s="247"/>
    </row>
    <row r="18994">
      <c r="C18994" s="277"/>
      <c r="M18994" s="277"/>
      <c r="O18994" s="247"/>
      <c r="AC18994" s="247"/>
      <c r="AT18994" s="247"/>
    </row>
    <row r="18995">
      <c r="C18995" s="277"/>
      <c r="M18995" s="277"/>
      <c r="O18995" s="247"/>
      <c r="AC18995" s="247"/>
      <c r="AT18995" s="247"/>
    </row>
    <row r="18996">
      <c r="C18996" s="277"/>
      <c r="M18996" s="277"/>
      <c r="O18996" s="247"/>
      <c r="AC18996" s="247"/>
      <c r="AT18996" s="247"/>
    </row>
    <row r="18997">
      <c r="C18997" s="277"/>
      <c r="M18997" s="277"/>
      <c r="O18997" s="247"/>
      <c r="AC18997" s="247"/>
      <c r="AT18997" s="247"/>
    </row>
    <row r="18998">
      <c r="C18998" s="277"/>
      <c r="M18998" s="277"/>
      <c r="O18998" s="247"/>
      <c r="AC18998" s="247"/>
      <c r="AT18998" s="247"/>
    </row>
    <row r="18999">
      <c r="C18999" s="277"/>
      <c r="M18999" s="277"/>
      <c r="O18999" s="247"/>
      <c r="AC18999" s="247"/>
      <c r="AT18999" s="247"/>
    </row>
    <row r="19000">
      <c r="C19000" s="277"/>
      <c r="M19000" s="277"/>
      <c r="O19000" s="247"/>
      <c r="AC19000" s="247"/>
      <c r="AT19000" s="247"/>
    </row>
    <row r="19001">
      <c r="C19001" s="277"/>
      <c r="M19001" s="277"/>
      <c r="O19001" s="247"/>
      <c r="AC19001" s="247"/>
      <c r="AT19001" s="247"/>
    </row>
    <row r="19002">
      <c r="C19002" s="277"/>
      <c r="M19002" s="277"/>
      <c r="O19002" s="247"/>
      <c r="AC19002" s="247"/>
      <c r="AT19002" s="247"/>
    </row>
    <row r="19003">
      <c r="C19003" s="277"/>
      <c r="M19003" s="277"/>
      <c r="O19003" s="247"/>
      <c r="AC19003" s="247"/>
      <c r="AT19003" s="247"/>
    </row>
    <row r="19004">
      <c r="C19004" s="277"/>
      <c r="M19004" s="277"/>
      <c r="O19004" s="247"/>
      <c r="AC19004" s="247"/>
      <c r="AT19004" s="247"/>
    </row>
    <row r="19005">
      <c r="C19005" s="277"/>
      <c r="M19005" s="277"/>
      <c r="O19005" s="247"/>
      <c r="AC19005" s="247"/>
      <c r="AT19005" s="247"/>
    </row>
    <row r="19006">
      <c r="C19006" s="277"/>
      <c r="M19006" s="277"/>
      <c r="O19006" s="247"/>
      <c r="AC19006" s="247"/>
      <c r="AT19006" s="247"/>
    </row>
    <row r="19007">
      <c r="C19007" s="277"/>
      <c r="M19007" s="277"/>
      <c r="O19007" s="247"/>
      <c r="AC19007" s="247"/>
      <c r="AT19007" s="247"/>
    </row>
    <row r="19008">
      <c r="C19008" s="277"/>
      <c r="M19008" s="277"/>
      <c r="O19008" s="247"/>
      <c r="AC19008" s="247"/>
      <c r="AT19008" s="247"/>
    </row>
    <row r="19009">
      <c r="C19009" s="277"/>
      <c r="M19009" s="277"/>
      <c r="O19009" s="247"/>
      <c r="AC19009" s="247"/>
      <c r="AT19009" s="247"/>
    </row>
    <row r="19010">
      <c r="C19010" s="277"/>
      <c r="M19010" s="277"/>
      <c r="O19010" s="247"/>
      <c r="AC19010" s="247"/>
      <c r="AT19010" s="247"/>
    </row>
    <row r="19011">
      <c r="C19011" s="277"/>
      <c r="M19011" s="277"/>
      <c r="O19011" s="247"/>
      <c r="AC19011" s="247"/>
      <c r="AT19011" s="247"/>
    </row>
    <row r="19012">
      <c r="C19012" s="277"/>
      <c r="M19012" s="277"/>
      <c r="O19012" s="247"/>
      <c r="AC19012" s="247"/>
      <c r="AT19012" s="247"/>
    </row>
    <row r="19013">
      <c r="C19013" s="277"/>
      <c r="M19013" s="277"/>
      <c r="O19013" s="247"/>
      <c r="AC19013" s="247"/>
      <c r="AT19013" s="247"/>
    </row>
    <row r="19014">
      <c r="C19014" s="277"/>
      <c r="M19014" s="277"/>
      <c r="O19014" s="247"/>
      <c r="AC19014" s="247"/>
      <c r="AT19014" s="247"/>
    </row>
    <row r="19015">
      <c r="C19015" s="277"/>
      <c r="M19015" s="277"/>
      <c r="O19015" s="247"/>
      <c r="AC19015" s="247"/>
      <c r="AT19015" s="247"/>
    </row>
    <row r="19016">
      <c r="C19016" s="277"/>
      <c r="M19016" s="277"/>
      <c r="O19016" s="247"/>
      <c r="AC19016" s="247"/>
      <c r="AT19016" s="247"/>
    </row>
    <row r="19017">
      <c r="C19017" s="277"/>
      <c r="M19017" s="277"/>
      <c r="O19017" s="247"/>
      <c r="AC19017" s="247"/>
      <c r="AT19017" s="247"/>
    </row>
    <row r="19018">
      <c r="C19018" s="277"/>
      <c r="M19018" s="277"/>
      <c r="O19018" s="247"/>
      <c r="AC19018" s="247"/>
      <c r="AT19018" s="247"/>
    </row>
    <row r="19019">
      <c r="C19019" s="277"/>
      <c r="M19019" s="277"/>
      <c r="O19019" s="247"/>
      <c r="AC19019" s="247"/>
      <c r="AT19019" s="247"/>
    </row>
    <row r="19020">
      <c r="C19020" s="277"/>
      <c r="M19020" s="277"/>
      <c r="O19020" s="247"/>
      <c r="AC19020" s="247"/>
      <c r="AT19020" s="247"/>
    </row>
    <row r="19021">
      <c r="C19021" s="277"/>
      <c r="M19021" s="277"/>
      <c r="O19021" s="247"/>
      <c r="AC19021" s="247"/>
      <c r="AT19021" s="247"/>
    </row>
    <row r="19022">
      <c r="C19022" s="277"/>
      <c r="M19022" s="277"/>
      <c r="O19022" s="247"/>
      <c r="AC19022" s="247"/>
      <c r="AT19022" s="247"/>
    </row>
    <row r="19023">
      <c r="C19023" s="277"/>
      <c r="M19023" s="277"/>
      <c r="O19023" s="247"/>
      <c r="AC19023" s="247"/>
      <c r="AT19023" s="247"/>
    </row>
    <row r="19024">
      <c r="C19024" s="277"/>
      <c r="M19024" s="277"/>
      <c r="O19024" s="247"/>
      <c r="AC19024" s="247"/>
      <c r="AT19024" s="247"/>
    </row>
    <row r="19025">
      <c r="C19025" s="277"/>
      <c r="M19025" s="277"/>
      <c r="O19025" s="247"/>
      <c r="AC19025" s="247"/>
      <c r="AT19025" s="247"/>
    </row>
    <row r="19026">
      <c r="C19026" s="277"/>
      <c r="M19026" s="277"/>
      <c r="O19026" s="247"/>
      <c r="AC19026" s="247"/>
      <c r="AT19026" s="247"/>
    </row>
    <row r="19027">
      <c r="C19027" s="277"/>
      <c r="M19027" s="277"/>
      <c r="O19027" s="247"/>
      <c r="AC19027" s="247"/>
      <c r="AT19027" s="247"/>
    </row>
    <row r="19028">
      <c r="C19028" s="277"/>
      <c r="M19028" s="277"/>
      <c r="O19028" s="247"/>
      <c r="AC19028" s="247"/>
      <c r="AT19028" s="247"/>
    </row>
    <row r="19029">
      <c r="C19029" s="277"/>
      <c r="M19029" s="277"/>
      <c r="O19029" s="247"/>
      <c r="AC19029" s="247"/>
      <c r="AT19029" s="247"/>
    </row>
    <row r="19030">
      <c r="C19030" s="277"/>
      <c r="M19030" s="277"/>
      <c r="O19030" s="247"/>
      <c r="AC19030" s="247"/>
      <c r="AT19030" s="247"/>
    </row>
    <row r="19031">
      <c r="C19031" s="277"/>
      <c r="M19031" s="277"/>
      <c r="O19031" s="247"/>
      <c r="AC19031" s="247"/>
      <c r="AT19031" s="247"/>
    </row>
    <row r="19032">
      <c r="C19032" s="277"/>
      <c r="M19032" s="277"/>
      <c r="O19032" s="247"/>
      <c r="AC19032" s="247"/>
      <c r="AT19032" s="247"/>
    </row>
    <row r="19033">
      <c r="C19033" s="277"/>
      <c r="M19033" s="277"/>
      <c r="O19033" s="247"/>
      <c r="AC19033" s="247"/>
      <c r="AT19033" s="247"/>
    </row>
    <row r="19034">
      <c r="C19034" s="277"/>
      <c r="M19034" s="277"/>
      <c r="O19034" s="247"/>
      <c r="AC19034" s="247"/>
      <c r="AT19034" s="247"/>
    </row>
    <row r="19035">
      <c r="C19035" s="277"/>
      <c r="M19035" s="277"/>
      <c r="O19035" s="247"/>
      <c r="AC19035" s="247"/>
      <c r="AT19035" s="247"/>
    </row>
    <row r="19036">
      <c r="C19036" s="277"/>
      <c r="M19036" s="277"/>
      <c r="O19036" s="247"/>
      <c r="AC19036" s="247"/>
      <c r="AT19036" s="247"/>
    </row>
    <row r="19037">
      <c r="C19037" s="277"/>
      <c r="M19037" s="277"/>
      <c r="O19037" s="247"/>
      <c r="AC19037" s="247"/>
      <c r="AT19037" s="247"/>
    </row>
    <row r="19038">
      <c r="C19038" s="277"/>
      <c r="M19038" s="277"/>
      <c r="O19038" s="247"/>
      <c r="AC19038" s="247"/>
      <c r="AT19038" s="247"/>
    </row>
    <row r="19039">
      <c r="C19039" s="277"/>
      <c r="M19039" s="277"/>
      <c r="O19039" s="247"/>
      <c r="AC19039" s="247"/>
      <c r="AT19039" s="247"/>
    </row>
    <row r="19040">
      <c r="C19040" s="277"/>
      <c r="M19040" s="277"/>
      <c r="O19040" s="247"/>
      <c r="AC19040" s="247"/>
      <c r="AT19040" s="247"/>
    </row>
    <row r="19041">
      <c r="C19041" s="277"/>
      <c r="M19041" s="277"/>
      <c r="O19041" s="247"/>
      <c r="AC19041" s="247"/>
      <c r="AT19041" s="247"/>
    </row>
    <row r="19042">
      <c r="C19042" s="277"/>
      <c r="M19042" s="277"/>
      <c r="O19042" s="247"/>
      <c r="AC19042" s="247"/>
      <c r="AT19042" s="247"/>
    </row>
    <row r="19043">
      <c r="C19043" s="277"/>
      <c r="M19043" s="277"/>
      <c r="O19043" s="247"/>
      <c r="AC19043" s="247"/>
      <c r="AT19043" s="247"/>
    </row>
    <row r="19044">
      <c r="C19044" s="277"/>
      <c r="M19044" s="277"/>
      <c r="O19044" s="247"/>
      <c r="AC19044" s="247"/>
      <c r="AT19044" s="247"/>
    </row>
    <row r="19045">
      <c r="C19045" s="277"/>
      <c r="M19045" s="277"/>
      <c r="O19045" s="247"/>
      <c r="AC19045" s="247"/>
      <c r="AT19045" s="247"/>
    </row>
    <row r="19046">
      <c r="C19046" s="277"/>
      <c r="M19046" s="277"/>
      <c r="O19046" s="247"/>
      <c r="AC19046" s="247"/>
      <c r="AT19046" s="247"/>
    </row>
    <row r="19047">
      <c r="C19047" s="277"/>
      <c r="M19047" s="277"/>
      <c r="O19047" s="247"/>
      <c r="AC19047" s="247"/>
      <c r="AT19047" s="247"/>
    </row>
    <row r="19048">
      <c r="C19048" s="277"/>
      <c r="M19048" s="277"/>
      <c r="O19048" s="247"/>
      <c r="AC19048" s="247"/>
      <c r="AT19048" s="247"/>
    </row>
    <row r="19049">
      <c r="C19049" s="277"/>
      <c r="M19049" s="277"/>
      <c r="O19049" s="247"/>
      <c r="AC19049" s="247"/>
      <c r="AT19049" s="247"/>
    </row>
    <row r="19050">
      <c r="C19050" s="277"/>
      <c r="M19050" s="277"/>
      <c r="O19050" s="247"/>
      <c r="AC19050" s="247"/>
      <c r="AT19050" s="247"/>
    </row>
    <row r="19051">
      <c r="C19051" s="277"/>
      <c r="M19051" s="277"/>
      <c r="O19051" s="247"/>
      <c r="AC19051" s="247"/>
      <c r="AT19051" s="247"/>
    </row>
    <row r="19052">
      <c r="C19052" s="277"/>
      <c r="M19052" s="277"/>
      <c r="O19052" s="247"/>
      <c r="AC19052" s="247"/>
      <c r="AT19052" s="247"/>
    </row>
    <row r="19053">
      <c r="C19053" s="277"/>
      <c r="M19053" s="277"/>
      <c r="O19053" s="247"/>
      <c r="AC19053" s="247"/>
      <c r="AT19053" s="247"/>
    </row>
    <row r="19054">
      <c r="C19054" s="277"/>
      <c r="M19054" s="277"/>
      <c r="O19054" s="247"/>
      <c r="AC19054" s="247"/>
      <c r="AT19054" s="247"/>
    </row>
    <row r="19055">
      <c r="C19055" s="277"/>
      <c r="M19055" s="277"/>
      <c r="O19055" s="247"/>
      <c r="AC19055" s="247"/>
      <c r="AT19055" s="247"/>
    </row>
    <row r="19056">
      <c r="C19056" s="277"/>
      <c r="M19056" s="277"/>
      <c r="O19056" s="247"/>
      <c r="AC19056" s="247"/>
      <c r="AT19056" s="247"/>
    </row>
    <row r="19057">
      <c r="C19057" s="277"/>
      <c r="M19057" s="277"/>
      <c r="O19057" s="247"/>
      <c r="AC19057" s="247"/>
      <c r="AT19057" s="247"/>
    </row>
    <row r="19058">
      <c r="C19058" s="277"/>
      <c r="M19058" s="277"/>
      <c r="O19058" s="247"/>
      <c r="AC19058" s="247"/>
      <c r="AT19058" s="247"/>
    </row>
    <row r="19059">
      <c r="C19059" s="277"/>
      <c r="M19059" s="277"/>
      <c r="O19059" s="247"/>
      <c r="AC19059" s="247"/>
      <c r="AT19059" s="247"/>
    </row>
    <row r="19060">
      <c r="C19060" s="277"/>
      <c r="M19060" s="277"/>
      <c r="O19060" s="247"/>
      <c r="AC19060" s="247"/>
      <c r="AT19060" s="247"/>
    </row>
    <row r="19061">
      <c r="C19061" s="277"/>
      <c r="M19061" s="277"/>
      <c r="O19061" s="247"/>
      <c r="AC19061" s="247"/>
      <c r="AT19061" s="247"/>
    </row>
    <row r="19062">
      <c r="C19062" s="277"/>
      <c r="M19062" s="277"/>
      <c r="O19062" s="247"/>
      <c r="AC19062" s="247"/>
      <c r="AT19062" s="247"/>
    </row>
    <row r="19063">
      <c r="C19063" s="277"/>
      <c r="M19063" s="277"/>
      <c r="O19063" s="247"/>
      <c r="AC19063" s="247"/>
      <c r="AT19063" s="247"/>
    </row>
    <row r="19064">
      <c r="C19064" s="277"/>
      <c r="M19064" s="277"/>
      <c r="O19064" s="247"/>
      <c r="AC19064" s="247"/>
      <c r="AT19064" s="247"/>
    </row>
    <row r="19065">
      <c r="C19065" s="277"/>
      <c r="M19065" s="277"/>
      <c r="O19065" s="247"/>
      <c r="AC19065" s="247"/>
      <c r="AT19065" s="247"/>
    </row>
    <row r="19066">
      <c r="C19066" s="277"/>
      <c r="M19066" s="277"/>
      <c r="O19066" s="247"/>
      <c r="AC19066" s="247"/>
      <c r="AT19066" s="247"/>
    </row>
    <row r="19067">
      <c r="C19067" s="277"/>
      <c r="M19067" s="277"/>
      <c r="O19067" s="247"/>
      <c r="AC19067" s="247"/>
      <c r="AT19067" s="247"/>
    </row>
    <row r="19068">
      <c r="C19068" s="277"/>
      <c r="M19068" s="277"/>
      <c r="O19068" s="247"/>
      <c r="AC19068" s="247"/>
      <c r="AT19068" s="247"/>
    </row>
    <row r="19069">
      <c r="C19069" s="277"/>
      <c r="M19069" s="277"/>
      <c r="O19069" s="247"/>
      <c r="AC19069" s="247"/>
      <c r="AT19069" s="247"/>
    </row>
    <row r="19070">
      <c r="C19070" s="277"/>
      <c r="M19070" s="277"/>
      <c r="O19070" s="247"/>
      <c r="AC19070" s="247"/>
      <c r="AT19070" s="247"/>
    </row>
    <row r="19071">
      <c r="C19071" s="277"/>
      <c r="M19071" s="277"/>
      <c r="O19071" s="247"/>
      <c r="AC19071" s="247"/>
      <c r="AT19071" s="247"/>
    </row>
    <row r="19072">
      <c r="C19072" s="277"/>
      <c r="M19072" s="277"/>
      <c r="O19072" s="247"/>
      <c r="AC19072" s="247"/>
      <c r="AT19072" s="247"/>
    </row>
    <row r="19073">
      <c r="C19073" s="277"/>
      <c r="M19073" s="277"/>
      <c r="O19073" s="247"/>
      <c r="AC19073" s="247"/>
      <c r="AT19073" s="247"/>
    </row>
    <row r="19074">
      <c r="C19074" s="277"/>
      <c r="M19074" s="277"/>
      <c r="O19074" s="247"/>
      <c r="AC19074" s="247"/>
      <c r="AT19074" s="247"/>
    </row>
    <row r="19075">
      <c r="C19075" s="277"/>
      <c r="M19075" s="277"/>
      <c r="O19075" s="247"/>
      <c r="AC19075" s="247"/>
      <c r="AT19075" s="247"/>
    </row>
    <row r="19076">
      <c r="C19076" s="277"/>
      <c r="M19076" s="277"/>
      <c r="O19076" s="247"/>
      <c r="AC19076" s="247"/>
      <c r="AT19076" s="247"/>
    </row>
    <row r="19077">
      <c r="C19077" s="277"/>
      <c r="M19077" s="277"/>
      <c r="O19077" s="247"/>
      <c r="AC19077" s="247"/>
      <c r="AT19077" s="247"/>
    </row>
    <row r="19078">
      <c r="C19078" s="277"/>
      <c r="M19078" s="277"/>
      <c r="O19078" s="247"/>
      <c r="AC19078" s="247"/>
      <c r="AT19078" s="247"/>
    </row>
    <row r="19079">
      <c r="C19079" s="277"/>
      <c r="M19079" s="277"/>
      <c r="O19079" s="247"/>
      <c r="AC19079" s="247"/>
      <c r="AT19079" s="247"/>
    </row>
    <row r="19080">
      <c r="C19080" s="277"/>
      <c r="M19080" s="277"/>
      <c r="O19080" s="247"/>
      <c r="AC19080" s="247"/>
      <c r="AT19080" s="247"/>
    </row>
    <row r="19081">
      <c r="C19081" s="277"/>
      <c r="M19081" s="277"/>
      <c r="O19081" s="247"/>
      <c r="AC19081" s="247"/>
      <c r="AT19081" s="247"/>
    </row>
    <row r="19082">
      <c r="C19082" s="277"/>
      <c r="M19082" s="277"/>
      <c r="O19082" s="247"/>
      <c r="AC19082" s="247"/>
      <c r="AT19082" s="247"/>
    </row>
    <row r="19083">
      <c r="C19083" s="277"/>
      <c r="M19083" s="277"/>
      <c r="O19083" s="247"/>
      <c r="AC19083" s="247"/>
      <c r="AT19083" s="247"/>
    </row>
    <row r="19084">
      <c r="C19084" s="277"/>
      <c r="M19084" s="277"/>
      <c r="O19084" s="247"/>
      <c r="AC19084" s="247"/>
      <c r="AT19084" s="247"/>
    </row>
    <row r="19085">
      <c r="C19085" s="277"/>
      <c r="M19085" s="277"/>
      <c r="O19085" s="247"/>
      <c r="AC19085" s="247"/>
      <c r="AT19085" s="247"/>
    </row>
    <row r="19086">
      <c r="C19086" s="277"/>
      <c r="M19086" s="277"/>
      <c r="O19086" s="247"/>
      <c r="AC19086" s="247"/>
      <c r="AT19086" s="247"/>
    </row>
    <row r="19087">
      <c r="C19087" s="277"/>
      <c r="M19087" s="277"/>
      <c r="O19087" s="247"/>
      <c r="AC19087" s="247"/>
      <c r="AT19087" s="247"/>
    </row>
    <row r="19088">
      <c r="C19088" s="277"/>
      <c r="M19088" s="277"/>
      <c r="O19088" s="247"/>
      <c r="AC19088" s="247"/>
      <c r="AT19088" s="247"/>
    </row>
    <row r="19089">
      <c r="C19089" s="277"/>
      <c r="M19089" s="277"/>
      <c r="O19089" s="247"/>
      <c r="AC19089" s="247"/>
      <c r="AT19089" s="247"/>
    </row>
    <row r="19090">
      <c r="C19090" s="277"/>
      <c r="M19090" s="277"/>
      <c r="O19090" s="247"/>
      <c r="AC19090" s="247"/>
      <c r="AT19090" s="247"/>
    </row>
    <row r="19091">
      <c r="C19091" s="277"/>
      <c r="M19091" s="277"/>
      <c r="O19091" s="247"/>
      <c r="AC19091" s="247"/>
      <c r="AT19091" s="247"/>
    </row>
    <row r="19092">
      <c r="C19092" s="277"/>
      <c r="M19092" s="277"/>
      <c r="O19092" s="247"/>
      <c r="AC19092" s="247"/>
      <c r="AT19092" s="247"/>
    </row>
    <row r="19093">
      <c r="C19093" s="277"/>
      <c r="M19093" s="277"/>
      <c r="O19093" s="247"/>
      <c r="AC19093" s="247"/>
      <c r="AT19093" s="247"/>
    </row>
    <row r="19094">
      <c r="C19094" s="277"/>
      <c r="M19094" s="277"/>
      <c r="O19094" s="247"/>
      <c r="AC19094" s="247"/>
      <c r="AT19094" s="247"/>
    </row>
    <row r="19095">
      <c r="C19095" s="277"/>
      <c r="M19095" s="277"/>
      <c r="O19095" s="247"/>
      <c r="AC19095" s="247"/>
      <c r="AT19095" s="247"/>
    </row>
    <row r="19096">
      <c r="C19096" s="277"/>
      <c r="M19096" s="277"/>
      <c r="O19096" s="247"/>
      <c r="AC19096" s="247"/>
      <c r="AT19096" s="247"/>
    </row>
    <row r="19097">
      <c r="C19097" s="277"/>
      <c r="M19097" s="277"/>
      <c r="O19097" s="247"/>
      <c r="AC19097" s="247"/>
      <c r="AT19097" s="247"/>
    </row>
    <row r="19098">
      <c r="C19098" s="277"/>
      <c r="M19098" s="277"/>
      <c r="O19098" s="247"/>
      <c r="AC19098" s="247"/>
      <c r="AT19098" s="247"/>
    </row>
    <row r="19099">
      <c r="C19099" s="277"/>
      <c r="M19099" s="277"/>
      <c r="O19099" s="247"/>
      <c r="AC19099" s="247"/>
      <c r="AT19099" s="247"/>
    </row>
    <row r="19100">
      <c r="C19100" s="277"/>
      <c r="M19100" s="277"/>
      <c r="O19100" s="247"/>
      <c r="AC19100" s="247"/>
      <c r="AT19100" s="247"/>
    </row>
    <row r="19101">
      <c r="C19101" s="277"/>
      <c r="M19101" s="277"/>
      <c r="O19101" s="247"/>
      <c r="AC19101" s="247"/>
      <c r="AT19101" s="247"/>
    </row>
    <row r="19102">
      <c r="C19102" s="277"/>
      <c r="M19102" s="277"/>
      <c r="O19102" s="247"/>
      <c r="AC19102" s="247"/>
      <c r="AT19102" s="247"/>
    </row>
    <row r="19103">
      <c r="C19103" s="277"/>
      <c r="M19103" s="277"/>
      <c r="O19103" s="247"/>
      <c r="AC19103" s="247"/>
      <c r="AT19103" s="247"/>
    </row>
    <row r="19104">
      <c r="C19104" s="277"/>
      <c r="M19104" s="277"/>
      <c r="O19104" s="247"/>
      <c r="AC19104" s="247"/>
      <c r="AT19104" s="247"/>
    </row>
    <row r="19105">
      <c r="C19105" s="277"/>
      <c r="M19105" s="277"/>
      <c r="O19105" s="247"/>
      <c r="AC19105" s="247"/>
      <c r="AT19105" s="247"/>
    </row>
    <row r="19106">
      <c r="C19106" s="277"/>
      <c r="M19106" s="277"/>
      <c r="O19106" s="247"/>
      <c r="AC19106" s="247"/>
      <c r="AT19106" s="247"/>
    </row>
    <row r="19107">
      <c r="C19107" s="277"/>
      <c r="M19107" s="277"/>
      <c r="O19107" s="247"/>
      <c r="AC19107" s="247"/>
      <c r="AT19107" s="247"/>
    </row>
    <row r="19108">
      <c r="C19108" s="277"/>
      <c r="M19108" s="277"/>
      <c r="O19108" s="247"/>
      <c r="AC19108" s="247"/>
      <c r="AT19108" s="247"/>
    </row>
    <row r="19109">
      <c r="C19109" s="277"/>
      <c r="M19109" s="277"/>
      <c r="O19109" s="247"/>
      <c r="AC19109" s="247"/>
      <c r="AT19109" s="247"/>
    </row>
    <row r="19110">
      <c r="C19110" s="277"/>
      <c r="M19110" s="277"/>
      <c r="O19110" s="247"/>
      <c r="AC19110" s="247"/>
      <c r="AT19110" s="247"/>
    </row>
    <row r="19111">
      <c r="C19111" s="277"/>
      <c r="M19111" s="277"/>
      <c r="O19111" s="247"/>
      <c r="AC19111" s="247"/>
      <c r="AT19111" s="247"/>
    </row>
    <row r="19112">
      <c r="C19112" s="277"/>
      <c r="M19112" s="277"/>
      <c r="O19112" s="247"/>
      <c r="AC19112" s="247"/>
      <c r="AT19112" s="247"/>
    </row>
    <row r="19113">
      <c r="C19113" s="277"/>
      <c r="M19113" s="277"/>
      <c r="O19113" s="247"/>
      <c r="AC19113" s="247"/>
      <c r="AT19113" s="247"/>
    </row>
    <row r="19114">
      <c r="C19114" s="277"/>
      <c r="M19114" s="277"/>
      <c r="O19114" s="247"/>
      <c r="AC19114" s="247"/>
      <c r="AT19114" s="247"/>
    </row>
    <row r="19115">
      <c r="C19115" s="277"/>
      <c r="M19115" s="277"/>
      <c r="O19115" s="247"/>
      <c r="AC19115" s="247"/>
      <c r="AT19115" s="247"/>
    </row>
    <row r="19116">
      <c r="C19116" s="277"/>
      <c r="M19116" s="277"/>
      <c r="O19116" s="247"/>
      <c r="AC19116" s="247"/>
      <c r="AT19116" s="247"/>
    </row>
    <row r="19117">
      <c r="C19117" s="277"/>
      <c r="M19117" s="277"/>
      <c r="O19117" s="247"/>
      <c r="AC19117" s="247"/>
      <c r="AT19117" s="247"/>
    </row>
    <row r="19118">
      <c r="C19118" s="277"/>
      <c r="M19118" s="277"/>
      <c r="O19118" s="247"/>
      <c r="AC19118" s="247"/>
      <c r="AT19118" s="247"/>
    </row>
    <row r="19119">
      <c r="C19119" s="277"/>
      <c r="M19119" s="277"/>
      <c r="O19119" s="247"/>
      <c r="AC19119" s="247"/>
      <c r="AT19119" s="247"/>
    </row>
    <row r="19120">
      <c r="C19120" s="277"/>
      <c r="M19120" s="277"/>
      <c r="O19120" s="247"/>
      <c r="AC19120" s="247"/>
      <c r="AT19120" s="247"/>
    </row>
    <row r="19121">
      <c r="C19121" s="277"/>
      <c r="M19121" s="277"/>
      <c r="O19121" s="247"/>
      <c r="AC19121" s="247"/>
      <c r="AT19121" s="247"/>
    </row>
    <row r="19122">
      <c r="C19122" s="277"/>
      <c r="M19122" s="277"/>
      <c r="O19122" s="247"/>
      <c r="AC19122" s="247"/>
      <c r="AT19122" s="247"/>
    </row>
    <row r="19123">
      <c r="C19123" s="277"/>
      <c r="M19123" s="277"/>
      <c r="O19123" s="247"/>
      <c r="AC19123" s="247"/>
      <c r="AT19123" s="247"/>
    </row>
    <row r="19124">
      <c r="C19124" s="277"/>
      <c r="M19124" s="277"/>
      <c r="O19124" s="247"/>
      <c r="AC19124" s="247"/>
      <c r="AT19124" s="247"/>
    </row>
    <row r="19125">
      <c r="C19125" s="277"/>
      <c r="M19125" s="277"/>
      <c r="O19125" s="247"/>
      <c r="AC19125" s="247"/>
      <c r="AT19125" s="247"/>
    </row>
    <row r="19126">
      <c r="C19126" s="277"/>
      <c r="M19126" s="277"/>
      <c r="O19126" s="247"/>
      <c r="AC19126" s="247"/>
      <c r="AT19126" s="247"/>
    </row>
    <row r="19127">
      <c r="C19127" s="277"/>
      <c r="M19127" s="277"/>
      <c r="O19127" s="247"/>
      <c r="AC19127" s="247"/>
      <c r="AT19127" s="247"/>
    </row>
    <row r="19128">
      <c r="C19128" s="277"/>
      <c r="M19128" s="277"/>
      <c r="O19128" s="247"/>
      <c r="AC19128" s="247"/>
      <c r="AT19128" s="247"/>
    </row>
    <row r="19129">
      <c r="C19129" s="277"/>
      <c r="M19129" s="277"/>
      <c r="O19129" s="247"/>
      <c r="AC19129" s="247"/>
      <c r="AT19129" s="247"/>
    </row>
    <row r="19130">
      <c r="C19130" s="277"/>
      <c r="M19130" s="277"/>
      <c r="O19130" s="247"/>
      <c r="AC19130" s="247"/>
      <c r="AT19130" s="247"/>
    </row>
    <row r="19131">
      <c r="C19131" s="277"/>
      <c r="M19131" s="277"/>
      <c r="O19131" s="247"/>
      <c r="AC19131" s="247"/>
      <c r="AT19131" s="247"/>
    </row>
    <row r="19132">
      <c r="C19132" s="277"/>
      <c r="M19132" s="277"/>
      <c r="O19132" s="247"/>
      <c r="AC19132" s="247"/>
      <c r="AT19132" s="247"/>
    </row>
    <row r="19133">
      <c r="C19133" s="277"/>
      <c r="M19133" s="277"/>
      <c r="O19133" s="247"/>
      <c r="AC19133" s="247"/>
      <c r="AT19133" s="247"/>
    </row>
    <row r="19134">
      <c r="C19134" s="277"/>
      <c r="M19134" s="277"/>
      <c r="O19134" s="247"/>
      <c r="AC19134" s="247"/>
      <c r="AT19134" s="247"/>
    </row>
    <row r="19135">
      <c r="C19135" s="277"/>
      <c r="M19135" s="277"/>
      <c r="O19135" s="247"/>
      <c r="AC19135" s="247"/>
      <c r="AT19135" s="247"/>
    </row>
    <row r="19136">
      <c r="C19136" s="277"/>
      <c r="M19136" s="277"/>
      <c r="O19136" s="247"/>
      <c r="AC19136" s="247"/>
      <c r="AT19136" s="247"/>
    </row>
    <row r="19137">
      <c r="C19137" s="277"/>
      <c r="M19137" s="277"/>
      <c r="O19137" s="247"/>
      <c r="AC19137" s="247"/>
      <c r="AT19137" s="247"/>
    </row>
    <row r="19138">
      <c r="C19138" s="277"/>
      <c r="M19138" s="277"/>
      <c r="O19138" s="247"/>
      <c r="AC19138" s="247"/>
      <c r="AT19138" s="247"/>
    </row>
    <row r="19139">
      <c r="C19139" s="277"/>
      <c r="M19139" s="277"/>
      <c r="O19139" s="247"/>
      <c r="AC19139" s="247"/>
      <c r="AT19139" s="247"/>
    </row>
    <row r="19140">
      <c r="C19140" s="277"/>
      <c r="M19140" s="277"/>
      <c r="O19140" s="247"/>
      <c r="AC19140" s="247"/>
      <c r="AT19140" s="247"/>
    </row>
    <row r="19141">
      <c r="C19141" s="277"/>
      <c r="M19141" s="277"/>
      <c r="O19141" s="247"/>
      <c r="AC19141" s="247"/>
      <c r="AT19141" s="247"/>
    </row>
    <row r="19142">
      <c r="C19142" s="277"/>
      <c r="M19142" s="277"/>
      <c r="O19142" s="247"/>
      <c r="AC19142" s="247"/>
      <c r="AT19142" s="247"/>
    </row>
    <row r="19143">
      <c r="C19143" s="277"/>
      <c r="M19143" s="277"/>
      <c r="O19143" s="247"/>
      <c r="AC19143" s="247"/>
      <c r="AT19143" s="247"/>
    </row>
    <row r="19144">
      <c r="C19144" s="277"/>
      <c r="M19144" s="277"/>
      <c r="O19144" s="247"/>
      <c r="AC19144" s="247"/>
      <c r="AT19144" s="247"/>
    </row>
    <row r="19145">
      <c r="C19145" s="277"/>
      <c r="M19145" s="277"/>
      <c r="O19145" s="247"/>
      <c r="AC19145" s="247"/>
      <c r="AT19145" s="247"/>
    </row>
    <row r="19146">
      <c r="C19146" s="277"/>
      <c r="M19146" s="277"/>
      <c r="O19146" s="247"/>
      <c r="AC19146" s="247"/>
      <c r="AT19146" s="247"/>
    </row>
    <row r="19147">
      <c r="C19147" s="277"/>
      <c r="M19147" s="277"/>
      <c r="O19147" s="247"/>
      <c r="AC19147" s="247"/>
      <c r="AT19147" s="247"/>
    </row>
    <row r="19148">
      <c r="C19148" s="277"/>
      <c r="M19148" s="277"/>
      <c r="O19148" s="247"/>
      <c r="AC19148" s="247"/>
      <c r="AT19148" s="247"/>
    </row>
    <row r="19149">
      <c r="C19149" s="277"/>
      <c r="M19149" s="277"/>
      <c r="O19149" s="247"/>
      <c r="AC19149" s="247"/>
      <c r="AT19149" s="247"/>
    </row>
    <row r="19150">
      <c r="C19150" s="277"/>
      <c r="M19150" s="277"/>
      <c r="O19150" s="247"/>
      <c r="AC19150" s="247"/>
      <c r="AT19150" s="247"/>
    </row>
    <row r="19151">
      <c r="C19151" s="277"/>
      <c r="M19151" s="277"/>
      <c r="O19151" s="247"/>
      <c r="AC19151" s="247"/>
      <c r="AT19151" s="247"/>
    </row>
    <row r="19152">
      <c r="C19152" s="277"/>
      <c r="M19152" s="277"/>
      <c r="O19152" s="247"/>
      <c r="AC19152" s="247"/>
      <c r="AT19152" s="247"/>
    </row>
    <row r="19153">
      <c r="C19153" s="277"/>
      <c r="M19153" s="277"/>
      <c r="O19153" s="247"/>
      <c r="AC19153" s="247"/>
      <c r="AT19153" s="247"/>
    </row>
    <row r="19154">
      <c r="C19154" s="277"/>
      <c r="M19154" s="277"/>
      <c r="O19154" s="247"/>
      <c r="AC19154" s="247"/>
      <c r="AT19154" s="247"/>
    </row>
    <row r="19155">
      <c r="C19155" s="277"/>
      <c r="M19155" s="277"/>
      <c r="O19155" s="247"/>
      <c r="AC19155" s="247"/>
      <c r="AT19155" s="247"/>
    </row>
    <row r="19156">
      <c r="C19156" s="277"/>
      <c r="M19156" s="277"/>
      <c r="O19156" s="247"/>
      <c r="AC19156" s="247"/>
      <c r="AT19156" s="247"/>
    </row>
    <row r="19157">
      <c r="C19157" s="277"/>
      <c r="M19157" s="277"/>
      <c r="O19157" s="247"/>
      <c r="AC19157" s="247"/>
      <c r="AT19157" s="247"/>
    </row>
    <row r="19158">
      <c r="C19158" s="277"/>
      <c r="M19158" s="277"/>
      <c r="O19158" s="247"/>
      <c r="AC19158" s="247"/>
      <c r="AT19158" s="247"/>
    </row>
    <row r="19159">
      <c r="C19159" s="277"/>
      <c r="M19159" s="277"/>
      <c r="O19159" s="247"/>
      <c r="AC19159" s="247"/>
      <c r="AT19159" s="247"/>
    </row>
    <row r="19160">
      <c r="C19160" s="277"/>
      <c r="M19160" s="277"/>
      <c r="O19160" s="247"/>
      <c r="AC19160" s="247"/>
      <c r="AT19160" s="247"/>
    </row>
    <row r="19161">
      <c r="C19161" s="277"/>
      <c r="M19161" s="277"/>
      <c r="O19161" s="247"/>
      <c r="AC19161" s="247"/>
      <c r="AT19161" s="247"/>
    </row>
    <row r="19162">
      <c r="C19162" s="277"/>
      <c r="M19162" s="277"/>
      <c r="O19162" s="247"/>
      <c r="AC19162" s="247"/>
      <c r="AT19162" s="247"/>
    </row>
    <row r="19163">
      <c r="C19163" s="277"/>
      <c r="M19163" s="277"/>
      <c r="O19163" s="247"/>
      <c r="AC19163" s="247"/>
      <c r="AT19163" s="247"/>
    </row>
    <row r="19164">
      <c r="C19164" s="277"/>
      <c r="M19164" s="277"/>
      <c r="O19164" s="247"/>
      <c r="AC19164" s="247"/>
      <c r="AT19164" s="247"/>
    </row>
    <row r="19165">
      <c r="C19165" s="277"/>
      <c r="M19165" s="277"/>
      <c r="O19165" s="247"/>
      <c r="AC19165" s="247"/>
      <c r="AT19165" s="247"/>
    </row>
    <row r="19166">
      <c r="C19166" s="277"/>
      <c r="M19166" s="277"/>
      <c r="O19166" s="247"/>
      <c r="AC19166" s="247"/>
      <c r="AT19166" s="247"/>
    </row>
    <row r="19167">
      <c r="C19167" s="277"/>
      <c r="M19167" s="277"/>
      <c r="O19167" s="247"/>
      <c r="AC19167" s="247"/>
      <c r="AT19167" s="247"/>
    </row>
    <row r="19168">
      <c r="C19168" s="277"/>
      <c r="M19168" s="277"/>
      <c r="O19168" s="247"/>
      <c r="AC19168" s="247"/>
      <c r="AT19168" s="247"/>
    </row>
    <row r="19169">
      <c r="C19169" s="277"/>
      <c r="M19169" s="277"/>
      <c r="O19169" s="247"/>
      <c r="AC19169" s="247"/>
      <c r="AT19169" s="247"/>
    </row>
    <row r="19170">
      <c r="C19170" s="277"/>
      <c r="M19170" s="277"/>
      <c r="O19170" s="247"/>
      <c r="AC19170" s="247"/>
      <c r="AT19170" s="247"/>
    </row>
    <row r="19171">
      <c r="C19171" s="277"/>
      <c r="M19171" s="277"/>
      <c r="O19171" s="247"/>
      <c r="AC19171" s="247"/>
      <c r="AT19171" s="247"/>
    </row>
    <row r="19172">
      <c r="C19172" s="277"/>
      <c r="M19172" s="277"/>
      <c r="O19172" s="247"/>
      <c r="AC19172" s="247"/>
      <c r="AT19172" s="247"/>
    </row>
    <row r="19173">
      <c r="C19173" s="277"/>
      <c r="M19173" s="277"/>
      <c r="O19173" s="247"/>
      <c r="AC19173" s="247"/>
      <c r="AT19173" s="247"/>
    </row>
    <row r="19174">
      <c r="C19174" s="277"/>
      <c r="M19174" s="277"/>
      <c r="O19174" s="247"/>
      <c r="AC19174" s="247"/>
      <c r="AT19174" s="247"/>
    </row>
    <row r="19175">
      <c r="C19175" s="277"/>
      <c r="M19175" s="277"/>
      <c r="O19175" s="247"/>
      <c r="AC19175" s="247"/>
      <c r="AT19175" s="247"/>
    </row>
    <row r="19176">
      <c r="C19176" s="277"/>
      <c r="M19176" s="277"/>
      <c r="O19176" s="247"/>
      <c r="AC19176" s="247"/>
      <c r="AT19176" s="247"/>
    </row>
    <row r="19177">
      <c r="C19177" s="277"/>
      <c r="M19177" s="277"/>
      <c r="O19177" s="247"/>
      <c r="AC19177" s="247"/>
      <c r="AT19177" s="247"/>
    </row>
    <row r="19178">
      <c r="C19178" s="277"/>
      <c r="M19178" s="277"/>
      <c r="O19178" s="247"/>
      <c r="AC19178" s="247"/>
      <c r="AT19178" s="247"/>
    </row>
    <row r="19179">
      <c r="C19179" s="277"/>
      <c r="M19179" s="277"/>
      <c r="O19179" s="247"/>
      <c r="AC19179" s="247"/>
      <c r="AT19179" s="247"/>
    </row>
    <row r="19180">
      <c r="C19180" s="277"/>
      <c r="M19180" s="277"/>
      <c r="O19180" s="247"/>
      <c r="AC19180" s="247"/>
      <c r="AT19180" s="247"/>
    </row>
    <row r="19181">
      <c r="C19181" s="277"/>
      <c r="M19181" s="277"/>
      <c r="O19181" s="247"/>
      <c r="AC19181" s="247"/>
      <c r="AT19181" s="247"/>
    </row>
    <row r="19182">
      <c r="C19182" s="277"/>
      <c r="M19182" s="277"/>
      <c r="O19182" s="247"/>
      <c r="AC19182" s="247"/>
      <c r="AT19182" s="247"/>
    </row>
    <row r="19183">
      <c r="C19183" s="277"/>
      <c r="M19183" s="277"/>
      <c r="O19183" s="247"/>
      <c r="AC19183" s="247"/>
      <c r="AT19183" s="247"/>
    </row>
    <row r="19184">
      <c r="C19184" s="277"/>
      <c r="M19184" s="277"/>
      <c r="O19184" s="247"/>
      <c r="AC19184" s="247"/>
      <c r="AT19184" s="247"/>
    </row>
    <row r="19185">
      <c r="C19185" s="277"/>
      <c r="M19185" s="277"/>
      <c r="O19185" s="247"/>
      <c r="AC19185" s="247"/>
      <c r="AT19185" s="247"/>
    </row>
    <row r="19186">
      <c r="C19186" s="277"/>
      <c r="M19186" s="277"/>
      <c r="O19186" s="247"/>
      <c r="AC19186" s="247"/>
      <c r="AT19186" s="247"/>
    </row>
    <row r="19187">
      <c r="C19187" s="277"/>
      <c r="M19187" s="277"/>
      <c r="O19187" s="247"/>
      <c r="AC19187" s="247"/>
      <c r="AT19187" s="247"/>
    </row>
    <row r="19188">
      <c r="C19188" s="277"/>
      <c r="M19188" s="277"/>
      <c r="O19188" s="247"/>
      <c r="AC19188" s="247"/>
      <c r="AT19188" s="247"/>
    </row>
    <row r="19189">
      <c r="C19189" s="277"/>
      <c r="M19189" s="277"/>
      <c r="O19189" s="247"/>
      <c r="AC19189" s="247"/>
      <c r="AT19189" s="247"/>
    </row>
    <row r="19190">
      <c r="C19190" s="277"/>
      <c r="M19190" s="277"/>
      <c r="O19190" s="247"/>
      <c r="AC19190" s="247"/>
      <c r="AT19190" s="247"/>
    </row>
    <row r="19191">
      <c r="C19191" s="277"/>
      <c r="M19191" s="277"/>
      <c r="O19191" s="247"/>
      <c r="AC19191" s="247"/>
      <c r="AT19191" s="247"/>
    </row>
    <row r="19192">
      <c r="C19192" s="277"/>
      <c r="M19192" s="277"/>
      <c r="O19192" s="247"/>
      <c r="AC19192" s="247"/>
      <c r="AT19192" s="247"/>
    </row>
    <row r="19193">
      <c r="C19193" s="277"/>
      <c r="M19193" s="277"/>
      <c r="O19193" s="247"/>
      <c r="AC19193" s="247"/>
      <c r="AT19193" s="247"/>
    </row>
    <row r="19194">
      <c r="C19194" s="277"/>
      <c r="M19194" s="277"/>
      <c r="O19194" s="247"/>
      <c r="AC19194" s="247"/>
      <c r="AT19194" s="247"/>
    </row>
    <row r="19195">
      <c r="C19195" s="277"/>
      <c r="M19195" s="277"/>
      <c r="O19195" s="247"/>
      <c r="AC19195" s="247"/>
      <c r="AT19195" s="247"/>
    </row>
    <row r="19196">
      <c r="C19196" s="277"/>
      <c r="M19196" s="277"/>
      <c r="O19196" s="247"/>
      <c r="AC19196" s="247"/>
      <c r="AT19196" s="247"/>
    </row>
    <row r="19197">
      <c r="C19197" s="277"/>
      <c r="M19197" s="277"/>
      <c r="O19197" s="247"/>
      <c r="AC19197" s="247"/>
      <c r="AT19197" s="247"/>
    </row>
    <row r="19198">
      <c r="C19198" s="277"/>
      <c r="M19198" s="277"/>
      <c r="O19198" s="247"/>
      <c r="AC19198" s="247"/>
      <c r="AT19198" s="247"/>
    </row>
    <row r="19199">
      <c r="C19199" s="277"/>
      <c r="M19199" s="277"/>
      <c r="O19199" s="247"/>
      <c r="AC19199" s="247"/>
      <c r="AT19199" s="247"/>
    </row>
    <row r="19200">
      <c r="C19200" s="277"/>
      <c r="M19200" s="277"/>
      <c r="O19200" s="247"/>
      <c r="AC19200" s="247"/>
      <c r="AT19200" s="247"/>
    </row>
    <row r="19201">
      <c r="C19201" s="277"/>
      <c r="M19201" s="277"/>
      <c r="O19201" s="247"/>
      <c r="AC19201" s="247"/>
      <c r="AT19201" s="247"/>
    </row>
    <row r="19202">
      <c r="C19202" s="277"/>
      <c r="M19202" s="277"/>
      <c r="O19202" s="247"/>
      <c r="AC19202" s="247"/>
      <c r="AT19202" s="247"/>
    </row>
    <row r="19203">
      <c r="C19203" s="277"/>
      <c r="M19203" s="277"/>
      <c r="O19203" s="247"/>
      <c r="AC19203" s="247"/>
      <c r="AT19203" s="247"/>
    </row>
    <row r="19204">
      <c r="C19204" s="277"/>
      <c r="M19204" s="277"/>
      <c r="O19204" s="247"/>
      <c r="AC19204" s="247"/>
      <c r="AT19204" s="247"/>
    </row>
    <row r="19205">
      <c r="C19205" s="277"/>
      <c r="M19205" s="277"/>
      <c r="O19205" s="247"/>
      <c r="AC19205" s="247"/>
      <c r="AT19205" s="247"/>
    </row>
    <row r="19206">
      <c r="C19206" s="277"/>
      <c r="M19206" s="277"/>
      <c r="O19206" s="247"/>
      <c r="AC19206" s="247"/>
      <c r="AT19206" s="247"/>
    </row>
    <row r="19207">
      <c r="C19207" s="277"/>
      <c r="M19207" s="277"/>
      <c r="O19207" s="247"/>
      <c r="AC19207" s="247"/>
      <c r="AT19207" s="247"/>
    </row>
    <row r="19208">
      <c r="C19208" s="277"/>
      <c r="M19208" s="277"/>
      <c r="O19208" s="247"/>
      <c r="AC19208" s="247"/>
      <c r="AT19208" s="247"/>
    </row>
    <row r="19209">
      <c r="C19209" s="277"/>
      <c r="M19209" s="277"/>
      <c r="O19209" s="247"/>
      <c r="AC19209" s="247"/>
      <c r="AT19209" s="247"/>
    </row>
    <row r="19210">
      <c r="C19210" s="277"/>
      <c r="M19210" s="277"/>
      <c r="O19210" s="247"/>
      <c r="AC19210" s="247"/>
      <c r="AT19210" s="247"/>
    </row>
    <row r="19211">
      <c r="C19211" s="277"/>
      <c r="M19211" s="277"/>
      <c r="O19211" s="247"/>
      <c r="AC19211" s="247"/>
      <c r="AT19211" s="247"/>
    </row>
    <row r="19212">
      <c r="C19212" s="277"/>
      <c r="M19212" s="277"/>
      <c r="O19212" s="247"/>
      <c r="AC19212" s="247"/>
      <c r="AT19212" s="247"/>
    </row>
    <row r="19213">
      <c r="C19213" s="277"/>
      <c r="M19213" s="277"/>
      <c r="O19213" s="247"/>
      <c r="AC19213" s="247"/>
      <c r="AT19213" s="247"/>
    </row>
    <row r="19214">
      <c r="C19214" s="277"/>
      <c r="M19214" s="277"/>
      <c r="O19214" s="247"/>
      <c r="AC19214" s="247"/>
      <c r="AT19214" s="247"/>
    </row>
    <row r="19215">
      <c r="C19215" s="277"/>
      <c r="M19215" s="277"/>
      <c r="O19215" s="247"/>
      <c r="AC19215" s="247"/>
      <c r="AT19215" s="247"/>
    </row>
    <row r="19216">
      <c r="C19216" s="277"/>
      <c r="M19216" s="277"/>
      <c r="O19216" s="247"/>
      <c r="AC19216" s="247"/>
      <c r="AT19216" s="247"/>
    </row>
    <row r="19217">
      <c r="C19217" s="277"/>
      <c r="M19217" s="277"/>
      <c r="O19217" s="247"/>
      <c r="AC19217" s="247"/>
      <c r="AT19217" s="247"/>
    </row>
    <row r="19218">
      <c r="C19218" s="277"/>
      <c r="M19218" s="277"/>
      <c r="O19218" s="247"/>
      <c r="AC19218" s="247"/>
      <c r="AT19218" s="247"/>
    </row>
    <row r="19219">
      <c r="C19219" s="277"/>
      <c r="M19219" s="277"/>
      <c r="O19219" s="247"/>
      <c r="AC19219" s="247"/>
      <c r="AT19219" s="247"/>
    </row>
    <row r="19220">
      <c r="C19220" s="277"/>
      <c r="M19220" s="277"/>
      <c r="O19220" s="247"/>
      <c r="AC19220" s="247"/>
      <c r="AT19220" s="247"/>
    </row>
    <row r="19221">
      <c r="C19221" s="277"/>
      <c r="M19221" s="277"/>
      <c r="O19221" s="247"/>
      <c r="AC19221" s="247"/>
      <c r="AT19221" s="247"/>
    </row>
    <row r="19222">
      <c r="C19222" s="277"/>
      <c r="M19222" s="277"/>
      <c r="O19222" s="247"/>
      <c r="AC19222" s="247"/>
      <c r="AT19222" s="247"/>
    </row>
    <row r="19223">
      <c r="C19223" s="277"/>
      <c r="M19223" s="277"/>
      <c r="O19223" s="247"/>
      <c r="AC19223" s="247"/>
      <c r="AT19223" s="247"/>
    </row>
    <row r="19224">
      <c r="C19224" s="277"/>
      <c r="M19224" s="277"/>
      <c r="O19224" s="247"/>
      <c r="AC19224" s="247"/>
      <c r="AT19224" s="247"/>
    </row>
    <row r="19225">
      <c r="C19225" s="277"/>
      <c r="M19225" s="277"/>
      <c r="O19225" s="247"/>
      <c r="AC19225" s="247"/>
      <c r="AT19225" s="247"/>
    </row>
    <row r="19226">
      <c r="C19226" s="277"/>
      <c r="M19226" s="277"/>
      <c r="O19226" s="247"/>
      <c r="AC19226" s="247"/>
      <c r="AT19226" s="247"/>
    </row>
    <row r="19227">
      <c r="C19227" s="277"/>
      <c r="M19227" s="277"/>
      <c r="O19227" s="247"/>
      <c r="AC19227" s="247"/>
      <c r="AT19227" s="247"/>
    </row>
    <row r="19228">
      <c r="C19228" s="277"/>
      <c r="M19228" s="277"/>
      <c r="O19228" s="247"/>
      <c r="AC19228" s="247"/>
      <c r="AT19228" s="247"/>
    </row>
    <row r="19229">
      <c r="C19229" s="277"/>
      <c r="M19229" s="277"/>
      <c r="O19229" s="247"/>
      <c r="AC19229" s="247"/>
      <c r="AT19229" s="247"/>
    </row>
    <row r="19230">
      <c r="C19230" s="277"/>
      <c r="M19230" s="277"/>
      <c r="O19230" s="247"/>
      <c r="AC19230" s="247"/>
      <c r="AT19230" s="247"/>
    </row>
    <row r="19231">
      <c r="C19231" s="277"/>
      <c r="M19231" s="277"/>
      <c r="O19231" s="247"/>
      <c r="AC19231" s="247"/>
      <c r="AT19231" s="247"/>
    </row>
    <row r="19232">
      <c r="C19232" s="277"/>
      <c r="M19232" s="277"/>
      <c r="O19232" s="247"/>
      <c r="AC19232" s="247"/>
      <c r="AT19232" s="247"/>
    </row>
    <row r="19233">
      <c r="C19233" s="277"/>
      <c r="M19233" s="277"/>
      <c r="O19233" s="247"/>
      <c r="AC19233" s="247"/>
      <c r="AT19233" s="247"/>
    </row>
    <row r="19234">
      <c r="C19234" s="277"/>
      <c r="M19234" s="277"/>
      <c r="O19234" s="247"/>
      <c r="AC19234" s="247"/>
      <c r="AT19234" s="247"/>
    </row>
    <row r="19235">
      <c r="C19235" s="277"/>
      <c r="M19235" s="277"/>
      <c r="O19235" s="247"/>
      <c r="AC19235" s="247"/>
      <c r="AT19235" s="247"/>
    </row>
    <row r="19236">
      <c r="C19236" s="277"/>
      <c r="M19236" s="277"/>
      <c r="O19236" s="247"/>
      <c r="AC19236" s="247"/>
      <c r="AT19236" s="247"/>
    </row>
    <row r="19237">
      <c r="C19237" s="277"/>
      <c r="M19237" s="277"/>
      <c r="O19237" s="247"/>
      <c r="AC19237" s="247"/>
      <c r="AT19237" s="247"/>
    </row>
    <row r="19238">
      <c r="C19238" s="277"/>
      <c r="M19238" s="277"/>
      <c r="O19238" s="247"/>
      <c r="AC19238" s="247"/>
      <c r="AT19238" s="247"/>
    </row>
    <row r="19239">
      <c r="C19239" s="277"/>
      <c r="M19239" s="277"/>
      <c r="O19239" s="247"/>
      <c r="AC19239" s="247"/>
      <c r="AT19239" s="247"/>
    </row>
    <row r="19240">
      <c r="C19240" s="277"/>
      <c r="M19240" s="277"/>
      <c r="O19240" s="247"/>
      <c r="AC19240" s="247"/>
      <c r="AT19240" s="247"/>
    </row>
    <row r="19241">
      <c r="C19241" s="277"/>
      <c r="M19241" s="277"/>
      <c r="O19241" s="247"/>
      <c r="AC19241" s="247"/>
      <c r="AT19241" s="247"/>
    </row>
    <row r="19242">
      <c r="C19242" s="277"/>
      <c r="M19242" s="277"/>
      <c r="O19242" s="247"/>
      <c r="AC19242" s="247"/>
      <c r="AT19242" s="247"/>
    </row>
    <row r="19243">
      <c r="C19243" s="277"/>
      <c r="M19243" s="277"/>
      <c r="O19243" s="247"/>
      <c r="AC19243" s="247"/>
      <c r="AT19243" s="247"/>
    </row>
    <row r="19244">
      <c r="C19244" s="277"/>
      <c r="M19244" s="277"/>
      <c r="O19244" s="247"/>
      <c r="AC19244" s="247"/>
      <c r="AT19244" s="247"/>
    </row>
    <row r="19245">
      <c r="C19245" s="277"/>
      <c r="M19245" s="277"/>
      <c r="O19245" s="247"/>
      <c r="AC19245" s="247"/>
      <c r="AT19245" s="247"/>
    </row>
    <row r="19246">
      <c r="C19246" s="277"/>
      <c r="M19246" s="277"/>
      <c r="O19246" s="247"/>
      <c r="AC19246" s="247"/>
      <c r="AT19246" s="247"/>
    </row>
    <row r="19247">
      <c r="C19247" s="277"/>
      <c r="M19247" s="277"/>
      <c r="O19247" s="247"/>
      <c r="AC19247" s="247"/>
      <c r="AT19247" s="247"/>
    </row>
    <row r="19248">
      <c r="C19248" s="277"/>
      <c r="M19248" s="277"/>
      <c r="O19248" s="247"/>
      <c r="AC19248" s="247"/>
      <c r="AT19248" s="247"/>
    </row>
    <row r="19249">
      <c r="C19249" s="277"/>
      <c r="M19249" s="277"/>
      <c r="O19249" s="247"/>
      <c r="AC19249" s="247"/>
      <c r="AT19249" s="247"/>
    </row>
    <row r="19250">
      <c r="C19250" s="277"/>
      <c r="M19250" s="277"/>
      <c r="O19250" s="247"/>
      <c r="AC19250" s="247"/>
      <c r="AT19250" s="247"/>
    </row>
    <row r="19251">
      <c r="C19251" s="277"/>
      <c r="M19251" s="277"/>
      <c r="O19251" s="247"/>
      <c r="AC19251" s="247"/>
      <c r="AT19251" s="247"/>
    </row>
    <row r="19252">
      <c r="C19252" s="277"/>
      <c r="M19252" s="277"/>
      <c r="O19252" s="247"/>
      <c r="AC19252" s="247"/>
      <c r="AT19252" s="247"/>
    </row>
    <row r="19253">
      <c r="C19253" s="277"/>
      <c r="M19253" s="277"/>
      <c r="O19253" s="247"/>
      <c r="AC19253" s="247"/>
      <c r="AT19253" s="247"/>
    </row>
    <row r="19254">
      <c r="C19254" s="277"/>
      <c r="M19254" s="277"/>
      <c r="O19254" s="247"/>
      <c r="AC19254" s="247"/>
      <c r="AT19254" s="247"/>
    </row>
    <row r="19255">
      <c r="C19255" s="277"/>
      <c r="M19255" s="277"/>
      <c r="O19255" s="247"/>
      <c r="AC19255" s="247"/>
      <c r="AT19255" s="247"/>
    </row>
    <row r="19256">
      <c r="C19256" s="277"/>
      <c r="M19256" s="277"/>
      <c r="O19256" s="247"/>
      <c r="AC19256" s="247"/>
      <c r="AT19256" s="247"/>
    </row>
    <row r="19257">
      <c r="C19257" s="277"/>
      <c r="M19257" s="277"/>
      <c r="O19257" s="247"/>
      <c r="AC19257" s="247"/>
      <c r="AT19257" s="247"/>
    </row>
    <row r="19258">
      <c r="C19258" s="277"/>
      <c r="M19258" s="277"/>
      <c r="O19258" s="247"/>
      <c r="AC19258" s="247"/>
      <c r="AT19258" s="247"/>
    </row>
    <row r="19259">
      <c r="C19259" s="277"/>
      <c r="M19259" s="277"/>
      <c r="O19259" s="247"/>
      <c r="AC19259" s="247"/>
      <c r="AT19259" s="247"/>
    </row>
    <row r="19260">
      <c r="C19260" s="277"/>
      <c r="M19260" s="277"/>
      <c r="O19260" s="247"/>
      <c r="AC19260" s="247"/>
      <c r="AT19260" s="247"/>
    </row>
    <row r="19261">
      <c r="C19261" s="277"/>
      <c r="M19261" s="277"/>
      <c r="O19261" s="247"/>
      <c r="AC19261" s="247"/>
      <c r="AT19261" s="247"/>
    </row>
    <row r="19262">
      <c r="C19262" s="277"/>
      <c r="M19262" s="277"/>
      <c r="O19262" s="247"/>
      <c r="AC19262" s="247"/>
      <c r="AT19262" s="247"/>
    </row>
    <row r="19263">
      <c r="C19263" s="277"/>
      <c r="M19263" s="277"/>
      <c r="O19263" s="247"/>
      <c r="AC19263" s="247"/>
      <c r="AT19263" s="247"/>
    </row>
    <row r="19264">
      <c r="C19264" s="277"/>
      <c r="M19264" s="277"/>
      <c r="O19264" s="247"/>
      <c r="AC19264" s="247"/>
      <c r="AT19264" s="247"/>
    </row>
    <row r="19265">
      <c r="C19265" s="277"/>
      <c r="M19265" s="277"/>
      <c r="O19265" s="247"/>
      <c r="AC19265" s="247"/>
      <c r="AT19265" s="247"/>
    </row>
    <row r="19266">
      <c r="C19266" s="277"/>
      <c r="M19266" s="277"/>
      <c r="O19266" s="247"/>
      <c r="AC19266" s="247"/>
      <c r="AT19266" s="247"/>
    </row>
    <row r="19267">
      <c r="C19267" s="277"/>
      <c r="M19267" s="277"/>
      <c r="O19267" s="247"/>
      <c r="AC19267" s="247"/>
      <c r="AT19267" s="247"/>
    </row>
    <row r="19268">
      <c r="C19268" s="277"/>
      <c r="M19268" s="277"/>
      <c r="O19268" s="247"/>
      <c r="AC19268" s="247"/>
      <c r="AT19268" s="247"/>
    </row>
    <row r="19269">
      <c r="C19269" s="277"/>
      <c r="M19269" s="277"/>
      <c r="O19269" s="247"/>
      <c r="AC19269" s="247"/>
      <c r="AT19269" s="247"/>
    </row>
    <row r="19270">
      <c r="C19270" s="277"/>
      <c r="M19270" s="277"/>
      <c r="O19270" s="247"/>
      <c r="AC19270" s="247"/>
      <c r="AT19270" s="247"/>
    </row>
    <row r="19271">
      <c r="C19271" s="277"/>
      <c r="M19271" s="277"/>
      <c r="O19271" s="247"/>
      <c r="AC19271" s="247"/>
      <c r="AT19271" s="247"/>
    </row>
    <row r="19272">
      <c r="C19272" s="277"/>
      <c r="M19272" s="277"/>
      <c r="O19272" s="247"/>
      <c r="AC19272" s="247"/>
      <c r="AT19272" s="247"/>
    </row>
    <row r="19273">
      <c r="C19273" s="277"/>
      <c r="M19273" s="277"/>
      <c r="O19273" s="247"/>
      <c r="AC19273" s="247"/>
      <c r="AT19273" s="247"/>
    </row>
    <row r="19274">
      <c r="C19274" s="277"/>
      <c r="M19274" s="277"/>
      <c r="O19274" s="247"/>
      <c r="AC19274" s="247"/>
      <c r="AT19274" s="247"/>
    </row>
    <row r="19275">
      <c r="C19275" s="277"/>
      <c r="M19275" s="277"/>
      <c r="O19275" s="247"/>
      <c r="AC19275" s="247"/>
      <c r="AT19275" s="247"/>
    </row>
    <row r="19276">
      <c r="C19276" s="277"/>
      <c r="M19276" s="277"/>
      <c r="O19276" s="247"/>
      <c r="AC19276" s="247"/>
      <c r="AT19276" s="247"/>
    </row>
    <row r="19277">
      <c r="C19277" s="277"/>
      <c r="M19277" s="277"/>
      <c r="O19277" s="247"/>
      <c r="AC19277" s="247"/>
      <c r="AT19277" s="247"/>
    </row>
    <row r="19278">
      <c r="C19278" s="277"/>
      <c r="M19278" s="277"/>
      <c r="O19278" s="247"/>
      <c r="AC19278" s="247"/>
      <c r="AT19278" s="247"/>
    </row>
    <row r="19279">
      <c r="C19279" s="277"/>
      <c r="M19279" s="277"/>
      <c r="O19279" s="247"/>
      <c r="AC19279" s="247"/>
      <c r="AT19279" s="247"/>
    </row>
    <row r="19280">
      <c r="C19280" s="277"/>
      <c r="M19280" s="277"/>
      <c r="O19280" s="247"/>
      <c r="AC19280" s="247"/>
      <c r="AT19280" s="247"/>
    </row>
    <row r="19281">
      <c r="C19281" s="277"/>
      <c r="M19281" s="277"/>
      <c r="O19281" s="247"/>
      <c r="AC19281" s="247"/>
      <c r="AT19281" s="247"/>
    </row>
    <row r="19282">
      <c r="C19282" s="277"/>
      <c r="M19282" s="277"/>
      <c r="O19282" s="247"/>
      <c r="AC19282" s="247"/>
      <c r="AT19282" s="247"/>
    </row>
    <row r="19283">
      <c r="C19283" s="277"/>
      <c r="M19283" s="277"/>
      <c r="O19283" s="247"/>
      <c r="AC19283" s="247"/>
      <c r="AT19283" s="247"/>
    </row>
    <row r="19284">
      <c r="C19284" s="277"/>
      <c r="M19284" s="277"/>
      <c r="O19284" s="247"/>
      <c r="AC19284" s="247"/>
      <c r="AT19284" s="247"/>
    </row>
    <row r="19285">
      <c r="C19285" s="277"/>
      <c r="M19285" s="277"/>
      <c r="O19285" s="247"/>
      <c r="AC19285" s="247"/>
      <c r="AT19285" s="247"/>
    </row>
    <row r="19286">
      <c r="C19286" s="277"/>
      <c r="M19286" s="277"/>
      <c r="O19286" s="247"/>
      <c r="AC19286" s="247"/>
      <c r="AT19286" s="247"/>
    </row>
    <row r="19287">
      <c r="C19287" s="277"/>
      <c r="M19287" s="277"/>
      <c r="O19287" s="247"/>
      <c r="AC19287" s="247"/>
      <c r="AT19287" s="247"/>
    </row>
    <row r="19288">
      <c r="C19288" s="277"/>
      <c r="M19288" s="277"/>
      <c r="O19288" s="247"/>
      <c r="AC19288" s="247"/>
      <c r="AT19288" s="247"/>
    </row>
    <row r="19289">
      <c r="C19289" s="277"/>
      <c r="M19289" s="277"/>
      <c r="O19289" s="247"/>
      <c r="AC19289" s="247"/>
      <c r="AT19289" s="247"/>
    </row>
    <row r="19290">
      <c r="C19290" s="277"/>
      <c r="M19290" s="277"/>
      <c r="O19290" s="247"/>
      <c r="AC19290" s="247"/>
      <c r="AT19290" s="247"/>
    </row>
    <row r="19291">
      <c r="C19291" s="277"/>
      <c r="M19291" s="277"/>
      <c r="O19291" s="247"/>
      <c r="AC19291" s="247"/>
      <c r="AT19291" s="247"/>
    </row>
    <row r="19292">
      <c r="C19292" s="277"/>
      <c r="M19292" s="277"/>
      <c r="O19292" s="247"/>
      <c r="AC19292" s="247"/>
      <c r="AT19292" s="247"/>
    </row>
    <row r="19293">
      <c r="C19293" s="277"/>
      <c r="M19293" s="277"/>
      <c r="O19293" s="247"/>
      <c r="AC19293" s="247"/>
      <c r="AT19293" s="247"/>
    </row>
    <row r="19294">
      <c r="C19294" s="277"/>
      <c r="M19294" s="277"/>
      <c r="O19294" s="247"/>
      <c r="AC19294" s="247"/>
      <c r="AT19294" s="247"/>
    </row>
    <row r="19295">
      <c r="C19295" s="277"/>
      <c r="M19295" s="277"/>
      <c r="O19295" s="247"/>
      <c r="AC19295" s="247"/>
      <c r="AT19295" s="247"/>
    </row>
    <row r="19296">
      <c r="C19296" s="277"/>
      <c r="M19296" s="277"/>
      <c r="O19296" s="247"/>
      <c r="AC19296" s="247"/>
      <c r="AT19296" s="247"/>
    </row>
    <row r="19297">
      <c r="C19297" s="277"/>
      <c r="M19297" s="277"/>
      <c r="O19297" s="247"/>
      <c r="AC19297" s="247"/>
      <c r="AT19297" s="247"/>
    </row>
    <row r="19298">
      <c r="C19298" s="277"/>
      <c r="M19298" s="277"/>
      <c r="O19298" s="247"/>
      <c r="AC19298" s="247"/>
      <c r="AT19298" s="247"/>
    </row>
    <row r="19299">
      <c r="C19299" s="277"/>
      <c r="M19299" s="277"/>
      <c r="O19299" s="247"/>
      <c r="AC19299" s="247"/>
      <c r="AT19299" s="247"/>
    </row>
    <row r="19300">
      <c r="C19300" s="277"/>
      <c r="M19300" s="277"/>
      <c r="O19300" s="247"/>
      <c r="AC19300" s="247"/>
      <c r="AT19300" s="247"/>
    </row>
    <row r="19301">
      <c r="C19301" s="277"/>
      <c r="M19301" s="277"/>
      <c r="O19301" s="247"/>
      <c r="AC19301" s="247"/>
      <c r="AT19301" s="247"/>
    </row>
    <row r="19302">
      <c r="C19302" s="277"/>
      <c r="M19302" s="277"/>
      <c r="O19302" s="247"/>
      <c r="AC19302" s="247"/>
      <c r="AT19302" s="247"/>
    </row>
    <row r="19303">
      <c r="C19303" s="277"/>
      <c r="M19303" s="277"/>
      <c r="O19303" s="247"/>
      <c r="AC19303" s="247"/>
      <c r="AT19303" s="247"/>
    </row>
    <row r="19304">
      <c r="C19304" s="277"/>
      <c r="M19304" s="277"/>
      <c r="O19304" s="247"/>
      <c r="AC19304" s="247"/>
      <c r="AT19304" s="247"/>
    </row>
    <row r="19305">
      <c r="C19305" s="277"/>
      <c r="M19305" s="277"/>
      <c r="O19305" s="247"/>
      <c r="AC19305" s="247"/>
      <c r="AT19305" s="247"/>
    </row>
    <row r="19306">
      <c r="C19306" s="277"/>
      <c r="M19306" s="277"/>
      <c r="O19306" s="247"/>
      <c r="AC19306" s="247"/>
      <c r="AT19306" s="247"/>
    </row>
    <row r="19307">
      <c r="C19307" s="277"/>
      <c r="M19307" s="277"/>
      <c r="O19307" s="247"/>
      <c r="AC19307" s="247"/>
      <c r="AT19307" s="247"/>
    </row>
    <row r="19308">
      <c r="C19308" s="277"/>
      <c r="M19308" s="277"/>
      <c r="O19308" s="247"/>
      <c r="AC19308" s="247"/>
      <c r="AT19308" s="247"/>
    </row>
    <row r="19309">
      <c r="C19309" s="277"/>
      <c r="M19309" s="277"/>
      <c r="O19309" s="247"/>
      <c r="AC19309" s="247"/>
      <c r="AT19309" s="247"/>
    </row>
    <row r="19310">
      <c r="C19310" s="277"/>
      <c r="M19310" s="277"/>
      <c r="O19310" s="247"/>
      <c r="AC19310" s="247"/>
      <c r="AT19310" s="247"/>
    </row>
    <row r="19311">
      <c r="C19311" s="277"/>
      <c r="M19311" s="277"/>
      <c r="O19311" s="247"/>
      <c r="AC19311" s="247"/>
      <c r="AT19311" s="247"/>
    </row>
    <row r="19312">
      <c r="C19312" s="277"/>
      <c r="M19312" s="277"/>
      <c r="O19312" s="247"/>
      <c r="AC19312" s="247"/>
      <c r="AT19312" s="247"/>
    </row>
    <row r="19313">
      <c r="C19313" s="277"/>
      <c r="M19313" s="277"/>
      <c r="O19313" s="247"/>
      <c r="AC19313" s="247"/>
      <c r="AT19313" s="247"/>
    </row>
    <row r="19314">
      <c r="C19314" s="277"/>
      <c r="M19314" s="277"/>
      <c r="O19314" s="247"/>
      <c r="AC19314" s="247"/>
      <c r="AT19314" s="247"/>
    </row>
    <row r="19315">
      <c r="C19315" s="277"/>
      <c r="M19315" s="277"/>
      <c r="O19315" s="247"/>
      <c r="AC19315" s="247"/>
      <c r="AT19315" s="247"/>
    </row>
    <row r="19316">
      <c r="C19316" s="277"/>
      <c r="M19316" s="277"/>
      <c r="O19316" s="247"/>
      <c r="AC19316" s="247"/>
      <c r="AT19316" s="247"/>
    </row>
    <row r="19317">
      <c r="C19317" s="277"/>
      <c r="M19317" s="277"/>
      <c r="O19317" s="247"/>
      <c r="AC19317" s="247"/>
      <c r="AT19317" s="247"/>
    </row>
    <row r="19318">
      <c r="C19318" s="277"/>
      <c r="M19318" s="277"/>
      <c r="O19318" s="247"/>
      <c r="AC19318" s="247"/>
      <c r="AT19318" s="247"/>
    </row>
    <row r="19319">
      <c r="C19319" s="277"/>
      <c r="M19319" s="277"/>
      <c r="O19319" s="247"/>
      <c r="AC19319" s="247"/>
      <c r="AT19319" s="247"/>
    </row>
    <row r="19320">
      <c r="C19320" s="277"/>
      <c r="M19320" s="277"/>
      <c r="O19320" s="247"/>
      <c r="AC19320" s="247"/>
      <c r="AT19320" s="247"/>
    </row>
    <row r="19321">
      <c r="C19321" s="277"/>
      <c r="M19321" s="277"/>
      <c r="O19321" s="247"/>
      <c r="AC19321" s="247"/>
      <c r="AT19321" s="247"/>
    </row>
    <row r="19322">
      <c r="C19322" s="277"/>
      <c r="M19322" s="277"/>
      <c r="O19322" s="247"/>
      <c r="AC19322" s="247"/>
      <c r="AT19322" s="247"/>
    </row>
    <row r="19323">
      <c r="C19323" s="277"/>
      <c r="M19323" s="277"/>
      <c r="O19323" s="247"/>
      <c r="AC19323" s="247"/>
      <c r="AT19323" s="247"/>
    </row>
    <row r="19324">
      <c r="C19324" s="277"/>
      <c r="M19324" s="277"/>
      <c r="O19324" s="247"/>
      <c r="AC19324" s="247"/>
      <c r="AT19324" s="247"/>
    </row>
    <row r="19325">
      <c r="C19325" s="277"/>
      <c r="M19325" s="277"/>
      <c r="O19325" s="247"/>
      <c r="AC19325" s="247"/>
      <c r="AT19325" s="247"/>
    </row>
    <row r="19326">
      <c r="C19326" s="277"/>
      <c r="M19326" s="277"/>
      <c r="O19326" s="247"/>
      <c r="AC19326" s="247"/>
      <c r="AT19326" s="247"/>
    </row>
    <row r="19327">
      <c r="C19327" s="277"/>
      <c r="M19327" s="277"/>
      <c r="O19327" s="247"/>
      <c r="AC19327" s="247"/>
      <c r="AT19327" s="247"/>
    </row>
    <row r="19328">
      <c r="C19328" s="277"/>
      <c r="M19328" s="277"/>
      <c r="O19328" s="247"/>
      <c r="AC19328" s="247"/>
      <c r="AT19328" s="247"/>
    </row>
    <row r="19329">
      <c r="C19329" s="277"/>
      <c r="M19329" s="277"/>
      <c r="O19329" s="247"/>
      <c r="AC19329" s="247"/>
      <c r="AT19329" s="247"/>
    </row>
    <row r="19330">
      <c r="C19330" s="277"/>
      <c r="M19330" s="277"/>
      <c r="O19330" s="247"/>
      <c r="AC19330" s="247"/>
      <c r="AT19330" s="247"/>
    </row>
    <row r="19331">
      <c r="C19331" s="277"/>
      <c r="M19331" s="277"/>
      <c r="O19331" s="247"/>
      <c r="AC19331" s="247"/>
      <c r="AT19331" s="247"/>
    </row>
    <row r="19332">
      <c r="C19332" s="277"/>
      <c r="M19332" s="277"/>
      <c r="O19332" s="247"/>
      <c r="AC19332" s="247"/>
      <c r="AT19332" s="247"/>
    </row>
    <row r="19333">
      <c r="C19333" s="277"/>
      <c r="M19333" s="277"/>
      <c r="O19333" s="247"/>
      <c r="AC19333" s="247"/>
      <c r="AT19333" s="247"/>
    </row>
    <row r="19334">
      <c r="C19334" s="277"/>
      <c r="M19334" s="277"/>
      <c r="O19334" s="247"/>
      <c r="AC19334" s="247"/>
      <c r="AT19334" s="247"/>
    </row>
    <row r="19335">
      <c r="C19335" s="277"/>
      <c r="M19335" s="277"/>
      <c r="O19335" s="247"/>
      <c r="AC19335" s="247"/>
      <c r="AT19335" s="247"/>
    </row>
    <row r="19336">
      <c r="C19336" s="277"/>
      <c r="M19336" s="277"/>
      <c r="O19336" s="247"/>
      <c r="AC19336" s="247"/>
      <c r="AT19336" s="247"/>
    </row>
    <row r="19337">
      <c r="C19337" s="277"/>
      <c r="M19337" s="277"/>
      <c r="O19337" s="247"/>
      <c r="AC19337" s="247"/>
      <c r="AT19337" s="247"/>
    </row>
    <row r="19338">
      <c r="C19338" s="277"/>
      <c r="M19338" s="277"/>
      <c r="O19338" s="247"/>
      <c r="AC19338" s="247"/>
      <c r="AT19338" s="247"/>
    </row>
    <row r="19339">
      <c r="C19339" s="277"/>
      <c r="M19339" s="277"/>
      <c r="O19339" s="247"/>
      <c r="AC19339" s="247"/>
      <c r="AT19339" s="247"/>
    </row>
    <row r="19340">
      <c r="C19340" s="277"/>
      <c r="M19340" s="277"/>
      <c r="O19340" s="247"/>
      <c r="AC19340" s="247"/>
      <c r="AT19340" s="247"/>
    </row>
    <row r="19341">
      <c r="C19341" s="277"/>
      <c r="M19341" s="277"/>
      <c r="O19341" s="247"/>
      <c r="AC19341" s="247"/>
      <c r="AT19341" s="247"/>
    </row>
    <row r="19342">
      <c r="C19342" s="277"/>
      <c r="M19342" s="277"/>
      <c r="O19342" s="247"/>
      <c r="AC19342" s="247"/>
      <c r="AT19342" s="247"/>
    </row>
    <row r="19343">
      <c r="C19343" s="277"/>
      <c r="M19343" s="277"/>
      <c r="O19343" s="247"/>
      <c r="AC19343" s="247"/>
      <c r="AT19343" s="247"/>
    </row>
    <row r="19344">
      <c r="C19344" s="277"/>
      <c r="M19344" s="277"/>
      <c r="O19344" s="247"/>
      <c r="AC19344" s="247"/>
      <c r="AT19344" s="247"/>
    </row>
    <row r="19345">
      <c r="C19345" s="277"/>
      <c r="M19345" s="277"/>
      <c r="O19345" s="247"/>
      <c r="AC19345" s="247"/>
      <c r="AT19345" s="247"/>
    </row>
    <row r="19346">
      <c r="C19346" s="277"/>
      <c r="M19346" s="277"/>
      <c r="O19346" s="247"/>
      <c r="AC19346" s="247"/>
      <c r="AT19346" s="247"/>
    </row>
    <row r="19347">
      <c r="C19347" s="277"/>
      <c r="M19347" s="277"/>
      <c r="O19347" s="247"/>
      <c r="AC19347" s="247"/>
      <c r="AT19347" s="247"/>
    </row>
    <row r="19348">
      <c r="C19348" s="277"/>
      <c r="M19348" s="277"/>
      <c r="O19348" s="247"/>
      <c r="AC19348" s="247"/>
      <c r="AT19348" s="247"/>
    </row>
    <row r="19349">
      <c r="C19349" s="277"/>
      <c r="M19349" s="277"/>
      <c r="O19349" s="247"/>
      <c r="AC19349" s="247"/>
      <c r="AT19349" s="247"/>
    </row>
    <row r="19350">
      <c r="C19350" s="277"/>
      <c r="M19350" s="277"/>
      <c r="O19350" s="247"/>
      <c r="AC19350" s="247"/>
      <c r="AT19350" s="247"/>
    </row>
    <row r="19351">
      <c r="C19351" s="277"/>
      <c r="M19351" s="277"/>
      <c r="O19351" s="247"/>
      <c r="AC19351" s="247"/>
      <c r="AT19351" s="247"/>
    </row>
    <row r="19352">
      <c r="C19352" s="277"/>
      <c r="M19352" s="277"/>
      <c r="O19352" s="247"/>
      <c r="AC19352" s="247"/>
      <c r="AT19352" s="247"/>
    </row>
    <row r="19353">
      <c r="C19353" s="277"/>
      <c r="M19353" s="277"/>
      <c r="O19353" s="247"/>
      <c r="AC19353" s="247"/>
      <c r="AT19353" s="247"/>
    </row>
    <row r="19354">
      <c r="C19354" s="277"/>
      <c r="M19354" s="277"/>
      <c r="O19354" s="247"/>
      <c r="AC19354" s="247"/>
      <c r="AT19354" s="247"/>
    </row>
    <row r="19355">
      <c r="C19355" s="277"/>
      <c r="M19355" s="277"/>
      <c r="O19355" s="247"/>
      <c r="AC19355" s="247"/>
      <c r="AT19355" s="247"/>
    </row>
    <row r="19356">
      <c r="C19356" s="277"/>
      <c r="M19356" s="277"/>
      <c r="O19356" s="247"/>
      <c r="AC19356" s="247"/>
      <c r="AT19356" s="247"/>
    </row>
    <row r="19357">
      <c r="C19357" s="277"/>
      <c r="M19357" s="277"/>
      <c r="O19357" s="247"/>
      <c r="AC19357" s="247"/>
      <c r="AT19357" s="247"/>
    </row>
    <row r="19358">
      <c r="C19358" s="277"/>
      <c r="M19358" s="277"/>
      <c r="O19358" s="247"/>
      <c r="AC19358" s="247"/>
      <c r="AT19358" s="247"/>
    </row>
    <row r="19359">
      <c r="C19359" s="277"/>
      <c r="M19359" s="277"/>
      <c r="O19359" s="247"/>
      <c r="AC19359" s="247"/>
      <c r="AT19359" s="247"/>
    </row>
    <row r="19360">
      <c r="C19360" s="277"/>
      <c r="M19360" s="277"/>
      <c r="O19360" s="247"/>
      <c r="AC19360" s="247"/>
      <c r="AT19360" s="247"/>
    </row>
    <row r="19361">
      <c r="C19361" s="277"/>
      <c r="M19361" s="277"/>
      <c r="O19361" s="247"/>
      <c r="AC19361" s="247"/>
      <c r="AT19361" s="247"/>
    </row>
    <row r="19362">
      <c r="C19362" s="277"/>
      <c r="M19362" s="277"/>
      <c r="O19362" s="247"/>
      <c r="AC19362" s="247"/>
      <c r="AT19362" s="247"/>
    </row>
    <row r="19363">
      <c r="C19363" s="277"/>
      <c r="M19363" s="277"/>
      <c r="O19363" s="247"/>
      <c r="AC19363" s="247"/>
      <c r="AT19363" s="247"/>
    </row>
    <row r="19364">
      <c r="C19364" s="277"/>
      <c r="M19364" s="277"/>
      <c r="O19364" s="247"/>
      <c r="AC19364" s="247"/>
      <c r="AT19364" s="247"/>
    </row>
    <row r="19365">
      <c r="C19365" s="277"/>
      <c r="M19365" s="277"/>
      <c r="O19365" s="247"/>
      <c r="AC19365" s="247"/>
      <c r="AT19365" s="247"/>
    </row>
    <row r="19366">
      <c r="C19366" s="277"/>
      <c r="M19366" s="277"/>
      <c r="O19366" s="247"/>
      <c r="AC19366" s="247"/>
      <c r="AT19366" s="247"/>
    </row>
    <row r="19367">
      <c r="C19367" s="277"/>
      <c r="M19367" s="277"/>
      <c r="O19367" s="247"/>
      <c r="AC19367" s="247"/>
      <c r="AT19367" s="247"/>
    </row>
    <row r="19368">
      <c r="C19368" s="277"/>
      <c r="M19368" s="277"/>
      <c r="O19368" s="247"/>
      <c r="AC19368" s="247"/>
      <c r="AT19368" s="247"/>
    </row>
    <row r="19369">
      <c r="C19369" s="277"/>
      <c r="M19369" s="277"/>
      <c r="O19369" s="247"/>
      <c r="AC19369" s="247"/>
      <c r="AT19369" s="247"/>
    </row>
    <row r="19370">
      <c r="C19370" s="277"/>
      <c r="M19370" s="277"/>
      <c r="O19370" s="247"/>
      <c r="AC19370" s="247"/>
      <c r="AT19370" s="247"/>
    </row>
    <row r="19371">
      <c r="C19371" s="277"/>
      <c r="M19371" s="277"/>
      <c r="O19371" s="247"/>
      <c r="AC19371" s="247"/>
      <c r="AT19371" s="247"/>
    </row>
    <row r="19372">
      <c r="C19372" s="277"/>
      <c r="M19372" s="277"/>
      <c r="O19372" s="247"/>
      <c r="AC19372" s="247"/>
      <c r="AT19372" s="247"/>
    </row>
    <row r="19373">
      <c r="C19373" s="277"/>
      <c r="M19373" s="277"/>
      <c r="O19373" s="247"/>
      <c r="AC19373" s="247"/>
      <c r="AT19373" s="247"/>
    </row>
    <row r="19374">
      <c r="C19374" s="277"/>
      <c r="M19374" s="277"/>
      <c r="O19374" s="247"/>
      <c r="AC19374" s="247"/>
      <c r="AT19374" s="247"/>
    </row>
    <row r="19375">
      <c r="C19375" s="277"/>
      <c r="M19375" s="277"/>
      <c r="O19375" s="247"/>
      <c r="AC19375" s="247"/>
      <c r="AT19375" s="247"/>
    </row>
    <row r="19376">
      <c r="C19376" s="277"/>
      <c r="M19376" s="277"/>
      <c r="O19376" s="247"/>
      <c r="AC19376" s="247"/>
      <c r="AT19376" s="247"/>
    </row>
    <row r="19377">
      <c r="C19377" s="277"/>
      <c r="M19377" s="277"/>
      <c r="O19377" s="247"/>
      <c r="AC19377" s="247"/>
      <c r="AT19377" s="247"/>
    </row>
    <row r="19378">
      <c r="C19378" s="277"/>
      <c r="M19378" s="277"/>
      <c r="O19378" s="247"/>
      <c r="AC19378" s="247"/>
      <c r="AT19378" s="247"/>
    </row>
    <row r="19379">
      <c r="C19379" s="277"/>
      <c r="M19379" s="277"/>
      <c r="O19379" s="247"/>
      <c r="AC19379" s="247"/>
      <c r="AT19379" s="247"/>
    </row>
    <row r="19380">
      <c r="C19380" s="277"/>
      <c r="M19380" s="277"/>
      <c r="O19380" s="247"/>
      <c r="AC19380" s="247"/>
      <c r="AT19380" s="247"/>
    </row>
    <row r="19381">
      <c r="C19381" s="277"/>
      <c r="M19381" s="277"/>
      <c r="O19381" s="247"/>
      <c r="AC19381" s="247"/>
      <c r="AT19381" s="247"/>
    </row>
    <row r="19382">
      <c r="C19382" s="277"/>
      <c r="M19382" s="277"/>
      <c r="O19382" s="247"/>
      <c r="AC19382" s="247"/>
      <c r="AT19382" s="247"/>
    </row>
    <row r="19383">
      <c r="C19383" s="277"/>
      <c r="M19383" s="277"/>
      <c r="O19383" s="247"/>
      <c r="AC19383" s="247"/>
      <c r="AT19383" s="247"/>
    </row>
    <row r="19384">
      <c r="C19384" s="277"/>
      <c r="M19384" s="277"/>
      <c r="O19384" s="247"/>
      <c r="AC19384" s="247"/>
      <c r="AT19384" s="247"/>
    </row>
    <row r="19385">
      <c r="C19385" s="277"/>
      <c r="M19385" s="277"/>
      <c r="O19385" s="247"/>
      <c r="AC19385" s="247"/>
      <c r="AT19385" s="247"/>
    </row>
    <row r="19386">
      <c r="C19386" s="277"/>
      <c r="M19386" s="277"/>
      <c r="O19386" s="247"/>
      <c r="AC19386" s="247"/>
      <c r="AT19386" s="247"/>
    </row>
    <row r="19387">
      <c r="C19387" s="277"/>
      <c r="M19387" s="277"/>
      <c r="O19387" s="247"/>
      <c r="AC19387" s="247"/>
      <c r="AT19387" s="247"/>
    </row>
    <row r="19388">
      <c r="C19388" s="277"/>
      <c r="M19388" s="277"/>
      <c r="O19388" s="247"/>
      <c r="AC19388" s="247"/>
      <c r="AT19388" s="247"/>
    </row>
    <row r="19389">
      <c r="C19389" s="277"/>
      <c r="M19389" s="277"/>
      <c r="O19389" s="247"/>
      <c r="AC19389" s="247"/>
      <c r="AT19389" s="247"/>
    </row>
    <row r="19390">
      <c r="C19390" s="277"/>
      <c r="M19390" s="277"/>
      <c r="O19390" s="247"/>
      <c r="AC19390" s="247"/>
      <c r="AT19390" s="247"/>
    </row>
    <row r="19391">
      <c r="C19391" s="277"/>
      <c r="M19391" s="277"/>
      <c r="O19391" s="247"/>
      <c r="AC19391" s="247"/>
      <c r="AT19391" s="247"/>
    </row>
    <row r="19392">
      <c r="C19392" s="277"/>
      <c r="M19392" s="277"/>
      <c r="O19392" s="247"/>
      <c r="AC19392" s="247"/>
      <c r="AT19392" s="247"/>
    </row>
    <row r="19393">
      <c r="C19393" s="277"/>
      <c r="M19393" s="277"/>
      <c r="O19393" s="247"/>
      <c r="AC19393" s="247"/>
      <c r="AT19393" s="247"/>
    </row>
    <row r="19394">
      <c r="C19394" s="277"/>
      <c r="M19394" s="277"/>
      <c r="O19394" s="247"/>
      <c r="AC19394" s="247"/>
      <c r="AT19394" s="247"/>
    </row>
    <row r="19395">
      <c r="C19395" s="277"/>
      <c r="M19395" s="277"/>
      <c r="O19395" s="247"/>
      <c r="AC19395" s="247"/>
      <c r="AT19395" s="247"/>
    </row>
    <row r="19396">
      <c r="C19396" s="277"/>
      <c r="M19396" s="277"/>
      <c r="O19396" s="247"/>
      <c r="AC19396" s="247"/>
      <c r="AT19396" s="247"/>
    </row>
    <row r="19397">
      <c r="C19397" s="277"/>
      <c r="M19397" s="277"/>
      <c r="O19397" s="247"/>
      <c r="AC19397" s="247"/>
      <c r="AT19397" s="247"/>
    </row>
    <row r="19398">
      <c r="C19398" s="277"/>
      <c r="M19398" s="277"/>
      <c r="O19398" s="247"/>
      <c r="AC19398" s="247"/>
      <c r="AT19398" s="247"/>
    </row>
    <row r="19399">
      <c r="C19399" s="277"/>
      <c r="M19399" s="277"/>
      <c r="O19399" s="247"/>
      <c r="AC19399" s="247"/>
      <c r="AT19399" s="247"/>
    </row>
    <row r="19400">
      <c r="C19400" s="277"/>
      <c r="M19400" s="277"/>
      <c r="O19400" s="247"/>
      <c r="AC19400" s="247"/>
      <c r="AT19400" s="247"/>
    </row>
    <row r="19401">
      <c r="C19401" s="277"/>
      <c r="M19401" s="277"/>
      <c r="O19401" s="247"/>
      <c r="AC19401" s="247"/>
      <c r="AT19401" s="247"/>
    </row>
    <row r="19402">
      <c r="C19402" s="277"/>
      <c r="M19402" s="277"/>
      <c r="O19402" s="247"/>
      <c r="AC19402" s="247"/>
      <c r="AT19402" s="247"/>
    </row>
    <row r="19403">
      <c r="C19403" s="277"/>
      <c r="M19403" s="277"/>
      <c r="O19403" s="247"/>
      <c r="AC19403" s="247"/>
      <c r="AT19403" s="247"/>
    </row>
    <row r="19404">
      <c r="C19404" s="277"/>
      <c r="M19404" s="277"/>
      <c r="O19404" s="247"/>
      <c r="AC19404" s="247"/>
      <c r="AT19404" s="247"/>
    </row>
    <row r="19405">
      <c r="C19405" s="277"/>
      <c r="M19405" s="277"/>
      <c r="O19405" s="247"/>
      <c r="AC19405" s="247"/>
      <c r="AT19405" s="247"/>
    </row>
    <row r="19406">
      <c r="C19406" s="277"/>
      <c r="M19406" s="277"/>
      <c r="O19406" s="247"/>
      <c r="AC19406" s="247"/>
      <c r="AT19406" s="247"/>
    </row>
    <row r="19407">
      <c r="C19407" s="277"/>
      <c r="M19407" s="277"/>
      <c r="O19407" s="247"/>
      <c r="AC19407" s="247"/>
      <c r="AT19407" s="247"/>
    </row>
    <row r="19408">
      <c r="C19408" s="277"/>
      <c r="M19408" s="277"/>
      <c r="O19408" s="247"/>
      <c r="AC19408" s="247"/>
      <c r="AT19408" s="247"/>
    </row>
    <row r="19409">
      <c r="C19409" s="277"/>
      <c r="M19409" s="277"/>
      <c r="O19409" s="247"/>
      <c r="AC19409" s="247"/>
      <c r="AT19409" s="247"/>
    </row>
    <row r="19410">
      <c r="C19410" s="277"/>
      <c r="M19410" s="277"/>
      <c r="O19410" s="247"/>
      <c r="AC19410" s="247"/>
      <c r="AT19410" s="247"/>
    </row>
    <row r="19411">
      <c r="C19411" s="277"/>
      <c r="M19411" s="277"/>
      <c r="O19411" s="247"/>
      <c r="AC19411" s="247"/>
      <c r="AT19411" s="247"/>
    </row>
    <row r="19412">
      <c r="C19412" s="277"/>
      <c r="M19412" s="277"/>
      <c r="O19412" s="247"/>
      <c r="AC19412" s="247"/>
      <c r="AT19412" s="247"/>
    </row>
    <row r="19413">
      <c r="C19413" s="277"/>
      <c r="M19413" s="277"/>
      <c r="O19413" s="247"/>
      <c r="AC19413" s="247"/>
      <c r="AT19413" s="247"/>
    </row>
    <row r="19414">
      <c r="C19414" s="277"/>
      <c r="M19414" s="277"/>
      <c r="O19414" s="247"/>
      <c r="AC19414" s="247"/>
      <c r="AT19414" s="247"/>
    </row>
    <row r="19415">
      <c r="C19415" s="277"/>
      <c r="M19415" s="277"/>
      <c r="O19415" s="247"/>
      <c r="AC19415" s="247"/>
      <c r="AT19415" s="247"/>
    </row>
    <row r="19416">
      <c r="C19416" s="277"/>
      <c r="M19416" s="277"/>
      <c r="O19416" s="247"/>
      <c r="AC19416" s="247"/>
      <c r="AT19416" s="247"/>
    </row>
    <row r="19417">
      <c r="C19417" s="277"/>
      <c r="M19417" s="277"/>
      <c r="O19417" s="247"/>
      <c r="AC19417" s="247"/>
      <c r="AT19417" s="247"/>
    </row>
    <row r="19418">
      <c r="C19418" s="277"/>
      <c r="M19418" s="277"/>
      <c r="O19418" s="247"/>
      <c r="AC19418" s="247"/>
      <c r="AT19418" s="247"/>
    </row>
    <row r="19419">
      <c r="C19419" s="277"/>
      <c r="M19419" s="277"/>
      <c r="O19419" s="247"/>
      <c r="AC19419" s="247"/>
      <c r="AT19419" s="247"/>
    </row>
    <row r="19420">
      <c r="C19420" s="277"/>
      <c r="M19420" s="277"/>
      <c r="O19420" s="247"/>
      <c r="AC19420" s="247"/>
      <c r="AT19420" s="247"/>
    </row>
    <row r="19421">
      <c r="C19421" s="277"/>
      <c r="M19421" s="277"/>
      <c r="O19421" s="247"/>
      <c r="AC19421" s="247"/>
      <c r="AT19421" s="247"/>
    </row>
    <row r="19422">
      <c r="C19422" s="277"/>
      <c r="M19422" s="277"/>
      <c r="O19422" s="247"/>
      <c r="AC19422" s="247"/>
      <c r="AT19422" s="247"/>
    </row>
    <row r="19423">
      <c r="C19423" s="277"/>
      <c r="M19423" s="277"/>
      <c r="O19423" s="247"/>
      <c r="AC19423" s="247"/>
      <c r="AT19423" s="247"/>
    </row>
    <row r="19424">
      <c r="C19424" s="277"/>
      <c r="M19424" s="277"/>
      <c r="O19424" s="247"/>
      <c r="AC19424" s="247"/>
      <c r="AT19424" s="247"/>
    </row>
    <row r="19425">
      <c r="C19425" s="277"/>
      <c r="M19425" s="277"/>
      <c r="O19425" s="247"/>
      <c r="AC19425" s="247"/>
      <c r="AT19425" s="247"/>
    </row>
    <row r="19426">
      <c r="C19426" s="277"/>
      <c r="M19426" s="277"/>
      <c r="O19426" s="247"/>
      <c r="AC19426" s="247"/>
      <c r="AT19426" s="247"/>
    </row>
    <row r="19427">
      <c r="C19427" s="277"/>
      <c r="M19427" s="277"/>
      <c r="O19427" s="247"/>
      <c r="AC19427" s="247"/>
      <c r="AT19427" s="247"/>
    </row>
    <row r="19428">
      <c r="C19428" s="277"/>
      <c r="M19428" s="277"/>
      <c r="O19428" s="247"/>
      <c r="AC19428" s="247"/>
      <c r="AT19428" s="247"/>
    </row>
    <row r="19429">
      <c r="C19429" s="277"/>
      <c r="M19429" s="277"/>
      <c r="O19429" s="247"/>
      <c r="AC19429" s="247"/>
      <c r="AT19429" s="247"/>
    </row>
    <row r="19430">
      <c r="C19430" s="277"/>
      <c r="M19430" s="277"/>
      <c r="O19430" s="247"/>
      <c r="AC19430" s="247"/>
      <c r="AT19430" s="247"/>
    </row>
    <row r="19431">
      <c r="C19431" s="277"/>
      <c r="M19431" s="277"/>
      <c r="O19431" s="247"/>
      <c r="AC19431" s="247"/>
      <c r="AT19431" s="247"/>
    </row>
    <row r="19432">
      <c r="C19432" s="277"/>
      <c r="M19432" s="277"/>
      <c r="O19432" s="247"/>
      <c r="AC19432" s="247"/>
      <c r="AT19432" s="247"/>
    </row>
    <row r="19433">
      <c r="C19433" s="277"/>
      <c r="M19433" s="277"/>
      <c r="O19433" s="247"/>
      <c r="AC19433" s="247"/>
      <c r="AT19433" s="247"/>
    </row>
    <row r="19434">
      <c r="C19434" s="277"/>
      <c r="M19434" s="277"/>
      <c r="O19434" s="247"/>
      <c r="AC19434" s="247"/>
      <c r="AT19434" s="247"/>
    </row>
    <row r="19435">
      <c r="C19435" s="277"/>
      <c r="M19435" s="277"/>
      <c r="O19435" s="247"/>
      <c r="AC19435" s="247"/>
      <c r="AT19435" s="247"/>
    </row>
    <row r="19436">
      <c r="C19436" s="277"/>
      <c r="M19436" s="277"/>
      <c r="O19436" s="247"/>
      <c r="AC19436" s="247"/>
      <c r="AT19436" s="247"/>
    </row>
    <row r="19437">
      <c r="C19437" s="277"/>
      <c r="M19437" s="277"/>
      <c r="O19437" s="247"/>
      <c r="AC19437" s="247"/>
      <c r="AT19437" s="247"/>
    </row>
    <row r="19438">
      <c r="C19438" s="277"/>
      <c r="M19438" s="277"/>
      <c r="O19438" s="247"/>
      <c r="AC19438" s="247"/>
      <c r="AT19438" s="247"/>
    </row>
    <row r="19439">
      <c r="C19439" s="277"/>
      <c r="M19439" s="277"/>
      <c r="O19439" s="247"/>
      <c r="AC19439" s="247"/>
      <c r="AT19439" s="247"/>
    </row>
    <row r="19440">
      <c r="C19440" s="277"/>
      <c r="M19440" s="277"/>
      <c r="O19440" s="247"/>
      <c r="AC19440" s="247"/>
      <c r="AT19440" s="247"/>
    </row>
    <row r="19441">
      <c r="C19441" s="277"/>
      <c r="M19441" s="277"/>
      <c r="O19441" s="247"/>
      <c r="AC19441" s="247"/>
      <c r="AT19441" s="247"/>
    </row>
    <row r="19442">
      <c r="C19442" s="277"/>
      <c r="M19442" s="277"/>
      <c r="O19442" s="247"/>
      <c r="AC19442" s="247"/>
      <c r="AT19442" s="247"/>
    </row>
    <row r="19443">
      <c r="C19443" s="277"/>
      <c r="M19443" s="277"/>
      <c r="O19443" s="247"/>
      <c r="AC19443" s="247"/>
      <c r="AT19443" s="247"/>
    </row>
    <row r="19444">
      <c r="C19444" s="277"/>
      <c r="M19444" s="277"/>
      <c r="O19444" s="247"/>
      <c r="AC19444" s="247"/>
      <c r="AT19444" s="247"/>
    </row>
    <row r="19445">
      <c r="C19445" s="277"/>
      <c r="M19445" s="277"/>
      <c r="O19445" s="247"/>
      <c r="AC19445" s="247"/>
      <c r="AT19445" s="247"/>
    </row>
    <row r="19446">
      <c r="C19446" s="277"/>
      <c r="M19446" s="277"/>
      <c r="O19446" s="247"/>
      <c r="AC19446" s="247"/>
      <c r="AT19446" s="247"/>
    </row>
    <row r="19447">
      <c r="C19447" s="277"/>
      <c r="M19447" s="277"/>
      <c r="O19447" s="247"/>
      <c r="AC19447" s="247"/>
      <c r="AT19447" s="247"/>
    </row>
    <row r="19448">
      <c r="C19448" s="277"/>
      <c r="M19448" s="277"/>
      <c r="O19448" s="247"/>
      <c r="AC19448" s="247"/>
      <c r="AT19448" s="247"/>
    </row>
    <row r="19449">
      <c r="C19449" s="277"/>
      <c r="M19449" s="277"/>
      <c r="O19449" s="247"/>
      <c r="AC19449" s="247"/>
      <c r="AT19449" s="247"/>
    </row>
    <row r="19450">
      <c r="C19450" s="277"/>
      <c r="M19450" s="277"/>
      <c r="O19450" s="247"/>
      <c r="AC19450" s="247"/>
      <c r="AT19450" s="247"/>
    </row>
    <row r="19451">
      <c r="C19451" s="277"/>
      <c r="M19451" s="277"/>
      <c r="O19451" s="247"/>
      <c r="AC19451" s="247"/>
      <c r="AT19451" s="247"/>
    </row>
    <row r="19452">
      <c r="C19452" s="277"/>
      <c r="M19452" s="277"/>
      <c r="O19452" s="247"/>
      <c r="AC19452" s="247"/>
      <c r="AT19452" s="247"/>
    </row>
    <row r="19453">
      <c r="C19453" s="277"/>
      <c r="M19453" s="277"/>
      <c r="O19453" s="247"/>
      <c r="AC19453" s="247"/>
      <c r="AT19453" s="247"/>
    </row>
    <row r="19454">
      <c r="C19454" s="277"/>
      <c r="M19454" s="277"/>
      <c r="O19454" s="247"/>
      <c r="AC19454" s="247"/>
      <c r="AT19454" s="247"/>
    </row>
    <row r="19455">
      <c r="C19455" s="277"/>
      <c r="M19455" s="277"/>
      <c r="O19455" s="247"/>
      <c r="AC19455" s="247"/>
      <c r="AT19455" s="247"/>
    </row>
    <row r="19456">
      <c r="C19456" s="277"/>
      <c r="M19456" s="277"/>
      <c r="O19456" s="247"/>
      <c r="AC19456" s="247"/>
      <c r="AT19456" s="247"/>
    </row>
    <row r="19457">
      <c r="C19457" s="277"/>
      <c r="M19457" s="277"/>
      <c r="O19457" s="247"/>
      <c r="AC19457" s="247"/>
      <c r="AT19457" s="247"/>
    </row>
    <row r="19458">
      <c r="C19458" s="277"/>
      <c r="M19458" s="277"/>
      <c r="O19458" s="247"/>
      <c r="AC19458" s="247"/>
      <c r="AT19458" s="247"/>
    </row>
    <row r="19459">
      <c r="C19459" s="277"/>
      <c r="M19459" s="277"/>
      <c r="O19459" s="247"/>
      <c r="AC19459" s="247"/>
      <c r="AT19459" s="247"/>
    </row>
    <row r="19460">
      <c r="C19460" s="277"/>
      <c r="M19460" s="277"/>
      <c r="O19460" s="247"/>
      <c r="AC19460" s="247"/>
      <c r="AT19460" s="247"/>
    </row>
    <row r="19461">
      <c r="C19461" s="277"/>
      <c r="M19461" s="277"/>
      <c r="O19461" s="247"/>
      <c r="AC19461" s="247"/>
      <c r="AT19461" s="247"/>
    </row>
    <row r="19462">
      <c r="C19462" s="277"/>
      <c r="M19462" s="277"/>
      <c r="O19462" s="247"/>
      <c r="AC19462" s="247"/>
      <c r="AT19462" s="247"/>
    </row>
    <row r="19463">
      <c r="C19463" s="277"/>
      <c r="M19463" s="277"/>
      <c r="O19463" s="247"/>
      <c r="AC19463" s="247"/>
      <c r="AT19463" s="247"/>
    </row>
    <row r="19464">
      <c r="C19464" s="277"/>
      <c r="M19464" s="277"/>
      <c r="O19464" s="247"/>
      <c r="AC19464" s="247"/>
      <c r="AT19464" s="247"/>
    </row>
    <row r="19465">
      <c r="C19465" s="277"/>
      <c r="M19465" s="277"/>
      <c r="O19465" s="247"/>
      <c r="AC19465" s="247"/>
      <c r="AT19465" s="247"/>
    </row>
    <row r="19466">
      <c r="C19466" s="277"/>
      <c r="M19466" s="277"/>
      <c r="O19466" s="247"/>
      <c r="AC19466" s="247"/>
      <c r="AT19466" s="247"/>
    </row>
    <row r="19467">
      <c r="C19467" s="277"/>
      <c r="M19467" s="277"/>
      <c r="O19467" s="247"/>
      <c r="AC19467" s="247"/>
      <c r="AT19467" s="247"/>
    </row>
    <row r="19468">
      <c r="C19468" s="277"/>
      <c r="M19468" s="277"/>
      <c r="O19468" s="247"/>
      <c r="AC19468" s="247"/>
      <c r="AT19468" s="247"/>
    </row>
    <row r="19469">
      <c r="C19469" s="277"/>
      <c r="M19469" s="277"/>
      <c r="O19469" s="247"/>
      <c r="AC19469" s="247"/>
      <c r="AT19469" s="247"/>
    </row>
    <row r="19470">
      <c r="C19470" s="277"/>
      <c r="M19470" s="277"/>
      <c r="O19470" s="247"/>
      <c r="AC19470" s="247"/>
      <c r="AT19470" s="247"/>
    </row>
    <row r="19471">
      <c r="C19471" s="277"/>
      <c r="M19471" s="277"/>
      <c r="O19471" s="247"/>
      <c r="AC19471" s="247"/>
      <c r="AT19471" s="247"/>
    </row>
    <row r="19472">
      <c r="C19472" s="277"/>
      <c r="M19472" s="277"/>
      <c r="O19472" s="247"/>
      <c r="AC19472" s="247"/>
      <c r="AT19472" s="247"/>
    </row>
    <row r="19473">
      <c r="C19473" s="277"/>
      <c r="M19473" s="277"/>
      <c r="O19473" s="247"/>
      <c r="AC19473" s="247"/>
      <c r="AT19473" s="247"/>
    </row>
    <row r="19474">
      <c r="C19474" s="277"/>
      <c r="M19474" s="277"/>
      <c r="O19474" s="247"/>
      <c r="AC19474" s="247"/>
      <c r="AT19474" s="247"/>
    </row>
    <row r="19475">
      <c r="C19475" s="277"/>
      <c r="M19475" s="277"/>
      <c r="O19475" s="247"/>
      <c r="AC19475" s="247"/>
      <c r="AT19475" s="247"/>
    </row>
    <row r="19476">
      <c r="C19476" s="277"/>
      <c r="M19476" s="277"/>
      <c r="O19476" s="247"/>
      <c r="AC19476" s="247"/>
      <c r="AT19476" s="247"/>
    </row>
    <row r="19477">
      <c r="C19477" s="277"/>
      <c r="M19477" s="277"/>
      <c r="O19477" s="247"/>
      <c r="AC19477" s="247"/>
      <c r="AT19477" s="247"/>
    </row>
    <row r="19478">
      <c r="C19478" s="277"/>
      <c r="M19478" s="277"/>
      <c r="O19478" s="247"/>
      <c r="AC19478" s="247"/>
      <c r="AT19478" s="247"/>
    </row>
    <row r="19479">
      <c r="C19479" s="277"/>
      <c r="M19479" s="277"/>
      <c r="O19479" s="247"/>
      <c r="AC19479" s="247"/>
      <c r="AT19479" s="247"/>
    </row>
    <row r="19480">
      <c r="C19480" s="277"/>
      <c r="M19480" s="277"/>
      <c r="O19480" s="247"/>
      <c r="AC19480" s="247"/>
      <c r="AT19480" s="247"/>
    </row>
    <row r="19481">
      <c r="C19481" s="277"/>
      <c r="M19481" s="277"/>
      <c r="O19481" s="247"/>
      <c r="AC19481" s="247"/>
      <c r="AT19481" s="247"/>
    </row>
    <row r="19482">
      <c r="C19482" s="277"/>
      <c r="M19482" s="277"/>
      <c r="O19482" s="247"/>
      <c r="AC19482" s="247"/>
      <c r="AT19482" s="247"/>
    </row>
    <row r="19483">
      <c r="C19483" s="277"/>
      <c r="M19483" s="277"/>
      <c r="O19483" s="247"/>
      <c r="AC19483" s="247"/>
      <c r="AT19483" s="247"/>
    </row>
    <row r="19484">
      <c r="C19484" s="277"/>
      <c r="M19484" s="277"/>
      <c r="O19484" s="247"/>
      <c r="AC19484" s="247"/>
      <c r="AT19484" s="247"/>
    </row>
    <row r="19485">
      <c r="C19485" s="277"/>
      <c r="M19485" s="277"/>
      <c r="O19485" s="247"/>
      <c r="AC19485" s="247"/>
      <c r="AT19485" s="247"/>
    </row>
    <row r="19486">
      <c r="C19486" s="277"/>
      <c r="M19486" s="277"/>
      <c r="O19486" s="247"/>
      <c r="AC19486" s="247"/>
      <c r="AT19486" s="247"/>
    </row>
    <row r="19487">
      <c r="C19487" s="277"/>
      <c r="M19487" s="277"/>
      <c r="O19487" s="247"/>
      <c r="AC19487" s="247"/>
      <c r="AT19487" s="247"/>
    </row>
    <row r="19488">
      <c r="C19488" s="277"/>
      <c r="M19488" s="277"/>
      <c r="O19488" s="247"/>
      <c r="AC19488" s="247"/>
      <c r="AT19488" s="247"/>
    </row>
    <row r="19489">
      <c r="C19489" s="277"/>
      <c r="M19489" s="277"/>
      <c r="O19489" s="247"/>
      <c r="AC19489" s="247"/>
      <c r="AT19489" s="247"/>
    </row>
    <row r="19490">
      <c r="C19490" s="277"/>
      <c r="M19490" s="277"/>
      <c r="O19490" s="247"/>
      <c r="AC19490" s="247"/>
      <c r="AT19490" s="247"/>
    </row>
    <row r="19491">
      <c r="C19491" s="277"/>
      <c r="M19491" s="277"/>
      <c r="O19491" s="247"/>
      <c r="AC19491" s="247"/>
      <c r="AT19491" s="247"/>
    </row>
    <row r="19492">
      <c r="C19492" s="277"/>
      <c r="M19492" s="277"/>
      <c r="O19492" s="247"/>
      <c r="AC19492" s="247"/>
      <c r="AT19492" s="247"/>
    </row>
    <row r="19493">
      <c r="C19493" s="277"/>
      <c r="M19493" s="277"/>
      <c r="O19493" s="247"/>
      <c r="AC19493" s="247"/>
      <c r="AT19493" s="247"/>
    </row>
    <row r="19494">
      <c r="C19494" s="277"/>
      <c r="M19494" s="277"/>
      <c r="O19494" s="247"/>
      <c r="AC19494" s="247"/>
      <c r="AT19494" s="247"/>
    </row>
    <row r="19495">
      <c r="C19495" s="277"/>
      <c r="M19495" s="277"/>
      <c r="O19495" s="247"/>
      <c r="AC19495" s="247"/>
      <c r="AT19495" s="247"/>
    </row>
    <row r="19496">
      <c r="C19496" s="277"/>
      <c r="M19496" s="277"/>
      <c r="O19496" s="247"/>
      <c r="AC19496" s="247"/>
      <c r="AT19496" s="247"/>
    </row>
    <row r="19497">
      <c r="C19497" s="277"/>
      <c r="M19497" s="277"/>
      <c r="O19497" s="247"/>
      <c r="AC19497" s="247"/>
      <c r="AT19497" s="247"/>
    </row>
    <row r="19498">
      <c r="C19498" s="277"/>
      <c r="M19498" s="277"/>
      <c r="O19498" s="247"/>
      <c r="AC19498" s="247"/>
      <c r="AT19498" s="247"/>
    </row>
    <row r="19499">
      <c r="C19499" s="277"/>
      <c r="M19499" s="277"/>
      <c r="O19499" s="247"/>
      <c r="AC19499" s="247"/>
      <c r="AT19499" s="247"/>
    </row>
    <row r="19500">
      <c r="C19500" s="277"/>
      <c r="M19500" s="277"/>
      <c r="O19500" s="247"/>
      <c r="AC19500" s="247"/>
      <c r="AT19500" s="247"/>
    </row>
    <row r="19501">
      <c r="C19501" s="277"/>
      <c r="M19501" s="277"/>
      <c r="O19501" s="247"/>
      <c r="AC19501" s="247"/>
      <c r="AT19501" s="247"/>
    </row>
    <row r="19502">
      <c r="C19502" s="277"/>
      <c r="M19502" s="277"/>
      <c r="O19502" s="247"/>
      <c r="AC19502" s="247"/>
      <c r="AT19502" s="247"/>
    </row>
    <row r="19503">
      <c r="C19503" s="277"/>
      <c r="M19503" s="277"/>
      <c r="O19503" s="247"/>
      <c r="AC19503" s="247"/>
      <c r="AT19503" s="247"/>
    </row>
    <row r="19504">
      <c r="C19504" s="277"/>
      <c r="M19504" s="277"/>
      <c r="O19504" s="247"/>
      <c r="AC19504" s="247"/>
      <c r="AT19504" s="247"/>
    </row>
    <row r="19505">
      <c r="C19505" s="277"/>
      <c r="M19505" s="277"/>
      <c r="O19505" s="247"/>
      <c r="AC19505" s="247"/>
      <c r="AT19505" s="247"/>
    </row>
    <row r="19506">
      <c r="C19506" s="277"/>
      <c r="M19506" s="277"/>
      <c r="O19506" s="247"/>
      <c r="AC19506" s="247"/>
      <c r="AT19506" s="247"/>
    </row>
    <row r="19507">
      <c r="C19507" s="277"/>
      <c r="M19507" s="277"/>
      <c r="O19507" s="247"/>
      <c r="AC19507" s="247"/>
      <c r="AT19507" s="247"/>
    </row>
    <row r="19508">
      <c r="C19508" s="277"/>
      <c r="M19508" s="277"/>
      <c r="O19508" s="247"/>
      <c r="AC19508" s="247"/>
      <c r="AT19508" s="247"/>
    </row>
    <row r="19509">
      <c r="C19509" s="277"/>
      <c r="M19509" s="277"/>
      <c r="O19509" s="247"/>
      <c r="AC19509" s="247"/>
      <c r="AT19509" s="247"/>
    </row>
    <row r="19510">
      <c r="C19510" s="277"/>
      <c r="M19510" s="277"/>
      <c r="O19510" s="247"/>
      <c r="AC19510" s="247"/>
      <c r="AT19510" s="247"/>
    </row>
    <row r="19511">
      <c r="C19511" s="277"/>
      <c r="M19511" s="277"/>
      <c r="O19511" s="247"/>
      <c r="AC19511" s="247"/>
      <c r="AT19511" s="247"/>
    </row>
    <row r="19512">
      <c r="C19512" s="277"/>
      <c r="M19512" s="277"/>
      <c r="O19512" s="247"/>
      <c r="AC19512" s="247"/>
      <c r="AT19512" s="247"/>
    </row>
    <row r="19513">
      <c r="C19513" s="277"/>
      <c r="M19513" s="277"/>
      <c r="O19513" s="247"/>
      <c r="AC19513" s="247"/>
      <c r="AT19513" s="247"/>
    </row>
    <row r="19514">
      <c r="C19514" s="277"/>
      <c r="M19514" s="277"/>
      <c r="O19514" s="247"/>
      <c r="AC19514" s="247"/>
      <c r="AT19514" s="247"/>
    </row>
    <row r="19515">
      <c r="C19515" s="277"/>
      <c r="M19515" s="277"/>
      <c r="O19515" s="247"/>
      <c r="AC19515" s="247"/>
      <c r="AT19515" s="247"/>
    </row>
    <row r="19516">
      <c r="C19516" s="277"/>
      <c r="M19516" s="277"/>
      <c r="O19516" s="247"/>
      <c r="AC19516" s="247"/>
      <c r="AT19516" s="247"/>
    </row>
    <row r="19517">
      <c r="C19517" s="277"/>
      <c r="M19517" s="277"/>
      <c r="O19517" s="247"/>
      <c r="AC19517" s="247"/>
      <c r="AT19517" s="247"/>
    </row>
    <row r="19518">
      <c r="C19518" s="277"/>
      <c r="M19518" s="277"/>
      <c r="O19518" s="247"/>
      <c r="AC19518" s="247"/>
      <c r="AT19518" s="247"/>
    </row>
    <row r="19519">
      <c r="C19519" s="277"/>
      <c r="M19519" s="277"/>
      <c r="O19519" s="247"/>
      <c r="AC19519" s="247"/>
      <c r="AT19519" s="247"/>
    </row>
    <row r="19520">
      <c r="C19520" s="277"/>
      <c r="M19520" s="277"/>
      <c r="O19520" s="247"/>
      <c r="AC19520" s="247"/>
      <c r="AT19520" s="247"/>
    </row>
    <row r="19521">
      <c r="C19521" s="277"/>
      <c r="M19521" s="277"/>
      <c r="O19521" s="247"/>
      <c r="AC19521" s="247"/>
      <c r="AT19521" s="247"/>
    </row>
    <row r="19522">
      <c r="C19522" s="277"/>
      <c r="M19522" s="277"/>
      <c r="O19522" s="247"/>
      <c r="AC19522" s="247"/>
      <c r="AT19522" s="247"/>
    </row>
    <row r="19523">
      <c r="C19523" s="277"/>
      <c r="M19523" s="277"/>
      <c r="O19523" s="247"/>
      <c r="AC19523" s="247"/>
      <c r="AT19523" s="247"/>
    </row>
    <row r="19524">
      <c r="C19524" s="277"/>
      <c r="M19524" s="277"/>
      <c r="O19524" s="247"/>
      <c r="AC19524" s="247"/>
      <c r="AT19524" s="247"/>
    </row>
    <row r="19525">
      <c r="C19525" s="277"/>
      <c r="M19525" s="277"/>
      <c r="O19525" s="247"/>
      <c r="AC19525" s="247"/>
      <c r="AT19525" s="247"/>
    </row>
    <row r="19526">
      <c r="C19526" s="277"/>
      <c r="M19526" s="277"/>
      <c r="O19526" s="247"/>
      <c r="AC19526" s="247"/>
      <c r="AT19526" s="247"/>
    </row>
    <row r="19527">
      <c r="C19527" s="277"/>
      <c r="M19527" s="277"/>
      <c r="O19527" s="247"/>
      <c r="AC19527" s="247"/>
      <c r="AT19527" s="247"/>
    </row>
    <row r="19528">
      <c r="C19528" s="277"/>
      <c r="M19528" s="277"/>
      <c r="O19528" s="247"/>
      <c r="AC19528" s="247"/>
      <c r="AT19528" s="247"/>
    </row>
    <row r="19529">
      <c r="C19529" s="277"/>
      <c r="M19529" s="277"/>
      <c r="O19529" s="247"/>
      <c r="AC19529" s="247"/>
      <c r="AT19529" s="247"/>
    </row>
    <row r="19530">
      <c r="C19530" s="277"/>
      <c r="M19530" s="277"/>
      <c r="O19530" s="247"/>
      <c r="AC19530" s="247"/>
      <c r="AT19530" s="247"/>
    </row>
    <row r="19531">
      <c r="C19531" s="277"/>
      <c r="M19531" s="277"/>
      <c r="O19531" s="247"/>
      <c r="AC19531" s="247"/>
      <c r="AT19531" s="247"/>
    </row>
    <row r="19532">
      <c r="C19532" s="277"/>
      <c r="M19532" s="277"/>
      <c r="O19532" s="247"/>
      <c r="AC19532" s="247"/>
      <c r="AT19532" s="247"/>
    </row>
    <row r="19533">
      <c r="C19533" s="277"/>
      <c r="M19533" s="277"/>
      <c r="O19533" s="247"/>
      <c r="AC19533" s="247"/>
      <c r="AT19533" s="247"/>
    </row>
    <row r="19534">
      <c r="C19534" s="277"/>
      <c r="M19534" s="277"/>
      <c r="O19534" s="247"/>
      <c r="AC19534" s="247"/>
      <c r="AT19534" s="247"/>
    </row>
    <row r="19535">
      <c r="C19535" s="277"/>
      <c r="M19535" s="277"/>
      <c r="O19535" s="247"/>
      <c r="AC19535" s="247"/>
      <c r="AT19535" s="247"/>
    </row>
    <row r="19536">
      <c r="C19536" s="277"/>
      <c r="M19536" s="277"/>
      <c r="O19536" s="247"/>
      <c r="AC19536" s="247"/>
      <c r="AT19536" s="247"/>
    </row>
    <row r="19537">
      <c r="C19537" s="277"/>
      <c r="M19537" s="277"/>
      <c r="O19537" s="247"/>
      <c r="AC19537" s="247"/>
      <c r="AT19537" s="247"/>
    </row>
    <row r="19538">
      <c r="C19538" s="277"/>
      <c r="M19538" s="277"/>
      <c r="O19538" s="247"/>
      <c r="AC19538" s="247"/>
      <c r="AT19538" s="247"/>
    </row>
    <row r="19539">
      <c r="C19539" s="277"/>
      <c r="M19539" s="277"/>
      <c r="O19539" s="247"/>
      <c r="AC19539" s="247"/>
      <c r="AT19539" s="247"/>
    </row>
    <row r="19540">
      <c r="C19540" s="277"/>
      <c r="M19540" s="277"/>
      <c r="O19540" s="247"/>
      <c r="AC19540" s="247"/>
      <c r="AT19540" s="247"/>
    </row>
    <row r="19541">
      <c r="C19541" s="277"/>
      <c r="M19541" s="277"/>
      <c r="O19541" s="247"/>
      <c r="AC19541" s="247"/>
      <c r="AT19541" s="247"/>
    </row>
    <row r="19542">
      <c r="C19542" s="277"/>
      <c r="M19542" s="277"/>
      <c r="O19542" s="247"/>
      <c r="AC19542" s="247"/>
      <c r="AT19542" s="247"/>
    </row>
    <row r="19543">
      <c r="C19543" s="277"/>
      <c r="M19543" s="277"/>
      <c r="O19543" s="247"/>
      <c r="AC19543" s="247"/>
      <c r="AT19543" s="247"/>
    </row>
    <row r="19544">
      <c r="C19544" s="277"/>
      <c r="M19544" s="277"/>
      <c r="O19544" s="247"/>
      <c r="AC19544" s="247"/>
      <c r="AT19544" s="247"/>
    </row>
    <row r="19545">
      <c r="C19545" s="277"/>
      <c r="M19545" s="277"/>
      <c r="O19545" s="247"/>
      <c r="AC19545" s="247"/>
      <c r="AT19545" s="247"/>
    </row>
    <row r="19546">
      <c r="C19546" s="277"/>
      <c r="M19546" s="277"/>
      <c r="O19546" s="247"/>
      <c r="AC19546" s="247"/>
      <c r="AT19546" s="247"/>
    </row>
    <row r="19547">
      <c r="C19547" s="277"/>
      <c r="M19547" s="277"/>
      <c r="O19547" s="247"/>
      <c r="AC19547" s="247"/>
      <c r="AT19547" s="247"/>
    </row>
    <row r="19548">
      <c r="C19548" s="277"/>
      <c r="M19548" s="277"/>
      <c r="O19548" s="247"/>
      <c r="AC19548" s="247"/>
      <c r="AT19548" s="247"/>
    </row>
    <row r="19549">
      <c r="C19549" s="277"/>
      <c r="M19549" s="277"/>
      <c r="O19549" s="247"/>
      <c r="AC19549" s="247"/>
      <c r="AT19549" s="247"/>
    </row>
    <row r="19550">
      <c r="C19550" s="277"/>
      <c r="M19550" s="277"/>
      <c r="O19550" s="247"/>
      <c r="AC19550" s="247"/>
      <c r="AT19550" s="247"/>
    </row>
    <row r="19551">
      <c r="C19551" s="277"/>
      <c r="M19551" s="277"/>
      <c r="O19551" s="247"/>
      <c r="AC19551" s="247"/>
      <c r="AT19551" s="247"/>
    </row>
    <row r="19552">
      <c r="C19552" s="277"/>
      <c r="M19552" s="277"/>
      <c r="O19552" s="247"/>
      <c r="AC19552" s="247"/>
      <c r="AT19552" s="247"/>
    </row>
    <row r="19553">
      <c r="C19553" s="277"/>
      <c r="M19553" s="277"/>
      <c r="O19553" s="247"/>
      <c r="AC19553" s="247"/>
      <c r="AT19553" s="247"/>
    </row>
    <row r="19554">
      <c r="C19554" s="277"/>
      <c r="M19554" s="277"/>
      <c r="O19554" s="247"/>
      <c r="AC19554" s="247"/>
      <c r="AT19554" s="247"/>
    </row>
    <row r="19555">
      <c r="C19555" s="277"/>
      <c r="M19555" s="277"/>
      <c r="O19555" s="247"/>
      <c r="AC19555" s="247"/>
      <c r="AT19555" s="247"/>
    </row>
    <row r="19556">
      <c r="C19556" s="277"/>
      <c r="M19556" s="277"/>
      <c r="O19556" s="247"/>
      <c r="AC19556" s="247"/>
      <c r="AT19556" s="247"/>
    </row>
    <row r="19557">
      <c r="C19557" s="277"/>
      <c r="M19557" s="277"/>
      <c r="O19557" s="247"/>
      <c r="AC19557" s="247"/>
      <c r="AT19557" s="247"/>
    </row>
    <row r="19558">
      <c r="C19558" s="277"/>
      <c r="M19558" s="277"/>
      <c r="O19558" s="247"/>
      <c r="AC19558" s="247"/>
      <c r="AT19558" s="247"/>
    </row>
    <row r="19559">
      <c r="C19559" s="277"/>
      <c r="M19559" s="277"/>
      <c r="O19559" s="247"/>
      <c r="AC19559" s="247"/>
      <c r="AT19559" s="247"/>
    </row>
    <row r="19560">
      <c r="C19560" s="277"/>
      <c r="M19560" s="277"/>
      <c r="O19560" s="247"/>
      <c r="AC19560" s="247"/>
      <c r="AT19560" s="247"/>
    </row>
    <row r="19561">
      <c r="C19561" s="277"/>
      <c r="M19561" s="277"/>
      <c r="O19561" s="247"/>
      <c r="AC19561" s="247"/>
      <c r="AT19561" s="247"/>
    </row>
    <row r="19562">
      <c r="C19562" s="277"/>
      <c r="M19562" s="277"/>
      <c r="O19562" s="247"/>
      <c r="AC19562" s="247"/>
      <c r="AT19562" s="247"/>
    </row>
    <row r="19563">
      <c r="C19563" s="277"/>
      <c r="M19563" s="277"/>
      <c r="O19563" s="247"/>
      <c r="AC19563" s="247"/>
      <c r="AT19563" s="247"/>
    </row>
    <row r="19564">
      <c r="C19564" s="277"/>
      <c r="M19564" s="277"/>
      <c r="O19564" s="247"/>
      <c r="AC19564" s="247"/>
      <c r="AT19564" s="247"/>
    </row>
    <row r="19565">
      <c r="C19565" s="277"/>
      <c r="M19565" s="277"/>
      <c r="O19565" s="247"/>
      <c r="AC19565" s="247"/>
      <c r="AT19565" s="247"/>
    </row>
    <row r="19566">
      <c r="C19566" s="277"/>
      <c r="M19566" s="277"/>
      <c r="O19566" s="247"/>
      <c r="AC19566" s="247"/>
      <c r="AT19566" s="247"/>
    </row>
    <row r="19567">
      <c r="C19567" s="277"/>
      <c r="M19567" s="277"/>
      <c r="O19567" s="247"/>
      <c r="AC19567" s="247"/>
      <c r="AT19567" s="247"/>
    </row>
    <row r="19568">
      <c r="C19568" s="277"/>
      <c r="M19568" s="277"/>
      <c r="O19568" s="247"/>
      <c r="AC19568" s="247"/>
      <c r="AT19568" s="247"/>
    </row>
    <row r="19569">
      <c r="C19569" s="277"/>
      <c r="M19569" s="277"/>
      <c r="O19569" s="247"/>
      <c r="AC19569" s="247"/>
      <c r="AT19569" s="247"/>
    </row>
    <row r="19570">
      <c r="C19570" s="277"/>
      <c r="M19570" s="277"/>
      <c r="O19570" s="247"/>
      <c r="AC19570" s="247"/>
      <c r="AT19570" s="247"/>
    </row>
    <row r="19571">
      <c r="C19571" s="277"/>
      <c r="M19571" s="277"/>
      <c r="O19571" s="247"/>
      <c r="AC19571" s="247"/>
      <c r="AT19571" s="247"/>
    </row>
    <row r="19572">
      <c r="C19572" s="277"/>
      <c r="M19572" s="277"/>
      <c r="O19572" s="247"/>
      <c r="AC19572" s="247"/>
      <c r="AT19572" s="247"/>
    </row>
    <row r="19573">
      <c r="C19573" s="277"/>
      <c r="M19573" s="277"/>
      <c r="O19573" s="247"/>
      <c r="AC19573" s="247"/>
      <c r="AT19573" s="247"/>
    </row>
    <row r="19574">
      <c r="C19574" s="277"/>
      <c r="M19574" s="277"/>
      <c r="O19574" s="247"/>
      <c r="AC19574" s="247"/>
      <c r="AT19574" s="247"/>
    </row>
    <row r="19575">
      <c r="C19575" s="277"/>
      <c r="M19575" s="277"/>
      <c r="O19575" s="247"/>
      <c r="AC19575" s="247"/>
      <c r="AT19575" s="247"/>
    </row>
    <row r="19576">
      <c r="C19576" s="277"/>
      <c r="M19576" s="277"/>
      <c r="O19576" s="247"/>
      <c r="AC19576" s="247"/>
      <c r="AT19576" s="247"/>
    </row>
    <row r="19577">
      <c r="C19577" s="277"/>
      <c r="M19577" s="277"/>
      <c r="O19577" s="247"/>
      <c r="AC19577" s="247"/>
      <c r="AT19577" s="247"/>
    </row>
    <row r="19578">
      <c r="C19578" s="277"/>
      <c r="M19578" s="277"/>
      <c r="O19578" s="247"/>
      <c r="AC19578" s="247"/>
      <c r="AT19578" s="247"/>
    </row>
    <row r="19579">
      <c r="C19579" s="277"/>
      <c r="M19579" s="277"/>
      <c r="O19579" s="247"/>
      <c r="AC19579" s="247"/>
      <c r="AT19579" s="247"/>
    </row>
    <row r="19580">
      <c r="C19580" s="277"/>
      <c r="M19580" s="277"/>
      <c r="O19580" s="247"/>
      <c r="AC19580" s="247"/>
      <c r="AT19580" s="247"/>
    </row>
    <row r="19581">
      <c r="C19581" s="277"/>
      <c r="M19581" s="277"/>
      <c r="O19581" s="247"/>
      <c r="AC19581" s="247"/>
      <c r="AT19581" s="247"/>
    </row>
    <row r="19582">
      <c r="C19582" s="277"/>
      <c r="M19582" s="277"/>
      <c r="O19582" s="247"/>
      <c r="AC19582" s="247"/>
      <c r="AT19582" s="247"/>
    </row>
    <row r="19583">
      <c r="C19583" s="277"/>
      <c r="M19583" s="277"/>
      <c r="O19583" s="247"/>
      <c r="AC19583" s="247"/>
      <c r="AT19583" s="247"/>
    </row>
    <row r="19584">
      <c r="C19584" s="277"/>
      <c r="M19584" s="277"/>
      <c r="O19584" s="247"/>
      <c r="AC19584" s="247"/>
      <c r="AT19584" s="247"/>
    </row>
    <row r="19585">
      <c r="C19585" s="277"/>
      <c r="M19585" s="277"/>
      <c r="O19585" s="247"/>
      <c r="AC19585" s="247"/>
      <c r="AT19585" s="247"/>
    </row>
    <row r="19586">
      <c r="C19586" s="277"/>
      <c r="M19586" s="277"/>
      <c r="O19586" s="247"/>
      <c r="AC19586" s="247"/>
      <c r="AT19586" s="247"/>
    </row>
    <row r="19587">
      <c r="C19587" s="277"/>
      <c r="M19587" s="277"/>
      <c r="O19587" s="247"/>
      <c r="AC19587" s="247"/>
      <c r="AT19587" s="247"/>
    </row>
    <row r="19588">
      <c r="C19588" s="277"/>
      <c r="M19588" s="277"/>
      <c r="O19588" s="247"/>
      <c r="AC19588" s="247"/>
      <c r="AT19588" s="247"/>
    </row>
    <row r="19589">
      <c r="C19589" s="277"/>
      <c r="M19589" s="277"/>
      <c r="O19589" s="247"/>
      <c r="AC19589" s="247"/>
      <c r="AT19589" s="247"/>
    </row>
    <row r="19590">
      <c r="C19590" s="277"/>
      <c r="M19590" s="277"/>
      <c r="O19590" s="247"/>
      <c r="AC19590" s="247"/>
      <c r="AT19590" s="247"/>
    </row>
    <row r="19591">
      <c r="C19591" s="277"/>
      <c r="M19591" s="277"/>
      <c r="O19591" s="247"/>
      <c r="AC19591" s="247"/>
      <c r="AT19591" s="247"/>
    </row>
    <row r="19592">
      <c r="C19592" s="277"/>
      <c r="M19592" s="277"/>
      <c r="O19592" s="247"/>
      <c r="AC19592" s="247"/>
      <c r="AT19592" s="247"/>
    </row>
    <row r="19593">
      <c r="C19593" s="277"/>
      <c r="M19593" s="277"/>
      <c r="O19593" s="247"/>
      <c r="AC19593" s="247"/>
      <c r="AT19593" s="247"/>
    </row>
    <row r="19594">
      <c r="C19594" s="277"/>
      <c r="M19594" s="277"/>
      <c r="O19594" s="247"/>
      <c r="AC19594" s="247"/>
      <c r="AT19594" s="247"/>
    </row>
    <row r="19595">
      <c r="C19595" s="277"/>
      <c r="M19595" s="277"/>
      <c r="O19595" s="247"/>
      <c r="AC19595" s="247"/>
      <c r="AT19595" s="247"/>
    </row>
    <row r="19596">
      <c r="C19596" s="277"/>
      <c r="M19596" s="277"/>
      <c r="O19596" s="247"/>
      <c r="AC19596" s="247"/>
      <c r="AT19596" s="247"/>
    </row>
    <row r="19597">
      <c r="C19597" s="277"/>
      <c r="M19597" s="277"/>
      <c r="O19597" s="247"/>
      <c r="AC19597" s="247"/>
      <c r="AT19597" s="247"/>
    </row>
    <row r="19598">
      <c r="C19598" s="277"/>
      <c r="M19598" s="277"/>
      <c r="O19598" s="247"/>
      <c r="AC19598" s="247"/>
      <c r="AT19598" s="247"/>
    </row>
    <row r="19599">
      <c r="C19599" s="277"/>
      <c r="M19599" s="277"/>
      <c r="O19599" s="247"/>
      <c r="AC19599" s="247"/>
      <c r="AT19599" s="247"/>
    </row>
    <row r="19600">
      <c r="C19600" s="277"/>
      <c r="M19600" s="277"/>
      <c r="O19600" s="247"/>
      <c r="AC19600" s="247"/>
      <c r="AT19600" s="247"/>
    </row>
    <row r="19601">
      <c r="C19601" s="277"/>
      <c r="M19601" s="277"/>
      <c r="O19601" s="247"/>
      <c r="AC19601" s="247"/>
      <c r="AT19601" s="247"/>
    </row>
    <row r="19602">
      <c r="C19602" s="277"/>
      <c r="M19602" s="277"/>
      <c r="O19602" s="247"/>
      <c r="AC19602" s="247"/>
      <c r="AT19602" s="247"/>
    </row>
    <row r="19603">
      <c r="C19603" s="277"/>
      <c r="M19603" s="277"/>
      <c r="O19603" s="247"/>
      <c r="AC19603" s="247"/>
      <c r="AT19603" s="247"/>
    </row>
    <row r="19604">
      <c r="C19604" s="277"/>
      <c r="M19604" s="277"/>
      <c r="O19604" s="247"/>
      <c r="AC19604" s="247"/>
      <c r="AT19604" s="247"/>
    </row>
    <row r="19605">
      <c r="C19605" s="277"/>
      <c r="M19605" s="277"/>
      <c r="O19605" s="247"/>
      <c r="AC19605" s="247"/>
      <c r="AT19605" s="247"/>
    </row>
    <row r="19606">
      <c r="C19606" s="277"/>
      <c r="M19606" s="277"/>
      <c r="O19606" s="247"/>
      <c r="AC19606" s="247"/>
      <c r="AT19606" s="247"/>
    </row>
    <row r="19607">
      <c r="C19607" s="277"/>
      <c r="M19607" s="277"/>
      <c r="O19607" s="247"/>
      <c r="AC19607" s="247"/>
      <c r="AT19607" s="247"/>
    </row>
    <row r="19608">
      <c r="C19608" s="277"/>
      <c r="M19608" s="277"/>
      <c r="O19608" s="247"/>
      <c r="AC19608" s="247"/>
      <c r="AT19608" s="247"/>
    </row>
    <row r="19609">
      <c r="C19609" s="277"/>
      <c r="M19609" s="277"/>
      <c r="O19609" s="247"/>
      <c r="AC19609" s="247"/>
      <c r="AT19609" s="247"/>
    </row>
    <row r="19610">
      <c r="C19610" s="277"/>
      <c r="M19610" s="277"/>
      <c r="O19610" s="247"/>
      <c r="AC19610" s="247"/>
      <c r="AT19610" s="247"/>
    </row>
    <row r="19611">
      <c r="C19611" s="277"/>
      <c r="M19611" s="277"/>
      <c r="O19611" s="247"/>
      <c r="AC19611" s="247"/>
      <c r="AT19611" s="247"/>
    </row>
    <row r="19612">
      <c r="C19612" s="277"/>
      <c r="M19612" s="277"/>
      <c r="O19612" s="247"/>
      <c r="AC19612" s="247"/>
      <c r="AT19612" s="247"/>
    </row>
    <row r="19613">
      <c r="C19613" s="277"/>
      <c r="M19613" s="277"/>
      <c r="O19613" s="247"/>
      <c r="AC19613" s="247"/>
      <c r="AT19613" s="247"/>
    </row>
    <row r="19614">
      <c r="C19614" s="277"/>
      <c r="M19614" s="277"/>
      <c r="O19614" s="247"/>
      <c r="AC19614" s="247"/>
      <c r="AT19614" s="247"/>
    </row>
    <row r="19615">
      <c r="C19615" s="277"/>
      <c r="M19615" s="277"/>
      <c r="O19615" s="247"/>
      <c r="AC19615" s="247"/>
      <c r="AT19615" s="247"/>
    </row>
    <row r="19616">
      <c r="C19616" s="277"/>
      <c r="M19616" s="277"/>
      <c r="O19616" s="247"/>
      <c r="AC19616" s="247"/>
      <c r="AT19616" s="247"/>
    </row>
    <row r="19617">
      <c r="C19617" s="277"/>
      <c r="M19617" s="277"/>
      <c r="O19617" s="247"/>
      <c r="AC19617" s="247"/>
      <c r="AT19617" s="247"/>
    </row>
    <row r="19618">
      <c r="C19618" s="277"/>
      <c r="M19618" s="277"/>
      <c r="O19618" s="247"/>
      <c r="AC19618" s="247"/>
      <c r="AT19618" s="247"/>
    </row>
    <row r="19619">
      <c r="C19619" s="277"/>
      <c r="M19619" s="277"/>
      <c r="O19619" s="247"/>
      <c r="AC19619" s="247"/>
      <c r="AT19619" s="247"/>
    </row>
    <row r="19620">
      <c r="C19620" s="277"/>
      <c r="M19620" s="277"/>
      <c r="O19620" s="247"/>
      <c r="AC19620" s="247"/>
      <c r="AT19620" s="247"/>
    </row>
    <row r="19621">
      <c r="C19621" s="277"/>
      <c r="M19621" s="277"/>
      <c r="O19621" s="247"/>
      <c r="AC19621" s="247"/>
      <c r="AT19621" s="247"/>
    </row>
    <row r="19622">
      <c r="C19622" s="277"/>
      <c r="M19622" s="277"/>
      <c r="O19622" s="247"/>
      <c r="AC19622" s="247"/>
      <c r="AT19622" s="247"/>
    </row>
    <row r="19623">
      <c r="C19623" s="277"/>
      <c r="M19623" s="277"/>
      <c r="O19623" s="247"/>
      <c r="AC19623" s="247"/>
      <c r="AT19623" s="247"/>
    </row>
    <row r="19624">
      <c r="C19624" s="277"/>
      <c r="M19624" s="277"/>
      <c r="O19624" s="247"/>
      <c r="AC19624" s="247"/>
      <c r="AT19624" s="247"/>
    </row>
    <row r="19625">
      <c r="C19625" s="277"/>
      <c r="M19625" s="277"/>
      <c r="O19625" s="247"/>
      <c r="AC19625" s="247"/>
      <c r="AT19625" s="247"/>
    </row>
    <row r="19626">
      <c r="C19626" s="277"/>
      <c r="M19626" s="277"/>
      <c r="O19626" s="247"/>
      <c r="AC19626" s="247"/>
      <c r="AT19626" s="247"/>
    </row>
    <row r="19627">
      <c r="C19627" s="277"/>
      <c r="M19627" s="277"/>
      <c r="O19627" s="247"/>
      <c r="AC19627" s="247"/>
      <c r="AT19627" s="247"/>
    </row>
    <row r="19628">
      <c r="C19628" s="277"/>
      <c r="M19628" s="277"/>
      <c r="O19628" s="247"/>
      <c r="AC19628" s="247"/>
      <c r="AT19628" s="247"/>
    </row>
    <row r="19629">
      <c r="C19629" s="277"/>
      <c r="M19629" s="277"/>
      <c r="O19629" s="247"/>
      <c r="AC19629" s="247"/>
      <c r="AT19629" s="247"/>
    </row>
    <row r="19630">
      <c r="C19630" s="277"/>
      <c r="M19630" s="277"/>
      <c r="O19630" s="247"/>
      <c r="AC19630" s="247"/>
      <c r="AT19630" s="247"/>
    </row>
    <row r="19631">
      <c r="C19631" s="277"/>
      <c r="M19631" s="277"/>
      <c r="O19631" s="247"/>
      <c r="AC19631" s="247"/>
      <c r="AT19631" s="247"/>
    </row>
    <row r="19632">
      <c r="C19632" s="277"/>
      <c r="M19632" s="277"/>
      <c r="O19632" s="247"/>
      <c r="AC19632" s="247"/>
      <c r="AT19632" s="247"/>
    </row>
    <row r="19633">
      <c r="C19633" s="277"/>
      <c r="M19633" s="277"/>
      <c r="O19633" s="247"/>
      <c r="AC19633" s="247"/>
      <c r="AT19633" s="247"/>
    </row>
    <row r="19634">
      <c r="C19634" s="277"/>
      <c r="M19634" s="277"/>
      <c r="O19634" s="247"/>
      <c r="AC19634" s="247"/>
      <c r="AT19634" s="247"/>
    </row>
    <row r="19635">
      <c r="C19635" s="277"/>
      <c r="M19635" s="277"/>
      <c r="O19635" s="247"/>
      <c r="AC19635" s="247"/>
      <c r="AT19635" s="247"/>
    </row>
    <row r="19636">
      <c r="C19636" s="277"/>
      <c r="M19636" s="277"/>
      <c r="O19636" s="247"/>
      <c r="AC19636" s="247"/>
      <c r="AT19636" s="247"/>
    </row>
    <row r="19637">
      <c r="C19637" s="277"/>
      <c r="M19637" s="277"/>
      <c r="O19637" s="247"/>
      <c r="AC19637" s="247"/>
      <c r="AT19637" s="247"/>
    </row>
    <row r="19638">
      <c r="C19638" s="277"/>
      <c r="M19638" s="277"/>
      <c r="O19638" s="247"/>
      <c r="AC19638" s="247"/>
      <c r="AT19638" s="247"/>
    </row>
    <row r="19639">
      <c r="C19639" s="277"/>
      <c r="M19639" s="277"/>
      <c r="O19639" s="247"/>
      <c r="AC19639" s="247"/>
      <c r="AT19639" s="247"/>
    </row>
    <row r="19640">
      <c r="C19640" s="277"/>
      <c r="M19640" s="277"/>
      <c r="O19640" s="247"/>
      <c r="AC19640" s="247"/>
      <c r="AT19640" s="247"/>
    </row>
    <row r="19641">
      <c r="C19641" s="277"/>
      <c r="M19641" s="277"/>
      <c r="O19641" s="247"/>
      <c r="AC19641" s="247"/>
      <c r="AT19641" s="247"/>
    </row>
    <row r="19642">
      <c r="C19642" s="277"/>
      <c r="M19642" s="277"/>
      <c r="O19642" s="247"/>
      <c r="AC19642" s="247"/>
      <c r="AT19642" s="247"/>
    </row>
    <row r="19643">
      <c r="C19643" s="277"/>
      <c r="M19643" s="277"/>
      <c r="O19643" s="247"/>
      <c r="AC19643" s="247"/>
      <c r="AT19643" s="247"/>
    </row>
    <row r="19644">
      <c r="C19644" s="277"/>
      <c r="M19644" s="277"/>
      <c r="O19644" s="247"/>
      <c r="AC19644" s="247"/>
      <c r="AT19644" s="247"/>
    </row>
    <row r="19645">
      <c r="C19645" s="277"/>
      <c r="M19645" s="277"/>
      <c r="O19645" s="247"/>
      <c r="AC19645" s="247"/>
      <c r="AT19645" s="247"/>
    </row>
    <row r="19646">
      <c r="C19646" s="277"/>
      <c r="M19646" s="277"/>
      <c r="O19646" s="247"/>
      <c r="AC19646" s="247"/>
      <c r="AT19646" s="247"/>
    </row>
    <row r="19647">
      <c r="C19647" s="277"/>
      <c r="M19647" s="277"/>
      <c r="O19647" s="247"/>
      <c r="AC19647" s="247"/>
      <c r="AT19647" s="247"/>
    </row>
    <row r="19648">
      <c r="C19648" s="277"/>
      <c r="M19648" s="277"/>
      <c r="O19648" s="247"/>
      <c r="AC19648" s="247"/>
      <c r="AT19648" s="247"/>
    </row>
    <row r="19649">
      <c r="C19649" s="277"/>
      <c r="M19649" s="277"/>
      <c r="O19649" s="247"/>
      <c r="AC19649" s="247"/>
      <c r="AT19649" s="247"/>
    </row>
    <row r="19650">
      <c r="C19650" s="277"/>
      <c r="M19650" s="277"/>
      <c r="O19650" s="247"/>
      <c r="AC19650" s="247"/>
      <c r="AT19650" s="247"/>
    </row>
    <row r="19651">
      <c r="C19651" s="277"/>
      <c r="M19651" s="277"/>
      <c r="O19651" s="247"/>
      <c r="AC19651" s="247"/>
      <c r="AT19651" s="247"/>
    </row>
    <row r="19652">
      <c r="C19652" s="277"/>
      <c r="M19652" s="277"/>
      <c r="O19652" s="247"/>
      <c r="AC19652" s="247"/>
      <c r="AT19652" s="247"/>
    </row>
    <row r="19653">
      <c r="C19653" s="277"/>
      <c r="M19653" s="277"/>
      <c r="O19653" s="247"/>
      <c r="AC19653" s="247"/>
      <c r="AT19653" s="247"/>
    </row>
    <row r="19654">
      <c r="C19654" s="277"/>
      <c r="M19654" s="277"/>
      <c r="O19654" s="247"/>
      <c r="AC19654" s="247"/>
      <c r="AT19654" s="247"/>
    </row>
    <row r="19655">
      <c r="C19655" s="277"/>
      <c r="M19655" s="277"/>
      <c r="O19655" s="247"/>
      <c r="AC19655" s="247"/>
      <c r="AT19655" s="247"/>
    </row>
    <row r="19656">
      <c r="C19656" s="277"/>
      <c r="M19656" s="277"/>
      <c r="O19656" s="247"/>
      <c r="AC19656" s="247"/>
      <c r="AT19656" s="247"/>
    </row>
    <row r="19657">
      <c r="C19657" s="277"/>
      <c r="M19657" s="277"/>
      <c r="O19657" s="247"/>
      <c r="AC19657" s="247"/>
      <c r="AT19657" s="247"/>
    </row>
    <row r="19658">
      <c r="C19658" s="277"/>
      <c r="M19658" s="277"/>
      <c r="O19658" s="247"/>
      <c r="AC19658" s="247"/>
      <c r="AT19658" s="247"/>
    </row>
    <row r="19659">
      <c r="C19659" s="277"/>
      <c r="M19659" s="277"/>
      <c r="O19659" s="247"/>
      <c r="AC19659" s="247"/>
      <c r="AT19659" s="247"/>
    </row>
    <row r="19660">
      <c r="C19660" s="277"/>
      <c r="M19660" s="277"/>
      <c r="O19660" s="247"/>
      <c r="AC19660" s="247"/>
      <c r="AT19660" s="247"/>
    </row>
    <row r="19661">
      <c r="C19661" s="277"/>
      <c r="M19661" s="277"/>
      <c r="O19661" s="247"/>
      <c r="AC19661" s="247"/>
      <c r="AT19661" s="247"/>
    </row>
    <row r="19662">
      <c r="C19662" s="277"/>
      <c r="M19662" s="277"/>
      <c r="O19662" s="247"/>
      <c r="AC19662" s="247"/>
      <c r="AT19662" s="247"/>
    </row>
    <row r="19663">
      <c r="C19663" s="277"/>
      <c r="M19663" s="277"/>
      <c r="O19663" s="247"/>
      <c r="AC19663" s="247"/>
      <c r="AT19663" s="247"/>
    </row>
    <row r="19664">
      <c r="C19664" s="277"/>
      <c r="M19664" s="277"/>
      <c r="O19664" s="247"/>
      <c r="AC19664" s="247"/>
      <c r="AT19664" s="247"/>
    </row>
    <row r="19665">
      <c r="C19665" s="277"/>
      <c r="M19665" s="277"/>
      <c r="O19665" s="247"/>
      <c r="AC19665" s="247"/>
      <c r="AT19665" s="247"/>
    </row>
    <row r="19666">
      <c r="C19666" s="277"/>
      <c r="M19666" s="277"/>
      <c r="O19666" s="247"/>
      <c r="AC19666" s="247"/>
      <c r="AT19666" s="247"/>
    </row>
    <row r="19667">
      <c r="C19667" s="277"/>
      <c r="M19667" s="277"/>
      <c r="O19667" s="247"/>
      <c r="AC19667" s="247"/>
      <c r="AT19667" s="247"/>
    </row>
    <row r="19668">
      <c r="C19668" s="277"/>
      <c r="M19668" s="277"/>
      <c r="O19668" s="247"/>
      <c r="AC19668" s="247"/>
      <c r="AT19668" s="247"/>
    </row>
    <row r="19669">
      <c r="C19669" s="277"/>
      <c r="M19669" s="277"/>
      <c r="O19669" s="247"/>
      <c r="AC19669" s="247"/>
      <c r="AT19669" s="247"/>
    </row>
    <row r="19670">
      <c r="C19670" s="277"/>
      <c r="M19670" s="277"/>
      <c r="O19670" s="247"/>
      <c r="AC19670" s="247"/>
      <c r="AT19670" s="247"/>
    </row>
    <row r="19671">
      <c r="C19671" s="277"/>
      <c r="M19671" s="277"/>
      <c r="O19671" s="247"/>
      <c r="AC19671" s="247"/>
      <c r="AT19671" s="247"/>
    </row>
    <row r="19672">
      <c r="C19672" s="277"/>
      <c r="M19672" s="277"/>
      <c r="O19672" s="247"/>
      <c r="AC19672" s="247"/>
      <c r="AT19672" s="247"/>
    </row>
    <row r="19673">
      <c r="C19673" s="277"/>
      <c r="M19673" s="277"/>
      <c r="O19673" s="247"/>
      <c r="AC19673" s="247"/>
      <c r="AT19673" s="247"/>
    </row>
    <row r="19674">
      <c r="C19674" s="277"/>
      <c r="M19674" s="277"/>
      <c r="O19674" s="247"/>
      <c r="AC19674" s="247"/>
      <c r="AT19674" s="247"/>
    </row>
    <row r="19675">
      <c r="C19675" s="277"/>
      <c r="M19675" s="277"/>
      <c r="O19675" s="247"/>
      <c r="AC19675" s="247"/>
      <c r="AT19675" s="247"/>
    </row>
    <row r="19676">
      <c r="C19676" s="277"/>
      <c r="M19676" s="277"/>
      <c r="O19676" s="247"/>
      <c r="AC19676" s="247"/>
      <c r="AT19676" s="247"/>
    </row>
    <row r="19677">
      <c r="C19677" s="277"/>
      <c r="M19677" s="277"/>
      <c r="O19677" s="247"/>
      <c r="AC19677" s="247"/>
      <c r="AT19677" s="247"/>
    </row>
    <row r="19678">
      <c r="C19678" s="277"/>
      <c r="M19678" s="277"/>
      <c r="O19678" s="247"/>
      <c r="AC19678" s="247"/>
      <c r="AT19678" s="247"/>
    </row>
    <row r="19679">
      <c r="C19679" s="277"/>
      <c r="M19679" s="277"/>
      <c r="O19679" s="247"/>
      <c r="AC19679" s="247"/>
      <c r="AT19679" s="247"/>
    </row>
    <row r="19680">
      <c r="C19680" s="277"/>
      <c r="M19680" s="277"/>
      <c r="O19680" s="247"/>
      <c r="AC19680" s="247"/>
      <c r="AT19680" s="247"/>
    </row>
    <row r="19681">
      <c r="C19681" s="277"/>
      <c r="M19681" s="277"/>
      <c r="O19681" s="247"/>
      <c r="AC19681" s="247"/>
      <c r="AT19681" s="247"/>
    </row>
    <row r="19682">
      <c r="C19682" s="277"/>
      <c r="M19682" s="277"/>
      <c r="O19682" s="247"/>
      <c r="AC19682" s="247"/>
      <c r="AT19682" s="247"/>
    </row>
    <row r="19683">
      <c r="C19683" s="277"/>
      <c r="M19683" s="277"/>
      <c r="O19683" s="247"/>
      <c r="AC19683" s="247"/>
      <c r="AT19683" s="247"/>
    </row>
    <row r="19684">
      <c r="C19684" s="277"/>
      <c r="M19684" s="277"/>
      <c r="O19684" s="247"/>
      <c r="AC19684" s="247"/>
      <c r="AT19684" s="247"/>
    </row>
    <row r="19685">
      <c r="C19685" s="277"/>
      <c r="M19685" s="277"/>
      <c r="O19685" s="247"/>
      <c r="AC19685" s="247"/>
      <c r="AT19685" s="247"/>
    </row>
    <row r="19686">
      <c r="C19686" s="277"/>
      <c r="M19686" s="277"/>
      <c r="O19686" s="247"/>
      <c r="AC19686" s="247"/>
      <c r="AT19686" s="247"/>
    </row>
    <row r="19687">
      <c r="C19687" s="277"/>
      <c r="M19687" s="277"/>
      <c r="O19687" s="247"/>
      <c r="AC19687" s="247"/>
      <c r="AT19687" s="247"/>
    </row>
    <row r="19688">
      <c r="C19688" s="277"/>
      <c r="M19688" s="277"/>
      <c r="O19688" s="247"/>
      <c r="AC19688" s="247"/>
      <c r="AT19688" s="247"/>
    </row>
    <row r="19689">
      <c r="C19689" s="277"/>
      <c r="M19689" s="277"/>
      <c r="O19689" s="247"/>
      <c r="AC19689" s="247"/>
      <c r="AT19689" s="247"/>
    </row>
    <row r="19690">
      <c r="C19690" s="277"/>
      <c r="M19690" s="277"/>
      <c r="O19690" s="247"/>
      <c r="AC19690" s="247"/>
      <c r="AT19690" s="247"/>
    </row>
    <row r="19691">
      <c r="C19691" s="277"/>
      <c r="M19691" s="277"/>
      <c r="O19691" s="247"/>
      <c r="AC19691" s="247"/>
      <c r="AT19691" s="247"/>
    </row>
    <row r="19692">
      <c r="C19692" s="277"/>
      <c r="M19692" s="277"/>
      <c r="O19692" s="247"/>
      <c r="AC19692" s="247"/>
      <c r="AT19692" s="247"/>
    </row>
    <row r="19693">
      <c r="C19693" s="277"/>
      <c r="M19693" s="277"/>
      <c r="O19693" s="247"/>
      <c r="AC19693" s="247"/>
      <c r="AT19693" s="247"/>
    </row>
    <row r="19694">
      <c r="C19694" s="277"/>
      <c r="M19694" s="277"/>
      <c r="O19694" s="247"/>
      <c r="AC19694" s="247"/>
      <c r="AT19694" s="247"/>
    </row>
    <row r="19695">
      <c r="C19695" s="277"/>
      <c r="M19695" s="277"/>
      <c r="O19695" s="247"/>
      <c r="AC19695" s="247"/>
      <c r="AT19695" s="247"/>
    </row>
    <row r="19696">
      <c r="C19696" s="277"/>
      <c r="M19696" s="277"/>
      <c r="O19696" s="247"/>
      <c r="AC19696" s="247"/>
      <c r="AT19696" s="247"/>
    </row>
    <row r="19697">
      <c r="C19697" s="277"/>
      <c r="M19697" s="277"/>
      <c r="O19697" s="247"/>
      <c r="AC19697" s="247"/>
      <c r="AT19697" s="247"/>
    </row>
    <row r="19698">
      <c r="C19698" s="277"/>
      <c r="M19698" s="277"/>
      <c r="O19698" s="247"/>
      <c r="AC19698" s="247"/>
      <c r="AT19698" s="247"/>
    </row>
    <row r="19699">
      <c r="C19699" s="277"/>
      <c r="M19699" s="277"/>
      <c r="O19699" s="247"/>
      <c r="AC19699" s="247"/>
      <c r="AT19699" s="247"/>
    </row>
    <row r="19700">
      <c r="C19700" s="277"/>
      <c r="M19700" s="277"/>
      <c r="O19700" s="247"/>
      <c r="AC19700" s="247"/>
      <c r="AT19700" s="247"/>
    </row>
    <row r="19701">
      <c r="C19701" s="277"/>
      <c r="M19701" s="277"/>
      <c r="O19701" s="247"/>
      <c r="AC19701" s="247"/>
      <c r="AT19701" s="247"/>
    </row>
    <row r="19702">
      <c r="C19702" s="277"/>
      <c r="M19702" s="277"/>
      <c r="O19702" s="247"/>
      <c r="AC19702" s="247"/>
      <c r="AT19702" s="247"/>
    </row>
    <row r="19703">
      <c r="C19703" s="277"/>
      <c r="M19703" s="277"/>
      <c r="O19703" s="247"/>
      <c r="AC19703" s="247"/>
      <c r="AT19703" s="247"/>
    </row>
    <row r="19704">
      <c r="C19704" s="277"/>
      <c r="M19704" s="277"/>
      <c r="O19704" s="247"/>
      <c r="AC19704" s="247"/>
      <c r="AT19704" s="247"/>
    </row>
    <row r="19705">
      <c r="C19705" s="277"/>
      <c r="M19705" s="277"/>
      <c r="O19705" s="247"/>
      <c r="AC19705" s="247"/>
      <c r="AT19705" s="247"/>
    </row>
    <row r="19706">
      <c r="C19706" s="277"/>
      <c r="M19706" s="277"/>
      <c r="O19706" s="247"/>
      <c r="AC19706" s="247"/>
      <c r="AT19706" s="247"/>
    </row>
    <row r="19707">
      <c r="C19707" s="277"/>
      <c r="M19707" s="277"/>
      <c r="O19707" s="247"/>
      <c r="AC19707" s="247"/>
      <c r="AT19707" s="247"/>
    </row>
    <row r="19708">
      <c r="C19708" s="277"/>
      <c r="M19708" s="277"/>
      <c r="O19708" s="247"/>
      <c r="AC19708" s="247"/>
      <c r="AT19708" s="247"/>
    </row>
    <row r="19709">
      <c r="C19709" s="277"/>
      <c r="M19709" s="277"/>
      <c r="O19709" s="247"/>
      <c r="AC19709" s="247"/>
      <c r="AT19709" s="247"/>
    </row>
    <row r="19710">
      <c r="C19710" s="277"/>
      <c r="M19710" s="277"/>
      <c r="O19710" s="247"/>
      <c r="AC19710" s="247"/>
      <c r="AT19710" s="247"/>
    </row>
    <row r="19711">
      <c r="C19711" s="277"/>
      <c r="M19711" s="277"/>
      <c r="O19711" s="247"/>
      <c r="AC19711" s="247"/>
      <c r="AT19711" s="247"/>
    </row>
    <row r="19712">
      <c r="C19712" s="277"/>
      <c r="M19712" s="277"/>
      <c r="O19712" s="247"/>
      <c r="AC19712" s="247"/>
      <c r="AT19712" s="247"/>
    </row>
    <row r="19713">
      <c r="C19713" s="277"/>
      <c r="M19713" s="277"/>
      <c r="O19713" s="247"/>
      <c r="AC19713" s="247"/>
      <c r="AT19713" s="247"/>
    </row>
    <row r="19714">
      <c r="C19714" s="277"/>
      <c r="M19714" s="277"/>
      <c r="O19714" s="247"/>
      <c r="AC19714" s="247"/>
      <c r="AT19714" s="247"/>
    </row>
    <row r="19715">
      <c r="C19715" s="277"/>
      <c r="M19715" s="277"/>
      <c r="O19715" s="247"/>
      <c r="AC19715" s="247"/>
      <c r="AT19715" s="247"/>
    </row>
    <row r="19716">
      <c r="C19716" s="277"/>
      <c r="M19716" s="277"/>
      <c r="O19716" s="247"/>
      <c r="AC19716" s="247"/>
      <c r="AT19716" s="247"/>
    </row>
    <row r="19717">
      <c r="C19717" s="277"/>
      <c r="M19717" s="277"/>
      <c r="O19717" s="247"/>
      <c r="AC19717" s="247"/>
      <c r="AT19717" s="247"/>
    </row>
    <row r="19718">
      <c r="C19718" s="277"/>
      <c r="M19718" s="277"/>
      <c r="O19718" s="247"/>
      <c r="AC19718" s="247"/>
      <c r="AT19718" s="247"/>
    </row>
    <row r="19719">
      <c r="C19719" s="277"/>
      <c r="M19719" s="277"/>
      <c r="O19719" s="247"/>
      <c r="AC19719" s="247"/>
      <c r="AT19719" s="247"/>
    </row>
    <row r="19720">
      <c r="C19720" s="277"/>
      <c r="M19720" s="277"/>
      <c r="O19720" s="247"/>
      <c r="AC19720" s="247"/>
      <c r="AT19720" s="247"/>
    </row>
    <row r="19721">
      <c r="C19721" s="277"/>
      <c r="M19721" s="277"/>
      <c r="O19721" s="247"/>
      <c r="AC19721" s="247"/>
      <c r="AT19721" s="247"/>
    </row>
    <row r="19722">
      <c r="C19722" s="277"/>
      <c r="M19722" s="277"/>
      <c r="O19722" s="247"/>
      <c r="AC19722" s="247"/>
      <c r="AT19722" s="247"/>
    </row>
    <row r="19723">
      <c r="C19723" s="277"/>
      <c r="M19723" s="277"/>
      <c r="O19723" s="247"/>
      <c r="AC19723" s="247"/>
      <c r="AT19723" s="247"/>
    </row>
    <row r="19724">
      <c r="C19724" s="277"/>
      <c r="M19724" s="277"/>
      <c r="O19724" s="247"/>
      <c r="AC19724" s="247"/>
      <c r="AT19724" s="247"/>
    </row>
    <row r="19725">
      <c r="C19725" s="277"/>
      <c r="M19725" s="277"/>
      <c r="O19725" s="247"/>
      <c r="AC19725" s="247"/>
      <c r="AT19725" s="247"/>
    </row>
    <row r="19726">
      <c r="C19726" s="277"/>
      <c r="M19726" s="277"/>
      <c r="O19726" s="247"/>
      <c r="AC19726" s="247"/>
      <c r="AT19726" s="247"/>
    </row>
    <row r="19727">
      <c r="C19727" s="277"/>
      <c r="M19727" s="277"/>
      <c r="O19727" s="247"/>
      <c r="AC19727" s="247"/>
      <c r="AT19727" s="247"/>
    </row>
    <row r="19728">
      <c r="C19728" s="277"/>
      <c r="M19728" s="277"/>
      <c r="O19728" s="247"/>
      <c r="AC19728" s="247"/>
      <c r="AT19728" s="247"/>
    </row>
    <row r="19729">
      <c r="C19729" s="277"/>
      <c r="M19729" s="277"/>
      <c r="O19729" s="247"/>
      <c r="AC19729" s="247"/>
      <c r="AT19729" s="247"/>
    </row>
    <row r="19730">
      <c r="C19730" s="277"/>
      <c r="M19730" s="277"/>
      <c r="O19730" s="247"/>
      <c r="AC19730" s="247"/>
      <c r="AT19730" s="247"/>
    </row>
    <row r="19731">
      <c r="C19731" s="277"/>
      <c r="M19731" s="277"/>
      <c r="O19731" s="247"/>
      <c r="AC19731" s="247"/>
      <c r="AT19731" s="247"/>
    </row>
    <row r="19732">
      <c r="C19732" s="277"/>
      <c r="M19732" s="277"/>
      <c r="O19732" s="247"/>
      <c r="AC19732" s="247"/>
      <c r="AT19732" s="247"/>
    </row>
    <row r="19733">
      <c r="C19733" s="277"/>
      <c r="M19733" s="277"/>
      <c r="O19733" s="247"/>
      <c r="AC19733" s="247"/>
      <c r="AT19733" s="247"/>
    </row>
    <row r="19734">
      <c r="C19734" s="277"/>
      <c r="M19734" s="277"/>
      <c r="O19734" s="247"/>
      <c r="AC19734" s="247"/>
      <c r="AT19734" s="247"/>
    </row>
    <row r="19735">
      <c r="C19735" s="277"/>
      <c r="M19735" s="277"/>
      <c r="O19735" s="247"/>
      <c r="AC19735" s="247"/>
      <c r="AT19735" s="247"/>
    </row>
    <row r="19736">
      <c r="C19736" s="277"/>
      <c r="M19736" s="277"/>
      <c r="O19736" s="247"/>
      <c r="AC19736" s="247"/>
      <c r="AT19736" s="247"/>
    </row>
    <row r="19737">
      <c r="C19737" s="277"/>
      <c r="M19737" s="277"/>
      <c r="O19737" s="247"/>
      <c r="AC19737" s="247"/>
      <c r="AT19737" s="247"/>
    </row>
    <row r="19738">
      <c r="C19738" s="277"/>
      <c r="M19738" s="277"/>
      <c r="O19738" s="247"/>
      <c r="AC19738" s="247"/>
      <c r="AT19738" s="247"/>
    </row>
    <row r="19739">
      <c r="C19739" s="277"/>
      <c r="M19739" s="277"/>
      <c r="O19739" s="247"/>
      <c r="AC19739" s="247"/>
      <c r="AT19739" s="247"/>
    </row>
    <row r="19740">
      <c r="C19740" s="277"/>
      <c r="M19740" s="277"/>
      <c r="O19740" s="247"/>
      <c r="AC19740" s="247"/>
      <c r="AT19740" s="247"/>
    </row>
    <row r="19741">
      <c r="C19741" s="277"/>
      <c r="M19741" s="277"/>
      <c r="O19741" s="247"/>
      <c r="AC19741" s="247"/>
      <c r="AT19741" s="247"/>
    </row>
    <row r="19742">
      <c r="C19742" s="277"/>
      <c r="M19742" s="277"/>
      <c r="O19742" s="247"/>
      <c r="AC19742" s="247"/>
      <c r="AT19742" s="247"/>
    </row>
    <row r="19743">
      <c r="C19743" s="277"/>
      <c r="M19743" s="277"/>
      <c r="O19743" s="247"/>
      <c r="AC19743" s="247"/>
      <c r="AT19743" s="247"/>
    </row>
    <row r="19744">
      <c r="C19744" s="277"/>
      <c r="M19744" s="277"/>
      <c r="O19744" s="247"/>
      <c r="AC19744" s="247"/>
      <c r="AT19744" s="247"/>
    </row>
    <row r="19745">
      <c r="C19745" s="277"/>
      <c r="M19745" s="277"/>
      <c r="O19745" s="247"/>
      <c r="AC19745" s="247"/>
      <c r="AT19745" s="247"/>
    </row>
    <row r="19746">
      <c r="C19746" s="277"/>
      <c r="M19746" s="277"/>
      <c r="O19746" s="247"/>
      <c r="AC19746" s="247"/>
      <c r="AT19746" s="247"/>
    </row>
    <row r="19747">
      <c r="C19747" s="277"/>
      <c r="M19747" s="277"/>
      <c r="O19747" s="247"/>
      <c r="AC19747" s="247"/>
      <c r="AT19747" s="247"/>
    </row>
    <row r="19748">
      <c r="C19748" s="277"/>
      <c r="M19748" s="277"/>
      <c r="O19748" s="247"/>
      <c r="AC19748" s="247"/>
      <c r="AT19748" s="247"/>
    </row>
    <row r="19749">
      <c r="C19749" s="277"/>
      <c r="M19749" s="277"/>
      <c r="O19749" s="247"/>
      <c r="AC19749" s="247"/>
      <c r="AT19749" s="247"/>
    </row>
    <row r="19750">
      <c r="C19750" s="277"/>
      <c r="M19750" s="277"/>
      <c r="O19750" s="247"/>
      <c r="AC19750" s="247"/>
      <c r="AT19750" s="247"/>
    </row>
    <row r="19751">
      <c r="C19751" s="277"/>
      <c r="M19751" s="277"/>
      <c r="O19751" s="247"/>
      <c r="AC19751" s="247"/>
      <c r="AT19751" s="247"/>
    </row>
    <row r="19752">
      <c r="C19752" s="277"/>
      <c r="M19752" s="277"/>
      <c r="O19752" s="247"/>
      <c r="AC19752" s="247"/>
      <c r="AT19752" s="247"/>
    </row>
    <row r="19753">
      <c r="C19753" s="277"/>
      <c r="M19753" s="277"/>
      <c r="O19753" s="247"/>
      <c r="AC19753" s="247"/>
      <c r="AT19753" s="247"/>
    </row>
    <row r="19754">
      <c r="C19754" s="277"/>
      <c r="M19754" s="277"/>
      <c r="O19754" s="247"/>
      <c r="AC19754" s="247"/>
      <c r="AT19754" s="247"/>
    </row>
    <row r="19755">
      <c r="C19755" s="277"/>
      <c r="M19755" s="277"/>
      <c r="O19755" s="247"/>
      <c r="AC19755" s="247"/>
      <c r="AT19755" s="247"/>
    </row>
    <row r="19756">
      <c r="C19756" s="277"/>
      <c r="M19756" s="277"/>
      <c r="O19756" s="247"/>
      <c r="AC19756" s="247"/>
      <c r="AT19756" s="247"/>
    </row>
    <row r="19757">
      <c r="C19757" s="277"/>
      <c r="M19757" s="277"/>
      <c r="O19757" s="247"/>
      <c r="AC19757" s="247"/>
      <c r="AT19757" s="247"/>
    </row>
    <row r="19758">
      <c r="C19758" s="277"/>
      <c r="M19758" s="277"/>
      <c r="O19758" s="247"/>
      <c r="AC19758" s="247"/>
      <c r="AT19758" s="247"/>
    </row>
    <row r="19759">
      <c r="C19759" s="277"/>
      <c r="M19759" s="277"/>
      <c r="O19759" s="247"/>
      <c r="AC19759" s="247"/>
      <c r="AT19759" s="247"/>
    </row>
    <row r="19760">
      <c r="C19760" s="277"/>
      <c r="M19760" s="277"/>
      <c r="O19760" s="247"/>
      <c r="AC19760" s="247"/>
      <c r="AT19760" s="247"/>
    </row>
    <row r="19761">
      <c r="C19761" s="277"/>
      <c r="M19761" s="277"/>
      <c r="O19761" s="247"/>
      <c r="AC19761" s="247"/>
      <c r="AT19761" s="247"/>
    </row>
    <row r="19762">
      <c r="C19762" s="277"/>
      <c r="M19762" s="277"/>
      <c r="O19762" s="247"/>
      <c r="AC19762" s="247"/>
      <c r="AT19762" s="247"/>
    </row>
    <row r="19763">
      <c r="C19763" s="277"/>
      <c r="M19763" s="277"/>
      <c r="O19763" s="247"/>
      <c r="AC19763" s="247"/>
      <c r="AT19763" s="247"/>
    </row>
    <row r="19764">
      <c r="C19764" s="277"/>
      <c r="M19764" s="277"/>
      <c r="O19764" s="247"/>
      <c r="AC19764" s="247"/>
      <c r="AT19764" s="247"/>
    </row>
    <row r="19765">
      <c r="C19765" s="277"/>
      <c r="M19765" s="277"/>
      <c r="O19765" s="247"/>
      <c r="AC19765" s="247"/>
      <c r="AT19765" s="247"/>
    </row>
    <row r="19766">
      <c r="C19766" s="277"/>
      <c r="M19766" s="277"/>
      <c r="O19766" s="247"/>
      <c r="AC19766" s="247"/>
      <c r="AT19766" s="247"/>
    </row>
    <row r="19767">
      <c r="C19767" s="277"/>
      <c r="M19767" s="277"/>
      <c r="O19767" s="247"/>
      <c r="AC19767" s="247"/>
      <c r="AT19767" s="247"/>
    </row>
    <row r="19768">
      <c r="C19768" s="277"/>
      <c r="M19768" s="277"/>
      <c r="O19768" s="247"/>
      <c r="AC19768" s="247"/>
      <c r="AT19768" s="247"/>
    </row>
    <row r="19769">
      <c r="C19769" s="277"/>
      <c r="M19769" s="277"/>
      <c r="O19769" s="247"/>
      <c r="AC19769" s="247"/>
      <c r="AT19769" s="247"/>
    </row>
    <row r="19770">
      <c r="C19770" s="277"/>
      <c r="M19770" s="277"/>
      <c r="O19770" s="247"/>
      <c r="AC19770" s="247"/>
      <c r="AT19770" s="247"/>
    </row>
    <row r="19771">
      <c r="C19771" s="277"/>
      <c r="M19771" s="277"/>
      <c r="O19771" s="247"/>
      <c r="AC19771" s="247"/>
      <c r="AT19771" s="247"/>
    </row>
    <row r="19772">
      <c r="C19772" s="277"/>
      <c r="M19772" s="277"/>
      <c r="O19772" s="247"/>
      <c r="AC19772" s="247"/>
      <c r="AT19772" s="247"/>
    </row>
    <row r="19773">
      <c r="C19773" s="277"/>
      <c r="M19773" s="277"/>
      <c r="O19773" s="247"/>
      <c r="AC19773" s="247"/>
      <c r="AT19773" s="247"/>
    </row>
    <row r="19774">
      <c r="C19774" s="277"/>
      <c r="M19774" s="277"/>
      <c r="O19774" s="247"/>
      <c r="AC19774" s="247"/>
      <c r="AT19774" s="247"/>
    </row>
    <row r="19775">
      <c r="C19775" s="277"/>
      <c r="M19775" s="277"/>
      <c r="O19775" s="247"/>
      <c r="AC19775" s="247"/>
      <c r="AT19775" s="247"/>
    </row>
    <row r="19776">
      <c r="C19776" s="277"/>
      <c r="M19776" s="277"/>
      <c r="O19776" s="247"/>
      <c r="AC19776" s="247"/>
      <c r="AT19776" s="247"/>
    </row>
    <row r="19777">
      <c r="C19777" s="277"/>
      <c r="M19777" s="277"/>
      <c r="O19777" s="247"/>
      <c r="AC19777" s="247"/>
      <c r="AT19777" s="247"/>
    </row>
    <row r="19778">
      <c r="C19778" s="277"/>
      <c r="M19778" s="277"/>
      <c r="O19778" s="247"/>
      <c r="AC19778" s="247"/>
      <c r="AT19778" s="247"/>
    </row>
    <row r="19779">
      <c r="C19779" s="277"/>
      <c r="M19779" s="277"/>
      <c r="O19779" s="247"/>
      <c r="AC19779" s="247"/>
      <c r="AT19779" s="247"/>
    </row>
    <row r="19780">
      <c r="C19780" s="277"/>
      <c r="M19780" s="277"/>
      <c r="O19780" s="247"/>
      <c r="AC19780" s="247"/>
      <c r="AT19780" s="247"/>
    </row>
    <row r="19781">
      <c r="C19781" s="277"/>
      <c r="M19781" s="277"/>
      <c r="O19781" s="247"/>
      <c r="AC19781" s="247"/>
      <c r="AT19781" s="247"/>
    </row>
    <row r="19782">
      <c r="C19782" s="277"/>
      <c r="M19782" s="277"/>
      <c r="O19782" s="247"/>
      <c r="AC19782" s="247"/>
      <c r="AT19782" s="247"/>
    </row>
    <row r="19783">
      <c r="C19783" s="277"/>
      <c r="M19783" s="277"/>
      <c r="O19783" s="247"/>
      <c r="AC19783" s="247"/>
      <c r="AT19783" s="247"/>
    </row>
    <row r="19784">
      <c r="C19784" s="277"/>
      <c r="M19784" s="277"/>
      <c r="O19784" s="247"/>
      <c r="AC19784" s="247"/>
      <c r="AT19784" s="247"/>
    </row>
    <row r="19785">
      <c r="C19785" s="277"/>
      <c r="M19785" s="277"/>
      <c r="O19785" s="247"/>
      <c r="AC19785" s="247"/>
      <c r="AT19785" s="247"/>
    </row>
    <row r="19786">
      <c r="C19786" s="277"/>
      <c r="M19786" s="277"/>
      <c r="O19786" s="247"/>
      <c r="AC19786" s="247"/>
      <c r="AT19786" s="247"/>
    </row>
    <row r="19787">
      <c r="C19787" s="277"/>
      <c r="M19787" s="277"/>
      <c r="O19787" s="247"/>
      <c r="AC19787" s="247"/>
      <c r="AT19787" s="247"/>
    </row>
    <row r="19788">
      <c r="C19788" s="277"/>
      <c r="M19788" s="277"/>
      <c r="O19788" s="247"/>
      <c r="AC19788" s="247"/>
      <c r="AT19788" s="247"/>
    </row>
    <row r="19789">
      <c r="C19789" s="277"/>
      <c r="M19789" s="277"/>
      <c r="O19789" s="247"/>
      <c r="AC19789" s="247"/>
      <c r="AT19789" s="247"/>
    </row>
    <row r="19790">
      <c r="C19790" s="277"/>
      <c r="M19790" s="277"/>
      <c r="O19790" s="247"/>
      <c r="AC19790" s="247"/>
      <c r="AT19790" s="247"/>
    </row>
    <row r="19791">
      <c r="C19791" s="277"/>
      <c r="M19791" s="277"/>
      <c r="O19791" s="247"/>
      <c r="AC19791" s="247"/>
      <c r="AT19791" s="247"/>
    </row>
    <row r="19792">
      <c r="C19792" s="277"/>
      <c r="M19792" s="277"/>
      <c r="O19792" s="247"/>
      <c r="AC19792" s="247"/>
      <c r="AT19792" s="247"/>
    </row>
    <row r="19793">
      <c r="C19793" s="277"/>
      <c r="M19793" s="277"/>
      <c r="O19793" s="247"/>
      <c r="AC19793" s="247"/>
      <c r="AT19793" s="247"/>
    </row>
    <row r="19794">
      <c r="C19794" s="277"/>
      <c r="M19794" s="277"/>
      <c r="O19794" s="247"/>
      <c r="AC19794" s="247"/>
      <c r="AT19794" s="247"/>
    </row>
    <row r="19795">
      <c r="C19795" s="277"/>
      <c r="M19795" s="277"/>
      <c r="O19795" s="247"/>
      <c r="AC19795" s="247"/>
      <c r="AT19795" s="247"/>
    </row>
    <row r="19796">
      <c r="C19796" s="277"/>
      <c r="M19796" s="277"/>
      <c r="O19796" s="247"/>
      <c r="AC19796" s="247"/>
      <c r="AT19796" s="247"/>
    </row>
    <row r="19797">
      <c r="C19797" s="277"/>
      <c r="M19797" s="277"/>
      <c r="O19797" s="247"/>
      <c r="AC19797" s="247"/>
      <c r="AT19797" s="247"/>
    </row>
    <row r="19798">
      <c r="C19798" s="277"/>
      <c r="M19798" s="277"/>
      <c r="O19798" s="247"/>
      <c r="AC19798" s="247"/>
      <c r="AT19798" s="247"/>
    </row>
    <row r="19799">
      <c r="C19799" s="277"/>
      <c r="M19799" s="277"/>
      <c r="O19799" s="247"/>
      <c r="AC19799" s="247"/>
      <c r="AT19799" s="247"/>
    </row>
    <row r="19800">
      <c r="C19800" s="277"/>
      <c r="M19800" s="277"/>
      <c r="O19800" s="247"/>
      <c r="AC19800" s="247"/>
      <c r="AT19800" s="247"/>
    </row>
    <row r="19801">
      <c r="C19801" s="277"/>
      <c r="M19801" s="277"/>
      <c r="O19801" s="247"/>
      <c r="AC19801" s="247"/>
      <c r="AT19801" s="247"/>
    </row>
    <row r="19802">
      <c r="C19802" s="277"/>
      <c r="M19802" s="277"/>
      <c r="O19802" s="247"/>
      <c r="AC19802" s="247"/>
      <c r="AT19802" s="247"/>
    </row>
    <row r="19803">
      <c r="C19803" s="277"/>
      <c r="M19803" s="277"/>
      <c r="O19803" s="247"/>
      <c r="AC19803" s="247"/>
      <c r="AT19803" s="247"/>
    </row>
    <row r="19804">
      <c r="C19804" s="277"/>
      <c r="M19804" s="277"/>
      <c r="O19804" s="247"/>
      <c r="AC19804" s="247"/>
      <c r="AT19804" s="247"/>
    </row>
    <row r="19805">
      <c r="C19805" s="277"/>
      <c r="M19805" s="277"/>
      <c r="O19805" s="247"/>
      <c r="AC19805" s="247"/>
      <c r="AT19805" s="247"/>
    </row>
    <row r="19806">
      <c r="C19806" s="277"/>
      <c r="M19806" s="277"/>
      <c r="O19806" s="247"/>
      <c r="AC19806" s="247"/>
      <c r="AT19806" s="247"/>
    </row>
    <row r="19807">
      <c r="C19807" s="277"/>
      <c r="M19807" s="277"/>
      <c r="O19807" s="247"/>
      <c r="AC19807" s="247"/>
      <c r="AT19807" s="247"/>
    </row>
    <row r="19808">
      <c r="C19808" s="277"/>
      <c r="M19808" s="277"/>
      <c r="O19808" s="247"/>
      <c r="AC19808" s="247"/>
      <c r="AT19808" s="247"/>
    </row>
    <row r="19809">
      <c r="C19809" s="277"/>
      <c r="M19809" s="277"/>
      <c r="O19809" s="247"/>
      <c r="AC19809" s="247"/>
      <c r="AT19809" s="247"/>
    </row>
    <row r="19810">
      <c r="C19810" s="277"/>
      <c r="M19810" s="277"/>
      <c r="O19810" s="247"/>
      <c r="AC19810" s="247"/>
      <c r="AT19810" s="247"/>
    </row>
    <row r="19811">
      <c r="C19811" s="277"/>
      <c r="M19811" s="277"/>
      <c r="O19811" s="247"/>
      <c r="AC19811" s="247"/>
      <c r="AT19811" s="247"/>
    </row>
    <row r="19812">
      <c r="C19812" s="277"/>
      <c r="M19812" s="277"/>
      <c r="O19812" s="247"/>
      <c r="AC19812" s="247"/>
      <c r="AT19812" s="247"/>
    </row>
    <row r="19813">
      <c r="C19813" s="277"/>
      <c r="M19813" s="277"/>
      <c r="O19813" s="247"/>
      <c r="AC19813" s="247"/>
      <c r="AT19813" s="247"/>
    </row>
    <row r="19814">
      <c r="C19814" s="277"/>
      <c r="M19814" s="277"/>
      <c r="O19814" s="247"/>
      <c r="AC19814" s="247"/>
      <c r="AT19814" s="247"/>
    </row>
    <row r="19815">
      <c r="C19815" s="277"/>
      <c r="M19815" s="277"/>
      <c r="O19815" s="247"/>
      <c r="AC19815" s="247"/>
      <c r="AT19815" s="247"/>
    </row>
    <row r="19816">
      <c r="C19816" s="277"/>
      <c r="M19816" s="277"/>
      <c r="O19816" s="247"/>
      <c r="AC19816" s="247"/>
      <c r="AT19816" s="247"/>
    </row>
    <row r="19817">
      <c r="C19817" s="277"/>
      <c r="M19817" s="277"/>
      <c r="O19817" s="247"/>
      <c r="AC19817" s="247"/>
      <c r="AT19817" s="247"/>
    </row>
    <row r="19818">
      <c r="C19818" s="277"/>
      <c r="M19818" s="277"/>
      <c r="O19818" s="247"/>
      <c r="AC19818" s="247"/>
      <c r="AT19818" s="247"/>
    </row>
    <row r="19819">
      <c r="C19819" s="277"/>
      <c r="M19819" s="277"/>
      <c r="O19819" s="247"/>
      <c r="AC19819" s="247"/>
      <c r="AT19819" s="247"/>
    </row>
    <row r="19820">
      <c r="C19820" s="277"/>
      <c r="M19820" s="277"/>
      <c r="O19820" s="247"/>
      <c r="AC19820" s="247"/>
      <c r="AT19820" s="247"/>
    </row>
    <row r="19821">
      <c r="C19821" s="277"/>
      <c r="M19821" s="277"/>
      <c r="O19821" s="247"/>
      <c r="AC19821" s="247"/>
      <c r="AT19821" s="247"/>
    </row>
    <row r="19822">
      <c r="C19822" s="277"/>
      <c r="M19822" s="277"/>
      <c r="O19822" s="247"/>
      <c r="AC19822" s="247"/>
      <c r="AT19822" s="247"/>
    </row>
    <row r="19823">
      <c r="C19823" s="277"/>
      <c r="M19823" s="277"/>
      <c r="O19823" s="247"/>
      <c r="AC19823" s="247"/>
      <c r="AT19823" s="247"/>
    </row>
    <row r="19824">
      <c r="C19824" s="277"/>
      <c r="M19824" s="277"/>
      <c r="O19824" s="247"/>
      <c r="AC19824" s="247"/>
      <c r="AT19824" s="247"/>
    </row>
    <row r="19825">
      <c r="C19825" s="277"/>
      <c r="M19825" s="277"/>
      <c r="O19825" s="247"/>
      <c r="AC19825" s="247"/>
      <c r="AT19825" s="247"/>
    </row>
    <row r="19826">
      <c r="C19826" s="277"/>
      <c r="M19826" s="277"/>
      <c r="O19826" s="247"/>
      <c r="AC19826" s="247"/>
      <c r="AT19826" s="247"/>
    </row>
    <row r="19827">
      <c r="C19827" s="277"/>
      <c r="M19827" s="277"/>
      <c r="O19827" s="247"/>
      <c r="AC19827" s="247"/>
      <c r="AT19827" s="247"/>
    </row>
    <row r="19828">
      <c r="C19828" s="277"/>
      <c r="M19828" s="277"/>
      <c r="O19828" s="247"/>
      <c r="AC19828" s="247"/>
      <c r="AT19828" s="247"/>
    </row>
    <row r="19829">
      <c r="C19829" s="277"/>
      <c r="M19829" s="277"/>
      <c r="O19829" s="247"/>
      <c r="AC19829" s="247"/>
      <c r="AT19829" s="247"/>
    </row>
    <row r="19830">
      <c r="C19830" s="277"/>
      <c r="M19830" s="277"/>
      <c r="O19830" s="247"/>
      <c r="AC19830" s="247"/>
      <c r="AT19830" s="247"/>
    </row>
    <row r="19831">
      <c r="C19831" s="277"/>
      <c r="M19831" s="277"/>
      <c r="O19831" s="247"/>
      <c r="AC19831" s="247"/>
      <c r="AT19831" s="247"/>
    </row>
    <row r="19832">
      <c r="C19832" s="277"/>
      <c r="M19832" s="277"/>
      <c r="O19832" s="247"/>
      <c r="AC19832" s="247"/>
      <c r="AT19832" s="247"/>
    </row>
    <row r="19833">
      <c r="C19833" s="277"/>
      <c r="M19833" s="277"/>
      <c r="O19833" s="247"/>
      <c r="AC19833" s="247"/>
      <c r="AT19833" s="247"/>
    </row>
    <row r="19834">
      <c r="C19834" s="277"/>
      <c r="M19834" s="277"/>
      <c r="O19834" s="247"/>
      <c r="AC19834" s="247"/>
      <c r="AT19834" s="247"/>
    </row>
    <row r="19835">
      <c r="C19835" s="277"/>
      <c r="M19835" s="277"/>
      <c r="O19835" s="247"/>
      <c r="AC19835" s="247"/>
      <c r="AT19835" s="247"/>
    </row>
    <row r="19836">
      <c r="C19836" s="277"/>
      <c r="M19836" s="277"/>
      <c r="O19836" s="247"/>
      <c r="AC19836" s="247"/>
      <c r="AT19836" s="247"/>
    </row>
    <row r="19837">
      <c r="C19837" s="277"/>
      <c r="M19837" s="277"/>
      <c r="O19837" s="247"/>
      <c r="AC19837" s="247"/>
      <c r="AT19837" s="247"/>
    </row>
    <row r="19838">
      <c r="C19838" s="277"/>
      <c r="M19838" s="277"/>
      <c r="O19838" s="247"/>
      <c r="AC19838" s="247"/>
      <c r="AT19838" s="247"/>
    </row>
    <row r="19839">
      <c r="C19839" s="277"/>
      <c r="M19839" s="277"/>
      <c r="O19839" s="247"/>
      <c r="AC19839" s="247"/>
      <c r="AT19839" s="247"/>
    </row>
    <row r="19840">
      <c r="C19840" s="277"/>
      <c r="M19840" s="277"/>
      <c r="O19840" s="247"/>
      <c r="AC19840" s="247"/>
      <c r="AT19840" s="247"/>
    </row>
    <row r="19841">
      <c r="C19841" s="277"/>
      <c r="M19841" s="277"/>
      <c r="O19841" s="247"/>
      <c r="AC19841" s="247"/>
      <c r="AT19841" s="247"/>
    </row>
    <row r="19842">
      <c r="C19842" s="277"/>
      <c r="M19842" s="277"/>
      <c r="O19842" s="247"/>
      <c r="AC19842" s="247"/>
      <c r="AT19842" s="247"/>
    </row>
    <row r="19843">
      <c r="C19843" s="277"/>
      <c r="M19843" s="277"/>
      <c r="O19843" s="247"/>
      <c r="AC19843" s="247"/>
      <c r="AT19843" s="247"/>
    </row>
    <row r="19844">
      <c r="C19844" s="277"/>
      <c r="M19844" s="277"/>
      <c r="O19844" s="247"/>
      <c r="AC19844" s="247"/>
      <c r="AT19844" s="247"/>
    </row>
    <row r="19845">
      <c r="C19845" s="277"/>
      <c r="M19845" s="277"/>
      <c r="O19845" s="247"/>
      <c r="AC19845" s="247"/>
      <c r="AT19845" s="247"/>
    </row>
    <row r="19846">
      <c r="C19846" s="277"/>
      <c r="M19846" s="277"/>
      <c r="O19846" s="247"/>
      <c r="AC19846" s="247"/>
      <c r="AT19846" s="247"/>
    </row>
    <row r="19847">
      <c r="C19847" s="277"/>
      <c r="M19847" s="277"/>
      <c r="O19847" s="247"/>
      <c r="AC19847" s="247"/>
      <c r="AT19847" s="247"/>
    </row>
    <row r="19848">
      <c r="C19848" s="277"/>
      <c r="M19848" s="277"/>
      <c r="O19848" s="247"/>
      <c r="AC19848" s="247"/>
      <c r="AT19848" s="247"/>
    </row>
    <row r="19849">
      <c r="C19849" s="277"/>
      <c r="M19849" s="277"/>
      <c r="O19849" s="247"/>
      <c r="AC19849" s="247"/>
      <c r="AT19849" s="247"/>
    </row>
    <row r="19850">
      <c r="C19850" s="277"/>
      <c r="M19850" s="277"/>
      <c r="O19850" s="247"/>
      <c r="AC19850" s="247"/>
      <c r="AT19850" s="247"/>
    </row>
    <row r="19851">
      <c r="C19851" s="277"/>
      <c r="M19851" s="277"/>
      <c r="O19851" s="247"/>
      <c r="AC19851" s="247"/>
      <c r="AT19851" s="247"/>
    </row>
    <row r="19852">
      <c r="C19852" s="277"/>
      <c r="M19852" s="277"/>
      <c r="O19852" s="247"/>
      <c r="AC19852" s="247"/>
      <c r="AT19852" s="247"/>
    </row>
    <row r="19853">
      <c r="C19853" s="277"/>
      <c r="M19853" s="277"/>
      <c r="O19853" s="247"/>
      <c r="AC19853" s="247"/>
      <c r="AT19853" s="247"/>
    </row>
    <row r="19854">
      <c r="C19854" s="277"/>
      <c r="M19854" s="277"/>
      <c r="O19854" s="247"/>
      <c r="AC19854" s="247"/>
      <c r="AT19854" s="247"/>
    </row>
    <row r="19855">
      <c r="C19855" s="277"/>
      <c r="M19855" s="277"/>
      <c r="O19855" s="247"/>
      <c r="AC19855" s="247"/>
      <c r="AT19855" s="247"/>
    </row>
    <row r="19856">
      <c r="C19856" s="277"/>
      <c r="M19856" s="277"/>
      <c r="O19856" s="247"/>
      <c r="AC19856" s="247"/>
      <c r="AT19856" s="247"/>
    </row>
    <row r="19857">
      <c r="C19857" s="277"/>
      <c r="M19857" s="277"/>
      <c r="O19857" s="247"/>
      <c r="AC19857" s="247"/>
      <c r="AT19857" s="247"/>
    </row>
    <row r="19858">
      <c r="C19858" s="277"/>
      <c r="M19858" s="277"/>
      <c r="O19858" s="247"/>
      <c r="AC19858" s="247"/>
      <c r="AT19858" s="247"/>
    </row>
    <row r="19859">
      <c r="C19859" s="277"/>
      <c r="M19859" s="277"/>
      <c r="O19859" s="247"/>
      <c r="AC19859" s="247"/>
      <c r="AT19859" s="247"/>
    </row>
    <row r="19860">
      <c r="C19860" s="277"/>
      <c r="M19860" s="277"/>
      <c r="O19860" s="247"/>
      <c r="AC19860" s="247"/>
      <c r="AT19860" s="247"/>
    </row>
    <row r="19861">
      <c r="C19861" s="277"/>
      <c r="M19861" s="277"/>
      <c r="O19861" s="247"/>
      <c r="AC19861" s="247"/>
      <c r="AT19861" s="247"/>
    </row>
    <row r="19862">
      <c r="C19862" s="277"/>
      <c r="M19862" s="277"/>
      <c r="O19862" s="247"/>
      <c r="AC19862" s="247"/>
      <c r="AT19862" s="247"/>
    </row>
    <row r="19863">
      <c r="C19863" s="277"/>
      <c r="M19863" s="277"/>
      <c r="O19863" s="247"/>
      <c r="AC19863" s="247"/>
      <c r="AT19863" s="247"/>
    </row>
    <row r="19864">
      <c r="C19864" s="277"/>
      <c r="M19864" s="277"/>
      <c r="O19864" s="247"/>
      <c r="AC19864" s="247"/>
      <c r="AT19864" s="247"/>
    </row>
    <row r="19865">
      <c r="C19865" s="277"/>
      <c r="M19865" s="277"/>
      <c r="O19865" s="247"/>
      <c r="AC19865" s="247"/>
      <c r="AT19865" s="247"/>
    </row>
    <row r="19866">
      <c r="C19866" s="277"/>
      <c r="M19866" s="277"/>
      <c r="O19866" s="247"/>
      <c r="AC19866" s="247"/>
      <c r="AT19866" s="247"/>
    </row>
    <row r="19867">
      <c r="C19867" s="277"/>
      <c r="M19867" s="277"/>
      <c r="O19867" s="247"/>
      <c r="AC19867" s="247"/>
      <c r="AT19867" s="247"/>
    </row>
    <row r="19868">
      <c r="C19868" s="277"/>
      <c r="M19868" s="277"/>
      <c r="O19868" s="247"/>
      <c r="AC19868" s="247"/>
      <c r="AT19868" s="247"/>
    </row>
    <row r="19869">
      <c r="C19869" s="277"/>
      <c r="M19869" s="277"/>
      <c r="O19869" s="247"/>
      <c r="AC19869" s="247"/>
      <c r="AT19869" s="247"/>
    </row>
    <row r="19870">
      <c r="C19870" s="277"/>
      <c r="M19870" s="277"/>
      <c r="O19870" s="247"/>
      <c r="AC19870" s="247"/>
      <c r="AT19870" s="247"/>
    </row>
    <row r="19871">
      <c r="C19871" s="277"/>
      <c r="M19871" s="277"/>
      <c r="O19871" s="247"/>
      <c r="AC19871" s="247"/>
      <c r="AT19871" s="247"/>
    </row>
    <row r="19872">
      <c r="C19872" s="277"/>
      <c r="M19872" s="277"/>
      <c r="O19872" s="247"/>
      <c r="AC19872" s="247"/>
      <c r="AT19872" s="247"/>
    </row>
    <row r="19873">
      <c r="C19873" s="277"/>
      <c r="M19873" s="277"/>
      <c r="O19873" s="247"/>
      <c r="AC19873" s="247"/>
      <c r="AT19873" s="247"/>
    </row>
    <row r="19874">
      <c r="C19874" s="277"/>
      <c r="M19874" s="277"/>
      <c r="O19874" s="247"/>
      <c r="AC19874" s="247"/>
      <c r="AT19874" s="247"/>
    </row>
    <row r="19875">
      <c r="C19875" s="277"/>
      <c r="M19875" s="277"/>
      <c r="O19875" s="247"/>
      <c r="AC19875" s="247"/>
      <c r="AT19875" s="247"/>
    </row>
    <row r="19876">
      <c r="C19876" s="277"/>
      <c r="M19876" s="277"/>
      <c r="O19876" s="247"/>
      <c r="AC19876" s="247"/>
      <c r="AT19876" s="247"/>
    </row>
    <row r="19877">
      <c r="C19877" s="277"/>
      <c r="M19877" s="277"/>
      <c r="O19877" s="247"/>
      <c r="AC19877" s="247"/>
      <c r="AT19877" s="247"/>
    </row>
    <row r="19878">
      <c r="C19878" s="277"/>
      <c r="M19878" s="277"/>
      <c r="O19878" s="247"/>
      <c r="AC19878" s="247"/>
      <c r="AT19878" s="247"/>
    </row>
    <row r="19879">
      <c r="C19879" s="277"/>
      <c r="M19879" s="277"/>
      <c r="O19879" s="247"/>
      <c r="AC19879" s="247"/>
      <c r="AT19879" s="247"/>
    </row>
    <row r="19880">
      <c r="C19880" s="277"/>
      <c r="M19880" s="277"/>
      <c r="O19880" s="247"/>
      <c r="AC19880" s="247"/>
      <c r="AT19880" s="247"/>
    </row>
    <row r="19881">
      <c r="C19881" s="277"/>
      <c r="M19881" s="277"/>
      <c r="O19881" s="247"/>
      <c r="AC19881" s="247"/>
      <c r="AT19881" s="247"/>
    </row>
    <row r="19882">
      <c r="C19882" s="277"/>
      <c r="M19882" s="277"/>
      <c r="O19882" s="247"/>
      <c r="AC19882" s="247"/>
      <c r="AT19882" s="247"/>
    </row>
    <row r="19883">
      <c r="C19883" s="277"/>
      <c r="M19883" s="277"/>
      <c r="O19883" s="247"/>
      <c r="AC19883" s="247"/>
      <c r="AT19883" s="247"/>
    </row>
    <row r="19884">
      <c r="C19884" s="277"/>
      <c r="M19884" s="277"/>
      <c r="O19884" s="247"/>
      <c r="AC19884" s="247"/>
      <c r="AT19884" s="247"/>
    </row>
    <row r="19885">
      <c r="C19885" s="277"/>
      <c r="M19885" s="277"/>
      <c r="O19885" s="247"/>
      <c r="AC19885" s="247"/>
      <c r="AT19885" s="247"/>
    </row>
    <row r="19886">
      <c r="C19886" s="277"/>
      <c r="M19886" s="277"/>
      <c r="O19886" s="247"/>
      <c r="AC19886" s="247"/>
      <c r="AT19886" s="247"/>
    </row>
    <row r="19887">
      <c r="C19887" s="277"/>
      <c r="M19887" s="277"/>
      <c r="O19887" s="247"/>
      <c r="AC19887" s="247"/>
      <c r="AT19887" s="247"/>
    </row>
    <row r="19888">
      <c r="C19888" s="277"/>
      <c r="M19888" s="277"/>
      <c r="O19888" s="247"/>
      <c r="AC19888" s="247"/>
      <c r="AT19888" s="247"/>
    </row>
    <row r="19889">
      <c r="C19889" s="277"/>
      <c r="M19889" s="277"/>
      <c r="O19889" s="247"/>
      <c r="AC19889" s="247"/>
      <c r="AT19889" s="247"/>
    </row>
    <row r="19890">
      <c r="C19890" s="277"/>
      <c r="M19890" s="277"/>
      <c r="O19890" s="247"/>
      <c r="AC19890" s="247"/>
      <c r="AT19890" s="247"/>
    </row>
    <row r="19891">
      <c r="C19891" s="277"/>
      <c r="M19891" s="277"/>
      <c r="O19891" s="247"/>
      <c r="AC19891" s="247"/>
      <c r="AT19891" s="247"/>
    </row>
    <row r="19892">
      <c r="C19892" s="277"/>
      <c r="M19892" s="277"/>
      <c r="O19892" s="247"/>
      <c r="AC19892" s="247"/>
      <c r="AT19892" s="247"/>
    </row>
    <row r="19893">
      <c r="C19893" s="277"/>
      <c r="M19893" s="277"/>
      <c r="O19893" s="247"/>
      <c r="AC19893" s="247"/>
      <c r="AT19893" s="247"/>
    </row>
    <row r="19894">
      <c r="C19894" s="277"/>
      <c r="M19894" s="277"/>
      <c r="O19894" s="247"/>
      <c r="AC19894" s="247"/>
      <c r="AT19894" s="247"/>
    </row>
    <row r="19895">
      <c r="C19895" s="277"/>
      <c r="M19895" s="277"/>
      <c r="O19895" s="247"/>
      <c r="AC19895" s="247"/>
      <c r="AT19895" s="247"/>
    </row>
    <row r="19896">
      <c r="C19896" s="277"/>
      <c r="M19896" s="277"/>
      <c r="O19896" s="247"/>
      <c r="AC19896" s="247"/>
      <c r="AT19896" s="247"/>
    </row>
    <row r="19897">
      <c r="C19897" s="277"/>
      <c r="M19897" s="277"/>
      <c r="O19897" s="247"/>
      <c r="AC19897" s="247"/>
      <c r="AT19897" s="247"/>
    </row>
    <row r="19898">
      <c r="C19898" s="277"/>
      <c r="M19898" s="277"/>
      <c r="O19898" s="247"/>
      <c r="AC19898" s="247"/>
      <c r="AT19898" s="247"/>
    </row>
    <row r="19899">
      <c r="C19899" s="277"/>
      <c r="M19899" s="277"/>
      <c r="O19899" s="247"/>
      <c r="AC19899" s="247"/>
      <c r="AT19899" s="247"/>
    </row>
    <row r="19900">
      <c r="C19900" s="277"/>
      <c r="M19900" s="277"/>
      <c r="O19900" s="247"/>
      <c r="AC19900" s="247"/>
      <c r="AT19900" s="247"/>
    </row>
    <row r="19901">
      <c r="C19901" s="277"/>
      <c r="M19901" s="277"/>
      <c r="O19901" s="247"/>
      <c r="AC19901" s="247"/>
      <c r="AT19901" s="247"/>
    </row>
    <row r="19902">
      <c r="C19902" s="277"/>
      <c r="M19902" s="277"/>
      <c r="O19902" s="247"/>
      <c r="AC19902" s="247"/>
      <c r="AT19902" s="247"/>
    </row>
    <row r="19903">
      <c r="C19903" s="277"/>
      <c r="M19903" s="277"/>
      <c r="O19903" s="247"/>
      <c r="AC19903" s="247"/>
      <c r="AT19903" s="247"/>
    </row>
    <row r="19904">
      <c r="C19904" s="277"/>
      <c r="M19904" s="277"/>
      <c r="O19904" s="247"/>
      <c r="AC19904" s="247"/>
      <c r="AT19904" s="247"/>
    </row>
    <row r="19905">
      <c r="C19905" s="277"/>
      <c r="M19905" s="277"/>
      <c r="O19905" s="247"/>
      <c r="AC19905" s="247"/>
      <c r="AT19905" s="247"/>
    </row>
    <row r="19906">
      <c r="C19906" s="277"/>
      <c r="M19906" s="277"/>
      <c r="O19906" s="247"/>
      <c r="AC19906" s="247"/>
      <c r="AT19906" s="247"/>
    </row>
    <row r="19907">
      <c r="C19907" s="277"/>
      <c r="M19907" s="277"/>
      <c r="O19907" s="247"/>
      <c r="AC19907" s="247"/>
      <c r="AT19907" s="247"/>
    </row>
    <row r="19908">
      <c r="C19908" s="277"/>
      <c r="M19908" s="277"/>
      <c r="O19908" s="247"/>
      <c r="AC19908" s="247"/>
      <c r="AT19908" s="247"/>
    </row>
    <row r="19909">
      <c r="C19909" s="277"/>
      <c r="M19909" s="277"/>
      <c r="O19909" s="247"/>
      <c r="AC19909" s="247"/>
      <c r="AT19909" s="247"/>
    </row>
    <row r="19910">
      <c r="C19910" s="277"/>
      <c r="M19910" s="277"/>
      <c r="O19910" s="247"/>
      <c r="AC19910" s="247"/>
      <c r="AT19910" s="247"/>
    </row>
    <row r="19911">
      <c r="C19911" s="277"/>
      <c r="M19911" s="277"/>
      <c r="O19911" s="247"/>
      <c r="AC19911" s="247"/>
      <c r="AT19911" s="247"/>
    </row>
    <row r="19912">
      <c r="C19912" s="277"/>
      <c r="M19912" s="277"/>
      <c r="O19912" s="247"/>
      <c r="AC19912" s="247"/>
      <c r="AT19912" s="247"/>
    </row>
    <row r="19913">
      <c r="C19913" s="277"/>
      <c r="M19913" s="277"/>
      <c r="O19913" s="247"/>
      <c r="AC19913" s="247"/>
      <c r="AT19913" s="247"/>
    </row>
    <row r="19914">
      <c r="C19914" s="277"/>
      <c r="M19914" s="277"/>
      <c r="O19914" s="247"/>
      <c r="AC19914" s="247"/>
      <c r="AT19914" s="247"/>
    </row>
    <row r="19915">
      <c r="C19915" s="277"/>
      <c r="M19915" s="277"/>
      <c r="O19915" s="247"/>
      <c r="AC19915" s="247"/>
      <c r="AT19915" s="247"/>
    </row>
    <row r="19916">
      <c r="C19916" s="277"/>
      <c r="M19916" s="277"/>
      <c r="O19916" s="247"/>
      <c r="AC19916" s="247"/>
      <c r="AT19916" s="247"/>
    </row>
    <row r="19917">
      <c r="C19917" s="277"/>
      <c r="M19917" s="277"/>
      <c r="O19917" s="247"/>
      <c r="AC19917" s="247"/>
      <c r="AT19917" s="247"/>
    </row>
    <row r="19918">
      <c r="C19918" s="277"/>
      <c r="M19918" s="277"/>
      <c r="O19918" s="247"/>
      <c r="AC19918" s="247"/>
      <c r="AT19918" s="247"/>
    </row>
    <row r="19919">
      <c r="C19919" s="277"/>
      <c r="M19919" s="277"/>
      <c r="O19919" s="247"/>
      <c r="AC19919" s="247"/>
      <c r="AT19919" s="247"/>
    </row>
    <row r="19920">
      <c r="C19920" s="277"/>
      <c r="M19920" s="277"/>
      <c r="O19920" s="247"/>
      <c r="AC19920" s="247"/>
      <c r="AT19920" s="247"/>
    </row>
    <row r="19921">
      <c r="C19921" s="277"/>
      <c r="M19921" s="277"/>
      <c r="O19921" s="247"/>
      <c r="AC19921" s="247"/>
      <c r="AT19921" s="247"/>
    </row>
    <row r="19922">
      <c r="C19922" s="277"/>
      <c r="M19922" s="277"/>
      <c r="O19922" s="247"/>
      <c r="AC19922" s="247"/>
      <c r="AT19922" s="247"/>
    </row>
    <row r="19923">
      <c r="C19923" s="277"/>
      <c r="M19923" s="277"/>
      <c r="O19923" s="247"/>
      <c r="AC19923" s="247"/>
      <c r="AT19923" s="247"/>
    </row>
    <row r="19924">
      <c r="C19924" s="277"/>
      <c r="M19924" s="277"/>
      <c r="O19924" s="247"/>
      <c r="AC19924" s="247"/>
      <c r="AT19924" s="247"/>
    </row>
    <row r="19925">
      <c r="C19925" s="277"/>
      <c r="M19925" s="277"/>
      <c r="O19925" s="247"/>
      <c r="AC19925" s="247"/>
      <c r="AT19925" s="247"/>
    </row>
    <row r="19926">
      <c r="C19926" s="277"/>
      <c r="M19926" s="277"/>
      <c r="O19926" s="247"/>
      <c r="AC19926" s="247"/>
      <c r="AT19926" s="247"/>
    </row>
    <row r="19927">
      <c r="C19927" s="277"/>
      <c r="M19927" s="277"/>
      <c r="O19927" s="247"/>
      <c r="AC19927" s="247"/>
      <c r="AT19927" s="247"/>
    </row>
    <row r="19928">
      <c r="C19928" s="277"/>
      <c r="M19928" s="277"/>
      <c r="O19928" s="247"/>
      <c r="AC19928" s="247"/>
      <c r="AT19928" s="247"/>
    </row>
    <row r="19929">
      <c r="C19929" s="277"/>
      <c r="M19929" s="277"/>
      <c r="O19929" s="247"/>
      <c r="AC19929" s="247"/>
      <c r="AT19929" s="247"/>
    </row>
    <row r="19930">
      <c r="C19930" s="277"/>
      <c r="M19930" s="277"/>
      <c r="O19930" s="247"/>
      <c r="AC19930" s="247"/>
      <c r="AT19930" s="247"/>
    </row>
    <row r="19931">
      <c r="C19931" s="277"/>
      <c r="M19931" s="277"/>
      <c r="O19931" s="247"/>
      <c r="AC19931" s="247"/>
      <c r="AT19931" s="247"/>
    </row>
    <row r="19932">
      <c r="C19932" s="277"/>
      <c r="M19932" s="277"/>
      <c r="O19932" s="247"/>
      <c r="AC19932" s="247"/>
      <c r="AT19932" s="247"/>
    </row>
    <row r="19933">
      <c r="C19933" s="277"/>
      <c r="M19933" s="277"/>
      <c r="O19933" s="247"/>
      <c r="AC19933" s="247"/>
      <c r="AT19933" s="247"/>
    </row>
    <row r="19934">
      <c r="C19934" s="277"/>
      <c r="M19934" s="277"/>
      <c r="O19934" s="247"/>
      <c r="AC19934" s="247"/>
      <c r="AT19934" s="247"/>
    </row>
    <row r="19935">
      <c r="C19935" s="277"/>
      <c r="M19935" s="277"/>
      <c r="O19935" s="247"/>
      <c r="AC19935" s="247"/>
      <c r="AT19935" s="247"/>
    </row>
    <row r="19936">
      <c r="C19936" s="277"/>
      <c r="M19936" s="277"/>
      <c r="O19936" s="247"/>
      <c r="AC19936" s="247"/>
      <c r="AT19936" s="247"/>
    </row>
    <row r="19937">
      <c r="C19937" s="277"/>
      <c r="M19937" s="277"/>
      <c r="O19937" s="247"/>
      <c r="AC19937" s="247"/>
      <c r="AT19937" s="247"/>
    </row>
    <row r="19938">
      <c r="C19938" s="277"/>
      <c r="M19938" s="277"/>
      <c r="O19938" s="247"/>
      <c r="AC19938" s="247"/>
      <c r="AT19938" s="247"/>
    </row>
    <row r="19939">
      <c r="C19939" s="277"/>
      <c r="M19939" s="277"/>
      <c r="O19939" s="247"/>
      <c r="AC19939" s="247"/>
      <c r="AT19939" s="247"/>
    </row>
    <row r="19940">
      <c r="C19940" s="277"/>
      <c r="M19940" s="277"/>
      <c r="O19940" s="247"/>
      <c r="AC19940" s="247"/>
      <c r="AT19940" s="247"/>
    </row>
    <row r="19941">
      <c r="C19941" s="277"/>
      <c r="M19941" s="277"/>
      <c r="O19941" s="247"/>
      <c r="AC19941" s="247"/>
      <c r="AT19941" s="247"/>
    </row>
    <row r="19942">
      <c r="C19942" s="277"/>
      <c r="M19942" s="277"/>
      <c r="O19942" s="247"/>
      <c r="AC19942" s="247"/>
      <c r="AT19942" s="247"/>
    </row>
    <row r="19943">
      <c r="C19943" s="277"/>
      <c r="M19943" s="277"/>
      <c r="O19943" s="247"/>
      <c r="AC19943" s="247"/>
      <c r="AT19943" s="247"/>
    </row>
    <row r="19944">
      <c r="C19944" s="277"/>
      <c r="M19944" s="277"/>
      <c r="O19944" s="247"/>
      <c r="AC19944" s="247"/>
      <c r="AT19944" s="247"/>
    </row>
    <row r="19945">
      <c r="C19945" s="277"/>
      <c r="M19945" s="277"/>
      <c r="O19945" s="247"/>
      <c r="AC19945" s="247"/>
      <c r="AT19945" s="247"/>
    </row>
    <row r="19946">
      <c r="C19946" s="277"/>
      <c r="M19946" s="277"/>
      <c r="O19946" s="247"/>
      <c r="AC19946" s="247"/>
      <c r="AT19946" s="247"/>
    </row>
    <row r="19947">
      <c r="C19947" s="277"/>
      <c r="M19947" s="277"/>
      <c r="O19947" s="247"/>
      <c r="AC19947" s="247"/>
      <c r="AT19947" s="247"/>
    </row>
    <row r="19948">
      <c r="C19948" s="277"/>
      <c r="M19948" s="277"/>
      <c r="O19948" s="247"/>
      <c r="AC19948" s="247"/>
      <c r="AT19948" s="247"/>
    </row>
    <row r="19949">
      <c r="C19949" s="277"/>
      <c r="M19949" s="277"/>
      <c r="O19949" s="247"/>
      <c r="AC19949" s="247"/>
      <c r="AT19949" s="247"/>
    </row>
    <row r="19950">
      <c r="C19950" s="277"/>
      <c r="M19950" s="277"/>
      <c r="O19950" s="247"/>
      <c r="AC19950" s="247"/>
      <c r="AT19950" s="247"/>
    </row>
    <row r="19951">
      <c r="C19951" s="277"/>
      <c r="M19951" s="277"/>
      <c r="O19951" s="247"/>
      <c r="AC19951" s="247"/>
      <c r="AT19951" s="247"/>
    </row>
    <row r="19952">
      <c r="C19952" s="277"/>
      <c r="M19952" s="277"/>
      <c r="O19952" s="247"/>
      <c r="AC19952" s="247"/>
      <c r="AT19952" s="247"/>
    </row>
    <row r="19953">
      <c r="C19953" s="277"/>
      <c r="M19953" s="277"/>
      <c r="O19953" s="247"/>
      <c r="AC19953" s="247"/>
      <c r="AT19953" s="247"/>
    </row>
    <row r="19954">
      <c r="C19954" s="277"/>
      <c r="M19954" s="277"/>
      <c r="O19954" s="247"/>
      <c r="AC19954" s="247"/>
      <c r="AT19954" s="247"/>
    </row>
    <row r="19955">
      <c r="C19955" s="277"/>
      <c r="M19955" s="277"/>
      <c r="O19955" s="247"/>
      <c r="AC19955" s="247"/>
      <c r="AT19955" s="247"/>
    </row>
    <row r="19956">
      <c r="C19956" s="277"/>
      <c r="M19956" s="277"/>
      <c r="O19956" s="247"/>
      <c r="AC19956" s="247"/>
      <c r="AT19956" s="247"/>
    </row>
    <row r="19957">
      <c r="C19957" s="277"/>
      <c r="M19957" s="277"/>
      <c r="O19957" s="247"/>
      <c r="AC19957" s="247"/>
      <c r="AT19957" s="247"/>
    </row>
    <row r="19958">
      <c r="C19958" s="277"/>
      <c r="M19958" s="277"/>
      <c r="O19958" s="247"/>
      <c r="AC19958" s="247"/>
      <c r="AT19958" s="247"/>
    </row>
    <row r="19959">
      <c r="C19959" s="277"/>
      <c r="M19959" s="277"/>
      <c r="O19959" s="247"/>
      <c r="AC19959" s="247"/>
      <c r="AT19959" s="247"/>
    </row>
    <row r="19960">
      <c r="C19960" s="277"/>
      <c r="M19960" s="277"/>
      <c r="O19960" s="247"/>
      <c r="AC19960" s="247"/>
      <c r="AT19960" s="247"/>
    </row>
    <row r="19961">
      <c r="C19961" s="277"/>
      <c r="M19961" s="277"/>
      <c r="O19961" s="247"/>
      <c r="AC19961" s="247"/>
      <c r="AT19961" s="247"/>
    </row>
    <row r="19962">
      <c r="C19962" s="277"/>
      <c r="M19962" s="277"/>
      <c r="O19962" s="247"/>
      <c r="AC19962" s="247"/>
      <c r="AT19962" s="247"/>
    </row>
    <row r="19963">
      <c r="C19963" s="277"/>
      <c r="M19963" s="277"/>
      <c r="O19963" s="247"/>
      <c r="AC19963" s="247"/>
      <c r="AT19963" s="247"/>
    </row>
    <row r="19964">
      <c r="C19964" s="277"/>
      <c r="M19964" s="277"/>
      <c r="O19964" s="247"/>
      <c r="AC19964" s="247"/>
      <c r="AT19964" s="247"/>
    </row>
    <row r="19965">
      <c r="C19965" s="277"/>
      <c r="M19965" s="277"/>
      <c r="O19965" s="247"/>
      <c r="AC19965" s="247"/>
      <c r="AT19965" s="247"/>
    </row>
    <row r="19966">
      <c r="C19966" s="277"/>
      <c r="M19966" s="277"/>
      <c r="O19966" s="247"/>
      <c r="AC19966" s="247"/>
      <c r="AT19966" s="247"/>
    </row>
    <row r="19967">
      <c r="C19967" s="277"/>
      <c r="M19967" s="277"/>
      <c r="O19967" s="247"/>
      <c r="AC19967" s="247"/>
      <c r="AT19967" s="247"/>
    </row>
    <row r="19968">
      <c r="C19968" s="277"/>
      <c r="M19968" s="277"/>
      <c r="O19968" s="247"/>
      <c r="AC19968" s="247"/>
      <c r="AT19968" s="247"/>
    </row>
    <row r="19969">
      <c r="C19969" s="277"/>
      <c r="M19969" s="277"/>
      <c r="O19969" s="247"/>
      <c r="AC19969" s="247"/>
      <c r="AT19969" s="247"/>
    </row>
    <row r="19970">
      <c r="C19970" s="277"/>
      <c r="M19970" s="277"/>
      <c r="O19970" s="247"/>
      <c r="AC19970" s="247"/>
      <c r="AT19970" s="247"/>
    </row>
    <row r="19971">
      <c r="C19971" s="277"/>
      <c r="M19971" s="277"/>
      <c r="O19971" s="247"/>
      <c r="AC19971" s="247"/>
      <c r="AT19971" s="247"/>
    </row>
    <row r="19972">
      <c r="C19972" s="277"/>
      <c r="M19972" s="277"/>
      <c r="O19972" s="247"/>
      <c r="AC19972" s="247"/>
      <c r="AT19972" s="247"/>
    </row>
    <row r="19973">
      <c r="C19973" s="277"/>
      <c r="M19973" s="277"/>
      <c r="O19973" s="247"/>
      <c r="AC19973" s="247"/>
      <c r="AT19973" s="247"/>
    </row>
    <row r="19974">
      <c r="C19974" s="277"/>
      <c r="M19974" s="277"/>
      <c r="O19974" s="247"/>
      <c r="AC19974" s="247"/>
      <c r="AT19974" s="247"/>
    </row>
    <row r="19975">
      <c r="C19975" s="277"/>
      <c r="M19975" s="277"/>
      <c r="O19975" s="247"/>
      <c r="AC19975" s="247"/>
      <c r="AT19975" s="247"/>
    </row>
    <row r="19976">
      <c r="C19976" s="277"/>
      <c r="M19976" s="277"/>
      <c r="O19976" s="247"/>
      <c r="AC19976" s="247"/>
      <c r="AT19976" s="247"/>
    </row>
    <row r="19977">
      <c r="C19977" s="277"/>
      <c r="M19977" s="277"/>
      <c r="O19977" s="247"/>
      <c r="AC19977" s="247"/>
      <c r="AT19977" s="247"/>
    </row>
    <row r="19978">
      <c r="C19978" s="277"/>
      <c r="M19978" s="277"/>
      <c r="O19978" s="247"/>
      <c r="AC19978" s="247"/>
      <c r="AT19978" s="247"/>
    </row>
    <row r="19979">
      <c r="C19979" s="277"/>
      <c r="M19979" s="277"/>
      <c r="O19979" s="247"/>
      <c r="AC19979" s="247"/>
      <c r="AT19979" s="247"/>
    </row>
    <row r="19980">
      <c r="C19980" s="277"/>
      <c r="M19980" s="277"/>
      <c r="O19980" s="247"/>
      <c r="AC19980" s="247"/>
      <c r="AT19980" s="247"/>
    </row>
    <row r="19981">
      <c r="C19981" s="277"/>
      <c r="M19981" s="277"/>
      <c r="O19981" s="247"/>
      <c r="AC19981" s="247"/>
      <c r="AT19981" s="247"/>
    </row>
    <row r="19982">
      <c r="C19982" s="277"/>
      <c r="M19982" s="277"/>
      <c r="O19982" s="247"/>
      <c r="AC19982" s="247"/>
      <c r="AT19982" s="247"/>
    </row>
    <row r="19983">
      <c r="C19983" s="277"/>
      <c r="M19983" s="277"/>
      <c r="O19983" s="247"/>
      <c r="AC19983" s="247"/>
      <c r="AT19983" s="247"/>
    </row>
    <row r="19984">
      <c r="C19984" s="277"/>
      <c r="M19984" s="277"/>
      <c r="O19984" s="247"/>
      <c r="AC19984" s="247"/>
      <c r="AT19984" s="247"/>
    </row>
    <row r="19985">
      <c r="C19985" s="277"/>
      <c r="M19985" s="277"/>
      <c r="O19985" s="247"/>
      <c r="AC19985" s="247"/>
      <c r="AT19985" s="247"/>
    </row>
    <row r="19986">
      <c r="C19986" s="277"/>
      <c r="M19986" s="277"/>
      <c r="O19986" s="247"/>
      <c r="AC19986" s="247"/>
      <c r="AT19986" s="247"/>
    </row>
    <row r="19987">
      <c r="C19987" s="277"/>
      <c r="M19987" s="277"/>
      <c r="O19987" s="247"/>
      <c r="AC19987" s="247"/>
      <c r="AT19987" s="247"/>
    </row>
    <row r="19988">
      <c r="C19988" s="277"/>
      <c r="M19988" s="277"/>
      <c r="O19988" s="247"/>
      <c r="AC19988" s="247"/>
      <c r="AT19988" s="247"/>
    </row>
    <row r="19989">
      <c r="C19989" s="277"/>
      <c r="M19989" s="277"/>
      <c r="O19989" s="247"/>
      <c r="AC19989" s="247"/>
      <c r="AT19989" s="247"/>
    </row>
    <row r="19990">
      <c r="C19990" s="277"/>
      <c r="M19990" s="277"/>
      <c r="O19990" s="247"/>
      <c r="AC19990" s="247"/>
      <c r="AT19990" s="247"/>
    </row>
    <row r="19991">
      <c r="C19991" s="277"/>
      <c r="M19991" s="277"/>
      <c r="O19991" s="247"/>
      <c r="AC19991" s="247"/>
      <c r="AT19991" s="247"/>
    </row>
    <row r="19992">
      <c r="C19992" s="277"/>
      <c r="M19992" s="277"/>
      <c r="O19992" s="247"/>
      <c r="AC19992" s="247"/>
      <c r="AT19992" s="247"/>
    </row>
    <row r="19993">
      <c r="C19993" s="277"/>
      <c r="M19993" s="277"/>
      <c r="O19993" s="247"/>
      <c r="AC19993" s="247"/>
      <c r="AT19993" s="247"/>
    </row>
    <row r="19994">
      <c r="C19994" s="277"/>
      <c r="M19994" s="277"/>
      <c r="O19994" s="247"/>
      <c r="AC19994" s="247"/>
      <c r="AT19994" s="247"/>
    </row>
    <row r="19995">
      <c r="C19995" s="277"/>
      <c r="M19995" s="277"/>
      <c r="O19995" s="247"/>
      <c r="AC19995" s="247"/>
      <c r="AT19995" s="247"/>
    </row>
    <row r="19996">
      <c r="C19996" s="277"/>
      <c r="M19996" s="277"/>
      <c r="O19996" s="247"/>
      <c r="AC19996" s="247"/>
      <c r="AT19996" s="247"/>
    </row>
    <row r="19997">
      <c r="C19997" s="277"/>
      <c r="M19997" s="277"/>
      <c r="O19997" s="247"/>
      <c r="AC19997" s="247"/>
      <c r="AT19997" s="247"/>
    </row>
    <row r="19998">
      <c r="C19998" s="277"/>
      <c r="M19998" s="277"/>
      <c r="O19998" s="247"/>
      <c r="AC19998" s="247"/>
      <c r="AT19998" s="247"/>
    </row>
    <row r="19999">
      <c r="C19999" s="277"/>
      <c r="M19999" s="277"/>
      <c r="O19999" s="247"/>
      <c r="AC19999" s="247"/>
      <c r="AT19999" s="247"/>
    </row>
    <row r="20000">
      <c r="C20000" s="277"/>
      <c r="M20000" s="277"/>
      <c r="O20000" s="247"/>
      <c r="AC20000" s="247"/>
      <c r="AT20000" s="247"/>
    </row>
    <row r="20001">
      <c r="C20001" s="277"/>
      <c r="M20001" s="277"/>
      <c r="O20001" s="247"/>
      <c r="AC20001" s="247"/>
      <c r="AT20001" s="247"/>
    </row>
    <row r="20002">
      <c r="C20002" s="277"/>
      <c r="M20002" s="277"/>
      <c r="O20002" s="247"/>
      <c r="AC20002" s="247"/>
      <c r="AT20002" s="247"/>
    </row>
    <row r="20003">
      <c r="C20003" s="277"/>
      <c r="M20003" s="277"/>
      <c r="O20003" s="247"/>
      <c r="AC20003" s="247"/>
      <c r="AT20003" s="247"/>
    </row>
    <row r="20004">
      <c r="C20004" s="277"/>
      <c r="M20004" s="277"/>
      <c r="O20004" s="247"/>
      <c r="AC20004" s="247"/>
      <c r="AT20004" s="247"/>
    </row>
    <row r="20005">
      <c r="C20005" s="277"/>
      <c r="M20005" s="277"/>
      <c r="O20005" s="247"/>
      <c r="AC20005" s="247"/>
      <c r="AT20005" s="247"/>
    </row>
    <row r="20006">
      <c r="C20006" s="277"/>
      <c r="M20006" s="277"/>
      <c r="O20006" s="247"/>
      <c r="AC20006" s="247"/>
      <c r="AT20006" s="247"/>
    </row>
    <row r="20007">
      <c r="C20007" s="277"/>
      <c r="M20007" s="277"/>
      <c r="O20007" s="247"/>
      <c r="AC20007" s="247"/>
      <c r="AT20007" s="247"/>
    </row>
    <row r="20008">
      <c r="C20008" s="277"/>
      <c r="M20008" s="277"/>
      <c r="O20008" s="247"/>
      <c r="AC20008" s="247"/>
      <c r="AT20008" s="247"/>
    </row>
    <row r="20009">
      <c r="C20009" s="277"/>
      <c r="M20009" s="277"/>
      <c r="O20009" s="247"/>
      <c r="AC20009" s="247"/>
      <c r="AT20009" s="247"/>
    </row>
    <row r="20010">
      <c r="C20010" s="277"/>
      <c r="M20010" s="277"/>
      <c r="O20010" s="247"/>
      <c r="AC20010" s="247"/>
      <c r="AT20010" s="247"/>
    </row>
    <row r="20011">
      <c r="C20011" s="277"/>
      <c r="M20011" s="277"/>
      <c r="O20011" s="247"/>
      <c r="AC20011" s="247"/>
      <c r="AT20011" s="247"/>
    </row>
    <row r="20012">
      <c r="C20012" s="277"/>
      <c r="M20012" s="277"/>
      <c r="O20012" s="247"/>
      <c r="AC20012" s="247"/>
      <c r="AT20012" s="247"/>
    </row>
    <row r="20013">
      <c r="C20013" s="277"/>
      <c r="M20013" s="277"/>
      <c r="O20013" s="247"/>
      <c r="AC20013" s="247"/>
      <c r="AT20013" s="247"/>
    </row>
    <row r="20014">
      <c r="C20014" s="277"/>
      <c r="M20014" s="277"/>
      <c r="O20014" s="247"/>
      <c r="AC20014" s="247"/>
      <c r="AT20014" s="247"/>
    </row>
    <row r="20015">
      <c r="C20015" s="277"/>
      <c r="M20015" s="277"/>
      <c r="O20015" s="247"/>
      <c r="AC20015" s="247"/>
      <c r="AT20015" s="247"/>
    </row>
    <row r="20016">
      <c r="C20016" s="277"/>
      <c r="M20016" s="277"/>
      <c r="O20016" s="247"/>
      <c r="AC20016" s="247"/>
      <c r="AT20016" s="247"/>
    </row>
    <row r="20017">
      <c r="C20017" s="277"/>
      <c r="M20017" s="277"/>
      <c r="O20017" s="247"/>
      <c r="AC20017" s="247"/>
      <c r="AT20017" s="247"/>
    </row>
    <row r="20018">
      <c r="C20018" s="277"/>
      <c r="M20018" s="277"/>
      <c r="O20018" s="247"/>
      <c r="AC20018" s="247"/>
      <c r="AT20018" s="247"/>
    </row>
    <row r="20019">
      <c r="C20019" s="277"/>
      <c r="M20019" s="277"/>
      <c r="O20019" s="247"/>
      <c r="AC20019" s="247"/>
      <c r="AT20019" s="247"/>
    </row>
    <row r="20020">
      <c r="C20020" s="277"/>
      <c r="M20020" s="277"/>
      <c r="O20020" s="247"/>
      <c r="AC20020" s="247"/>
      <c r="AT20020" s="247"/>
    </row>
    <row r="20021">
      <c r="C20021" s="277"/>
      <c r="M20021" s="277"/>
      <c r="O20021" s="247"/>
      <c r="AC20021" s="247"/>
      <c r="AT20021" s="247"/>
    </row>
    <row r="20022">
      <c r="C20022" s="277"/>
      <c r="M20022" s="277"/>
      <c r="O20022" s="247"/>
      <c r="AC20022" s="247"/>
      <c r="AT20022" s="247"/>
    </row>
    <row r="20023">
      <c r="C20023" s="277"/>
      <c r="M20023" s="277"/>
      <c r="O20023" s="247"/>
      <c r="AC20023" s="247"/>
      <c r="AT20023" s="247"/>
    </row>
    <row r="20024">
      <c r="C20024" s="277"/>
      <c r="M20024" s="277"/>
      <c r="O20024" s="247"/>
      <c r="AC20024" s="247"/>
      <c r="AT20024" s="247"/>
    </row>
    <row r="20025">
      <c r="C20025" s="277"/>
      <c r="M20025" s="277"/>
      <c r="O20025" s="247"/>
      <c r="AC20025" s="247"/>
      <c r="AT20025" s="247"/>
    </row>
    <row r="20026">
      <c r="C20026" s="277"/>
      <c r="M20026" s="277"/>
      <c r="O20026" s="247"/>
      <c r="AC20026" s="247"/>
      <c r="AT20026" s="247"/>
    </row>
    <row r="20027">
      <c r="C20027" s="277"/>
      <c r="M20027" s="277"/>
      <c r="O20027" s="247"/>
      <c r="AC20027" s="247"/>
      <c r="AT20027" s="247"/>
    </row>
    <row r="20028">
      <c r="C20028" s="277"/>
      <c r="M20028" s="277"/>
      <c r="O20028" s="247"/>
      <c r="AC20028" s="247"/>
      <c r="AT20028" s="247"/>
    </row>
    <row r="20029">
      <c r="C20029" s="277"/>
      <c r="M20029" s="277"/>
      <c r="O20029" s="247"/>
      <c r="AC20029" s="247"/>
      <c r="AT20029" s="247"/>
    </row>
    <row r="20030">
      <c r="C20030" s="277"/>
      <c r="M20030" s="277"/>
      <c r="O20030" s="247"/>
      <c r="AC20030" s="247"/>
      <c r="AT20030" s="247"/>
    </row>
    <row r="20031">
      <c r="C20031" s="277"/>
      <c r="M20031" s="277"/>
      <c r="O20031" s="247"/>
      <c r="AC20031" s="247"/>
      <c r="AT20031" s="247"/>
    </row>
    <row r="20032">
      <c r="C20032" s="277"/>
      <c r="M20032" s="277"/>
      <c r="O20032" s="247"/>
      <c r="AC20032" s="247"/>
      <c r="AT20032" s="247"/>
    </row>
    <row r="20033">
      <c r="C20033" s="277"/>
      <c r="M20033" s="277"/>
      <c r="O20033" s="247"/>
      <c r="AC20033" s="247"/>
      <c r="AT20033" s="247"/>
    </row>
    <row r="20034">
      <c r="C20034" s="277"/>
      <c r="M20034" s="277"/>
      <c r="O20034" s="247"/>
      <c r="AC20034" s="247"/>
      <c r="AT20034" s="247"/>
    </row>
    <row r="20035">
      <c r="C20035" s="277"/>
      <c r="M20035" s="277"/>
      <c r="O20035" s="247"/>
      <c r="AC20035" s="247"/>
      <c r="AT20035" s="247"/>
    </row>
    <row r="20036">
      <c r="C20036" s="277"/>
      <c r="M20036" s="277"/>
      <c r="O20036" s="247"/>
      <c r="AC20036" s="247"/>
      <c r="AT20036" s="247"/>
    </row>
    <row r="20037">
      <c r="C20037" s="277"/>
      <c r="M20037" s="277"/>
      <c r="O20037" s="247"/>
      <c r="AC20037" s="247"/>
      <c r="AT20037" s="247"/>
    </row>
    <row r="20038">
      <c r="C20038" s="277"/>
      <c r="M20038" s="277"/>
      <c r="O20038" s="247"/>
      <c r="AC20038" s="247"/>
      <c r="AT20038" s="247"/>
    </row>
    <row r="20039">
      <c r="C20039" s="277"/>
      <c r="M20039" s="277"/>
      <c r="O20039" s="247"/>
      <c r="AC20039" s="247"/>
      <c r="AT20039" s="247"/>
    </row>
    <row r="20040">
      <c r="C20040" s="277"/>
      <c r="M20040" s="277"/>
      <c r="O20040" s="247"/>
      <c r="AC20040" s="247"/>
      <c r="AT20040" s="247"/>
    </row>
    <row r="20041">
      <c r="C20041" s="277"/>
      <c r="M20041" s="277"/>
      <c r="O20041" s="247"/>
      <c r="AC20041" s="247"/>
      <c r="AT20041" s="247"/>
    </row>
    <row r="20042">
      <c r="C20042" s="277"/>
      <c r="M20042" s="277"/>
      <c r="O20042" s="247"/>
      <c r="AC20042" s="247"/>
      <c r="AT20042" s="247"/>
    </row>
    <row r="20043">
      <c r="C20043" s="277"/>
      <c r="M20043" s="277"/>
      <c r="O20043" s="247"/>
      <c r="AC20043" s="247"/>
      <c r="AT20043" s="247"/>
    </row>
    <row r="20044">
      <c r="C20044" s="277"/>
      <c r="M20044" s="277"/>
      <c r="O20044" s="247"/>
      <c r="AC20044" s="247"/>
      <c r="AT20044" s="247"/>
    </row>
    <row r="20045">
      <c r="C20045" s="277"/>
      <c r="M20045" s="277"/>
      <c r="O20045" s="247"/>
      <c r="AC20045" s="247"/>
      <c r="AT20045" s="247"/>
    </row>
    <row r="20046">
      <c r="C20046" s="277"/>
      <c r="M20046" s="277"/>
      <c r="O20046" s="247"/>
      <c r="AC20046" s="247"/>
      <c r="AT20046" s="247"/>
    </row>
    <row r="20047">
      <c r="C20047" s="277"/>
      <c r="M20047" s="277"/>
      <c r="O20047" s="247"/>
      <c r="AC20047" s="247"/>
      <c r="AT20047" s="247"/>
    </row>
    <row r="20048">
      <c r="C20048" s="277"/>
      <c r="M20048" s="277"/>
      <c r="O20048" s="247"/>
      <c r="AC20048" s="247"/>
      <c r="AT20048" s="247"/>
    </row>
    <row r="20049">
      <c r="C20049" s="277"/>
      <c r="M20049" s="277"/>
      <c r="O20049" s="247"/>
      <c r="AC20049" s="247"/>
      <c r="AT20049" s="247"/>
    </row>
    <row r="20050">
      <c r="C20050" s="277"/>
      <c r="M20050" s="277"/>
      <c r="O20050" s="247"/>
      <c r="AC20050" s="247"/>
      <c r="AT20050" s="247"/>
    </row>
    <row r="20051">
      <c r="C20051" s="277"/>
      <c r="M20051" s="277"/>
      <c r="O20051" s="247"/>
      <c r="AC20051" s="247"/>
      <c r="AT20051" s="247"/>
    </row>
    <row r="20052">
      <c r="C20052" s="277"/>
      <c r="M20052" s="277"/>
      <c r="O20052" s="247"/>
      <c r="AC20052" s="247"/>
      <c r="AT20052" s="247"/>
    </row>
    <row r="20053">
      <c r="C20053" s="277"/>
      <c r="M20053" s="277"/>
      <c r="O20053" s="247"/>
      <c r="AC20053" s="247"/>
      <c r="AT20053" s="247"/>
    </row>
    <row r="20054">
      <c r="C20054" s="277"/>
      <c r="M20054" s="277"/>
      <c r="O20054" s="247"/>
      <c r="AC20054" s="247"/>
      <c r="AT20054" s="247"/>
    </row>
    <row r="20055">
      <c r="C20055" s="277"/>
      <c r="M20055" s="277"/>
      <c r="O20055" s="247"/>
      <c r="AC20055" s="247"/>
      <c r="AT20055" s="247"/>
    </row>
    <row r="20056">
      <c r="C20056" s="277"/>
      <c r="M20056" s="277"/>
      <c r="O20056" s="247"/>
      <c r="AC20056" s="247"/>
      <c r="AT20056" s="247"/>
    </row>
    <row r="20057">
      <c r="C20057" s="277"/>
      <c r="M20057" s="277"/>
      <c r="O20057" s="247"/>
      <c r="AC20057" s="247"/>
      <c r="AT20057" s="247"/>
    </row>
    <row r="20058">
      <c r="C20058" s="277"/>
      <c r="M20058" s="277"/>
      <c r="O20058" s="247"/>
      <c r="AC20058" s="247"/>
      <c r="AT20058" s="247"/>
    </row>
    <row r="20059">
      <c r="C20059" s="277"/>
      <c r="M20059" s="277"/>
      <c r="O20059" s="247"/>
      <c r="AC20059" s="247"/>
      <c r="AT20059" s="247"/>
    </row>
    <row r="20060">
      <c r="C20060" s="277"/>
      <c r="M20060" s="277"/>
      <c r="O20060" s="247"/>
      <c r="AC20060" s="247"/>
      <c r="AT20060" s="247"/>
    </row>
    <row r="20061">
      <c r="C20061" s="277"/>
      <c r="M20061" s="277"/>
      <c r="O20061" s="247"/>
      <c r="AC20061" s="247"/>
      <c r="AT20061" s="247"/>
    </row>
    <row r="20062">
      <c r="C20062" s="277"/>
      <c r="M20062" s="277"/>
      <c r="O20062" s="247"/>
      <c r="AC20062" s="247"/>
      <c r="AT20062" s="247"/>
    </row>
    <row r="20063">
      <c r="C20063" s="277"/>
      <c r="M20063" s="277"/>
      <c r="O20063" s="247"/>
      <c r="AC20063" s="247"/>
      <c r="AT20063" s="247"/>
    </row>
    <row r="20064">
      <c r="C20064" s="277"/>
      <c r="M20064" s="277"/>
      <c r="O20064" s="247"/>
      <c r="AC20064" s="247"/>
      <c r="AT20064" s="247"/>
    </row>
    <row r="20065">
      <c r="C20065" s="277"/>
      <c r="M20065" s="277"/>
      <c r="O20065" s="247"/>
      <c r="AC20065" s="247"/>
      <c r="AT20065" s="247"/>
    </row>
    <row r="20066">
      <c r="C20066" s="277"/>
      <c r="M20066" s="277"/>
      <c r="O20066" s="247"/>
      <c r="AC20066" s="247"/>
      <c r="AT20066" s="247"/>
    </row>
    <row r="20067">
      <c r="C20067" s="277"/>
      <c r="M20067" s="277"/>
      <c r="O20067" s="247"/>
      <c r="AC20067" s="247"/>
      <c r="AT20067" s="247"/>
    </row>
    <row r="20068">
      <c r="C20068" s="277"/>
      <c r="M20068" s="277"/>
      <c r="O20068" s="247"/>
      <c r="AC20068" s="247"/>
      <c r="AT20068" s="247"/>
    </row>
    <row r="20069">
      <c r="C20069" s="277"/>
      <c r="M20069" s="277"/>
      <c r="O20069" s="247"/>
      <c r="AC20069" s="247"/>
      <c r="AT20069" s="247"/>
    </row>
    <row r="20070">
      <c r="C20070" s="277"/>
      <c r="M20070" s="277"/>
      <c r="O20070" s="247"/>
      <c r="AC20070" s="247"/>
      <c r="AT20070" s="247"/>
    </row>
    <row r="20071">
      <c r="C20071" s="277"/>
      <c r="M20071" s="277"/>
      <c r="O20071" s="247"/>
      <c r="AC20071" s="247"/>
      <c r="AT20071" s="247"/>
    </row>
    <row r="20072">
      <c r="C20072" s="277"/>
      <c r="M20072" s="277"/>
      <c r="O20072" s="247"/>
      <c r="AC20072" s="247"/>
      <c r="AT20072" s="247"/>
    </row>
    <row r="20073">
      <c r="C20073" s="277"/>
      <c r="M20073" s="277"/>
      <c r="O20073" s="247"/>
      <c r="AC20073" s="247"/>
      <c r="AT20073" s="247"/>
    </row>
    <row r="20074">
      <c r="C20074" s="277"/>
      <c r="M20074" s="277"/>
      <c r="O20074" s="247"/>
      <c r="AC20074" s="247"/>
      <c r="AT20074" s="247"/>
    </row>
    <row r="20075">
      <c r="C20075" s="277"/>
      <c r="M20075" s="277"/>
      <c r="O20075" s="247"/>
      <c r="AC20075" s="247"/>
      <c r="AT20075" s="247"/>
    </row>
    <row r="20076">
      <c r="C20076" s="277"/>
      <c r="M20076" s="277"/>
      <c r="O20076" s="247"/>
      <c r="AC20076" s="247"/>
      <c r="AT20076" s="247"/>
    </row>
    <row r="20077">
      <c r="C20077" s="277"/>
      <c r="M20077" s="277"/>
      <c r="O20077" s="247"/>
      <c r="AC20077" s="247"/>
      <c r="AT20077" s="247"/>
    </row>
    <row r="20078">
      <c r="C20078" s="277"/>
      <c r="M20078" s="277"/>
      <c r="O20078" s="247"/>
      <c r="AC20078" s="247"/>
      <c r="AT20078" s="247"/>
    </row>
    <row r="20079">
      <c r="C20079" s="277"/>
      <c r="M20079" s="277"/>
      <c r="O20079" s="247"/>
      <c r="AC20079" s="247"/>
      <c r="AT20079" s="247"/>
    </row>
    <row r="20080">
      <c r="C20080" s="277"/>
      <c r="M20080" s="277"/>
      <c r="O20080" s="247"/>
      <c r="AC20080" s="247"/>
      <c r="AT20080" s="247"/>
    </row>
    <row r="20081">
      <c r="C20081" s="277"/>
      <c r="M20081" s="277"/>
      <c r="O20081" s="247"/>
      <c r="AC20081" s="247"/>
      <c r="AT20081" s="247"/>
    </row>
    <row r="20082">
      <c r="C20082" s="277"/>
      <c r="M20082" s="277"/>
      <c r="O20082" s="247"/>
      <c r="AC20082" s="247"/>
      <c r="AT20082" s="247"/>
    </row>
    <row r="20083">
      <c r="C20083" s="277"/>
      <c r="M20083" s="277"/>
      <c r="O20083" s="247"/>
      <c r="AC20083" s="247"/>
      <c r="AT20083" s="247"/>
    </row>
    <row r="20084">
      <c r="C20084" s="277"/>
      <c r="M20084" s="277"/>
      <c r="O20084" s="247"/>
      <c r="AC20084" s="247"/>
      <c r="AT20084" s="247"/>
    </row>
    <row r="20085">
      <c r="C20085" s="277"/>
      <c r="M20085" s="277"/>
      <c r="O20085" s="247"/>
      <c r="AC20085" s="247"/>
      <c r="AT20085" s="247"/>
    </row>
    <row r="20086">
      <c r="C20086" s="277"/>
      <c r="M20086" s="277"/>
      <c r="O20086" s="247"/>
      <c r="AC20086" s="247"/>
      <c r="AT20086" s="247"/>
    </row>
    <row r="20087">
      <c r="C20087" s="277"/>
      <c r="M20087" s="277"/>
      <c r="O20087" s="247"/>
      <c r="AC20087" s="247"/>
      <c r="AT20087" s="247"/>
    </row>
    <row r="20088">
      <c r="C20088" s="277"/>
      <c r="M20088" s="277"/>
      <c r="O20088" s="247"/>
      <c r="AC20088" s="247"/>
      <c r="AT20088" s="247"/>
    </row>
    <row r="20089">
      <c r="C20089" s="277"/>
      <c r="M20089" s="277"/>
      <c r="O20089" s="247"/>
      <c r="AC20089" s="247"/>
      <c r="AT20089" s="247"/>
    </row>
    <row r="20090">
      <c r="C20090" s="277"/>
      <c r="M20090" s="277"/>
      <c r="O20090" s="247"/>
      <c r="AC20090" s="247"/>
      <c r="AT20090" s="247"/>
    </row>
    <row r="20091">
      <c r="C20091" s="277"/>
      <c r="M20091" s="277"/>
      <c r="O20091" s="247"/>
      <c r="AC20091" s="247"/>
      <c r="AT20091" s="247"/>
    </row>
    <row r="20092">
      <c r="C20092" s="277"/>
      <c r="M20092" s="277"/>
      <c r="O20092" s="247"/>
      <c r="AC20092" s="247"/>
      <c r="AT20092" s="247"/>
    </row>
    <row r="20093">
      <c r="C20093" s="277"/>
      <c r="M20093" s="277"/>
      <c r="O20093" s="247"/>
      <c r="AC20093" s="247"/>
      <c r="AT20093" s="247"/>
    </row>
    <row r="20094">
      <c r="C20094" s="277"/>
      <c r="M20094" s="277"/>
      <c r="O20094" s="247"/>
      <c r="AC20094" s="247"/>
      <c r="AT20094" s="247"/>
    </row>
    <row r="20095">
      <c r="C20095" s="277"/>
      <c r="M20095" s="277"/>
      <c r="O20095" s="247"/>
      <c r="AC20095" s="247"/>
      <c r="AT20095" s="247"/>
    </row>
    <row r="20096">
      <c r="C20096" s="277"/>
      <c r="M20096" s="277"/>
      <c r="O20096" s="247"/>
      <c r="AC20096" s="247"/>
      <c r="AT20096" s="247"/>
    </row>
    <row r="20097">
      <c r="C20097" s="277"/>
      <c r="M20097" s="277"/>
      <c r="O20097" s="247"/>
      <c r="AC20097" s="247"/>
      <c r="AT20097" s="247"/>
    </row>
    <row r="20098">
      <c r="C20098" s="277"/>
      <c r="M20098" s="277"/>
      <c r="O20098" s="247"/>
      <c r="AC20098" s="247"/>
      <c r="AT20098" s="247"/>
    </row>
    <row r="20099">
      <c r="C20099" s="277"/>
      <c r="M20099" s="277"/>
      <c r="O20099" s="247"/>
      <c r="AC20099" s="247"/>
      <c r="AT20099" s="247"/>
    </row>
    <row r="20100">
      <c r="C20100" s="277"/>
      <c r="M20100" s="277"/>
      <c r="O20100" s="247"/>
      <c r="AC20100" s="247"/>
      <c r="AT20100" s="247"/>
    </row>
    <row r="20101">
      <c r="C20101" s="277"/>
      <c r="M20101" s="277"/>
      <c r="O20101" s="247"/>
      <c r="AC20101" s="247"/>
      <c r="AT20101" s="247"/>
    </row>
    <row r="20102">
      <c r="C20102" s="277"/>
      <c r="M20102" s="277"/>
      <c r="O20102" s="247"/>
      <c r="AC20102" s="247"/>
      <c r="AT20102" s="247"/>
    </row>
    <row r="20103">
      <c r="C20103" s="277"/>
      <c r="M20103" s="277"/>
      <c r="O20103" s="247"/>
      <c r="AC20103" s="247"/>
      <c r="AT20103" s="247"/>
    </row>
    <row r="20104">
      <c r="C20104" s="277"/>
      <c r="M20104" s="277"/>
      <c r="O20104" s="247"/>
      <c r="AC20104" s="247"/>
      <c r="AT20104" s="247"/>
    </row>
    <row r="20105">
      <c r="C20105" s="277"/>
      <c r="M20105" s="277"/>
      <c r="O20105" s="247"/>
      <c r="AC20105" s="247"/>
      <c r="AT20105" s="247"/>
    </row>
    <row r="20106">
      <c r="C20106" s="277"/>
      <c r="M20106" s="277"/>
      <c r="O20106" s="247"/>
      <c r="AC20106" s="247"/>
      <c r="AT20106" s="247"/>
    </row>
    <row r="20107">
      <c r="C20107" s="277"/>
      <c r="M20107" s="277"/>
      <c r="O20107" s="247"/>
      <c r="AC20107" s="247"/>
      <c r="AT20107" s="247"/>
    </row>
    <row r="20108">
      <c r="C20108" s="277"/>
      <c r="M20108" s="277"/>
      <c r="O20108" s="247"/>
      <c r="AC20108" s="247"/>
      <c r="AT20108" s="247"/>
    </row>
    <row r="20109">
      <c r="C20109" s="277"/>
      <c r="M20109" s="277"/>
      <c r="O20109" s="247"/>
      <c r="AC20109" s="247"/>
      <c r="AT20109" s="247"/>
    </row>
    <row r="20110">
      <c r="C20110" s="277"/>
      <c r="M20110" s="277"/>
      <c r="O20110" s="247"/>
      <c r="AC20110" s="247"/>
      <c r="AT20110" s="247"/>
    </row>
    <row r="20111">
      <c r="C20111" s="277"/>
      <c r="M20111" s="277"/>
      <c r="O20111" s="247"/>
      <c r="AC20111" s="247"/>
      <c r="AT20111" s="247"/>
    </row>
    <row r="20112">
      <c r="C20112" s="277"/>
      <c r="M20112" s="277"/>
      <c r="O20112" s="247"/>
      <c r="AC20112" s="247"/>
      <c r="AT20112" s="247"/>
    </row>
    <row r="20113">
      <c r="C20113" s="277"/>
      <c r="M20113" s="277"/>
      <c r="O20113" s="247"/>
      <c r="AC20113" s="247"/>
      <c r="AT20113" s="247"/>
    </row>
    <row r="20114">
      <c r="C20114" s="277"/>
      <c r="M20114" s="277"/>
      <c r="O20114" s="247"/>
      <c r="AC20114" s="247"/>
      <c r="AT20114" s="247"/>
    </row>
    <row r="20115">
      <c r="C20115" s="277"/>
      <c r="M20115" s="277"/>
      <c r="O20115" s="247"/>
      <c r="AC20115" s="247"/>
      <c r="AT20115" s="247"/>
    </row>
    <row r="20116">
      <c r="C20116" s="277"/>
      <c r="M20116" s="277"/>
      <c r="O20116" s="247"/>
      <c r="AC20116" s="247"/>
      <c r="AT20116" s="247"/>
    </row>
    <row r="20117">
      <c r="C20117" s="277"/>
      <c r="M20117" s="277"/>
      <c r="O20117" s="247"/>
      <c r="AC20117" s="247"/>
      <c r="AT20117" s="247"/>
    </row>
    <row r="20118">
      <c r="C20118" s="277"/>
      <c r="M20118" s="277"/>
      <c r="O20118" s="247"/>
      <c r="AC20118" s="247"/>
      <c r="AT20118" s="247"/>
    </row>
    <row r="20119">
      <c r="C20119" s="277"/>
      <c r="M20119" s="277"/>
      <c r="O20119" s="247"/>
      <c r="AC20119" s="247"/>
      <c r="AT20119" s="247"/>
    </row>
    <row r="20120">
      <c r="C20120" s="277"/>
      <c r="M20120" s="277"/>
      <c r="O20120" s="247"/>
      <c r="AC20120" s="247"/>
      <c r="AT20120" s="247"/>
    </row>
    <row r="20121">
      <c r="C20121" s="277"/>
      <c r="M20121" s="277"/>
      <c r="O20121" s="247"/>
      <c r="AC20121" s="247"/>
      <c r="AT20121" s="247"/>
    </row>
    <row r="20122">
      <c r="C20122" s="277"/>
      <c r="M20122" s="277"/>
      <c r="O20122" s="247"/>
      <c r="AC20122" s="247"/>
      <c r="AT20122" s="247"/>
    </row>
    <row r="20123">
      <c r="C20123" s="277"/>
      <c r="M20123" s="277"/>
      <c r="O20123" s="247"/>
      <c r="AC20123" s="247"/>
      <c r="AT20123" s="247"/>
    </row>
    <row r="20124">
      <c r="C20124" s="277"/>
      <c r="M20124" s="277"/>
      <c r="O20124" s="247"/>
      <c r="AC20124" s="247"/>
      <c r="AT20124" s="247"/>
    </row>
    <row r="20125">
      <c r="C20125" s="277"/>
      <c r="M20125" s="277"/>
      <c r="O20125" s="247"/>
      <c r="AC20125" s="247"/>
      <c r="AT20125" s="247"/>
    </row>
    <row r="20126">
      <c r="C20126" s="277"/>
      <c r="M20126" s="277"/>
      <c r="O20126" s="247"/>
      <c r="AC20126" s="247"/>
      <c r="AT20126" s="247"/>
    </row>
    <row r="20127">
      <c r="C20127" s="277"/>
      <c r="M20127" s="277"/>
      <c r="O20127" s="247"/>
      <c r="AC20127" s="247"/>
      <c r="AT20127" s="247"/>
    </row>
    <row r="20128">
      <c r="C20128" s="277"/>
      <c r="M20128" s="277"/>
      <c r="O20128" s="247"/>
      <c r="AC20128" s="247"/>
      <c r="AT20128" s="247"/>
    </row>
    <row r="20129">
      <c r="C20129" s="277"/>
      <c r="M20129" s="277"/>
      <c r="O20129" s="247"/>
      <c r="AC20129" s="247"/>
      <c r="AT20129" s="247"/>
    </row>
    <row r="20130">
      <c r="C20130" s="277"/>
      <c r="M20130" s="277"/>
      <c r="O20130" s="247"/>
      <c r="AC20130" s="247"/>
      <c r="AT20130" s="247"/>
    </row>
    <row r="20131">
      <c r="C20131" s="277"/>
      <c r="M20131" s="277"/>
      <c r="O20131" s="247"/>
      <c r="AC20131" s="247"/>
      <c r="AT20131" s="247"/>
    </row>
    <row r="20132">
      <c r="C20132" s="277"/>
      <c r="M20132" s="277"/>
      <c r="O20132" s="247"/>
      <c r="AC20132" s="247"/>
      <c r="AT20132" s="247"/>
    </row>
    <row r="20133">
      <c r="C20133" s="277"/>
      <c r="M20133" s="277"/>
      <c r="O20133" s="247"/>
      <c r="AC20133" s="247"/>
      <c r="AT20133" s="247"/>
    </row>
    <row r="20134">
      <c r="C20134" s="277"/>
      <c r="M20134" s="277"/>
      <c r="O20134" s="247"/>
      <c r="AC20134" s="247"/>
      <c r="AT20134" s="247"/>
    </row>
    <row r="20135">
      <c r="C20135" s="277"/>
      <c r="M20135" s="277"/>
      <c r="O20135" s="247"/>
      <c r="AC20135" s="247"/>
      <c r="AT20135" s="247"/>
    </row>
    <row r="20136">
      <c r="C20136" s="277"/>
      <c r="M20136" s="277"/>
      <c r="O20136" s="247"/>
      <c r="AC20136" s="247"/>
      <c r="AT20136" s="247"/>
    </row>
    <row r="20137">
      <c r="C20137" s="277"/>
      <c r="M20137" s="277"/>
      <c r="O20137" s="247"/>
      <c r="AC20137" s="247"/>
      <c r="AT20137" s="247"/>
    </row>
    <row r="20138">
      <c r="C20138" s="277"/>
      <c r="M20138" s="277"/>
      <c r="O20138" s="247"/>
      <c r="AC20138" s="247"/>
      <c r="AT20138" s="247"/>
    </row>
    <row r="20139">
      <c r="C20139" s="277"/>
      <c r="M20139" s="277"/>
      <c r="O20139" s="247"/>
      <c r="AC20139" s="247"/>
      <c r="AT20139" s="247"/>
    </row>
    <row r="20140">
      <c r="C20140" s="277"/>
      <c r="M20140" s="277"/>
      <c r="O20140" s="247"/>
      <c r="AC20140" s="247"/>
      <c r="AT20140" s="247"/>
    </row>
    <row r="20141">
      <c r="C20141" s="277"/>
      <c r="M20141" s="277"/>
      <c r="O20141" s="247"/>
      <c r="AC20141" s="247"/>
      <c r="AT20141" s="247"/>
    </row>
    <row r="20142">
      <c r="C20142" s="277"/>
      <c r="M20142" s="277"/>
      <c r="O20142" s="247"/>
      <c r="AC20142" s="247"/>
      <c r="AT20142" s="247"/>
    </row>
    <row r="20143">
      <c r="C20143" s="277"/>
      <c r="M20143" s="277"/>
      <c r="O20143" s="247"/>
      <c r="AC20143" s="247"/>
      <c r="AT20143" s="247"/>
    </row>
    <row r="20144">
      <c r="C20144" s="277"/>
      <c r="M20144" s="277"/>
      <c r="O20144" s="247"/>
      <c r="AC20144" s="247"/>
      <c r="AT20144" s="247"/>
    </row>
    <row r="20145">
      <c r="C20145" s="277"/>
      <c r="M20145" s="277"/>
      <c r="O20145" s="247"/>
      <c r="AC20145" s="247"/>
      <c r="AT20145" s="247"/>
    </row>
    <row r="20146">
      <c r="C20146" s="277"/>
      <c r="M20146" s="277"/>
      <c r="O20146" s="247"/>
      <c r="AC20146" s="247"/>
      <c r="AT20146" s="247"/>
    </row>
    <row r="20147">
      <c r="C20147" s="277"/>
      <c r="M20147" s="277"/>
      <c r="O20147" s="247"/>
      <c r="AC20147" s="247"/>
      <c r="AT20147" s="247"/>
    </row>
    <row r="20148">
      <c r="C20148" s="277"/>
      <c r="M20148" s="277"/>
      <c r="O20148" s="247"/>
      <c r="AC20148" s="247"/>
      <c r="AT20148" s="247"/>
    </row>
    <row r="20149">
      <c r="C20149" s="277"/>
      <c r="M20149" s="277"/>
      <c r="O20149" s="247"/>
      <c r="AC20149" s="247"/>
      <c r="AT20149" s="247"/>
    </row>
    <row r="20150">
      <c r="C20150" s="277"/>
      <c r="M20150" s="277"/>
      <c r="O20150" s="247"/>
      <c r="AC20150" s="247"/>
      <c r="AT20150" s="247"/>
    </row>
    <row r="20151">
      <c r="C20151" s="277"/>
      <c r="M20151" s="277"/>
      <c r="O20151" s="247"/>
      <c r="AC20151" s="247"/>
      <c r="AT20151" s="247"/>
    </row>
    <row r="20152">
      <c r="C20152" s="277"/>
      <c r="M20152" s="277"/>
      <c r="O20152" s="247"/>
      <c r="AC20152" s="247"/>
      <c r="AT20152" s="247"/>
    </row>
    <row r="20153">
      <c r="C20153" s="277"/>
      <c r="M20153" s="277"/>
      <c r="O20153" s="247"/>
      <c r="AC20153" s="247"/>
      <c r="AT20153" s="247"/>
    </row>
    <row r="20154">
      <c r="C20154" s="277"/>
      <c r="M20154" s="277"/>
      <c r="O20154" s="247"/>
      <c r="AC20154" s="247"/>
      <c r="AT20154" s="247"/>
    </row>
    <row r="20155">
      <c r="C20155" s="277"/>
      <c r="M20155" s="277"/>
      <c r="O20155" s="247"/>
      <c r="AC20155" s="247"/>
      <c r="AT20155" s="247"/>
    </row>
    <row r="20156">
      <c r="C20156" s="277"/>
      <c r="M20156" s="277"/>
      <c r="O20156" s="247"/>
      <c r="AC20156" s="247"/>
      <c r="AT20156" s="247"/>
    </row>
    <row r="20157">
      <c r="C20157" s="277"/>
      <c r="M20157" s="277"/>
      <c r="O20157" s="247"/>
      <c r="AC20157" s="247"/>
      <c r="AT20157" s="247"/>
    </row>
    <row r="20158">
      <c r="C20158" s="277"/>
      <c r="M20158" s="277"/>
      <c r="O20158" s="247"/>
      <c r="AC20158" s="247"/>
      <c r="AT20158" s="247"/>
    </row>
    <row r="20159">
      <c r="C20159" s="277"/>
      <c r="M20159" s="277"/>
      <c r="O20159" s="247"/>
      <c r="AC20159" s="247"/>
      <c r="AT20159" s="247"/>
    </row>
    <row r="20160">
      <c r="C20160" s="277"/>
      <c r="M20160" s="277"/>
      <c r="O20160" s="247"/>
      <c r="AC20160" s="247"/>
      <c r="AT20160" s="247"/>
    </row>
    <row r="20161">
      <c r="C20161" s="277"/>
      <c r="M20161" s="277"/>
      <c r="O20161" s="247"/>
      <c r="AC20161" s="247"/>
      <c r="AT20161" s="247"/>
    </row>
    <row r="20162">
      <c r="C20162" s="277"/>
      <c r="M20162" s="277"/>
      <c r="O20162" s="247"/>
      <c r="AC20162" s="247"/>
      <c r="AT20162" s="247"/>
    </row>
    <row r="20163">
      <c r="C20163" s="277"/>
      <c r="M20163" s="277"/>
      <c r="O20163" s="247"/>
      <c r="AC20163" s="247"/>
      <c r="AT20163" s="247"/>
    </row>
    <row r="20164">
      <c r="C20164" s="277"/>
      <c r="M20164" s="277"/>
      <c r="O20164" s="247"/>
      <c r="AC20164" s="247"/>
      <c r="AT20164" s="247"/>
    </row>
    <row r="20165">
      <c r="C20165" s="277"/>
      <c r="M20165" s="277"/>
      <c r="O20165" s="247"/>
      <c r="AC20165" s="247"/>
      <c r="AT20165" s="247"/>
    </row>
    <row r="20166">
      <c r="C20166" s="277"/>
      <c r="M20166" s="277"/>
      <c r="O20166" s="247"/>
      <c r="AC20166" s="247"/>
      <c r="AT20166" s="247"/>
    </row>
    <row r="20167">
      <c r="C20167" s="277"/>
      <c r="M20167" s="277"/>
      <c r="O20167" s="247"/>
      <c r="AC20167" s="247"/>
      <c r="AT20167" s="247"/>
    </row>
    <row r="20168">
      <c r="C20168" s="277"/>
      <c r="M20168" s="277"/>
      <c r="O20168" s="247"/>
      <c r="AC20168" s="247"/>
      <c r="AT20168" s="247"/>
    </row>
    <row r="20169">
      <c r="C20169" s="277"/>
      <c r="M20169" s="277"/>
      <c r="O20169" s="247"/>
      <c r="AC20169" s="247"/>
      <c r="AT20169" s="247"/>
    </row>
    <row r="20170">
      <c r="C20170" s="277"/>
      <c r="M20170" s="277"/>
      <c r="O20170" s="247"/>
      <c r="AC20170" s="247"/>
      <c r="AT20170" s="247"/>
    </row>
    <row r="20171">
      <c r="C20171" s="277"/>
      <c r="M20171" s="277"/>
      <c r="O20171" s="247"/>
      <c r="AC20171" s="247"/>
      <c r="AT20171" s="247"/>
    </row>
    <row r="20172">
      <c r="C20172" s="277"/>
      <c r="M20172" s="277"/>
      <c r="O20172" s="247"/>
      <c r="AC20172" s="247"/>
      <c r="AT20172" s="247"/>
    </row>
    <row r="20173">
      <c r="C20173" s="277"/>
      <c r="M20173" s="277"/>
      <c r="O20173" s="247"/>
      <c r="AC20173" s="247"/>
      <c r="AT20173" s="247"/>
    </row>
    <row r="20174">
      <c r="C20174" s="277"/>
      <c r="M20174" s="277"/>
      <c r="O20174" s="247"/>
      <c r="AC20174" s="247"/>
      <c r="AT20174" s="247"/>
    </row>
    <row r="20175">
      <c r="C20175" s="277"/>
      <c r="M20175" s="277"/>
      <c r="O20175" s="247"/>
      <c r="AC20175" s="247"/>
      <c r="AT20175" s="247"/>
    </row>
    <row r="20176">
      <c r="C20176" s="277"/>
      <c r="M20176" s="277"/>
      <c r="O20176" s="247"/>
      <c r="AC20176" s="247"/>
      <c r="AT20176" s="247"/>
    </row>
    <row r="20177">
      <c r="C20177" s="277"/>
      <c r="M20177" s="277"/>
      <c r="O20177" s="247"/>
      <c r="AC20177" s="247"/>
      <c r="AT20177" s="247"/>
    </row>
    <row r="20178">
      <c r="C20178" s="277"/>
      <c r="M20178" s="277"/>
      <c r="O20178" s="247"/>
      <c r="AC20178" s="247"/>
      <c r="AT20178" s="247"/>
    </row>
    <row r="20179">
      <c r="C20179" s="277"/>
      <c r="M20179" s="277"/>
      <c r="O20179" s="247"/>
      <c r="AC20179" s="247"/>
      <c r="AT20179" s="247"/>
    </row>
    <row r="20180">
      <c r="C20180" s="277"/>
      <c r="M20180" s="277"/>
      <c r="O20180" s="247"/>
      <c r="AC20180" s="247"/>
      <c r="AT20180" s="247"/>
    </row>
    <row r="20181">
      <c r="C20181" s="277"/>
      <c r="M20181" s="277"/>
      <c r="O20181" s="247"/>
      <c r="AC20181" s="247"/>
      <c r="AT20181" s="247"/>
    </row>
    <row r="20182">
      <c r="C20182" s="277"/>
      <c r="M20182" s="277"/>
      <c r="O20182" s="247"/>
      <c r="AC20182" s="247"/>
      <c r="AT20182" s="247"/>
    </row>
    <row r="20183">
      <c r="C20183" s="277"/>
      <c r="M20183" s="277"/>
      <c r="O20183" s="247"/>
      <c r="AC20183" s="247"/>
      <c r="AT20183" s="247"/>
    </row>
    <row r="20184">
      <c r="C20184" s="277"/>
      <c r="M20184" s="277"/>
      <c r="O20184" s="247"/>
      <c r="AC20184" s="247"/>
      <c r="AT20184" s="247"/>
    </row>
    <row r="20185">
      <c r="C20185" s="277"/>
      <c r="M20185" s="277"/>
      <c r="O20185" s="247"/>
      <c r="AC20185" s="247"/>
      <c r="AT20185" s="247"/>
    </row>
    <row r="20186">
      <c r="C20186" s="277"/>
      <c r="M20186" s="277"/>
      <c r="O20186" s="247"/>
      <c r="AC20186" s="247"/>
      <c r="AT20186" s="247"/>
    </row>
    <row r="20187">
      <c r="C20187" s="277"/>
      <c r="M20187" s="277"/>
      <c r="O20187" s="247"/>
      <c r="AC20187" s="247"/>
      <c r="AT20187" s="247"/>
    </row>
    <row r="20188">
      <c r="C20188" s="277"/>
      <c r="M20188" s="277"/>
      <c r="O20188" s="247"/>
      <c r="AC20188" s="247"/>
      <c r="AT20188" s="247"/>
    </row>
    <row r="20189">
      <c r="C20189" s="277"/>
      <c r="M20189" s="277"/>
      <c r="O20189" s="247"/>
      <c r="AC20189" s="247"/>
      <c r="AT20189" s="247"/>
    </row>
    <row r="20190">
      <c r="C20190" s="277"/>
      <c r="M20190" s="277"/>
      <c r="O20190" s="247"/>
      <c r="AC20190" s="247"/>
      <c r="AT20190" s="247"/>
    </row>
    <row r="20191">
      <c r="C20191" s="277"/>
      <c r="M20191" s="277"/>
      <c r="O20191" s="247"/>
      <c r="AC20191" s="247"/>
      <c r="AT20191" s="247"/>
    </row>
    <row r="20192">
      <c r="C20192" s="277"/>
      <c r="M20192" s="277"/>
      <c r="O20192" s="247"/>
      <c r="AC20192" s="247"/>
      <c r="AT20192" s="247"/>
    </row>
    <row r="20193">
      <c r="C20193" s="277"/>
      <c r="M20193" s="277"/>
      <c r="O20193" s="247"/>
      <c r="AC20193" s="247"/>
      <c r="AT20193" s="247"/>
    </row>
    <row r="20194">
      <c r="C20194" s="277"/>
      <c r="M20194" s="277"/>
      <c r="O20194" s="247"/>
      <c r="AC20194" s="247"/>
      <c r="AT20194" s="247"/>
    </row>
    <row r="20195">
      <c r="C20195" s="277"/>
      <c r="M20195" s="277"/>
      <c r="O20195" s="247"/>
      <c r="AC20195" s="247"/>
      <c r="AT20195" s="247"/>
    </row>
    <row r="20196">
      <c r="C20196" s="277"/>
      <c r="M20196" s="277"/>
      <c r="O20196" s="247"/>
      <c r="AC20196" s="247"/>
      <c r="AT20196" s="247"/>
    </row>
    <row r="20197">
      <c r="C20197" s="277"/>
      <c r="M20197" s="277"/>
      <c r="O20197" s="247"/>
      <c r="AC20197" s="247"/>
      <c r="AT20197" s="247"/>
    </row>
    <row r="20198">
      <c r="C20198" s="277"/>
      <c r="M20198" s="277"/>
      <c r="O20198" s="247"/>
      <c r="AC20198" s="247"/>
      <c r="AT20198" s="247"/>
    </row>
    <row r="20199">
      <c r="C20199" s="277"/>
      <c r="M20199" s="277"/>
      <c r="O20199" s="247"/>
      <c r="AC20199" s="247"/>
      <c r="AT20199" s="247"/>
    </row>
    <row r="20200">
      <c r="C20200" s="277"/>
      <c r="M20200" s="277"/>
      <c r="O20200" s="247"/>
      <c r="AC20200" s="247"/>
      <c r="AT20200" s="247"/>
    </row>
    <row r="20201">
      <c r="C20201" s="277"/>
      <c r="M20201" s="277"/>
      <c r="O20201" s="247"/>
      <c r="AC20201" s="247"/>
      <c r="AT20201" s="247"/>
    </row>
    <row r="20202">
      <c r="C20202" s="277"/>
      <c r="M20202" s="277"/>
      <c r="O20202" s="247"/>
      <c r="AC20202" s="247"/>
      <c r="AT20202" s="247"/>
    </row>
    <row r="20203">
      <c r="C20203" s="277"/>
      <c r="M20203" s="277"/>
      <c r="O20203" s="247"/>
      <c r="AC20203" s="247"/>
      <c r="AT20203" s="247"/>
    </row>
    <row r="20204">
      <c r="C20204" s="277"/>
      <c r="M20204" s="277"/>
      <c r="O20204" s="247"/>
      <c r="AC20204" s="247"/>
      <c r="AT20204" s="247"/>
    </row>
    <row r="20205">
      <c r="C20205" s="277"/>
      <c r="M20205" s="277"/>
      <c r="O20205" s="247"/>
      <c r="AC20205" s="247"/>
      <c r="AT20205" s="247"/>
    </row>
    <row r="20206">
      <c r="C20206" s="277"/>
      <c r="M20206" s="277"/>
      <c r="O20206" s="247"/>
      <c r="AC20206" s="247"/>
      <c r="AT20206" s="247"/>
    </row>
    <row r="20207">
      <c r="C20207" s="277"/>
      <c r="M20207" s="277"/>
      <c r="O20207" s="247"/>
      <c r="AC20207" s="247"/>
      <c r="AT20207" s="247"/>
    </row>
    <row r="20208">
      <c r="C20208" s="277"/>
      <c r="M20208" s="277"/>
      <c r="O20208" s="247"/>
      <c r="AC20208" s="247"/>
      <c r="AT20208" s="247"/>
    </row>
    <row r="20209">
      <c r="C20209" s="277"/>
      <c r="M20209" s="277"/>
      <c r="O20209" s="247"/>
      <c r="AC20209" s="247"/>
      <c r="AT20209" s="247"/>
    </row>
    <row r="20210">
      <c r="C20210" s="277"/>
      <c r="M20210" s="277"/>
      <c r="O20210" s="247"/>
      <c r="AC20210" s="247"/>
      <c r="AT20210" s="247"/>
    </row>
    <row r="20211">
      <c r="C20211" s="277"/>
      <c r="M20211" s="277"/>
      <c r="O20211" s="247"/>
      <c r="AC20211" s="247"/>
      <c r="AT20211" s="247"/>
    </row>
    <row r="20212">
      <c r="C20212" s="277"/>
      <c r="M20212" s="277"/>
      <c r="O20212" s="247"/>
      <c r="AC20212" s="247"/>
      <c r="AT20212" s="247"/>
    </row>
    <row r="20213">
      <c r="C20213" s="277"/>
      <c r="M20213" s="277"/>
      <c r="O20213" s="247"/>
      <c r="AC20213" s="247"/>
      <c r="AT20213" s="247"/>
    </row>
    <row r="20214">
      <c r="C20214" s="277"/>
      <c r="M20214" s="277"/>
      <c r="O20214" s="247"/>
      <c r="AC20214" s="247"/>
      <c r="AT20214" s="247"/>
    </row>
    <row r="20215">
      <c r="C20215" s="277"/>
      <c r="M20215" s="277"/>
      <c r="O20215" s="247"/>
      <c r="AC20215" s="247"/>
      <c r="AT20215" s="247"/>
    </row>
    <row r="20216">
      <c r="C20216" s="277"/>
      <c r="M20216" s="277"/>
      <c r="O20216" s="247"/>
      <c r="AC20216" s="247"/>
      <c r="AT20216" s="247"/>
    </row>
    <row r="20217">
      <c r="C20217" s="277"/>
      <c r="M20217" s="277"/>
      <c r="O20217" s="247"/>
      <c r="AC20217" s="247"/>
      <c r="AT20217" s="247"/>
    </row>
    <row r="20218">
      <c r="C20218" s="277"/>
      <c r="M20218" s="277"/>
      <c r="O20218" s="247"/>
      <c r="AC20218" s="247"/>
      <c r="AT20218" s="247"/>
    </row>
    <row r="20219">
      <c r="C20219" s="277"/>
      <c r="M20219" s="277"/>
      <c r="O20219" s="247"/>
      <c r="AC20219" s="247"/>
      <c r="AT20219" s="247"/>
    </row>
    <row r="20220">
      <c r="C20220" s="277"/>
      <c r="M20220" s="277"/>
      <c r="O20220" s="247"/>
      <c r="AC20220" s="247"/>
      <c r="AT20220" s="247"/>
    </row>
    <row r="20221">
      <c r="C20221" s="277"/>
      <c r="M20221" s="277"/>
      <c r="O20221" s="247"/>
      <c r="AC20221" s="247"/>
      <c r="AT20221" s="247"/>
    </row>
    <row r="20222">
      <c r="C20222" s="277"/>
      <c r="M20222" s="277"/>
      <c r="O20222" s="247"/>
      <c r="AC20222" s="247"/>
      <c r="AT20222" s="247"/>
    </row>
    <row r="20223">
      <c r="C20223" s="277"/>
      <c r="M20223" s="277"/>
      <c r="O20223" s="247"/>
      <c r="AC20223" s="247"/>
      <c r="AT20223" s="247"/>
    </row>
    <row r="20224">
      <c r="C20224" s="277"/>
      <c r="M20224" s="277"/>
      <c r="O20224" s="247"/>
      <c r="AC20224" s="247"/>
      <c r="AT20224" s="247"/>
    </row>
    <row r="20225">
      <c r="C20225" s="277"/>
      <c r="M20225" s="277"/>
      <c r="O20225" s="247"/>
      <c r="AC20225" s="247"/>
      <c r="AT20225" s="247"/>
    </row>
    <row r="20226">
      <c r="C20226" s="277"/>
      <c r="M20226" s="277"/>
      <c r="O20226" s="247"/>
      <c r="AC20226" s="247"/>
      <c r="AT20226" s="247"/>
    </row>
    <row r="20227">
      <c r="C20227" s="277"/>
      <c r="M20227" s="277"/>
      <c r="O20227" s="247"/>
      <c r="AC20227" s="247"/>
      <c r="AT20227" s="247"/>
    </row>
    <row r="20228">
      <c r="C20228" s="277"/>
      <c r="M20228" s="277"/>
      <c r="O20228" s="247"/>
      <c r="AC20228" s="247"/>
      <c r="AT20228" s="247"/>
    </row>
    <row r="20229">
      <c r="C20229" s="277"/>
      <c r="M20229" s="277"/>
      <c r="O20229" s="247"/>
      <c r="AC20229" s="247"/>
      <c r="AT20229" s="247"/>
    </row>
    <row r="20230">
      <c r="C20230" s="277"/>
      <c r="M20230" s="277"/>
      <c r="O20230" s="247"/>
      <c r="AC20230" s="247"/>
      <c r="AT20230" s="247"/>
    </row>
    <row r="20231">
      <c r="C20231" s="277"/>
      <c r="M20231" s="277"/>
      <c r="O20231" s="247"/>
      <c r="AC20231" s="247"/>
      <c r="AT20231" s="247"/>
    </row>
    <row r="20232">
      <c r="C20232" s="277"/>
      <c r="M20232" s="277"/>
      <c r="O20232" s="247"/>
      <c r="AC20232" s="247"/>
      <c r="AT20232" s="247"/>
    </row>
    <row r="20233">
      <c r="C20233" s="277"/>
      <c r="M20233" s="277"/>
      <c r="O20233" s="247"/>
      <c r="AC20233" s="247"/>
      <c r="AT20233" s="247"/>
    </row>
    <row r="20234">
      <c r="C20234" s="277"/>
      <c r="M20234" s="277"/>
      <c r="O20234" s="247"/>
      <c r="AC20234" s="247"/>
      <c r="AT20234" s="247"/>
    </row>
    <row r="20235">
      <c r="C20235" s="277"/>
      <c r="M20235" s="277"/>
      <c r="O20235" s="247"/>
      <c r="AC20235" s="247"/>
      <c r="AT20235" s="247"/>
    </row>
    <row r="20236">
      <c r="C20236" s="277"/>
      <c r="M20236" s="277"/>
      <c r="O20236" s="247"/>
      <c r="AC20236" s="247"/>
      <c r="AT20236" s="247"/>
    </row>
    <row r="20237">
      <c r="C20237" s="277"/>
      <c r="M20237" s="277"/>
      <c r="O20237" s="247"/>
      <c r="AC20237" s="247"/>
      <c r="AT20237" s="247"/>
    </row>
    <row r="20238">
      <c r="C20238" s="277"/>
      <c r="M20238" s="277"/>
      <c r="O20238" s="247"/>
      <c r="AC20238" s="247"/>
      <c r="AT20238" s="247"/>
    </row>
    <row r="20239">
      <c r="C20239" s="277"/>
      <c r="M20239" s="277"/>
      <c r="O20239" s="247"/>
      <c r="AC20239" s="247"/>
      <c r="AT20239" s="247"/>
    </row>
    <row r="20240">
      <c r="C20240" s="277"/>
      <c r="M20240" s="277"/>
      <c r="O20240" s="247"/>
      <c r="AC20240" s="247"/>
      <c r="AT20240" s="247"/>
    </row>
    <row r="20241">
      <c r="C20241" s="277"/>
      <c r="M20241" s="277"/>
      <c r="O20241" s="247"/>
      <c r="AC20241" s="247"/>
      <c r="AT20241" s="247"/>
    </row>
    <row r="20242">
      <c r="C20242" s="277"/>
      <c r="M20242" s="277"/>
      <c r="O20242" s="247"/>
      <c r="AC20242" s="247"/>
      <c r="AT20242" s="247"/>
    </row>
    <row r="20243">
      <c r="C20243" s="277"/>
      <c r="M20243" s="277"/>
      <c r="O20243" s="247"/>
      <c r="AC20243" s="247"/>
      <c r="AT20243" s="247"/>
    </row>
    <row r="20244">
      <c r="C20244" s="277"/>
      <c r="M20244" s="277"/>
      <c r="O20244" s="247"/>
      <c r="AC20244" s="247"/>
      <c r="AT20244" s="247"/>
    </row>
    <row r="20245">
      <c r="C20245" s="277"/>
      <c r="M20245" s="277"/>
      <c r="O20245" s="247"/>
      <c r="AC20245" s="247"/>
      <c r="AT20245" s="247"/>
    </row>
    <row r="20246">
      <c r="C20246" s="277"/>
      <c r="M20246" s="277"/>
      <c r="O20246" s="247"/>
      <c r="AC20246" s="247"/>
      <c r="AT20246" s="247"/>
    </row>
    <row r="20247">
      <c r="C20247" s="277"/>
      <c r="M20247" s="277"/>
      <c r="O20247" s="247"/>
      <c r="AC20247" s="247"/>
      <c r="AT20247" s="247"/>
    </row>
    <row r="20248">
      <c r="C20248" s="277"/>
      <c r="M20248" s="277"/>
      <c r="O20248" s="247"/>
      <c r="AC20248" s="247"/>
      <c r="AT20248" s="247"/>
    </row>
    <row r="20249">
      <c r="C20249" s="277"/>
      <c r="M20249" s="277"/>
      <c r="O20249" s="247"/>
      <c r="AC20249" s="247"/>
      <c r="AT20249" s="247"/>
    </row>
    <row r="20250">
      <c r="C20250" s="277"/>
      <c r="M20250" s="277"/>
      <c r="O20250" s="247"/>
      <c r="AC20250" s="247"/>
      <c r="AT20250" s="247"/>
    </row>
    <row r="20251">
      <c r="C20251" s="277"/>
      <c r="M20251" s="277"/>
      <c r="O20251" s="247"/>
      <c r="AC20251" s="247"/>
      <c r="AT20251" s="247"/>
    </row>
    <row r="20252">
      <c r="C20252" s="277"/>
      <c r="M20252" s="277"/>
      <c r="O20252" s="247"/>
      <c r="AC20252" s="247"/>
      <c r="AT20252" s="247"/>
    </row>
    <row r="20253">
      <c r="C20253" s="277"/>
      <c r="M20253" s="277"/>
      <c r="O20253" s="247"/>
      <c r="AC20253" s="247"/>
      <c r="AT20253" s="247"/>
    </row>
    <row r="20254">
      <c r="C20254" s="277"/>
      <c r="M20254" s="277"/>
      <c r="O20254" s="247"/>
      <c r="AC20254" s="247"/>
      <c r="AT20254" s="247"/>
    </row>
    <row r="20255">
      <c r="C20255" s="277"/>
      <c r="M20255" s="277"/>
      <c r="O20255" s="247"/>
      <c r="AC20255" s="247"/>
      <c r="AT20255" s="247"/>
    </row>
    <row r="20256">
      <c r="C20256" s="277"/>
      <c r="M20256" s="277"/>
      <c r="O20256" s="247"/>
      <c r="AC20256" s="247"/>
      <c r="AT20256" s="247"/>
    </row>
    <row r="20257">
      <c r="C20257" s="277"/>
      <c r="M20257" s="277"/>
      <c r="O20257" s="247"/>
      <c r="AC20257" s="247"/>
      <c r="AT20257" s="247"/>
    </row>
    <row r="20258">
      <c r="C20258" s="277"/>
      <c r="M20258" s="277"/>
      <c r="O20258" s="247"/>
      <c r="AC20258" s="247"/>
      <c r="AT20258" s="247"/>
    </row>
    <row r="20259">
      <c r="C20259" s="277"/>
      <c r="M20259" s="277"/>
      <c r="O20259" s="247"/>
      <c r="AC20259" s="247"/>
      <c r="AT20259" s="247"/>
    </row>
    <row r="20260">
      <c r="C20260" s="277"/>
      <c r="M20260" s="277"/>
      <c r="O20260" s="247"/>
      <c r="AC20260" s="247"/>
      <c r="AT20260" s="247"/>
    </row>
    <row r="20261">
      <c r="C20261" s="277"/>
      <c r="M20261" s="277"/>
      <c r="O20261" s="247"/>
      <c r="AC20261" s="247"/>
      <c r="AT20261" s="247"/>
    </row>
    <row r="20262">
      <c r="C20262" s="277"/>
      <c r="M20262" s="277"/>
      <c r="O20262" s="247"/>
      <c r="AC20262" s="247"/>
      <c r="AT20262" s="247"/>
    </row>
    <row r="20263">
      <c r="C20263" s="277"/>
      <c r="M20263" s="277"/>
      <c r="O20263" s="247"/>
      <c r="AC20263" s="247"/>
      <c r="AT20263" s="247"/>
    </row>
    <row r="20264">
      <c r="C20264" s="277"/>
      <c r="M20264" s="277"/>
      <c r="O20264" s="247"/>
      <c r="AC20264" s="247"/>
      <c r="AT20264" s="247"/>
    </row>
    <row r="20265">
      <c r="C20265" s="277"/>
      <c r="M20265" s="277"/>
      <c r="O20265" s="247"/>
      <c r="AC20265" s="247"/>
      <c r="AT20265" s="247"/>
    </row>
    <row r="20266">
      <c r="C20266" s="277"/>
      <c r="M20266" s="277"/>
      <c r="O20266" s="247"/>
      <c r="AC20266" s="247"/>
      <c r="AT20266" s="247"/>
    </row>
    <row r="20267">
      <c r="C20267" s="277"/>
      <c r="M20267" s="277"/>
      <c r="O20267" s="247"/>
      <c r="AC20267" s="247"/>
      <c r="AT20267" s="247"/>
    </row>
    <row r="20268">
      <c r="C20268" s="277"/>
      <c r="M20268" s="277"/>
      <c r="O20268" s="247"/>
      <c r="AC20268" s="247"/>
      <c r="AT20268" s="247"/>
    </row>
    <row r="20269">
      <c r="C20269" s="277"/>
      <c r="M20269" s="277"/>
      <c r="O20269" s="247"/>
      <c r="AC20269" s="247"/>
      <c r="AT20269" s="247"/>
    </row>
    <row r="20270">
      <c r="C20270" s="277"/>
      <c r="M20270" s="277"/>
      <c r="O20270" s="247"/>
      <c r="AC20270" s="247"/>
      <c r="AT20270" s="247"/>
    </row>
    <row r="20271">
      <c r="C20271" s="277"/>
      <c r="M20271" s="277"/>
      <c r="O20271" s="247"/>
      <c r="AC20271" s="247"/>
      <c r="AT20271" s="247"/>
    </row>
    <row r="20272">
      <c r="C20272" s="277"/>
      <c r="M20272" s="277"/>
      <c r="O20272" s="247"/>
      <c r="AC20272" s="247"/>
      <c r="AT20272" s="247"/>
    </row>
    <row r="20273">
      <c r="C20273" s="277"/>
      <c r="M20273" s="277"/>
      <c r="O20273" s="247"/>
      <c r="AC20273" s="247"/>
      <c r="AT20273" s="247"/>
    </row>
    <row r="20274">
      <c r="C20274" s="277"/>
      <c r="M20274" s="277"/>
      <c r="O20274" s="247"/>
      <c r="AC20274" s="247"/>
      <c r="AT20274" s="247"/>
    </row>
    <row r="20275">
      <c r="C20275" s="277"/>
      <c r="M20275" s="277"/>
      <c r="O20275" s="247"/>
      <c r="AC20275" s="247"/>
      <c r="AT20275" s="247"/>
    </row>
    <row r="20276">
      <c r="C20276" s="277"/>
      <c r="M20276" s="277"/>
      <c r="O20276" s="247"/>
      <c r="AC20276" s="247"/>
      <c r="AT20276" s="247"/>
    </row>
    <row r="20277">
      <c r="C20277" s="277"/>
      <c r="M20277" s="277"/>
      <c r="O20277" s="247"/>
      <c r="AC20277" s="247"/>
      <c r="AT20277" s="247"/>
    </row>
    <row r="20278">
      <c r="C20278" s="277"/>
      <c r="M20278" s="277"/>
      <c r="O20278" s="247"/>
      <c r="AC20278" s="247"/>
      <c r="AT20278" s="247"/>
    </row>
    <row r="20279">
      <c r="C20279" s="277"/>
      <c r="M20279" s="277"/>
      <c r="O20279" s="247"/>
      <c r="AC20279" s="247"/>
      <c r="AT20279" s="247"/>
    </row>
    <row r="20280">
      <c r="C20280" s="277"/>
      <c r="M20280" s="277"/>
      <c r="O20280" s="247"/>
      <c r="AC20280" s="247"/>
      <c r="AT20280" s="247"/>
    </row>
    <row r="20281">
      <c r="C20281" s="277"/>
      <c r="M20281" s="277"/>
      <c r="O20281" s="247"/>
      <c r="AC20281" s="247"/>
      <c r="AT20281" s="247"/>
    </row>
    <row r="20282">
      <c r="C20282" s="277"/>
      <c r="M20282" s="277"/>
      <c r="O20282" s="247"/>
      <c r="AC20282" s="247"/>
      <c r="AT20282" s="247"/>
    </row>
    <row r="20283">
      <c r="C20283" s="277"/>
      <c r="M20283" s="277"/>
      <c r="O20283" s="247"/>
      <c r="AC20283" s="247"/>
      <c r="AT20283" s="247"/>
    </row>
    <row r="20284">
      <c r="C20284" s="277"/>
      <c r="M20284" s="277"/>
      <c r="O20284" s="247"/>
      <c r="AC20284" s="247"/>
      <c r="AT20284" s="247"/>
    </row>
    <row r="20285">
      <c r="C20285" s="277"/>
      <c r="M20285" s="277"/>
      <c r="O20285" s="247"/>
      <c r="AC20285" s="247"/>
      <c r="AT20285" s="247"/>
    </row>
    <row r="20286">
      <c r="C20286" s="277"/>
      <c r="M20286" s="277"/>
      <c r="O20286" s="247"/>
      <c r="AC20286" s="247"/>
      <c r="AT20286" s="247"/>
    </row>
    <row r="20287">
      <c r="C20287" s="277"/>
      <c r="M20287" s="277"/>
      <c r="O20287" s="247"/>
      <c r="AC20287" s="247"/>
      <c r="AT20287" s="247"/>
    </row>
    <row r="20288">
      <c r="C20288" s="277"/>
      <c r="M20288" s="277"/>
      <c r="O20288" s="247"/>
      <c r="AC20288" s="247"/>
      <c r="AT20288" s="247"/>
    </row>
    <row r="20289">
      <c r="C20289" s="277"/>
      <c r="M20289" s="277"/>
      <c r="O20289" s="247"/>
      <c r="AC20289" s="247"/>
      <c r="AT20289" s="247"/>
    </row>
    <row r="20290">
      <c r="C20290" s="277"/>
      <c r="M20290" s="277"/>
      <c r="O20290" s="247"/>
      <c r="AC20290" s="247"/>
      <c r="AT20290" s="247"/>
    </row>
    <row r="20291">
      <c r="C20291" s="277"/>
      <c r="M20291" s="277"/>
      <c r="O20291" s="247"/>
      <c r="AC20291" s="247"/>
      <c r="AT20291" s="247"/>
    </row>
    <row r="20292">
      <c r="C20292" s="277"/>
      <c r="M20292" s="277"/>
      <c r="O20292" s="247"/>
      <c r="AC20292" s="247"/>
      <c r="AT20292" s="247"/>
    </row>
    <row r="20293">
      <c r="C20293" s="277"/>
      <c r="M20293" s="277"/>
      <c r="O20293" s="247"/>
      <c r="AC20293" s="247"/>
      <c r="AT20293" s="247"/>
    </row>
    <row r="20294">
      <c r="C20294" s="277"/>
      <c r="M20294" s="277"/>
      <c r="O20294" s="247"/>
      <c r="AC20294" s="247"/>
      <c r="AT20294" s="247"/>
    </row>
    <row r="20295">
      <c r="C20295" s="277"/>
      <c r="M20295" s="277"/>
      <c r="O20295" s="247"/>
      <c r="AC20295" s="247"/>
      <c r="AT20295" s="247"/>
    </row>
    <row r="20296">
      <c r="C20296" s="277"/>
      <c r="M20296" s="277"/>
      <c r="O20296" s="247"/>
      <c r="AC20296" s="247"/>
      <c r="AT20296" s="247"/>
    </row>
    <row r="20297">
      <c r="C20297" s="277"/>
      <c r="M20297" s="277"/>
      <c r="O20297" s="247"/>
      <c r="AC20297" s="247"/>
      <c r="AT20297" s="247"/>
    </row>
    <row r="20298">
      <c r="C20298" s="277"/>
      <c r="M20298" s="277"/>
      <c r="O20298" s="247"/>
      <c r="AC20298" s="247"/>
      <c r="AT20298" s="247"/>
    </row>
    <row r="20299">
      <c r="C20299" s="277"/>
      <c r="M20299" s="277"/>
      <c r="O20299" s="247"/>
      <c r="AC20299" s="247"/>
      <c r="AT20299" s="247"/>
    </row>
    <row r="20300">
      <c r="C20300" s="277"/>
      <c r="M20300" s="277"/>
      <c r="O20300" s="247"/>
      <c r="AC20300" s="247"/>
      <c r="AT20300" s="247"/>
    </row>
    <row r="20301">
      <c r="C20301" s="277"/>
      <c r="M20301" s="277"/>
      <c r="O20301" s="247"/>
      <c r="AC20301" s="247"/>
      <c r="AT20301" s="247"/>
    </row>
    <row r="20302">
      <c r="C20302" s="277"/>
      <c r="M20302" s="277"/>
      <c r="O20302" s="247"/>
      <c r="AC20302" s="247"/>
      <c r="AT20302" s="247"/>
    </row>
    <row r="20303">
      <c r="C20303" s="277"/>
      <c r="M20303" s="277"/>
      <c r="O20303" s="247"/>
      <c r="AC20303" s="247"/>
      <c r="AT20303" s="247"/>
    </row>
    <row r="20304">
      <c r="C20304" s="277"/>
      <c r="M20304" s="277"/>
      <c r="O20304" s="247"/>
      <c r="AC20304" s="247"/>
      <c r="AT20304" s="247"/>
    </row>
    <row r="20305">
      <c r="C20305" s="277"/>
      <c r="M20305" s="277"/>
      <c r="O20305" s="247"/>
      <c r="AC20305" s="247"/>
      <c r="AT20305" s="247"/>
    </row>
    <row r="20306">
      <c r="C20306" s="277"/>
      <c r="M20306" s="277"/>
      <c r="O20306" s="247"/>
      <c r="AC20306" s="247"/>
      <c r="AT20306" s="247"/>
    </row>
    <row r="20307">
      <c r="C20307" s="277"/>
      <c r="M20307" s="277"/>
      <c r="O20307" s="247"/>
      <c r="AC20307" s="247"/>
      <c r="AT20307" s="247"/>
    </row>
    <row r="20308">
      <c r="C20308" s="277"/>
      <c r="M20308" s="277"/>
      <c r="O20308" s="247"/>
      <c r="AC20308" s="247"/>
      <c r="AT20308" s="247"/>
    </row>
    <row r="20309">
      <c r="C20309" s="277"/>
      <c r="M20309" s="277"/>
      <c r="O20309" s="247"/>
      <c r="AC20309" s="247"/>
      <c r="AT20309" s="247"/>
    </row>
    <row r="20310">
      <c r="C20310" s="277"/>
      <c r="M20310" s="277"/>
      <c r="O20310" s="247"/>
      <c r="AC20310" s="247"/>
      <c r="AT20310" s="247"/>
    </row>
    <row r="20311">
      <c r="C20311" s="277"/>
      <c r="M20311" s="277"/>
      <c r="O20311" s="247"/>
      <c r="AC20311" s="247"/>
      <c r="AT20311" s="247"/>
    </row>
    <row r="20312">
      <c r="C20312" s="277"/>
      <c r="M20312" s="277"/>
      <c r="O20312" s="247"/>
      <c r="AC20312" s="247"/>
      <c r="AT20312" s="247"/>
    </row>
    <row r="20313">
      <c r="C20313" s="277"/>
      <c r="M20313" s="277"/>
      <c r="O20313" s="247"/>
      <c r="AC20313" s="247"/>
      <c r="AT20313" s="247"/>
    </row>
    <row r="20314">
      <c r="C20314" s="277"/>
      <c r="M20314" s="277"/>
      <c r="O20314" s="247"/>
      <c r="AC20314" s="247"/>
      <c r="AT20314" s="247"/>
    </row>
    <row r="20315">
      <c r="C20315" s="277"/>
      <c r="M20315" s="277"/>
      <c r="O20315" s="247"/>
      <c r="AC20315" s="247"/>
      <c r="AT20315" s="247"/>
    </row>
    <row r="20316">
      <c r="C20316" s="277"/>
      <c r="M20316" s="277"/>
      <c r="O20316" s="247"/>
      <c r="AC20316" s="247"/>
      <c r="AT20316" s="247"/>
    </row>
    <row r="20317">
      <c r="C20317" s="277"/>
      <c r="M20317" s="277"/>
      <c r="O20317" s="247"/>
      <c r="AC20317" s="247"/>
      <c r="AT20317" s="247"/>
    </row>
    <row r="20318">
      <c r="C20318" s="277"/>
      <c r="M20318" s="277"/>
      <c r="O20318" s="247"/>
      <c r="AC20318" s="247"/>
      <c r="AT20318" s="247"/>
    </row>
    <row r="20319">
      <c r="C20319" s="277"/>
      <c r="M20319" s="277"/>
      <c r="O20319" s="247"/>
      <c r="AC20319" s="247"/>
      <c r="AT20319" s="247"/>
    </row>
    <row r="20320">
      <c r="C20320" s="277"/>
      <c r="M20320" s="277"/>
      <c r="O20320" s="247"/>
      <c r="AC20320" s="247"/>
      <c r="AT20320" s="247"/>
    </row>
    <row r="20321">
      <c r="C20321" s="277"/>
      <c r="M20321" s="277"/>
      <c r="O20321" s="247"/>
      <c r="AC20321" s="247"/>
      <c r="AT20321" s="247"/>
    </row>
    <row r="20322">
      <c r="C20322" s="277"/>
      <c r="M20322" s="277"/>
      <c r="O20322" s="247"/>
      <c r="AC20322" s="247"/>
      <c r="AT20322" s="247"/>
    </row>
    <row r="20323">
      <c r="C20323" s="277"/>
      <c r="M20323" s="277"/>
      <c r="O20323" s="247"/>
      <c r="AC20323" s="247"/>
      <c r="AT20323" s="247"/>
    </row>
    <row r="20324">
      <c r="C20324" s="277"/>
      <c r="M20324" s="277"/>
      <c r="O20324" s="247"/>
      <c r="AC20324" s="247"/>
      <c r="AT20324" s="247"/>
    </row>
    <row r="20325">
      <c r="C20325" s="277"/>
      <c r="M20325" s="277"/>
      <c r="O20325" s="247"/>
      <c r="AC20325" s="247"/>
      <c r="AT20325" s="247"/>
    </row>
    <row r="20326">
      <c r="C20326" s="277"/>
      <c r="M20326" s="277"/>
      <c r="O20326" s="247"/>
      <c r="AC20326" s="247"/>
      <c r="AT20326" s="247"/>
    </row>
    <row r="20327">
      <c r="C20327" s="277"/>
      <c r="M20327" s="277"/>
      <c r="O20327" s="247"/>
      <c r="AC20327" s="247"/>
      <c r="AT20327" s="247"/>
    </row>
    <row r="20328">
      <c r="C20328" s="277"/>
      <c r="M20328" s="277"/>
      <c r="O20328" s="247"/>
      <c r="AC20328" s="247"/>
      <c r="AT20328" s="247"/>
    </row>
    <row r="20329">
      <c r="C20329" s="277"/>
      <c r="M20329" s="277"/>
      <c r="O20329" s="247"/>
      <c r="AC20329" s="247"/>
      <c r="AT20329" s="247"/>
    </row>
    <row r="20330">
      <c r="C20330" s="277"/>
      <c r="M20330" s="277"/>
      <c r="O20330" s="247"/>
      <c r="AC20330" s="247"/>
      <c r="AT20330" s="247"/>
    </row>
    <row r="20331">
      <c r="C20331" s="277"/>
      <c r="M20331" s="277"/>
      <c r="O20331" s="247"/>
      <c r="AC20331" s="247"/>
      <c r="AT20331" s="247"/>
    </row>
    <row r="20332">
      <c r="C20332" s="277"/>
      <c r="M20332" s="277"/>
      <c r="O20332" s="247"/>
      <c r="AC20332" s="247"/>
      <c r="AT20332" s="247"/>
    </row>
    <row r="20333">
      <c r="C20333" s="277"/>
      <c r="M20333" s="277"/>
      <c r="O20333" s="247"/>
      <c r="AC20333" s="247"/>
      <c r="AT20333" s="247"/>
    </row>
    <row r="20334">
      <c r="C20334" s="277"/>
      <c r="M20334" s="277"/>
      <c r="O20334" s="247"/>
      <c r="AC20334" s="247"/>
      <c r="AT20334" s="247"/>
    </row>
    <row r="20335">
      <c r="C20335" s="277"/>
      <c r="M20335" s="277"/>
      <c r="O20335" s="247"/>
      <c r="AC20335" s="247"/>
      <c r="AT20335" s="247"/>
    </row>
    <row r="20336">
      <c r="C20336" s="277"/>
      <c r="M20336" s="277"/>
      <c r="O20336" s="247"/>
      <c r="AC20336" s="247"/>
      <c r="AT20336" s="247"/>
    </row>
    <row r="20337">
      <c r="C20337" s="277"/>
      <c r="M20337" s="277"/>
      <c r="O20337" s="247"/>
      <c r="AC20337" s="247"/>
      <c r="AT20337" s="247"/>
    </row>
    <row r="20338">
      <c r="C20338" s="277"/>
      <c r="M20338" s="277"/>
      <c r="O20338" s="247"/>
      <c r="AC20338" s="247"/>
      <c r="AT20338" s="247"/>
    </row>
    <row r="20339">
      <c r="C20339" s="277"/>
      <c r="M20339" s="277"/>
      <c r="O20339" s="247"/>
      <c r="AC20339" s="247"/>
      <c r="AT20339" s="247"/>
    </row>
    <row r="20340">
      <c r="C20340" s="277"/>
      <c r="M20340" s="277"/>
      <c r="O20340" s="247"/>
      <c r="AC20340" s="247"/>
      <c r="AT20340" s="247"/>
    </row>
    <row r="20341">
      <c r="C20341" s="277"/>
      <c r="M20341" s="277"/>
      <c r="O20341" s="247"/>
      <c r="AC20341" s="247"/>
      <c r="AT20341" s="247"/>
    </row>
    <row r="20342">
      <c r="C20342" s="277"/>
      <c r="M20342" s="277"/>
      <c r="O20342" s="247"/>
      <c r="AC20342" s="247"/>
      <c r="AT20342" s="247"/>
    </row>
    <row r="20343">
      <c r="C20343" s="277"/>
      <c r="M20343" s="277"/>
      <c r="O20343" s="247"/>
      <c r="AC20343" s="247"/>
      <c r="AT20343" s="247"/>
    </row>
    <row r="20344">
      <c r="C20344" s="277"/>
      <c r="M20344" s="277"/>
      <c r="O20344" s="247"/>
      <c r="AC20344" s="247"/>
      <c r="AT20344" s="247"/>
    </row>
    <row r="20345">
      <c r="C20345" s="277"/>
      <c r="M20345" s="277"/>
      <c r="O20345" s="247"/>
      <c r="AC20345" s="247"/>
      <c r="AT20345" s="247"/>
    </row>
    <row r="20346">
      <c r="C20346" s="277"/>
      <c r="M20346" s="277"/>
      <c r="O20346" s="247"/>
      <c r="AC20346" s="247"/>
      <c r="AT20346" s="247"/>
    </row>
    <row r="20347">
      <c r="C20347" s="277"/>
      <c r="M20347" s="277"/>
      <c r="O20347" s="247"/>
      <c r="AC20347" s="247"/>
      <c r="AT20347" s="247"/>
    </row>
    <row r="20348">
      <c r="C20348" s="277"/>
      <c r="M20348" s="277"/>
      <c r="O20348" s="247"/>
      <c r="AC20348" s="247"/>
      <c r="AT20348" s="247"/>
    </row>
    <row r="20349">
      <c r="C20349" s="277"/>
      <c r="M20349" s="277"/>
      <c r="O20349" s="247"/>
      <c r="AC20349" s="247"/>
      <c r="AT20349" s="247"/>
    </row>
    <row r="20350">
      <c r="C20350" s="277"/>
      <c r="M20350" s="277"/>
      <c r="O20350" s="247"/>
      <c r="AC20350" s="247"/>
      <c r="AT20350" s="247"/>
    </row>
    <row r="20351">
      <c r="C20351" s="277"/>
      <c r="M20351" s="277"/>
      <c r="O20351" s="247"/>
      <c r="AC20351" s="247"/>
      <c r="AT20351" s="247"/>
    </row>
    <row r="20352">
      <c r="C20352" s="277"/>
      <c r="M20352" s="277"/>
      <c r="O20352" s="247"/>
      <c r="AC20352" s="247"/>
      <c r="AT20352" s="247"/>
    </row>
    <row r="20353">
      <c r="C20353" s="277"/>
      <c r="M20353" s="277"/>
      <c r="O20353" s="247"/>
      <c r="AC20353" s="247"/>
      <c r="AT20353" s="247"/>
    </row>
    <row r="20354">
      <c r="C20354" s="277"/>
      <c r="M20354" s="277"/>
      <c r="O20354" s="247"/>
      <c r="AC20354" s="247"/>
      <c r="AT20354" s="247"/>
    </row>
    <row r="20355">
      <c r="C20355" s="277"/>
      <c r="M20355" s="277"/>
      <c r="O20355" s="247"/>
      <c r="AC20355" s="247"/>
      <c r="AT20355" s="247"/>
    </row>
    <row r="20356">
      <c r="C20356" s="277"/>
      <c r="M20356" s="277"/>
      <c r="O20356" s="247"/>
      <c r="AC20356" s="247"/>
      <c r="AT20356" s="247"/>
    </row>
    <row r="20357">
      <c r="C20357" s="277"/>
      <c r="M20357" s="277"/>
      <c r="O20357" s="247"/>
      <c r="AC20357" s="247"/>
      <c r="AT20357" s="247"/>
    </row>
    <row r="20358">
      <c r="C20358" s="277"/>
      <c r="M20358" s="277"/>
      <c r="O20358" s="247"/>
      <c r="AC20358" s="247"/>
      <c r="AT20358" s="247"/>
    </row>
    <row r="20359">
      <c r="C20359" s="277"/>
      <c r="M20359" s="277"/>
      <c r="O20359" s="247"/>
      <c r="AC20359" s="247"/>
      <c r="AT20359" s="247"/>
    </row>
    <row r="20360">
      <c r="C20360" s="277"/>
      <c r="M20360" s="277"/>
      <c r="O20360" s="247"/>
      <c r="AC20360" s="247"/>
      <c r="AT20360" s="247"/>
    </row>
    <row r="20361">
      <c r="C20361" s="277"/>
      <c r="M20361" s="277"/>
      <c r="O20361" s="247"/>
      <c r="AC20361" s="247"/>
      <c r="AT20361" s="247"/>
    </row>
    <row r="20362">
      <c r="C20362" s="277"/>
      <c r="M20362" s="277"/>
      <c r="O20362" s="247"/>
      <c r="AC20362" s="247"/>
      <c r="AT20362" s="247"/>
    </row>
    <row r="20363">
      <c r="C20363" s="277"/>
      <c r="M20363" s="277"/>
      <c r="O20363" s="247"/>
      <c r="AC20363" s="247"/>
      <c r="AT20363" s="247"/>
    </row>
    <row r="20364">
      <c r="C20364" s="277"/>
      <c r="M20364" s="277"/>
      <c r="O20364" s="247"/>
      <c r="AC20364" s="247"/>
      <c r="AT20364" s="247"/>
    </row>
    <row r="20365">
      <c r="C20365" s="277"/>
      <c r="M20365" s="277"/>
      <c r="O20365" s="247"/>
      <c r="AC20365" s="247"/>
      <c r="AT20365" s="247"/>
    </row>
    <row r="20366">
      <c r="C20366" s="277"/>
      <c r="M20366" s="277"/>
      <c r="O20366" s="247"/>
      <c r="AC20366" s="247"/>
      <c r="AT20366" s="247"/>
    </row>
    <row r="20367">
      <c r="C20367" s="277"/>
      <c r="M20367" s="277"/>
      <c r="O20367" s="247"/>
      <c r="AC20367" s="247"/>
      <c r="AT20367" s="247"/>
    </row>
    <row r="20368">
      <c r="C20368" s="277"/>
      <c r="M20368" s="277"/>
      <c r="O20368" s="247"/>
      <c r="AC20368" s="247"/>
      <c r="AT20368" s="247"/>
    </row>
    <row r="20369">
      <c r="C20369" s="277"/>
      <c r="M20369" s="277"/>
      <c r="O20369" s="247"/>
      <c r="AC20369" s="247"/>
      <c r="AT20369" s="247"/>
    </row>
    <row r="20370">
      <c r="C20370" s="277"/>
      <c r="M20370" s="277"/>
      <c r="O20370" s="247"/>
      <c r="AC20370" s="247"/>
      <c r="AT20370" s="247"/>
    </row>
    <row r="20371">
      <c r="C20371" s="277"/>
      <c r="M20371" s="277"/>
      <c r="O20371" s="247"/>
      <c r="AC20371" s="247"/>
      <c r="AT20371" s="247"/>
    </row>
    <row r="20372">
      <c r="C20372" s="277"/>
      <c r="M20372" s="277"/>
      <c r="O20372" s="247"/>
      <c r="AC20372" s="247"/>
      <c r="AT20372" s="247"/>
    </row>
    <row r="20373">
      <c r="C20373" s="277"/>
      <c r="M20373" s="277"/>
      <c r="O20373" s="247"/>
      <c r="AC20373" s="247"/>
      <c r="AT20373" s="247"/>
    </row>
    <row r="20374">
      <c r="C20374" s="277"/>
      <c r="M20374" s="277"/>
      <c r="O20374" s="247"/>
      <c r="AC20374" s="247"/>
      <c r="AT20374" s="247"/>
    </row>
    <row r="20375">
      <c r="C20375" s="277"/>
      <c r="M20375" s="277"/>
      <c r="O20375" s="247"/>
      <c r="AC20375" s="247"/>
      <c r="AT20375" s="247"/>
    </row>
    <row r="20376">
      <c r="C20376" s="277"/>
      <c r="M20376" s="277"/>
      <c r="O20376" s="247"/>
      <c r="AC20376" s="247"/>
      <c r="AT20376" s="247"/>
    </row>
    <row r="20377">
      <c r="C20377" s="277"/>
      <c r="M20377" s="277"/>
      <c r="O20377" s="247"/>
      <c r="AC20377" s="247"/>
      <c r="AT20377" s="247"/>
    </row>
    <row r="20378">
      <c r="C20378" s="277"/>
      <c r="M20378" s="277"/>
      <c r="O20378" s="247"/>
      <c r="AC20378" s="247"/>
      <c r="AT20378" s="247"/>
    </row>
    <row r="20379">
      <c r="C20379" s="277"/>
      <c r="M20379" s="277"/>
      <c r="O20379" s="247"/>
      <c r="AC20379" s="247"/>
      <c r="AT20379" s="247"/>
    </row>
    <row r="20380">
      <c r="C20380" s="277"/>
      <c r="M20380" s="277"/>
      <c r="O20380" s="247"/>
      <c r="AC20380" s="247"/>
      <c r="AT20380" s="247"/>
    </row>
    <row r="20381">
      <c r="C20381" s="277"/>
      <c r="M20381" s="277"/>
      <c r="O20381" s="247"/>
      <c r="AC20381" s="247"/>
      <c r="AT20381" s="247"/>
    </row>
    <row r="20382">
      <c r="C20382" s="277"/>
      <c r="M20382" s="277"/>
      <c r="O20382" s="247"/>
      <c r="AC20382" s="247"/>
      <c r="AT20382" s="247"/>
    </row>
    <row r="20383">
      <c r="C20383" s="277"/>
      <c r="M20383" s="277"/>
      <c r="O20383" s="247"/>
      <c r="AC20383" s="247"/>
      <c r="AT20383" s="247"/>
    </row>
    <row r="20384">
      <c r="C20384" s="277"/>
      <c r="M20384" s="277"/>
      <c r="O20384" s="247"/>
      <c r="AC20384" s="247"/>
      <c r="AT20384" s="247"/>
    </row>
    <row r="20385">
      <c r="C20385" s="277"/>
      <c r="M20385" s="277"/>
      <c r="O20385" s="247"/>
      <c r="AC20385" s="247"/>
      <c r="AT20385" s="247"/>
    </row>
    <row r="20386">
      <c r="C20386" s="277"/>
      <c r="M20386" s="277"/>
      <c r="O20386" s="247"/>
      <c r="AC20386" s="247"/>
      <c r="AT20386" s="247"/>
    </row>
    <row r="20387">
      <c r="C20387" s="277"/>
      <c r="M20387" s="277"/>
      <c r="O20387" s="247"/>
      <c r="AC20387" s="247"/>
      <c r="AT20387" s="247"/>
    </row>
    <row r="20388">
      <c r="C20388" s="277"/>
      <c r="M20388" s="277"/>
      <c r="O20388" s="247"/>
      <c r="AC20388" s="247"/>
      <c r="AT20388" s="247"/>
    </row>
    <row r="20389">
      <c r="C20389" s="277"/>
      <c r="M20389" s="277"/>
      <c r="O20389" s="247"/>
      <c r="AC20389" s="247"/>
      <c r="AT20389" s="247"/>
    </row>
    <row r="20390">
      <c r="C20390" s="277"/>
      <c r="M20390" s="277"/>
      <c r="O20390" s="247"/>
      <c r="AC20390" s="247"/>
      <c r="AT20390" s="247"/>
    </row>
    <row r="20391">
      <c r="C20391" s="277"/>
      <c r="M20391" s="277"/>
      <c r="O20391" s="247"/>
      <c r="AC20391" s="247"/>
      <c r="AT20391" s="247"/>
    </row>
    <row r="20392">
      <c r="C20392" s="277"/>
      <c r="M20392" s="277"/>
      <c r="O20392" s="247"/>
      <c r="AC20392" s="247"/>
      <c r="AT20392" s="247"/>
    </row>
    <row r="20393">
      <c r="C20393" s="277"/>
      <c r="M20393" s="277"/>
      <c r="O20393" s="247"/>
      <c r="AC20393" s="247"/>
      <c r="AT20393" s="247"/>
    </row>
    <row r="20394">
      <c r="C20394" s="277"/>
      <c r="M20394" s="277"/>
      <c r="O20394" s="247"/>
      <c r="AC20394" s="247"/>
      <c r="AT20394" s="247"/>
    </row>
    <row r="20395">
      <c r="C20395" s="277"/>
      <c r="M20395" s="277"/>
      <c r="O20395" s="247"/>
      <c r="AC20395" s="247"/>
      <c r="AT20395" s="247"/>
    </row>
    <row r="20396">
      <c r="C20396" s="277"/>
      <c r="M20396" s="277"/>
      <c r="O20396" s="247"/>
      <c r="AC20396" s="247"/>
      <c r="AT20396" s="247"/>
    </row>
    <row r="20397">
      <c r="C20397" s="277"/>
      <c r="M20397" s="277"/>
      <c r="O20397" s="247"/>
      <c r="AC20397" s="247"/>
      <c r="AT20397" s="247"/>
    </row>
    <row r="20398">
      <c r="C20398" s="277"/>
      <c r="M20398" s="277"/>
      <c r="O20398" s="247"/>
      <c r="AC20398" s="247"/>
      <c r="AT20398" s="247"/>
    </row>
    <row r="20399">
      <c r="C20399" s="277"/>
      <c r="M20399" s="277"/>
      <c r="O20399" s="247"/>
      <c r="AC20399" s="247"/>
      <c r="AT20399" s="247"/>
    </row>
    <row r="20400">
      <c r="C20400" s="277"/>
      <c r="M20400" s="277"/>
      <c r="O20400" s="247"/>
      <c r="AC20400" s="247"/>
      <c r="AT20400" s="247"/>
    </row>
    <row r="20401">
      <c r="C20401" s="277"/>
      <c r="M20401" s="277"/>
      <c r="O20401" s="247"/>
      <c r="AC20401" s="247"/>
      <c r="AT20401" s="247"/>
    </row>
    <row r="20402">
      <c r="C20402" s="277"/>
      <c r="M20402" s="277"/>
      <c r="O20402" s="247"/>
      <c r="AC20402" s="247"/>
      <c r="AT20402" s="247"/>
    </row>
    <row r="20403">
      <c r="C20403" s="277"/>
      <c r="M20403" s="277"/>
      <c r="O20403" s="247"/>
      <c r="AC20403" s="247"/>
      <c r="AT20403" s="247"/>
    </row>
    <row r="20404">
      <c r="C20404" s="277"/>
      <c r="M20404" s="277"/>
      <c r="O20404" s="247"/>
      <c r="AC20404" s="247"/>
      <c r="AT20404" s="247"/>
    </row>
    <row r="20405">
      <c r="C20405" s="277"/>
      <c r="M20405" s="277"/>
      <c r="O20405" s="247"/>
      <c r="AC20405" s="247"/>
      <c r="AT20405" s="247"/>
    </row>
    <row r="20406">
      <c r="C20406" s="277"/>
      <c r="M20406" s="277"/>
      <c r="O20406" s="247"/>
      <c r="AC20406" s="247"/>
      <c r="AT20406" s="247"/>
    </row>
    <row r="20407">
      <c r="C20407" s="277"/>
      <c r="M20407" s="277"/>
      <c r="O20407" s="247"/>
      <c r="AC20407" s="247"/>
      <c r="AT20407" s="247"/>
    </row>
    <row r="20408">
      <c r="C20408" s="277"/>
      <c r="M20408" s="277"/>
      <c r="O20408" s="247"/>
      <c r="AC20408" s="247"/>
      <c r="AT20408" s="247"/>
    </row>
    <row r="20409">
      <c r="C20409" s="277"/>
      <c r="M20409" s="277"/>
      <c r="O20409" s="247"/>
      <c r="AC20409" s="247"/>
      <c r="AT20409" s="247"/>
    </row>
    <row r="20410">
      <c r="C20410" s="277"/>
      <c r="M20410" s="277"/>
      <c r="O20410" s="247"/>
      <c r="AC20410" s="247"/>
      <c r="AT20410" s="247"/>
    </row>
    <row r="20411">
      <c r="C20411" s="277"/>
      <c r="M20411" s="277"/>
      <c r="O20411" s="247"/>
      <c r="AC20411" s="247"/>
      <c r="AT20411" s="247"/>
    </row>
    <row r="20412">
      <c r="C20412" s="277"/>
      <c r="M20412" s="277"/>
      <c r="O20412" s="247"/>
      <c r="AC20412" s="247"/>
      <c r="AT20412" s="247"/>
    </row>
    <row r="20413">
      <c r="C20413" s="277"/>
      <c r="M20413" s="277"/>
      <c r="O20413" s="247"/>
      <c r="AC20413" s="247"/>
      <c r="AT20413" s="247"/>
    </row>
    <row r="20414">
      <c r="C20414" s="277"/>
      <c r="M20414" s="277"/>
      <c r="O20414" s="247"/>
      <c r="AC20414" s="247"/>
      <c r="AT20414" s="247"/>
    </row>
    <row r="20415">
      <c r="C20415" s="277"/>
      <c r="M20415" s="277"/>
      <c r="O20415" s="247"/>
      <c r="AC20415" s="247"/>
      <c r="AT20415" s="247"/>
    </row>
    <row r="20416">
      <c r="C20416" s="277"/>
      <c r="M20416" s="277"/>
      <c r="O20416" s="247"/>
      <c r="AC20416" s="247"/>
      <c r="AT20416" s="247"/>
    </row>
    <row r="20417">
      <c r="C20417" s="277"/>
      <c r="M20417" s="277"/>
      <c r="O20417" s="247"/>
      <c r="AC20417" s="247"/>
      <c r="AT20417" s="247"/>
    </row>
    <row r="20418">
      <c r="C20418" s="277"/>
      <c r="M20418" s="277"/>
      <c r="O20418" s="247"/>
      <c r="AC20418" s="247"/>
      <c r="AT20418" s="247"/>
    </row>
    <row r="20419">
      <c r="C20419" s="277"/>
      <c r="M20419" s="277"/>
      <c r="O20419" s="247"/>
      <c r="AC20419" s="247"/>
      <c r="AT20419" s="247"/>
    </row>
    <row r="20420">
      <c r="C20420" s="277"/>
      <c r="M20420" s="277"/>
      <c r="O20420" s="247"/>
      <c r="AC20420" s="247"/>
      <c r="AT20420" s="247"/>
    </row>
    <row r="20421">
      <c r="C20421" s="277"/>
      <c r="M20421" s="277"/>
      <c r="O20421" s="247"/>
      <c r="AC20421" s="247"/>
      <c r="AT20421" s="247"/>
    </row>
    <row r="20422">
      <c r="C20422" s="277"/>
      <c r="M20422" s="277"/>
      <c r="O20422" s="247"/>
      <c r="AC20422" s="247"/>
      <c r="AT20422" s="247"/>
    </row>
    <row r="20423">
      <c r="C20423" s="277"/>
      <c r="M20423" s="277"/>
      <c r="O20423" s="247"/>
      <c r="AC20423" s="247"/>
      <c r="AT20423" s="247"/>
    </row>
    <row r="20424">
      <c r="C20424" s="277"/>
      <c r="M20424" s="277"/>
      <c r="O20424" s="247"/>
      <c r="AC20424" s="247"/>
      <c r="AT20424" s="247"/>
    </row>
    <row r="20425">
      <c r="C20425" s="277"/>
      <c r="M20425" s="277"/>
      <c r="O20425" s="247"/>
      <c r="AC20425" s="247"/>
      <c r="AT20425" s="247"/>
    </row>
    <row r="20426">
      <c r="C20426" s="277"/>
      <c r="M20426" s="277"/>
      <c r="O20426" s="247"/>
      <c r="AC20426" s="247"/>
      <c r="AT20426" s="247"/>
    </row>
    <row r="20427">
      <c r="C20427" s="277"/>
      <c r="M20427" s="277"/>
      <c r="O20427" s="247"/>
      <c r="AC20427" s="247"/>
      <c r="AT20427" s="247"/>
    </row>
    <row r="20428">
      <c r="C20428" s="277"/>
      <c r="M20428" s="277"/>
      <c r="O20428" s="247"/>
      <c r="AC20428" s="247"/>
      <c r="AT20428" s="247"/>
    </row>
    <row r="20429">
      <c r="C20429" s="277"/>
      <c r="M20429" s="277"/>
      <c r="O20429" s="247"/>
      <c r="AC20429" s="247"/>
      <c r="AT20429" s="247"/>
    </row>
    <row r="20430">
      <c r="C20430" s="277"/>
      <c r="M20430" s="277"/>
      <c r="O20430" s="247"/>
      <c r="AC20430" s="247"/>
      <c r="AT20430" s="247"/>
    </row>
    <row r="20431">
      <c r="C20431" s="277"/>
      <c r="M20431" s="277"/>
      <c r="O20431" s="247"/>
      <c r="AC20431" s="247"/>
      <c r="AT20431" s="247"/>
    </row>
    <row r="20432">
      <c r="C20432" s="277"/>
      <c r="M20432" s="277"/>
      <c r="O20432" s="247"/>
      <c r="AC20432" s="247"/>
      <c r="AT20432" s="247"/>
    </row>
    <row r="20433">
      <c r="C20433" s="277"/>
      <c r="M20433" s="277"/>
      <c r="O20433" s="247"/>
      <c r="AC20433" s="247"/>
      <c r="AT20433" s="247"/>
    </row>
    <row r="20434">
      <c r="C20434" s="277"/>
      <c r="M20434" s="277"/>
      <c r="O20434" s="247"/>
      <c r="AC20434" s="247"/>
      <c r="AT20434" s="247"/>
    </row>
    <row r="20435">
      <c r="C20435" s="277"/>
      <c r="M20435" s="277"/>
      <c r="O20435" s="247"/>
      <c r="AC20435" s="247"/>
      <c r="AT20435" s="247"/>
    </row>
    <row r="20436">
      <c r="C20436" s="277"/>
      <c r="M20436" s="277"/>
      <c r="O20436" s="247"/>
      <c r="AC20436" s="247"/>
      <c r="AT20436" s="247"/>
    </row>
    <row r="20437">
      <c r="C20437" s="277"/>
      <c r="M20437" s="277"/>
      <c r="O20437" s="247"/>
      <c r="AC20437" s="247"/>
      <c r="AT20437" s="247"/>
    </row>
    <row r="20438">
      <c r="C20438" s="277"/>
      <c r="M20438" s="277"/>
      <c r="O20438" s="247"/>
      <c r="AC20438" s="247"/>
      <c r="AT20438" s="247"/>
    </row>
    <row r="20439">
      <c r="C20439" s="277"/>
      <c r="M20439" s="277"/>
      <c r="O20439" s="247"/>
      <c r="AC20439" s="247"/>
      <c r="AT20439" s="247"/>
    </row>
    <row r="20440">
      <c r="C20440" s="277"/>
      <c r="M20440" s="277"/>
      <c r="O20440" s="247"/>
      <c r="AC20440" s="247"/>
      <c r="AT20440" s="247"/>
    </row>
    <row r="20441">
      <c r="C20441" s="277"/>
      <c r="M20441" s="277"/>
      <c r="O20441" s="247"/>
      <c r="AC20441" s="247"/>
      <c r="AT20441" s="247"/>
    </row>
    <row r="20442">
      <c r="C20442" s="277"/>
      <c r="M20442" s="277"/>
      <c r="O20442" s="247"/>
      <c r="AC20442" s="247"/>
      <c r="AT20442" s="247"/>
    </row>
    <row r="20443">
      <c r="C20443" s="277"/>
      <c r="M20443" s="277"/>
      <c r="O20443" s="247"/>
      <c r="AC20443" s="247"/>
      <c r="AT20443" s="247"/>
    </row>
    <row r="20444">
      <c r="C20444" s="277"/>
      <c r="M20444" s="277"/>
      <c r="O20444" s="247"/>
      <c r="AC20444" s="247"/>
      <c r="AT20444" s="247"/>
    </row>
    <row r="20445">
      <c r="C20445" s="277"/>
      <c r="M20445" s="277"/>
      <c r="O20445" s="247"/>
      <c r="AC20445" s="247"/>
      <c r="AT20445" s="247"/>
    </row>
    <row r="20446">
      <c r="C20446" s="277"/>
      <c r="M20446" s="277"/>
      <c r="O20446" s="247"/>
      <c r="AC20446" s="247"/>
      <c r="AT20446" s="247"/>
    </row>
    <row r="20447">
      <c r="C20447" s="277"/>
      <c r="M20447" s="277"/>
      <c r="O20447" s="247"/>
      <c r="AC20447" s="247"/>
      <c r="AT20447" s="247"/>
    </row>
    <row r="20448">
      <c r="C20448" s="277"/>
      <c r="M20448" s="277"/>
      <c r="O20448" s="247"/>
      <c r="AC20448" s="247"/>
      <c r="AT20448" s="247"/>
    </row>
    <row r="20449">
      <c r="C20449" s="277"/>
      <c r="M20449" s="277"/>
      <c r="O20449" s="247"/>
      <c r="AC20449" s="247"/>
      <c r="AT20449" s="247"/>
    </row>
    <row r="20450">
      <c r="C20450" s="277"/>
      <c r="M20450" s="277"/>
      <c r="O20450" s="247"/>
      <c r="AC20450" s="247"/>
      <c r="AT20450" s="247"/>
    </row>
    <row r="20451">
      <c r="C20451" s="277"/>
      <c r="M20451" s="277"/>
      <c r="O20451" s="247"/>
      <c r="AC20451" s="247"/>
      <c r="AT20451" s="247"/>
    </row>
    <row r="20452">
      <c r="C20452" s="277"/>
      <c r="M20452" s="277"/>
      <c r="O20452" s="247"/>
      <c r="AC20452" s="247"/>
      <c r="AT20452" s="247"/>
    </row>
    <row r="20453">
      <c r="C20453" s="277"/>
      <c r="M20453" s="277"/>
      <c r="O20453" s="247"/>
      <c r="AC20453" s="247"/>
      <c r="AT20453" s="247"/>
    </row>
    <row r="20454">
      <c r="C20454" s="277"/>
      <c r="M20454" s="277"/>
      <c r="O20454" s="247"/>
      <c r="AC20454" s="247"/>
      <c r="AT20454" s="247"/>
    </row>
    <row r="20455">
      <c r="C20455" s="277"/>
      <c r="M20455" s="277"/>
      <c r="O20455" s="247"/>
      <c r="AC20455" s="247"/>
      <c r="AT20455" s="247"/>
    </row>
    <row r="20456">
      <c r="C20456" s="277"/>
      <c r="M20456" s="277"/>
      <c r="O20456" s="247"/>
      <c r="AC20456" s="247"/>
      <c r="AT20456" s="247"/>
    </row>
    <row r="20457">
      <c r="C20457" s="277"/>
      <c r="M20457" s="277"/>
      <c r="O20457" s="247"/>
      <c r="AC20457" s="247"/>
      <c r="AT20457" s="247"/>
    </row>
    <row r="20458">
      <c r="C20458" s="277"/>
      <c r="M20458" s="277"/>
      <c r="O20458" s="247"/>
      <c r="AC20458" s="247"/>
      <c r="AT20458" s="247"/>
    </row>
    <row r="20459">
      <c r="C20459" s="277"/>
      <c r="M20459" s="277"/>
      <c r="O20459" s="247"/>
      <c r="AC20459" s="247"/>
      <c r="AT20459" s="247"/>
    </row>
    <row r="20460">
      <c r="C20460" s="277"/>
      <c r="M20460" s="277"/>
      <c r="O20460" s="247"/>
      <c r="AC20460" s="247"/>
      <c r="AT20460" s="247"/>
    </row>
    <row r="20461">
      <c r="C20461" s="277"/>
      <c r="M20461" s="277"/>
      <c r="O20461" s="247"/>
      <c r="AC20461" s="247"/>
      <c r="AT20461" s="247"/>
    </row>
    <row r="20462">
      <c r="C20462" s="277"/>
      <c r="M20462" s="277"/>
      <c r="O20462" s="247"/>
      <c r="AC20462" s="247"/>
      <c r="AT20462" s="247"/>
    </row>
    <row r="20463">
      <c r="C20463" s="277"/>
      <c r="M20463" s="277"/>
      <c r="O20463" s="247"/>
      <c r="AC20463" s="247"/>
      <c r="AT20463" s="247"/>
    </row>
    <row r="20464">
      <c r="C20464" s="277"/>
      <c r="M20464" s="277"/>
      <c r="O20464" s="247"/>
      <c r="AC20464" s="247"/>
      <c r="AT20464" s="247"/>
    </row>
    <row r="20465">
      <c r="C20465" s="277"/>
      <c r="M20465" s="277"/>
      <c r="O20465" s="247"/>
      <c r="AC20465" s="247"/>
      <c r="AT20465" s="247"/>
    </row>
    <row r="20466">
      <c r="C20466" s="277"/>
      <c r="M20466" s="277"/>
      <c r="O20466" s="247"/>
      <c r="AC20466" s="247"/>
      <c r="AT20466" s="247"/>
    </row>
    <row r="20467">
      <c r="C20467" s="277"/>
      <c r="M20467" s="277"/>
      <c r="O20467" s="247"/>
      <c r="AC20467" s="247"/>
      <c r="AT20467" s="247"/>
    </row>
    <row r="20468">
      <c r="C20468" s="277"/>
      <c r="M20468" s="277"/>
      <c r="O20468" s="247"/>
      <c r="AC20468" s="247"/>
      <c r="AT20468" s="247"/>
    </row>
    <row r="20469">
      <c r="C20469" s="277"/>
      <c r="M20469" s="277"/>
      <c r="O20469" s="247"/>
      <c r="AC20469" s="247"/>
      <c r="AT20469" s="247"/>
    </row>
    <row r="20470">
      <c r="C20470" s="277"/>
      <c r="M20470" s="277"/>
      <c r="O20470" s="247"/>
      <c r="AC20470" s="247"/>
      <c r="AT20470" s="247"/>
    </row>
    <row r="20471">
      <c r="C20471" s="277"/>
      <c r="M20471" s="277"/>
      <c r="O20471" s="247"/>
      <c r="AC20471" s="247"/>
      <c r="AT20471" s="247"/>
    </row>
    <row r="20472">
      <c r="C20472" s="277"/>
      <c r="M20472" s="277"/>
      <c r="O20472" s="247"/>
      <c r="AC20472" s="247"/>
      <c r="AT20472" s="247"/>
    </row>
    <row r="20473">
      <c r="C20473" s="277"/>
      <c r="M20473" s="277"/>
      <c r="O20473" s="247"/>
      <c r="AC20473" s="247"/>
      <c r="AT20473" s="247"/>
    </row>
    <row r="20474">
      <c r="C20474" s="277"/>
      <c r="M20474" s="277"/>
      <c r="O20474" s="247"/>
      <c r="AC20474" s="247"/>
      <c r="AT20474" s="247"/>
    </row>
    <row r="20475">
      <c r="C20475" s="277"/>
      <c r="M20475" s="277"/>
      <c r="O20475" s="247"/>
      <c r="AC20475" s="247"/>
      <c r="AT20475" s="247"/>
    </row>
    <row r="20476">
      <c r="C20476" s="277"/>
      <c r="M20476" s="277"/>
      <c r="O20476" s="247"/>
      <c r="AC20476" s="247"/>
      <c r="AT20476" s="247"/>
    </row>
    <row r="20477">
      <c r="C20477" s="277"/>
      <c r="M20477" s="277"/>
      <c r="O20477" s="247"/>
      <c r="AC20477" s="247"/>
      <c r="AT20477" s="247"/>
    </row>
    <row r="20478">
      <c r="C20478" s="277"/>
      <c r="M20478" s="277"/>
      <c r="O20478" s="247"/>
      <c r="AC20478" s="247"/>
      <c r="AT20478" s="247"/>
    </row>
    <row r="20479">
      <c r="C20479" s="277"/>
      <c r="M20479" s="277"/>
      <c r="O20479" s="247"/>
      <c r="AC20479" s="247"/>
      <c r="AT20479" s="247"/>
    </row>
    <row r="20480">
      <c r="C20480" s="277"/>
      <c r="M20480" s="277"/>
      <c r="O20480" s="247"/>
      <c r="AC20480" s="247"/>
      <c r="AT20480" s="247"/>
    </row>
    <row r="20481">
      <c r="C20481" s="277"/>
      <c r="M20481" s="277"/>
      <c r="O20481" s="247"/>
      <c r="AC20481" s="247"/>
      <c r="AT20481" s="247"/>
    </row>
    <row r="20482">
      <c r="C20482" s="277"/>
      <c r="M20482" s="277"/>
      <c r="O20482" s="247"/>
      <c r="AC20482" s="247"/>
      <c r="AT20482" s="247"/>
    </row>
    <row r="20483">
      <c r="C20483" s="277"/>
      <c r="M20483" s="277"/>
      <c r="O20483" s="247"/>
      <c r="AC20483" s="247"/>
      <c r="AT20483" s="247"/>
    </row>
    <row r="20484">
      <c r="C20484" s="277"/>
      <c r="M20484" s="277"/>
      <c r="O20484" s="247"/>
      <c r="AC20484" s="247"/>
      <c r="AT20484" s="247"/>
    </row>
    <row r="20485">
      <c r="C20485" s="277"/>
      <c r="M20485" s="277"/>
      <c r="O20485" s="247"/>
      <c r="AC20485" s="247"/>
      <c r="AT20485" s="247"/>
    </row>
    <row r="20486">
      <c r="C20486" s="277"/>
      <c r="M20486" s="277"/>
      <c r="O20486" s="247"/>
      <c r="AC20486" s="247"/>
      <c r="AT20486" s="247"/>
    </row>
    <row r="20487">
      <c r="C20487" s="277"/>
      <c r="M20487" s="277"/>
      <c r="O20487" s="247"/>
      <c r="AC20487" s="247"/>
      <c r="AT20487" s="247"/>
    </row>
    <row r="20488">
      <c r="C20488" s="277"/>
      <c r="M20488" s="277"/>
      <c r="O20488" s="247"/>
      <c r="AC20488" s="247"/>
      <c r="AT20488" s="247"/>
    </row>
    <row r="20489">
      <c r="C20489" s="277"/>
      <c r="M20489" s="277"/>
      <c r="O20489" s="247"/>
      <c r="AC20489" s="247"/>
      <c r="AT20489" s="247"/>
    </row>
    <row r="20490">
      <c r="C20490" s="277"/>
      <c r="M20490" s="277"/>
      <c r="O20490" s="247"/>
      <c r="AC20490" s="247"/>
      <c r="AT20490" s="247"/>
    </row>
    <row r="20491">
      <c r="C20491" s="277"/>
      <c r="M20491" s="277"/>
      <c r="O20491" s="247"/>
      <c r="AC20491" s="247"/>
      <c r="AT20491" s="247"/>
    </row>
    <row r="20492">
      <c r="C20492" s="277"/>
      <c r="M20492" s="277"/>
      <c r="O20492" s="247"/>
      <c r="AC20492" s="247"/>
      <c r="AT20492" s="247"/>
    </row>
    <row r="20493">
      <c r="C20493" s="277"/>
      <c r="M20493" s="277"/>
      <c r="O20493" s="247"/>
      <c r="AC20493" s="247"/>
      <c r="AT20493" s="247"/>
    </row>
    <row r="20494">
      <c r="C20494" s="277"/>
      <c r="M20494" s="277"/>
      <c r="O20494" s="247"/>
      <c r="AC20494" s="247"/>
      <c r="AT20494" s="247"/>
    </row>
    <row r="20495">
      <c r="C20495" s="277"/>
      <c r="M20495" s="277"/>
      <c r="O20495" s="247"/>
      <c r="AC20495" s="247"/>
      <c r="AT20495" s="247"/>
    </row>
    <row r="20496">
      <c r="C20496" s="277"/>
      <c r="M20496" s="277"/>
      <c r="O20496" s="247"/>
      <c r="AC20496" s="247"/>
      <c r="AT20496" s="247"/>
    </row>
    <row r="20497">
      <c r="C20497" s="277"/>
      <c r="M20497" s="277"/>
      <c r="O20497" s="247"/>
      <c r="AC20497" s="247"/>
      <c r="AT20497" s="247"/>
    </row>
    <row r="20498">
      <c r="C20498" s="277"/>
      <c r="M20498" s="277"/>
      <c r="O20498" s="247"/>
      <c r="AC20498" s="247"/>
      <c r="AT20498" s="247"/>
    </row>
    <row r="20499">
      <c r="C20499" s="277"/>
      <c r="M20499" s="277"/>
      <c r="O20499" s="247"/>
      <c r="AC20499" s="247"/>
      <c r="AT20499" s="247"/>
    </row>
    <row r="20500">
      <c r="C20500" s="277"/>
      <c r="M20500" s="277"/>
      <c r="O20500" s="247"/>
      <c r="AC20500" s="247"/>
      <c r="AT20500" s="247"/>
    </row>
    <row r="20501">
      <c r="C20501" s="277"/>
      <c r="M20501" s="277"/>
      <c r="O20501" s="247"/>
      <c r="AC20501" s="247"/>
      <c r="AT20501" s="247"/>
    </row>
    <row r="20502">
      <c r="C20502" s="277"/>
      <c r="M20502" s="277"/>
      <c r="O20502" s="247"/>
      <c r="AC20502" s="247"/>
      <c r="AT20502" s="247"/>
    </row>
    <row r="20503">
      <c r="C20503" s="277"/>
      <c r="M20503" s="277"/>
      <c r="O20503" s="247"/>
      <c r="AC20503" s="247"/>
      <c r="AT20503" s="247"/>
    </row>
    <row r="20504">
      <c r="C20504" s="277"/>
      <c r="M20504" s="277"/>
      <c r="O20504" s="247"/>
      <c r="AC20504" s="247"/>
      <c r="AT20504" s="247"/>
    </row>
    <row r="20505">
      <c r="C20505" s="277"/>
      <c r="M20505" s="277"/>
      <c r="O20505" s="247"/>
      <c r="AC20505" s="247"/>
      <c r="AT20505" s="247"/>
    </row>
    <row r="20506">
      <c r="C20506" s="277"/>
      <c r="M20506" s="277"/>
      <c r="O20506" s="247"/>
      <c r="AC20506" s="247"/>
      <c r="AT20506" s="247"/>
    </row>
    <row r="20507">
      <c r="C20507" s="277"/>
      <c r="M20507" s="277"/>
      <c r="O20507" s="247"/>
      <c r="AC20507" s="247"/>
      <c r="AT20507" s="247"/>
    </row>
    <row r="20508">
      <c r="C20508" s="277"/>
      <c r="M20508" s="277"/>
      <c r="O20508" s="247"/>
      <c r="AC20508" s="247"/>
      <c r="AT20508" s="247"/>
    </row>
    <row r="20509">
      <c r="C20509" s="277"/>
      <c r="M20509" s="277"/>
      <c r="O20509" s="247"/>
      <c r="AC20509" s="247"/>
      <c r="AT20509" s="247"/>
    </row>
    <row r="20510">
      <c r="C20510" s="277"/>
      <c r="M20510" s="277"/>
      <c r="O20510" s="247"/>
      <c r="AC20510" s="247"/>
      <c r="AT20510" s="247"/>
    </row>
    <row r="20511">
      <c r="C20511" s="277"/>
      <c r="M20511" s="277"/>
      <c r="O20511" s="247"/>
      <c r="AC20511" s="247"/>
      <c r="AT20511" s="247"/>
    </row>
    <row r="20512">
      <c r="C20512" s="277"/>
      <c r="M20512" s="277"/>
      <c r="O20512" s="247"/>
      <c r="AC20512" s="247"/>
      <c r="AT20512" s="247"/>
    </row>
    <row r="20513">
      <c r="C20513" s="277"/>
      <c r="M20513" s="277"/>
      <c r="O20513" s="247"/>
      <c r="AC20513" s="247"/>
      <c r="AT20513" s="247"/>
    </row>
    <row r="20514">
      <c r="C20514" s="277"/>
      <c r="M20514" s="277"/>
      <c r="O20514" s="247"/>
      <c r="AC20514" s="247"/>
      <c r="AT20514" s="247"/>
    </row>
    <row r="20515">
      <c r="C20515" s="277"/>
      <c r="M20515" s="277"/>
      <c r="O20515" s="247"/>
      <c r="AC20515" s="247"/>
      <c r="AT20515" s="247"/>
    </row>
    <row r="20516">
      <c r="C20516" s="277"/>
      <c r="M20516" s="277"/>
      <c r="O20516" s="247"/>
      <c r="AC20516" s="247"/>
      <c r="AT20516" s="247"/>
    </row>
    <row r="20517">
      <c r="C20517" s="277"/>
      <c r="M20517" s="277"/>
      <c r="O20517" s="247"/>
      <c r="AC20517" s="247"/>
      <c r="AT20517" s="247"/>
    </row>
    <row r="20518">
      <c r="C20518" s="277"/>
      <c r="M20518" s="277"/>
      <c r="O20518" s="247"/>
      <c r="AC20518" s="247"/>
      <c r="AT20518" s="247"/>
    </row>
    <row r="20519">
      <c r="C20519" s="277"/>
      <c r="M20519" s="277"/>
      <c r="O20519" s="247"/>
      <c r="AC20519" s="247"/>
      <c r="AT20519" s="247"/>
    </row>
    <row r="20520">
      <c r="C20520" s="277"/>
      <c r="M20520" s="277"/>
      <c r="O20520" s="247"/>
      <c r="AC20520" s="247"/>
      <c r="AT20520" s="247"/>
    </row>
    <row r="20521">
      <c r="C20521" s="277"/>
      <c r="M20521" s="277"/>
      <c r="O20521" s="247"/>
      <c r="AC20521" s="247"/>
      <c r="AT20521" s="247"/>
    </row>
    <row r="20522">
      <c r="C20522" s="277"/>
      <c r="M20522" s="277"/>
      <c r="O20522" s="247"/>
      <c r="AC20522" s="247"/>
      <c r="AT20522" s="247"/>
    </row>
    <row r="20523">
      <c r="C20523" s="277"/>
      <c r="M20523" s="277"/>
      <c r="O20523" s="247"/>
      <c r="AC20523" s="247"/>
      <c r="AT20523" s="247"/>
    </row>
    <row r="20524">
      <c r="C20524" s="277"/>
      <c r="M20524" s="277"/>
      <c r="O20524" s="247"/>
      <c r="AC20524" s="247"/>
      <c r="AT20524" s="247"/>
    </row>
    <row r="20525">
      <c r="C20525" s="277"/>
      <c r="M20525" s="277"/>
      <c r="O20525" s="247"/>
      <c r="AC20525" s="247"/>
      <c r="AT20525" s="247"/>
    </row>
    <row r="20526">
      <c r="C20526" s="277"/>
      <c r="M20526" s="277"/>
      <c r="O20526" s="247"/>
      <c r="AC20526" s="247"/>
      <c r="AT20526" s="247"/>
    </row>
    <row r="20527">
      <c r="C20527" s="277"/>
      <c r="M20527" s="277"/>
      <c r="O20527" s="247"/>
      <c r="AC20527" s="247"/>
      <c r="AT20527" s="247"/>
    </row>
    <row r="20528">
      <c r="C20528" s="277"/>
      <c r="M20528" s="277"/>
      <c r="O20528" s="247"/>
      <c r="AC20528" s="247"/>
      <c r="AT20528" s="247"/>
    </row>
    <row r="20529">
      <c r="C20529" s="277"/>
      <c r="M20529" s="277"/>
      <c r="O20529" s="247"/>
      <c r="AC20529" s="247"/>
      <c r="AT20529" s="247"/>
    </row>
    <row r="20530">
      <c r="C20530" s="277"/>
      <c r="M20530" s="277"/>
      <c r="O20530" s="247"/>
      <c r="AC20530" s="247"/>
      <c r="AT20530" s="247"/>
    </row>
    <row r="20531">
      <c r="C20531" s="277"/>
      <c r="M20531" s="277"/>
      <c r="O20531" s="247"/>
      <c r="AC20531" s="247"/>
      <c r="AT20531" s="247"/>
    </row>
    <row r="20532">
      <c r="C20532" s="277"/>
      <c r="M20532" s="277"/>
      <c r="O20532" s="247"/>
      <c r="AC20532" s="247"/>
      <c r="AT20532" s="247"/>
    </row>
    <row r="20533">
      <c r="C20533" s="277"/>
      <c r="M20533" s="277"/>
      <c r="O20533" s="247"/>
      <c r="AC20533" s="247"/>
      <c r="AT20533" s="247"/>
    </row>
    <row r="20534">
      <c r="C20534" s="277"/>
      <c r="M20534" s="277"/>
      <c r="O20534" s="247"/>
      <c r="AC20534" s="247"/>
      <c r="AT20534" s="247"/>
    </row>
    <row r="20535">
      <c r="C20535" s="277"/>
      <c r="M20535" s="277"/>
      <c r="O20535" s="247"/>
      <c r="AC20535" s="247"/>
      <c r="AT20535" s="247"/>
    </row>
    <row r="20536">
      <c r="C20536" s="277"/>
      <c r="M20536" s="277"/>
      <c r="O20536" s="247"/>
      <c r="AC20536" s="247"/>
      <c r="AT20536" s="247"/>
    </row>
    <row r="20537">
      <c r="C20537" s="277"/>
      <c r="M20537" s="277"/>
      <c r="O20537" s="247"/>
      <c r="AC20537" s="247"/>
      <c r="AT20537" s="247"/>
    </row>
    <row r="20538">
      <c r="C20538" s="277"/>
      <c r="M20538" s="277"/>
      <c r="O20538" s="247"/>
      <c r="AC20538" s="247"/>
      <c r="AT20538" s="247"/>
    </row>
    <row r="20539">
      <c r="C20539" s="277"/>
      <c r="M20539" s="277"/>
      <c r="O20539" s="247"/>
      <c r="AC20539" s="247"/>
      <c r="AT20539" s="247"/>
    </row>
    <row r="20540">
      <c r="C20540" s="277"/>
      <c r="M20540" s="277"/>
      <c r="O20540" s="247"/>
      <c r="AC20540" s="247"/>
      <c r="AT20540" s="247"/>
    </row>
    <row r="20541">
      <c r="C20541" s="277"/>
      <c r="M20541" s="277"/>
      <c r="O20541" s="247"/>
      <c r="AC20541" s="247"/>
      <c r="AT20541" s="247"/>
    </row>
    <row r="20542">
      <c r="C20542" s="277"/>
      <c r="M20542" s="277"/>
      <c r="O20542" s="247"/>
      <c r="AC20542" s="247"/>
      <c r="AT20542" s="247"/>
    </row>
    <row r="20543">
      <c r="C20543" s="277"/>
      <c r="M20543" s="277"/>
      <c r="O20543" s="247"/>
      <c r="AC20543" s="247"/>
      <c r="AT20543" s="247"/>
    </row>
    <row r="20544">
      <c r="C20544" s="277"/>
      <c r="M20544" s="277"/>
      <c r="O20544" s="247"/>
      <c r="AC20544" s="247"/>
      <c r="AT20544" s="247"/>
    </row>
    <row r="20545">
      <c r="C20545" s="277"/>
      <c r="M20545" s="277"/>
      <c r="O20545" s="247"/>
      <c r="AC20545" s="247"/>
      <c r="AT20545" s="247"/>
    </row>
    <row r="20546">
      <c r="C20546" s="277"/>
      <c r="M20546" s="277"/>
      <c r="O20546" s="247"/>
      <c r="AC20546" s="247"/>
      <c r="AT20546" s="247"/>
    </row>
    <row r="20547">
      <c r="C20547" s="277"/>
      <c r="M20547" s="277"/>
      <c r="O20547" s="247"/>
      <c r="AC20547" s="247"/>
      <c r="AT20547" s="247"/>
    </row>
    <row r="20548">
      <c r="C20548" s="277"/>
      <c r="M20548" s="277"/>
      <c r="O20548" s="247"/>
      <c r="AC20548" s="247"/>
      <c r="AT20548" s="247"/>
    </row>
    <row r="20549">
      <c r="C20549" s="277"/>
      <c r="M20549" s="277"/>
      <c r="O20549" s="247"/>
      <c r="AC20549" s="247"/>
      <c r="AT20549" s="247"/>
    </row>
    <row r="20550">
      <c r="C20550" s="277"/>
      <c r="M20550" s="277"/>
      <c r="O20550" s="247"/>
      <c r="AC20550" s="247"/>
      <c r="AT20550" s="247"/>
    </row>
    <row r="20551">
      <c r="C20551" s="277"/>
      <c r="M20551" s="277"/>
      <c r="O20551" s="247"/>
      <c r="AC20551" s="247"/>
      <c r="AT20551" s="247"/>
    </row>
    <row r="20552">
      <c r="C20552" s="277"/>
      <c r="M20552" s="277"/>
      <c r="O20552" s="247"/>
      <c r="AC20552" s="247"/>
      <c r="AT20552" s="247"/>
    </row>
    <row r="20553">
      <c r="C20553" s="277"/>
      <c r="M20553" s="277"/>
      <c r="O20553" s="247"/>
      <c r="AC20553" s="247"/>
      <c r="AT20553" s="247"/>
    </row>
    <row r="20554">
      <c r="C20554" s="277"/>
      <c r="M20554" s="277"/>
      <c r="O20554" s="247"/>
      <c r="AC20554" s="247"/>
      <c r="AT20554" s="247"/>
    </row>
    <row r="20555">
      <c r="C20555" s="277"/>
      <c r="M20555" s="277"/>
      <c r="O20555" s="247"/>
      <c r="AC20555" s="247"/>
      <c r="AT20555" s="247"/>
    </row>
    <row r="20556">
      <c r="C20556" s="277"/>
      <c r="M20556" s="277"/>
      <c r="O20556" s="247"/>
      <c r="AC20556" s="247"/>
      <c r="AT20556" s="247"/>
    </row>
    <row r="20557">
      <c r="C20557" s="277"/>
      <c r="M20557" s="277"/>
      <c r="O20557" s="247"/>
      <c r="AC20557" s="247"/>
      <c r="AT20557" s="247"/>
    </row>
    <row r="20558">
      <c r="C20558" s="277"/>
      <c r="M20558" s="277"/>
      <c r="O20558" s="247"/>
      <c r="AC20558" s="247"/>
      <c r="AT20558" s="247"/>
    </row>
    <row r="20559">
      <c r="C20559" s="277"/>
      <c r="M20559" s="277"/>
      <c r="O20559" s="247"/>
      <c r="AC20559" s="247"/>
      <c r="AT20559" s="247"/>
    </row>
    <row r="20560">
      <c r="C20560" s="277"/>
      <c r="M20560" s="277"/>
      <c r="O20560" s="247"/>
      <c r="AC20560" s="247"/>
      <c r="AT20560" s="247"/>
    </row>
    <row r="20561">
      <c r="C20561" s="277"/>
      <c r="M20561" s="277"/>
      <c r="O20561" s="247"/>
      <c r="AC20561" s="247"/>
      <c r="AT20561" s="247"/>
    </row>
    <row r="20562">
      <c r="C20562" s="277"/>
      <c r="M20562" s="277"/>
      <c r="O20562" s="247"/>
      <c r="AC20562" s="247"/>
      <c r="AT20562" s="247"/>
    </row>
    <row r="20563">
      <c r="C20563" s="277"/>
      <c r="M20563" s="277"/>
      <c r="O20563" s="247"/>
      <c r="AC20563" s="247"/>
      <c r="AT20563" s="247"/>
    </row>
    <row r="20564">
      <c r="C20564" s="277"/>
      <c r="M20564" s="277"/>
      <c r="O20564" s="247"/>
      <c r="AC20564" s="247"/>
      <c r="AT20564" s="247"/>
    </row>
    <row r="20565">
      <c r="C20565" s="277"/>
      <c r="M20565" s="277"/>
      <c r="O20565" s="247"/>
      <c r="AC20565" s="247"/>
      <c r="AT20565" s="247"/>
    </row>
    <row r="20566">
      <c r="C20566" s="277"/>
      <c r="M20566" s="277"/>
      <c r="O20566" s="247"/>
      <c r="AC20566" s="247"/>
      <c r="AT20566" s="247"/>
    </row>
    <row r="20567">
      <c r="C20567" s="277"/>
      <c r="M20567" s="277"/>
      <c r="O20567" s="247"/>
      <c r="AC20567" s="247"/>
      <c r="AT20567" s="247"/>
    </row>
    <row r="20568">
      <c r="C20568" s="277"/>
      <c r="M20568" s="277"/>
      <c r="O20568" s="247"/>
      <c r="AC20568" s="247"/>
      <c r="AT20568" s="247"/>
    </row>
    <row r="20569">
      <c r="C20569" s="277"/>
      <c r="M20569" s="277"/>
      <c r="O20569" s="247"/>
      <c r="AC20569" s="247"/>
      <c r="AT20569" s="247"/>
    </row>
    <row r="20570">
      <c r="C20570" s="277"/>
      <c r="M20570" s="277"/>
      <c r="O20570" s="247"/>
      <c r="AC20570" s="247"/>
      <c r="AT20570" s="247"/>
    </row>
    <row r="20571">
      <c r="C20571" s="277"/>
      <c r="M20571" s="277"/>
      <c r="O20571" s="247"/>
      <c r="AC20571" s="247"/>
      <c r="AT20571" s="247"/>
    </row>
    <row r="20572">
      <c r="C20572" s="277"/>
      <c r="M20572" s="277"/>
      <c r="O20572" s="247"/>
      <c r="AC20572" s="247"/>
      <c r="AT20572" s="247"/>
    </row>
    <row r="20573">
      <c r="C20573" s="277"/>
      <c r="M20573" s="277"/>
      <c r="O20573" s="247"/>
      <c r="AC20573" s="247"/>
      <c r="AT20573" s="247"/>
    </row>
    <row r="20574">
      <c r="C20574" s="277"/>
      <c r="M20574" s="277"/>
      <c r="O20574" s="247"/>
      <c r="AC20574" s="247"/>
      <c r="AT20574" s="247"/>
    </row>
    <row r="20575">
      <c r="C20575" s="277"/>
      <c r="M20575" s="277"/>
      <c r="O20575" s="247"/>
      <c r="AC20575" s="247"/>
      <c r="AT20575" s="247"/>
    </row>
    <row r="20576">
      <c r="C20576" s="277"/>
      <c r="M20576" s="277"/>
      <c r="O20576" s="247"/>
      <c r="AC20576" s="247"/>
      <c r="AT20576" s="247"/>
    </row>
    <row r="20577">
      <c r="C20577" s="277"/>
      <c r="M20577" s="277"/>
      <c r="O20577" s="247"/>
      <c r="AC20577" s="247"/>
      <c r="AT20577" s="247"/>
    </row>
    <row r="20578">
      <c r="C20578" s="277"/>
      <c r="M20578" s="277"/>
      <c r="O20578" s="247"/>
      <c r="AC20578" s="247"/>
      <c r="AT20578" s="247"/>
    </row>
    <row r="20579">
      <c r="C20579" s="277"/>
      <c r="M20579" s="277"/>
      <c r="O20579" s="247"/>
      <c r="AC20579" s="247"/>
      <c r="AT20579" s="247"/>
    </row>
    <row r="20580">
      <c r="C20580" s="277"/>
      <c r="M20580" s="277"/>
      <c r="O20580" s="247"/>
      <c r="AC20580" s="247"/>
      <c r="AT20580" s="247"/>
    </row>
    <row r="20581">
      <c r="C20581" s="277"/>
      <c r="M20581" s="277"/>
      <c r="O20581" s="247"/>
      <c r="AC20581" s="247"/>
      <c r="AT20581" s="247"/>
    </row>
    <row r="20582">
      <c r="C20582" s="277"/>
      <c r="M20582" s="277"/>
      <c r="O20582" s="247"/>
      <c r="AC20582" s="247"/>
      <c r="AT20582" s="247"/>
    </row>
    <row r="20583">
      <c r="C20583" s="277"/>
      <c r="M20583" s="277"/>
      <c r="O20583" s="247"/>
      <c r="AC20583" s="247"/>
      <c r="AT20583" s="247"/>
    </row>
    <row r="20584">
      <c r="C20584" s="277"/>
      <c r="M20584" s="277"/>
      <c r="O20584" s="247"/>
      <c r="AC20584" s="247"/>
      <c r="AT20584" s="247"/>
    </row>
    <row r="20585">
      <c r="C20585" s="277"/>
      <c r="M20585" s="277"/>
      <c r="O20585" s="247"/>
      <c r="AC20585" s="247"/>
      <c r="AT20585" s="247"/>
    </row>
    <row r="20586">
      <c r="C20586" s="277"/>
      <c r="M20586" s="277"/>
      <c r="O20586" s="247"/>
      <c r="AC20586" s="247"/>
      <c r="AT20586" s="247"/>
    </row>
    <row r="20587">
      <c r="C20587" s="277"/>
      <c r="M20587" s="277"/>
      <c r="O20587" s="247"/>
      <c r="AC20587" s="247"/>
      <c r="AT20587" s="247"/>
    </row>
    <row r="20588">
      <c r="C20588" s="277"/>
      <c r="M20588" s="277"/>
      <c r="O20588" s="247"/>
      <c r="AC20588" s="247"/>
      <c r="AT20588" s="247"/>
    </row>
    <row r="20589">
      <c r="C20589" s="277"/>
      <c r="M20589" s="277"/>
      <c r="O20589" s="247"/>
      <c r="AC20589" s="247"/>
      <c r="AT20589" s="247"/>
    </row>
    <row r="20590">
      <c r="C20590" s="277"/>
      <c r="M20590" s="277"/>
      <c r="O20590" s="247"/>
      <c r="AC20590" s="247"/>
      <c r="AT20590" s="247"/>
    </row>
    <row r="20591">
      <c r="C20591" s="277"/>
      <c r="M20591" s="277"/>
      <c r="O20591" s="247"/>
      <c r="AC20591" s="247"/>
      <c r="AT20591" s="247"/>
    </row>
    <row r="20592">
      <c r="C20592" s="277"/>
      <c r="M20592" s="277"/>
      <c r="O20592" s="247"/>
      <c r="AC20592" s="247"/>
      <c r="AT20592" s="247"/>
    </row>
    <row r="20593">
      <c r="C20593" s="277"/>
      <c r="M20593" s="277"/>
      <c r="O20593" s="247"/>
      <c r="AC20593" s="247"/>
      <c r="AT20593" s="247"/>
    </row>
    <row r="20594">
      <c r="C20594" s="277"/>
      <c r="M20594" s="277"/>
      <c r="O20594" s="247"/>
      <c r="AC20594" s="247"/>
      <c r="AT20594" s="247"/>
    </row>
    <row r="20595">
      <c r="C20595" s="277"/>
      <c r="M20595" s="277"/>
      <c r="O20595" s="247"/>
      <c r="AC20595" s="247"/>
      <c r="AT20595" s="247"/>
    </row>
    <row r="20596">
      <c r="C20596" s="277"/>
      <c r="M20596" s="277"/>
      <c r="O20596" s="247"/>
      <c r="AC20596" s="247"/>
      <c r="AT20596" s="247"/>
    </row>
    <row r="20597">
      <c r="C20597" s="277"/>
      <c r="M20597" s="277"/>
      <c r="O20597" s="247"/>
      <c r="AC20597" s="247"/>
      <c r="AT20597" s="247"/>
    </row>
    <row r="20598">
      <c r="C20598" s="277"/>
      <c r="M20598" s="277"/>
      <c r="O20598" s="247"/>
      <c r="AC20598" s="247"/>
      <c r="AT20598" s="247"/>
    </row>
    <row r="20599">
      <c r="C20599" s="277"/>
      <c r="M20599" s="277"/>
      <c r="O20599" s="247"/>
      <c r="AC20599" s="247"/>
      <c r="AT20599" s="247"/>
    </row>
    <row r="20600">
      <c r="C20600" s="277"/>
      <c r="M20600" s="277"/>
      <c r="O20600" s="247"/>
      <c r="AC20600" s="247"/>
      <c r="AT20600" s="247"/>
    </row>
    <row r="20601">
      <c r="C20601" s="277"/>
      <c r="M20601" s="277"/>
      <c r="O20601" s="247"/>
      <c r="AC20601" s="247"/>
      <c r="AT20601" s="247"/>
    </row>
    <row r="20602">
      <c r="C20602" s="277"/>
      <c r="M20602" s="277"/>
      <c r="O20602" s="247"/>
      <c r="AC20602" s="247"/>
      <c r="AT20602" s="247"/>
    </row>
    <row r="20603">
      <c r="C20603" s="277"/>
      <c r="M20603" s="277"/>
      <c r="O20603" s="247"/>
      <c r="AC20603" s="247"/>
      <c r="AT20603" s="247"/>
    </row>
    <row r="20604">
      <c r="C20604" s="277"/>
      <c r="M20604" s="277"/>
      <c r="O20604" s="247"/>
      <c r="AC20604" s="247"/>
      <c r="AT20604" s="247"/>
    </row>
    <row r="20605">
      <c r="C20605" s="277"/>
      <c r="M20605" s="277"/>
      <c r="O20605" s="247"/>
      <c r="AC20605" s="247"/>
      <c r="AT20605" s="247"/>
    </row>
    <row r="20606">
      <c r="C20606" s="277"/>
      <c r="M20606" s="277"/>
      <c r="O20606" s="247"/>
      <c r="AC20606" s="247"/>
      <c r="AT20606" s="247"/>
    </row>
    <row r="20607">
      <c r="C20607" s="277"/>
      <c r="M20607" s="277"/>
      <c r="O20607" s="247"/>
      <c r="AC20607" s="247"/>
      <c r="AT20607" s="247"/>
    </row>
    <row r="20608">
      <c r="C20608" s="277"/>
      <c r="M20608" s="277"/>
      <c r="O20608" s="247"/>
      <c r="AC20608" s="247"/>
      <c r="AT20608" s="247"/>
    </row>
    <row r="20609">
      <c r="C20609" s="277"/>
      <c r="M20609" s="277"/>
      <c r="O20609" s="247"/>
      <c r="AC20609" s="247"/>
      <c r="AT20609" s="247"/>
    </row>
    <row r="20610">
      <c r="C20610" s="277"/>
      <c r="M20610" s="277"/>
      <c r="O20610" s="247"/>
      <c r="AC20610" s="247"/>
      <c r="AT20610" s="247"/>
    </row>
    <row r="20611">
      <c r="C20611" s="277"/>
      <c r="M20611" s="277"/>
      <c r="O20611" s="247"/>
      <c r="AC20611" s="247"/>
      <c r="AT20611" s="247"/>
    </row>
    <row r="20612">
      <c r="C20612" s="277"/>
      <c r="M20612" s="277"/>
      <c r="O20612" s="247"/>
      <c r="AC20612" s="247"/>
      <c r="AT20612" s="247"/>
    </row>
    <row r="20613">
      <c r="C20613" s="277"/>
      <c r="M20613" s="277"/>
      <c r="O20613" s="247"/>
      <c r="AC20613" s="247"/>
      <c r="AT20613" s="247"/>
    </row>
    <row r="20614">
      <c r="C20614" s="277"/>
      <c r="M20614" s="277"/>
      <c r="O20614" s="247"/>
      <c r="AC20614" s="247"/>
      <c r="AT20614" s="247"/>
    </row>
    <row r="20615">
      <c r="C20615" s="277"/>
      <c r="M20615" s="277"/>
      <c r="O20615" s="247"/>
      <c r="AC20615" s="247"/>
      <c r="AT20615" s="247"/>
    </row>
    <row r="20616">
      <c r="C20616" s="277"/>
      <c r="M20616" s="277"/>
      <c r="O20616" s="247"/>
      <c r="AC20616" s="247"/>
      <c r="AT20616" s="247"/>
    </row>
    <row r="20617">
      <c r="C20617" s="277"/>
      <c r="M20617" s="277"/>
      <c r="O20617" s="247"/>
      <c r="AC20617" s="247"/>
      <c r="AT20617" s="247"/>
    </row>
    <row r="20618">
      <c r="C20618" s="277"/>
      <c r="M20618" s="277"/>
      <c r="O20618" s="247"/>
      <c r="AC20618" s="247"/>
      <c r="AT20618" s="247"/>
    </row>
    <row r="20619">
      <c r="C20619" s="277"/>
      <c r="M20619" s="277"/>
      <c r="O20619" s="247"/>
      <c r="AC20619" s="247"/>
      <c r="AT20619" s="247"/>
    </row>
    <row r="20620">
      <c r="C20620" s="277"/>
      <c r="M20620" s="277"/>
      <c r="O20620" s="247"/>
      <c r="AC20620" s="247"/>
      <c r="AT20620" s="247"/>
    </row>
    <row r="20621">
      <c r="C20621" s="277"/>
      <c r="M20621" s="277"/>
      <c r="O20621" s="247"/>
      <c r="AC20621" s="247"/>
      <c r="AT20621" s="247"/>
    </row>
    <row r="20622">
      <c r="C20622" s="277"/>
      <c r="M20622" s="277"/>
      <c r="O20622" s="247"/>
      <c r="AC20622" s="247"/>
      <c r="AT20622" s="247"/>
    </row>
    <row r="20623">
      <c r="C20623" s="277"/>
      <c r="M20623" s="277"/>
      <c r="O20623" s="247"/>
      <c r="AC20623" s="247"/>
      <c r="AT20623" s="247"/>
    </row>
    <row r="20624">
      <c r="C20624" s="277"/>
      <c r="M20624" s="277"/>
      <c r="O20624" s="247"/>
      <c r="AC20624" s="247"/>
      <c r="AT20624" s="247"/>
    </row>
    <row r="20625">
      <c r="C20625" s="277"/>
      <c r="M20625" s="277"/>
      <c r="O20625" s="247"/>
      <c r="AC20625" s="247"/>
      <c r="AT20625" s="247"/>
    </row>
    <row r="20626">
      <c r="C20626" s="277"/>
      <c r="M20626" s="277"/>
      <c r="O20626" s="247"/>
      <c r="AC20626" s="247"/>
      <c r="AT20626" s="247"/>
    </row>
    <row r="20627">
      <c r="C20627" s="277"/>
      <c r="M20627" s="277"/>
      <c r="O20627" s="247"/>
      <c r="AC20627" s="247"/>
      <c r="AT20627" s="247"/>
    </row>
    <row r="20628">
      <c r="C20628" s="277"/>
      <c r="M20628" s="277"/>
      <c r="O20628" s="247"/>
      <c r="AC20628" s="247"/>
      <c r="AT20628" s="247"/>
    </row>
    <row r="20629">
      <c r="C20629" s="277"/>
      <c r="M20629" s="277"/>
      <c r="O20629" s="247"/>
      <c r="AC20629" s="247"/>
      <c r="AT20629" s="247"/>
    </row>
    <row r="20630">
      <c r="C20630" s="277"/>
      <c r="M20630" s="277"/>
      <c r="O20630" s="247"/>
      <c r="AC20630" s="247"/>
      <c r="AT20630" s="247"/>
    </row>
    <row r="20631">
      <c r="C20631" s="277"/>
      <c r="M20631" s="277"/>
      <c r="O20631" s="247"/>
      <c r="AC20631" s="247"/>
      <c r="AT20631" s="247"/>
    </row>
    <row r="20632">
      <c r="C20632" s="277"/>
      <c r="M20632" s="277"/>
      <c r="O20632" s="247"/>
      <c r="AC20632" s="247"/>
      <c r="AT20632" s="247"/>
    </row>
    <row r="20633">
      <c r="C20633" s="277"/>
      <c r="M20633" s="277"/>
      <c r="O20633" s="247"/>
      <c r="AC20633" s="247"/>
      <c r="AT20633" s="247"/>
    </row>
    <row r="20634">
      <c r="C20634" s="277"/>
      <c r="M20634" s="277"/>
      <c r="O20634" s="247"/>
      <c r="AC20634" s="247"/>
      <c r="AT20634" s="247"/>
    </row>
    <row r="20635">
      <c r="C20635" s="277"/>
      <c r="M20635" s="277"/>
      <c r="O20635" s="247"/>
      <c r="AC20635" s="247"/>
      <c r="AT20635" s="247"/>
    </row>
    <row r="20636">
      <c r="C20636" s="277"/>
      <c r="M20636" s="277"/>
      <c r="O20636" s="247"/>
      <c r="AC20636" s="247"/>
      <c r="AT20636" s="247"/>
    </row>
    <row r="20637">
      <c r="C20637" s="277"/>
      <c r="M20637" s="277"/>
      <c r="O20637" s="247"/>
      <c r="AC20637" s="247"/>
      <c r="AT20637" s="247"/>
    </row>
    <row r="20638">
      <c r="C20638" s="277"/>
      <c r="M20638" s="277"/>
      <c r="O20638" s="247"/>
      <c r="AC20638" s="247"/>
      <c r="AT20638" s="247"/>
    </row>
    <row r="20639">
      <c r="C20639" s="277"/>
      <c r="M20639" s="277"/>
      <c r="O20639" s="247"/>
      <c r="AC20639" s="247"/>
      <c r="AT20639" s="247"/>
    </row>
    <row r="20640">
      <c r="C20640" s="277"/>
      <c r="M20640" s="277"/>
      <c r="O20640" s="247"/>
      <c r="AC20640" s="247"/>
      <c r="AT20640" s="247"/>
    </row>
    <row r="20641">
      <c r="C20641" s="277"/>
      <c r="M20641" s="277"/>
      <c r="O20641" s="247"/>
      <c r="AC20641" s="247"/>
      <c r="AT20641" s="247"/>
    </row>
    <row r="20642">
      <c r="C20642" s="277"/>
      <c r="M20642" s="277"/>
      <c r="O20642" s="247"/>
      <c r="AC20642" s="247"/>
      <c r="AT20642" s="247"/>
    </row>
    <row r="20643">
      <c r="C20643" s="277"/>
      <c r="M20643" s="277"/>
      <c r="O20643" s="247"/>
      <c r="AC20643" s="247"/>
      <c r="AT20643" s="247"/>
    </row>
    <row r="20644">
      <c r="C20644" s="277"/>
      <c r="M20644" s="277"/>
      <c r="O20644" s="247"/>
      <c r="AC20644" s="247"/>
      <c r="AT20644" s="247"/>
    </row>
    <row r="20645">
      <c r="C20645" s="277"/>
      <c r="M20645" s="277"/>
      <c r="O20645" s="247"/>
      <c r="AC20645" s="247"/>
      <c r="AT20645" s="247"/>
    </row>
    <row r="20646">
      <c r="C20646" s="277"/>
      <c r="M20646" s="277"/>
      <c r="O20646" s="247"/>
      <c r="AC20646" s="247"/>
      <c r="AT20646" s="247"/>
    </row>
    <row r="20647">
      <c r="C20647" s="277"/>
      <c r="M20647" s="277"/>
      <c r="O20647" s="247"/>
      <c r="AC20647" s="247"/>
      <c r="AT20647" s="247"/>
    </row>
    <row r="20648">
      <c r="C20648" s="277"/>
      <c r="M20648" s="277"/>
      <c r="O20648" s="247"/>
      <c r="AC20648" s="247"/>
      <c r="AT20648" s="247"/>
    </row>
    <row r="20649">
      <c r="C20649" s="277"/>
      <c r="M20649" s="277"/>
      <c r="O20649" s="247"/>
      <c r="AC20649" s="247"/>
      <c r="AT20649" s="247"/>
    </row>
    <row r="20650">
      <c r="C20650" s="277"/>
      <c r="M20650" s="277"/>
      <c r="O20650" s="247"/>
      <c r="AC20650" s="247"/>
      <c r="AT20650" s="247"/>
    </row>
    <row r="20651">
      <c r="C20651" s="277"/>
      <c r="M20651" s="277"/>
      <c r="O20651" s="247"/>
      <c r="AC20651" s="247"/>
      <c r="AT20651" s="247"/>
    </row>
    <row r="20652">
      <c r="C20652" s="277"/>
      <c r="M20652" s="277"/>
      <c r="O20652" s="247"/>
      <c r="AC20652" s="247"/>
      <c r="AT20652" s="247"/>
    </row>
    <row r="20653">
      <c r="C20653" s="277"/>
      <c r="M20653" s="277"/>
      <c r="O20653" s="247"/>
      <c r="AC20653" s="247"/>
      <c r="AT20653" s="247"/>
    </row>
    <row r="20654">
      <c r="C20654" s="277"/>
      <c r="M20654" s="277"/>
      <c r="O20654" s="247"/>
      <c r="AC20654" s="247"/>
      <c r="AT20654" s="247"/>
    </row>
    <row r="20655">
      <c r="C20655" s="277"/>
      <c r="M20655" s="277"/>
      <c r="O20655" s="247"/>
      <c r="AC20655" s="247"/>
      <c r="AT20655" s="247"/>
    </row>
    <row r="20656">
      <c r="C20656" s="277"/>
      <c r="M20656" s="277"/>
      <c r="O20656" s="247"/>
      <c r="AC20656" s="247"/>
      <c r="AT20656" s="247"/>
    </row>
    <row r="20657">
      <c r="C20657" s="277"/>
      <c r="M20657" s="277"/>
      <c r="O20657" s="247"/>
      <c r="AC20657" s="247"/>
      <c r="AT20657" s="247"/>
    </row>
    <row r="20658">
      <c r="C20658" s="277"/>
      <c r="M20658" s="277"/>
      <c r="O20658" s="247"/>
      <c r="AC20658" s="247"/>
      <c r="AT20658" s="247"/>
    </row>
    <row r="20659">
      <c r="C20659" s="277"/>
      <c r="M20659" s="277"/>
      <c r="O20659" s="247"/>
      <c r="AC20659" s="247"/>
      <c r="AT20659" s="247"/>
    </row>
    <row r="20660">
      <c r="C20660" s="277"/>
      <c r="M20660" s="277"/>
      <c r="O20660" s="247"/>
      <c r="AC20660" s="247"/>
      <c r="AT20660" s="247"/>
    </row>
    <row r="20661">
      <c r="C20661" s="277"/>
      <c r="M20661" s="277"/>
      <c r="O20661" s="247"/>
      <c r="AC20661" s="247"/>
      <c r="AT20661" s="247"/>
    </row>
    <row r="20662">
      <c r="C20662" s="277"/>
      <c r="M20662" s="277"/>
      <c r="O20662" s="247"/>
      <c r="AC20662" s="247"/>
      <c r="AT20662" s="247"/>
    </row>
    <row r="20663">
      <c r="C20663" s="277"/>
      <c r="M20663" s="277"/>
      <c r="O20663" s="247"/>
      <c r="AC20663" s="247"/>
      <c r="AT20663" s="247"/>
    </row>
    <row r="20664">
      <c r="C20664" s="277"/>
      <c r="M20664" s="277"/>
      <c r="O20664" s="247"/>
      <c r="AC20664" s="247"/>
      <c r="AT20664" s="247"/>
    </row>
    <row r="20665">
      <c r="C20665" s="277"/>
      <c r="M20665" s="277"/>
      <c r="O20665" s="247"/>
      <c r="AC20665" s="247"/>
      <c r="AT20665" s="247"/>
    </row>
    <row r="20666">
      <c r="C20666" s="277"/>
      <c r="M20666" s="277"/>
      <c r="O20666" s="247"/>
      <c r="AC20666" s="247"/>
      <c r="AT20666" s="247"/>
    </row>
    <row r="20667">
      <c r="C20667" s="277"/>
      <c r="M20667" s="277"/>
      <c r="O20667" s="247"/>
      <c r="AC20667" s="247"/>
      <c r="AT20667" s="247"/>
    </row>
    <row r="20668">
      <c r="C20668" s="277"/>
      <c r="M20668" s="277"/>
      <c r="O20668" s="247"/>
      <c r="AC20668" s="247"/>
      <c r="AT20668" s="247"/>
    </row>
    <row r="20669">
      <c r="C20669" s="277"/>
      <c r="M20669" s="277"/>
      <c r="O20669" s="247"/>
      <c r="AC20669" s="247"/>
      <c r="AT20669" s="247"/>
    </row>
    <row r="20670">
      <c r="C20670" s="277"/>
      <c r="M20670" s="277"/>
      <c r="O20670" s="247"/>
      <c r="AC20670" s="247"/>
      <c r="AT20670" s="247"/>
    </row>
    <row r="20671">
      <c r="C20671" s="277"/>
      <c r="M20671" s="277"/>
      <c r="O20671" s="247"/>
      <c r="AC20671" s="247"/>
      <c r="AT20671" s="247"/>
    </row>
    <row r="20672">
      <c r="C20672" s="277"/>
      <c r="M20672" s="277"/>
      <c r="O20672" s="247"/>
      <c r="AC20672" s="247"/>
      <c r="AT20672" s="247"/>
    </row>
    <row r="20673">
      <c r="C20673" s="277"/>
      <c r="M20673" s="277"/>
      <c r="O20673" s="247"/>
      <c r="AC20673" s="247"/>
      <c r="AT20673" s="247"/>
    </row>
    <row r="20674">
      <c r="C20674" s="277"/>
      <c r="M20674" s="277"/>
      <c r="O20674" s="247"/>
      <c r="AC20674" s="247"/>
      <c r="AT20674" s="247"/>
    </row>
    <row r="20675">
      <c r="C20675" s="277"/>
      <c r="M20675" s="277"/>
      <c r="O20675" s="247"/>
      <c r="AC20675" s="247"/>
      <c r="AT20675" s="247"/>
    </row>
    <row r="20676">
      <c r="C20676" s="277"/>
      <c r="M20676" s="277"/>
      <c r="O20676" s="247"/>
      <c r="AC20676" s="247"/>
      <c r="AT20676" s="247"/>
    </row>
    <row r="20677">
      <c r="C20677" s="277"/>
      <c r="M20677" s="277"/>
      <c r="O20677" s="247"/>
      <c r="AC20677" s="247"/>
      <c r="AT20677" s="247"/>
    </row>
    <row r="20678">
      <c r="C20678" s="277"/>
      <c r="M20678" s="277"/>
      <c r="O20678" s="247"/>
      <c r="AC20678" s="247"/>
      <c r="AT20678" s="247"/>
    </row>
    <row r="20679">
      <c r="C20679" s="277"/>
      <c r="M20679" s="277"/>
      <c r="O20679" s="247"/>
      <c r="AC20679" s="247"/>
      <c r="AT20679" s="247"/>
    </row>
    <row r="20680">
      <c r="C20680" s="277"/>
      <c r="M20680" s="277"/>
      <c r="O20680" s="247"/>
      <c r="AC20680" s="247"/>
      <c r="AT20680" s="247"/>
    </row>
    <row r="20681">
      <c r="C20681" s="277"/>
      <c r="M20681" s="277"/>
      <c r="O20681" s="247"/>
      <c r="AC20681" s="247"/>
      <c r="AT20681" s="247"/>
    </row>
    <row r="20682">
      <c r="C20682" s="277"/>
      <c r="M20682" s="277"/>
      <c r="O20682" s="247"/>
      <c r="AC20682" s="247"/>
      <c r="AT20682" s="247"/>
    </row>
    <row r="20683">
      <c r="C20683" s="277"/>
      <c r="M20683" s="277"/>
      <c r="O20683" s="247"/>
      <c r="AC20683" s="247"/>
      <c r="AT20683" s="247"/>
    </row>
    <row r="20684">
      <c r="C20684" s="277"/>
      <c r="M20684" s="277"/>
      <c r="O20684" s="247"/>
      <c r="AC20684" s="247"/>
      <c r="AT20684" s="247"/>
    </row>
    <row r="20685">
      <c r="C20685" s="277"/>
      <c r="M20685" s="277"/>
      <c r="O20685" s="247"/>
      <c r="AC20685" s="247"/>
      <c r="AT20685" s="247"/>
    </row>
    <row r="20686">
      <c r="C20686" s="277"/>
      <c r="M20686" s="277"/>
      <c r="O20686" s="247"/>
      <c r="AC20686" s="247"/>
      <c r="AT20686" s="247"/>
    </row>
    <row r="20687">
      <c r="C20687" s="277"/>
      <c r="M20687" s="277"/>
      <c r="O20687" s="247"/>
      <c r="AC20687" s="247"/>
      <c r="AT20687" s="247"/>
    </row>
    <row r="20688">
      <c r="C20688" s="277"/>
      <c r="M20688" s="277"/>
      <c r="O20688" s="247"/>
      <c r="AC20688" s="247"/>
      <c r="AT20688" s="247"/>
    </row>
    <row r="20689">
      <c r="C20689" s="277"/>
      <c r="M20689" s="277"/>
      <c r="O20689" s="247"/>
      <c r="AC20689" s="247"/>
      <c r="AT20689" s="247"/>
    </row>
    <row r="20690">
      <c r="C20690" s="277"/>
      <c r="M20690" s="277"/>
      <c r="O20690" s="247"/>
      <c r="AC20690" s="247"/>
      <c r="AT20690" s="247"/>
    </row>
    <row r="20691">
      <c r="C20691" s="277"/>
      <c r="M20691" s="277"/>
      <c r="O20691" s="247"/>
      <c r="AC20691" s="247"/>
      <c r="AT20691" s="247"/>
    </row>
    <row r="20692">
      <c r="C20692" s="277"/>
      <c r="M20692" s="277"/>
      <c r="O20692" s="247"/>
      <c r="AC20692" s="247"/>
      <c r="AT20692" s="247"/>
    </row>
    <row r="20693">
      <c r="C20693" s="277"/>
      <c r="M20693" s="277"/>
      <c r="O20693" s="247"/>
      <c r="AC20693" s="247"/>
      <c r="AT20693" s="247"/>
    </row>
    <row r="20694">
      <c r="C20694" s="277"/>
      <c r="M20694" s="277"/>
      <c r="O20694" s="247"/>
      <c r="AC20694" s="247"/>
      <c r="AT20694" s="247"/>
    </row>
    <row r="20695">
      <c r="C20695" s="277"/>
      <c r="M20695" s="277"/>
      <c r="O20695" s="247"/>
      <c r="AC20695" s="247"/>
      <c r="AT20695" s="247"/>
    </row>
    <row r="20696">
      <c r="C20696" s="277"/>
      <c r="M20696" s="277"/>
      <c r="O20696" s="247"/>
      <c r="AC20696" s="247"/>
      <c r="AT20696" s="247"/>
    </row>
    <row r="20697">
      <c r="C20697" s="277"/>
      <c r="M20697" s="277"/>
      <c r="O20697" s="247"/>
      <c r="AC20697" s="247"/>
      <c r="AT20697" s="247"/>
    </row>
    <row r="20698">
      <c r="C20698" s="277"/>
      <c r="M20698" s="277"/>
      <c r="O20698" s="247"/>
      <c r="AC20698" s="247"/>
      <c r="AT20698" s="247"/>
    </row>
    <row r="20699">
      <c r="C20699" s="277"/>
      <c r="M20699" s="277"/>
      <c r="O20699" s="247"/>
      <c r="AC20699" s="247"/>
      <c r="AT20699" s="247"/>
    </row>
    <row r="20700">
      <c r="C20700" s="277"/>
      <c r="M20700" s="277"/>
      <c r="O20700" s="247"/>
      <c r="AC20700" s="247"/>
      <c r="AT20700" s="247"/>
    </row>
    <row r="20701">
      <c r="C20701" s="277"/>
      <c r="M20701" s="277"/>
      <c r="O20701" s="247"/>
      <c r="AC20701" s="247"/>
      <c r="AT20701" s="247"/>
    </row>
    <row r="20702">
      <c r="C20702" s="277"/>
      <c r="M20702" s="277"/>
      <c r="O20702" s="247"/>
      <c r="AC20702" s="247"/>
      <c r="AT20702" s="247"/>
    </row>
    <row r="20703">
      <c r="C20703" s="277"/>
      <c r="M20703" s="277"/>
      <c r="O20703" s="247"/>
      <c r="AC20703" s="247"/>
      <c r="AT20703" s="247"/>
    </row>
    <row r="20704">
      <c r="C20704" s="277"/>
      <c r="M20704" s="277"/>
      <c r="O20704" s="247"/>
      <c r="AC20704" s="247"/>
      <c r="AT20704" s="247"/>
    </row>
    <row r="20705">
      <c r="C20705" s="277"/>
      <c r="M20705" s="277"/>
      <c r="O20705" s="247"/>
      <c r="AC20705" s="247"/>
      <c r="AT20705" s="247"/>
    </row>
    <row r="20706">
      <c r="C20706" s="277"/>
      <c r="M20706" s="277"/>
      <c r="O20706" s="247"/>
      <c r="AC20706" s="247"/>
      <c r="AT20706" s="247"/>
    </row>
    <row r="20707">
      <c r="C20707" s="277"/>
      <c r="M20707" s="277"/>
      <c r="O20707" s="247"/>
      <c r="AC20707" s="247"/>
      <c r="AT20707" s="247"/>
    </row>
    <row r="20708">
      <c r="C20708" s="277"/>
      <c r="M20708" s="277"/>
      <c r="O20708" s="247"/>
      <c r="AC20708" s="247"/>
      <c r="AT20708" s="247"/>
    </row>
    <row r="20709">
      <c r="C20709" s="277"/>
      <c r="M20709" s="277"/>
      <c r="O20709" s="247"/>
      <c r="AC20709" s="247"/>
      <c r="AT20709" s="247"/>
    </row>
    <row r="20710">
      <c r="C20710" s="277"/>
      <c r="M20710" s="277"/>
      <c r="O20710" s="247"/>
      <c r="AC20710" s="247"/>
      <c r="AT20710" s="247"/>
    </row>
    <row r="20711">
      <c r="C20711" s="277"/>
      <c r="M20711" s="277"/>
      <c r="O20711" s="247"/>
      <c r="AC20711" s="247"/>
      <c r="AT20711" s="247"/>
    </row>
    <row r="20712">
      <c r="C20712" s="277"/>
      <c r="M20712" s="277"/>
      <c r="O20712" s="247"/>
      <c r="AC20712" s="247"/>
      <c r="AT20712" s="247"/>
    </row>
    <row r="20713">
      <c r="C20713" s="277"/>
      <c r="M20713" s="277"/>
      <c r="O20713" s="247"/>
      <c r="AC20713" s="247"/>
      <c r="AT20713" s="247"/>
    </row>
    <row r="20714">
      <c r="C20714" s="277"/>
      <c r="M20714" s="277"/>
      <c r="O20714" s="247"/>
      <c r="AC20714" s="247"/>
      <c r="AT20714" s="247"/>
    </row>
    <row r="20715">
      <c r="C20715" s="277"/>
      <c r="M20715" s="277"/>
      <c r="O20715" s="247"/>
      <c r="AC20715" s="247"/>
      <c r="AT20715" s="247"/>
    </row>
    <row r="20716">
      <c r="C20716" s="277"/>
      <c r="M20716" s="277"/>
      <c r="O20716" s="247"/>
      <c r="AC20716" s="247"/>
      <c r="AT20716" s="247"/>
    </row>
    <row r="20717">
      <c r="C20717" s="277"/>
      <c r="M20717" s="277"/>
      <c r="O20717" s="247"/>
      <c r="AC20717" s="247"/>
      <c r="AT20717" s="247"/>
    </row>
    <row r="20718">
      <c r="C20718" s="277"/>
      <c r="M20718" s="277"/>
      <c r="O20718" s="247"/>
      <c r="AC20718" s="247"/>
      <c r="AT20718" s="247"/>
    </row>
    <row r="20719">
      <c r="C20719" s="277"/>
      <c r="M20719" s="277"/>
      <c r="O20719" s="247"/>
      <c r="AC20719" s="247"/>
      <c r="AT20719" s="247"/>
    </row>
    <row r="20720">
      <c r="C20720" s="277"/>
      <c r="M20720" s="277"/>
      <c r="O20720" s="247"/>
      <c r="AC20720" s="247"/>
      <c r="AT20720" s="247"/>
    </row>
    <row r="20721">
      <c r="C20721" s="277"/>
      <c r="M20721" s="277"/>
      <c r="O20721" s="247"/>
      <c r="AC20721" s="247"/>
      <c r="AT20721" s="247"/>
    </row>
    <row r="20722">
      <c r="C20722" s="277"/>
      <c r="M20722" s="277"/>
      <c r="O20722" s="247"/>
      <c r="AC20722" s="247"/>
      <c r="AT20722" s="247"/>
    </row>
    <row r="20723">
      <c r="C20723" s="277"/>
      <c r="M20723" s="277"/>
      <c r="O20723" s="247"/>
      <c r="AC20723" s="247"/>
      <c r="AT20723" s="247"/>
    </row>
    <row r="20724">
      <c r="C20724" s="277"/>
      <c r="M20724" s="277"/>
      <c r="O20724" s="247"/>
      <c r="AC20724" s="247"/>
      <c r="AT20724" s="247"/>
    </row>
    <row r="20725">
      <c r="C20725" s="277"/>
      <c r="M20725" s="277"/>
      <c r="O20725" s="247"/>
      <c r="AC20725" s="247"/>
      <c r="AT20725" s="247"/>
    </row>
    <row r="20726">
      <c r="C20726" s="277"/>
      <c r="M20726" s="277"/>
      <c r="O20726" s="247"/>
      <c r="AC20726" s="247"/>
      <c r="AT20726" s="247"/>
    </row>
    <row r="20727">
      <c r="C20727" s="277"/>
      <c r="M20727" s="277"/>
      <c r="O20727" s="247"/>
      <c r="AC20727" s="247"/>
      <c r="AT20727" s="247"/>
    </row>
    <row r="20728">
      <c r="C20728" s="277"/>
      <c r="M20728" s="277"/>
      <c r="O20728" s="247"/>
      <c r="AC20728" s="247"/>
      <c r="AT20728" s="247"/>
    </row>
    <row r="20729">
      <c r="C20729" s="277"/>
      <c r="M20729" s="277"/>
      <c r="O20729" s="247"/>
      <c r="AC20729" s="247"/>
      <c r="AT20729" s="247"/>
    </row>
    <row r="20730">
      <c r="C20730" s="277"/>
      <c r="M20730" s="277"/>
      <c r="O20730" s="247"/>
      <c r="AC20730" s="247"/>
      <c r="AT20730" s="247"/>
    </row>
    <row r="20731">
      <c r="C20731" s="277"/>
      <c r="M20731" s="277"/>
      <c r="O20731" s="247"/>
      <c r="AC20731" s="247"/>
      <c r="AT20731" s="247"/>
    </row>
    <row r="20732">
      <c r="C20732" s="277"/>
      <c r="M20732" s="277"/>
      <c r="O20732" s="247"/>
      <c r="AC20732" s="247"/>
      <c r="AT20732" s="247"/>
    </row>
    <row r="20733">
      <c r="C20733" s="277"/>
      <c r="M20733" s="277"/>
      <c r="O20733" s="247"/>
      <c r="AC20733" s="247"/>
      <c r="AT20733" s="247"/>
    </row>
    <row r="20734">
      <c r="C20734" s="277"/>
      <c r="M20734" s="277"/>
      <c r="O20734" s="247"/>
      <c r="AC20734" s="247"/>
      <c r="AT20734" s="247"/>
    </row>
    <row r="20735">
      <c r="C20735" s="277"/>
      <c r="M20735" s="277"/>
      <c r="O20735" s="247"/>
      <c r="AC20735" s="247"/>
      <c r="AT20735" s="247"/>
    </row>
    <row r="20736">
      <c r="C20736" s="277"/>
      <c r="M20736" s="277"/>
      <c r="O20736" s="247"/>
      <c r="AC20736" s="247"/>
      <c r="AT20736" s="247"/>
    </row>
    <row r="20737">
      <c r="C20737" s="277"/>
      <c r="M20737" s="277"/>
      <c r="O20737" s="247"/>
      <c r="AC20737" s="247"/>
      <c r="AT20737" s="247"/>
    </row>
    <row r="20738">
      <c r="C20738" s="277"/>
      <c r="M20738" s="277"/>
      <c r="O20738" s="247"/>
      <c r="AC20738" s="247"/>
      <c r="AT20738" s="247"/>
    </row>
    <row r="20739">
      <c r="C20739" s="277"/>
      <c r="M20739" s="277"/>
      <c r="O20739" s="247"/>
      <c r="AC20739" s="247"/>
      <c r="AT20739" s="247"/>
    </row>
    <row r="20740">
      <c r="C20740" s="277"/>
      <c r="M20740" s="277"/>
      <c r="O20740" s="247"/>
      <c r="AC20740" s="247"/>
      <c r="AT20740" s="247"/>
    </row>
    <row r="20741">
      <c r="C20741" s="277"/>
      <c r="M20741" s="277"/>
      <c r="O20741" s="247"/>
      <c r="AC20741" s="247"/>
      <c r="AT20741" s="247"/>
    </row>
    <row r="20742">
      <c r="C20742" s="277"/>
      <c r="M20742" s="277"/>
      <c r="O20742" s="247"/>
      <c r="AC20742" s="247"/>
      <c r="AT20742" s="247"/>
    </row>
    <row r="20743">
      <c r="C20743" s="277"/>
      <c r="M20743" s="277"/>
      <c r="O20743" s="247"/>
      <c r="AC20743" s="247"/>
      <c r="AT20743" s="247"/>
    </row>
    <row r="20744">
      <c r="C20744" s="277"/>
      <c r="M20744" s="277"/>
      <c r="O20744" s="247"/>
      <c r="AC20744" s="247"/>
      <c r="AT20744" s="247"/>
    </row>
    <row r="20745">
      <c r="C20745" s="277"/>
      <c r="M20745" s="277"/>
      <c r="O20745" s="247"/>
      <c r="AC20745" s="247"/>
      <c r="AT20745" s="247"/>
    </row>
    <row r="20746">
      <c r="C20746" s="277"/>
      <c r="M20746" s="277"/>
      <c r="O20746" s="247"/>
      <c r="AC20746" s="247"/>
      <c r="AT20746" s="247"/>
    </row>
    <row r="20747">
      <c r="C20747" s="277"/>
      <c r="M20747" s="277"/>
      <c r="O20747" s="247"/>
      <c r="AC20747" s="247"/>
      <c r="AT20747" s="247"/>
    </row>
    <row r="20748">
      <c r="C20748" s="277"/>
      <c r="M20748" s="277"/>
      <c r="O20748" s="247"/>
      <c r="AC20748" s="247"/>
      <c r="AT20748" s="247"/>
    </row>
    <row r="20749">
      <c r="C20749" s="277"/>
      <c r="M20749" s="277"/>
      <c r="O20749" s="247"/>
      <c r="AC20749" s="247"/>
      <c r="AT20749" s="247"/>
    </row>
    <row r="20750">
      <c r="C20750" s="277"/>
      <c r="M20750" s="277"/>
      <c r="O20750" s="247"/>
      <c r="AC20750" s="247"/>
      <c r="AT20750" s="247"/>
    </row>
    <row r="20751">
      <c r="C20751" s="277"/>
      <c r="M20751" s="277"/>
      <c r="O20751" s="247"/>
      <c r="AC20751" s="247"/>
      <c r="AT20751" s="247"/>
    </row>
    <row r="20752">
      <c r="C20752" s="277"/>
      <c r="M20752" s="277"/>
      <c r="O20752" s="247"/>
      <c r="AC20752" s="247"/>
      <c r="AT20752" s="247"/>
    </row>
    <row r="20753">
      <c r="C20753" s="277"/>
      <c r="M20753" s="277"/>
      <c r="O20753" s="247"/>
      <c r="AC20753" s="247"/>
      <c r="AT20753" s="247"/>
    </row>
    <row r="20754">
      <c r="C20754" s="277"/>
      <c r="M20754" s="277"/>
      <c r="O20754" s="247"/>
      <c r="AC20754" s="247"/>
      <c r="AT20754" s="247"/>
    </row>
    <row r="20755">
      <c r="C20755" s="277"/>
      <c r="M20755" s="277"/>
      <c r="O20755" s="247"/>
      <c r="AC20755" s="247"/>
      <c r="AT20755" s="247"/>
    </row>
    <row r="20756">
      <c r="C20756" s="277"/>
      <c r="M20756" s="277"/>
      <c r="O20756" s="247"/>
      <c r="AC20756" s="247"/>
      <c r="AT20756" s="247"/>
    </row>
    <row r="20757">
      <c r="C20757" s="277"/>
      <c r="M20757" s="277"/>
      <c r="O20757" s="247"/>
      <c r="AC20757" s="247"/>
      <c r="AT20757" s="247"/>
    </row>
    <row r="20758">
      <c r="C20758" s="277"/>
      <c r="M20758" s="277"/>
      <c r="O20758" s="247"/>
      <c r="AC20758" s="247"/>
      <c r="AT20758" s="247"/>
    </row>
    <row r="20759">
      <c r="C20759" s="277"/>
      <c r="M20759" s="277"/>
      <c r="O20759" s="247"/>
      <c r="AC20759" s="247"/>
      <c r="AT20759" s="247"/>
    </row>
    <row r="20760">
      <c r="C20760" s="277"/>
      <c r="M20760" s="277"/>
      <c r="O20760" s="247"/>
      <c r="AC20760" s="247"/>
      <c r="AT20760" s="247"/>
    </row>
    <row r="20761">
      <c r="C20761" s="277"/>
      <c r="M20761" s="277"/>
      <c r="O20761" s="247"/>
      <c r="AC20761" s="247"/>
      <c r="AT20761" s="247"/>
    </row>
    <row r="20762">
      <c r="C20762" s="277"/>
      <c r="M20762" s="277"/>
      <c r="O20762" s="247"/>
      <c r="AC20762" s="247"/>
      <c r="AT20762" s="247"/>
    </row>
    <row r="20763">
      <c r="C20763" s="277"/>
      <c r="M20763" s="277"/>
      <c r="O20763" s="247"/>
      <c r="AC20763" s="247"/>
      <c r="AT20763" s="247"/>
    </row>
    <row r="20764">
      <c r="C20764" s="277"/>
      <c r="M20764" s="277"/>
      <c r="O20764" s="247"/>
      <c r="AC20764" s="247"/>
      <c r="AT20764" s="247"/>
    </row>
    <row r="20765">
      <c r="C20765" s="277"/>
      <c r="M20765" s="277"/>
      <c r="O20765" s="247"/>
      <c r="AC20765" s="247"/>
      <c r="AT20765" s="247"/>
    </row>
    <row r="20766">
      <c r="C20766" s="277"/>
      <c r="M20766" s="277"/>
      <c r="O20766" s="247"/>
      <c r="AC20766" s="247"/>
      <c r="AT20766" s="247"/>
    </row>
    <row r="20767">
      <c r="C20767" s="277"/>
      <c r="M20767" s="277"/>
      <c r="O20767" s="247"/>
      <c r="AC20767" s="247"/>
      <c r="AT20767" s="247"/>
    </row>
    <row r="20768">
      <c r="C20768" s="277"/>
      <c r="M20768" s="277"/>
      <c r="O20768" s="247"/>
      <c r="AC20768" s="247"/>
      <c r="AT20768" s="247"/>
    </row>
    <row r="20769">
      <c r="C20769" s="277"/>
      <c r="M20769" s="277"/>
      <c r="O20769" s="247"/>
      <c r="AC20769" s="247"/>
      <c r="AT20769" s="247"/>
    </row>
    <row r="20770">
      <c r="C20770" s="277"/>
      <c r="M20770" s="277"/>
      <c r="O20770" s="247"/>
      <c r="AC20770" s="247"/>
      <c r="AT20770" s="247"/>
    </row>
    <row r="20771">
      <c r="C20771" s="277"/>
      <c r="M20771" s="277"/>
      <c r="O20771" s="247"/>
      <c r="AC20771" s="247"/>
      <c r="AT20771" s="247"/>
    </row>
    <row r="20772">
      <c r="C20772" s="277"/>
      <c r="M20772" s="277"/>
      <c r="O20772" s="247"/>
      <c r="AC20772" s="247"/>
      <c r="AT20772" s="247"/>
    </row>
    <row r="20773">
      <c r="C20773" s="277"/>
      <c r="M20773" s="277"/>
      <c r="O20773" s="247"/>
      <c r="AC20773" s="247"/>
      <c r="AT20773" s="247"/>
    </row>
    <row r="20774">
      <c r="C20774" s="277"/>
      <c r="M20774" s="277"/>
      <c r="O20774" s="247"/>
      <c r="AC20774" s="247"/>
      <c r="AT20774" s="247"/>
    </row>
    <row r="20775">
      <c r="C20775" s="277"/>
      <c r="M20775" s="277"/>
      <c r="O20775" s="247"/>
      <c r="AC20775" s="247"/>
      <c r="AT20775" s="247"/>
    </row>
    <row r="20776">
      <c r="C20776" s="277"/>
      <c r="M20776" s="277"/>
      <c r="O20776" s="247"/>
      <c r="AC20776" s="247"/>
      <c r="AT20776" s="247"/>
    </row>
    <row r="20777">
      <c r="C20777" s="277"/>
      <c r="M20777" s="277"/>
      <c r="O20777" s="247"/>
      <c r="AC20777" s="247"/>
      <c r="AT20777" s="247"/>
    </row>
    <row r="20778">
      <c r="C20778" s="277"/>
      <c r="M20778" s="277"/>
      <c r="O20778" s="247"/>
      <c r="AC20778" s="247"/>
      <c r="AT20778" s="247"/>
    </row>
    <row r="20779">
      <c r="C20779" s="277"/>
      <c r="M20779" s="277"/>
      <c r="O20779" s="247"/>
      <c r="AC20779" s="247"/>
      <c r="AT20779" s="247"/>
    </row>
    <row r="20780">
      <c r="C20780" s="277"/>
      <c r="M20780" s="277"/>
      <c r="O20780" s="247"/>
      <c r="AC20780" s="247"/>
      <c r="AT20780" s="247"/>
    </row>
    <row r="20781">
      <c r="C20781" s="277"/>
      <c r="M20781" s="277"/>
      <c r="O20781" s="247"/>
      <c r="AC20781" s="247"/>
      <c r="AT20781" s="247"/>
    </row>
    <row r="20782">
      <c r="C20782" s="277"/>
      <c r="M20782" s="277"/>
      <c r="O20782" s="247"/>
      <c r="AC20782" s="247"/>
      <c r="AT20782" s="247"/>
    </row>
    <row r="20783">
      <c r="C20783" s="277"/>
      <c r="M20783" s="277"/>
      <c r="O20783" s="247"/>
      <c r="AC20783" s="247"/>
      <c r="AT20783" s="247"/>
    </row>
    <row r="20784">
      <c r="C20784" s="277"/>
      <c r="M20784" s="277"/>
      <c r="O20784" s="247"/>
      <c r="AC20784" s="247"/>
      <c r="AT20784" s="247"/>
    </row>
    <row r="20785">
      <c r="C20785" s="277"/>
      <c r="M20785" s="277"/>
      <c r="O20785" s="247"/>
      <c r="AC20785" s="247"/>
      <c r="AT20785" s="247"/>
    </row>
    <row r="20786">
      <c r="C20786" s="277"/>
      <c r="M20786" s="277"/>
      <c r="O20786" s="247"/>
      <c r="AC20786" s="247"/>
      <c r="AT20786" s="247"/>
    </row>
    <row r="20787">
      <c r="C20787" s="277"/>
      <c r="M20787" s="277"/>
      <c r="O20787" s="247"/>
      <c r="AC20787" s="247"/>
      <c r="AT20787" s="247"/>
    </row>
    <row r="20788">
      <c r="C20788" s="277"/>
      <c r="M20788" s="277"/>
      <c r="O20788" s="247"/>
      <c r="AC20788" s="247"/>
      <c r="AT20788" s="247"/>
    </row>
    <row r="20789">
      <c r="C20789" s="277"/>
      <c r="M20789" s="277"/>
      <c r="O20789" s="247"/>
      <c r="AC20789" s="247"/>
      <c r="AT20789" s="247"/>
    </row>
    <row r="20790">
      <c r="C20790" s="277"/>
      <c r="M20790" s="277"/>
      <c r="O20790" s="247"/>
      <c r="AC20790" s="247"/>
      <c r="AT20790" s="247"/>
    </row>
    <row r="20791">
      <c r="C20791" s="277"/>
      <c r="M20791" s="277"/>
      <c r="O20791" s="247"/>
      <c r="AC20791" s="247"/>
      <c r="AT20791" s="247"/>
    </row>
    <row r="20792">
      <c r="C20792" s="277"/>
      <c r="M20792" s="277"/>
      <c r="O20792" s="247"/>
      <c r="AC20792" s="247"/>
      <c r="AT20792" s="247"/>
    </row>
    <row r="20793">
      <c r="C20793" s="277"/>
      <c r="M20793" s="277"/>
      <c r="O20793" s="247"/>
      <c r="AC20793" s="247"/>
      <c r="AT20793" s="247"/>
    </row>
    <row r="20794">
      <c r="C20794" s="277"/>
      <c r="M20794" s="277"/>
      <c r="O20794" s="247"/>
      <c r="AC20794" s="247"/>
      <c r="AT20794" s="247"/>
    </row>
    <row r="20795">
      <c r="C20795" s="277"/>
      <c r="M20795" s="277"/>
      <c r="O20795" s="247"/>
      <c r="AC20795" s="247"/>
      <c r="AT20795" s="247"/>
    </row>
    <row r="20796">
      <c r="C20796" s="277"/>
      <c r="M20796" s="277"/>
      <c r="O20796" s="247"/>
      <c r="AC20796" s="247"/>
      <c r="AT20796" s="247"/>
    </row>
    <row r="20797">
      <c r="C20797" s="277"/>
      <c r="M20797" s="277"/>
      <c r="O20797" s="247"/>
      <c r="AC20797" s="247"/>
      <c r="AT20797" s="247"/>
    </row>
    <row r="20798">
      <c r="C20798" s="277"/>
      <c r="M20798" s="277"/>
      <c r="O20798" s="247"/>
      <c r="AC20798" s="247"/>
      <c r="AT20798" s="247"/>
    </row>
    <row r="20799">
      <c r="C20799" s="277"/>
      <c r="M20799" s="277"/>
      <c r="O20799" s="247"/>
      <c r="AC20799" s="247"/>
      <c r="AT20799" s="247"/>
    </row>
    <row r="20800">
      <c r="C20800" s="277"/>
      <c r="M20800" s="277"/>
      <c r="O20800" s="247"/>
      <c r="AC20800" s="247"/>
      <c r="AT20800" s="247"/>
    </row>
    <row r="20801">
      <c r="C20801" s="277"/>
      <c r="M20801" s="277"/>
      <c r="O20801" s="247"/>
      <c r="AC20801" s="247"/>
      <c r="AT20801" s="247"/>
    </row>
    <row r="20802">
      <c r="C20802" s="277"/>
      <c r="M20802" s="277"/>
      <c r="O20802" s="247"/>
      <c r="AC20802" s="247"/>
      <c r="AT20802" s="247"/>
    </row>
    <row r="20803">
      <c r="C20803" s="277"/>
      <c r="M20803" s="277"/>
      <c r="O20803" s="247"/>
      <c r="AC20803" s="247"/>
      <c r="AT20803" s="247"/>
    </row>
    <row r="20804">
      <c r="C20804" s="277"/>
      <c r="M20804" s="277"/>
      <c r="O20804" s="247"/>
      <c r="AC20804" s="247"/>
      <c r="AT20804" s="247"/>
    </row>
    <row r="20805">
      <c r="C20805" s="277"/>
      <c r="M20805" s="277"/>
      <c r="O20805" s="247"/>
      <c r="AC20805" s="247"/>
      <c r="AT20805" s="247"/>
    </row>
    <row r="20806">
      <c r="C20806" s="277"/>
      <c r="M20806" s="277"/>
      <c r="O20806" s="247"/>
      <c r="AC20806" s="247"/>
      <c r="AT20806" s="247"/>
    </row>
    <row r="20807">
      <c r="C20807" s="277"/>
      <c r="M20807" s="277"/>
      <c r="O20807" s="247"/>
      <c r="AC20807" s="247"/>
      <c r="AT20807" s="247"/>
    </row>
    <row r="20808">
      <c r="C20808" s="277"/>
      <c r="M20808" s="277"/>
      <c r="O20808" s="247"/>
      <c r="AC20808" s="247"/>
      <c r="AT20808" s="247"/>
    </row>
    <row r="20809">
      <c r="C20809" s="277"/>
      <c r="M20809" s="277"/>
      <c r="O20809" s="247"/>
      <c r="AC20809" s="247"/>
      <c r="AT20809" s="247"/>
    </row>
    <row r="20810">
      <c r="C20810" s="277"/>
      <c r="M20810" s="277"/>
      <c r="O20810" s="247"/>
      <c r="AC20810" s="247"/>
      <c r="AT20810" s="247"/>
    </row>
    <row r="20811">
      <c r="C20811" s="277"/>
      <c r="M20811" s="277"/>
      <c r="O20811" s="247"/>
      <c r="AC20811" s="247"/>
      <c r="AT20811" s="247"/>
    </row>
    <row r="20812">
      <c r="C20812" s="277"/>
      <c r="M20812" s="277"/>
      <c r="O20812" s="247"/>
      <c r="AC20812" s="247"/>
      <c r="AT20812" s="247"/>
    </row>
    <row r="20813">
      <c r="C20813" s="277"/>
      <c r="M20813" s="277"/>
      <c r="O20813" s="247"/>
      <c r="AC20813" s="247"/>
      <c r="AT20813" s="247"/>
    </row>
    <row r="20814">
      <c r="C20814" s="277"/>
      <c r="M20814" s="277"/>
      <c r="O20814" s="247"/>
      <c r="AC20814" s="247"/>
      <c r="AT20814" s="247"/>
    </row>
    <row r="20815">
      <c r="C20815" s="277"/>
      <c r="M20815" s="277"/>
      <c r="O20815" s="247"/>
      <c r="AC20815" s="247"/>
      <c r="AT20815" s="247"/>
    </row>
    <row r="20816">
      <c r="C20816" s="277"/>
      <c r="M20816" s="277"/>
      <c r="O20816" s="247"/>
      <c r="AC20816" s="247"/>
      <c r="AT20816" s="247"/>
    </row>
    <row r="20817">
      <c r="C20817" s="277"/>
      <c r="M20817" s="277"/>
      <c r="O20817" s="247"/>
      <c r="AC20817" s="247"/>
      <c r="AT20817" s="247"/>
    </row>
    <row r="20818">
      <c r="C20818" s="277"/>
      <c r="M20818" s="277"/>
      <c r="O20818" s="247"/>
      <c r="AC20818" s="247"/>
      <c r="AT20818" s="247"/>
    </row>
    <row r="20819">
      <c r="C20819" s="277"/>
      <c r="M20819" s="277"/>
      <c r="O20819" s="247"/>
      <c r="AC20819" s="247"/>
      <c r="AT20819" s="247"/>
    </row>
    <row r="20820">
      <c r="C20820" s="277"/>
      <c r="M20820" s="277"/>
      <c r="O20820" s="247"/>
      <c r="AC20820" s="247"/>
      <c r="AT20820" s="247"/>
    </row>
    <row r="20821">
      <c r="C20821" s="277"/>
      <c r="M20821" s="277"/>
      <c r="O20821" s="247"/>
      <c r="AC20821" s="247"/>
      <c r="AT20821" s="247"/>
    </row>
    <row r="20822">
      <c r="C20822" s="277"/>
      <c r="M20822" s="277"/>
      <c r="O20822" s="247"/>
      <c r="AC20822" s="247"/>
      <c r="AT20822" s="247"/>
    </row>
    <row r="20823">
      <c r="C20823" s="277"/>
      <c r="M20823" s="277"/>
      <c r="O20823" s="247"/>
      <c r="AC20823" s="247"/>
      <c r="AT20823" s="247"/>
    </row>
    <row r="20824">
      <c r="C20824" s="277"/>
      <c r="M20824" s="277"/>
      <c r="O20824" s="247"/>
      <c r="AC20824" s="247"/>
      <c r="AT20824" s="247"/>
    </row>
    <row r="20825">
      <c r="C20825" s="277"/>
      <c r="M20825" s="277"/>
      <c r="O20825" s="247"/>
      <c r="AC20825" s="247"/>
      <c r="AT20825" s="247"/>
    </row>
    <row r="20826">
      <c r="C20826" s="277"/>
      <c r="M20826" s="277"/>
      <c r="O20826" s="247"/>
      <c r="AC20826" s="247"/>
      <c r="AT20826" s="247"/>
    </row>
    <row r="20827">
      <c r="C20827" s="277"/>
      <c r="M20827" s="277"/>
      <c r="O20827" s="247"/>
      <c r="AC20827" s="247"/>
      <c r="AT20827" s="247"/>
    </row>
    <row r="20828">
      <c r="C20828" s="277"/>
      <c r="M20828" s="277"/>
      <c r="O20828" s="247"/>
      <c r="AC20828" s="247"/>
      <c r="AT20828" s="247"/>
    </row>
    <row r="20829">
      <c r="C20829" s="277"/>
      <c r="M20829" s="277"/>
      <c r="O20829" s="247"/>
      <c r="AC20829" s="247"/>
      <c r="AT20829" s="247"/>
    </row>
    <row r="20830">
      <c r="C20830" s="277"/>
      <c r="M20830" s="277"/>
      <c r="O20830" s="247"/>
      <c r="AC20830" s="247"/>
      <c r="AT20830" s="247"/>
    </row>
    <row r="20831">
      <c r="C20831" s="277"/>
      <c r="M20831" s="277"/>
      <c r="O20831" s="247"/>
      <c r="AC20831" s="247"/>
      <c r="AT20831" s="247"/>
    </row>
    <row r="20832">
      <c r="C20832" s="277"/>
      <c r="M20832" s="277"/>
      <c r="O20832" s="247"/>
      <c r="AC20832" s="247"/>
      <c r="AT20832" s="247"/>
    </row>
    <row r="20833">
      <c r="C20833" s="277"/>
      <c r="M20833" s="277"/>
      <c r="O20833" s="247"/>
      <c r="AC20833" s="247"/>
      <c r="AT20833" s="247"/>
    </row>
    <row r="20834">
      <c r="C20834" s="277"/>
      <c r="M20834" s="277"/>
      <c r="O20834" s="247"/>
      <c r="AC20834" s="247"/>
      <c r="AT20834" s="247"/>
    </row>
    <row r="20835">
      <c r="C20835" s="277"/>
      <c r="M20835" s="277"/>
      <c r="O20835" s="247"/>
      <c r="AC20835" s="247"/>
      <c r="AT20835" s="247"/>
    </row>
    <row r="20836">
      <c r="C20836" s="277"/>
      <c r="M20836" s="277"/>
      <c r="O20836" s="247"/>
      <c r="AC20836" s="247"/>
      <c r="AT20836" s="247"/>
    </row>
    <row r="20837">
      <c r="C20837" s="277"/>
      <c r="M20837" s="277"/>
      <c r="O20837" s="247"/>
      <c r="AC20837" s="247"/>
      <c r="AT20837" s="247"/>
    </row>
    <row r="20838">
      <c r="C20838" s="277"/>
      <c r="M20838" s="277"/>
      <c r="O20838" s="247"/>
      <c r="AC20838" s="247"/>
      <c r="AT20838" s="247"/>
    </row>
    <row r="20839">
      <c r="C20839" s="277"/>
      <c r="M20839" s="277"/>
      <c r="O20839" s="247"/>
      <c r="AC20839" s="247"/>
      <c r="AT20839" s="247"/>
    </row>
    <row r="20840">
      <c r="C20840" s="277"/>
      <c r="M20840" s="277"/>
      <c r="O20840" s="247"/>
      <c r="AC20840" s="247"/>
      <c r="AT20840" s="247"/>
    </row>
    <row r="20841">
      <c r="C20841" s="277"/>
      <c r="M20841" s="277"/>
      <c r="O20841" s="247"/>
      <c r="AC20841" s="247"/>
      <c r="AT20841" s="247"/>
    </row>
    <row r="20842">
      <c r="C20842" s="277"/>
      <c r="M20842" s="277"/>
      <c r="O20842" s="247"/>
      <c r="AC20842" s="247"/>
      <c r="AT20842" s="247"/>
    </row>
    <row r="20843">
      <c r="C20843" s="277"/>
      <c r="M20843" s="277"/>
      <c r="O20843" s="247"/>
      <c r="AC20843" s="247"/>
      <c r="AT20843" s="247"/>
    </row>
    <row r="20844">
      <c r="C20844" s="277"/>
      <c r="M20844" s="277"/>
      <c r="O20844" s="247"/>
      <c r="AC20844" s="247"/>
      <c r="AT20844" s="247"/>
    </row>
    <row r="20845">
      <c r="C20845" s="277"/>
      <c r="M20845" s="277"/>
      <c r="O20845" s="247"/>
      <c r="AC20845" s="247"/>
      <c r="AT20845" s="247"/>
    </row>
    <row r="20846">
      <c r="C20846" s="277"/>
      <c r="M20846" s="277"/>
      <c r="O20846" s="247"/>
      <c r="AC20846" s="247"/>
      <c r="AT20846" s="247"/>
    </row>
    <row r="20847">
      <c r="C20847" s="277"/>
      <c r="M20847" s="277"/>
      <c r="O20847" s="247"/>
      <c r="AC20847" s="247"/>
      <c r="AT20847" s="247"/>
    </row>
    <row r="20848">
      <c r="C20848" s="277"/>
      <c r="M20848" s="277"/>
      <c r="O20848" s="247"/>
      <c r="AC20848" s="247"/>
      <c r="AT20848" s="247"/>
    </row>
    <row r="20849">
      <c r="C20849" s="277"/>
      <c r="M20849" s="277"/>
      <c r="O20849" s="247"/>
      <c r="AC20849" s="247"/>
      <c r="AT20849" s="247"/>
    </row>
    <row r="20850">
      <c r="C20850" s="277"/>
      <c r="M20850" s="277"/>
      <c r="O20850" s="247"/>
      <c r="AC20850" s="247"/>
      <c r="AT20850" s="247"/>
    </row>
    <row r="20851">
      <c r="C20851" s="277"/>
      <c r="M20851" s="277"/>
      <c r="O20851" s="247"/>
      <c r="AC20851" s="247"/>
      <c r="AT20851" s="247"/>
    </row>
    <row r="20852">
      <c r="C20852" s="277"/>
      <c r="M20852" s="277"/>
      <c r="O20852" s="247"/>
      <c r="AC20852" s="247"/>
      <c r="AT20852" s="247"/>
    </row>
    <row r="20853">
      <c r="C20853" s="277"/>
      <c r="M20853" s="277"/>
      <c r="O20853" s="247"/>
      <c r="AC20853" s="247"/>
      <c r="AT20853" s="247"/>
    </row>
    <row r="20854">
      <c r="C20854" s="277"/>
      <c r="M20854" s="277"/>
      <c r="O20854" s="247"/>
      <c r="AC20854" s="247"/>
      <c r="AT20854" s="247"/>
    </row>
    <row r="20855">
      <c r="C20855" s="277"/>
      <c r="M20855" s="277"/>
      <c r="O20855" s="247"/>
      <c r="AC20855" s="247"/>
      <c r="AT20855" s="247"/>
    </row>
    <row r="20856">
      <c r="C20856" s="277"/>
      <c r="M20856" s="277"/>
      <c r="O20856" s="247"/>
      <c r="AC20856" s="247"/>
      <c r="AT20856" s="247"/>
    </row>
    <row r="20857">
      <c r="C20857" s="277"/>
      <c r="M20857" s="277"/>
      <c r="O20857" s="247"/>
      <c r="AC20857" s="247"/>
      <c r="AT20857" s="247"/>
    </row>
    <row r="20858">
      <c r="C20858" s="277"/>
      <c r="M20858" s="277"/>
      <c r="O20858" s="247"/>
      <c r="AC20858" s="247"/>
      <c r="AT20858" s="247"/>
    </row>
    <row r="20859">
      <c r="C20859" s="277"/>
      <c r="M20859" s="277"/>
      <c r="O20859" s="247"/>
      <c r="AC20859" s="247"/>
      <c r="AT20859" s="247"/>
    </row>
    <row r="20860">
      <c r="C20860" s="277"/>
      <c r="M20860" s="277"/>
      <c r="O20860" s="247"/>
      <c r="AC20860" s="247"/>
      <c r="AT20860" s="247"/>
    </row>
    <row r="20861">
      <c r="C20861" s="277"/>
      <c r="M20861" s="277"/>
      <c r="O20861" s="247"/>
      <c r="AC20861" s="247"/>
      <c r="AT20861" s="247"/>
    </row>
    <row r="20862">
      <c r="C20862" s="277"/>
      <c r="M20862" s="277"/>
      <c r="O20862" s="247"/>
      <c r="AC20862" s="247"/>
      <c r="AT20862" s="247"/>
    </row>
    <row r="20863">
      <c r="C20863" s="277"/>
      <c r="M20863" s="277"/>
      <c r="O20863" s="247"/>
      <c r="AC20863" s="247"/>
      <c r="AT20863" s="247"/>
    </row>
    <row r="20864">
      <c r="C20864" s="277"/>
      <c r="M20864" s="277"/>
      <c r="O20864" s="247"/>
      <c r="AC20864" s="247"/>
      <c r="AT20864" s="247"/>
    </row>
    <row r="20865">
      <c r="C20865" s="277"/>
      <c r="M20865" s="277"/>
      <c r="O20865" s="247"/>
      <c r="AC20865" s="247"/>
      <c r="AT20865" s="247"/>
    </row>
    <row r="20866">
      <c r="C20866" s="277"/>
      <c r="M20866" s="277"/>
      <c r="O20866" s="247"/>
      <c r="AC20866" s="247"/>
      <c r="AT20866" s="247"/>
    </row>
    <row r="20867">
      <c r="C20867" s="277"/>
      <c r="M20867" s="277"/>
      <c r="O20867" s="247"/>
      <c r="AC20867" s="247"/>
      <c r="AT20867" s="247"/>
    </row>
    <row r="20868">
      <c r="C20868" s="277"/>
      <c r="M20868" s="277"/>
      <c r="O20868" s="247"/>
      <c r="AC20868" s="247"/>
      <c r="AT20868" s="247"/>
    </row>
    <row r="20869">
      <c r="C20869" s="277"/>
      <c r="M20869" s="277"/>
      <c r="O20869" s="247"/>
      <c r="AC20869" s="247"/>
      <c r="AT20869" s="247"/>
    </row>
    <row r="20870">
      <c r="C20870" s="277"/>
      <c r="M20870" s="277"/>
      <c r="O20870" s="247"/>
      <c r="AC20870" s="247"/>
      <c r="AT20870" s="247"/>
    </row>
    <row r="20871">
      <c r="C20871" s="277"/>
      <c r="M20871" s="277"/>
      <c r="O20871" s="247"/>
      <c r="AC20871" s="247"/>
      <c r="AT20871" s="247"/>
    </row>
    <row r="20872">
      <c r="C20872" s="277"/>
      <c r="M20872" s="277"/>
      <c r="O20872" s="247"/>
      <c r="AC20872" s="247"/>
      <c r="AT20872" s="247"/>
    </row>
    <row r="20873">
      <c r="C20873" s="277"/>
      <c r="M20873" s="277"/>
      <c r="O20873" s="247"/>
      <c r="AC20873" s="247"/>
      <c r="AT20873" s="247"/>
    </row>
    <row r="20874">
      <c r="C20874" s="277"/>
      <c r="M20874" s="277"/>
      <c r="O20874" s="247"/>
      <c r="AC20874" s="247"/>
      <c r="AT20874" s="247"/>
    </row>
    <row r="20875">
      <c r="C20875" s="277"/>
      <c r="M20875" s="277"/>
      <c r="O20875" s="247"/>
      <c r="AC20875" s="247"/>
      <c r="AT20875" s="247"/>
    </row>
    <row r="20876">
      <c r="C20876" s="277"/>
      <c r="M20876" s="277"/>
      <c r="O20876" s="247"/>
      <c r="AC20876" s="247"/>
      <c r="AT20876" s="247"/>
    </row>
    <row r="20877">
      <c r="C20877" s="277"/>
      <c r="M20877" s="277"/>
      <c r="O20877" s="247"/>
      <c r="AC20877" s="247"/>
      <c r="AT20877" s="247"/>
    </row>
    <row r="20878">
      <c r="C20878" s="277"/>
      <c r="M20878" s="277"/>
      <c r="O20878" s="247"/>
      <c r="AC20878" s="247"/>
      <c r="AT20878" s="247"/>
    </row>
    <row r="20879">
      <c r="C20879" s="277"/>
      <c r="M20879" s="277"/>
      <c r="O20879" s="247"/>
      <c r="AC20879" s="247"/>
      <c r="AT20879" s="247"/>
    </row>
    <row r="20880">
      <c r="C20880" s="277"/>
      <c r="M20880" s="277"/>
      <c r="O20880" s="247"/>
      <c r="AC20880" s="247"/>
      <c r="AT20880" s="247"/>
    </row>
    <row r="20881">
      <c r="C20881" s="277"/>
      <c r="M20881" s="277"/>
      <c r="O20881" s="247"/>
      <c r="AC20881" s="247"/>
      <c r="AT20881" s="247"/>
    </row>
    <row r="20882">
      <c r="C20882" s="277"/>
      <c r="M20882" s="277"/>
      <c r="O20882" s="247"/>
      <c r="AC20882" s="247"/>
      <c r="AT20882" s="247"/>
    </row>
    <row r="20883">
      <c r="C20883" s="277"/>
      <c r="M20883" s="277"/>
      <c r="O20883" s="247"/>
      <c r="AC20883" s="247"/>
      <c r="AT20883" s="247"/>
    </row>
    <row r="20884">
      <c r="C20884" s="277"/>
      <c r="M20884" s="277"/>
      <c r="O20884" s="247"/>
      <c r="AC20884" s="247"/>
      <c r="AT20884" s="247"/>
    </row>
    <row r="20885">
      <c r="C20885" s="277"/>
      <c r="M20885" s="277"/>
      <c r="O20885" s="247"/>
      <c r="AC20885" s="247"/>
      <c r="AT20885" s="247"/>
    </row>
    <row r="20886">
      <c r="C20886" s="277"/>
      <c r="M20886" s="277"/>
      <c r="O20886" s="247"/>
      <c r="AC20886" s="247"/>
      <c r="AT20886" s="247"/>
    </row>
    <row r="20887">
      <c r="C20887" s="277"/>
      <c r="M20887" s="277"/>
      <c r="O20887" s="247"/>
      <c r="AC20887" s="247"/>
      <c r="AT20887" s="247"/>
    </row>
    <row r="20888">
      <c r="C20888" s="277"/>
      <c r="M20888" s="277"/>
      <c r="O20888" s="247"/>
      <c r="AC20888" s="247"/>
      <c r="AT20888" s="247"/>
    </row>
    <row r="20889">
      <c r="C20889" s="277"/>
      <c r="M20889" s="277"/>
      <c r="O20889" s="247"/>
      <c r="AC20889" s="247"/>
      <c r="AT20889" s="247"/>
    </row>
    <row r="20890">
      <c r="C20890" s="277"/>
      <c r="M20890" s="277"/>
      <c r="O20890" s="247"/>
      <c r="AC20890" s="247"/>
      <c r="AT20890" s="247"/>
    </row>
    <row r="20891">
      <c r="C20891" s="277"/>
      <c r="M20891" s="277"/>
      <c r="O20891" s="247"/>
      <c r="AC20891" s="247"/>
      <c r="AT20891" s="247"/>
    </row>
    <row r="20892">
      <c r="C20892" s="277"/>
      <c r="M20892" s="277"/>
      <c r="O20892" s="247"/>
      <c r="AC20892" s="247"/>
      <c r="AT20892" s="247"/>
    </row>
    <row r="20893">
      <c r="C20893" s="277"/>
      <c r="M20893" s="277"/>
      <c r="O20893" s="247"/>
      <c r="AC20893" s="247"/>
      <c r="AT20893" s="247"/>
    </row>
    <row r="20894">
      <c r="C20894" s="277"/>
      <c r="M20894" s="277"/>
      <c r="O20894" s="247"/>
      <c r="AC20894" s="247"/>
      <c r="AT20894" s="247"/>
    </row>
    <row r="20895">
      <c r="C20895" s="277"/>
      <c r="M20895" s="277"/>
      <c r="O20895" s="247"/>
      <c r="AC20895" s="247"/>
      <c r="AT20895" s="247"/>
    </row>
    <row r="20896">
      <c r="C20896" s="277"/>
      <c r="M20896" s="277"/>
      <c r="O20896" s="247"/>
      <c r="AC20896" s="247"/>
      <c r="AT20896" s="247"/>
    </row>
    <row r="20897">
      <c r="C20897" s="277"/>
      <c r="M20897" s="277"/>
      <c r="O20897" s="247"/>
      <c r="AC20897" s="247"/>
      <c r="AT20897" s="247"/>
    </row>
    <row r="20898">
      <c r="C20898" s="277"/>
      <c r="M20898" s="277"/>
      <c r="O20898" s="247"/>
      <c r="AC20898" s="247"/>
      <c r="AT20898" s="247"/>
    </row>
    <row r="20899">
      <c r="C20899" s="277"/>
      <c r="M20899" s="277"/>
      <c r="O20899" s="247"/>
      <c r="AC20899" s="247"/>
      <c r="AT20899" s="247"/>
    </row>
    <row r="20900">
      <c r="C20900" s="277"/>
      <c r="M20900" s="277"/>
      <c r="O20900" s="247"/>
      <c r="AC20900" s="247"/>
      <c r="AT20900" s="247"/>
    </row>
    <row r="20901">
      <c r="C20901" s="277"/>
      <c r="M20901" s="277"/>
      <c r="O20901" s="247"/>
      <c r="AC20901" s="247"/>
      <c r="AT20901" s="247"/>
    </row>
    <row r="20902">
      <c r="C20902" s="277"/>
      <c r="M20902" s="277"/>
      <c r="O20902" s="247"/>
      <c r="AC20902" s="247"/>
      <c r="AT20902" s="247"/>
    </row>
    <row r="20903">
      <c r="C20903" s="277"/>
      <c r="M20903" s="277"/>
      <c r="O20903" s="247"/>
      <c r="AC20903" s="247"/>
      <c r="AT20903" s="247"/>
    </row>
    <row r="20904">
      <c r="C20904" s="277"/>
      <c r="M20904" s="277"/>
      <c r="O20904" s="247"/>
      <c r="AC20904" s="247"/>
      <c r="AT20904" s="247"/>
    </row>
    <row r="20905">
      <c r="C20905" s="277"/>
      <c r="M20905" s="277"/>
      <c r="O20905" s="247"/>
      <c r="AC20905" s="247"/>
      <c r="AT20905" s="247"/>
    </row>
    <row r="20906">
      <c r="C20906" s="277"/>
      <c r="M20906" s="277"/>
      <c r="O20906" s="247"/>
      <c r="AC20906" s="247"/>
      <c r="AT20906" s="247"/>
    </row>
    <row r="20907">
      <c r="C20907" s="277"/>
      <c r="M20907" s="277"/>
      <c r="O20907" s="247"/>
      <c r="AC20907" s="247"/>
      <c r="AT20907" s="247"/>
    </row>
    <row r="20908">
      <c r="C20908" s="277"/>
      <c r="M20908" s="277"/>
      <c r="O20908" s="247"/>
      <c r="AC20908" s="247"/>
      <c r="AT20908" s="247"/>
    </row>
    <row r="20909">
      <c r="C20909" s="277"/>
      <c r="M20909" s="277"/>
      <c r="O20909" s="247"/>
      <c r="AC20909" s="247"/>
      <c r="AT20909" s="247"/>
    </row>
    <row r="20910">
      <c r="C20910" s="277"/>
      <c r="M20910" s="277"/>
      <c r="O20910" s="247"/>
      <c r="AC20910" s="247"/>
      <c r="AT20910" s="247"/>
    </row>
    <row r="20911">
      <c r="C20911" s="277"/>
      <c r="M20911" s="277"/>
      <c r="O20911" s="247"/>
      <c r="AC20911" s="247"/>
      <c r="AT20911" s="247"/>
    </row>
    <row r="20912">
      <c r="C20912" s="277"/>
      <c r="M20912" s="277"/>
      <c r="O20912" s="247"/>
      <c r="AC20912" s="247"/>
      <c r="AT20912" s="247"/>
    </row>
    <row r="20913">
      <c r="C20913" s="277"/>
      <c r="M20913" s="277"/>
      <c r="O20913" s="247"/>
      <c r="AC20913" s="247"/>
      <c r="AT20913" s="247"/>
    </row>
    <row r="20914">
      <c r="C20914" s="277"/>
      <c r="M20914" s="277"/>
      <c r="O20914" s="247"/>
      <c r="AC20914" s="247"/>
      <c r="AT20914" s="247"/>
    </row>
    <row r="20915">
      <c r="C20915" s="277"/>
      <c r="M20915" s="277"/>
      <c r="O20915" s="247"/>
      <c r="AC20915" s="247"/>
      <c r="AT20915" s="247"/>
    </row>
    <row r="20916">
      <c r="C20916" s="277"/>
      <c r="M20916" s="277"/>
      <c r="O20916" s="247"/>
      <c r="AC20916" s="247"/>
      <c r="AT20916" s="247"/>
    </row>
    <row r="20917">
      <c r="C20917" s="277"/>
      <c r="M20917" s="277"/>
      <c r="O20917" s="247"/>
      <c r="AC20917" s="247"/>
      <c r="AT20917" s="247"/>
    </row>
    <row r="20918">
      <c r="C20918" s="277"/>
      <c r="M20918" s="277"/>
      <c r="O20918" s="247"/>
      <c r="AC20918" s="247"/>
      <c r="AT20918" s="247"/>
    </row>
    <row r="20919">
      <c r="C20919" s="277"/>
      <c r="M20919" s="277"/>
      <c r="O20919" s="247"/>
      <c r="AC20919" s="247"/>
      <c r="AT20919" s="247"/>
    </row>
    <row r="20920">
      <c r="C20920" s="277"/>
      <c r="M20920" s="277"/>
      <c r="O20920" s="247"/>
      <c r="AC20920" s="247"/>
      <c r="AT20920" s="247"/>
    </row>
    <row r="20921">
      <c r="C20921" s="277"/>
      <c r="M20921" s="277"/>
      <c r="O20921" s="247"/>
      <c r="AC20921" s="247"/>
      <c r="AT20921" s="247"/>
    </row>
    <row r="20922">
      <c r="C20922" s="277"/>
      <c r="M20922" s="277"/>
      <c r="O20922" s="247"/>
      <c r="AC20922" s="247"/>
      <c r="AT20922" s="247"/>
    </row>
    <row r="20923">
      <c r="C20923" s="277"/>
      <c r="M20923" s="277"/>
      <c r="O20923" s="247"/>
      <c r="AC20923" s="247"/>
      <c r="AT20923" s="247"/>
    </row>
    <row r="20924">
      <c r="C20924" s="277"/>
      <c r="M20924" s="277"/>
      <c r="O20924" s="247"/>
      <c r="AC20924" s="247"/>
      <c r="AT20924" s="247"/>
    </row>
    <row r="20925">
      <c r="C20925" s="277"/>
      <c r="M20925" s="277"/>
      <c r="O20925" s="247"/>
      <c r="AC20925" s="247"/>
      <c r="AT20925" s="247"/>
    </row>
    <row r="20926">
      <c r="C20926" s="277"/>
      <c r="M20926" s="277"/>
      <c r="O20926" s="247"/>
      <c r="AC20926" s="247"/>
      <c r="AT20926" s="247"/>
    </row>
    <row r="20927">
      <c r="C20927" s="277"/>
      <c r="M20927" s="277"/>
      <c r="O20927" s="247"/>
      <c r="AC20927" s="247"/>
      <c r="AT20927" s="247"/>
    </row>
    <row r="20928">
      <c r="C20928" s="277"/>
      <c r="M20928" s="277"/>
      <c r="O20928" s="247"/>
      <c r="AC20928" s="247"/>
      <c r="AT20928" s="247"/>
    </row>
    <row r="20929">
      <c r="C20929" s="277"/>
      <c r="M20929" s="277"/>
      <c r="O20929" s="247"/>
      <c r="AC20929" s="247"/>
      <c r="AT20929" s="247"/>
    </row>
    <row r="20930">
      <c r="C20930" s="277"/>
      <c r="M20930" s="277"/>
      <c r="O20930" s="247"/>
      <c r="AC20930" s="247"/>
      <c r="AT20930" s="247"/>
    </row>
    <row r="20931">
      <c r="C20931" s="277"/>
      <c r="M20931" s="277"/>
      <c r="O20931" s="247"/>
      <c r="AC20931" s="247"/>
      <c r="AT20931" s="247"/>
    </row>
    <row r="20932">
      <c r="C20932" s="277"/>
      <c r="M20932" s="277"/>
      <c r="O20932" s="247"/>
      <c r="AC20932" s="247"/>
      <c r="AT20932" s="247"/>
    </row>
    <row r="20933">
      <c r="C20933" s="277"/>
      <c r="M20933" s="277"/>
      <c r="O20933" s="247"/>
      <c r="AC20933" s="247"/>
      <c r="AT20933" s="247"/>
    </row>
    <row r="20934">
      <c r="C20934" s="277"/>
      <c r="M20934" s="277"/>
      <c r="O20934" s="247"/>
      <c r="AC20934" s="247"/>
      <c r="AT20934" s="247"/>
    </row>
    <row r="20935">
      <c r="C20935" s="277"/>
      <c r="M20935" s="277"/>
      <c r="O20935" s="247"/>
      <c r="AC20935" s="247"/>
      <c r="AT20935" s="247"/>
    </row>
    <row r="20936">
      <c r="C20936" s="277"/>
      <c r="M20936" s="277"/>
      <c r="O20936" s="247"/>
      <c r="AC20936" s="247"/>
      <c r="AT20936" s="247"/>
    </row>
    <row r="20937">
      <c r="C20937" s="277"/>
      <c r="M20937" s="277"/>
      <c r="O20937" s="247"/>
      <c r="AC20937" s="247"/>
      <c r="AT20937" s="247"/>
    </row>
    <row r="20938">
      <c r="C20938" s="277"/>
      <c r="M20938" s="277"/>
      <c r="O20938" s="247"/>
      <c r="AC20938" s="247"/>
      <c r="AT20938" s="247"/>
    </row>
    <row r="20939">
      <c r="C20939" s="277"/>
      <c r="M20939" s="277"/>
      <c r="O20939" s="247"/>
      <c r="AC20939" s="247"/>
      <c r="AT20939" s="247"/>
    </row>
    <row r="20940">
      <c r="C20940" s="277"/>
      <c r="M20940" s="277"/>
      <c r="O20940" s="247"/>
      <c r="AC20940" s="247"/>
      <c r="AT20940" s="247"/>
    </row>
    <row r="20941">
      <c r="C20941" s="277"/>
      <c r="M20941" s="277"/>
      <c r="O20941" s="247"/>
      <c r="AC20941" s="247"/>
      <c r="AT20941" s="247"/>
    </row>
    <row r="20942">
      <c r="C20942" s="277"/>
      <c r="M20942" s="277"/>
      <c r="O20942" s="247"/>
      <c r="AC20942" s="247"/>
      <c r="AT20942" s="247"/>
    </row>
    <row r="20943">
      <c r="C20943" s="277"/>
      <c r="M20943" s="277"/>
      <c r="O20943" s="247"/>
      <c r="AC20943" s="247"/>
      <c r="AT20943" s="247"/>
    </row>
    <row r="20944">
      <c r="C20944" s="277"/>
      <c r="M20944" s="277"/>
      <c r="O20944" s="247"/>
      <c r="AC20944" s="247"/>
      <c r="AT20944" s="247"/>
    </row>
    <row r="20945">
      <c r="C20945" s="277"/>
      <c r="M20945" s="277"/>
      <c r="O20945" s="247"/>
      <c r="AC20945" s="247"/>
      <c r="AT20945" s="247"/>
    </row>
    <row r="20946">
      <c r="C20946" s="277"/>
      <c r="M20946" s="277"/>
      <c r="O20946" s="247"/>
      <c r="AC20946" s="247"/>
      <c r="AT20946" s="247"/>
    </row>
    <row r="20947">
      <c r="C20947" s="277"/>
      <c r="M20947" s="277"/>
      <c r="O20947" s="247"/>
      <c r="AC20947" s="247"/>
      <c r="AT20947" s="247"/>
    </row>
    <row r="20948">
      <c r="C20948" s="277"/>
      <c r="M20948" s="277"/>
      <c r="O20948" s="247"/>
      <c r="AC20948" s="247"/>
      <c r="AT20948" s="247"/>
    </row>
    <row r="20949">
      <c r="C20949" s="277"/>
      <c r="M20949" s="277"/>
      <c r="O20949" s="247"/>
      <c r="AC20949" s="247"/>
      <c r="AT20949" s="247"/>
    </row>
    <row r="20950">
      <c r="C20950" s="277"/>
      <c r="M20950" s="277"/>
      <c r="O20950" s="247"/>
      <c r="AC20950" s="247"/>
      <c r="AT20950" s="247"/>
    </row>
    <row r="20951">
      <c r="C20951" s="277"/>
      <c r="M20951" s="277"/>
      <c r="O20951" s="247"/>
      <c r="AC20951" s="247"/>
      <c r="AT20951" s="247"/>
    </row>
    <row r="20952">
      <c r="C20952" s="277"/>
      <c r="M20952" s="277"/>
      <c r="O20952" s="247"/>
      <c r="AC20952" s="247"/>
      <c r="AT20952" s="247"/>
    </row>
    <row r="20953">
      <c r="C20953" s="277"/>
      <c r="M20953" s="277"/>
      <c r="O20953" s="247"/>
      <c r="AC20953" s="247"/>
      <c r="AT20953" s="247"/>
    </row>
    <row r="20954">
      <c r="C20954" s="277"/>
      <c r="M20954" s="277"/>
      <c r="O20954" s="247"/>
      <c r="AC20954" s="247"/>
      <c r="AT20954" s="247"/>
    </row>
    <row r="20955">
      <c r="C20955" s="277"/>
      <c r="M20955" s="277"/>
      <c r="O20955" s="247"/>
      <c r="AC20955" s="247"/>
      <c r="AT20955" s="247"/>
    </row>
    <row r="20956">
      <c r="C20956" s="277"/>
      <c r="M20956" s="277"/>
      <c r="O20956" s="247"/>
      <c r="AC20956" s="247"/>
      <c r="AT20956" s="247"/>
    </row>
    <row r="20957">
      <c r="C20957" s="277"/>
      <c r="M20957" s="277"/>
      <c r="O20957" s="247"/>
      <c r="AC20957" s="247"/>
      <c r="AT20957" s="247"/>
    </row>
    <row r="20958">
      <c r="C20958" s="277"/>
      <c r="M20958" s="277"/>
      <c r="O20958" s="247"/>
      <c r="AC20958" s="247"/>
      <c r="AT20958" s="247"/>
    </row>
    <row r="20959">
      <c r="C20959" s="277"/>
      <c r="M20959" s="277"/>
      <c r="O20959" s="247"/>
      <c r="AC20959" s="247"/>
      <c r="AT20959" s="247"/>
    </row>
    <row r="20960">
      <c r="C20960" s="277"/>
      <c r="M20960" s="277"/>
      <c r="O20960" s="247"/>
      <c r="AC20960" s="247"/>
      <c r="AT20960" s="247"/>
    </row>
    <row r="20961">
      <c r="C20961" s="277"/>
      <c r="M20961" s="277"/>
      <c r="O20961" s="247"/>
      <c r="AC20961" s="247"/>
      <c r="AT20961" s="247"/>
    </row>
    <row r="20962">
      <c r="C20962" s="277"/>
      <c r="M20962" s="277"/>
      <c r="O20962" s="247"/>
      <c r="AC20962" s="247"/>
      <c r="AT20962" s="247"/>
    </row>
    <row r="20963">
      <c r="C20963" s="277"/>
      <c r="M20963" s="277"/>
      <c r="O20963" s="247"/>
      <c r="AC20963" s="247"/>
      <c r="AT20963" s="247"/>
    </row>
    <row r="20964">
      <c r="C20964" s="277"/>
      <c r="M20964" s="277"/>
      <c r="O20964" s="247"/>
      <c r="AC20964" s="247"/>
      <c r="AT20964" s="247"/>
    </row>
    <row r="20965">
      <c r="C20965" s="277"/>
      <c r="M20965" s="277"/>
      <c r="O20965" s="247"/>
      <c r="AC20965" s="247"/>
      <c r="AT20965" s="247"/>
    </row>
    <row r="20966">
      <c r="C20966" s="277"/>
      <c r="M20966" s="277"/>
      <c r="O20966" s="247"/>
      <c r="AC20966" s="247"/>
      <c r="AT20966" s="247"/>
    </row>
    <row r="20967">
      <c r="C20967" s="277"/>
      <c r="M20967" s="277"/>
      <c r="O20967" s="247"/>
      <c r="AC20967" s="247"/>
      <c r="AT20967" s="247"/>
    </row>
    <row r="20968">
      <c r="C20968" s="277"/>
      <c r="M20968" s="277"/>
      <c r="O20968" s="247"/>
      <c r="AC20968" s="247"/>
      <c r="AT20968" s="247"/>
    </row>
    <row r="20969">
      <c r="C20969" s="277"/>
      <c r="M20969" s="277"/>
      <c r="O20969" s="247"/>
      <c r="AC20969" s="247"/>
      <c r="AT20969" s="247"/>
    </row>
    <row r="20970">
      <c r="C20970" s="277"/>
      <c r="M20970" s="277"/>
      <c r="O20970" s="247"/>
      <c r="AC20970" s="247"/>
      <c r="AT20970" s="247"/>
    </row>
    <row r="20971">
      <c r="C20971" s="277"/>
      <c r="M20971" s="277"/>
      <c r="O20971" s="247"/>
      <c r="AC20971" s="247"/>
      <c r="AT20971" s="247"/>
    </row>
    <row r="20972">
      <c r="C20972" s="277"/>
      <c r="M20972" s="277"/>
      <c r="O20972" s="247"/>
      <c r="AC20972" s="247"/>
      <c r="AT20972" s="247"/>
    </row>
    <row r="20973">
      <c r="C20973" s="277"/>
      <c r="M20973" s="277"/>
      <c r="O20973" s="247"/>
      <c r="AC20973" s="247"/>
      <c r="AT20973" s="247"/>
    </row>
    <row r="20974">
      <c r="C20974" s="277"/>
      <c r="M20974" s="277"/>
      <c r="O20974" s="247"/>
      <c r="AC20974" s="247"/>
      <c r="AT20974" s="247"/>
    </row>
    <row r="20975">
      <c r="C20975" s="277"/>
      <c r="M20975" s="277"/>
      <c r="O20975" s="247"/>
      <c r="AC20975" s="247"/>
      <c r="AT20975" s="247"/>
    </row>
    <row r="20976">
      <c r="C20976" s="277"/>
      <c r="M20976" s="277"/>
      <c r="O20976" s="247"/>
      <c r="AC20976" s="247"/>
      <c r="AT20976" s="247"/>
    </row>
    <row r="20977">
      <c r="C20977" s="277"/>
      <c r="M20977" s="277"/>
      <c r="O20977" s="247"/>
      <c r="AC20977" s="247"/>
      <c r="AT20977" s="247"/>
    </row>
    <row r="20978">
      <c r="C20978" s="277"/>
      <c r="M20978" s="277"/>
      <c r="O20978" s="247"/>
      <c r="AC20978" s="247"/>
      <c r="AT20978" s="247"/>
    </row>
    <row r="20979">
      <c r="C20979" s="277"/>
      <c r="M20979" s="277"/>
      <c r="O20979" s="247"/>
      <c r="AC20979" s="247"/>
      <c r="AT20979" s="247"/>
    </row>
    <row r="20980">
      <c r="C20980" s="277"/>
      <c r="M20980" s="277"/>
      <c r="O20980" s="247"/>
      <c r="AC20980" s="247"/>
      <c r="AT20980" s="247"/>
    </row>
    <row r="20981">
      <c r="C20981" s="277"/>
      <c r="M20981" s="277"/>
      <c r="O20981" s="247"/>
      <c r="AC20981" s="247"/>
      <c r="AT20981" s="247"/>
    </row>
    <row r="20982">
      <c r="C20982" s="277"/>
      <c r="M20982" s="277"/>
      <c r="O20982" s="247"/>
      <c r="AC20982" s="247"/>
      <c r="AT20982" s="247"/>
    </row>
    <row r="20983">
      <c r="C20983" s="277"/>
      <c r="M20983" s="277"/>
      <c r="O20983" s="247"/>
      <c r="AC20983" s="247"/>
      <c r="AT20983" s="247"/>
    </row>
    <row r="20984">
      <c r="C20984" s="277"/>
      <c r="M20984" s="277"/>
      <c r="O20984" s="247"/>
      <c r="AC20984" s="247"/>
      <c r="AT20984" s="247"/>
    </row>
    <row r="20985">
      <c r="C20985" s="277"/>
      <c r="M20985" s="277"/>
      <c r="O20985" s="247"/>
      <c r="AC20985" s="247"/>
      <c r="AT20985" s="247"/>
    </row>
    <row r="20986">
      <c r="C20986" s="277"/>
      <c r="M20986" s="277"/>
      <c r="O20986" s="247"/>
      <c r="AC20986" s="247"/>
      <c r="AT20986" s="247"/>
    </row>
    <row r="20987">
      <c r="C20987" s="277"/>
      <c r="M20987" s="277"/>
      <c r="O20987" s="247"/>
      <c r="AC20987" s="247"/>
      <c r="AT20987" s="247"/>
    </row>
    <row r="20988">
      <c r="C20988" s="277"/>
      <c r="M20988" s="277"/>
      <c r="O20988" s="247"/>
      <c r="AC20988" s="247"/>
      <c r="AT20988" s="247"/>
    </row>
    <row r="20989">
      <c r="C20989" s="277"/>
      <c r="M20989" s="277"/>
      <c r="O20989" s="247"/>
      <c r="AC20989" s="247"/>
      <c r="AT20989" s="247"/>
    </row>
    <row r="20990">
      <c r="C20990" s="277"/>
      <c r="M20990" s="277"/>
      <c r="O20990" s="247"/>
      <c r="AC20990" s="247"/>
      <c r="AT20990" s="247"/>
    </row>
    <row r="20991">
      <c r="C20991" s="277"/>
      <c r="M20991" s="277"/>
      <c r="O20991" s="247"/>
      <c r="AC20991" s="247"/>
      <c r="AT20991" s="247"/>
    </row>
    <row r="20992">
      <c r="C20992" s="277"/>
      <c r="M20992" s="277"/>
      <c r="O20992" s="247"/>
      <c r="AC20992" s="247"/>
      <c r="AT20992" s="247"/>
    </row>
    <row r="20993">
      <c r="C20993" s="277"/>
      <c r="M20993" s="277"/>
      <c r="O20993" s="247"/>
      <c r="AC20993" s="247"/>
      <c r="AT20993" s="247"/>
    </row>
    <row r="20994">
      <c r="C20994" s="277"/>
      <c r="M20994" s="277"/>
      <c r="O20994" s="247"/>
      <c r="AC20994" s="247"/>
      <c r="AT20994" s="247"/>
    </row>
    <row r="20995">
      <c r="C20995" s="277"/>
      <c r="M20995" s="277"/>
      <c r="O20995" s="247"/>
      <c r="AC20995" s="247"/>
      <c r="AT20995" s="247"/>
    </row>
    <row r="20996">
      <c r="C20996" s="277"/>
      <c r="M20996" s="277"/>
      <c r="O20996" s="247"/>
      <c r="AC20996" s="247"/>
      <c r="AT20996" s="247"/>
    </row>
    <row r="20997">
      <c r="C20997" s="277"/>
      <c r="M20997" s="277"/>
      <c r="O20997" s="247"/>
      <c r="AC20997" s="247"/>
      <c r="AT20997" s="247"/>
    </row>
    <row r="20998">
      <c r="C20998" s="277"/>
      <c r="M20998" s="277"/>
      <c r="O20998" s="247"/>
      <c r="AC20998" s="247"/>
      <c r="AT20998" s="247"/>
    </row>
    <row r="20999">
      <c r="C20999" s="277"/>
      <c r="M20999" s="277"/>
      <c r="O20999" s="247"/>
      <c r="AC20999" s="247"/>
      <c r="AT20999" s="247"/>
    </row>
    <row r="21000">
      <c r="C21000" s="277"/>
      <c r="M21000" s="277"/>
      <c r="O21000" s="247"/>
      <c r="AC21000" s="247"/>
      <c r="AT21000" s="247"/>
    </row>
    <row r="21001">
      <c r="C21001" s="277"/>
      <c r="M21001" s="277"/>
      <c r="O21001" s="247"/>
      <c r="AC21001" s="247"/>
      <c r="AT21001" s="247"/>
    </row>
    <row r="21002">
      <c r="C21002" s="277"/>
      <c r="M21002" s="277"/>
      <c r="O21002" s="247"/>
      <c r="AC21002" s="247"/>
      <c r="AT21002" s="247"/>
    </row>
    <row r="21003">
      <c r="C21003" s="277"/>
      <c r="M21003" s="277"/>
      <c r="O21003" s="247"/>
      <c r="AC21003" s="247"/>
      <c r="AT21003" s="247"/>
    </row>
    <row r="21004">
      <c r="C21004" s="277"/>
      <c r="M21004" s="277"/>
      <c r="O21004" s="247"/>
      <c r="AC21004" s="247"/>
      <c r="AT21004" s="247"/>
    </row>
    <row r="21005">
      <c r="C21005" s="277"/>
      <c r="M21005" s="277"/>
      <c r="O21005" s="247"/>
      <c r="AC21005" s="247"/>
      <c r="AT21005" s="247"/>
    </row>
    <row r="21006">
      <c r="C21006" s="277"/>
      <c r="M21006" s="277"/>
      <c r="O21006" s="247"/>
      <c r="AC21006" s="247"/>
      <c r="AT21006" s="247"/>
    </row>
    <row r="21007">
      <c r="C21007" s="277"/>
      <c r="M21007" s="277"/>
      <c r="O21007" s="247"/>
      <c r="AC21007" s="247"/>
      <c r="AT21007" s="247"/>
    </row>
    <row r="21008">
      <c r="C21008" s="277"/>
      <c r="M21008" s="277"/>
      <c r="O21008" s="247"/>
      <c r="AC21008" s="247"/>
      <c r="AT21008" s="247"/>
    </row>
    <row r="21009">
      <c r="C21009" s="277"/>
      <c r="M21009" s="277"/>
      <c r="O21009" s="247"/>
      <c r="AC21009" s="247"/>
      <c r="AT21009" s="247"/>
    </row>
    <row r="21010">
      <c r="C21010" s="277"/>
      <c r="M21010" s="277"/>
      <c r="O21010" s="247"/>
      <c r="AC21010" s="247"/>
      <c r="AT21010" s="247"/>
    </row>
    <row r="21011">
      <c r="C21011" s="277"/>
      <c r="M21011" s="277"/>
      <c r="O21011" s="247"/>
      <c r="AC21011" s="247"/>
      <c r="AT21011" s="247"/>
    </row>
    <row r="21012">
      <c r="C21012" s="277"/>
      <c r="M21012" s="277"/>
      <c r="O21012" s="247"/>
      <c r="AC21012" s="247"/>
      <c r="AT21012" s="247"/>
    </row>
    <row r="21013">
      <c r="C21013" s="277"/>
      <c r="M21013" s="277"/>
      <c r="O21013" s="247"/>
      <c r="AC21013" s="247"/>
      <c r="AT21013" s="247"/>
    </row>
    <row r="21014">
      <c r="C21014" s="277"/>
      <c r="M21014" s="277"/>
      <c r="O21014" s="247"/>
      <c r="AC21014" s="247"/>
      <c r="AT21014" s="247"/>
    </row>
    <row r="21015">
      <c r="C21015" s="277"/>
      <c r="M21015" s="277"/>
      <c r="O21015" s="247"/>
      <c r="AC21015" s="247"/>
      <c r="AT21015" s="247"/>
    </row>
    <row r="21016">
      <c r="C21016" s="277"/>
      <c r="M21016" s="277"/>
      <c r="O21016" s="247"/>
      <c r="AC21016" s="247"/>
      <c r="AT21016" s="247"/>
    </row>
    <row r="21017">
      <c r="C21017" s="277"/>
      <c r="M21017" s="277"/>
      <c r="O21017" s="247"/>
      <c r="AC21017" s="247"/>
      <c r="AT21017" s="247"/>
    </row>
    <row r="21018">
      <c r="C21018" s="277"/>
      <c r="M21018" s="277"/>
      <c r="O21018" s="247"/>
      <c r="AC21018" s="247"/>
      <c r="AT21018" s="247"/>
    </row>
    <row r="21019">
      <c r="C21019" s="277"/>
      <c r="M21019" s="277"/>
      <c r="O21019" s="247"/>
      <c r="AC21019" s="247"/>
      <c r="AT21019" s="247"/>
    </row>
    <row r="21020">
      <c r="C21020" s="277"/>
      <c r="M21020" s="277"/>
      <c r="O21020" s="247"/>
      <c r="AC21020" s="247"/>
      <c r="AT21020" s="247"/>
    </row>
    <row r="21021">
      <c r="C21021" s="277"/>
      <c r="M21021" s="277"/>
      <c r="O21021" s="247"/>
      <c r="AC21021" s="247"/>
      <c r="AT21021" s="247"/>
    </row>
    <row r="21022">
      <c r="C21022" s="277"/>
      <c r="M21022" s="277"/>
      <c r="O21022" s="247"/>
      <c r="AC21022" s="247"/>
      <c r="AT21022" s="247"/>
    </row>
    <row r="21023">
      <c r="C21023" s="277"/>
      <c r="M21023" s="277"/>
      <c r="O21023" s="247"/>
      <c r="AC21023" s="247"/>
      <c r="AT21023" s="247"/>
    </row>
    <row r="21024">
      <c r="C21024" s="277"/>
      <c r="M21024" s="277"/>
      <c r="O21024" s="247"/>
      <c r="AC21024" s="247"/>
      <c r="AT21024" s="247"/>
    </row>
    <row r="21025">
      <c r="C21025" s="277"/>
      <c r="M21025" s="277"/>
      <c r="O21025" s="247"/>
      <c r="AC21025" s="247"/>
      <c r="AT21025" s="247"/>
    </row>
    <row r="21026">
      <c r="C21026" s="277"/>
      <c r="M21026" s="277"/>
      <c r="O21026" s="247"/>
      <c r="AC21026" s="247"/>
      <c r="AT21026" s="247"/>
    </row>
    <row r="21027">
      <c r="C21027" s="277"/>
      <c r="M21027" s="277"/>
      <c r="O21027" s="247"/>
      <c r="AC21027" s="247"/>
      <c r="AT21027" s="247"/>
    </row>
    <row r="21028">
      <c r="C21028" s="277"/>
      <c r="M21028" s="277"/>
      <c r="O21028" s="247"/>
      <c r="AC21028" s="247"/>
      <c r="AT21028" s="247"/>
    </row>
    <row r="21029">
      <c r="C21029" s="277"/>
      <c r="M21029" s="277"/>
      <c r="O21029" s="247"/>
      <c r="AC21029" s="247"/>
      <c r="AT21029" s="247"/>
    </row>
    <row r="21030">
      <c r="C21030" s="277"/>
      <c r="M21030" s="277"/>
      <c r="O21030" s="247"/>
      <c r="AC21030" s="247"/>
      <c r="AT21030" s="247"/>
    </row>
    <row r="21031">
      <c r="C21031" s="277"/>
      <c r="M21031" s="277"/>
      <c r="O21031" s="247"/>
      <c r="AC21031" s="247"/>
      <c r="AT21031" s="247"/>
    </row>
    <row r="21032">
      <c r="C21032" s="277"/>
      <c r="M21032" s="277"/>
      <c r="O21032" s="247"/>
      <c r="AC21032" s="247"/>
      <c r="AT21032" s="247"/>
    </row>
    <row r="21033">
      <c r="C21033" s="277"/>
      <c r="M21033" s="277"/>
      <c r="O21033" s="247"/>
      <c r="AC21033" s="247"/>
      <c r="AT21033" s="247"/>
    </row>
    <row r="21034">
      <c r="C21034" s="277"/>
      <c r="M21034" s="277"/>
      <c r="O21034" s="247"/>
      <c r="AC21034" s="247"/>
      <c r="AT21034" s="247"/>
    </row>
    <row r="21035">
      <c r="C21035" s="277"/>
      <c r="M21035" s="277"/>
      <c r="O21035" s="247"/>
      <c r="AC21035" s="247"/>
      <c r="AT21035" s="247"/>
    </row>
    <row r="21036">
      <c r="C21036" s="277"/>
      <c r="M21036" s="277"/>
      <c r="O21036" s="247"/>
      <c r="AC21036" s="247"/>
      <c r="AT21036" s="247"/>
    </row>
    <row r="21037">
      <c r="C21037" s="277"/>
      <c r="M21037" s="277"/>
      <c r="O21037" s="247"/>
      <c r="AC21037" s="247"/>
      <c r="AT21037" s="247"/>
    </row>
    <row r="21038">
      <c r="C21038" s="277"/>
      <c r="M21038" s="277"/>
      <c r="O21038" s="247"/>
      <c r="AC21038" s="247"/>
      <c r="AT21038" s="247"/>
    </row>
    <row r="21039">
      <c r="C21039" s="277"/>
      <c r="M21039" s="277"/>
      <c r="O21039" s="247"/>
      <c r="AC21039" s="247"/>
      <c r="AT21039" s="247"/>
    </row>
    <row r="21040">
      <c r="C21040" s="277"/>
      <c r="M21040" s="277"/>
      <c r="O21040" s="247"/>
      <c r="AC21040" s="247"/>
      <c r="AT21040" s="247"/>
    </row>
    <row r="21041">
      <c r="C21041" s="277"/>
      <c r="M21041" s="277"/>
      <c r="O21041" s="247"/>
      <c r="AC21041" s="247"/>
      <c r="AT21041" s="247"/>
    </row>
    <row r="21042">
      <c r="C21042" s="277"/>
      <c r="M21042" s="277"/>
      <c r="O21042" s="247"/>
      <c r="AC21042" s="247"/>
      <c r="AT21042" s="247"/>
    </row>
    <row r="21043">
      <c r="C21043" s="277"/>
      <c r="M21043" s="277"/>
      <c r="O21043" s="247"/>
      <c r="AC21043" s="247"/>
      <c r="AT21043" s="247"/>
    </row>
    <row r="21044">
      <c r="C21044" s="277"/>
      <c r="M21044" s="277"/>
      <c r="O21044" s="247"/>
      <c r="AC21044" s="247"/>
      <c r="AT21044" s="247"/>
    </row>
    <row r="21045">
      <c r="C21045" s="277"/>
      <c r="M21045" s="277"/>
      <c r="O21045" s="247"/>
      <c r="AC21045" s="247"/>
      <c r="AT21045" s="247"/>
    </row>
    <row r="21046">
      <c r="C21046" s="277"/>
      <c r="M21046" s="277"/>
      <c r="O21046" s="247"/>
      <c r="AC21046" s="247"/>
      <c r="AT21046" s="247"/>
    </row>
    <row r="21047">
      <c r="C21047" s="277"/>
      <c r="M21047" s="277"/>
      <c r="O21047" s="247"/>
      <c r="AC21047" s="247"/>
      <c r="AT21047" s="247"/>
    </row>
    <row r="21048">
      <c r="C21048" s="277"/>
      <c r="M21048" s="277"/>
      <c r="O21048" s="247"/>
      <c r="AC21048" s="247"/>
      <c r="AT21048" s="247"/>
    </row>
    <row r="21049">
      <c r="C21049" s="277"/>
      <c r="M21049" s="277"/>
      <c r="O21049" s="247"/>
      <c r="AC21049" s="247"/>
      <c r="AT21049" s="247"/>
    </row>
    <row r="21050">
      <c r="C21050" s="277"/>
      <c r="M21050" s="277"/>
      <c r="O21050" s="247"/>
      <c r="AC21050" s="247"/>
      <c r="AT21050" s="247"/>
    </row>
    <row r="21051">
      <c r="C21051" s="277"/>
      <c r="M21051" s="277"/>
      <c r="O21051" s="247"/>
      <c r="AC21051" s="247"/>
      <c r="AT21051" s="247"/>
    </row>
    <row r="21052">
      <c r="C21052" s="277"/>
      <c r="M21052" s="277"/>
      <c r="O21052" s="247"/>
      <c r="AC21052" s="247"/>
      <c r="AT21052" s="247"/>
    </row>
    <row r="21053">
      <c r="C21053" s="277"/>
      <c r="M21053" s="277"/>
      <c r="O21053" s="247"/>
      <c r="AC21053" s="247"/>
      <c r="AT21053" s="247"/>
    </row>
    <row r="21054">
      <c r="C21054" s="277"/>
      <c r="M21054" s="277"/>
      <c r="O21054" s="247"/>
      <c r="AC21054" s="247"/>
      <c r="AT21054" s="247"/>
    </row>
    <row r="21055">
      <c r="C21055" s="277"/>
      <c r="M21055" s="277"/>
      <c r="O21055" s="247"/>
      <c r="AC21055" s="247"/>
      <c r="AT21055" s="247"/>
    </row>
    <row r="21056">
      <c r="C21056" s="277"/>
      <c r="M21056" s="277"/>
      <c r="O21056" s="247"/>
      <c r="AC21056" s="247"/>
      <c r="AT21056" s="247"/>
    </row>
    <row r="21057">
      <c r="C21057" s="277"/>
      <c r="M21057" s="277"/>
      <c r="O21057" s="247"/>
      <c r="AC21057" s="247"/>
      <c r="AT21057" s="247"/>
    </row>
    <row r="21058">
      <c r="C21058" s="277"/>
      <c r="M21058" s="277"/>
      <c r="O21058" s="247"/>
      <c r="AC21058" s="247"/>
      <c r="AT21058" s="247"/>
    </row>
    <row r="21059">
      <c r="C21059" s="277"/>
      <c r="M21059" s="277"/>
      <c r="O21059" s="247"/>
      <c r="AC21059" s="247"/>
      <c r="AT21059" s="247"/>
    </row>
    <row r="21060">
      <c r="C21060" s="277"/>
      <c r="M21060" s="277"/>
      <c r="O21060" s="247"/>
      <c r="AC21060" s="247"/>
      <c r="AT21060" s="247"/>
    </row>
    <row r="21061">
      <c r="C21061" s="277"/>
      <c r="M21061" s="277"/>
      <c r="O21061" s="247"/>
      <c r="AC21061" s="247"/>
      <c r="AT21061" s="247"/>
    </row>
    <row r="21062">
      <c r="C21062" s="277"/>
      <c r="M21062" s="277"/>
      <c r="O21062" s="247"/>
      <c r="AC21062" s="247"/>
      <c r="AT21062" s="247"/>
    </row>
    <row r="21063">
      <c r="C21063" s="277"/>
      <c r="M21063" s="277"/>
      <c r="O21063" s="247"/>
      <c r="AC21063" s="247"/>
      <c r="AT21063" s="247"/>
    </row>
    <row r="21064">
      <c r="C21064" s="277"/>
      <c r="M21064" s="277"/>
      <c r="O21064" s="247"/>
      <c r="AC21064" s="247"/>
      <c r="AT21064" s="247"/>
    </row>
    <row r="21065">
      <c r="C21065" s="277"/>
      <c r="M21065" s="277"/>
      <c r="O21065" s="247"/>
      <c r="AC21065" s="247"/>
      <c r="AT21065" s="247"/>
    </row>
    <row r="21066">
      <c r="C21066" s="277"/>
      <c r="M21066" s="277"/>
      <c r="O21066" s="247"/>
      <c r="AC21066" s="247"/>
      <c r="AT21066" s="247"/>
    </row>
    <row r="21067">
      <c r="C21067" s="277"/>
      <c r="M21067" s="277"/>
      <c r="O21067" s="247"/>
      <c r="AC21067" s="247"/>
      <c r="AT21067" s="247"/>
    </row>
    <row r="21068">
      <c r="C21068" s="277"/>
      <c r="M21068" s="277"/>
      <c r="O21068" s="247"/>
      <c r="AC21068" s="247"/>
      <c r="AT21068" s="247"/>
    </row>
    <row r="21069">
      <c r="C21069" s="277"/>
      <c r="M21069" s="277"/>
      <c r="O21069" s="247"/>
      <c r="AC21069" s="247"/>
      <c r="AT21069" s="247"/>
    </row>
    <row r="21070">
      <c r="C21070" s="277"/>
      <c r="M21070" s="277"/>
      <c r="O21070" s="247"/>
      <c r="AC21070" s="247"/>
      <c r="AT21070" s="247"/>
    </row>
    <row r="21071">
      <c r="C21071" s="277"/>
      <c r="M21071" s="277"/>
      <c r="O21071" s="247"/>
      <c r="AC21071" s="247"/>
      <c r="AT21071" s="247"/>
    </row>
    <row r="21072">
      <c r="C21072" s="277"/>
      <c r="M21072" s="277"/>
      <c r="O21072" s="247"/>
      <c r="AC21072" s="247"/>
      <c r="AT21072" s="247"/>
    </row>
    <row r="21073">
      <c r="C21073" s="277"/>
      <c r="M21073" s="277"/>
      <c r="O21073" s="247"/>
      <c r="AC21073" s="247"/>
      <c r="AT21073" s="247"/>
    </row>
    <row r="21074">
      <c r="C21074" s="277"/>
      <c r="M21074" s="277"/>
      <c r="O21074" s="247"/>
      <c r="AC21074" s="247"/>
      <c r="AT21074" s="247"/>
    </row>
    <row r="21075">
      <c r="C21075" s="277"/>
      <c r="M21075" s="277"/>
      <c r="O21075" s="247"/>
      <c r="AC21075" s="247"/>
      <c r="AT21075" s="247"/>
    </row>
    <row r="21076">
      <c r="C21076" s="277"/>
      <c r="M21076" s="277"/>
      <c r="O21076" s="247"/>
      <c r="AC21076" s="247"/>
      <c r="AT21076" s="247"/>
    </row>
    <row r="21077">
      <c r="C21077" s="277"/>
      <c r="M21077" s="277"/>
      <c r="O21077" s="247"/>
      <c r="AC21077" s="247"/>
      <c r="AT21077" s="247"/>
    </row>
    <row r="21078">
      <c r="C21078" s="277"/>
      <c r="M21078" s="277"/>
      <c r="O21078" s="247"/>
      <c r="AC21078" s="247"/>
      <c r="AT21078" s="247"/>
    </row>
    <row r="21079">
      <c r="C21079" s="277"/>
      <c r="M21079" s="277"/>
      <c r="O21079" s="247"/>
      <c r="AC21079" s="247"/>
      <c r="AT21079" s="247"/>
    </row>
    <row r="21080">
      <c r="C21080" s="277"/>
      <c r="M21080" s="277"/>
      <c r="O21080" s="247"/>
      <c r="AC21080" s="247"/>
      <c r="AT21080" s="247"/>
    </row>
    <row r="21081">
      <c r="C21081" s="277"/>
      <c r="M21081" s="277"/>
      <c r="O21081" s="247"/>
      <c r="AC21081" s="247"/>
      <c r="AT21081" s="247"/>
    </row>
    <row r="21082">
      <c r="C21082" s="277"/>
      <c r="M21082" s="277"/>
      <c r="O21082" s="247"/>
      <c r="AC21082" s="247"/>
      <c r="AT21082" s="247"/>
    </row>
    <row r="21083">
      <c r="C21083" s="277"/>
      <c r="M21083" s="277"/>
      <c r="O21083" s="247"/>
      <c r="AC21083" s="247"/>
      <c r="AT21083" s="247"/>
    </row>
    <row r="21084">
      <c r="C21084" s="277"/>
      <c r="M21084" s="277"/>
      <c r="O21084" s="247"/>
      <c r="AC21084" s="247"/>
      <c r="AT21084" s="247"/>
    </row>
    <row r="21085">
      <c r="C21085" s="277"/>
      <c r="M21085" s="277"/>
      <c r="O21085" s="247"/>
      <c r="AC21085" s="247"/>
      <c r="AT21085" s="247"/>
    </row>
    <row r="21086">
      <c r="C21086" s="277"/>
      <c r="M21086" s="277"/>
      <c r="O21086" s="247"/>
      <c r="AC21086" s="247"/>
      <c r="AT21086" s="247"/>
    </row>
    <row r="21087">
      <c r="C21087" s="277"/>
      <c r="M21087" s="277"/>
      <c r="O21087" s="247"/>
      <c r="AC21087" s="247"/>
      <c r="AT21087" s="247"/>
    </row>
    <row r="21088">
      <c r="C21088" s="277"/>
      <c r="M21088" s="277"/>
      <c r="O21088" s="247"/>
      <c r="AC21088" s="247"/>
      <c r="AT21088" s="247"/>
    </row>
    <row r="21089">
      <c r="C21089" s="277"/>
      <c r="M21089" s="277"/>
      <c r="O21089" s="247"/>
      <c r="AC21089" s="247"/>
      <c r="AT21089" s="247"/>
    </row>
    <row r="21090">
      <c r="C21090" s="277"/>
      <c r="M21090" s="277"/>
      <c r="O21090" s="247"/>
      <c r="AC21090" s="247"/>
      <c r="AT21090" s="247"/>
    </row>
    <row r="21091">
      <c r="C21091" s="277"/>
      <c r="M21091" s="277"/>
      <c r="O21091" s="247"/>
      <c r="AC21091" s="247"/>
      <c r="AT21091" s="247"/>
    </row>
    <row r="21092">
      <c r="C21092" s="277"/>
      <c r="M21092" s="277"/>
      <c r="O21092" s="247"/>
      <c r="AC21092" s="247"/>
      <c r="AT21092" s="247"/>
    </row>
    <row r="21093">
      <c r="C21093" s="277"/>
      <c r="M21093" s="277"/>
      <c r="O21093" s="247"/>
      <c r="AC21093" s="247"/>
      <c r="AT21093" s="247"/>
    </row>
    <row r="21094">
      <c r="C21094" s="277"/>
      <c r="M21094" s="277"/>
      <c r="O21094" s="247"/>
      <c r="AC21094" s="247"/>
      <c r="AT21094" s="247"/>
    </row>
    <row r="21095">
      <c r="C21095" s="277"/>
      <c r="M21095" s="277"/>
      <c r="O21095" s="247"/>
      <c r="AC21095" s="247"/>
      <c r="AT21095" s="247"/>
    </row>
    <row r="21096">
      <c r="C21096" s="277"/>
      <c r="M21096" s="277"/>
      <c r="O21096" s="247"/>
      <c r="AC21096" s="247"/>
      <c r="AT21096" s="247"/>
    </row>
    <row r="21097">
      <c r="C21097" s="277"/>
      <c r="M21097" s="277"/>
      <c r="O21097" s="247"/>
      <c r="AC21097" s="247"/>
      <c r="AT21097" s="247"/>
    </row>
    <row r="21098">
      <c r="C21098" s="277"/>
      <c r="M21098" s="277"/>
      <c r="O21098" s="247"/>
      <c r="AC21098" s="247"/>
      <c r="AT21098" s="247"/>
    </row>
    <row r="21099">
      <c r="C21099" s="277"/>
      <c r="M21099" s="277"/>
      <c r="O21099" s="247"/>
      <c r="AC21099" s="247"/>
      <c r="AT21099" s="247"/>
    </row>
    <row r="21100">
      <c r="C21100" s="277"/>
      <c r="M21100" s="277"/>
      <c r="O21100" s="247"/>
      <c r="AC21100" s="247"/>
      <c r="AT21100" s="247"/>
    </row>
    <row r="21101">
      <c r="C21101" s="277"/>
      <c r="M21101" s="277"/>
      <c r="O21101" s="247"/>
      <c r="AC21101" s="247"/>
      <c r="AT21101" s="247"/>
    </row>
    <row r="21102">
      <c r="C21102" s="277"/>
      <c r="M21102" s="277"/>
      <c r="O21102" s="247"/>
      <c r="AC21102" s="247"/>
      <c r="AT21102" s="247"/>
    </row>
    <row r="21103">
      <c r="C21103" s="277"/>
      <c r="M21103" s="277"/>
      <c r="O21103" s="247"/>
      <c r="AC21103" s="247"/>
      <c r="AT21103" s="247"/>
    </row>
    <row r="21104">
      <c r="C21104" s="277"/>
      <c r="M21104" s="277"/>
      <c r="O21104" s="247"/>
      <c r="AC21104" s="247"/>
      <c r="AT21104" s="247"/>
    </row>
    <row r="21105">
      <c r="C21105" s="277"/>
      <c r="M21105" s="277"/>
      <c r="O21105" s="247"/>
      <c r="AC21105" s="247"/>
      <c r="AT21105" s="247"/>
    </row>
    <row r="21106">
      <c r="C21106" s="277"/>
      <c r="M21106" s="277"/>
      <c r="O21106" s="247"/>
      <c r="AC21106" s="247"/>
      <c r="AT21106" s="247"/>
    </row>
    <row r="21107">
      <c r="C21107" s="277"/>
      <c r="M21107" s="277"/>
      <c r="O21107" s="247"/>
      <c r="AC21107" s="247"/>
      <c r="AT21107" s="247"/>
    </row>
    <row r="21108">
      <c r="C21108" s="277"/>
      <c r="M21108" s="277"/>
      <c r="O21108" s="247"/>
      <c r="AC21108" s="247"/>
      <c r="AT21108" s="247"/>
    </row>
    <row r="21109">
      <c r="C21109" s="277"/>
      <c r="M21109" s="277"/>
      <c r="O21109" s="247"/>
      <c r="AC21109" s="247"/>
      <c r="AT21109" s="247"/>
    </row>
    <row r="21110">
      <c r="C21110" s="277"/>
      <c r="M21110" s="277"/>
      <c r="O21110" s="247"/>
      <c r="AC21110" s="247"/>
      <c r="AT21110" s="247"/>
    </row>
    <row r="21111">
      <c r="C21111" s="277"/>
      <c r="M21111" s="277"/>
      <c r="O21111" s="247"/>
      <c r="AC21111" s="247"/>
      <c r="AT21111" s="247"/>
    </row>
    <row r="21112">
      <c r="C21112" s="277"/>
      <c r="M21112" s="277"/>
      <c r="O21112" s="247"/>
      <c r="AC21112" s="247"/>
      <c r="AT21112" s="247"/>
    </row>
    <row r="21113">
      <c r="C21113" s="277"/>
      <c r="M21113" s="277"/>
      <c r="O21113" s="247"/>
      <c r="AC21113" s="247"/>
      <c r="AT21113" s="247"/>
    </row>
    <row r="21114">
      <c r="C21114" s="277"/>
      <c r="M21114" s="277"/>
      <c r="O21114" s="247"/>
      <c r="AC21114" s="247"/>
      <c r="AT21114" s="247"/>
    </row>
    <row r="21115">
      <c r="C21115" s="277"/>
      <c r="M21115" s="277"/>
      <c r="O21115" s="247"/>
      <c r="AC21115" s="247"/>
      <c r="AT21115" s="247"/>
    </row>
    <row r="21116">
      <c r="C21116" s="277"/>
      <c r="M21116" s="277"/>
      <c r="O21116" s="247"/>
      <c r="AC21116" s="247"/>
      <c r="AT21116" s="247"/>
    </row>
    <row r="21117">
      <c r="C21117" s="277"/>
      <c r="M21117" s="277"/>
      <c r="O21117" s="247"/>
      <c r="AC21117" s="247"/>
      <c r="AT21117" s="247"/>
    </row>
    <row r="21118">
      <c r="C21118" s="277"/>
      <c r="M21118" s="277"/>
      <c r="O21118" s="247"/>
      <c r="AC21118" s="247"/>
      <c r="AT21118" s="247"/>
    </row>
    <row r="21119">
      <c r="C21119" s="277"/>
      <c r="M21119" s="277"/>
      <c r="O21119" s="247"/>
      <c r="AC21119" s="247"/>
      <c r="AT21119" s="247"/>
    </row>
    <row r="21120">
      <c r="C21120" s="277"/>
      <c r="M21120" s="277"/>
      <c r="O21120" s="247"/>
      <c r="AC21120" s="247"/>
      <c r="AT21120" s="247"/>
    </row>
    <row r="21121">
      <c r="C21121" s="277"/>
      <c r="M21121" s="277"/>
      <c r="O21121" s="247"/>
      <c r="AC21121" s="247"/>
      <c r="AT21121" s="247"/>
    </row>
    <row r="21122">
      <c r="C21122" s="277"/>
      <c r="M21122" s="277"/>
      <c r="O21122" s="247"/>
      <c r="AC21122" s="247"/>
      <c r="AT21122" s="247"/>
    </row>
    <row r="21123">
      <c r="C21123" s="277"/>
      <c r="M21123" s="277"/>
      <c r="O21123" s="247"/>
      <c r="AC21123" s="247"/>
      <c r="AT21123" s="247"/>
    </row>
    <row r="21124">
      <c r="C21124" s="277"/>
      <c r="M21124" s="277"/>
      <c r="O21124" s="247"/>
      <c r="AC21124" s="247"/>
      <c r="AT21124" s="247"/>
    </row>
    <row r="21125">
      <c r="C21125" s="277"/>
      <c r="M21125" s="277"/>
      <c r="O21125" s="247"/>
      <c r="AC21125" s="247"/>
      <c r="AT21125" s="247"/>
    </row>
    <row r="21126">
      <c r="C21126" s="277"/>
      <c r="M21126" s="277"/>
      <c r="O21126" s="247"/>
      <c r="AC21126" s="247"/>
      <c r="AT21126" s="247"/>
    </row>
    <row r="21127">
      <c r="C21127" s="277"/>
      <c r="M21127" s="277"/>
      <c r="O21127" s="247"/>
      <c r="AC21127" s="247"/>
      <c r="AT21127" s="247"/>
    </row>
    <row r="21128">
      <c r="C21128" s="277"/>
      <c r="M21128" s="277"/>
      <c r="O21128" s="247"/>
      <c r="AC21128" s="247"/>
      <c r="AT21128" s="247"/>
    </row>
    <row r="21129">
      <c r="C21129" s="277"/>
      <c r="M21129" s="277"/>
      <c r="O21129" s="247"/>
      <c r="AC21129" s="247"/>
      <c r="AT21129" s="247"/>
    </row>
    <row r="21130">
      <c r="C21130" s="277"/>
      <c r="M21130" s="277"/>
      <c r="O21130" s="247"/>
      <c r="AC21130" s="247"/>
      <c r="AT21130" s="247"/>
    </row>
    <row r="21131">
      <c r="C21131" s="277"/>
      <c r="M21131" s="277"/>
      <c r="O21131" s="247"/>
      <c r="AC21131" s="247"/>
      <c r="AT21131" s="247"/>
    </row>
    <row r="21132">
      <c r="C21132" s="277"/>
      <c r="M21132" s="277"/>
      <c r="O21132" s="247"/>
      <c r="AC21132" s="247"/>
      <c r="AT21132" s="247"/>
    </row>
    <row r="21133">
      <c r="C21133" s="277"/>
      <c r="M21133" s="277"/>
      <c r="O21133" s="247"/>
      <c r="AC21133" s="247"/>
      <c r="AT21133" s="247"/>
    </row>
    <row r="21134">
      <c r="C21134" s="277"/>
      <c r="M21134" s="277"/>
      <c r="O21134" s="247"/>
      <c r="AC21134" s="247"/>
      <c r="AT21134" s="247"/>
    </row>
    <row r="21135">
      <c r="C21135" s="277"/>
      <c r="M21135" s="277"/>
      <c r="O21135" s="247"/>
      <c r="AC21135" s="247"/>
      <c r="AT21135" s="247"/>
    </row>
    <row r="21136">
      <c r="C21136" s="277"/>
      <c r="M21136" s="277"/>
      <c r="O21136" s="247"/>
      <c r="AC21136" s="247"/>
      <c r="AT21136" s="247"/>
    </row>
    <row r="21137">
      <c r="C21137" s="277"/>
      <c r="M21137" s="277"/>
      <c r="O21137" s="247"/>
      <c r="AC21137" s="247"/>
      <c r="AT21137" s="247"/>
    </row>
    <row r="21138">
      <c r="C21138" s="277"/>
      <c r="M21138" s="277"/>
      <c r="O21138" s="247"/>
      <c r="AC21138" s="247"/>
      <c r="AT21138" s="247"/>
    </row>
    <row r="21139">
      <c r="C21139" s="277"/>
      <c r="M21139" s="277"/>
      <c r="O21139" s="247"/>
      <c r="AC21139" s="247"/>
      <c r="AT21139" s="247"/>
    </row>
    <row r="21140">
      <c r="C21140" s="277"/>
      <c r="M21140" s="277"/>
      <c r="O21140" s="247"/>
      <c r="AC21140" s="247"/>
      <c r="AT21140" s="247"/>
    </row>
    <row r="21141">
      <c r="C21141" s="277"/>
      <c r="M21141" s="277"/>
      <c r="O21141" s="247"/>
      <c r="AC21141" s="247"/>
      <c r="AT21141" s="247"/>
    </row>
    <row r="21142">
      <c r="C21142" s="277"/>
      <c r="M21142" s="277"/>
      <c r="O21142" s="247"/>
      <c r="AC21142" s="247"/>
      <c r="AT21142" s="247"/>
    </row>
    <row r="21143">
      <c r="C21143" s="277"/>
      <c r="M21143" s="277"/>
      <c r="O21143" s="247"/>
      <c r="AC21143" s="247"/>
      <c r="AT21143" s="247"/>
    </row>
    <row r="21144">
      <c r="C21144" s="277"/>
      <c r="M21144" s="277"/>
      <c r="O21144" s="247"/>
      <c r="AC21144" s="247"/>
      <c r="AT21144" s="247"/>
    </row>
    <row r="21145">
      <c r="C21145" s="277"/>
      <c r="M21145" s="277"/>
      <c r="O21145" s="247"/>
      <c r="AC21145" s="247"/>
      <c r="AT21145" s="247"/>
    </row>
    <row r="21146">
      <c r="C21146" s="277"/>
      <c r="M21146" s="277"/>
      <c r="O21146" s="247"/>
      <c r="AC21146" s="247"/>
      <c r="AT21146" s="247"/>
    </row>
    <row r="21147">
      <c r="C21147" s="277"/>
      <c r="M21147" s="277"/>
      <c r="O21147" s="247"/>
      <c r="AC21147" s="247"/>
      <c r="AT21147" s="247"/>
    </row>
    <row r="21148">
      <c r="C21148" s="277"/>
      <c r="M21148" s="277"/>
      <c r="O21148" s="247"/>
      <c r="AC21148" s="247"/>
      <c r="AT21148" s="247"/>
    </row>
    <row r="21149">
      <c r="C21149" s="277"/>
      <c r="M21149" s="277"/>
      <c r="O21149" s="247"/>
      <c r="AC21149" s="247"/>
      <c r="AT21149" s="247"/>
    </row>
    <row r="21150">
      <c r="C21150" s="277"/>
      <c r="M21150" s="277"/>
      <c r="O21150" s="247"/>
      <c r="AC21150" s="247"/>
      <c r="AT21150" s="247"/>
    </row>
    <row r="21151">
      <c r="C21151" s="277"/>
      <c r="M21151" s="277"/>
      <c r="O21151" s="247"/>
      <c r="AC21151" s="247"/>
      <c r="AT21151" s="247"/>
    </row>
    <row r="21152">
      <c r="C21152" s="277"/>
      <c r="M21152" s="277"/>
      <c r="O21152" s="247"/>
      <c r="AC21152" s="247"/>
      <c r="AT21152" s="247"/>
    </row>
    <row r="21153">
      <c r="C21153" s="277"/>
      <c r="M21153" s="277"/>
      <c r="O21153" s="247"/>
      <c r="AC21153" s="247"/>
      <c r="AT21153" s="247"/>
    </row>
    <row r="21154">
      <c r="C21154" s="277"/>
      <c r="M21154" s="277"/>
      <c r="O21154" s="247"/>
      <c r="AC21154" s="247"/>
      <c r="AT21154" s="247"/>
    </row>
    <row r="21155">
      <c r="C21155" s="277"/>
      <c r="M21155" s="277"/>
      <c r="O21155" s="247"/>
      <c r="AC21155" s="247"/>
      <c r="AT21155" s="247"/>
    </row>
    <row r="21156">
      <c r="C21156" s="277"/>
      <c r="M21156" s="277"/>
      <c r="O21156" s="247"/>
      <c r="AC21156" s="247"/>
      <c r="AT21156" s="247"/>
    </row>
    <row r="21157">
      <c r="C21157" s="277"/>
      <c r="M21157" s="277"/>
      <c r="O21157" s="247"/>
      <c r="AC21157" s="247"/>
      <c r="AT21157" s="247"/>
    </row>
    <row r="21158">
      <c r="C21158" s="277"/>
      <c r="M21158" s="277"/>
      <c r="O21158" s="247"/>
      <c r="AC21158" s="247"/>
      <c r="AT21158" s="247"/>
    </row>
    <row r="21159">
      <c r="C21159" s="277"/>
      <c r="M21159" s="277"/>
      <c r="O21159" s="247"/>
      <c r="AC21159" s="247"/>
      <c r="AT21159" s="247"/>
    </row>
    <row r="21160">
      <c r="C21160" s="277"/>
      <c r="M21160" s="277"/>
      <c r="O21160" s="247"/>
      <c r="AC21160" s="247"/>
      <c r="AT21160" s="247"/>
    </row>
    <row r="21161">
      <c r="C21161" s="277"/>
      <c r="M21161" s="277"/>
      <c r="O21161" s="247"/>
      <c r="AC21161" s="247"/>
      <c r="AT21161" s="247"/>
    </row>
    <row r="21162">
      <c r="C21162" s="277"/>
      <c r="M21162" s="277"/>
      <c r="O21162" s="247"/>
      <c r="AC21162" s="247"/>
      <c r="AT21162" s="247"/>
    </row>
    <row r="21163">
      <c r="C21163" s="277"/>
      <c r="M21163" s="277"/>
      <c r="O21163" s="247"/>
      <c r="AC21163" s="247"/>
      <c r="AT21163" s="247"/>
    </row>
    <row r="21164">
      <c r="C21164" s="277"/>
      <c r="M21164" s="277"/>
      <c r="O21164" s="247"/>
      <c r="AC21164" s="247"/>
      <c r="AT21164" s="247"/>
    </row>
    <row r="21165">
      <c r="C21165" s="277"/>
      <c r="M21165" s="277"/>
      <c r="O21165" s="247"/>
      <c r="AC21165" s="247"/>
      <c r="AT21165" s="247"/>
    </row>
    <row r="21166">
      <c r="C21166" s="277"/>
      <c r="M21166" s="277"/>
      <c r="O21166" s="247"/>
      <c r="AC21166" s="247"/>
      <c r="AT21166" s="247"/>
    </row>
    <row r="21167">
      <c r="C21167" s="277"/>
      <c r="M21167" s="277"/>
      <c r="O21167" s="247"/>
      <c r="AC21167" s="247"/>
      <c r="AT21167" s="247"/>
    </row>
    <row r="21168">
      <c r="C21168" s="277"/>
      <c r="M21168" s="277"/>
      <c r="O21168" s="247"/>
      <c r="AC21168" s="247"/>
      <c r="AT21168" s="247"/>
    </row>
    <row r="21169">
      <c r="C21169" s="277"/>
      <c r="M21169" s="277"/>
      <c r="O21169" s="247"/>
      <c r="AC21169" s="247"/>
      <c r="AT21169" s="247"/>
    </row>
    <row r="21170">
      <c r="C21170" s="277"/>
      <c r="M21170" s="277"/>
      <c r="O21170" s="247"/>
      <c r="AC21170" s="247"/>
      <c r="AT21170" s="247"/>
    </row>
    <row r="21171">
      <c r="C21171" s="277"/>
      <c r="M21171" s="277"/>
      <c r="O21171" s="247"/>
      <c r="AC21171" s="247"/>
      <c r="AT21171" s="247"/>
    </row>
    <row r="21172">
      <c r="C21172" s="277"/>
      <c r="M21172" s="277"/>
      <c r="O21172" s="247"/>
      <c r="AC21172" s="247"/>
      <c r="AT21172" s="247"/>
    </row>
    <row r="21173">
      <c r="C21173" s="277"/>
      <c r="M21173" s="277"/>
      <c r="O21173" s="247"/>
      <c r="AC21173" s="247"/>
      <c r="AT21173" s="247"/>
    </row>
    <row r="21174">
      <c r="C21174" s="277"/>
      <c r="M21174" s="277"/>
      <c r="O21174" s="247"/>
      <c r="AC21174" s="247"/>
      <c r="AT21174" s="247"/>
    </row>
    <row r="21175">
      <c r="C21175" s="277"/>
      <c r="M21175" s="277"/>
      <c r="O21175" s="247"/>
      <c r="AC21175" s="247"/>
      <c r="AT21175" s="247"/>
    </row>
    <row r="21176">
      <c r="C21176" s="277"/>
      <c r="M21176" s="277"/>
      <c r="O21176" s="247"/>
      <c r="AC21176" s="247"/>
      <c r="AT21176" s="247"/>
    </row>
    <row r="21177">
      <c r="C21177" s="277"/>
      <c r="M21177" s="277"/>
      <c r="O21177" s="247"/>
      <c r="AC21177" s="247"/>
      <c r="AT21177" s="247"/>
    </row>
    <row r="21178">
      <c r="C21178" s="277"/>
      <c r="M21178" s="277"/>
      <c r="O21178" s="247"/>
      <c r="AC21178" s="247"/>
      <c r="AT21178" s="247"/>
    </row>
    <row r="21179">
      <c r="C21179" s="277"/>
      <c r="M21179" s="277"/>
      <c r="O21179" s="247"/>
      <c r="AC21179" s="247"/>
      <c r="AT21179" s="247"/>
    </row>
    <row r="21180">
      <c r="C21180" s="277"/>
      <c r="M21180" s="277"/>
      <c r="O21180" s="247"/>
      <c r="AC21180" s="247"/>
      <c r="AT21180" s="247"/>
    </row>
    <row r="21181">
      <c r="C21181" s="277"/>
      <c r="M21181" s="277"/>
      <c r="O21181" s="247"/>
      <c r="AC21181" s="247"/>
      <c r="AT21181" s="247"/>
    </row>
    <row r="21182">
      <c r="C21182" s="277"/>
      <c r="M21182" s="277"/>
      <c r="O21182" s="247"/>
      <c r="AC21182" s="247"/>
      <c r="AT21182" s="247"/>
    </row>
    <row r="21183">
      <c r="C21183" s="277"/>
      <c r="M21183" s="277"/>
      <c r="O21183" s="247"/>
      <c r="AC21183" s="247"/>
      <c r="AT21183" s="247"/>
    </row>
    <row r="21184">
      <c r="C21184" s="277"/>
      <c r="M21184" s="277"/>
      <c r="O21184" s="247"/>
      <c r="AC21184" s="247"/>
      <c r="AT21184" s="247"/>
    </row>
    <row r="21185">
      <c r="C21185" s="277"/>
      <c r="M21185" s="277"/>
      <c r="O21185" s="247"/>
      <c r="AC21185" s="247"/>
      <c r="AT21185" s="247"/>
    </row>
    <row r="21186">
      <c r="C21186" s="277"/>
      <c r="M21186" s="277"/>
      <c r="O21186" s="247"/>
      <c r="AC21186" s="247"/>
      <c r="AT21186" s="247"/>
    </row>
    <row r="21187">
      <c r="C21187" s="277"/>
      <c r="M21187" s="277"/>
      <c r="O21187" s="247"/>
      <c r="AC21187" s="247"/>
      <c r="AT21187" s="247"/>
    </row>
    <row r="21188">
      <c r="C21188" s="277"/>
      <c r="M21188" s="277"/>
      <c r="O21188" s="247"/>
      <c r="AC21188" s="247"/>
      <c r="AT21188" s="247"/>
    </row>
    <row r="21189">
      <c r="C21189" s="277"/>
      <c r="M21189" s="277"/>
      <c r="O21189" s="247"/>
      <c r="AC21189" s="247"/>
      <c r="AT21189" s="247"/>
    </row>
    <row r="21190">
      <c r="C21190" s="277"/>
      <c r="M21190" s="277"/>
      <c r="O21190" s="247"/>
      <c r="AC21190" s="247"/>
      <c r="AT21190" s="247"/>
    </row>
    <row r="21191">
      <c r="C21191" s="277"/>
      <c r="M21191" s="277"/>
      <c r="O21191" s="247"/>
      <c r="AC21191" s="247"/>
      <c r="AT21191" s="247"/>
    </row>
    <row r="21192">
      <c r="C21192" s="277"/>
      <c r="M21192" s="277"/>
      <c r="O21192" s="247"/>
      <c r="AC21192" s="247"/>
      <c r="AT21192" s="247"/>
    </row>
    <row r="21193">
      <c r="C21193" s="277"/>
      <c r="M21193" s="277"/>
      <c r="O21193" s="247"/>
      <c r="AC21193" s="247"/>
      <c r="AT21193" s="247"/>
    </row>
    <row r="21194">
      <c r="C21194" s="277"/>
      <c r="M21194" s="277"/>
      <c r="O21194" s="247"/>
      <c r="AC21194" s="247"/>
      <c r="AT21194" s="247"/>
    </row>
    <row r="21195">
      <c r="C21195" s="277"/>
      <c r="M21195" s="277"/>
      <c r="O21195" s="247"/>
      <c r="AC21195" s="247"/>
      <c r="AT21195" s="247"/>
    </row>
    <row r="21196">
      <c r="C21196" s="277"/>
      <c r="M21196" s="277"/>
      <c r="O21196" s="247"/>
      <c r="AC21196" s="247"/>
      <c r="AT21196" s="247"/>
    </row>
    <row r="21197">
      <c r="C21197" s="277"/>
      <c r="M21197" s="277"/>
      <c r="O21197" s="247"/>
      <c r="AC21197" s="247"/>
      <c r="AT21197" s="247"/>
    </row>
    <row r="21198">
      <c r="C21198" s="277"/>
      <c r="M21198" s="277"/>
      <c r="O21198" s="247"/>
      <c r="AC21198" s="247"/>
      <c r="AT21198" s="247"/>
    </row>
    <row r="21199">
      <c r="C21199" s="277"/>
      <c r="M21199" s="277"/>
      <c r="O21199" s="247"/>
      <c r="AC21199" s="247"/>
      <c r="AT21199" s="247"/>
    </row>
    <row r="21200">
      <c r="C21200" s="277"/>
      <c r="M21200" s="277"/>
      <c r="O21200" s="247"/>
      <c r="AC21200" s="247"/>
      <c r="AT21200" s="247"/>
    </row>
    <row r="21201">
      <c r="C21201" s="277"/>
      <c r="M21201" s="277"/>
      <c r="O21201" s="247"/>
      <c r="AC21201" s="247"/>
      <c r="AT21201" s="247"/>
    </row>
    <row r="21202">
      <c r="C21202" s="277"/>
      <c r="M21202" s="277"/>
      <c r="O21202" s="247"/>
      <c r="AC21202" s="247"/>
      <c r="AT21202" s="247"/>
    </row>
    <row r="21203">
      <c r="C21203" s="277"/>
      <c r="M21203" s="277"/>
      <c r="O21203" s="247"/>
      <c r="AC21203" s="247"/>
      <c r="AT21203" s="247"/>
    </row>
    <row r="21204">
      <c r="C21204" s="277"/>
      <c r="M21204" s="277"/>
      <c r="O21204" s="247"/>
      <c r="AC21204" s="247"/>
      <c r="AT21204" s="247"/>
    </row>
    <row r="21205">
      <c r="C21205" s="277"/>
      <c r="M21205" s="277"/>
      <c r="O21205" s="247"/>
      <c r="AC21205" s="247"/>
      <c r="AT21205" s="247"/>
    </row>
    <row r="21206">
      <c r="C21206" s="277"/>
      <c r="M21206" s="277"/>
      <c r="O21206" s="247"/>
      <c r="AC21206" s="247"/>
      <c r="AT21206" s="247"/>
    </row>
    <row r="21207">
      <c r="C21207" s="277"/>
      <c r="M21207" s="277"/>
      <c r="O21207" s="247"/>
      <c r="AC21207" s="247"/>
      <c r="AT21207" s="247"/>
    </row>
    <row r="21208">
      <c r="C21208" s="277"/>
      <c r="M21208" s="277"/>
      <c r="O21208" s="247"/>
      <c r="AC21208" s="247"/>
      <c r="AT21208" s="247"/>
    </row>
    <row r="21209">
      <c r="C21209" s="277"/>
      <c r="M21209" s="277"/>
      <c r="O21209" s="247"/>
      <c r="AC21209" s="247"/>
      <c r="AT21209" s="247"/>
    </row>
    <row r="21210">
      <c r="C21210" s="277"/>
      <c r="M21210" s="277"/>
      <c r="O21210" s="247"/>
      <c r="AC21210" s="247"/>
      <c r="AT21210" s="247"/>
    </row>
    <row r="21211">
      <c r="C21211" s="277"/>
      <c r="M21211" s="277"/>
      <c r="O21211" s="247"/>
      <c r="AC21211" s="247"/>
      <c r="AT21211" s="247"/>
    </row>
    <row r="21212">
      <c r="C21212" s="277"/>
      <c r="M21212" s="277"/>
      <c r="O21212" s="247"/>
      <c r="AC21212" s="247"/>
      <c r="AT21212" s="247"/>
    </row>
    <row r="21213">
      <c r="C21213" s="277"/>
      <c r="M21213" s="277"/>
      <c r="O21213" s="247"/>
      <c r="AC21213" s="247"/>
      <c r="AT21213" s="247"/>
    </row>
    <row r="21214">
      <c r="C21214" s="277"/>
      <c r="M21214" s="277"/>
      <c r="O21214" s="247"/>
      <c r="AC21214" s="247"/>
      <c r="AT21214" s="247"/>
    </row>
    <row r="21215">
      <c r="C21215" s="277"/>
      <c r="M21215" s="277"/>
      <c r="O21215" s="247"/>
      <c r="AC21215" s="247"/>
      <c r="AT21215" s="247"/>
    </row>
    <row r="21216">
      <c r="C21216" s="277"/>
      <c r="M21216" s="277"/>
      <c r="O21216" s="247"/>
      <c r="AC21216" s="247"/>
      <c r="AT21216" s="247"/>
    </row>
    <row r="21217">
      <c r="C21217" s="277"/>
      <c r="M21217" s="277"/>
      <c r="O21217" s="247"/>
      <c r="AC21217" s="247"/>
      <c r="AT21217" s="247"/>
    </row>
    <row r="21218">
      <c r="C21218" s="277"/>
      <c r="M21218" s="277"/>
      <c r="O21218" s="247"/>
      <c r="AC21218" s="247"/>
      <c r="AT21218" s="247"/>
    </row>
    <row r="21219">
      <c r="C21219" s="277"/>
      <c r="M21219" s="277"/>
      <c r="O21219" s="247"/>
      <c r="AC21219" s="247"/>
      <c r="AT21219" s="247"/>
    </row>
    <row r="21220">
      <c r="C21220" s="277"/>
      <c r="M21220" s="277"/>
      <c r="O21220" s="247"/>
      <c r="AC21220" s="247"/>
      <c r="AT21220" s="247"/>
    </row>
    <row r="21221">
      <c r="C21221" s="277"/>
      <c r="M21221" s="277"/>
      <c r="O21221" s="247"/>
      <c r="AC21221" s="247"/>
      <c r="AT21221" s="247"/>
    </row>
    <row r="21222">
      <c r="C21222" s="277"/>
      <c r="M21222" s="277"/>
      <c r="O21222" s="247"/>
      <c r="AC21222" s="247"/>
      <c r="AT21222" s="247"/>
    </row>
    <row r="21223">
      <c r="C21223" s="277"/>
      <c r="M21223" s="277"/>
      <c r="O21223" s="247"/>
      <c r="AC21223" s="247"/>
      <c r="AT21223" s="247"/>
    </row>
    <row r="21224">
      <c r="C21224" s="277"/>
      <c r="M21224" s="277"/>
      <c r="O21224" s="247"/>
      <c r="AC21224" s="247"/>
      <c r="AT21224" s="247"/>
    </row>
    <row r="21225">
      <c r="C21225" s="277"/>
      <c r="M21225" s="277"/>
      <c r="O21225" s="247"/>
      <c r="AC21225" s="247"/>
      <c r="AT21225" s="247"/>
    </row>
    <row r="21226">
      <c r="C21226" s="277"/>
      <c r="M21226" s="277"/>
      <c r="O21226" s="247"/>
      <c r="AC21226" s="247"/>
      <c r="AT21226" s="247"/>
    </row>
    <row r="21227">
      <c r="C21227" s="277"/>
      <c r="M21227" s="277"/>
      <c r="O21227" s="247"/>
      <c r="AC21227" s="247"/>
      <c r="AT21227" s="247"/>
    </row>
    <row r="21228">
      <c r="C21228" s="277"/>
      <c r="M21228" s="277"/>
      <c r="O21228" s="247"/>
      <c r="AC21228" s="247"/>
      <c r="AT21228" s="247"/>
    </row>
    <row r="21229">
      <c r="C21229" s="277"/>
      <c r="M21229" s="277"/>
      <c r="O21229" s="247"/>
      <c r="AC21229" s="247"/>
      <c r="AT21229" s="247"/>
    </row>
    <row r="21230">
      <c r="C21230" s="277"/>
      <c r="M21230" s="277"/>
      <c r="O21230" s="247"/>
      <c r="AC21230" s="247"/>
      <c r="AT21230" s="247"/>
    </row>
    <row r="21231">
      <c r="C21231" s="277"/>
      <c r="M21231" s="277"/>
      <c r="O21231" s="247"/>
      <c r="AC21231" s="247"/>
      <c r="AT21231" s="247"/>
    </row>
    <row r="21232">
      <c r="C21232" s="277"/>
      <c r="M21232" s="277"/>
      <c r="O21232" s="247"/>
      <c r="AC21232" s="247"/>
      <c r="AT21232" s="247"/>
    </row>
    <row r="21233">
      <c r="C21233" s="277"/>
      <c r="M21233" s="277"/>
      <c r="O21233" s="247"/>
      <c r="AC21233" s="247"/>
      <c r="AT21233" s="247"/>
    </row>
    <row r="21234">
      <c r="C21234" s="277"/>
      <c r="M21234" s="277"/>
      <c r="O21234" s="247"/>
      <c r="AC21234" s="247"/>
      <c r="AT21234" s="247"/>
    </row>
    <row r="21235">
      <c r="C21235" s="277"/>
      <c r="M21235" s="277"/>
      <c r="O21235" s="247"/>
      <c r="AC21235" s="247"/>
      <c r="AT21235" s="247"/>
    </row>
    <row r="21236">
      <c r="C21236" s="277"/>
      <c r="M21236" s="277"/>
      <c r="O21236" s="247"/>
      <c r="AC21236" s="247"/>
      <c r="AT21236" s="247"/>
    </row>
    <row r="21237">
      <c r="C21237" s="277"/>
      <c r="M21237" s="277"/>
      <c r="O21237" s="247"/>
      <c r="AC21237" s="247"/>
      <c r="AT21237" s="247"/>
    </row>
    <row r="21238">
      <c r="C21238" s="277"/>
      <c r="M21238" s="277"/>
      <c r="O21238" s="247"/>
      <c r="AC21238" s="247"/>
      <c r="AT21238" s="247"/>
    </row>
    <row r="21239">
      <c r="C21239" s="277"/>
      <c r="M21239" s="277"/>
      <c r="O21239" s="247"/>
      <c r="AC21239" s="247"/>
      <c r="AT21239" s="247"/>
    </row>
    <row r="21240">
      <c r="C21240" s="277"/>
      <c r="M21240" s="277"/>
      <c r="O21240" s="247"/>
      <c r="AC21240" s="247"/>
      <c r="AT21240" s="247"/>
    </row>
    <row r="21241">
      <c r="C21241" s="277"/>
      <c r="M21241" s="277"/>
      <c r="O21241" s="247"/>
      <c r="AC21241" s="247"/>
      <c r="AT21241" s="247"/>
    </row>
    <row r="21242">
      <c r="C21242" s="277"/>
      <c r="M21242" s="277"/>
      <c r="O21242" s="247"/>
      <c r="AC21242" s="247"/>
      <c r="AT21242" s="247"/>
    </row>
    <row r="21243">
      <c r="C21243" s="277"/>
      <c r="M21243" s="277"/>
      <c r="O21243" s="247"/>
      <c r="AC21243" s="247"/>
      <c r="AT21243" s="247"/>
    </row>
    <row r="21244">
      <c r="C21244" s="277"/>
      <c r="M21244" s="277"/>
      <c r="O21244" s="247"/>
      <c r="AC21244" s="247"/>
      <c r="AT21244" s="247"/>
    </row>
    <row r="21245">
      <c r="C21245" s="277"/>
      <c r="M21245" s="277"/>
      <c r="O21245" s="247"/>
      <c r="AC21245" s="247"/>
      <c r="AT21245" s="247"/>
    </row>
    <row r="21246">
      <c r="C21246" s="277"/>
      <c r="M21246" s="277"/>
      <c r="O21246" s="247"/>
      <c r="AC21246" s="247"/>
      <c r="AT21246" s="247"/>
    </row>
    <row r="21247">
      <c r="C21247" s="277"/>
      <c r="M21247" s="277"/>
      <c r="O21247" s="247"/>
      <c r="AC21247" s="247"/>
      <c r="AT21247" s="247"/>
    </row>
    <row r="21248">
      <c r="C21248" s="277"/>
      <c r="M21248" s="277"/>
      <c r="O21248" s="247"/>
      <c r="AC21248" s="247"/>
      <c r="AT21248" s="247"/>
    </row>
    <row r="21249">
      <c r="C21249" s="277"/>
      <c r="M21249" s="277"/>
      <c r="O21249" s="247"/>
      <c r="AC21249" s="247"/>
      <c r="AT21249" s="247"/>
    </row>
    <row r="21250">
      <c r="C21250" s="277"/>
      <c r="M21250" s="277"/>
      <c r="O21250" s="247"/>
      <c r="AC21250" s="247"/>
      <c r="AT21250" s="247"/>
    </row>
    <row r="21251">
      <c r="C21251" s="277"/>
      <c r="M21251" s="277"/>
      <c r="O21251" s="247"/>
      <c r="AC21251" s="247"/>
      <c r="AT21251" s="247"/>
    </row>
    <row r="21252">
      <c r="C21252" s="277"/>
      <c r="M21252" s="277"/>
      <c r="O21252" s="247"/>
      <c r="AC21252" s="247"/>
      <c r="AT21252" s="247"/>
    </row>
    <row r="21253">
      <c r="C21253" s="277"/>
      <c r="M21253" s="277"/>
      <c r="O21253" s="247"/>
      <c r="AC21253" s="247"/>
      <c r="AT21253" s="247"/>
    </row>
    <row r="21254">
      <c r="C21254" s="277"/>
      <c r="M21254" s="277"/>
      <c r="O21254" s="247"/>
      <c r="AC21254" s="247"/>
      <c r="AT21254" s="247"/>
    </row>
    <row r="21255">
      <c r="C21255" s="277"/>
      <c r="M21255" s="277"/>
      <c r="O21255" s="247"/>
      <c r="AC21255" s="247"/>
      <c r="AT21255" s="247"/>
    </row>
    <row r="21256">
      <c r="C21256" s="277"/>
      <c r="M21256" s="277"/>
      <c r="O21256" s="247"/>
      <c r="AC21256" s="247"/>
      <c r="AT21256" s="247"/>
    </row>
    <row r="21257">
      <c r="C21257" s="277"/>
      <c r="M21257" s="277"/>
      <c r="O21257" s="247"/>
      <c r="AC21257" s="247"/>
      <c r="AT21257" s="247"/>
    </row>
    <row r="21258">
      <c r="C21258" s="277"/>
      <c r="M21258" s="277"/>
      <c r="O21258" s="247"/>
      <c r="AC21258" s="247"/>
      <c r="AT21258" s="247"/>
    </row>
    <row r="21259">
      <c r="C21259" s="277"/>
      <c r="M21259" s="277"/>
      <c r="O21259" s="247"/>
      <c r="AC21259" s="247"/>
      <c r="AT21259" s="247"/>
    </row>
    <row r="21260">
      <c r="C21260" s="277"/>
      <c r="M21260" s="277"/>
      <c r="O21260" s="247"/>
      <c r="AC21260" s="247"/>
      <c r="AT21260" s="247"/>
    </row>
    <row r="21261">
      <c r="C21261" s="277"/>
      <c r="M21261" s="277"/>
      <c r="O21261" s="247"/>
      <c r="AC21261" s="247"/>
      <c r="AT21261" s="247"/>
    </row>
    <row r="21262">
      <c r="C21262" s="277"/>
      <c r="M21262" s="277"/>
      <c r="O21262" s="247"/>
      <c r="AC21262" s="247"/>
      <c r="AT21262" s="247"/>
    </row>
    <row r="21263">
      <c r="C21263" s="277"/>
      <c r="M21263" s="277"/>
      <c r="O21263" s="247"/>
      <c r="AC21263" s="247"/>
      <c r="AT21263" s="247"/>
    </row>
    <row r="21264">
      <c r="C21264" s="277"/>
      <c r="M21264" s="277"/>
      <c r="O21264" s="247"/>
      <c r="AC21264" s="247"/>
      <c r="AT21264" s="247"/>
    </row>
    <row r="21265">
      <c r="C21265" s="277"/>
      <c r="M21265" s="277"/>
      <c r="O21265" s="247"/>
      <c r="AC21265" s="247"/>
      <c r="AT21265" s="247"/>
    </row>
    <row r="21266">
      <c r="C21266" s="277"/>
      <c r="M21266" s="277"/>
      <c r="O21266" s="247"/>
      <c r="AC21266" s="247"/>
      <c r="AT21266" s="247"/>
    </row>
    <row r="21267">
      <c r="C21267" s="277"/>
      <c r="M21267" s="277"/>
      <c r="O21267" s="247"/>
      <c r="AC21267" s="247"/>
      <c r="AT21267" s="247"/>
    </row>
    <row r="21268">
      <c r="C21268" s="277"/>
      <c r="M21268" s="277"/>
      <c r="O21268" s="247"/>
      <c r="AC21268" s="247"/>
      <c r="AT21268" s="247"/>
    </row>
    <row r="21269">
      <c r="C21269" s="277"/>
      <c r="M21269" s="277"/>
      <c r="O21269" s="247"/>
      <c r="AC21269" s="247"/>
      <c r="AT21269" s="247"/>
    </row>
    <row r="21270">
      <c r="C21270" s="277"/>
      <c r="M21270" s="277"/>
      <c r="O21270" s="247"/>
      <c r="AC21270" s="247"/>
      <c r="AT21270" s="247"/>
    </row>
    <row r="21271">
      <c r="C21271" s="277"/>
      <c r="M21271" s="277"/>
      <c r="O21271" s="247"/>
      <c r="AC21271" s="247"/>
      <c r="AT21271" s="247"/>
    </row>
    <row r="21272">
      <c r="C21272" s="277"/>
      <c r="M21272" s="277"/>
      <c r="O21272" s="247"/>
      <c r="AC21272" s="247"/>
      <c r="AT21272" s="247"/>
    </row>
    <row r="21273">
      <c r="C21273" s="277"/>
      <c r="M21273" s="277"/>
      <c r="O21273" s="247"/>
      <c r="AC21273" s="247"/>
      <c r="AT21273" s="247"/>
    </row>
    <row r="21274">
      <c r="C21274" s="277"/>
      <c r="M21274" s="277"/>
      <c r="O21274" s="247"/>
      <c r="AC21274" s="247"/>
      <c r="AT21274" s="247"/>
    </row>
    <row r="21275">
      <c r="C21275" s="277"/>
      <c r="M21275" s="277"/>
      <c r="O21275" s="247"/>
      <c r="AC21275" s="247"/>
      <c r="AT21275" s="247"/>
    </row>
    <row r="21276">
      <c r="C21276" s="277"/>
      <c r="M21276" s="277"/>
      <c r="O21276" s="247"/>
      <c r="AC21276" s="247"/>
      <c r="AT21276" s="247"/>
    </row>
    <row r="21277">
      <c r="C21277" s="277"/>
      <c r="M21277" s="277"/>
      <c r="O21277" s="247"/>
      <c r="AC21277" s="247"/>
      <c r="AT21277" s="247"/>
    </row>
    <row r="21278">
      <c r="C21278" s="277"/>
      <c r="M21278" s="277"/>
      <c r="O21278" s="247"/>
      <c r="AC21278" s="247"/>
      <c r="AT21278" s="247"/>
    </row>
    <row r="21279">
      <c r="C21279" s="277"/>
      <c r="M21279" s="277"/>
      <c r="O21279" s="247"/>
      <c r="AC21279" s="247"/>
      <c r="AT21279" s="247"/>
    </row>
    <row r="21280">
      <c r="C21280" s="277"/>
      <c r="M21280" s="277"/>
      <c r="O21280" s="247"/>
      <c r="AC21280" s="247"/>
      <c r="AT21280" s="247"/>
    </row>
    <row r="21281">
      <c r="C21281" s="277"/>
      <c r="M21281" s="277"/>
      <c r="O21281" s="247"/>
      <c r="AC21281" s="247"/>
      <c r="AT21281" s="247"/>
    </row>
    <row r="21282">
      <c r="C21282" s="277"/>
      <c r="M21282" s="277"/>
      <c r="O21282" s="247"/>
      <c r="AC21282" s="247"/>
      <c r="AT21282" s="247"/>
    </row>
    <row r="21283">
      <c r="C21283" s="277"/>
      <c r="M21283" s="277"/>
      <c r="O21283" s="247"/>
      <c r="AC21283" s="247"/>
      <c r="AT21283" s="247"/>
    </row>
    <row r="21284">
      <c r="C21284" s="277"/>
      <c r="M21284" s="277"/>
      <c r="O21284" s="247"/>
      <c r="AC21284" s="247"/>
      <c r="AT21284" s="247"/>
    </row>
    <row r="21285">
      <c r="C21285" s="277"/>
      <c r="M21285" s="277"/>
      <c r="O21285" s="247"/>
      <c r="AC21285" s="247"/>
      <c r="AT21285" s="247"/>
    </row>
    <row r="21286">
      <c r="C21286" s="277"/>
      <c r="M21286" s="277"/>
      <c r="O21286" s="247"/>
      <c r="AC21286" s="247"/>
      <c r="AT21286" s="247"/>
    </row>
    <row r="21287">
      <c r="C21287" s="277"/>
      <c r="M21287" s="277"/>
      <c r="O21287" s="247"/>
      <c r="AC21287" s="247"/>
      <c r="AT21287" s="247"/>
    </row>
    <row r="21288">
      <c r="C21288" s="277"/>
      <c r="M21288" s="277"/>
      <c r="O21288" s="247"/>
      <c r="AC21288" s="247"/>
      <c r="AT21288" s="247"/>
    </row>
    <row r="21289">
      <c r="C21289" s="277"/>
      <c r="M21289" s="277"/>
      <c r="O21289" s="247"/>
      <c r="AC21289" s="247"/>
      <c r="AT21289" s="247"/>
    </row>
    <row r="21290">
      <c r="C21290" s="277"/>
      <c r="M21290" s="277"/>
      <c r="O21290" s="247"/>
      <c r="AC21290" s="247"/>
      <c r="AT21290" s="247"/>
    </row>
    <row r="21291">
      <c r="C21291" s="277"/>
      <c r="M21291" s="277"/>
      <c r="O21291" s="247"/>
      <c r="AC21291" s="247"/>
      <c r="AT21291" s="247"/>
    </row>
    <row r="21292">
      <c r="C21292" s="277"/>
      <c r="M21292" s="277"/>
      <c r="O21292" s="247"/>
      <c r="AC21292" s="247"/>
      <c r="AT21292" s="247"/>
    </row>
    <row r="21293">
      <c r="C21293" s="277"/>
      <c r="M21293" s="277"/>
      <c r="O21293" s="247"/>
      <c r="AC21293" s="247"/>
      <c r="AT21293" s="247"/>
    </row>
    <row r="21294">
      <c r="C21294" s="277"/>
      <c r="M21294" s="277"/>
      <c r="O21294" s="247"/>
      <c r="AC21294" s="247"/>
      <c r="AT21294" s="247"/>
    </row>
    <row r="21295">
      <c r="C21295" s="277"/>
      <c r="M21295" s="277"/>
      <c r="O21295" s="247"/>
      <c r="AC21295" s="247"/>
      <c r="AT21295" s="247"/>
    </row>
    <row r="21296">
      <c r="C21296" s="277"/>
      <c r="M21296" s="277"/>
      <c r="O21296" s="247"/>
      <c r="AC21296" s="247"/>
      <c r="AT21296" s="247"/>
    </row>
    <row r="21297">
      <c r="C21297" s="277"/>
      <c r="M21297" s="277"/>
      <c r="O21297" s="247"/>
      <c r="AC21297" s="247"/>
      <c r="AT21297" s="247"/>
    </row>
    <row r="21298">
      <c r="C21298" s="277"/>
      <c r="M21298" s="277"/>
      <c r="O21298" s="247"/>
      <c r="AC21298" s="247"/>
      <c r="AT21298" s="247"/>
    </row>
    <row r="21299">
      <c r="C21299" s="277"/>
      <c r="M21299" s="277"/>
      <c r="O21299" s="247"/>
      <c r="AC21299" s="247"/>
      <c r="AT21299" s="247"/>
    </row>
    <row r="21300">
      <c r="C21300" s="277"/>
      <c r="M21300" s="277"/>
      <c r="O21300" s="247"/>
      <c r="AC21300" s="247"/>
      <c r="AT21300" s="247"/>
    </row>
    <row r="21301">
      <c r="C21301" s="277"/>
      <c r="M21301" s="277"/>
      <c r="O21301" s="247"/>
      <c r="AC21301" s="247"/>
      <c r="AT21301" s="247"/>
    </row>
    <row r="21302">
      <c r="C21302" s="277"/>
      <c r="M21302" s="277"/>
      <c r="O21302" s="247"/>
      <c r="AC21302" s="247"/>
      <c r="AT21302" s="247"/>
    </row>
    <row r="21303">
      <c r="C21303" s="277"/>
      <c r="M21303" s="277"/>
      <c r="O21303" s="247"/>
      <c r="AC21303" s="247"/>
      <c r="AT21303" s="247"/>
    </row>
    <row r="21304">
      <c r="C21304" s="277"/>
      <c r="M21304" s="277"/>
      <c r="O21304" s="247"/>
      <c r="AC21304" s="247"/>
      <c r="AT21304" s="247"/>
    </row>
    <row r="21305">
      <c r="C21305" s="277"/>
      <c r="M21305" s="277"/>
      <c r="O21305" s="247"/>
      <c r="AC21305" s="247"/>
      <c r="AT21305" s="247"/>
    </row>
    <row r="21306">
      <c r="C21306" s="277"/>
      <c r="M21306" s="277"/>
      <c r="O21306" s="247"/>
      <c r="AC21306" s="247"/>
      <c r="AT21306" s="247"/>
    </row>
    <row r="21307">
      <c r="C21307" s="277"/>
      <c r="M21307" s="277"/>
      <c r="O21307" s="247"/>
      <c r="AC21307" s="247"/>
      <c r="AT21307" s="247"/>
    </row>
    <row r="21308">
      <c r="C21308" s="277"/>
      <c r="M21308" s="277"/>
      <c r="O21308" s="247"/>
      <c r="AC21308" s="247"/>
      <c r="AT21308" s="247"/>
    </row>
    <row r="21309">
      <c r="C21309" s="277"/>
      <c r="M21309" s="277"/>
      <c r="O21309" s="247"/>
      <c r="AC21309" s="247"/>
      <c r="AT21309" s="247"/>
    </row>
    <row r="21310">
      <c r="C21310" s="277"/>
      <c r="M21310" s="277"/>
      <c r="O21310" s="247"/>
      <c r="AC21310" s="247"/>
      <c r="AT21310" s="247"/>
    </row>
    <row r="21311">
      <c r="C21311" s="277"/>
      <c r="M21311" s="277"/>
      <c r="O21311" s="247"/>
      <c r="AC21311" s="247"/>
      <c r="AT21311" s="247"/>
    </row>
    <row r="21312">
      <c r="C21312" s="277"/>
      <c r="M21312" s="277"/>
      <c r="O21312" s="247"/>
      <c r="AC21312" s="247"/>
      <c r="AT21312" s="247"/>
    </row>
    <row r="21313">
      <c r="C21313" s="277"/>
      <c r="M21313" s="277"/>
      <c r="O21313" s="247"/>
      <c r="AC21313" s="247"/>
      <c r="AT21313" s="247"/>
    </row>
    <row r="21314">
      <c r="C21314" s="277"/>
      <c r="M21314" s="277"/>
      <c r="O21314" s="247"/>
      <c r="AC21314" s="247"/>
      <c r="AT21314" s="247"/>
    </row>
    <row r="21315">
      <c r="C21315" s="277"/>
      <c r="M21315" s="277"/>
      <c r="O21315" s="247"/>
      <c r="AC21315" s="247"/>
      <c r="AT21315" s="247"/>
    </row>
    <row r="21316">
      <c r="C21316" s="277"/>
      <c r="M21316" s="277"/>
      <c r="O21316" s="247"/>
      <c r="AC21316" s="247"/>
      <c r="AT21316" s="247"/>
    </row>
    <row r="21317">
      <c r="C21317" s="277"/>
      <c r="M21317" s="277"/>
      <c r="O21317" s="247"/>
      <c r="AC21317" s="247"/>
      <c r="AT21317" s="247"/>
    </row>
    <row r="21318">
      <c r="C21318" s="277"/>
      <c r="M21318" s="277"/>
      <c r="O21318" s="247"/>
      <c r="AC21318" s="247"/>
      <c r="AT21318" s="247"/>
    </row>
    <row r="21319">
      <c r="C21319" s="277"/>
      <c r="M21319" s="277"/>
      <c r="O21319" s="247"/>
      <c r="AC21319" s="247"/>
      <c r="AT21319" s="247"/>
    </row>
    <row r="21320">
      <c r="C21320" s="277"/>
      <c r="M21320" s="277"/>
      <c r="O21320" s="247"/>
      <c r="AC21320" s="247"/>
      <c r="AT21320" s="247"/>
    </row>
    <row r="21321">
      <c r="C21321" s="277"/>
      <c r="M21321" s="277"/>
      <c r="O21321" s="247"/>
      <c r="AC21321" s="247"/>
      <c r="AT21321" s="247"/>
    </row>
    <row r="21322">
      <c r="C21322" s="277"/>
      <c r="M21322" s="277"/>
      <c r="O21322" s="247"/>
      <c r="AC21322" s="247"/>
      <c r="AT21322" s="247"/>
    </row>
    <row r="21323">
      <c r="C21323" s="277"/>
      <c r="M21323" s="277"/>
      <c r="O21323" s="247"/>
      <c r="AC21323" s="247"/>
      <c r="AT21323" s="247"/>
    </row>
    <row r="21324">
      <c r="C21324" s="277"/>
      <c r="M21324" s="277"/>
      <c r="O21324" s="247"/>
      <c r="AC21324" s="247"/>
      <c r="AT21324" s="247"/>
    </row>
    <row r="21325">
      <c r="C21325" s="277"/>
      <c r="M21325" s="277"/>
      <c r="O21325" s="247"/>
      <c r="AC21325" s="247"/>
      <c r="AT21325" s="247"/>
    </row>
    <row r="21326">
      <c r="C21326" s="277"/>
      <c r="M21326" s="277"/>
      <c r="O21326" s="247"/>
      <c r="AC21326" s="247"/>
      <c r="AT21326" s="247"/>
    </row>
    <row r="21327">
      <c r="C21327" s="277"/>
      <c r="M21327" s="277"/>
      <c r="O21327" s="247"/>
      <c r="AC21327" s="247"/>
      <c r="AT21327" s="247"/>
    </row>
    <row r="21328">
      <c r="C21328" s="277"/>
      <c r="M21328" s="277"/>
      <c r="O21328" s="247"/>
      <c r="AC21328" s="247"/>
      <c r="AT21328" s="247"/>
    </row>
    <row r="21329">
      <c r="C21329" s="277"/>
      <c r="M21329" s="277"/>
      <c r="O21329" s="247"/>
      <c r="AC21329" s="247"/>
      <c r="AT21329" s="247"/>
    </row>
    <row r="21330">
      <c r="C21330" s="277"/>
      <c r="M21330" s="277"/>
      <c r="O21330" s="247"/>
      <c r="AC21330" s="247"/>
      <c r="AT21330" s="247"/>
    </row>
    <row r="21331">
      <c r="C21331" s="277"/>
      <c r="M21331" s="277"/>
      <c r="O21331" s="247"/>
      <c r="AC21331" s="247"/>
      <c r="AT21331" s="247"/>
    </row>
    <row r="21332">
      <c r="C21332" s="277"/>
      <c r="M21332" s="277"/>
      <c r="O21332" s="247"/>
      <c r="AC21332" s="247"/>
      <c r="AT21332" s="247"/>
    </row>
    <row r="21333">
      <c r="C21333" s="277"/>
      <c r="M21333" s="277"/>
      <c r="O21333" s="247"/>
      <c r="AC21333" s="247"/>
      <c r="AT21333" s="247"/>
    </row>
    <row r="21334">
      <c r="C21334" s="277"/>
      <c r="M21334" s="277"/>
      <c r="O21334" s="247"/>
      <c r="AC21334" s="247"/>
      <c r="AT21334" s="247"/>
    </row>
    <row r="21335">
      <c r="C21335" s="277"/>
      <c r="M21335" s="277"/>
      <c r="O21335" s="247"/>
      <c r="AC21335" s="247"/>
      <c r="AT21335" s="247"/>
    </row>
    <row r="21336">
      <c r="C21336" s="277"/>
      <c r="M21336" s="277"/>
      <c r="O21336" s="247"/>
      <c r="AC21336" s="247"/>
      <c r="AT21336" s="247"/>
    </row>
    <row r="21337">
      <c r="C21337" s="277"/>
      <c r="M21337" s="277"/>
      <c r="O21337" s="247"/>
      <c r="AC21337" s="247"/>
      <c r="AT21337" s="247"/>
    </row>
    <row r="21338">
      <c r="C21338" s="277"/>
      <c r="M21338" s="277"/>
      <c r="O21338" s="247"/>
      <c r="AC21338" s="247"/>
      <c r="AT21338" s="247"/>
    </row>
    <row r="21339">
      <c r="C21339" s="277"/>
      <c r="M21339" s="277"/>
      <c r="O21339" s="247"/>
      <c r="AC21339" s="247"/>
      <c r="AT21339" s="247"/>
    </row>
    <row r="21340">
      <c r="C21340" s="277"/>
      <c r="M21340" s="277"/>
      <c r="O21340" s="247"/>
      <c r="AC21340" s="247"/>
      <c r="AT21340" s="247"/>
    </row>
    <row r="21341">
      <c r="C21341" s="277"/>
      <c r="M21341" s="277"/>
      <c r="O21341" s="247"/>
      <c r="AC21341" s="247"/>
      <c r="AT21341" s="247"/>
    </row>
    <row r="21342">
      <c r="C21342" s="277"/>
      <c r="M21342" s="277"/>
      <c r="O21342" s="247"/>
      <c r="AC21342" s="247"/>
      <c r="AT21342" s="247"/>
    </row>
    <row r="21343">
      <c r="C21343" s="277"/>
      <c r="M21343" s="277"/>
      <c r="O21343" s="247"/>
      <c r="AC21343" s="247"/>
      <c r="AT21343" s="247"/>
    </row>
    <row r="21344">
      <c r="C21344" s="277"/>
      <c r="M21344" s="277"/>
      <c r="O21344" s="247"/>
      <c r="AC21344" s="247"/>
      <c r="AT21344" s="247"/>
    </row>
    <row r="21345">
      <c r="C21345" s="277"/>
      <c r="M21345" s="277"/>
      <c r="O21345" s="247"/>
      <c r="AC21345" s="247"/>
      <c r="AT21345" s="247"/>
    </row>
    <row r="21346">
      <c r="C21346" s="277"/>
      <c r="M21346" s="277"/>
      <c r="O21346" s="247"/>
      <c r="AC21346" s="247"/>
      <c r="AT21346" s="247"/>
    </row>
    <row r="21347">
      <c r="C21347" s="277"/>
      <c r="M21347" s="277"/>
      <c r="O21347" s="247"/>
      <c r="AC21347" s="247"/>
      <c r="AT21347" s="247"/>
    </row>
    <row r="21348">
      <c r="C21348" s="277"/>
      <c r="M21348" s="277"/>
      <c r="O21348" s="247"/>
      <c r="AC21348" s="247"/>
      <c r="AT21348" s="247"/>
    </row>
    <row r="21349">
      <c r="C21349" s="277"/>
      <c r="M21349" s="277"/>
      <c r="O21349" s="247"/>
      <c r="AC21349" s="247"/>
      <c r="AT21349" s="247"/>
    </row>
    <row r="21350">
      <c r="C21350" s="277"/>
      <c r="M21350" s="277"/>
      <c r="O21350" s="247"/>
      <c r="AC21350" s="247"/>
      <c r="AT21350" s="247"/>
    </row>
    <row r="21351">
      <c r="C21351" s="277"/>
      <c r="M21351" s="277"/>
      <c r="O21351" s="247"/>
      <c r="AC21351" s="247"/>
      <c r="AT21351" s="247"/>
    </row>
    <row r="21352">
      <c r="C21352" s="277"/>
      <c r="M21352" s="277"/>
      <c r="O21352" s="247"/>
      <c r="AC21352" s="247"/>
      <c r="AT21352" s="247"/>
    </row>
    <row r="21353">
      <c r="C21353" s="277"/>
      <c r="M21353" s="277"/>
      <c r="O21353" s="247"/>
      <c r="AC21353" s="247"/>
      <c r="AT21353" s="247"/>
    </row>
    <row r="21354">
      <c r="C21354" s="277"/>
      <c r="M21354" s="277"/>
      <c r="O21354" s="247"/>
      <c r="AC21354" s="247"/>
      <c r="AT21354" s="247"/>
    </row>
    <row r="21355">
      <c r="C21355" s="277"/>
      <c r="M21355" s="277"/>
      <c r="O21355" s="247"/>
      <c r="AC21355" s="247"/>
      <c r="AT21355" s="247"/>
    </row>
    <row r="21356">
      <c r="C21356" s="277"/>
      <c r="M21356" s="277"/>
      <c r="O21356" s="247"/>
      <c r="AC21356" s="247"/>
      <c r="AT21356" s="247"/>
    </row>
    <row r="21357">
      <c r="C21357" s="277"/>
      <c r="M21357" s="277"/>
      <c r="O21357" s="247"/>
      <c r="AC21357" s="247"/>
      <c r="AT21357" s="247"/>
    </row>
    <row r="21358">
      <c r="C21358" s="277"/>
      <c r="M21358" s="277"/>
      <c r="O21358" s="247"/>
      <c r="AC21358" s="247"/>
      <c r="AT21358" s="247"/>
    </row>
    <row r="21359">
      <c r="C21359" s="277"/>
      <c r="M21359" s="277"/>
      <c r="O21359" s="247"/>
      <c r="AC21359" s="247"/>
      <c r="AT21359" s="247"/>
    </row>
    <row r="21360">
      <c r="C21360" s="277"/>
      <c r="M21360" s="277"/>
      <c r="O21360" s="247"/>
      <c r="AC21360" s="247"/>
      <c r="AT21360" s="247"/>
    </row>
    <row r="21361">
      <c r="C21361" s="277"/>
      <c r="M21361" s="277"/>
      <c r="O21361" s="247"/>
      <c r="AC21361" s="247"/>
      <c r="AT21361" s="247"/>
    </row>
    <row r="21362">
      <c r="C21362" s="277"/>
      <c r="M21362" s="277"/>
      <c r="O21362" s="247"/>
      <c r="AC21362" s="247"/>
      <c r="AT21362" s="247"/>
    </row>
    <row r="21363">
      <c r="C21363" s="277"/>
      <c r="M21363" s="277"/>
      <c r="O21363" s="247"/>
      <c r="AC21363" s="247"/>
      <c r="AT21363" s="247"/>
    </row>
    <row r="21364">
      <c r="C21364" s="277"/>
      <c r="M21364" s="277"/>
      <c r="O21364" s="247"/>
      <c r="AC21364" s="247"/>
      <c r="AT21364" s="247"/>
    </row>
    <row r="21365">
      <c r="C21365" s="277"/>
      <c r="M21365" s="277"/>
      <c r="O21365" s="247"/>
      <c r="AC21365" s="247"/>
      <c r="AT21365" s="247"/>
    </row>
    <row r="21366">
      <c r="C21366" s="277"/>
      <c r="M21366" s="277"/>
      <c r="O21366" s="247"/>
      <c r="AC21366" s="247"/>
      <c r="AT21366" s="247"/>
    </row>
    <row r="21367">
      <c r="C21367" s="277"/>
      <c r="M21367" s="277"/>
      <c r="O21367" s="247"/>
      <c r="AC21367" s="247"/>
      <c r="AT21367" s="247"/>
    </row>
    <row r="21368">
      <c r="C21368" s="277"/>
      <c r="M21368" s="277"/>
      <c r="O21368" s="247"/>
      <c r="AC21368" s="247"/>
      <c r="AT21368" s="247"/>
    </row>
    <row r="21369">
      <c r="C21369" s="277"/>
      <c r="M21369" s="277"/>
      <c r="O21369" s="247"/>
      <c r="AC21369" s="247"/>
      <c r="AT21369" s="247"/>
    </row>
    <row r="21370">
      <c r="C21370" s="277"/>
      <c r="M21370" s="277"/>
      <c r="O21370" s="247"/>
      <c r="AC21370" s="247"/>
      <c r="AT21370" s="247"/>
    </row>
    <row r="21371">
      <c r="C21371" s="277"/>
      <c r="M21371" s="277"/>
      <c r="O21371" s="247"/>
      <c r="AC21371" s="247"/>
      <c r="AT21371" s="247"/>
    </row>
    <row r="21372">
      <c r="C21372" s="277"/>
      <c r="M21372" s="277"/>
      <c r="O21372" s="247"/>
      <c r="AC21372" s="247"/>
      <c r="AT21372" s="247"/>
    </row>
    <row r="21373">
      <c r="C21373" s="277"/>
      <c r="M21373" s="277"/>
      <c r="O21373" s="247"/>
      <c r="AC21373" s="247"/>
      <c r="AT21373" s="247"/>
    </row>
    <row r="21374">
      <c r="C21374" s="277"/>
      <c r="M21374" s="277"/>
      <c r="O21374" s="247"/>
      <c r="AC21374" s="247"/>
      <c r="AT21374" s="247"/>
    </row>
    <row r="21375">
      <c r="C21375" s="277"/>
      <c r="M21375" s="277"/>
      <c r="O21375" s="247"/>
      <c r="AC21375" s="247"/>
      <c r="AT21375" s="247"/>
    </row>
    <row r="21376">
      <c r="C21376" s="277"/>
      <c r="M21376" s="277"/>
      <c r="O21376" s="247"/>
      <c r="AC21376" s="247"/>
      <c r="AT21376" s="247"/>
    </row>
    <row r="21377">
      <c r="C21377" s="277"/>
      <c r="M21377" s="277"/>
      <c r="O21377" s="247"/>
      <c r="AC21377" s="247"/>
      <c r="AT21377" s="247"/>
    </row>
    <row r="21378">
      <c r="C21378" s="277"/>
      <c r="M21378" s="277"/>
      <c r="O21378" s="247"/>
      <c r="AC21378" s="247"/>
      <c r="AT21378" s="247"/>
    </row>
    <row r="21379">
      <c r="C21379" s="277"/>
      <c r="M21379" s="277"/>
      <c r="O21379" s="247"/>
      <c r="AC21379" s="247"/>
      <c r="AT21379" s="247"/>
    </row>
    <row r="21380">
      <c r="C21380" s="277"/>
      <c r="M21380" s="277"/>
      <c r="O21380" s="247"/>
      <c r="AC21380" s="247"/>
      <c r="AT21380" s="247"/>
    </row>
    <row r="21381">
      <c r="C21381" s="277"/>
      <c r="M21381" s="277"/>
      <c r="O21381" s="247"/>
      <c r="AC21381" s="247"/>
      <c r="AT21381" s="247"/>
    </row>
    <row r="21382">
      <c r="C21382" s="277"/>
      <c r="M21382" s="277"/>
      <c r="O21382" s="247"/>
      <c r="AC21382" s="247"/>
      <c r="AT21382" s="247"/>
    </row>
    <row r="21383">
      <c r="C21383" s="277"/>
      <c r="M21383" s="277"/>
      <c r="O21383" s="247"/>
      <c r="AC21383" s="247"/>
      <c r="AT21383" s="247"/>
    </row>
    <row r="21384">
      <c r="C21384" s="277"/>
      <c r="M21384" s="277"/>
      <c r="O21384" s="247"/>
      <c r="AC21384" s="247"/>
      <c r="AT21384" s="247"/>
    </row>
    <row r="21385">
      <c r="C21385" s="277"/>
      <c r="M21385" s="277"/>
      <c r="O21385" s="247"/>
      <c r="AC21385" s="247"/>
      <c r="AT21385" s="247"/>
    </row>
    <row r="21386">
      <c r="C21386" s="277"/>
      <c r="M21386" s="277"/>
      <c r="O21386" s="247"/>
      <c r="AC21386" s="247"/>
      <c r="AT21386" s="247"/>
    </row>
    <row r="21387">
      <c r="C21387" s="277"/>
      <c r="M21387" s="277"/>
      <c r="O21387" s="247"/>
      <c r="AC21387" s="247"/>
      <c r="AT21387" s="247"/>
    </row>
    <row r="21388">
      <c r="C21388" s="277"/>
      <c r="M21388" s="277"/>
      <c r="O21388" s="247"/>
      <c r="AC21388" s="247"/>
      <c r="AT21388" s="247"/>
    </row>
    <row r="21389">
      <c r="C21389" s="277"/>
      <c r="M21389" s="277"/>
      <c r="O21389" s="247"/>
      <c r="AC21389" s="247"/>
      <c r="AT21389" s="247"/>
    </row>
    <row r="21390">
      <c r="C21390" s="277"/>
      <c r="M21390" s="277"/>
      <c r="O21390" s="247"/>
      <c r="AC21390" s="247"/>
      <c r="AT21390" s="247"/>
    </row>
    <row r="21391">
      <c r="C21391" s="277"/>
      <c r="M21391" s="277"/>
      <c r="O21391" s="247"/>
      <c r="AC21391" s="247"/>
      <c r="AT21391" s="247"/>
    </row>
    <row r="21392">
      <c r="C21392" s="277"/>
      <c r="M21392" s="277"/>
      <c r="O21392" s="247"/>
      <c r="AC21392" s="247"/>
      <c r="AT21392" s="247"/>
    </row>
    <row r="21393">
      <c r="C21393" s="277"/>
      <c r="M21393" s="277"/>
      <c r="O21393" s="247"/>
      <c r="AC21393" s="247"/>
      <c r="AT21393" s="247"/>
    </row>
    <row r="21394">
      <c r="C21394" s="277"/>
      <c r="M21394" s="277"/>
      <c r="O21394" s="247"/>
      <c r="AC21394" s="247"/>
      <c r="AT21394" s="247"/>
    </row>
    <row r="21395">
      <c r="C21395" s="277"/>
      <c r="M21395" s="277"/>
      <c r="O21395" s="247"/>
      <c r="AC21395" s="247"/>
      <c r="AT21395" s="247"/>
    </row>
    <row r="21396">
      <c r="C21396" s="277"/>
      <c r="M21396" s="277"/>
      <c r="O21396" s="247"/>
      <c r="AC21396" s="247"/>
      <c r="AT21396" s="247"/>
    </row>
    <row r="21397">
      <c r="C21397" s="277"/>
      <c r="M21397" s="277"/>
      <c r="O21397" s="247"/>
      <c r="AC21397" s="247"/>
      <c r="AT21397" s="247"/>
    </row>
    <row r="21398">
      <c r="C21398" s="277"/>
      <c r="M21398" s="277"/>
      <c r="O21398" s="247"/>
      <c r="AC21398" s="247"/>
      <c r="AT21398" s="247"/>
    </row>
    <row r="21399">
      <c r="C21399" s="277"/>
      <c r="M21399" s="277"/>
      <c r="O21399" s="247"/>
      <c r="AC21399" s="247"/>
      <c r="AT21399" s="247"/>
    </row>
    <row r="21400">
      <c r="C21400" s="277"/>
      <c r="M21400" s="277"/>
      <c r="O21400" s="247"/>
      <c r="AC21400" s="247"/>
      <c r="AT21400" s="247"/>
    </row>
    <row r="21401">
      <c r="C21401" s="277"/>
      <c r="M21401" s="277"/>
      <c r="O21401" s="247"/>
      <c r="AC21401" s="247"/>
      <c r="AT21401" s="247"/>
    </row>
    <row r="21402">
      <c r="C21402" s="277"/>
      <c r="M21402" s="277"/>
      <c r="O21402" s="247"/>
      <c r="AC21402" s="247"/>
      <c r="AT21402" s="247"/>
    </row>
    <row r="21403">
      <c r="C21403" s="277"/>
      <c r="M21403" s="277"/>
      <c r="O21403" s="247"/>
      <c r="AC21403" s="247"/>
      <c r="AT21403" s="247"/>
    </row>
    <row r="21404">
      <c r="C21404" s="277"/>
      <c r="M21404" s="277"/>
      <c r="O21404" s="247"/>
      <c r="AC21404" s="247"/>
      <c r="AT21404" s="247"/>
    </row>
    <row r="21405">
      <c r="C21405" s="277"/>
      <c r="M21405" s="277"/>
      <c r="O21405" s="247"/>
      <c r="AC21405" s="247"/>
      <c r="AT21405" s="247"/>
    </row>
    <row r="21406">
      <c r="C21406" s="277"/>
      <c r="M21406" s="277"/>
      <c r="O21406" s="247"/>
      <c r="AC21406" s="247"/>
      <c r="AT21406" s="247"/>
    </row>
    <row r="21407">
      <c r="C21407" s="277"/>
      <c r="M21407" s="277"/>
      <c r="O21407" s="247"/>
      <c r="AC21407" s="247"/>
      <c r="AT21407" s="247"/>
    </row>
    <row r="21408">
      <c r="C21408" s="277"/>
      <c r="M21408" s="277"/>
      <c r="O21408" s="247"/>
      <c r="AC21408" s="247"/>
      <c r="AT21408" s="247"/>
    </row>
    <row r="21409">
      <c r="C21409" s="277"/>
      <c r="M21409" s="277"/>
      <c r="O21409" s="247"/>
      <c r="AC21409" s="247"/>
      <c r="AT21409" s="247"/>
    </row>
    <row r="21410">
      <c r="C21410" s="277"/>
      <c r="M21410" s="277"/>
      <c r="O21410" s="247"/>
      <c r="AC21410" s="247"/>
      <c r="AT21410" s="247"/>
    </row>
    <row r="21411">
      <c r="C21411" s="277"/>
      <c r="M21411" s="277"/>
      <c r="O21411" s="247"/>
      <c r="AC21411" s="247"/>
      <c r="AT21411" s="247"/>
    </row>
    <row r="21412">
      <c r="C21412" s="277"/>
      <c r="M21412" s="277"/>
      <c r="O21412" s="247"/>
      <c r="AC21412" s="247"/>
      <c r="AT21412" s="247"/>
    </row>
    <row r="21413">
      <c r="C21413" s="277"/>
      <c r="M21413" s="277"/>
      <c r="O21413" s="247"/>
      <c r="AC21413" s="247"/>
      <c r="AT21413" s="247"/>
    </row>
    <row r="21414">
      <c r="C21414" s="277"/>
      <c r="M21414" s="277"/>
      <c r="O21414" s="247"/>
      <c r="AC21414" s="247"/>
      <c r="AT21414" s="247"/>
    </row>
    <row r="21415">
      <c r="C21415" s="277"/>
      <c r="M21415" s="277"/>
      <c r="O21415" s="247"/>
      <c r="AC21415" s="247"/>
      <c r="AT21415" s="247"/>
    </row>
    <row r="21416">
      <c r="C21416" s="277"/>
      <c r="M21416" s="277"/>
      <c r="O21416" s="247"/>
      <c r="AC21416" s="247"/>
      <c r="AT21416" s="247"/>
    </row>
    <row r="21417">
      <c r="C21417" s="277"/>
      <c r="M21417" s="277"/>
      <c r="O21417" s="247"/>
      <c r="AC21417" s="247"/>
      <c r="AT21417" s="247"/>
    </row>
    <row r="21418">
      <c r="C21418" s="277"/>
      <c r="M21418" s="277"/>
      <c r="O21418" s="247"/>
      <c r="AC21418" s="247"/>
      <c r="AT21418" s="247"/>
    </row>
    <row r="21419">
      <c r="C21419" s="277"/>
      <c r="M21419" s="277"/>
      <c r="O21419" s="247"/>
      <c r="AC21419" s="247"/>
      <c r="AT21419" s="247"/>
    </row>
    <row r="21420">
      <c r="C21420" s="277"/>
      <c r="M21420" s="277"/>
      <c r="O21420" s="247"/>
      <c r="AC21420" s="247"/>
      <c r="AT21420" s="247"/>
    </row>
    <row r="21421">
      <c r="C21421" s="277"/>
      <c r="M21421" s="277"/>
      <c r="O21421" s="247"/>
      <c r="AC21421" s="247"/>
      <c r="AT21421" s="247"/>
    </row>
    <row r="21422">
      <c r="C21422" s="277"/>
      <c r="M21422" s="277"/>
      <c r="O21422" s="247"/>
      <c r="AC21422" s="247"/>
      <c r="AT21422" s="247"/>
    </row>
    <row r="21423">
      <c r="C21423" s="277"/>
      <c r="M21423" s="277"/>
      <c r="O21423" s="247"/>
      <c r="AC21423" s="247"/>
      <c r="AT21423" s="247"/>
    </row>
    <row r="21424">
      <c r="C21424" s="277"/>
      <c r="M21424" s="277"/>
      <c r="O21424" s="247"/>
      <c r="AC21424" s="247"/>
      <c r="AT21424" s="247"/>
    </row>
    <row r="21425">
      <c r="C21425" s="277"/>
      <c r="M21425" s="277"/>
      <c r="O21425" s="247"/>
      <c r="AC21425" s="247"/>
      <c r="AT21425" s="247"/>
    </row>
    <row r="21426">
      <c r="C21426" s="277"/>
      <c r="M21426" s="277"/>
      <c r="O21426" s="247"/>
      <c r="AC21426" s="247"/>
      <c r="AT21426" s="247"/>
    </row>
    <row r="21427">
      <c r="C21427" s="277"/>
      <c r="M21427" s="277"/>
      <c r="O21427" s="247"/>
      <c r="AC21427" s="247"/>
      <c r="AT21427" s="247"/>
    </row>
    <row r="21428">
      <c r="C21428" s="277"/>
      <c r="M21428" s="277"/>
      <c r="O21428" s="247"/>
      <c r="AC21428" s="247"/>
      <c r="AT21428" s="247"/>
    </row>
    <row r="21429">
      <c r="C21429" s="277"/>
      <c r="M21429" s="277"/>
      <c r="O21429" s="247"/>
      <c r="AC21429" s="247"/>
      <c r="AT21429" s="247"/>
    </row>
    <row r="21430">
      <c r="C21430" s="277"/>
      <c r="M21430" s="277"/>
      <c r="O21430" s="247"/>
      <c r="AC21430" s="247"/>
      <c r="AT21430" s="247"/>
    </row>
    <row r="21431">
      <c r="C21431" s="277"/>
      <c r="M21431" s="277"/>
      <c r="O21431" s="247"/>
      <c r="AC21431" s="247"/>
      <c r="AT21431" s="247"/>
    </row>
    <row r="21432">
      <c r="C21432" s="277"/>
      <c r="M21432" s="277"/>
      <c r="O21432" s="247"/>
      <c r="AC21432" s="247"/>
      <c r="AT21432" s="247"/>
    </row>
    <row r="21433">
      <c r="C21433" s="277"/>
      <c r="M21433" s="277"/>
      <c r="O21433" s="247"/>
      <c r="AC21433" s="247"/>
      <c r="AT21433" s="247"/>
    </row>
    <row r="21434">
      <c r="C21434" s="277"/>
      <c r="M21434" s="277"/>
      <c r="O21434" s="247"/>
      <c r="AC21434" s="247"/>
      <c r="AT21434" s="247"/>
    </row>
    <row r="21435">
      <c r="C21435" s="277"/>
      <c r="M21435" s="277"/>
      <c r="O21435" s="247"/>
      <c r="AC21435" s="247"/>
      <c r="AT21435" s="247"/>
    </row>
    <row r="21436">
      <c r="C21436" s="277"/>
      <c r="M21436" s="277"/>
      <c r="O21436" s="247"/>
      <c r="AC21436" s="247"/>
      <c r="AT21436" s="247"/>
    </row>
    <row r="21437">
      <c r="C21437" s="277"/>
      <c r="M21437" s="277"/>
      <c r="O21437" s="247"/>
      <c r="AC21437" s="247"/>
      <c r="AT21437" s="247"/>
    </row>
    <row r="21438">
      <c r="C21438" s="277"/>
      <c r="M21438" s="277"/>
      <c r="O21438" s="247"/>
      <c r="AC21438" s="247"/>
      <c r="AT21438" s="247"/>
    </row>
    <row r="21439">
      <c r="C21439" s="277"/>
      <c r="M21439" s="277"/>
      <c r="O21439" s="247"/>
      <c r="AC21439" s="247"/>
      <c r="AT21439" s="247"/>
    </row>
    <row r="21440">
      <c r="C21440" s="277"/>
      <c r="M21440" s="277"/>
      <c r="O21440" s="247"/>
      <c r="AC21440" s="247"/>
      <c r="AT21440" s="247"/>
    </row>
    <row r="21441">
      <c r="C21441" s="277"/>
      <c r="M21441" s="277"/>
      <c r="O21441" s="247"/>
      <c r="AC21441" s="247"/>
      <c r="AT21441" s="247"/>
    </row>
    <row r="21442">
      <c r="C21442" s="277"/>
      <c r="M21442" s="277"/>
      <c r="O21442" s="247"/>
      <c r="AC21442" s="247"/>
      <c r="AT21442" s="247"/>
    </row>
    <row r="21443">
      <c r="C21443" s="277"/>
      <c r="M21443" s="277"/>
      <c r="O21443" s="247"/>
      <c r="AC21443" s="247"/>
      <c r="AT21443" s="247"/>
    </row>
    <row r="21444">
      <c r="C21444" s="277"/>
      <c r="M21444" s="277"/>
      <c r="O21444" s="247"/>
      <c r="AC21444" s="247"/>
      <c r="AT21444" s="247"/>
    </row>
    <row r="21445">
      <c r="C21445" s="277"/>
      <c r="M21445" s="277"/>
      <c r="O21445" s="247"/>
      <c r="AC21445" s="247"/>
      <c r="AT21445" s="247"/>
    </row>
    <row r="21446">
      <c r="C21446" s="277"/>
      <c r="M21446" s="277"/>
      <c r="O21446" s="247"/>
      <c r="AC21446" s="247"/>
      <c r="AT21446" s="247"/>
    </row>
    <row r="21447">
      <c r="C21447" s="277"/>
      <c r="M21447" s="277"/>
      <c r="O21447" s="247"/>
      <c r="AC21447" s="247"/>
      <c r="AT21447" s="247"/>
    </row>
    <row r="21448">
      <c r="C21448" s="277"/>
      <c r="M21448" s="277"/>
      <c r="O21448" s="247"/>
      <c r="AC21448" s="247"/>
      <c r="AT21448" s="247"/>
    </row>
    <row r="21449">
      <c r="C21449" s="277"/>
      <c r="M21449" s="277"/>
      <c r="O21449" s="247"/>
      <c r="AC21449" s="247"/>
      <c r="AT21449" s="247"/>
    </row>
    <row r="21450">
      <c r="C21450" s="277"/>
      <c r="M21450" s="277"/>
      <c r="O21450" s="247"/>
      <c r="AC21450" s="247"/>
      <c r="AT21450" s="247"/>
    </row>
    <row r="21451">
      <c r="C21451" s="277"/>
      <c r="M21451" s="277"/>
      <c r="O21451" s="247"/>
      <c r="AC21451" s="247"/>
      <c r="AT21451" s="247"/>
    </row>
    <row r="21452">
      <c r="C21452" s="277"/>
      <c r="M21452" s="277"/>
      <c r="O21452" s="247"/>
      <c r="AC21452" s="247"/>
      <c r="AT21452" s="247"/>
    </row>
    <row r="21453">
      <c r="C21453" s="277"/>
      <c r="M21453" s="277"/>
      <c r="O21453" s="247"/>
      <c r="AC21453" s="247"/>
      <c r="AT21453" s="247"/>
    </row>
    <row r="21454">
      <c r="C21454" s="277"/>
      <c r="M21454" s="277"/>
      <c r="O21454" s="247"/>
      <c r="AC21454" s="247"/>
      <c r="AT21454" s="247"/>
    </row>
    <row r="21455">
      <c r="C21455" s="277"/>
      <c r="M21455" s="277"/>
      <c r="O21455" s="247"/>
      <c r="AC21455" s="247"/>
      <c r="AT21455" s="247"/>
    </row>
    <row r="21456">
      <c r="C21456" s="277"/>
      <c r="M21456" s="277"/>
      <c r="O21456" s="247"/>
      <c r="AC21456" s="247"/>
      <c r="AT21456" s="247"/>
    </row>
    <row r="21457">
      <c r="C21457" s="277"/>
      <c r="M21457" s="277"/>
      <c r="O21457" s="247"/>
      <c r="AC21457" s="247"/>
      <c r="AT21457" s="247"/>
    </row>
    <row r="21458">
      <c r="C21458" s="277"/>
      <c r="M21458" s="277"/>
      <c r="O21458" s="247"/>
      <c r="AC21458" s="247"/>
      <c r="AT21458" s="247"/>
    </row>
    <row r="21459">
      <c r="C21459" s="277"/>
      <c r="M21459" s="277"/>
      <c r="O21459" s="247"/>
      <c r="AC21459" s="247"/>
      <c r="AT21459" s="247"/>
    </row>
    <row r="21460">
      <c r="C21460" s="277"/>
      <c r="M21460" s="277"/>
      <c r="O21460" s="247"/>
      <c r="AC21460" s="247"/>
      <c r="AT21460" s="247"/>
    </row>
    <row r="21461">
      <c r="C21461" s="277"/>
      <c r="M21461" s="277"/>
      <c r="O21461" s="247"/>
      <c r="AC21461" s="247"/>
      <c r="AT21461" s="247"/>
    </row>
    <row r="21462">
      <c r="C21462" s="277"/>
      <c r="M21462" s="277"/>
      <c r="O21462" s="247"/>
      <c r="AC21462" s="247"/>
      <c r="AT21462" s="247"/>
    </row>
    <row r="21463">
      <c r="C21463" s="277"/>
      <c r="M21463" s="277"/>
      <c r="O21463" s="247"/>
      <c r="AC21463" s="247"/>
      <c r="AT21463" s="247"/>
    </row>
    <row r="21464">
      <c r="C21464" s="277"/>
      <c r="M21464" s="277"/>
      <c r="O21464" s="247"/>
      <c r="AC21464" s="247"/>
      <c r="AT21464" s="247"/>
    </row>
    <row r="21465">
      <c r="C21465" s="277"/>
      <c r="M21465" s="277"/>
      <c r="O21465" s="247"/>
      <c r="AC21465" s="247"/>
      <c r="AT21465" s="247"/>
    </row>
    <row r="21466">
      <c r="C21466" s="277"/>
      <c r="M21466" s="277"/>
      <c r="O21466" s="247"/>
      <c r="AC21466" s="247"/>
      <c r="AT21466" s="247"/>
    </row>
    <row r="21467">
      <c r="C21467" s="277"/>
      <c r="M21467" s="277"/>
      <c r="O21467" s="247"/>
      <c r="AC21467" s="247"/>
      <c r="AT21467" s="247"/>
    </row>
    <row r="21468">
      <c r="C21468" s="277"/>
      <c r="M21468" s="277"/>
      <c r="O21468" s="247"/>
      <c r="AC21468" s="247"/>
      <c r="AT21468" s="247"/>
    </row>
    <row r="21469">
      <c r="C21469" s="277"/>
      <c r="M21469" s="277"/>
      <c r="O21469" s="247"/>
      <c r="AC21469" s="247"/>
      <c r="AT21469" s="247"/>
    </row>
    <row r="21470">
      <c r="C21470" s="277"/>
      <c r="M21470" s="277"/>
      <c r="O21470" s="247"/>
      <c r="AC21470" s="247"/>
      <c r="AT21470" s="247"/>
    </row>
    <row r="21471">
      <c r="C21471" s="277"/>
      <c r="M21471" s="277"/>
      <c r="O21471" s="247"/>
      <c r="AC21471" s="247"/>
      <c r="AT21471" s="247"/>
    </row>
    <row r="21472">
      <c r="C21472" s="277"/>
      <c r="M21472" s="277"/>
      <c r="O21472" s="247"/>
      <c r="AC21472" s="247"/>
      <c r="AT21472" s="247"/>
    </row>
    <row r="21473">
      <c r="C21473" s="277"/>
      <c r="M21473" s="277"/>
      <c r="O21473" s="247"/>
      <c r="AC21473" s="247"/>
      <c r="AT21473" s="247"/>
    </row>
    <row r="21474">
      <c r="C21474" s="277"/>
      <c r="M21474" s="277"/>
      <c r="O21474" s="247"/>
      <c r="AC21474" s="247"/>
      <c r="AT21474" s="247"/>
    </row>
    <row r="21475">
      <c r="C21475" s="277"/>
      <c r="M21475" s="277"/>
      <c r="O21475" s="247"/>
      <c r="AC21475" s="247"/>
      <c r="AT21475" s="247"/>
    </row>
    <row r="21476">
      <c r="C21476" s="277"/>
      <c r="M21476" s="277"/>
      <c r="O21476" s="247"/>
      <c r="AC21476" s="247"/>
      <c r="AT21476" s="247"/>
    </row>
    <row r="21477">
      <c r="C21477" s="277"/>
      <c r="M21477" s="277"/>
      <c r="O21477" s="247"/>
      <c r="AC21477" s="247"/>
      <c r="AT21477" s="247"/>
    </row>
    <row r="21478">
      <c r="C21478" s="277"/>
      <c r="M21478" s="277"/>
      <c r="O21478" s="247"/>
      <c r="AC21478" s="247"/>
      <c r="AT21478" s="247"/>
    </row>
    <row r="21479">
      <c r="C21479" s="277"/>
      <c r="M21479" s="277"/>
      <c r="O21479" s="247"/>
      <c r="AC21479" s="247"/>
      <c r="AT21479" s="247"/>
    </row>
    <row r="21480">
      <c r="C21480" s="277"/>
      <c r="M21480" s="277"/>
      <c r="O21480" s="247"/>
      <c r="AC21480" s="247"/>
      <c r="AT21480" s="247"/>
    </row>
    <row r="21481">
      <c r="C21481" s="277"/>
      <c r="M21481" s="277"/>
      <c r="O21481" s="247"/>
      <c r="AC21481" s="247"/>
      <c r="AT21481" s="247"/>
    </row>
    <row r="21482">
      <c r="C21482" s="277"/>
      <c r="M21482" s="277"/>
      <c r="O21482" s="247"/>
      <c r="AC21482" s="247"/>
      <c r="AT21482" s="247"/>
    </row>
    <row r="21483">
      <c r="C21483" s="277"/>
      <c r="M21483" s="277"/>
      <c r="O21483" s="247"/>
      <c r="AC21483" s="247"/>
      <c r="AT21483" s="247"/>
    </row>
    <row r="21484">
      <c r="C21484" s="277"/>
      <c r="M21484" s="277"/>
      <c r="O21484" s="247"/>
      <c r="AC21484" s="247"/>
      <c r="AT21484" s="247"/>
    </row>
    <row r="21485">
      <c r="C21485" s="277"/>
      <c r="M21485" s="277"/>
      <c r="O21485" s="247"/>
      <c r="AC21485" s="247"/>
      <c r="AT21485" s="247"/>
    </row>
    <row r="21486">
      <c r="C21486" s="277"/>
      <c r="M21486" s="277"/>
      <c r="O21486" s="247"/>
      <c r="AC21486" s="247"/>
      <c r="AT21486" s="247"/>
    </row>
    <row r="21487">
      <c r="C21487" s="277"/>
      <c r="M21487" s="277"/>
      <c r="O21487" s="247"/>
      <c r="AC21487" s="247"/>
      <c r="AT21487" s="247"/>
    </row>
    <row r="21488">
      <c r="C21488" s="277"/>
      <c r="M21488" s="277"/>
      <c r="O21488" s="247"/>
      <c r="AC21488" s="247"/>
      <c r="AT21488" s="247"/>
    </row>
    <row r="21489">
      <c r="C21489" s="277"/>
      <c r="M21489" s="277"/>
      <c r="O21489" s="247"/>
      <c r="AC21489" s="247"/>
      <c r="AT21489" s="247"/>
    </row>
    <row r="21490">
      <c r="C21490" s="277"/>
      <c r="M21490" s="277"/>
      <c r="O21490" s="247"/>
      <c r="AC21490" s="247"/>
      <c r="AT21490" s="247"/>
    </row>
    <row r="21491">
      <c r="C21491" s="277"/>
      <c r="M21491" s="277"/>
      <c r="O21491" s="247"/>
      <c r="AC21491" s="247"/>
      <c r="AT21491" s="247"/>
    </row>
    <row r="21492">
      <c r="C21492" s="277"/>
      <c r="M21492" s="277"/>
      <c r="O21492" s="247"/>
      <c r="AC21492" s="247"/>
      <c r="AT21492" s="247"/>
    </row>
    <row r="21493">
      <c r="C21493" s="277"/>
      <c r="M21493" s="277"/>
      <c r="O21493" s="247"/>
      <c r="AC21493" s="247"/>
      <c r="AT21493" s="247"/>
    </row>
    <row r="21494">
      <c r="C21494" s="277"/>
      <c r="M21494" s="277"/>
      <c r="O21494" s="247"/>
      <c r="AC21494" s="247"/>
      <c r="AT21494" s="247"/>
    </row>
    <row r="21495">
      <c r="C21495" s="277"/>
      <c r="M21495" s="277"/>
      <c r="O21495" s="247"/>
      <c r="AC21495" s="247"/>
      <c r="AT21495" s="247"/>
    </row>
    <row r="21496">
      <c r="C21496" s="277"/>
      <c r="M21496" s="277"/>
      <c r="O21496" s="247"/>
      <c r="AC21496" s="247"/>
      <c r="AT21496" s="247"/>
    </row>
    <row r="21497">
      <c r="C21497" s="277"/>
      <c r="M21497" s="277"/>
      <c r="O21497" s="247"/>
      <c r="AC21497" s="247"/>
      <c r="AT21497" s="247"/>
    </row>
    <row r="21498">
      <c r="C21498" s="277"/>
      <c r="M21498" s="277"/>
      <c r="O21498" s="247"/>
      <c r="AC21498" s="247"/>
      <c r="AT21498" s="247"/>
    </row>
    <row r="21499">
      <c r="C21499" s="277"/>
      <c r="M21499" s="277"/>
      <c r="O21499" s="247"/>
      <c r="AC21499" s="247"/>
      <c r="AT21499" s="247"/>
    </row>
    <row r="21500">
      <c r="C21500" s="277"/>
      <c r="M21500" s="277"/>
      <c r="O21500" s="247"/>
      <c r="AC21500" s="247"/>
      <c r="AT21500" s="247"/>
    </row>
    <row r="21501">
      <c r="C21501" s="277"/>
      <c r="M21501" s="277"/>
      <c r="O21501" s="247"/>
      <c r="AC21501" s="247"/>
      <c r="AT21501" s="247"/>
    </row>
    <row r="21502">
      <c r="C21502" s="277"/>
      <c r="M21502" s="277"/>
      <c r="O21502" s="247"/>
      <c r="AC21502" s="247"/>
      <c r="AT21502" s="247"/>
    </row>
    <row r="21503">
      <c r="C21503" s="277"/>
      <c r="M21503" s="277"/>
      <c r="O21503" s="247"/>
      <c r="AC21503" s="247"/>
      <c r="AT21503" s="247"/>
    </row>
    <row r="21504">
      <c r="C21504" s="277"/>
      <c r="M21504" s="277"/>
      <c r="O21504" s="247"/>
      <c r="AC21504" s="247"/>
      <c r="AT21504" s="247"/>
    </row>
    <row r="21505">
      <c r="C21505" s="277"/>
      <c r="M21505" s="277"/>
      <c r="O21505" s="247"/>
      <c r="AC21505" s="247"/>
      <c r="AT21505" s="247"/>
    </row>
    <row r="21506">
      <c r="C21506" s="277"/>
      <c r="M21506" s="277"/>
      <c r="O21506" s="247"/>
      <c r="AC21506" s="247"/>
      <c r="AT21506" s="247"/>
    </row>
    <row r="21507">
      <c r="C21507" s="277"/>
      <c r="M21507" s="277"/>
      <c r="O21507" s="247"/>
      <c r="AC21507" s="247"/>
      <c r="AT21507" s="247"/>
    </row>
    <row r="21508">
      <c r="C21508" s="277"/>
      <c r="M21508" s="277"/>
      <c r="O21508" s="247"/>
      <c r="AC21508" s="247"/>
      <c r="AT21508" s="247"/>
    </row>
    <row r="21509">
      <c r="C21509" s="277"/>
      <c r="M21509" s="277"/>
      <c r="O21509" s="247"/>
      <c r="AC21509" s="247"/>
      <c r="AT21509" s="247"/>
    </row>
    <row r="21510">
      <c r="C21510" s="277"/>
      <c r="M21510" s="277"/>
      <c r="O21510" s="247"/>
      <c r="AC21510" s="247"/>
      <c r="AT21510" s="247"/>
    </row>
    <row r="21511">
      <c r="C21511" s="277"/>
      <c r="M21511" s="277"/>
      <c r="O21511" s="247"/>
      <c r="AC21511" s="247"/>
      <c r="AT21511" s="247"/>
    </row>
    <row r="21512">
      <c r="C21512" s="277"/>
      <c r="M21512" s="277"/>
      <c r="O21512" s="247"/>
      <c r="AC21512" s="247"/>
      <c r="AT21512" s="247"/>
    </row>
    <row r="21513">
      <c r="C21513" s="277"/>
      <c r="M21513" s="277"/>
      <c r="O21513" s="247"/>
      <c r="AC21513" s="247"/>
      <c r="AT21513" s="247"/>
    </row>
    <row r="21514">
      <c r="C21514" s="277"/>
      <c r="M21514" s="277"/>
      <c r="O21514" s="247"/>
      <c r="AC21514" s="247"/>
      <c r="AT21514" s="247"/>
    </row>
    <row r="21515">
      <c r="C21515" s="277"/>
      <c r="M21515" s="277"/>
      <c r="O21515" s="247"/>
      <c r="AC21515" s="247"/>
      <c r="AT21515" s="247"/>
    </row>
    <row r="21516">
      <c r="C21516" s="277"/>
      <c r="M21516" s="277"/>
      <c r="O21516" s="247"/>
      <c r="AC21516" s="247"/>
      <c r="AT21516" s="247"/>
    </row>
    <row r="21517">
      <c r="C21517" s="277"/>
      <c r="M21517" s="277"/>
      <c r="O21517" s="247"/>
      <c r="AC21517" s="247"/>
      <c r="AT21517" s="247"/>
    </row>
    <row r="21518">
      <c r="C21518" s="277"/>
      <c r="M21518" s="277"/>
      <c r="O21518" s="247"/>
      <c r="AC21518" s="247"/>
      <c r="AT21518" s="247"/>
    </row>
    <row r="21519">
      <c r="C21519" s="277"/>
      <c r="M21519" s="277"/>
      <c r="O21519" s="247"/>
      <c r="AC21519" s="247"/>
      <c r="AT21519" s="247"/>
    </row>
    <row r="21520">
      <c r="C21520" s="277"/>
      <c r="M21520" s="277"/>
      <c r="O21520" s="247"/>
      <c r="AC21520" s="247"/>
      <c r="AT21520" s="247"/>
    </row>
    <row r="21521">
      <c r="C21521" s="277"/>
      <c r="M21521" s="277"/>
      <c r="O21521" s="247"/>
      <c r="AC21521" s="247"/>
      <c r="AT21521" s="247"/>
    </row>
    <row r="21522">
      <c r="C21522" s="277"/>
      <c r="M21522" s="277"/>
      <c r="O21522" s="247"/>
      <c r="AC21522" s="247"/>
      <c r="AT21522" s="247"/>
    </row>
    <row r="21523">
      <c r="C21523" s="277"/>
      <c r="M21523" s="277"/>
      <c r="O21523" s="247"/>
      <c r="AC21523" s="247"/>
      <c r="AT21523" s="247"/>
    </row>
    <row r="21524">
      <c r="C21524" s="277"/>
      <c r="M21524" s="277"/>
      <c r="O21524" s="247"/>
      <c r="AC21524" s="247"/>
      <c r="AT21524" s="247"/>
    </row>
    <row r="21525">
      <c r="C21525" s="277"/>
      <c r="M21525" s="277"/>
      <c r="O21525" s="247"/>
      <c r="AC21525" s="247"/>
      <c r="AT21525" s="247"/>
    </row>
    <row r="21526">
      <c r="C21526" s="277"/>
      <c r="M21526" s="277"/>
      <c r="O21526" s="247"/>
      <c r="AC21526" s="247"/>
      <c r="AT21526" s="247"/>
    </row>
    <row r="21527">
      <c r="C21527" s="277"/>
      <c r="M21527" s="277"/>
      <c r="O21527" s="247"/>
      <c r="AC21527" s="247"/>
      <c r="AT21527" s="247"/>
    </row>
    <row r="21528">
      <c r="C21528" s="277"/>
      <c r="M21528" s="277"/>
      <c r="O21528" s="247"/>
      <c r="AC21528" s="247"/>
      <c r="AT21528" s="247"/>
    </row>
    <row r="21529">
      <c r="C21529" s="277"/>
      <c r="M21529" s="277"/>
      <c r="O21529" s="247"/>
      <c r="AC21529" s="247"/>
      <c r="AT21529" s="247"/>
    </row>
    <row r="21530">
      <c r="C21530" s="277"/>
      <c r="M21530" s="277"/>
      <c r="O21530" s="247"/>
      <c r="AC21530" s="247"/>
      <c r="AT21530" s="247"/>
    </row>
    <row r="21531">
      <c r="C21531" s="277"/>
      <c r="M21531" s="277"/>
      <c r="O21531" s="247"/>
      <c r="AC21531" s="247"/>
      <c r="AT21531" s="247"/>
    </row>
    <row r="21532">
      <c r="C21532" s="277"/>
      <c r="M21532" s="277"/>
      <c r="O21532" s="247"/>
      <c r="AC21532" s="247"/>
      <c r="AT21532" s="247"/>
    </row>
    <row r="21533">
      <c r="C21533" s="277"/>
      <c r="M21533" s="277"/>
      <c r="O21533" s="247"/>
      <c r="AC21533" s="247"/>
      <c r="AT21533" s="247"/>
    </row>
    <row r="21534">
      <c r="C21534" s="277"/>
      <c r="M21534" s="277"/>
      <c r="O21534" s="247"/>
      <c r="AC21534" s="247"/>
      <c r="AT21534" s="247"/>
    </row>
    <row r="21535">
      <c r="C21535" s="277"/>
      <c r="M21535" s="277"/>
      <c r="O21535" s="247"/>
      <c r="AC21535" s="247"/>
      <c r="AT21535" s="247"/>
    </row>
    <row r="21536">
      <c r="C21536" s="277"/>
      <c r="M21536" s="277"/>
      <c r="O21536" s="247"/>
      <c r="AC21536" s="247"/>
      <c r="AT21536" s="247"/>
    </row>
    <row r="21537">
      <c r="C21537" s="277"/>
      <c r="M21537" s="277"/>
      <c r="O21537" s="247"/>
      <c r="AC21537" s="247"/>
      <c r="AT21537" s="247"/>
    </row>
    <row r="21538">
      <c r="C21538" s="277"/>
      <c r="M21538" s="277"/>
      <c r="O21538" s="247"/>
      <c r="AC21538" s="247"/>
      <c r="AT21538" s="247"/>
    </row>
    <row r="21539">
      <c r="C21539" s="277"/>
      <c r="M21539" s="277"/>
      <c r="O21539" s="247"/>
      <c r="AC21539" s="247"/>
      <c r="AT21539" s="247"/>
    </row>
    <row r="21540">
      <c r="C21540" s="277"/>
      <c r="M21540" s="277"/>
      <c r="O21540" s="247"/>
      <c r="AC21540" s="247"/>
      <c r="AT21540" s="247"/>
    </row>
    <row r="21541">
      <c r="C21541" s="277"/>
      <c r="M21541" s="277"/>
      <c r="O21541" s="247"/>
      <c r="AC21541" s="247"/>
      <c r="AT21541" s="247"/>
    </row>
    <row r="21542">
      <c r="C21542" s="277"/>
      <c r="M21542" s="277"/>
      <c r="O21542" s="247"/>
      <c r="AC21542" s="247"/>
      <c r="AT21542" s="247"/>
    </row>
    <row r="21543">
      <c r="C21543" s="277"/>
      <c r="M21543" s="277"/>
      <c r="O21543" s="247"/>
      <c r="AC21543" s="247"/>
      <c r="AT21543" s="247"/>
    </row>
    <row r="21544">
      <c r="C21544" s="277"/>
      <c r="M21544" s="277"/>
      <c r="O21544" s="247"/>
      <c r="AC21544" s="247"/>
      <c r="AT21544" s="247"/>
    </row>
    <row r="21545">
      <c r="C21545" s="277"/>
      <c r="M21545" s="277"/>
      <c r="O21545" s="247"/>
      <c r="AC21545" s="247"/>
      <c r="AT21545" s="247"/>
    </row>
    <row r="21546">
      <c r="C21546" s="277"/>
      <c r="M21546" s="277"/>
      <c r="O21546" s="247"/>
      <c r="AC21546" s="247"/>
      <c r="AT21546" s="247"/>
    </row>
    <row r="21547">
      <c r="C21547" s="277"/>
      <c r="M21547" s="277"/>
      <c r="O21547" s="247"/>
      <c r="AC21547" s="247"/>
      <c r="AT21547" s="247"/>
    </row>
    <row r="21548">
      <c r="C21548" s="277"/>
      <c r="M21548" s="277"/>
      <c r="O21548" s="247"/>
      <c r="AC21548" s="247"/>
      <c r="AT21548" s="247"/>
    </row>
    <row r="21549">
      <c r="C21549" s="277"/>
      <c r="M21549" s="277"/>
      <c r="O21549" s="247"/>
      <c r="AC21549" s="247"/>
      <c r="AT21549" s="247"/>
    </row>
    <row r="21550">
      <c r="C21550" s="277"/>
      <c r="M21550" s="277"/>
      <c r="O21550" s="247"/>
      <c r="AC21550" s="247"/>
      <c r="AT21550" s="247"/>
    </row>
    <row r="21551">
      <c r="C21551" s="277"/>
      <c r="M21551" s="277"/>
      <c r="O21551" s="247"/>
      <c r="AC21551" s="247"/>
      <c r="AT21551" s="247"/>
    </row>
    <row r="21552">
      <c r="C21552" s="277"/>
      <c r="M21552" s="277"/>
      <c r="O21552" s="247"/>
      <c r="AC21552" s="247"/>
      <c r="AT21552" s="247"/>
    </row>
    <row r="21553">
      <c r="C21553" s="277"/>
      <c r="M21553" s="277"/>
      <c r="O21553" s="247"/>
      <c r="AC21553" s="247"/>
      <c r="AT21553" s="247"/>
    </row>
    <row r="21554">
      <c r="C21554" s="277"/>
      <c r="M21554" s="277"/>
      <c r="O21554" s="247"/>
      <c r="AC21554" s="247"/>
      <c r="AT21554" s="247"/>
    </row>
    <row r="21555">
      <c r="C21555" s="277"/>
      <c r="M21555" s="277"/>
      <c r="O21555" s="247"/>
      <c r="AC21555" s="247"/>
      <c r="AT21555" s="247"/>
    </row>
    <row r="21556">
      <c r="C21556" s="277"/>
      <c r="M21556" s="277"/>
      <c r="O21556" s="247"/>
      <c r="AC21556" s="247"/>
      <c r="AT21556" s="247"/>
    </row>
    <row r="21557">
      <c r="C21557" s="277"/>
      <c r="M21557" s="277"/>
      <c r="O21557" s="247"/>
      <c r="AC21557" s="247"/>
      <c r="AT21557" s="247"/>
    </row>
    <row r="21558">
      <c r="C21558" s="277"/>
      <c r="M21558" s="277"/>
      <c r="O21558" s="247"/>
      <c r="AC21558" s="247"/>
      <c r="AT21558" s="247"/>
    </row>
    <row r="21559">
      <c r="C21559" s="277"/>
      <c r="M21559" s="277"/>
      <c r="O21559" s="247"/>
      <c r="AC21559" s="247"/>
      <c r="AT21559" s="247"/>
    </row>
    <row r="21560">
      <c r="C21560" s="277"/>
      <c r="M21560" s="277"/>
      <c r="O21560" s="247"/>
      <c r="AC21560" s="247"/>
      <c r="AT21560" s="247"/>
    </row>
    <row r="21561">
      <c r="C21561" s="277"/>
      <c r="M21561" s="277"/>
      <c r="O21561" s="247"/>
      <c r="AC21561" s="247"/>
      <c r="AT21561" s="247"/>
    </row>
    <row r="21562">
      <c r="C21562" s="277"/>
      <c r="M21562" s="277"/>
      <c r="O21562" s="247"/>
      <c r="AC21562" s="247"/>
      <c r="AT21562" s="247"/>
    </row>
    <row r="21563">
      <c r="C21563" s="277"/>
      <c r="M21563" s="277"/>
      <c r="O21563" s="247"/>
      <c r="AC21563" s="247"/>
      <c r="AT21563" s="247"/>
    </row>
    <row r="21564">
      <c r="C21564" s="277"/>
      <c r="M21564" s="277"/>
      <c r="O21564" s="247"/>
      <c r="AC21564" s="247"/>
      <c r="AT21564" s="247"/>
    </row>
    <row r="21565">
      <c r="C21565" s="277"/>
      <c r="M21565" s="277"/>
      <c r="O21565" s="247"/>
      <c r="AC21565" s="247"/>
      <c r="AT21565" s="247"/>
    </row>
    <row r="21566">
      <c r="C21566" s="277"/>
      <c r="M21566" s="277"/>
      <c r="O21566" s="247"/>
      <c r="AC21566" s="247"/>
      <c r="AT21566" s="247"/>
    </row>
    <row r="21567">
      <c r="C21567" s="277"/>
      <c r="M21567" s="277"/>
      <c r="O21567" s="247"/>
      <c r="AC21567" s="247"/>
      <c r="AT21567" s="247"/>
    </row>
    <row r="21568">
      <c r="C21568" s="277"/>
      <c r="M21568" s="277"/>
      <c r="O21568" s="247"/>
      <c r="AC21568" s="247"/>
      <c r="AT21568" s="247"/>
    </row>
    <row r="21569">
      <c r="C21569" s="277"/>
      <c r="M21569" s="277"/>
      <c r="O21569" s="247"/>
      <c r="AC21569" s="247"/>
      <c r="AT21569" s="247"/>
    </row>
    <row r="21570">
      <c r="C21570" s="277"/>
      <c r="M21570" s="277"/>
      <c r="O21570" s="247"/>
      <c r="AC21570" s="247"/>
      <c r="AT21570" s="247"/>
    </row>
    <row r="21571">
      <c r="C21571" s="277"/>
      <c r="M21571" s="277"/>
      <c r="O21571" s="247"/>
      <c r="AC21571" s="247"/>
      <c r="AT21571" s="247"/>
    </row>
    <row r="21572">
      <c r="C21572" s="277"/>
      <c r="M21572" s="277"/>
      <c r="O21572" s="247"/>
      <c r="AC21572" s="247"/>
      <c r="AT21572" s="247"/>
    </row>
    <row r="21573">
      <c r="C21573" s="277"/>
      <c r="M21573" s="277"/>
      <c r="O21573" s="247"/>
      <c r="AC21573" s="247"/>
      <c r="AT21573" s="247"/>
    </row>
    <row r="21574">
      <c r="C21574" s="277"/>
      <c r="M21574" s="277"/>
      <c r="O21574" s="247"/>
      <c r="AC21574" s="247"/>
      <c r="AT21574" s="247"/>
    </row>
    <row r="21575">
      <c r="C21575" s="277"/>
      <c r="M21575" s="277"/>
      <c r="O21575" s="247"/>
      <c r="AC21575" s="247"/>
      <c r="AT21575" s="247"/>
    </row>
    <row r="21576">
      <c r="C21576" s="277"/>
      <c r="M21576" s="277"/>
      <c r="O21576" s="247"/>
      <c r="AC21576" s="247"/>
      <c r="AT21576" s="247"/>
    </row>
    <row r="21577">
      <c r="C21577" s="277"/>
      <c r="M21577" s="277"/>
      <c r="O21577" s="247"/>
      <c r="AC21577" s="247"/>
      <c r="AT21577" s="247"/>
    </row>
    <row r="21578">
      <c r="C21578" s="277"/>
      <c r="M21578" s="277"/>
      <c r="O21578" s="247"/>
      <c r="AC21578" s="247"/>
      <c r="AT21578" s="247"/>
    </row>
    <row r="21579">
      <c r="C21579" s="277"/>
      <c r="M21579" s="277"/>
      <c r="O21579" s="247"/>
      <c r="AC21579" s="247"/>
      <c r="AT21579" s="247"/>
    </row>
    <row r="21580">
      <c r="C21580" s="277"/>
      <c r="M21580" s="277"/>
      <c r="O21580" s="247"/>
      <c r="AC21580" s="247"/>
      <c r="AT21580" s="247"/>
    </row>
    <row r="21581">
      <c r="C21581" s="277"/>
      <c r="M21581" s="277"/>
      <c r="O21581" s="247"/>
      <c r="AC21581" s="247"/>
      <c r="AT21581" s="247"/>
    </row>
    <row r="21582">
      <c r="C21582" s="277"/>
      <c r="M21582" s="277"/>
      <c r="O21582" s="247"/>
      <c r="AC21582" s="247"/>
      <c r="AT21582" s="247"/>
    </row>
    <row r="21583">
      <c r="C21583" s="277"/>
      <c r="M21583" s="277"/>
      <c r="O21583" s="247"/>
      <c r="AC21583" s="247"/>
      <c r="AT21583" s="247"/>
    </row>
    <row r="21584">
      <c r="C21584" s="277"/>
      <c r="M21584" s="277"/>
      <c r="O21584" s="247"/>
      <c r="AC21584" s="247"/>
      <c r="AT21584" s="247"/>
    </row>
    <row r="21585">
      <c r="C21585" s="277"/>
      <c r="M21585" s="277"/>
      <c r="O21585" s="247"/>
      <c r="AC21585" s="247"/>
      <c r="AT21585" s="247"/>
    </row>
    <row r="21586">
      <c r="C21586" s="277"/>
      <c r="M21586" s="277"/>
      <c r="O21586" s="247"/>
      <c r="AC21586" s="247"/>
      <c r="AT21586" s="247"/>
    </row>
    <row r="21587">
      <c r="C21587" s="277"/>
      <c r="M21587" s="277"/>
      <c r="O21587" s="247"/>
      <c r="AC21587" s="247"/>
      <c r="AT21587" s="247"/>
    </row>
    <row r="21588">
      <c r="C21588" s="277"/>
      <c r="M21588" s="277"/>
      <c r="O21588" s="247"/>
      <c r="AC21588" s="247"/>
      <c r="AT21588" s="247"/>
    </row>
    <row r="21589">
      <c r="C21589" s="277"/>
      <c r="M21589" s="277"/>
      <c r="O21589" s="247"/>
      <c r="AC21589" s="247"/>
      <c r="AT21589" s="247"/>
    </row>
    <row r="21590">
      <c r="C21590" s="277"/>
      <c r="M21590" s="277"/>
      <c r="O21590" s="247"/>
      <c r="AC21590" s="247"/>
      <c r="AT21590" s="247"/>
    </row>
    <row r="21591">
      <c r="C21591" s="277"/>
      <c r="M21591" s="277"/>
      <c r="O21591" s="247"/>
      <c r="AC21591" s="247"/>
      <c r="AT21591" s="247"/>
    </row>
    <row r="21592">
      <c r="C21592" s="277"/>
      <c r="M21592" s="277"/>
      <c r="O21592" s="247"/>
      <c r="AC21592" s="247"/>
      <c r="AT21592" s="247"/>
    </row>
    <row r="21593">
      <c r="C21593" s="277"/>
      <c r="M21593" s="277"/>
      <c r="O21593" s="247"/>
      <c r="AC21593" s="247"/>
      <c r="AT21593" s="247"/>
    </row>
    <row r="21594">
      <c r="C21594" s="277"/>
      <c r="M21594" s="277"/>
      <c r="O21594" s="247"/>
      <c r="AC21594" s="247"/>
      <c r="AT21594" s="247"/>
    </row>
    <row r="21595">
      <c r="C21595" s="277"/>
      <c r="M21595" s="277"/>
      <c r="O21595" s="247"/>
      <c r="AC21595" s="247"/>
      <c r="AT21595" s="247"/>
    </row>
    <row r="21596">
      <c r="C21596" s="277"/>
      <c r="M21596" s="277"/>
      <c r="O21596" s="247"/>
      <c r="AC21596" s="247"/>
      <c r="AT21596" s="247"/>
    </row>
    <row r="21597">
      <c r="C21597" s="277"/>
      <c r="M21597" s="277"/>
      <c r="O21597" s="247"/>
      <c r="AC21597" s="247"/>
      <c r="AT21597" s="247"/>
    </row>
    <row r="21598">
      <c r="C21598" s="277"/>
      <c r="M21598" s="277"/>
      <c r="O21598" s="247"/>
      <c r="AC21598" s="247"/>
      <c r="AT21598" s="247"/>
    </row>
    <row r="21599">
      <c r="C21599" s="277"/>
      <c r="M21599" s="277"/>
      <c r="O21599" s="247"/>
      <c r="AC21599" s="247"/>
      <c r="AT21599" s="247"/>
    </row>
    <row r="21600">
      <c r="C21600" s="277"/>
      <c r="M21600" s="277"/>
      <c r="O21600" s="247"/>
      <c r="AC21600" s="247"/>
      <c r="AT21600" s="247"/>
    </row>
    <row r="21601">
      <c r="C21601" s="277"/>
      <c r="M21601" s="277"/>
      <c r="O21601" s="247"/>
      <c r="AC21601" s="247"/>
      <c r="AT21601" s="247"/>
    </row>
    <row r="21602">
      <c r="C21602" s="277"/>
      <c r="M21602" s="277"/>
      <c r="O21602" s="247"/>
      <c r="AC21602" s="247"/>
      <c r="AT21602" s="247"/>
    </row>
    <row r="21603">
      <c r="C21603" s="277"/>
      <c r="M21603" s="277"/>
      <c r="O21603" s="247"/>
      <c r="AC21603" s="247"/>
      <c r="AT21603" s="247"/>
    </row>
    <row r="21604">
      <c r="C21604" s="277"/>
      <c r="M21604" s="277"/>
      <c r="O21604" s="247"/>
      <c r="AC21604" s="247"/>
      <c r="AT21604" s="247"/>
    </row>
    <row r="21605">
      <c r="C21605" s="277"/>
      <c r="M21605" s="277"/>
      <c r="O21605" s="247"/>
      <c r="AC21605" s="247"/>
      <c r="AT21605" s="247"/>
    </row>
    <row r="21606">
      <c r="C21606" s="277"/>
      <c r="M21606" s="277"/>
      <c r="O21606" s="247"/>
      <c r="AC21606" s="247"/>
      <c r="AT21606" s="247"/>
    </row>
    <row r="21607">
      <c r="C21607" s="277"/>
      <c r="M21607" s="277"/>
      <c r="O21607" s="247"/>
      <c r="AC21607" s="247"/>
      <c r="AT21607" s="247"/>
    </row>
    <row r="21608">
      <c r="C21608" s="277"/>
      <c r="M21608" s="277"/>
      <c r="O21608" s="247"/>
      <c r="AC21608" s="247"/>
      <c r="AT21608" s="247"/>
    </row>
    <row r="21609">
      <c r="C21609" s="277"/>
      <c r="M21609" s="277"/>
      <c r="O21609" s="247"/>
      <c r="AC21609" s="247"/>
      <c r="AT21609" s="247"/>
    </row>
    <row r="21610">
      <c r="C21610" s="277"/>
      <c r="M21610" s="277"/>
      <c r="O21610" s="247"/>
      <c r="AC21610" s="247"/>
      <c r="AT21610" s="247"/>
    </row>
    <row r="21611">
      <c r="C21611" s="277"/>
      <c r="M21611" s="277"/>
      <c r="O21611" s="247"/>
      <c r="AC21611" s="247"/>
      <c r="AT21611" s="247"/>
    </row>
    <row r="21612">
      <c r="C21612" s="277"/>
      <c r="M21612" s="277"/>
      <c r="O21612" s="247"/>
      <c r="AC21612" s="247"/>
      <c r="AT21612" s="247"/>
    </row>
    <row r="21613">
      <c r="C21613" s="277"/>
      <c r="M21613" s="277"/>
      <c r="O21613" s="247"/>
      <c r="AC21613" s="247"/>
      <c r="AT21613" s="247"/>
    </row>
    <row r="21614">
      <c r="C21614" s="277"/>
      <c r="M21614" s="277"/>
      <c r="O21614" s="247"/>
      <c r="AC21614" s="247"/>
      <c r="AT21614" s="247"/>
    </row>
    <row r="21615">
      <c r="C21615" s="277"/>
      <c r="M21615" s="277"/>
      <c r="O21615" s="247"/>
      <c r="AC21615" s="247"/>
      <c r="AT21615" s="247"/>
    </row>
    <row r="21616">
      <c r="C21616" s="277"/>
      <c r="M21616" s="277"/>
      <c r="O21616" s="247"/>
      <c r="AC21616" s="247"/>
      <c r="AT21616" s="247"/>
    </row>
    <row r="21617">
      <c r="C21617" s="277"/>
      <c r="M21617" s="277"/>
      <c r="O21617" s="247"/>
      <c r="AC21617" s="247"/>
      <c r="AT21617" s="247"/>
    </row>
    <row r="21618">
      <c r="C21618" s="277"/>
      <c r="M21618" s="277"/>
      <c r="O21618" s="247"/>
      <c r="AC21618" s="247"/>
      <c r="AT21618" s="247"/>
    </row>
    <row r="21619">
      <c r="C21619" s="277"/>
      <c r="M21619" s="277"/>
      <c r="O21619" s="247"/>
      <c r="AC21619" s="247"/>
      <c r="AT21619" s="247"/>
    </row>
    <row r="21620">
      <c r="C21620" s="277"/>
      <c r="M21620" s="277"/>
      <c r="O21620" s="247"/>
      <c r="AC21620" s="247"/>
      <c r="AT21620" s="247"/>
    </row>
    <row r="21621">
      <c r="C21621" s="277"/>
      <c r="M21621" s="277"/>
      <c r="O21621" s="247"/>
      <c r="AC21621" s="247"/>
      <c r="AT21621" s="247"/>
    </row>
    <row r="21622">
      <c r="C21622" s="277"/>
      <c r="M21622" s="277"/>
      <c r="O21622" s="247"/>
      <c r="AC21622" s="247"/>
      <c r="AT21622" s="247"/>
    </row>
    <row r="21623">
      <c r="C21623" s="277"/>
      <c r="M21623" s="277"/>
      <c r="O21623" s="247"/>
      <c r="AC21623" s="247"/>
      <c r="AT21623" s="247"/>
    </row>
    <row r="21624">
      <c r="C21624" s="277"/>
      <c r="M21624" s="277"/>
      <c r="O21624" s="247"/>
      <c r="AC21624" s="247"/>
      <c r="AT21624" s="247"/>
    </row>
    <row r="21625">
      <c r="C21625" s="277"/>
      <c r="M21625" s="277"/>
      <c r="O21625" s="247"/>
      <c r="AC21625" s="247"/>
      <c r="AT21625" s="247"/>
    </row>
    <row r="21626">
      <c r="C21626" s="277"/>
      <c r="M21626" s="277"/>
      <c r="O21626" s="247"/>
      <c r="AC21626" s="247"/>
      <c r="AT21626" s="247"/>
    </row>
    <row r="21627">
      <c r="C21627" s="277"/>
      <c r="M21627" s="277"/>
      <c r="O21627" s="247"/>
      <c r="AC21627" s="247"/>
      <c r="AT21627" s="247"/>
    </row>
    <row r="21628">
      <c r="C21628" s="277"/>
      <c r="M21628" s="277"/>
      <c r="O21628" s="247"/>
      <c r="AC21628" s="247"/>
      <c r="AT21628" s="247"/>
    </row>
    <row r="21629">
      <c r="C21629" s="277"/>
      <c r="M21629" s="277"/>
      <c r="O21629" s="247"/>
      <c r="AC21629" s="247"/>
      <c r="AT21629" s="247"/>
    </row>
    <row r="21630">
      <c r="C21630" s="277"/>
      <c r="M21630" s="277"/>
      <c r="O21630" s="247"/>
      <c r="AC21630" s="247"/>
      <c r="AT21630" s="247"/>
    </row>
    <row r="21631">
      <c r="C21631" s="277"/>
      <c r="M21631" s="277"/>
      <c r="O21631" s="247"/>
      <c r="AC21631" s="247"/>
      <c r="AT21631" s="247"/>
    </row>
    <row r="21632">
      <c r="C21632" s="277"/>
      <c r="M21632" s="277"/>
      <c r="O21632" s="247"/>
      <c r="AC21632" s="247"/>
      <c r="AT21632" s="247"/>
    </row>
    <row r="21633">
      <c r="C21633" s="277"/>
      <c r="M21633" s="277"/>
      <c r="O21633" s="247"/>
      <c r="AC21633" s="247"/>
      <c r="AT21633" s="247"/>
    </row>
    <row r="21634">
      <c r="C21634" s="277"/>
      <c r="M21634" s="277"/>
      <c r="O21634" s="247"/>
      <c r="AC21634" s="247"/>
      <c r="AT21634" s="247"/>
    </row>
    <row r="21635">
      <c r="C21635" s="277"/>
      <c r="M21635" s="277"/>
      <c r="O21635" s="247"/>
      <c r="AC21635" s="247"/>
      <c r="AT21635" s="247"/>
    </row>
    <row r="21636">
      <c r="C21636" s="277"/>
      <c r="M21636" s="277"/>
      <c r="O21636" s="247"/>
      <c r="AC21636" s="247"/>
      <c r="AT21636" s="247"/>
    </row>
    <row r="21637">
      <c r="C21637" s="277"/>
      <c r="M21637" s="277"/>
      <c r="O21637" s="247"/>
      <c r="AC21637" s="247"/>
      <c r="AT21637" s="247"/>
    </row>
    <row r="21638">
      <c r="C21638" s="277"/>
      <c r="M21638" s="277"/>
      <c r="O21638" s="247"/>
      <c r="AC21638" s="247"/>
      <c r="AT21638" s="247"/>
    </row>
    <row r="21639">
      <c r="C21639" s="277"/>
      <c r="M21639" s="277"/>
      <c r="O21639" s="247"/>
      <c r="AC21639" s="247"/>
      <c r="AT21639" s="247"/>
    </row>
    <row r="21640">
      <c r="C21640" s="277"/>
      <c r="M21640" s="277"/>
      <c r="O21640" s="247"/>
      <c r="AC21640" s="247"/>
      <c r="AT21640" s="247"/>
    </row>
    <row r="21641">
      <c r="C21641" s="277"/>
      <c r="M21641" s="277"/>
      <c r="O21641" s="247"/>
      <c r="AC21641" s="247"/>
      <c r="AT21641" s="247"/>
    </row>
    <row r="21642">
      <c r="C21642" s="277"/>
      <c r="M21642" s="277"/>
      <c r="O21642" s="247"/>
      <c r="AC21642" s="247"/>
      <c r="AT21642" s="247"/>
    </row>
    <row r="21643">
      <c r="C21643" s="277"/>
      <c r="M21643" s="277"/>
      <c r="O21643" s="247"/>
      <c r="AC21643" s="247"/>
      <c r="AT21643" s="247"/>
    </row>
    <row r="21644">
      <c r="C21644" s="277"/>
      <c r="M21644" s="277"/>
      <c r="O21644" s="247"/>
      <c r="AC21644" s="247"/>
      <c r="AT21644" s="247"/>
    </row>
    <row r="21645">
      <c r="C21645" s="277"/>
      <c r="M21645" s="277"/>
      <c r="O21645" s="247"/>
      <c r="AC21645" s="247"/>
      <c r="AT21645" s="247"/>
    </row>
    <row r="21646">
      <c r="C21646" s="277"/>
      <c r="M21646" s="277"/>
      <c r="O21646" s="247"/>
      <c r="AC21646" s="247"/>
      <c r="AT21646" s="247"/>
    </row>
    <row r="21647">
      <c r="C21647" s="277"/>
      <c r="M21647" s="277"/>
      <c r="O21647" s="247"/>
      <c r="AC21647" s="247"/>
      <c r="AT21647" s="247"/>
    </row>
    <row r="21648">
      <c r="C21648" s="277"/>
      <c r="M21648" s="277"/>
      <c r="O21648" s="247"/>
      <c r="AC21648" s="247"/>
      <c r="AT21648" s="247"/>
    </row>
    <row r="21649">
      <c r="C21649" s="277"/>
      <c r="M21649" s="277"/>
      <c r="O21649" s="247"/>
      <c r="AC21649" s="247"/>
      <c r="AT21649" s="247"/>
    </row>
    <row r="21650">
      <c r="C21650" s="277"/>
      <c r="M21650" s="277"/>
      <c r="O21650" s="247"/>
      <c r="AC21650" s="247"/>
      <c r="AT21650" s="247"/>
    </row>
    <row r="21651">
      <c r="C21651" s="277"/>
      <c r="M21651" s="277"/>
      <c r="O21651" s="247"/>
      <c r="AC21651" s="247"/>
      <c r="AT21651" s="247"/>
    </row>
    <row r="21652">
      <c r="C21652" s="277"/>
      <c r="M21652" s="277"/>
      <c r="O21652" s="247"/>
      <c r="AC21652" s="247"/>
      <c r="AT21652" s="247"/>
    </row>
    <row r="21653">
      <c r="C21653" s="277"/>
      <c r="M21653" s="277"/>
      <c r="O21653" s="247"/>
      <c r="AC21653" s="247"/>
      <c r="AT21653" s="247"/>
    </row>
    <row r="21654">
      <c r="C21654" s="277"/>
      <c r="M21654" s="277"/>
      <c r="O21654" s="247"/>
      <c r="AC21654" s="247"/>
      <c r="AT21654" s="247"/>
    </row>
    <row r="21655">
      <c r="C21655" s="277"/>
      <c r="M21655" s="277"/>
      <c r="O21655" s="247"/>
      <c r="AC21655" s="247"/>
      <c r="AT21655" s="247"/>
    </row>
    <row r="21656">
      <c r="C21656" s="277"/>
      <c r="M21656" s="277"/>
      <c r="O21656" s="247"/>
      <c r="AC21656" s="247"/>
      <c r="AT21656" s="247"/>
    </row>
    <row r="21657">
      <c r="C21657" s="277"/>
      <c r="M21657" s="277"/>
      <c r="O21657" s="247"/>
      <c r="AC21657" s="247"/>
      <c r="AT21657" s="247"/>
    </row>
    <row r="21658">
      <c r="C21658" s="277"/>
      <c r="M21658" s="277"/>
      <c r="O21658" s="247"/>
      <c r="AC21658" s="247"/>
      <c r="AT21658" s="247"/>
    </row>
    <row r="21659">
      <c r="C21659" s="277"/>
      <c r="M21659" s="277"/>
      <c r="O21659" s="247"/>
      <c r="AC21659" s="247"/>
      <c r="AT21659" s="247"/>
    </row>
    <row r="21660">
      <c r="C21660" s="277"/>
      <c r="M21660" s="277"/>
      <c r="O21660" s="247"/>
      <c r="AC21660" s="247"/>
      <c r="AT21660" s="247"/>
    </row>
    <row r="21661">
      <c r="C21661" s="277"/>
      <c r="M21661" s="277"/>
      <c r="O21661" s="247"/>
      <c r="AC21661" s="247"/>
      <c r="AT21661" s="247"/>
    </row>
    <row r="21662">
      <c r="C21662" s="277"/>
      <c r="M21662" s="277"/>
      <c r="O21662" s="247"/>
      <c r="AC21662" s="247"/>
      <c r="AT21662" s="247"/>
    </row>
    <row r="21663">
      <c r="C21663" s="277"/>
      <c r="M21663" s="277"/>
      <c r="O21663" s="247"/>
      <c r="AC21663" s="247"/>
      <c r="AT21663" s="247"/>
    </row>
    <row r="21664">
      <c r="C21664" s="277"/>
      <c r="M21664" s="277"/>
      <c r="O21664" s="247"/>
      <c r="AC21664" s="247"/>
      <c r="AT21664" s="247"/>
    </row>
    <row r="21665">
      <c r="C21665" s="277"/>
      <c r="M21665" s="277"/>
      <c r="O21665" s="247"/>
      <c r="AC21665" s="247"/>
      <c r="AT21665" s="247"/>
    </row>
    <row r="21666">
      <c r="C21666" s="277"/>
      <c r="M21666" s="277"/>
      <c r="O21666" s="247"/>
      <c r="AC21666" s="247"/>
      <c r="AT21666" s="247"/>
    </row>
    <row r="21667">
      <c r="C21667" s="277"/>
      <c r="M21667" s="277"/>
      <c r="O21667" s="247"/>
      <c r="AC21667" s="247"/>
      <c r="AT21667" s="247"/>
    </row>
    <row r="21668">
      <c r="C21668" s="277"/>
      <c r="M21668" s="277"/>
      <c r="O21668" s="247"/>
      <c r="AC21668" s="247"/>
      <c r="AT21668" s="247"/>
    </row>
    <row r="21669">
      <c r="C21669" s="277"/>
      <c r="M21669" s="277"/>
      <c r="O21669" s="247"/>
      <c r="AC21669" s="247"/>
      <c r="AT21669" s="247"/>
    </row>
    <row r="21670">
      <c r="C21670" s="277"/>
      <c r="M21670" s="277"/>
      <c r="O21670" s="247"/>
      <c r="AC21670" s="247"/>
      <c r="AT21670" s="247"/>
    </row>
    <row r="21671">
      <c r="C21671" s="277"/>
      <c r="M21671" s="277"/>
      <c r="O21671" s="247"/>
      <c r="AC21671" s="247"/>
      <c r="AT21671" s="247"/>
    </row>
    <row r="21672">
      <c r="C21672" s="277"/>
      <c r="M21672" s="277"/>
      <c r="O21672" s="247"/>
      <c r="AC21672" s="247"/>
      <c r="AT21672" s="247"/>
    </row>
    <row r="21673">
      <c r="C21673" s="277"/>
      <c r="M21673" s="277"/>
      <c r="O21673" s="247"/>
      <c r="AC21673" s="247"/>
      <c r="AT21673" s="247"/>
    </row>
    <row r="21674">
      <c r="C21674" s="277"/>
      <c r="M21674" s="277"/>
      <c r="O21674" s="247"/>
      <c r="AC21674" s="247"/>
      <c r="AT21674" s="247"/>
    </row>
    <row r="21675">
      <c r="C21675" s="277"/>
      <c r="M21675" s="277"/>
      <c r="O21675" s="247"/>
      <c r="AC21675" s="247"/>
      <c r="AT21675" s="247"/>
    </row>
    <row r="21676">
      <c r="C21676" s="277"/>
      <c r="M21676" s="277"/>
      <c r="O21676" s="247"/>
      <c r="AC21676" s="247"/>
      <c r="AT21676" s="247"/>
    </row>
    <row r="21677">
      <c r="C21677" s="277"/>
      <c r="M21677" s="277"/>
      <c r="O21677" s="247"/>
      <c r="AC21677" s="247"/>
      <c r="AT21677" s="247"/>
    </row>
    <row r="21678">
      <c r="C21678" s="277"/>
      <c r="M21678" s="277"/>
      <c r="O21678" s="247"/>
      <c r="AC21678" s="247"/>
      <c r="AT21678" s="247"/>
    </row>
    <row r="21679">
      <c r="C21679" s="277"/>
      <c r="M21679" s="277"/>
      <c r="O21679" s="247"/>
      <c r="AC21679" s="247"/>
      <c r="AT21679" s="247"/>
    </row>
    <row r="21680">
      <c r="C21680" s="277"/>
      <c r="M21680" s="277"/>
      <c r="O21680" s="247"/>
      <c r="AC21680" s="247"/>
      <c r="AT21680" s="247"/>
    </row>
    <row r="21681">
      <c r="C21681" s="277"/>
      <c r="M21681" s="277"/>
      <c r="O21681" s="247"/>
      <c r="AC21681" s="247"/>
      <c r="AT21681" s="247"/>
    </row>
    <row r="21682">
      <c r="C21682" s="277"/>
      <c r="M21682" s="277"/>
      <c r="O21682" s="247"/>
      <c r="AC21682" s="247"/>
      <c r="AT21682" s="247"/>
    </row>
    <row r="21683">
      <c r="C21683" s="277"/>
      <c r="M21683" s="277"/>
      <c r="O21683" s="247"/>
      <c r="AC21683" s="247"/>
      <c r="AT21683" s="247"/>
    </row>
    <row r="21684">
      <c r="C21684" s="277"/>
      <c r="M21684" s="277"/>
      <c r="O21684" s="247"/>
      <c r="AC21684" s="247"/>
      <c r="AT21684" s="247"/>
    </row>
    <row r="21685">
      <c r="C21685" s="277"/>
      <c r="M21685" s="277"/>
      <c r="O21685" s="247"/>
      <c r="AC21685" s="247"/>
      <c r="AT21685" s="247"/>
    </row>
    <row r="21686">
      <c r="C21686" s="277"/>
      <c r="M21686" s="277"/>
      <c r="O21686" s="247"/>
      <c r="AC21686" s="247"/>
      <c r="AT21686" s="247"/>
    </row>
    <row r="21687">
      <c r="C21687" s="277"/>
      <c r="M21687" s="277"/>
      <c r="O21687" s="247"/>
      <c r="AC21687" s="247"/>
      <c r="AT21687" s="247"/>
    </row>
    <row r="21688">
      <c r="C21688" s="277"/>
      <c r="M21688" s="277"/>
      <c r="O21688" s="247"/>
      <c r="AC21688" s="247"/>
      <c r="AT21688" s="247"/>
    </row>
    <row r="21689">
      <c r="C21689" s="277"/>
      <c r="M21689" s="277"/>
      <c r="O21689" s="247"/>
      <c r="AC21689" s="247"/>
      <c r="AT21689" s="247"/>
    </row>
    <row r="21690">
      <c r="C21690" s="277"/>
      <c r="M21690" s="277"/>
      <c r="O21690" s="247"/>
      <c r="AC21690" s="247"/>
      <c r="AT21690" s="247"/>
    </row>
    <row r="21691">
      <c r="C21691" s="277"/>
      <c r="M21691" s="277"/>
      <c r="O21691" s="247"/>
      <c r="AC21691" s="247"/>
      <c r="AT21691" s="247"/>
    </row>
    <row r="21692">
      <c r="C21692" s="277"/>
      <c r="M21692" s="277"/>
      <c r="O21692" s="247"/>
      <c r="AC21692" s="247"/>
      <c r="AT21692" s="247"/>
    </row>
    <row r="21693">
      <c r="C21693" s="277"/>
      <c r="M21693" s="277"/>
      <c r="O21693" s="247"/>
      <c r="AC21693" s="247"/>
      <c r="AT21693" s="247"/>
    </row>
    <row r="21694">
      <c r="C21694" s="277"/>
      <c r="M21694" s="277"/>
      <c r="O21694" s="247"/>
      <c r="AC21694" s="247"/>
      <c r="AT21694" s="247"/>
    </row>
    <row r="21695">
      <c r="C21695" s="277"/>
      <c r="M21695" s="277"/>
      <c r="O21695" s="247"/>
      <c r="AC21695" s="247"/>
      <c r="AT21695" s="247"/>
    </row>
    <row r="21696">
      <c r="C21696" s="277"/>
      <c r="M21696" s="277"/>
      <c r="O21696" s="247"/>
      <c r="AC21696" s="247"/>
      <c r="AT21696" s="247"/>
    </row>
    <row r="21697">
      <c r="C21697" s="277"/>
      <c r="M21697" s="277"/>
      <c r="O21697" s="247"/>
      <c r="AC21697" s="247"/>
      <c r="AT21697" s="247"/>
    </row>
    <row r="21698">
      <c r="C21698" s="277"/>
      <c r="M21698" s="277"/>
      <c r="O21698" s="247"/>
      <c r="AC21698" s="247"/>
      <c r="AT21698" s="247"/>
    </row>
    <row r="21699">
      <c r="C21699" s="277"/>
      <c r="M21699" s="277"/>
      <c r="O21699" s="247"/>
      <c r="AC21699" s="247"/>
      <c r="AT21699" s="247"/>
    </row>
    <row r="21700">
      <c r="C21700" s="277"/>
      <c r="M21700" s="277"/>
      <c r="O21700" s="247"/>
      <c r="AC21700" s="247"/>
      <c r="AT21700" s="247"/>
    </row>
    <row r="21701">
      <c r="C21701" s="277"/>
      <c r="M21701" s="277"/>
      <c r="O21701" s="247"/>
      <c r="AC21701" s="247"/>
      <c r="AT21701" s="247"/>
    </row>
    <row r="21702">
      <c r="C21702" s="277"/>
      <c r="M21702" s="277"/>
      <c r="O21702" s="247"/>
      <c r="AC21702" s="247"/>
      <c r="AT21702" s="247"/>
    </row>
    <row r="21703">
      <c r="C21703" s="277"/>
      <c r="M21703" s="277"/>
      <c r="O21703" s="247"/>
      <c r="AC21703" s="247"/>
      <c r="AT21703" s="247"/>
    </row>
    <row r="21704">
      <c r="C21704" s="277"/>
      <c r="M21704" s="277"/>
      <c r="O21704" s="247"/>
      <c r="AC21704" s="247"/>
      <c r="AT21704" s="247"/>
    </row>
    <row r="21705">
      <c r="C21705" s="277"/>
      <c r="M21705" s="277"/>
      <c r="O21705" s="247"/>
      <c r="AC21705" s="247"/>
      <c r="AT21705" s="247"/>
    </row>
    <row r="21706">
      <c r="C21706" s="277"/>
      <c r="M21706" s="277"/>
      <c r="O21706" s="247"/>
      <c r="AC21706" s="247"/>
      <c r="AT21706" s="247"/>
    </row>
    <row r="21707">
      <c r="C21707" s="277"/>
      <c r="M21707" s="277"/>
      <c r="O21707" s="247"/>
      <c r="AC21707" s="247"/>
      <c r="AT21707" s="247"/>
    </row>
    <row r="21708">
      <c r="C21708" s="277"/>
      <c r="M21708" s="277"/>
      <c r="O21708" s="247"/>
      <c r="AC21708" s="247"/>
      <c r="AT21708" s="247"/>
    </row>
    <row r="21709">
      <c r="C21709" s="277"/>
      <c r="M21709" s="277"/>
      <c r="O21709" s="247"/>
      <c r="AC21709" s="247"/>
      <c r="AT21709" s="247"/>
    </row>
    <row r="21710">
      <c r="C21710" s="277"/>
      <c r="M21710" s="277"/>
      <c r="O21710" s="247"/>
      <c r="AC21710" s="247"/>
      <c r="AT21710" s="247"/>
    </row>
    <row r="21711">
      <c r="C21711" s="277"/>
      <c r="M21711" s="277"/>
      <c r="O21711" s="247"/>
      <c r="AC21711" s="247"/>
      <c r="AT21711" s="247"/>
    </row>
    <row r="21712">
      <c r="C21712" s="277"/>
      <c r="M21712" s="277"/>
      <c r="O21712" s="247"/>
      <c r="AC21712" s="247"/>
      <c r="AT21712" s="247"/>
    </row>
    <row r="21713">
      <c r="C21713" s="277"/>
      <c r="M21713" s="277"/>
      <c r="O21713" s="247"/>
      <c r="AC21713" s="247"/>
      <c r="AT21713" s="247"/>
    </row>
    <row r="21714">
      <c r="C21714" s="277"/>
      <c r="M21714" s="277"/>
      <c r="O21714" s="247"/>
      <c r="AC21714" s="247"/>
      <c r="AT21714" s="247"/>
    </row>
    <row r="21715">
      <c r="C21715" s="277"/>
      <c r="M21715" s="277"/>
      <c r="O21715" s="247"/>
      <c r="AC21715" s="247"/>
      <c r="AT21715" s="247"/>
    </row>
    <row r="21716">
      <c r="C21716" s="277"/>
      <c r="M21716" s="277"/>
      <c r="O21716" s="247"/>
      <c r="AC21716" s="247"/>
      <c r="AT21716" s="247"/>
    </row>
    <row r="21717">
      <c r="C21717" s="277"/>
      <c r="M21717" s="277"/>
      <c r="O21717" s="247"/>
      <c r="AC21717" s="247"/>
      <c r="AT21717" s="247"/>
    </row>
    <row r="21718">
      <c r="C21718" s="277"/>
      <c r="M21718" s="277"/>
      <c r="O21718" s="247"/>
      <c r="AC21718" s="247"/>
      <c r="AT21718" s="247"/>
    </row>
    <row r="21719">
      <c r="C21719" s="277"/>
      <c r="M21719" s="277"/>
      <c r="O21719" s="247"/>
      <c r="AC21719" s="247"/>
      <c r="AT21719" s="247"/>
    </row>
    <row r="21720">
      <c r="C21720" s="277"/>
      <c r="M21720" s="277"/>
      <c r="O21720" s="247"/>
      <c r="AC21720" s="247"/>
      <c r="AT21720" s="247"/>
    </row>
    <row r="21721">
      <c r="C21721" s="277"/>
      <c r="M21721" s="277"/>
      <c r="O21721" s="247"/>
      <c r="AC21721" s="247"/>
      <c r="AT21721" s="247"/>
    </row>
    <row r="21722">
      <c r="C21722" s="277"/>
      <c r="M21722" s="277"/>
      <c r="O21722" s="247"/>
      <c r="AC21722" s="247"/>
      <c r="AT21722" s="247"/>
    </row>
    <row r="21723">
      <c r="C21723" s="277"/>
      <c r="M21723" s="277"/>
      <c r="O21723" s="247"/>
      <c r="AC21723" s="247"/>
      <c r="AT21723" s="247"/>
    </row>
    <row r="21724">
      <c r="C21724" s="277"/>
      <c r="M21724" s="277"/>
      <c r="O21724" s="247"/>
      <c r="AC21724" s="247"/>
      <c r="AT21724" s="247"/>
    </row>
    <row r="21725">
      <c r="C21725" s="277"/>
      <c r="M21725" s="277"/>
      <c r="O21725" s="247"/>
      <c r="AC21725" s="247"/>
      <c r="AT21725" s="247"/>
    </row>
    <row r="21726">
      <c r="C21726" s="277"/>
      <c r="M21726" s="277"/>
      <c r="O21726" s="247"/>
      <c r="AC21726" s="247"/>
      <c r="AT21726" s="247"/>
    </row>
    <row r="21727">
      <c r="C21727" s="277"/>
      <c r="M21727" s="277"/>
      <c r="O21727" s="247"/>
      <c r="AC21727" s="247"/>
      <c r="AT21727" s="247"/>
    </row>
    <row r="21728">
      <c r="C21728" s="277"/>
      <c r="M21728" s="277"/>
      <c r="O21728" s="247"/>
      <c r="AC21728" s="247"/>
      <c r="AT21728" s="247"/>
    </row>
    <row r="21729">
      <c r="C21729" s="277"/>
      <c r="M21729" s="277"/>
      <c r="O21729" s="247"/>
      <c r="AC21729" s="247"/>
      <c r="AT21729" s="247"/>
    </row>
    <row r="21730">
      <c r="C21730" s="277"/>
      <c r="M21730" s="277"/>
      <c r="O21730" s="247"/>
      <c r="AC21730" s="247"/>
      <c r="AT21730" s="247"/>
    </row>
    <row r="21731">
      <c r="C21731" s="277"/>
      <c r="M21731" s="277"/>
      <c r="O21731" s="247"/>
      <c r="AC21731" s="247"/>
      <c r="AT21731" s="247"/>
    </row>
    <row r="21732">
      <c r="C21732" s="277"/>
      <c r="M21732" s="277"/>
      <c r="O21732" s="247"/>
      <c r="AC21732" s="247"/>
      <c r="AT21732" s="247"/>
    </row>
    <row r="21733">
      <c r="C21733" s="277"/>
      <c r="M21733" s="277"/>
      <c r="O21733" s="247"/>
      <c r="AC21733" s="247"/>
      <c r="AT21733" s="247"/>
    </row>
    <row r="21734">
      <c r="C21734" s="277"/>
      <c r="M21734" s="277"/>
      <c r="O21734" s="247"/>
      <c r="AC21734" s="247"/>
      <c r="AT21734" s="247"/>
    </row>
    <row r="21735">
      <c r="C21735" s="277"/>
      <c r="M21735" s="277"/>
      <c r="O21735" s="247"/>
      <c r="AC21735" s="247"/>
      <c r="AT21735" s="247"/>
    </row>
    <row r="21736">
      <c r="C21736" s="277"/>
      <c r="M21736" s="277"/>
      <c r="O21736" s="247"/>
      <c r="AC21736" s="247"/>
      <c r="AT21736" s="247"/>
    </row>
    <row r="21737">
      <c r="C21737" s="277"/>
      <c r="M21737" s="277"/>
      <c r="O21737" s="247"/>
      <c r="AC21737" s="247"/>
      <c r="AT21737" s="247"/>
    </row>
    <row r="21738">
      <c r="C21738" s="277"/>
      <c r="M21738" s="277"/>
      <c r="O21738" s="247"/>
      <c r="AC21738" s="247"/>
      <c r="AT21738" s="247"/>
    </row>
    <row r="21739">
      <c r="C21739" s="277"/>
      <c r="M21739" s="277"/>
      <c r="O21739" s="247"/>
      <c r="AC21739" s="247"/>
      <c r="AT21739" s="247"/>
    </row>
    <row r="21740">
      <c r="C21740" s="277"/>
      <c r="M21740" s="277"/>
      <c r="O21740" s="247"/>
      <c r="AC21740" s="247"/>
      <c r="AT21740" s="247"/>
    </row>
    <row r="21741">
      <c r="C21741" s="277"/>
      <c r="M21741" s="277"/>
      <c r="O21741" s="247"/>
      <c r="AC21741" s="247"/>
      <c r="AT21741" s="247"/>
    </row>
    <row r="21742">
      <c r="C21742" s="277"/>
      <c r="M21742" s="277"/>
      <c r="O21742" s="247"/>
      <c r="AC21742" s="247"/>
      <c r="AT21742" s="247"/>
    </row>
    <row r="21743">
      <c r="C21743" s="277"/>
      <c r="M21743" s="277"/>
      <c r="O21743" s="247"/>
      <c r="AC21743" s="247"/>
      <c r="AT21743" s="247"/>
    </row>
    <row r="21744">
      <c r="C21744" s="277"/>
      <c r="M21744" s="277"/>
      <c r="O21744" s="247"/>
      <c r="AC21744" s="247"/>
      <c r="AT21744" s="247"/>
    </row>
    <row r="21745">
      <c r="C21745" s="277"/>
      <c r="M21745" s="277"/>
      <c r="O21745" s="247"/>
      <c r="AC21745" s="247"/>
      <c r="AT21745" s="247"/>
    </row>
    <row r="21746">
      <c r="C21746" s="277"/>
      <c r="M21746" s="277"/>
      <c r="O21746" s="247"/>
      <c r="AC21746" s="247"/>
      <c r="AT21746" s="247"/>
    </row>
    <row r="21747">
      <c r="C21747" s="277"/>
      <c r="M21747" s="277"/>
      <c r="O21747" s="247"/>
      <c r="AC21747" s="247"/>
      <c r="AT21747" s="247"/>
    </row>
    <row r="21748">
      <c r="C21748" s="277"/>
      <c r="M21748" s="277"/>
      <c r="O21748" s="247"/>
      <c r="AC21748" s="247"/>
      <c r="AT21748" s="247"/>
    </row>
    <row r="21749">
      <c r="C21749" s="277"/>
      <c r="M21749" s="277"/>
      <c r="O21749" s="247"/>
      <c r="AC21749" s="247"/>
      <c r="AT21749" s="247"/>
    </row>
    <row r="21750">
      <c r="C21750" s="277"/>
      <c r="M21750" s="277"/>
      <c r="O21750" s="247"/>
      <c r="AC21750" s="247"/>
      <c r="AT21750" s="247"/>
    </row>
    <row r="21751">
      <c r="C21751" s="277"/>
      <c r="M21751" s="277"/>
      <c r="O21751" s="247"/>
      <c r="AC21751" s="247"/>
      <c r="AT21751" s="247"/>
    </row>
    <row r="21752">
      <c r="C21752" s="277"/>
      <c r="M21752" s="277"/>
      <c r="O21752" s="247"/>
      <c r="AC21752" s="247"/>
      <c r="AT21752" s="247"/>
    </row>
    <row r="21753">
      <c r="C21753" s="277"/>
      <c r="M21753" s="277"/>
      <c r="O21753" s="247"/>
      <c r="AC21753" s="247"/>
      <c r="AT21753" s="247"/>
    </row>
    <row r="21754">
      <c r="C21754" s="277"/>
      <c r="M21754" s="277"/>
      <c r="O21754" s="247"/>
      <c r="AC21754" s="247"/>
      <c r="AT21754" s="247"/>
    </row>
    <row r="21755">
      <c r="C21755" s="277"/>
      <c r="M21755" s="277"/>
      <c r="O21755" s="247"/>
      <c r="AC21755" s="247"/>
      <c r="AT21755" s="247"/>
    </row>
    <row r="21756">
      <c r="C21756" s="277"/>
      <c r="M21756" s="277"/>
      <c r="O21756" s="247"/>
      <c r="AC21756" s="247"/>
      <c r="AT21756" s="247"/>
    </row>
    <row r="21757">
      <c r="C21757" s="277"/>
      <c r="M21757" s="277"/>
      <c r="O21757" s="247"/>
      <c r="AC21757" s="247"/>
      <c r="AT21757" s="247"/>
    </row>
    <row r="21758">
      <c r="C21758" s="277"/>
      <c r="M21758" s="277"/>
      <c r="O21758" s="247"/>
      <c r="AC21758" s="247"/>
      <c r="AT21758" s="247"/>
    </row>
    <row r="21759">
      <c r="C21759" s="277"/>
      <c r="M21759" s="277"/>
      <c r="O21759" s="247"/>
      <c r="AC21759" s="247"/>
      <c r="AT21759" s="247"/>
    </row>
    <row r="21760">
      <c r="C21760" s="277"/>
      <c r="M21760" s="277"/>
      <c r="O21760" s="247"/>
      <c r="AC21760" s="247"/>
      <c r="AT21760" s="247"/>
    </row>
    <row r="21761">
      <c r="C21761" s="277"/>
      <c r="M21761" s="277"/>
      <c r="O21761" s="247"/>
      <c r="AC21761" s="247"/>
      <c r="AT21761" s="247"/>
    </row>
    <row r="21762">
      <c r="C21762" s="277"/>
      <c r="M21762" s="277"/>
      <c r="O21762" s="247"/>
      <c r="AC21762" s="247"/>
      <c r="AT21762" s="247"/>
    </row>
    <row r="21763">
      <c r="C21763" s="277"/>
      <c r="M21763" s="277"/>
      <c r="O21763" s="247"/>
      <c r="AC21763" s="247"/>
      <c r="AT21763" s="247"/>
    </row>
    <row r="21764">
      <c r="C21764" s="277"/>
      <c r="M21764" s="277"/>
      <c r="O21764" s="247"/>
      <c r="AC21764" s="247"/>
      <c r="AT21764" s="247"/>
    </row>
    <row r="21765">
      <c r="C21765" s="277"/>
      <c r="M21765" s="277"/>
      <c r="O21765" s="247"/>
      <c r="AC21765" s="247"/>
      <c r="AT21765" s="247"/>
    </row>
    <row r="21766">
      <c r="C21766" s="277"/>
      <c r="M21766" s="277"/>
      <c r="O21766" s="247"/>
      <c r="AC21766" s="247"/>
      <c r="AT21766" s="247"/>
    </row>
    <row r="21767">
      <c r="C21767" s="277"/>
      <c r="M21767" s="277"/>
      <c r="O21767" s="247"/>
      <c r="AC21767" s="247"/>
      <c r="AT21767" s="247"/>
    </row>
    <row r="21768">
      <c r="C21768" s="277"/>
      <c r="M21768" s="277"/>
      <c r="O21768" s="247"/>
      <c r="AC21768" s="247"/>
      <c r="AT21768" s="247"/>
    </row>
    <row r="21769">
      <c r="C21769" s="277"/>
      <c r="M21769" s="277"/>
      <c r="O21769" s="247"/>
      <c r="AC21769" s="247"/>
      <c r="AT21769" s="247"/>
    </row>
    <row r="21770">
      <c r="C21770" s="277"/>
      <c r="M21770" s="277"/>
      <c r="O21770" s="247"/>
      <c r="AC21770" s="247"/>
      <c r="AT21770" s="247"/>
    </row>
    <row r="21771">
      <c r="C21771" s="277"/>
      <c r="M21771" s="277"/>
      <c r="O21771" s="247"/>
      <c r="AC21771" s="247"/>
      <c r="AT21771" s="247"/>
    </row>
    <row r="21772">
      <c r="C21772" s="277"/>
      <c r="M21772" s="277"/>
      <c r="O21772" s="247"/>
      <c r="AC21772" s="247"/>
      <c r="AT21772" s="247"/>
    </row>
    <row r="21773">
      <c r="C21773" s="277"/>
      <c r="M21773" s="277"/>
      <c r="O21773" s="247"/>
      <c r="AC21773" s="247"/>
      <c r="AT21773" s="247"/>
    </row>
    <row r="21774">
      <c r="C21774" s="277"/>
      <c r="M21774" s="277"/>
      <c r="O21774" s="247"/>
      <c r="AC21774" s="247"/>
      <c r="AT21774" s="247"/>
    </row>
    <row r="21775">
      <c r="C21775" s="277"/>
      <c r="M21775" s="277"/>
      <c r="O21775" s="247"/>
      <c r="AC21775" s="247"/>
      <c r="AT21775" s="247"/>
    </row>
    <row r="21776">
      <c r="C21776" s="277"/>
      <c r="M21776" s="277"/>
      <c r="O21776" s="247"/>
      <c r="AC21776" s="247"/>
      <c r="AT21776" s="247"/>
    </row>
    <row r="21777">
      <c r="C21777" s="277"/>
      <c r="M21777" s="277"/>
      <c r="O21777" s="247"/>
      <c r="AC21777" s="247"/>
      <c r="AT21777" s="247"/>
    </row>
    <row r="21778">
      <c r="C21778" s="277"/>
      <c r="M21778" s="277"/>
      <c r="O21778" s="247"/>
      <c r="AC21778" s="247"/>
      <c r="AT21778" s="247"/>
    </row>
    <row r="21779">
      <c r="C21779" s="277"/>
      <c r="M21779" s="277"/>
      <c r="O21779" s="247"/>
      <c r="AC21779" s="247"/>
      <c r="AT21779" s="247"/>
    </row>
    <row r="21780">
      <c r="C21780" s="277"/>
      <c r="M21780" s="277"/>
      <c r="O21780" s="247"/>
      <c r="AC21780" s="247"/>
      <c r="AT21780" s="247"/>
    </row>
    <row r="21781">
      <c r="C21781" s="277"/>
      <c r="M21781" s="277"/>
      <c r="O21781" s="247"/>
      <c r="AC21781" s="247"/>
      <c r="AT21781" s="247"/>
    </row>
    <row r="21782">
      <c r="C21782" s="277"/>
      <c r="M21782" s="277"/>
      <c r="O21782" s="247"/>
      <c r="AC21782" s="247"/>
      <c r="AT21782" s="247"/>
    </row>
    <row r="21783">
      <c r="C21783" s="277"/>
      <c r="M21783" s="277"/>
      <c r="O21783" s="247"/>
      <c r="AC21783" s="247"/>
      <c r="AT21783" s="247"/>
    </row>
    <row r="21784">
      <c r="C21784" s="277"/>
      <c r="M21784" s="277"/>
      <c r="O21784" s="247"/>
      <c r="AC21784" s="247"/>
      <c r="AT21784" s="247"/>
    </row>
    <row r="21785">
      <c r="C21785" s="277"/>
      <c r="M21785" s="277"/>
      <c r="O21785" s="247"/>
      <c r="AC21785" s="247"/>
      <c r="AT21785" s="247"/>
    </row>
    <row r="21786">
      <c r="C21786" s="277"/>
      <c r="M21786" s="277"/>
      <c r="O21786" s="247"/>
      <c r="AC21786" s="247"/>
      <c r="AT21786" s="247"/>
    </row>
    <row r="21787">
      <c r="C21787" s="277"/>
      <c r="M21787" s="277"/>
      <c r="O21787" s="247"/>
      <c r="AC21787" s="247"/>
      <c r="AT21787" s="247"/>
    </row>
    <row r="21788">
      <c r="C21788" s="277"/>
      <c r="M21788" s="277"/>
      <c r="O21788" s="247"/>
      <c r="AC21788" s="247"/>
      <c r="AT21788" s="247"/>
    </row>
    <row r="21789">
      <c r="C21789" s="277"/>
      <c r="M21789" s="277"/>
      <c r="O21789" s="247"/>
      <c r="AC21789" s="247"/>
      <c r="AT21789" s="247"/>
    </row>
    <row r="21790">
      <c r="C21790" s="277"/>
      <c r="M21790" s="277"/>
      <c r="O21790" s="247"/>
      <c r="AC21790" s="247"/>
      <c r="AT21790" s="247"/>
    </row>
    <row r="21791">
      <c r="C21791" s="277"/>
      <c r="M21791" s="277"/>
      <c r="O21791" s="247"/>
      <c r="AC21791" s="247"/>
      <c r="AT21791" s="247"/>
    </row>
    <row r="21792">
      <c r="C21792" s="277"/>
      <c r="M21792" s="277"/>
      <c r="O21792" s="247"/>
      <c r="AC21792" s="247"/>
      <c r="AT21792" s="247"/>
    </row>
    <row r="21793">
      <c r="C21793" s="277"/>
      <c r="M21793" s="277"/>
      <c r="O21793" s="247"/>
      <c r="AC21793" s="247"/>
      <c r="AT21793" s="247"/>
    </row>
    <row r="21794">
      <c r="C21794" s="277"/>
      <c r="M21794" s="277"/>
      <c r="O21794" s="247"/>
      <c r="AC21794" s="247"/>
      <c r="AT21794" s="247"/>
    </row>
    <row r="21795">
      <c r="C21795" s="277"/>
      <c r="M21795" s="277"/>
      <c r="O21795" s="247"/>
      <c r="AC21795" s="247"/>
      <c r="AT21795" s="247"/>
    </row>
    <row r="21796">
      <c r="C21796" s="277"/>
      <c r="M21796" s="277"/>
      <c r="O21796" s="247"/>
      <c r="AC21796" s="247"/>
      <c r="AT21796" s="247"/>
    </row>
    <row r="21797">
      <c r="C21797" s="277"/>
      <c r="M21797" s="277"/>
      <c r="O21797" s="247"/>
      <c r="AC21797" s="247"/>
      <c r="AT21797" s="247"/>
    </row>
    <row r="21798">
      <c r="C21798" s="277"/>
      <c r="M21798" s="277"/>
      <c r="O21798" s="247"/>
      <c r="AC21798" s="247"/>
      <c r="AT21798" s="247"/>
    </row>
    <row r="21799">
      <c r="C21799" s="277"/>
      <c r="M21799" s="277"/>
      <c r="O21799" s="247"/>
      <c r="AC21799" s="247"/>
      <c r="AT21799" s="247"/>
    </row>
    <row r="21800">
      <c r="C21800" s="277"/>
      <c r="M21800" s="277"/>
      <c r="O21800" s="247"/>
      <c r="AC21800" s="247"/>
      <c r="AT21800" s="247"/>
    </row>
    <row r="21801">
      <c r="C21801" s="277"/>
      <c r="M21801" s="277"/>
      <c r="O21801" s="247"/>
      <c r="AC21801" s="247"/>
      <c r="AT21801" s="247"/>
    </row>
    <row r="21802">
      <c r="C21802" s="277"/>
      <c r="M21802" s="277"/>
      <c r="O21802" s="247"/>
      <c r="AC21802" s="247"/>
      <c r="AT21802" s="247"/>
    </row>
    <row r="21803">
      <c r="C21803" s="277"/>
      <c r="M21803" s="277"/>
      <c r="O21803" s="247"/>
      <c r="AC21803" s="247"/>
      <c r="AT21803" s="247"/>
    </row>
    <row r="21804">
      <c r="C21804" s="277"/>
      <c r="M21804" s="277"/>
      <c r="O21804" s="247"/>
      <c r="AC21804" s="247"/>
      <c r="AT21804" s="247"/>
    </row>
    <row r="21805">
      <c r="C21805" s="277"/>
      <c r="M21805" s="277"/>
      <c r="O21805" s="247"/>
      <c r="AC21805" s="247"/>
      <c r="AT21805" s="247"/>
    </row>
    <row r="21806">
      <c r="C21806" s="277"/>
      <c r="M21806" s="277"/>
      <c r="O21806" s="247"/>
      <c r="AC21806" s="247"/>
      <c r="AT21806" s="247"/>
    </row>
    <row r="21807">
      <c r="C21807" s="277"/>
      <c r="M21807" s="277"/>
      <c r="O21807" s="247"/>
      <c r="AC21807" s="247"/>
      <c r="AT21807" s="247"/>
    </row>
    <row r="21808">
      <c r="C21808" s="277"/>
      <c r="M21808" s="277"/>
      <c r="O21808" s="247"/>
      <c r="AC21808" s="247"/>
      <c r="AT21808" s="247"/>
    </row>
    <row r="21809">
      <c r="C21809" s="277"/>
      <c r="M21809" s="277"/>
      <c r="O21809" s="247"/>
      <c r="AC21809" s="247"/>
      <c r="AT21809" s="247"/>
    </row>
    <row r="21810">
      <c r="C21810" s="277"/>
      <c r="M21810" s="277"/>
      <c r="O21810" s="247"/>
      <c r="AC21810" s="247"/>
      <c r="AT21810" s="247"/>
    </row>
    <row r="21811">
      <c r="C21811" s="277"/>
      <c r="M21811" s="277"/>
      <c r="O21811" s="247"/>
      <c r="AC21811" s="247"/>
      <c r="AT21811" s="247"/>
    </row>
    <row r="21812">
      <c r="C21812" s="277"/>
      <c r="M21812" s="277"/>
      <c r="O21812" s="247"/>
      <c r="AC21812" s="247"/>
      <c r="AT21812" s="247"/>
    </row>
    <row r="21813">
      <c r="C21813" s="277"/>
      <c r="M21813" s="277"/>
      <c r="O21813" s="247"/>
      <c r="AC21813" s="247"/>
      <c r="AT21813" s="247"/>
    </row>
    <row r="21814">
      <c r="C21814" s="277"/>
      <c r="M21814" s="277"/>
      <c r="O21814" s="247"/>
      <c r="AC21814" s="247"/>
      <c r="AT21814" s="247"/>
    </row>
    <row r="21815">
      <c r="C21815" s="277"/>
      <c r="M21815" s="277"/>
      <c r="O21815" s="247"/>
      <c r="AC21815" s="247"/>
      <c r="AT21815" s="247"/>
    </row>
    <row r="21816">
      <c r="C21816" s="277"/>
      <c r="M21816" s="277"/>
      <c r="O21816" s="247"/>
      <c r="AC21816" s="247"/>
      <c r="AT21816" s="247"/>
    </row>
    <row r="21817">
      <c r="C21817" s="277"/>
      <c r="M21817" s="277"/>
      <c r="O21817" s="247"/>
      <c r="AC21817" s="247"/>
      <c r="AT21817" s="247"/>
    </row>
    <row r="21818">
      <c r="C21818" s="277"/>
      <c r="M21818" s="277"/>
      <c r="O21818" s="247"/>
      <c r="AC21818" s="247"/>
      <c r="AT21818" s="247"/>
    </row>
    <row r="21819">
      <c r="C21819" s="277"/>
      <c r="M21819" s="277"/>
      <c r="O21819" s="247"/>
      <c r="AC21819" s="247"/>
      <c r="AT21819" s="247"/>
    </row>
    <row r="21820">
      <c r="C21820" s="277"/>
      <c r="M21820" s="277"/>
      <c r="O21820" s="247"/>
      <c r="AC21820" s="247"/>
      <c r="AT21820" s="247"/>
    </row>
    <row r="21821">
      <c r="C21821" s="277"/>
      <c r="M21821" s="277"/>
      <c r="O21821" s="247"/>
      <c r="AC21821" s="247"/>
      <c r="AT21821" s="247"/>
    </row>
    <row r="21822">
      <c r="C21822" s="277"/>
      <c r="M21822" s="277"/>
      <c r="O21822" s="247"/>
      <c r="AC21822" s="247"/>
      <c r="AT21822" s="247"/>
    </row>
    <row r="21823">
      <c r="C21823" s="277"/>
      <c r="M21823" s="277"/>
      <c r="O21823" s="247"/>
      <c r="AC21823" s="247"/>
      <c r="AT21823" s="247"/>
    </row>
    <row r="21824">
      <c r="C21824" s="277"/>
      <c r="M21824" s="277"/>
      <c r="O21824" s="247"/>
      <c r="AC21824" s="247"/>
      <c r="AT21824" s="247"/>
    </row>
    <row r="21825">
      <c r="C21825" s="277"/>
      <c r="M21825" s="277"/>
      <c r="O21825" s="247"/>
      <c r="AC21825" s="247"/>
      <c r="AT21825" s="247"/>
    </row>
    <row r="21826">
      <c r="C21826" s="277"/>
      <c r="M21826" s="277"/>
      <c r="O21826" s="247"/>
      <c r="AC21826" s="247"/>
      <c r="AT21826" s="247"/>
    </row>
    <row r="21827">
      <c r="C21827" s="277"/>
      <c r="M21827" s="277"/>
      <c r="O21827" s="247"/>
      <c r="AC21827" s="247"/>
      <c r="AT21827" s="247"/>
    </row>
    <row r="21828">
      <c r="C21828" s="277"/>
      <c r="M21828" s="277"/>
      <c r="O21828" s="247"/>
      <c r="AC21828" s="247"/>
      <c r="AT21828" s="247"/>
    </row>
    <row r="21829">
      <c r="C21829" s="277"/>
      <c r="M21829" s="277"/>
      <c r="O21829" s="247"/>
      <c r="AC21829" s="247"/>
      <c r="AT21829" s="247"/>
    </row>
    <row r="21830">
      <c r="C21830" s="277"/>
      <c r="M21830" s="277"/>
      <c r="O21830" s="247"/>
      <c r="AC21830" s="247"/>
      <c r="AT21830" s="247"/>
    </row>
    <row r="21831">
      <c r="C21831" s="277"/>
      <c r="M21831" s="277"/>
      <c r="O21831" s="247"/>
      <c r="AC21831" s="247"/>
      <c r="AT21831" s="247"/>
    </row>
    <row r="21832">
      <c r="C21832" s="277"/>
      <c r="M21832" s="277"/>
      <c r="O21832" s="247"/>
      <c r="AC21832" s="247"/>
      <c r="AT21832" s="247"/>
    </row>
    <row r="21833">
      <c r="C21833" s="277"/>
      <c r="M21833" s="277"/>
      <c r="O21833" s="247"/>
      <c r="AC21833" s="247"/>
      <c r="AT21833" s="247"/>
    </row>
    <row r="21834">
      <c r="C21834" s="277"/>
      <c r="M21834" s="277"/>
      <c r="O21834" s="247"/>
      <c r="AC21834" s="247"/>
      <c r="AT21834" s="247"/>
    </row>
    <row r="21835">
      <c r="C21835" s="277"/>
      <c r="M21835" s="277"/>
      <c r="O21835" s="247"/>
      <c r="AC21835" s="247"/>
      <c r="AT21835" s="247"/>
    </row>
    <row r="21836">
      <c r="C21836" s="277"/>
      <c r="M21836" s="277"/>
      <c r="O21836" s="247"/>
      <c r="AC21836" s="247"/>
      <c r="AT21836" s="247"/>
    </row>
    <row r="21837">
      <c r="C21837" s="277"/>
      <c r="M21837" s="277"/>
      <c r="O21837" s="247"/>
      <c r="AC21837" s="247"/>
      <c r="AT21837" s="247"/>
    </row>
    <row r="21838">
      <c r="C21838" s="277"/>
      <c r="M21838" s="277"/>
      <c r="O21838" s="247"/>
      <c r="AC21838" s="247"/>
      <c r="AT21838" s="247"/>
    </row>
    <row r="21839">
      <c r="C21839" s="277"/>
      <c r="M21839" s="277"/>
      <c r="O21839" s="247"/>
      <c r="AC21839" s="247"/>
      <c r="AT21839" s="247"/>
    </row>
    <row r="21840">
      <c r="C21840" s="277"/>
      <c r="M21840" s="277"/>
      <c r="O21840" s="247"/>
      <c r="AC21840" s="247"/>
      <c r="AT21840" s="247"/>
    </row>
    <row r="21841">
      <c r="C21841" s="277"/>
      <c r="M21841" s="277"/>
      <c r="O21841" s="247"/>
      <c r="AC21841" s="247"/>
      <c r="AT21841" s="247"/>
    </row>
    <row r="21842">
      <c r="C21842" s="277"/>
      <c r="M21842" s="277"/>
      <c r="O21842" s="247"/>
      <c r="AC21842" s="247"/>
      <c r="AT21842" s="247"/>
    </row>
    <row r="21843">
      <c r="C21843" s="277"/>
      <c r="M21843" s="277"/>
      <c r="O21843" s="247"/>
      <c r="AC21843" s="247"/>
      <c r="AT21843" s="247"/>
    </row>
    <row r="21844">
      <c r="C21844" s="277"/>
      <c r="M21844" s="277"/>
      <c r="O21844" s="247"/>
      <c r="AC21844" s="247"/>
      <c r="AT21844" s="247"/>
    </row>
    <row r="21845">
      <c r="C21845" s="277"/>
      <c r="M21845" s="277"/>
      <c r="O21845" s="247"/>
      <c r="AC21845" s="247"/>
      <c r="AT21845" s="247"/>
    </row>
    <row r="21846">
      <c r="C21846" s="277"/>
      <c r="M21846" s="277"/>
      <c r="O21846" s="247"/>
      <c r="AC21846" s="247"/>
      <c r="AT21846" s="247"/>
    </row>
    <row r="21847">
      <c r="C21847" s="277"/>
      <c r="M21847" s="277"/>
      <c r="O21847" s="247"/>
      <c r="AC21847" s="247"/>
      <c r="AT21847" s="247"/>
    </row>
    <row r="21848">
      <c r="C21848" s="277"/>
      <c r="M21848" s="277"/>
      <c r="O21848" s="247"/>
      <c r="AC21848" s="247"/>
      <c r="AT21848" s="247"/>
    </row>
    <row r="21849">
      <c r="C21849" s="277"/>
      <c r="M21849" s="277"/>
      <c r="O21849" s="247"/>
      <c r="AC21849" s="247"/>
      <c r="AT21849" s="247"/>
    </row>
    <row r="21850">
      <c r="C21850" s="277"/>
      <c r="M21850" s="277"/>
      <c r="O21850" s="247"/>
      <c r="AC21850" s="247"/>
      <c r="AT21850" s="247"/>
    </row>
    <row r="21851">
      <c r="C21851" s="277"/>
      <c r="M21851" s="277"/>
      <c r="O21851" s="247"/>
      <c r="AC21851" s="247"/>
      <c r="AT21851" s="247"/>
    </row>
    <row r="21852">
      <c r="C21852" s="277"/>
      <c r="M21852" s="277"/>
      <c r="O21852" s="247"/>
      <c r="AC21852" s="247"/>
      <c r="AT21852" s="247"/>
    </row>
    <row r="21853">
      <c r="C21853" s="277"/>
      <c r="M21853" s="277"/>
      <c r="O21853" s="247"/>
      <c r="AC21853" s="247"/>
      <c r="AT21853" s="247"/>
    </row>
    <row r="21854">
      <c r="C21854" s="277"/>
      <c r="M21854" s="277"/>
      <c r="O21854" s="247"/>
      <c r="AC21854" s="247"/>
      <c r="AT21854" s="247"/>
    </row>
    <row r="21855">
      <c r="C21855" s="277"/>
      <c r="M21855" s="277"/>
      <c r="O21855" s="247"/>
      <c r="AC21855" s="247"/>
      <c r="AT21855" s="247"/>
    </row>
    <row r="21856">
      <c r="C21856" s="277"/>
      <c r="M21856" s="277"/>
      <c r="O21856" s="247"/>
      <c r="AC21856" s="247"/>
      <c r="AT21856" s="247"/>
    </row>
    <row r="21857">
      <c r="C21857" s="277"/>
      <c r="M21857" s="277"/>
      <c r="O21857" s="247"/>
      <c r="AC21857" s="247"/>
      <c r="AT21857" s="247"/>
    </row>
    <row r="21858">
      <c r="C21858" s="277"/>
      <c r="M21858" s="277"/>
      <c r="O21858" s="247"/>
      <c r="AC21858" s="247"/>
      <c r="AT21858" s="247"/>
    </row>
    <row r="21859">
      <c r="C21859" s="277"/>
      <c r="M21859" s="277"/>
      <c r="O21859" s="247"/>
      <c r="AC21859" s="247"/>
      <c r="AT21859" s="247"/>
    </row>
    <row r="21860">
      <c r="C21860" s="277"/>
      <c r="M21860" s="277"/>
      <c r="O21860" s="247"/>
      <c r="AC21860" s="247"/>
      <c r="AT21860" s="247"/>
    </row>
    <row r="21861">
      <c r="C21861" s="277"/>
      <c r="M21861" s="277"/>
      <c r="O21861" s="247"/>
      <c r="AC21861" s="247"/>
      <c r="AT21861" s="247"/>
    </row>
    <row r="21862">
      <c r="C21862" s="277"/>
      <c r="M21862" s="277"/>
      <c r="O21862" s="247"/>
      <c r="AC21862" s="247"/>
      <c r="AT21862" s="247"/>
    </row>
    <row r="21863">
      <c r="C21863" s="277"/>
      <c r="M21863" s="277"/>
      <c r="O21863" s="247"/>
      <c r="AC21863" s="247"/>
      <c r="AT21863" s="247"/>
    </row>
    <row r="21864">
      <c r="C21864" s="277"/>
      <c r="M21864" s="277"/>
      <c r="O21864" s="247"/>
      <c r="AC21864" s="247"/>
      <c r="AT21864" s="247"/>
    </row>
    <row r="21865">
      <c r="C21865" s="277"/>
      <c r="M21865" s="277"/>
      <c r="O21865" s="247"/>
      <c r="AC21865" s="247"/>
      <c r="AT21865" s="247"/>
    </row>
    <row r="21866">
      <c r="C21866" s="277"/>
      <c r="M21866" s="277"/>
      <c r="O21866" s="247"/>
      <c r="AC21866" s="247"/>
      <c r="AT21866" s="247"/>
    </row>
    <row r="21867">
      <c r="C21867" s="277"/>
      <c r="M21867" s="277"/>
      <c r="O21867" s="247"/>
      <c r="AC21867" s="247"/>
      <c r="AT21867" s="247"/>
    </row>
    <row r="21868">
      <c r="C21868" s="277"/>
      <c r="M21868" s="277"/>
      <c r="O21868" s="247"/>
      <c r="AC21868" s="247"/>
      <c r="AT21868" s="247"/>
    </row>
    <row r="21869">
      <c r="C21869" s="277"/>
      <c r="M21869" s="277"/>
      <c r="O21869" s="247"/>
      <c r="AC21869" s="247"/>
      <c r="AT21869" s="247"/>
    </row>
    <row r="21870">
      <c r="C21870" s="277"/>
      <c r="M21870" s="277"/>
      <c r="O21870" s="247"/>
      <c r="AC21870" s="247"/>
      <c r="AT21870" s="247"/>
    </row>
    <row r="21871">
      <c r="C21871" s="277"/>
      <c r="M21871" s="277"/>
      <c r="O21871" s="247"/>
      <c r="AC21871" s="247"/>
      <c r="AT21871" s="247"/>
    </row>
    <row r="21872">
      <c r="C21872" s="277"/>
      <c r="M21872" s="277"/>
      <c r="O21872" s="247"/>
      <c r="AC21872" s="247"/>
      <c r="AT21872" s="247"/>
    </row>
    <row r="21873">
      <c r="C21873" s="277"/>
      <c r="M21873" s="277"/>
      <c r="O21873" s="247"/>
      <c r="AC21873" s="247"/>
      <c r="AT21873" s="247"/>
    </row>
    <row r="21874">
      <c r="C21874" s="277"/>
      <c r="M21874" s="277"/>
      <c r="O21874" s="247"/>
      <c r="AC21874" s="247"/>
      <c r="AT21874" s="247"/>
    </row>
    <row r="21875">
      <c r="C21875" s="277"/>
      <c r="M21875" s="277"/>
      <c r="O21875" s="247"/>
      <c r="AC21875" s="247"/>
      <c r="AT21875" s="247"/>
    </row>
    <row r="21876">
      <c r="C21876" s="277"/>
      <c r="M21876" s="277"/>
      <c r="O21876" s="247"/>
      <c r="AC21876" s="247"/>
      <c r="AT21876" s="247"/>
    </row>
    <row r="21877">
      <c r="C21877" s="277"/>
      <c r="M21877" s="277"/>
      <c r="O21877" s="247"/>
      <c r="AC21877" s="247"/>
      <c r="AT21877" s="247"/>
    </row>
    <row r="21878">
      <c r="C21878" s="277"/>
      <c r="M21878" s="277"/>
      <c r="O21878" s="247"/>
      <c r="AC21878" s="247"/>
      <c r="AT21878" s="247"/>
    </row>
    <row r="21879">
      <c r="C21879" s="277"/>
      <c r="M21879" s="277"/>
      <c r="O21879" s="247"/>
      <c r="AC21879" s="247"/>
      <c r="AT21879" s="247"/>
    </row>
    <row r="21880">
      <c r="C21880" s="277"/>
      <c r="M21880" s="277"/>
      <c r="O21880" s="247"/>
      <c r="AC21880" s="247"/>
      <c r="AT21880" s="247"/>
    </row>
    <row r="21881">
      <c r="C21881" s="277"/>
      <c r="M21881" s="277"/>
      <c r="O21881" s="247"/>
      <c r="AC21881" s="247"/>
      <c r="AT21881" s="247"/>
    </row>
    <row r="21882">
      <c r="C21882" s="277"/>
      <c r="M21882" s="277"/>
      <c r="O21882" s="247"/>
      <c r="AC21882" s="247"/>
      <c r="AT21882" s="247"/>
    </row>
    <row r="21883">
      <c r="C21883" s="277"/>
      <c r="M21883" s="277"/>
      <c r="O21883" s="247"/>
      <c r="AC21883" s="247"/>
      <c r="AT21883" s="247"/>
    </row>
    <row r="21884">
      <c r="C21884" s="277"/>
      <c r="M21884" s="277"/>
      <c r="O21884" s="247"/>
      <c r="AC21884" s="247"/>
      <c r="AT21884" s="247"/>
    </row>
    <row r="21885">
      <c r="C21885" s="277"/>
      <c r="M21885" s="277"/>
      <c r="O21885" s="247"/>
      <c r="AC21885" s="247"/>
      <c r="AT21885" s="247"/>
    </row>
    <row r="21886">
      <c r="C21886" s="277"/>
      <c r="M21886" s="277"/>
      <c r="O21886" s="247"/>
      <c r="AC21886" s="247"/>
      <c r="AT21886" s="247"/>
    </row>
    <row r="21887">
      <c r="C21887" s="277"/>
      <c r="M21887" s="277"/>
      <c r="O21887" s="247"/>
      <c r="AC21887" s="247"/>
      <c r="AT21887" s="247"/>
    </row>
    <row r="21888">
      <c r="C21888" s="277"/>
      <c r="M21888" s="277"/>
      <c r="O21888" s="247"/>
      <c r="AC21888" s="247"/>
      <c r="AT21888" s="247"/>
    </row>
    <row r="21889">
      <c r="C21889" s="277"/>
      <c r="M21889" s="277"/>
      <c r="O21889" s="247"/>
      <c r="AC21889" s="247"/>
      <c r="AT21889" s="247"/>
    </row>
    <row r="21890">
      <c r="C21890" s="277"/>
      <c r="M21890" s="277"/>
      <c r="O21890" s="247"/>
      <c r="AC21890" s="247"/>
      <c r="AT21890" s="247"/>
    </row>
    <row r="21891">
      <c r="C21891" s="277"/>
      <c r="M21891" s="277"/>
      <c r="O21891" s="247"/>
      <c r="AC21891" s="247"/>
      <c r="AT21891" s="247"/>
    </row>
    <row r="21892">
      <c r="C21892" s="277"/>
      <c r="M21892" s="277"/>
      <c r="O21892" s="247"/>
      <c r="AC21892" s="247"/>
      <c r="AT21892" s="247"/>
    </row>
    <row r="21893">
      <c r="C21893" s="277"/>
      <c r="M21893" s="277"/>
      <c r="O21893" s="247"/>
      <c r="AC21893" s="247"/>
      <c r="AT21893" s="247"/>
    </row>
    <row r="21894">
      <c r="C21894" s="277"/>
      <c r="M21894" s="277"/>
      <c r="O21894" s="247"/>
      <c r="AC21894" s="247"/>
      <c r="AT21894" s="247"/>
    </row>
    <row r="21895">
      <c r="C21895" s="277"/>
      <c r="M21895" s="277"/>
      <c r="O21895" s="247"/>
      <c r="AC21895" s="247"/>
      <c r="AT21895" s="247"/>
    </row>
    <row r="21896">
      <c r="C21896" s="277"/>
      <c r="M21896" s="277"/>
      <c r="O21896" s="247"/>
      <c r="AC21896" s="247"/>
      <c r="AT21896" s="247"/>
    </row>
    <row r="21897">
      <c r="C21897" s="277"/>
      <c r="M21897" s="277"/>
      <c r="O21897" s="247"/>
      <c r="AC21897" s="247"/>
      <c r="AT21897" s="247"/>
    </row>
    <row r="21898">
      <c r="C21898" s="277"/>
      <c r="M21898" s="277"/>
      <c r="O21898" s="247"/>
      <c r="AC21898" s="247"/>
      <c r="AT21898" s="247"/>
    </row>
    <row r="21899">
      <c r="C21899" s="277"/>
      <c r="M21899" s="277"/>
      <c r="O21899" s="247"/>
      <c r="AC21899" s="247"/>
      <c r="AT21899" s="247"/>
    </row>
    <row r="21900">
      <c r="C21900" s="277"/>
      <c r="M21900" s="277"/>
      <c r="O21900" s="247"/>
      <c r="AC21900" s="247"/>
      <c r="AT21900" s="247"/>
    </row>
    <row r="21901">
      <c r="C21901" s="277"/>
      <c r="M21901" s="277"/>
      <c r="O21901" s="247"/>
      <c r="AC21901" s="247"/>
      <c r="AT21901" s="247"/>
    </row>
    <row r="21902">
      <c r="C21902" s="277"/>
      <c r="M21902" s="277"/>
      <c r="O21902" s="247"/>
      <c r="AC21902" s="247"/>
      <c r="AT21902" s="247"/>
    </row>
    <row r="21903">
      <c r="C21903" s="277"/>
      <c r="M21903" s="277"/>
      <c r="O21903" s="247"/>
      <c r="AC21903" s="247"/>
      <c r="AT21903" s="247"/>
    </row>
    <row r="21904">
      <c r="C21904" s="277"/>
      <c r="M21904" s="277"/>
      <c r="O21904" s="247"/>
      <c r="AC21904" s="247"/>
      <c r="AT21904" s="247"/>
    </row>
    <row r="21905">
      <c r="C21905" s="277"/>
      <c r="M21905" s="277"/>
      <c r="O21905" s="247"/>
      <c r="AC21905" s="247"/>
      <c r="AT21905" s="247"/>
    </row>
    <row r="21906">
      <c r="C21906" s="277"/>
      <c r="M21906" s="277"/>
      <c r="O21906" s="247"/>
      <c r="AC21906" s="247"/>
      <c r="AT21906" s="247"/>
    </row>
    <row r="21907">
      <c r="C21907" s="277"/>
      <c r="M21907" s="277"/>
      <c r="O21907" s="247"/>
      <c r="AC21907" s="247"/>
      <c r="AT21907" s="247"/>
    </row>
    <row r="21908">
      <c r="C21908" s="277"/>
      <c r="M21908" s="277"/>
      <c r="O21908" s="247"/>
      <c r="AC21908" s="247"/>
      <c r="AT21908" s="247"/>
    </row>
    <row r="21909">
      <c r="C21909" s="277"/>
      <c r="M21909" s="277"/>
      <c r="O21909" s="247"/>
      <c r="AC21909" s="247"/>
      <c r="AT21909" s="247"/>
    </row>
    <row r="21910">
      <c r="C21910" s="277"/>
      <c r="M21910" s="277"/>
      <c r="O21910" s="247"/>
      <c r="AC21910" s="247"/>
      <c r="AT21910" s="247"/>
    </row>
    <row r="21911">
      <c r="C21911" s="277"/>
      <c r="M21911" s="277"/>
      <c r="O21911" s="247"/>
      <c r="AC21911" s="247"/>
      <c r="AT21911" s="247"/>
    </row>
    <row r="21912">
      <c r="C21912" s="277"/>
      <c r="M21912" s="277"/>
      <c r="O21912" s="247"/>
      <c r="AC21912" s="247"/>
      <c r="AT21912" s="247"/>
    </row>
    <row r="21913">
      <c r="C21913" s="277"/>
      <c r="M21913" s="277"/>
      <c r="O21913" s="247"/>
      <c r="AC21913" s="247"/>
      <c r="AT21913" s="247"/>
    </row>
    <row r="21914">
      <c r="C21914" s="277"/>
      <c r="M21914" s="277"/>
      <c r="O21914" s="247"/>
      <c r="AC21914" s="247"/>
      <c r="AT21914" s="247"/>
    </row>
    <row r="21915">
      <c r="C21915" s="277"/>
      <c r="M21915" s="277"/>
      <c r="O21915" s="247"/>
      <c r="AC21915" s="247"/>
      <c r="AT21915" s="247"/>
    </row>
    <row r="21916">
      <c r="C21916" s="277"/>
      <c r="M21916" s="277"/>
      <c r="O21916" s="247"/>
      <c r="AC21916" s="247"/>
      <c r="AT21916" s="247"/>
    </row>
    <row r="21917">
      <c r="C21917" s="277"/>
      <c r="M21917" s="277"/>
      <c r="O21917" s="247"/>
      <c r="AC21917" s="247"/>
      <c r="AT21917" s="247"/>
    </row>
    <row r="21918">
      <c r="C21918" s="277"/>
      <c r="M21918" s="277"/>
      <c r="O21918" s="247"/>
      <c r="AC21918" s="247"/>
      <c r="AT21918" s="247"/>
    </row>
    <row r="21919">
      <c r="C21919" s="277"/>
      <c r="M21919" s="277"/>
      <c r="O21919" s="247"/>
      <c r="AC21919" s="247"/>
      <c r="AT21919" s="247"/>
    </row>
    <row r="21920">
      <c r="C21920" s="277"/>
      <c r="M21920" s="277"/>
      <c r="O21920" s="247"/>
      <c r="AC21920" s="247"/>
      <c r="AT21920" s="247"/>
    </row>
    <row r="21921">
      <c r="C21921" s="277"/>
      <c r="M21921" s="277"/>
      <c r="O21921" s="247"/>
      <c r="AC21921" s="247"/>
      <c r="AT21921" s="247"/>
    </row>
    <row r="21922">
      <c r="C21922" s="277"/>
      <c r="M21922" s="277"/>
      <c r="O21922" s="247"/>
      <c r="AC21922" s="247"/>
      <c r="AT21922" s="247"/>
    </row>
    <row r="21923">
      <c r="C21923" s="277"/>
      <c r="M21923" s="277"/>
      <c r="O21923" s="247"/>
      <c r="AC21923" s="247"/>
      <c r="AT21923" s="247"/>
    </row>
    <row r="21924">
      <c r="C21924" s="277"/>
      <c r="M21924" s="277"/>
      <c r="O21924" s="247"/>
      <c r="AC21924" s="247"/>
      <c r="AT21924" s="247"/>
    </row>
    <row r="21925">
      <c r="C21925" s="277"/>
      <c r="M21925" s="277"/>
      <c r="O21925" s="247"/>
      <c r="AC21925" s="247"/>
      <c r="AT21925" s="247"/>
    </row>
    <row r="21926">
      <c r="C21926" s="277"/>
      <c r="M21926" s="277"/>
      <c r="O21926" s="247"/>
      <c r="AC21926" s="247"/>
      <c r="AT21926" s="247"/>
    </row>
    <row r="21927">
      <c r="C21927" s="277"/>
      <c r="M21927" s="277"/>
      <c r="O21927" s="247"/>
      <c r="AC21927" s="247"/>
      <c r="AT21927" s="247"/>
    </row>
    <row r="21928">
      <c r="C21928" s="277"/>
      <c r="M21928" s="277"/>
      <c r="O21928" s="247"/>
      <c r="AC21928" s="247"/>
      <c r="AT21928" s="247"/>
    </row>
    <row r="21929">
      <c r="C21929" s="277"/>
      <c r="M21929" s="277"/>
      <c r="O21929" s="247"/>
      <c r="AC21929" s="247"/>
      <c r="AT21929" s="247"/>
    </row>
    <row r="21930">
      <c r="C21930" s="277"/>
      <c r="M21930" s="277"/>
      <c r="O21930" s="247"/>
      <c r="AC21930" s="247"/>
      <c r="AT21930" s="247"/>
    </row>
    <row r="21931">
      <c r="C21931" s="277"/>
      <c r="M21931" s="277"/>
      <c r="O21931" s="247"/>
      <c r="AC21931" s="247"/>
      <c r="AT21931" s="247"/>
    </row>
    <row r="21932">
      <c r="C21932" s="277"/>
      <c r="M21932" s="277"/>
      <c r="O21932" s="247"/>
      <c r="AC21932" s="247"/>
      <c r="AT21932" s="247"/>
    </row>
    <row r="21933">
      <c r="C21933" s="277"/>
      <c r="M21933" s="277"/>
      <c r="O21933" s="247"/>
      <c r="AC21933" s="247"/>
      <c r="AT21933" s="247"/>
    </row>
    <row r="21934">
      <c r="C21934" s="277"/>
      <c r="M21934" s="277"/>
      <c r="O21934" s="247"/>
      <c r="AC21934" s="247"/>
      <c r="AT21934" s="247"/>
    </row>
    <row r="21935">
      <c r="C21935" s="277"/>
      <c r="M21935" s="277"/>
      <c r="O21935" s="247"/>
      <c r="AC21935" s="247"/>
      <c r="AT21935" s="247"/>
    </row>
    <row r="21936">
      <c r="C21936" s="277"/>
      <c r="M21936" s="277"/>
      <c r="O21936" s="247"/>
      <c r="AC21936" s="247"/>
      <c r="AT21936" s="247"/>
    </row>
    <row r="21937">
      <c r="C21937" s="277"/>
      <c r="M21937" s="277"/>
      <c r="O21937" s="247"/>
      <c r="AC21937" s="247"/>
      <c r="AT21937" s="247"/>
    </row>
    <row r="21938">
      <c r="C21938" s="277"/>
      <c r="M21938" s="277"/>
      <c r="O21938" s="247"/>
      <c r="AC21938" s="247"/>
      <c r="AT21938" s="247"/>
    </row>
    <row r="21939">
      <c r="C21939" s="277"/>
      <c r="M21939" s="277"/>
      <c r="O21939" s="247"/>
      <c r="AC21939" s="247"/>
      <c r="AT21939" s="247"/>
    </row>
    <row r="21940">
      <c r="C21940" s="277"/>
      <c r="M21940" s="277"/>
      <c r="O21940" s="247"/>
      <c r="AC21940" s="247"/>
      <c r="AT21940" s="247"/>
    </row>
    <row r="21941">
      <c r="C21941" s="277"/>
      <c r="M21941" s="277"/>
      <c r="O21941" s="247"/>
      <c r="AC21941" s="247"/>
      <c r="AT21941" s="247"/>
    </row>
    <row r="21942">
      <c r="C21942" s="277"/>
      <c r="M21942" s="277"/>
      <c r="O21942" s="247"/>
      <c r="AC21942" s="247"/>
      <c r="AT21942" s="247"/>
    </row>
    <row r="21943">
      <c r="C21943" s="277"/>
      <c r="M21943" s="277"/>
      <c r="O21943" s="247"/>
      <c r="AC21943" s="247"/>
      <c r="AT21943" s="247"/>
    </row>
    <row r="21944">
      <c r="C21944" s="277"/>
      <c r="M21944" s="277"/>
      <c r="O21944" s="247"/>
      <c r="AC21944" s="247"/>
      <c r="AT21944" s="247"/>
    </row>
    <row r="21945">
      <c r="C21945" s="277"/>
      <c r="M21945" s="277"/>
      <c r="O21945" s="247"/>
      <c r="AC21945" s="247"/>
      <c r="AT21945" s="247"/>
    </row>
    <row r="21946">
      <c r="C21946" s="277"/>
      <c r="M21946" s="277"/>
      <c r="O21946" s="247"/>
      <c r="AC21946" s="247"/>
      <c r="AT21946" s="247"/>
    </row>
    <row r="21947">
      <c r="C21947" s="277"/>
      <c r="M21947" s="277"/>
      <c r="O21947" s="247"/>
      <c r="AC21947" s="247"/>
      <c r="AT21947" s="247"/>
    </row>
    <row r="21948">
      <c r="C21948" s="277"/>
      <c r="M21948" s="277"/>
      <c r="O21948" s="247"/>
      <c r="AC21948" s="247"/>
      <c r="AT21948" s="247"/>
    </row>
    <row r="21949">
      <c r="C21949" s="277"/>
      <c r="M21949" s="277"/>
      <c r="O21949" s="247"/>
      <c r="AC21949" s="247"/>
      <c r="AT21949" s="247"/>
    </row>
    <row r="21950">
      <c r="C21950" s="277"/>
      <c r="M21950" s="277"/>
      <c r="O21950" s="247"/>
      <c r="AC21950" s="247"/>
      <c r="AT21950" s="247"/>
    </row>
    <row r="21951">
      <c r="C21951" s="277"/>
      <c r="M21951" s="277"/>
      <c r="O21951" s="247"/>
      <c r="AC21951" s="247"/>
      <c r="AT21951" s="247"/>
    </row>
    <row r="21952">
      <c r="C21952" s="277"/>
      <c r="M21952" s="277"/>
      <c r="O21952" s="247"/>
      <c r="AC21952" s="247"/>
      <c r="AT21952" s="247"/>
    </row>
    <row r="21953">
      <c r="C21953" s="277"/>
      <c r="M21953" s="277"/>
      <c r="O21953" s="247"/>
      <c r="AC21953" s="247"/>
      <c r="AT21953" s="247"/>
    </row>
    <row r="21954">
      <c r="C21954" s="277"/>
      <c r="M21954" s="277"/>
      <c r="O21954" s="247"/>
      <c r="AC21954" s="247"/>
      <c r="AT21954" s="247"/>
    </row>
    <row r="21955">
      <c r="C21955" s="277"/>
      <c r="M21955" s="277"/>
      <c r="O21955" s="247"/>
      <c r="AC21955" s="247"/>
      <c r="AT21955" s="247"/>
    </row>
    <row r="21956">
      <c r="C21956" s="277"/>
      <c r="M21956" s="277"/>
      <c r="O21956" s="247"/>
      <c r="AC21956" s="247"/>
      <c r="AT21956" s="247"/>
    </row>
    <row r="21957">
      <c r="C21957" s="277"/>
      <c r="M21957" s="277"/>
      <c r="O21957" s="247"/>
      <c r="AC21957" s="247"/>
      <c r="AT21957" s="247"/>
    </row>
    <row r="21958">
      <c r="C21958" s="277"/>
      <c r="M21958" s="277"/>
      <c r="O21958" s="247"/>
      <c r="AC21958" s="247"/>
      <c r="AT21958" s="247"/>
    </row>
    <row r="21959">
      <c r="C21959" s="277"/>
      <c r="M21959" s="277"/>
      <c r="O21959" s="247"/>
      <c r="AC21959" s="247"/>
      <c r="AT21959" s="247"/>
    </row>
    <row r="21960">
      <c r="C21960" s="277"/>
      <c r="M21960" s="277"/>
      <c r="O21960" s="247"/>
      <c r="AC21960" s="247"/>
      <c r="AT21960" s="247"/>
    </row>
    <row r="21961">
      <c r="C21961" s="277"/>
      <c r="M21961" s="277"/>
      <c r="O21961" s="247"/>
      <c r="AC21961" s="247"/>
      <c r="AT21961" s="247"/>
    </row>
    <row r="21962">
      <c r="C21962" s="277"/>
      <c r="M21962" s="277"/>
      <c r="O21962" s="247"/>
      <c r="AC21962" s="247"/>
      <c r="AT21962" s="247"/>
    </row>
    <row r="21963">
      <c r="C21963" s="277"/>
      <c r="M21963" s="277"/>
      <c r="O21963" s="247"/>
      <c r="AC21963" s="247"/>
      <c r="AT21963" s="247"/>
    </row>
    <row r="21964">
      <c r="C21964" s="277"/>
      <c r="M21964" s="277"/>
      <c r="O21964" s="247"/>
      <c r="AC21964" s="247"/>
      <c r="AT21964" s="247"/>
    </row>
    <row r="21965">
      <c r="C21965" s="277"/>
      <c r="M21965" s="277"/>
      <c r="O21965" s="247"/>
      <c r="AC21965" s="247"/>
      <c r="AT21965" s="247"/>
    </row>
    <row r="21966">
      <c r="C21966" s="277"/>
      <c r="M21966" s="277"/>
      <c r="O21966" s="247"/>
      <c r="AC21966" s="247"/>
      <c r="AT21966" s="247"/>
    </row>
    <row r="21967">
      <c r="C21967" s="277"/>
      <c r="M21967" s="277"/>
      <c r="O21967" s="247"/>
      <c r="AC21967" s="247"/>
      <c r="AT21967" s="247"/>
    </row>
    <row r="21968">
      <c r="C21968" s="277"/>
      <c r="M21968" s="277"/>
      <c r="O21968" s="247"/>
      <c r="AC21968" s="247"/>
      <c r="AT21968" s="247"/>
    </row>
    <row r="21969">
      <c r="C21969" s="277"/>
      <c r="M21969" s="277"/>
      <c r="O21969" s="247"/>
      <c r="AC21969" s="247"/>
      <c r="AT21969" s="247"/>
    </row>
    <row r="21970">
      <c r="C21970" s="277"/>
      <c r="M21970" s="277"/>
      <c r="O21970" s="247"/>
      <c r="AC21970" s="247"/>
      <c r="AT21970" s="247"/>
    </row>
    <row r="21971">
      <c r="C21971" s="277"/>
      <c r="M21971" s="277"/>
      <c r="O21971" s="247"/>
      <c r="AC21971" s="247"/>
      <c r="AT21971" s="247"/>
    </row>
    <row r="21972">
      <c r="C21972" s="277"/>
      <c r="M21972" s="277"/>
      <c r="O21972" s="247"/>
      <c r="AC21972" s="247"/>
      <c r="AT21972" s="247"/>
    </row>
    <row r="21973">
      <c r="C21973" s="277"/>
      <c r="M21973" s="277"/>
      <c r="O21973" s="247"/>
      <c r="AC21973" s="247"/>
      <c r="AT21973" s="247"/>
    </row>
    <row r="21974">
      <c r="C21974" s="277"/>
      <c r="M21974" s="277"/>
      <c r="O21974" s="247"/>
      <c r="AC21974" s="247"/>
      <c r="AT21974" s="247"/>
    </row>
    <row r="21975">
      <c r="C21975" s="277"/>
      <c r="M21975" s="277"/>
      <c r="O21975" s="247"/>
      <c r="AC21975" s="247"/>
      <c r="AT21975" s="247"/>
    </row>
    <row r="21976">
      <c r="C21976" s="277"/>
      <c r="M21976" s="277"/>
      <c r="O21976" s="247"/>
      <c r="AC21976" s="247"/>
      <c r="AT21976" s="247"/>
    </row>
    <row r="21977">
      <c r="C21977" s="277"/>
      <c r="M21977" s="277"/>
      <c r="O21977" s="247"/>
      <c r="AC21977" s="247"/>
      <c r="AT21977" s="247"/>
    </row>
    <row r="21978">
      <c r="C21978" s="277"/>
      <c r="M21978" s="277"/>
      <c r="O21978" s="247"/>
      <c r="AC21978" s="247"/>
      <c r="AT21978" s="247"/>
    </row>
    <row r="21979">
      <c r="C21979" s="277"/>
      <c r="M21979" s="277"/>
      <c r="O21979" s="247"/>
      <c r="AC21979" s="247"/>
      <c r="AT21979" s="247"/>
    </row>
    <row r="21980">
      <c r="C21980" s="277"/>
      <c r="M21980" s="277"/>
      <c r="O21980" s="247"/>
      <c r="AC21980" s="247"/>
      <c r="AT21980" s="247"/>
    </row>
    <row r="21981">
      <c r="C21981" s="277"/>
      <c r="M21981" s="277"/>
      <c r="O21981" s="247"/>
      <c r="AC21981" s="247"/>
      <c r="AT21981" s="247"/>
    </row>
    <row r="21982">
      <c r="C21982" s="277"/>
      <c r="M21982" s="277"/>
      <c r="O21982" s="247"/>
      <c r="AC21982" s="247"/>
      <c r="AT21982" s="247"/>
    </row>
    <row r="21983">
      <c r="C21983" s="277"/>
      <c r="M21983" s="277"/>
      <c r="O21983" s="247"/>
      <c r="AC21983" s="247"/>
      <c r="AT21983" s="247"/>
    </row>
    <row r="21984">
      <c r="C21984" s="277"/>
      <c r="M21984" s="277"/>
      <c r="O21984" s="247"/>
      <c r="AC21984" s="247"/>
      <c r="AT21984" s="247"/>
    </row>
    <row r="21985">
      <c r="C21985" s="277"/>
      <c r="M21985" s="277"/>
      <c r="O21985" s="247"/>
      <c r="AC21985" s="247"/>
      <c r="AT21985" s="247"/>
    </row>
    <row r="21986">
      <c r="C21986" s="277"/>
      <c r="M21986" s="277"/>
      <c r="O21986" s="247"/>
      <c r="AC21986" s="247"/>
      <c r="AT21986" s="247"/>
    </row>
    <row r="21987">
      <c r="C21987" s="277"/>
      <c r="M21987" s="277"/>
      <c r="O21987" s="247"/>
      <c r="AC21987" s="247"/>
      <c r="AT21987" s="247"/>
    </row>
    <row r="21988">
      <c r="C21988" s="277"/>
      <c r="M21988" s="277"/>
      <c r="O21988" s="247"/>
      <c r="AC21988" s="247"/>
      <c r="AT21988" s="247"/>
    </row>
    <row r="21989">
      <c r="C21989" s="277"/>
      <c r="M21989" s="277"/>
      <c r="O21989" s="247"/>
      <c r="AC21989" s="247"/>
      <c r="AT21989" s="247"/>
    </row>
    <row r="21990">
      <c r="C21990" s="277"/>
      <c r="M21990" s="277"/>
      <c r="O21990" s="247"/>
      <c r="AC21990" s="247"/>
      <c r="AT21990" s="247"/>
    </row>
    <row r="21991">
      <c r="C21991" s="277"/>
      <c r="M21991" s="277"/>
      <c r="O21991" s="247"/>
      <c r="AC21991" s="247"/>
      <c r="AT21991" s="247"/>
    </row>
    <row r="21992">
      <c r="C21992" s="277"/>
      <c r="M21992" s="277"/>
      <c r="O21992" s="247"/>
      <c r="AC21992" s="247"/>
      <c r="AT21992" s="247"/>
    </row>
    <row r="21993">
      <c r="C21993" s="277"/>
      <c r="M21993" s="277"/>
      <c r="O21993" s="247"/>
      <c r="AC21993" s="247"/>
      <c r="AT21993" s="247"/>
    </row>
    <row r="21994">
      <c r="C21994" s="277"/>
      <c r="M21994" s="277"/>
      <c r="O21994" s="247"/>
      <c r="AC21994" s="247"/>
      <c r="AT21994" s="247"/>
    </row>
    <row r="21995">
      <c r="C21995" s="277"/>
      <c r="M21995" s="277"/>
      <c r="O21995" s="247"/>
      <c r="AC21995" s="247"/>
      <c r="AT21995" s="247"/>
    </row>
    <row r="21996">
      <c r="C21996" s="277"/>
      <c r="M21996" s="277"/>
      <c r="O21996" s="247"/>
      <c r="AC21996" s="247"/>
      <c r="AT21996" s="247"/>
    </row>
    <row r="21997">
      <c r="C21997" s="277"/>
      <c r="M21997" s="277"/>
      <c r="O21997" s="247"/>
      <c r="AC21997" s="247"/>
      <c r="AT21997" s="247"/>
    </row>
    <row r="21998">
      <c r="C21998" s="277"/>
      <c r="M21998" s="277"/>
      <c r="O21998" s="247"/>
      <c r="AC21998" s="247"/>
      <c r="AT21998" s="247"/>
    </row>
    <row r="21999">
      <c r="C21999" s="277"/>
      <c r="M21999" s="277"/>
      <c r="O21999" s="247"/>
      <c r="AC21999" s="247"/>
      <c r="AT21999" s="247"/>
    </row>
    <row r="22000">
      <c r="C22000" s="277"/>
      <c r="M22000" s="277"/>
      <c r="O22000" s="247"/>
      <c r="AC22000" s="247"/>
      <c r="AT22000" s="247"/>
    </row>
    <row r="22001">
      <c r="C22001" s="277"/>
      <c r="M22001" s="277"/>
      <c r="O22001" s="247"/>
      <c r="AC22001" s="247"/>
      <c r="AT22001" s="247"/>
    </row>
    <row r="22002">
      <c r="C22002" s="277"/>
      <c r="M22002" s="277"/>
      <c r="O22002" s="247"/>
      <c r="AC22002" s="247"/>
      <c r="AT22002" s="247"/>
    </row>
    <row r="22003">
      <c r="C22003" s="277"/>
      <c r="M22003" s="277"/>
      <c r="O22003" s="247"/>
      <c r="AC22003" s="247"/>
      <c r="AT22003" s="247"/>
    </row>
    <row r="22004">
      <c r="C22004" s="277"/>
      <c r="M22004" s="277"/>
      <c r="O22004" s="247"/>
      <c r="AC22004" s="247"/>
      <c r="AT22004" s="247"/>
    </row>
    <row r="22005">
      <c r="C22005" s="277"/>
      <c r="M22005" s="277"/>
      <c r="O22005" s="247"/>
      <c r="AC22005" s="247"/>
      <c r="AT22005" s="247"/>
    </row>
    <row r="22006">
      <c r="C22006" s="277"/>
      <c r="M22006" s="277"/>
      <c r="O22006" s="247"/>
      <c r="AC22006" s="247"/>
      <c r="AT22006" s="247"/>
    </row>
    <row r="22007">
      <c r="C22007" s="277"/>
      <c r="M22007" s="277"/>
      <c r="O22007" s="247"/>
      <c r="AC22007" s="247"/>
      <c r="AT22007" s="247"/>
    </row>
    <row r="22008">
      <c r="C22008" s="277"/>
      <c r="M22008" s="277"/>
      <c r="O22008" s="247"/>
      <c r="AC22008" s="247"/>
      <c r="AT22008" s="247"/>
    </row>
    <row r="22009">
      <c r="C22009" s="277"/>
      <c r="M22009" s="277"/>
      <c r="O22009" s="247"/>
      <c r="AC22009" s="247"/>
      <c r="AT22009" s="247"/>
    </row>
    <row r="22010">
      <c r="C22010" s="277"/>
      <c r="M22010" s="277"/>
      <c r="O22010" s="247"/>
      <c r="AC22010" s="247"/>
      <c r="AT22010" s="247"/>
    </row>
    <row r="22011">
      <c r="C22011" s="277"/>
      <c r="M22011" s="277"/>
      <c r="O22011" s="247"/>
      <c r="AC22011" s="247"/>
      <c r="AT22011" s="247"/>
    </row>
    <row r="22012">
      <c r="C22012" s="277"/>
      <c r="M22012" s="277"/>
      <c r="O22012" s="247"/>
      <c r="AC22012" s="247"/>
      <c r="AT22012" s="247"/>
    </row>
    <row r="22013">
      <c r="C22013" s="277"/>
      <c r="M22013" s="277"/>
      <c r="O22013" s="247"/>
      <c r="AC22013" s="247"/>
      <c r="AT22013" s="247"/>
    </row>
    <row r="22014">
      <c r="C22014" s="277"/>
      <c r="M22014" s="277"/>
      <c r="O22014" s="247"/>
      <c r="AC22014" s="247"/>
      <c r="AT22014" s="247"/>
    </row>
    <row r="22015">
      <c r="C22015" s="277"/>
      <c r="M22015" s="277"/>
      <c r="O22015" s="247"/>
      <c r="AC22015" s="247"/>
      <c r="AT22015" s="247"/>
    </row>
    <row r="22016">
      <c r="C22016" s="277"/>
      <c r="M22016" s="277"/>
      <c r="O22016" s="247"/>
      <c r="AC22016" s="247"/>
      <c r="AT22016" s="247"/>
    </row>
    <row r="22017">
      <c r="C22017" s="277"/>
      <c r="M22017" s="277"/>
      <c r="O22017" s="247"/>
      <c r="AC22017" s="247"/>
      <c r="AT22017" s="247"/>
    </row>
    <row r="22018">
      <c r="C22018" s="277"/>
      <c r="M22018" s="277"/>
      <c r="O22018" s="247"/>
      <c r="AC22018" s="247"/>
      <c r="AT22018" s="247"/>
    </row>
    <row r="22019">
      <c r="C22019" s="277"/>
      <c r="M22019" s="277"/>
      <c r="O22019" s="247"/>
      <c r="AC22019" s="247"/>
      <c r="AT22019" s="247"/>
    </row>
    <row r="22020">
      <c r="C22020" s="277"/>
      <c r="M22020" s="277"/>
      <c r="O22020" s="247"/>
      <c r="AC22020" s="247"/>
      <c r="AT22020" s="247"/>
    </row>
    <row r="22021">
      <c r="C22021" s="277"/>
      <c r="M22021" s="277"/>
      <c r="O22021" s="247"/>
      <c r="AC22021" s="247"/>
      <c r="AT22021" s="247"/>
    </row>
    <row r="22022">
      <c r="C22022" s="277"/>
      <c r="M22022" s="277"/>
      <c r="O22022" s="247"/>
      <c r="AC22022" s="247"/>
      <c r="AT22022" s="247"/>
    </row>
    <row r="22023">
      <c r="C22023" s="277"/>
      <c r="M22023" s="277"/>
      <c r="O22023" s="247"/>
      <c r="AC22023" s="247"/>
      <c r="AT22023" s="247"/>
    </row>
    <row r="22024">
      <c r="C22024" s="277"/>
      <c r="M22024" s="277"/>
      <c r="O22024" s="247"/>
      <c r="AC22024" s="247"/>
      <c r="AT22024" s="247"/>
    </row>
    <row r="22025">
      <c r="C22025" s="277"/>
      <c r="M22025" s="277"/>
      <c r="O22025" s="247"/>
      <c r="AC22025" s="247"/>
      <c r="AT22025" s="247"/>
    </row>
    <row r="22026">
      <c r="C22026" s="277"/>
      <c r="M22026" s="277"/>
      <c r="O22026" s="247"/>
      <c r="AC22026" s="247"/>
      <c r="AT22026" s="247"/>
    </row>
    <row r="22027">
      <c r="C22027" s="277"/>
      <c r="M22027" s="277"/>
      <c r="O22027" s="247"/>
      <c r="AC22027" s="247"/>
      <c r="AT22027" s="247"/>
    </row>
    <row r="22028">
      <c r="C22028" s="277"/>
      <c r="M22028" s="277"/>
      <c r="O22028" s="247"/>
      <c r="AC22028" s="247"/>
      <c r="AT22028" s="247"/>
    </row>
    <row r="22029">
      <c r="C22029" s="277"/>
      <c r="M22029" s="277"/>
      <c r="O22029" s="247"/>
      <c r="AC22029" s="247"/>
      <c r="AT22029" s="247"/>
    </row>
    <row r="22030">
      <c r="C22030" s="277"/>
      <c r="M22030" s="277"/>
      <c r="O22030" s="247"/>
      <c r="AC22030" s="247"/>
      <c r="AT22030" s="247"/>
    </row>
    <row r="22031">
      <c r="C22031" s="277"/>
      <c r="M22031" s="277"/>
      <c r="O22031" s="247"/>
      <c r="AC22031" s="247"/>
      <c r="AT22031" s="247"/>
    </row>
    <row r="22032">
      <c r="C22032" s="277"/>
      <c r="M22032" s="277"/>
      <c r="O22032" s="247"/>
      <c r="AC22032" s="247"/>
      <c r="AT22032" s="247"/>
    </row>
    <row r="22033">
      <c r="C22033" s="277"/>
      <c r="M22033" s="277"/>
      <c r="O22033" s="247"/>
      <c r="AC22033" s="247"/>
      <c r="AT22033" s="247"/>
    </row>
    <row r="22034">
      <c r="C22034" s="277"/>
      <c r="M22034" s="277"/>
      <c r="O22034" s="247"/>
      <c r="AC22034" s="247"/>
      <c r="AT22034" s="247"/>
    </row>
    <row r="22035">
      <c r="C22035" s="277"/>
      <c r="M22035" s="277"/>
      <c r="O22035" s="247"/>
      <c r="AC22035" s="247"/>
      <c r="AT22035" s="247"/>
    </row>
    <row r="22036">
      <c r="C22036" s="277"/>
      <c r="M22036" s="277"/>
      <c r="O22036" s="247"/>
      <c r="AC22036" s="247"/>
      <c r="AT22036" s="247"/>
    </row>
    <row r="22037">
      <c r="C22037" s="277"/>
      <c r="M22037" s="277"/>
      <c r="O22037" s="247"/>
      <c r="AC22037" s="247"/>
      <c r="AT22037" s="247"/>
    </row>
    <row r="22038">
      <c r="C22038" s="277"/>
      <c r="M22038" s="277"/>
      <c r="O22038" s="247"/>
      <c r="AC22038" s="247"/>
      <c r="AT22038" s="247"/>
    </row>
    <row r="22039">
      <c r="C22039" s="277"/>
      <c r="M22039" s="277"/>
      <c r="O22039" s="247"/>
      <c r="AC22039" s="247"/>
      <c r="AT22039" s="247"/>
    </row>
    <row r="22040">
      <c r="C22040" s="277"/>
      <c r="M22040" s="277"/>
      <c r="O22040" s="247"/>
      <c r="AC22040" s="247"/>
      <c r="AT22040" s="247"/>
    </row>
    <row r="22041">
      <c r="C22041" s="277"/>
      <c r="M22041" s="277"/>
      <c r="O22041" s="247"/>
      <c r="AC22041" s="247"/>
      <c r="AT22041" s="247"/>
    </row>
    <row r="22042">
      <c r="C22042" s="277"/>
      <c r="M22042" s="277"/>
      <c r="O22042" s="247"/>
      <c r="AC22042" s="247"/>
      <c r="AT22042" s="247"/>
    </row>
    <row r="22043">
      <c r="C22043" s="277"/>
      <c r="M22043" s="277"/>
      <c r="O22043" s="247"/>
      <c r="AC22043" s="247"/>
      <c r="AT22043" s="247"/>
    </row>
    <row r="22044">
      <c r="C22044" s="277"/>
      <c r="M22044" s="277"/>
      <c r="O22044" s="247"/>
      <c r="AC22044" s="247"/>
      <c r="AT22044" s="247"/>
    </row>
    <row r="22045">
      <c r="C22045" s="277"/>
      <c r="M22045" s="277"/>
      <c r="O22045" s="247"/>
      <c r="AC22045" s="247"/>
      <c r="AT22045" s="247"/>
    </row>
    <row r="22046">
      <c r="C22046" s="277"/>
      <c r="M22046" s="277"/>
      <c r="O22046" s="247"/>
      <c r="AC22046" s="247"/>
      <c r="AT22046" s="247"/>
    </row>
    <row r="22047">
      <c r="C22047" s="277"/>
      <c r="M22047" s="277"/>
      <c r="O22047" s="247"/>
      <c r="AC22047" s="247"/>
      <c r="AT22047" s="247"/>
    </row>
    <row r="22048">
      <c r="C22048" s="277"/>
      <c r="M22048" s="277"/>
      <c r="O22048" s="247"/>
      <c r="AC22048" s="247"/>
      <c r="AT22048" s="247"/>
    </row>
    <row r="22049">
      <c r="C22049" s="277"/>
      <c r="M22049" s="277"/>
      <c r="O22049" s="247"/>
      <c r="AC22049" s="247"/>
      <c r="AT22049" s="247"/>
    </row>
    <row r="22050">
      <c r="C22050" s="277"/>
      <c r="M22050" s="277"/>
      <c r="O22050" s="247"/>
      <c r="AC22050" s="247"/>
      <c r="AT22050" s="247"/>
    </row>
    <row r="22051">
      <c r="C22051" s="277"/>
      <c r="M22051" s="277"/>
      <c r="O22051" s="247"/>
      <c r="AC22051" s="247"/>
      <c r="AT22051" s="247"/>
    </row>
    <row r="22052">
      <c r="C22052" s="277"/>
      <c r="M22052" s="277"/>
      <c r="O22052" s="247"/>
      <c r="AC22052" s="247"/>
      <c r="AT22052" s="247"/>
    </row>
    <row r="22053">
      <c r="C22053" s="277"/>
      <c r="M22053" s="277"/>
      <c r="O22053" s="247"/>
      <c r="AC22053" s="247"/>
      <c r="AT22053" s="247"/>
    </row>
    <row r="22054">
      <c r="C22054" s="277"/>
      <c r="M22054" s="277"/>
      <c r="O22054" s="247"/>
      <c r="AC22054" s="247"/>
      <c r="AT22054" s="247"/>
    </row>
    <row r="22055">
      <c r="C22055" s="277"/>
      <c r="M22055" s="277"/>
      <c r="O22055" s="247"/>
      <c r="AC22055" s="247"/>
      <c r="AT22055" s="247"/>
    </row>
    <row r="22056">
      <c r="C22056" s="277"/>
      <c r="M22056" s="277"/>
      <c r="O22056" s="247"/>
      <c r="AC22056" s="247"/>
      <c r="AT22056" s="247"/>
    </row>
    <row r="22057">
      <c r="C22057" s="277"/>
      <c r="M22057" s="277"/>
      <c r="O22057" s="247"/>
      <c r="AC22057" s="247"/>
      <c r="AT22057" s="247"/>
    </row>
    <row r="22058">
      <c r="C22058" s="277"/>
      <c r="M22058" s="277"/>
      <c r="O22058" s="247"/>
      <c r="AC22058" s="247"/>
      <c r="AT22058" s="247"/>
    </row>
    <row r="22059">
      <c r="C22059" s="277"/>
      <c r="M22059" s="277"/>
      <c r="O22059" s="247"/>
      <c r="AC22059" s="247"/>
      <c r="AT22059" s="247"/>
    </row>
    <row r="22060">
      <c r="C22060" s="277"/>
      <c r="M22060" s="277"/>
      <c r="O22060" s="247"/>
      <c r="AC22060" s="247"/>
      <c r="AT22060" s="247"/>
    </row>
    <row r="22061">
      <c r="C22061" s="277"/>
      <c r="M22061" s="277"/>
      <c r="O22061" s="247"/>
      <c r="AC22061" s="247"/>
      <c r="AT22061" s="247"/>
    </row>
    <row r="22062">
      <c r="C22062" s="277"/>
      <c r="M22062" s="277"/>
      <c r="O22062" s="247"/>
      <c r="AC22062" s="247"/>
      <c r="AT22062" s="247"/>
    </row>
    <row r="22063">
      <c r="C22063" s="277"/>
      <c r="M22063" s="277"/>
      <c r="O22063" s="247"/>
      <c r="AC22063" s="247"/>
      <c r="AT22063" s="247"/>
    </row>
    <row r="22064">
      <c r="C22064" s="277"/>
      <c r="M22064" s="277"/>
      <c r="O22064" s="247"/>
      <c r="AC22064" s="247"/>
      <c r="AT22064" s="247"/>
    </row>
    <row r="22065">
      <c r="C22065" s="277"/>
      <c r="M22065" s="277"/>
      <c r="O22065" s="247"/>
      <c r="AC22065" s="247"/>
      <c r="AT22065" s="247"/>
    </row>
    <row r="22066">
      <c r="C22066" s="277"/>
      <c r="M22066" s="277"/>
      <c r="O22066" s="247"/>
      <c r="AC22066" s="247"/>
      <c r="AT22066" s="247"/>
    </row>
    <row r="22067">
      <c r="C22067" s="277"/>
      <c r="M22067" s="277"/>
      <c r="O22067" s="247"/>
      <c r="AC22067" s="247"/>
      <c r="AT22067" s="247"/>
    </row>
    <row r="22068">
      <c r="C22068" s="277"/>
      <c r="M22068" s="277"/>
      <c r="O22068" s="247"/>
      <c r="AC22068" s="247"/>
      <c r="AT22068" s="247"/>
    </row>
    <row r="22069">
      <c r="C22069" s="277"/>
      <c r="M22069" s="277"/>
      <c r="O22069" s="247"/>
      <c r="AC22069" s="247"/>
      <c r="AT22069" s="247"/>
    </row>
    <row r="22070">
      <c r="C22070" s="277"/>
      <c r="M22070" s="277"/>
      <c r="O22070" s="247"/>
      <c r="AC22070" s="247"/>
      <c r="AT22070" s="247"/>
    </row>
    <row r="22071">
      <c r="C22071" s="277"/>
      <c r="M22071" s="277"/>
      <c r="O22071" s="247"/>
      <c r="AC22071" s="247"/>
      <c r="AT22071" s="247"/>
    </row>
    <row r="22072">
      <c r="C22072" s="277"/>
      <c r="M22072" s="277"/>
      <c r="O22072" s="247"/>
      <c r="AC22072" s="247"/>
      <c r="AT22072" s="247"/>
    </row>
    <row r="22073">
      <c r="C22073" s="277"/>
      <c r="M22073" s="277"/>
      <c r="O22073" s="247"/>
      <c r="AC22073" s="247"/>
      <c r="AT22073" s="247"/>
    </row>
    <row r="22074">
      <c r="C22074" s="277"/>
      <c r="M22074" s="277"/>
      <c r="O22074" s="247"/>
      <c r="AC22074" s="247"/>
      <c r="AT22074" s="247"/>
    </row>
    <row r="22075">
      <c r="C22075" s="277"/>
      <c r="M22075" s="277"/>
      <c r="O22075" s="247"/>
      <c r="AC22075" s="247"/>
      <c r="AT22075" s="247"/>
    </row>
    <row r="22076">
      <c r="C22076" s="277"/>
      <c r="M22076" s="277"/>
      <c r="O22076" s="247"/>
      <c r="AC22076" s="247"/>
      <c r="AT22076" s="247"/>
    </row>
    <row r="22077">
      <c r="C22077" s="277"/>
      <c r="M22077" s="277"/>
      <c r="O22077" s="247"/>
      <c r="AC22077" s="247"/>
      <c r="AT22077" s="247"/>
    </row>
    <row r="22078">
      <c r="C22078" s="277"/>
      <c r="M22078" s="277"/>
      <c r="O22078" s="247"/>
      <c r="AC22078" s="247"/>
      <c r="AT22078" s="247"/>
    </row>
    <row r="22079">
      <c r="C22079" s="277"/>
      <c r="M22079" s="277"/>
      <c r="O22079" s="247"/>
      <c r="AC22079" s="247"/>
      <c r="AT22079" s="247"/>
    </row>
    <row r="22080">
      <c r="C22080" s="277"/>
      <c r="M22080" s="277"/>
      <c r="O22080" s="247"/>
      <c r="AC22080" s="247"/>
      <c r="AT22080" s="247"/>
    </row>
    <row r="22081">
      <c r="C22081" s="277"/>
      <c r="M22081" s="277"/>
      <c r="O22081" s="247"/>
      <c r="AC22081" s="247"/>
      <c r="AT22081" s="247"/>
    </row>
    <row r="22082">
      <c r="C22082" s="277"/>
      <c r="M22082" s="277"/>
      <c r="O22082" s="247"/>
      <c r="AC22082" s="247"/>
      <c r="AT22082" s="247"/>
    </row>
    <row r="22083">
      <c r="C22083" s="277"/>
      <c r="M22083" s="277"/>
      <c r="O22083" s="247"/>
      <c r="AC22083" s="247"/>
      <c r="AT22083" s="247"/>
    </row>
    <row r="22084">
      <c r="C22084" s="277"/>
      <c r="M22084" s="277"/>
      <c r="O22084" s="247"/>
      <c r="AC22084" s="247"/>
      <c r="AT22084" s="247"/>
    </row>
    <row r="22085">
      <c r="C22085" s="277"/>
      <c r="M22085" s="277"/>
      <c r="O22085" s="247"/>
      <c r="AC22085" s="247"/>
      <c r="AT22085" s="247"/>
    </row>
    <row r="22086">
      <c r="C22086" s="277"/>
      <c r="M22086" s="277"/>
      <c r="O22086" s="247"/>
      <c r="AC22086" s="247"/>
      <c r="AT22086" s="247"/>
    </row>
    <row r="22087">
      <c r="C22087" s="277"/>
      <c r="M22087" s="277"/>
      <c r="O22087" s="247"/>
      <c r="AC22087" s="247"/>
      <c r="AT22087" s="247"/>
    </row>
    <row r="22088">
      <c r="C22088" s="277"/>
      <c r="M22088" s="277"/>
      <c r="O22088" s="247"/>
      <c r="AC22088" s="247"/>
      <c r="AT22088" s="247"/>
    </row>
    <row r="22089">
      <c r="C22089" s="277"/>
      <c r="M22089" s="277"/>
      <c r="O22089" s="247"/>
      <c r="AC22089" s="247"/>
      <c r="AT22089" s="247"/>
    </row>
    <row r="22090">
      <c r="C22090" s="277"/>
      <c r="M22090" s="277"/>
      <c r="O22090" s="247"/>
      <c r="AC22090" s="247"/>
      <c r="AT22090" s="247"/>
    </row>
    <row r="22091">
      <c r="C22091" s="277"/>
      <c r="M22091" s="277"/>
      <c r="O22091" s="247"/>
      <c r="AC22091" s="247"/>
      <c r="AT22091" s="247"/>
    </row>
    <row r="22092">
      <c r="C22092" s="277"/>
      <c r="M22092" s="277"/>
      <c r="O22092" s="247"/>
      <c r="AC22092" s="247"/>
      <c r="AT22092" s="247"/>
    </row>
    <row r="22093">
      <c r="C22093" s="277"/>
      <c r="M22093" s="277"/>
      <c r="O22093" s="247"/>
      <c r="AC22093" s="247"/>
      <c r="AT22093" s="247"/>
    </row>
    <row r="22094">
      <c r="C22094" s="277"/>
      <c r="M22094" s="277"/>
      <c r="O22094" s="247"/>
      <c r="AC22094" s="247"/>
      <c r="AT22094" s="247"/>
    </row>
    <row r="22095">
      <c r="C22095" s="277"/>
      <c r="M22095" s="277"/>
      <c r="O22095" s="247"/>
      <c r="AC22095" s="247"/>
      <c r="AT22095" s="247"/>
    </row>
    <row r="22096">
      <c r="C22096" s="277"/>
      <c r="M22096" s="277"/>
      <c r="O22096" s="247"/>
      <c r="AC22096" s="247"/>
      <c r="AT22096" s="247"/>
    </row>
    <row r="22097">
      <c r="C22097" s="277"/>
      <c r="M22097" s="277"/>
      <c r="O22097" s="247"/>
      <c r="AC22097" s="247"/>
      <c r="AT22097" s="247"/>
    </row>
    <row r="22098">
      <c r="C22098" s="277"/>
      <c r="M22098" s="277"/>
      <c r="O22098" s="247"/>
      <c r="AC22098" s="247"/>
      <c r="AT22098" s="247"/>
    </row>
    <row r="22099">
      <c r="C22099" s="277"/>
      <c r="M22099" s="277"/>
      <c r="O22099" s="247"/>
      <c r="AC22099" s="247"/>
      <c r="AT22099" s="247"/>
    </row>
    <row r="22100">
      <c r="C22100" s="277"/>
      <c r="M22100" s="277"/>
      <c r="O22100" s="247"/>
      <c r="AC22100" s="247"/>
      <c r="AT22100" s="247"/>
    </row>
    <row r="22101">
      <c r="C22101" s="277"/>
      <c r="M22101" s="277"/>
      <c r="O22101" s="247"/>
      <c r="AC22101" s="247"/>
      <c r="AT22101" s="247"/>
    </row>
    <row r="22102">
      <c r="C22102" s="277"/>
      <c r="M22102" s="277"/>
      <c r="O22102" s="247"/>
      <c r="AC22102" s="247"/>
      <c r="AT22102" s="247"/>
    </row>
    <row r="22103">
      <c r="C22103" s="277"/>
      <c r="M22103" s="277"/>
      <c r="O22103" s="247"/>
      <c r="AC22103" s="247"/>
      <c r="AT22103" s="247"/>
    </row>
    <row r="22104">
      <c r="C22104" s="277"/>
      <c r="M22104" s="277"/>
      <c r="O22104" s="247"/>
      <c r="AC22104" s="247"/>
      <c r="AT22104" s="247"/>
    </row>
    <row r="22105">
      <c r="C22105" s="277"/>
      <c r="M22105" s="277"/>
      <c r="O22105" s="247"/>
      <c r="AC22105" s="247"/>
      <c r="AT22105" s="247"/>
    </row>
    <row r="22106">
      <c r="C22106" s="277"/>
      <c r="M22106" s="277"/>
      <c r="O22106" s="247"/>
      <c r="AC22106" s="247"/>
      <c r="AT22106" s="247"/>
    </row>
    <row r="22107">
      <c r="C22107" s="277"/>
      <c r="M22107" s="277"/>
      <c r="O22107" s="247"/>
      <c r="AC22107" s="247"/>
      <c r="AT22107" s="247"/>
    </row>
    <row r="22108">
      <c r="C22108" s="277"/>
      <c r="M22108" s="277"/>
      <c r="O22108" s="247"/>
      <c r="AC22108" s="247"/>
      <c r="AT22108" s="247"/>
    </row>
    <row r="22109">
      <c r="C22109" s="277"/>
      <c r="M22109" s="277"/>
      <c r="O22109" s="247"/>
      <c r="AC22109" s="247"/>
      <c r="AT22109" s="247"/>
    </row>
    <row r="22110">
      <c r="C22110" s="277"/>
      <c r="M22110" s="277"/>
      <c r="O22110" s="247"/>
      <c r="AC22110" s="247"/>
      <c r="AT22110" s="247"/>
    </row>
    <row r="22111">
      <c r="C22111" s="277"/>
      <c r="M22111" s="277"/>
      <c r="O22111" s="247"/>
      <c r="AC22111" s="247"/>
      <c r="AT22111" s="247"/>
    </row>
    <row r="22112">
      <c r="C22112" s="277"/>
      <c r="M22112" s="277"/>
      <c r="O22112" s="247"/>
      <c r="AC22112" s="247"/>
      <c r="AT22112" s="247"/>
    </row>
    <row r="22113">
      <c r="C22113" s="277"/>
      <c r="M22113" s="277"/>
      <c r="O22113" s="247"/>
      <c r="AC22113" s="247"/>
      <c r="AT22113" s="247"/>
    </row>
    <row r="22114">
      <c r="C22114" s="277"/>
      <c r="M22114" s="277"/>
      <c r="O22114" s="247"/>
      <c r="AC22114" s="247"/>
      <c r="AT22114" s="247"/>
    </row>
    <row r="22115">
      <c r="C22115" s="277"/>
      <c r="M22115" s="277"/>
      <c r="O22115" s="247"/>
      <c r="AC22115" s="247"/>
      <c r="AT22115" s="247"/>
    </row>
    <row r="22116">
      <c r="C22116" s="277"/>
      <c r="M22116" s="277"/>
      <c r="O22116" s="247"/>
      <c r="AC22116" s="247"/>
      <c r="AT22116" s="247"/>
    </row>
    <row r="22117">
      <c r="C22117" s="277"/>
      <c r="M22117" s="277"/>
      <c r="O22117" s="247"/>
      <c r="AC22117" s="247"/>
      <c r="AT22117" s="247"/>
    </row>
    <row r="22118">
      <c r="C22118" s="277"/>
      <c r="M22118" s="277"/>
      <c r="O22118" s="247"/>
      <c r="AC22118" s="247"/>
      <c r="AT22118" s="247"/>
    </row>
    <row r="22119">
      <c r="C22119" s="277"/>
      <c r="M22119" s="277"/>
      <c r="O22119" s="247"/>
      <c r="AC22119" s="247"/>
      <c r="AT22119" s="247"/>
    </row>
    <row r="22120">
      <c r="C22120" s="277"/>
      <c r="M22120" s="277"/>
      <c r="O22120" s="247"/>
      <c r="AC22120" s="247"/>
      <c r="AT22120" s="247"/>
    </row>
    <row r="22121">
      <c r="C22121" s="277"/>
      <c r="M22121" s="277"/>
      <c r="O22121" s="247"/>
      <c r="AC22121" s="247"/>
      <c r="AT22121" s="247"/>
    </row>
    <row r="22122">
      <c r="C22122" s="277"/>
      <c r="M22122" s="277"/>
      <c r="O22122" s="247"/>
      <c r="AC22122" s="247"/>
      <c r="AT22122" s="247"/>
    </row>
    <row r="22123">
      <c r="C22123" s="277"/>
      <c r="M22123" s="277"/>
      <c r="O22123" s="247"/>
      <c r="AC22123" s="247"/>
      <c r="AT22123" s="247"/>
    </row>
    <row r="22124">
      <c r="C22124" s="277"/>
      <c r="M22124" s="277"/>
      <c r="O22124" s="247"/>
      <c r="AC22124" s="247"/>
      <c r="AT22124" s="247"/>
    </row>
    <row r="22125">
      <c r="C22125" s="277"/>
      <c r="M22125" s="277"/>
      <c r="O22125" s="247"/>
      <c r="AC22125" s="247"/>
      <c r="AT22125" s="247"/>
    </row>
    <row r="22126">
      <c r="C22126" s="277"/>
      <c r="M22126" s="277"/>
      <c r="O22126" s="247"/>
      <c r="AC22126" s="247"/>
      <c r="AT22126" s="247"/>
    </row>
    <row r="22127">
      <c r="C22127" s="277"/>
      <c r="M22127" s="277"/>
      <c r="O22127" s="247"/>
      <c r="AC22127" s="247"/>
      <c r="AT22127" s="247"/>
    </row>
    <row r="22128">
      <c r="C22128" s="277"/>
      <c r="M22128" s="277"/>
      <c r="O22128" s="247"/>
      <c r="AC22128" s="247"/>
      <c r="AT22128" s="247"/>
    </row>
    <row r="22129">
      <c r="C22129" s="277"/>
      <c r="M22129" s="277"/>
      <c r="O22129" s="247"/>
      <c r="AC22129" s="247"/>
      <c r="AT22129" s="247"/>
    </row>
    <row r="22130">
      <c r="C22130" s="277"/>
      <c r="M22130" s="277"/>
      <c r="O22130" s="247"/>
      <c r="AC22130" s="247"/>
      <c r="AT22130" s="247"/>
    </row>
    <row r="22131">
      <c r="C22131" s="277"/>
      <c r="M22131" s="277"/>
      <c r="O22131" s="247"/>
      <c r="AC22131" s="247"/>
      <c r="AT22131" s="247"/>
    </row>
    <row r="22132">
      <c r="C22132" s="277"/>
      <c r="M22132" s="277"/>
      <c r="O22132" s="247"/>
      <c r="AC22132" s="247"/>
      <c r="AT22132" s="247"/>
    </row>
    <row r="22133">
      <c r="C22133" s="277"/>
      <c r="M22133" s="277"/>
      <c r="O22133" s="247"/>
      <c r="AC22133" s="247"/>
      <c r="AT22133" s="247"/>
    </row>
    <row r="22134">
      <c r="C22134" s="277"/>
      <c r="M22134" s="277"/>
      <c r="O22134" s="247"/>
      <c r="AC22134" s="247"/>
      <c r="AT22134" s="247"/>
    </row>
    <row r="22135">
      <c r="C22135" s="277"/>
      <c r="M22135" s="277"/>
      <c r="O22135" s="247"/>
      <c r="AC22135" s="247"/>
      <c r="AT22135" s="247"/>
    </row>
    <row r="22136">
      <c r="C22136" s="277"/>
      <c r="M22136" s="277"/>
      <c r="O22136" s="247"/>
      <c r="AC22136" s="247"/>
      <c r="AT22136" s="247"/>
    </row>
    <row r="22137">
      <c r="C22137" s="277"/>
      <c r="M22137" s="277"/>
      <c r="O22137" s="247"/>
      <c r="AC22137" s="247"/>
      <c r="AT22137" s="247"/>
    </row>
    <row r="22138">
      <c r="C22138" s="277"/>
      <c r="M22138" s="277"/>
      <c r="O22138" s="247"/>
      <c r="AC22138" s="247"/>
      <c r="AT22138" s="247"/>
    </row>
    <row r="22139">
      <c r="C22139" s="277"/>
      <c r="M22139" s="277"/>
      <c r="O22139" s="247"/>
      <c r="AC22139" s="247"/>
      <c r="AT22139" s="247"/>
    </row>
    <row r="22140">
      <c r="C22140" s="277"/>
      <c r="M22140" s="277"/>
      <c r="O22140" s="247"/>
      <c r="AC22140" s="247"/>
      <c r="AT22140" s="247"/>
    </row>
    <row r="22141">
      <c r="C22141" s="277"/>
      <c r="M22141" s="277"/>
      <c r="O22141" s="247"/>
      <c r="AC22141" s="247"/>
      <c r="AT22141" s="247"/>
    </row>
    <row r="22142">
      <c r="C22142" s="277"/>
      <c r="M22142" s="277"/>
      <c r="O22142" s="247"/>
      <c r="AC22142" s="247"/>
      <c r="AT22142" s="247"/>
    </row>
    <row r="22143">
      <c r="C22143" s="277"/>
      <c r="M22143" s="277"/>
      <c r="O22143" s="247"/>
      <c r="AC22143" s="247"/>
      <c r="AT22143" s="247"/>
    </row>
    <row r="22144">
      <c r="C22144" s="277"/>
      <c r="M22144" s="277"/>
      <c r="O22144" s="247"/>
      <c r="AC22144" s="247"/>
      <c r="AT22144" s="247"/>
    </row>
    <row r="22145">
      <c r="C22145" s="277"/>
      <c r="M22145" s="277"/>
      <c r="O22145" s="247"/>
      <c r="AC22145" s="247"/>
      <c r="AT22145" s="247"/>
    </row>
    <row r="22146">
      <c r="C22146" s="277"/>
      <c r="M22146" s="277"/>
      <c r="O22146" s="247"/>
      <c r="AC22146" s="247"/>
      <c r="AT22146" s="247"/>
    </row>
    <row r="22147">
      <c r="C22147" s="277"/>
      <c r="M22147" s="277"/>
      <c r="O22147" s="247"/>
      <c r="AC22147" s="247"/>
      <c r="AT22147" s="247"/>
    </row>
    <row r="22148">
      <c r="C22148" s="277"/>
      <c r="M22148" s="277"/>
      <c r="O22148" s="247"/>
      <c r="AC22148" s="247"/>
      <c r="AT22148" s="247"/>
    </row>
    <row r="22149">
      <c r="C22149" s="277"/>
      <c r="M22149" s="277"/>
      <c r="O22149" s="247"/>
      <c r="AC22149" s="247"/>
      <c r="AT22149" s="247"/>
    </row>
    <row r="22150">
      <c r="C22150" s="277"/>
      <c r="M22150" s="277"/>
      <c r="O22150" s="247"/>
      <c r="AC22150" s="247"/>
      <c r="AT22150" s="247"/>
    </row>
    <row r="22151">
      <c r="C22151" s="277"/>
      <c r="M22151" s="277"/>
      <c r="O22151" s="247"/>
      <c r="AC22151" s="247"/>
      <c r="AT22151" s="247"/>
    </row>
    <row r="22152">
      <c r="C22152" s="277"/>
      <c r="M22152" s="277"/>
      <c r="O22152" s="247"/>
      <c r="AC22152" s="247"/>
      <c r="AT22152" s="247"/>
    </row>
    <row r="22153">
      <c r="C22153" s="277"/>
      <c r="M22153" s="277"/>
      <c r="O22153" s="247"/>
      <c r="AC22153" s="247"/>
      <c r="AT22153" s="247"/>
    </row>
    <row r="22154">
      <c r="C22154" s="277"/>
      <c r="M22154" s="277"/>
      <c r="O22154" s="247"/>
      <c r="AC22154" s="247"/>
      <c r="AT22154" s="247"/>
    </row>
    <row r="22155">
      <c r="C22155" s="277"/>
      <c r="M22155" s="277"/>
      <c r="O22155" s="247"/>
      <c r="AC22155" s="247"/>
      <c r="AT22155" s="247"/>
    </row>
    <row r="22156">
      <c r="C22156" s="277"/>
      <c r="M22156" s="277"/>
      <c r="O22156" s="247"/>
      <c r="AC22156" s="247"/>
      <c r="AT22156" s="247"/>
    </row>
    <row r="22157">
      <c r="C22157" s="277"/>
      <c r="M22157" s="277"/>
      <c r="O22157" s="247"/>
      <c r="AC22157" s="247"/>
      <c r="AT22157" s="247"/>
    </row>
    <row r="22158">
      <c r="C22158" s="277"/>
      <c r="M22158" s="277"/>
      <c r="O22158" s="247"/>
      <c r="AC22158" s="247"/>
      <c r="AT22158" s="247"/>
    </row>
    <row r="22159">
      <c r="C22159" s="277"/>
      <c r="M22159" s="277"/>
      <c r="O22159" s="247"/>
      <c r="AC22159" s="247"/>
      <c r="AT22159" s="247"/>
    </row>
    <row r="22160">
      <c r="C22160" s="277"/>
      <c r="M22160" s="277"/>
      <c r="O22160" s="247"/>
      <c r="AC22160" s="247"/>
      <c r="AT22160" s="247"/>
    </row>
    <row r="22161">
      <c r="C22161" s="277"/>
      <c r="M22161" s="277"/>
      <c r="O22161" s="247"/>
      <c r="AC22161" s="247"/>
      <c r="AT22161" s="247"/>
    </row>
    <row r="22162">
      <c r="C22162" s="277"/>
      <c r="M22162" s="277"/>
      <c r="O22162" s="247"/>
      <c r="AC22162" s="247"/>
      <c r="AT22162" s="247"/>
    </row>
    <row r="22163">
      <c r="C22163" s="277"/>
      <c r="M22163" s="277"/>
      <c r="O22163" s="247"/>
      <c r="AC22163" s="247"/>
      <c r="AT22163" s="247"/>
    </row>
    <row r="22164">
      <c r="C22164" s="277"/>
      <c r="M22164" s="277"/>
      <c r="O22164" s="247"/>
      <c r="AC22164" s="247"/>
      <c r="AT22164" s="247"/>
    </row>
    <row r="22165">
      <c r="C22165" s="277"/>
      <c r="M22165" s="277"/>
      <c r="O22165" s="247"/>
      <c r="AC22165" s="247"/>
      <c r="AT22165" s="247"/>
    </row>
    <row r="22166">
      <c r="C22166" s="277"/>
      <c r="M22166" s="277"/>
      <c r="O22166" s="247"/>
      <c r="AC22166" s="247"/>
      <c r="AT22166" s="247"/>
    </row>
    <row r="22167">
      <c r="C22167" s="277"/>
      <c r="M22167" s="277"/>
      <c r="O22167" s="247"/>
      <c r="AC22167" s="247"/>
      <c r="AT22167" s="247"/>
    </row>
    <row r="22168">
      <c r="C22168" s="277"/>
      <c r="M22168" s="277"/>
      <c r="O22168" s="247"/>
      <c r="AC22168" s="247"/>
      <c r="AT22168" s="247"/>
    </row>
    <row r="22169">
      <c r="C22169" s="277"/>
      <c r="M22169" s="277"/>
      <c r="O22169" s="247"/>
      <c r="AC22169" s="247"/>
      <c r="AT22169" s="247"/>
    </row>
    <row r="22170">
      <c r="C22170" s="277"/>
      <c r="M22170" s="277"/>
      <c r="O22170" s="247"/>
      <c r="AC22170" s="247"/>
      <c r="AT22170" s="247"/>
    </row>
    <row r="22171">
      <c r="C22171" s="277"/>
      <c r="M22171" s="277"/>
      <c r="O22171" s="247"/>
      <c r="AC22171" s="247"/>
      <c r="AT22171" s="247"/>
    </row>
    <row r="22172">
      <c r="C22172" s="277"/>
      <c r="M22172" s="277"/>
      <c r="O22172" s="247"/>
      <c r="AC22172" s="247"/>
      <c r="AT22172" s="247"/>
    </row>
    <row r="22173">
      <c r="C22173" s="277"/>
      <c r="M22173" s="277"/>
      <c r="O22173" s="247"/>
      <c r="AC22173" s="247"/>
      <c r="AT22173" s="247"/>
    </row>
    <row r="22174">
      <c r="C22174" s="277"/>
      <c r="M22174" s="277"/>
      <c r="O22174" s="247"/>
      <c r="AC22174" s="247"/>
      <c r="AT22174" s="247"/>
    </row>
    <row r="22175">
      <c r="C22175" s="277"/>
      <c r="M22175" s="277"/>
      <c r="O22175" s="247"/>
      <c r="AC22175" s="247"/>
      <c r="AT22175" s="247"/>
    </row>
    <row r="22176">
      <c r="C22176" s="277"/>
      <c r="M22176" s="277"/>
      <c r="O22176" s="247"/>
      <c r="AC22176" s="247"/>
      <c r="AT22176" s="247"/>
    </row>
    <row r="22177">
      <c r="C22177" s="277"/>
      <c r="M22177" s="277"/>
      <c r="O22177" s="247"/>
      <c r="AC22177" s="247"/>
      <c r="AT22177" s="247"/>
    </row>
    <row r="22178">
      <c r="C22178" s="277"/>
      <c r="M22178" s="277"/>
      <c r="O22178" s="247"/>
      <c r="AC22178" s="247"/>
      <c r="AT22178" s="247"/>
    </row>
    <row r="22179">
      <c r="C22179" s="277"/>
      <c r="M22179" s="277"/>
      <c r="O22179" s="247"/>
      <c r="AC22179" s="247"/>
      <c r="AT22179" s="247"/>
    </row>
    <row r="22180">
      <c r="C22180" s="277"/>
      <c r="M22180" s="277"/>
      <c r="O22180" s="247"/>
      <c r="AC22180" s="247"/>
      <c r="AT22180" s="247"/>
    </row>
    <row r="22181">
      <c r="C22181" s="277"/>
      <c r="M22181" s="277"/>
      <c r="O22181" s="247"/>
      <c r="AC22181" s="247"/>
      <c r="AT22181" s="247"/>
    </row>
    <row r="22182">
      <c r="C22182" s="277"/>
      <c r="M22182" s="277"/>
      <c r="O22182" s="247"/>
      <c r="AC22182" s="247"/>
      <c r="AT22182" s="247"/>
    </row>
    <row r="22183">
      <c r="C22183" s="277"/>
      <c r="M22183" s="277"/>
      <c r="O22183" s="247"/>
      <c r="AC22183" s="247"/>
      <c r="AT22183" s="247"/>
    </row>
    <row r="22184">
      <c r="C22184" s="277"/>
      <c r="M22184" s="277"/>
      <c r="O22184" s="247"/>
      <c r="AC22184" s="247"/>
      <c r="AT22184" s="247"/>
    </row>
    <row r="22185">
      <c r="C22185" s="277"/>
      <c r="M22185" s="277"/>
      <c r="O22185" s="247"/>
      <c r="AC22185" s="247"/>
      <c r="AT22185" s="247"/>
    </row>
    <row r="22186">
      <c r="C22186" s="277"/>
      <c r="M22186" s="277"/>
      <c r="O22186" s="247"/>
      <c r="AC22186" s="247"/>
      <c r="AT22186" s="247"/>
    </row>
    <row r="22187">
      <c r="C22187" s="277"/>
      <c r="M22187" s="277"/>
      <c r="O22187" s="247"/>
      <c r="AC22187" s="247"/>
      <c r="AT22187" s="247"/>
    </row>
    <row r="22188">
      <c r="C22188" s="277"/>
      <c r="M22188" s="277"/>
      <c r="O22188" s="247"/>
      <c r="AC22188" s="247"/>
      <c r="AT22188" s="247"/>
    </row>
    <row r="22189">
      <c r="C22189" s="277"/>
      <c r="M22189" s="277"/>
      <c r="O22189" s="247"/>
      <c r="AC22189" s="247"/>
      <c r="AT22189" s="247"/>
    </row>
    <row r="22190">
      <c r="C22190" s="277"/>
      <c r="M22190" s="277"/>
      <c r="O22190" s="247"/>
      <c r="AC22190" s="247"/>
      <c r="AT22190" s="247"/>
    </row>
    <row r="22191">
      <c r="C22191" s="277"/>
      <c r="M22191" s="277"/>
      <c r="O22191" s="247"/>
      <c r="AC22191" s="247"/>
      <c r="AT22191" s="247"/>
    </row>
    <row r="22192">
      <c r="C22192" s="277"/>
      <c r="M22192" s="277"/>
      <c r="O22192" s="247"/>
      <c r="AC22192" s="247"/>
      <c r="AT22192" s="247"/>
    </row>
    <row r="22193">
      <c r="C22193" s="277"/>
      <c r="M22193" s="277"/>
      <c r="O22193" s="247"/>
      <c r="AC22193" s="247"/>
      <c r="AT22193" s="247"/>
    </row>
    <row r="22194">
      <c r="C22194" s="277"/>
      <c r="M22194" s="277"/>
      <c r="O22194" s="247"/>
      <c r="AC22194" s="247"/>
      <c r="AT22194" s="247"/>
    </row>
    <row r="22195">
      <c r="C22195" s="277"/>
      <c r="M22195" s="277"/>
      <c r="O22195" s="247"/>
      <c r="AC22195" s="247"/>
      <c r="AT22195" s="247"/>
    </row>
    <row r="22196">
      <c r="C22196" s="277"/>
      <c r="M22196" s="277"/>
      <c r="O22196" s="247"/>
      <c r="AC22196" s="247"/>
      <c r="AT22196" s="247"/>
    </row>
    <row r="22197">
      <c r="C22197" s="277"/>
      <c r="M22197" s="277"/>
      <c r="O22197" s="247"/>
      <c r="AC22197" s="247"/>
      <c r="AT22197" s="247"/>
    </row>
    <row r="22198">
      <c r="C22198" s="277"/>
      <c r="M22198" s="277"/>
      <c r="O22198" s="247"/>
      <c r="AC22198" s="247"/>
      <c r="AT22198" s="247"/>
    </row>
    <row r="22199">
      <c r="C22199" s="277"/>
      <c r="M22199" s="277"/>
      <c r="O22199" s="247"/>
      <c r="AC22199" s="247"/>
      <c r="AT22199" s="247"/>
    </row>
    <row r="22200">
      <c r="C22200" s="277"/>
      <c r="M22200" s="277"/>
      <c r="O22200" s="247"/>
      <c r="AC22200" s="247"/>
      <c r="AT22200" s="247"/>
    </row>
    <row r="22201">
      <c r="C22201" s="277"/>
      <c r="M22201" s="277"/>
      <c r="O22201" s="247"/>
      <c r="AC22201" s="247"/>
      <c r="AT22201" s="247"/>
    </row>
    <row r="22202">
      <c r="C22202" s="277"/>
      <c r="M22202" s="277"/>
      <c r="O22202" s="247"/>
      <c r="AC22202" s="247"/>
      <c r="AT22202" s="247"/>
    </row>
    <row r="22203">
      <c r="C22203" s="277"/>
      <c r="M22203" s="277"/>
      <c r="O22203" s="247"/>
      <c r="AC22203" s="247"/>
      <c r="AT22203" s="247"/>
    </row>
    <row r="22204">
      <c r="C22204" s="277"/>
      <c r="M22204" s="277"/>
      <c r="O22204" s="247"/>
      <c r="AC22204" s="247"/>
      <c r="AT22204" s="247"/>
    </row>
    <row r="22205">
      <c r="C22205" s="277"/>
      <c r="M22205" s="277"/>
      <c r="O22205" s="247"/>
      <c r="AC22205" s="247"/>
      <c r="AT22205" s="247"/>
    </row>
    <row r="22206">
      <c r="C22206" s="277"/>
      <c r="M22206" s="277"/>
      <c r="O22206" s="247"/>
      <c r="AC22206" s="247"/>
      <c r="AT22206" s="247"/>
    </row>
    <row r="22207">
      <c r="C22207" s="277"/>
      <c r="M22207" s="277"/>
      <c r="O22207" s="247"/>
      <c r="AC22207" s="247"/>
      <c r="AT22207" s="247"/>
    </row>
    <row r="22208">
      <c r="C22208" s="277"/>
      <c r="M22208" s="277"/>
      <c r="O22208" s="247"/>
      <c r="AC22208" s="247"/>
      <c r="AT22208" s="247"/>
    </row>
    <row r="22209">
      <c r="C22209" s="277"/>
      <c r="M22209" s="277"/>
      <c r="O22209" s="247"/>
      <c r="AC22209" s="247"/>
      <c r="AT22209" s="247"/>
    </row>
    <row r="22210">
      <c r="C22210" s="277"/>
      <c r="M22210" s="277"/>
      <c r="O22210" s="247"/>
      <c r="AC22210" s="247"/>
      <c r="AT22210" s="247"/>
    </row>
    <row r="22211">
      <c r="C22211" s="277"/>
      <c r="M22211" s="277"/>
      <c r="O22211" s="247"/>
      <c r="AC22211" s="247"/>
      <c r="AT22211" s="247"/>
    </row>
    <row r="22212">
      <c r="C22212" s="277"/>
      <c r="M22212" s="277"/>
      <c r="O22212" s="247"/>
      <c r="AC22212" s="247"/>
      <c r="AT22212" s="247"/>
    </row>
    <row r="22213">
      <c r="C22213" s="277"/>
      <c r="M22213" s="277"/>
      <c r="O22213" s="247"/>
      <c r="AC22213" s="247"/>
      <c r="AT22213" s="247"/>
    </row>
    <row r="22214">
      <c r="C22214" s="277"/>
      <c r="M22214" s="277"/>
      <c r="O22214" s="247"/>
      <c r="AC22214" s="247"/>
      <c r="AT22214" s="247"/>
    </row>
    <row r="22215">
      <c r="C22215" s="277"/>
      <c r="M22215" s="277"/>
      <c r="O22215" s="247"/>
      <c r="AC22215" s="247"/>
      <c r="AT22215" s="247"/>
    </row>
    <row r="22216">
      <c r="C22216" s="277"/>
      <c r="M22216" s="277"/>
      <c r="O22216" s="247"/>
      <c r="AC22216" s="247"/>
      <c r="AT22216" s="247"/>
    </row>
    <row r="22217">
      <c r="C22217" s="277"/>
      <c r="M22217" s="277"/>
      <c r="O22217" s="247"/>
      <c r="AC22217" s="247"/>
      <c r="AT22217" s="247"/>
    </row>
    <row r="22218">
      <c r="C22218" s="277"/>
      <c r="M22218" s="277"/>
      <c r="O22218" s="247"/>
      <c r="AC22218" s="247"/>
      <c r="AT22218" s="247"/>
    </row>
    <row r="22219">
      <c r="C22219" s="277"/>
      <c r="M22219" s="277"/>
      <c r="O22219" s="247"/>
      <c r="AC22219" s="247"/>
      <c r="AT22219" s="247"/>
    </row>
    <row r="22220">
      <c r="C22220" s="277"/>
      <c r="M22220" s="277"/>
      <c r="O22220" s="247"/>
      <c r="AC22220" s="247"/>
      <c r="AT22220" s="247"/>
    </row>
    <row r="22221">
      <c r="C22221" s="277"/>
      <c r="M22221" s="277"/>
      <c r="O22221" s="247"/>
      <c r="AC22221" s="247"/>
      <c r="AT22221" s="247"/>
    </row>
    <row r="22222">
      <c r="C22222" s="277"/>
      <c r="M22222" s="277"/>
      <c r="O22222" s="247"/>
      <c r="AC22222" s="247"/>
      <c r="AT22222" s="247"/>
    </row>
    <row r="22223">
      <c r="C22223" s="277"/>
      <c r="M22223" s="277"/>
      <c r="O22223" s="247"/>
      <c r="AC22223" s="247"/>
      <c r="AT22223" s="247"/>
    </row>
    <row r="22224">
      <c r="C22224" s="277"/>
      <c r="M22224" s="277"/>
      <c r="O22224" s="247"/>
      <c r="AC22224" s="247"/>
      <c r="AT22224" s="247"/>
    </row>
    <row r="22225">
      <c r="C22225" s="277"/>
      <c r="M22225" s="277"/>
      <c r="O22225" s="247"/>
      <c r="AC22225" s="247"/>
      <c r="AT22225" s="247"/>
    </row>
    <row r="22226">
      <c r="C22226" s="277"/>
      <c r="M22226" s="277"/>
      <c r="O22226" s="247"/>
      <c r="AC22226" s="247"/>
      <c r="AT22226" s="247"/>
    </row>
    <row r="22227">
      <c r="C22227" s="277"/>
      <c r="M22227" s="277"/>
      <c r="O22227" s="247"/>
      <c r="AC22227" s="247"/>
      <c r="AT22227" s="247"/>
    </row>
    <row r="22228">
      <c r="C22228" s="277"/>
      <c r="M22228" s="277"/>
      <c r="O22228" s="247"/>
      <c r="AC22228" s="247"/>
      <c r="AT22228" s="247"/>
    </row>
    <row r="22229">
      <c r="C22229" s="277"/>
      <c r="M22229" s="277"/>
      <c r="O22229" s="247"/>
      <c r="AC22229" s="247"/>
      <c r="AT22229" s="247"/>
    </row>
    <row r="22230">
      <c r="C22230" s="277"/>
      <c r="M22230" s="277"/>
      <c r="O22230" s="247"/>
      <c r="AC22230" s="247"/>
      <c r="AT22230" s="247"/>
    </row>
    <row r="22231">
      <c r="C22231" s="277"/>
      <c r="M22231" s="277"/>
      <c r="O22231" s="247"/>
      <c r="AC22231" s="247"/>
      <c r="AT22231" s="247"/>
    </row>
    <row r="22232">
      <c r="C22232" s="277"/>
      <c r="M22232" s="277"/>
      <c r="O22232" s="247"/>
      <c r="AC22232" s="247"/>
      <c r="AT22232" s="247"/>
    </row>
    <row r="22233">
      <c r="C22233" s="277"/>
      <c r="M22233" s="277"/>
      <c r="O22233" s="247"/>
      <c r="AC22233" s="247"/>
      <c r="AT22233" s="247"/>
    </row>
    <row r="22234">
      <c r="C22234" s="277"/>
      <c r="M22234" s="277"/>
      <c r="O22234" s="247"/>
      <c r="AC22234" s="247"/>
      <c r="AT22234" s="247"/>
    </row>
    <row r="22235">
      <c r="C22235" s="277"/>
      <c r="M22235" s="277"/>
      <c r="O22235" s="247"/>
      <c r="AC22235" s="247"/>
      <c r="AT22235" s="247"/>
    </row>
    <row r="22236">
      <c r="C22236" s="277"/>
      <c r="M22236" s="277"/>
      <c r="O22236" s="247"/>
      <c r="AC22236" s="247"/>
      <c r="AT22236" s="247"/>
    </row>
    <row r="22237">
      <c r="C22237" s="277"/>
      <c r="M22237" s="277"/>
      <c r="O22237" s="247"/>
      <c r="AC22237" s="247"/>
      <c r="AT22237" s="247"/>
    </row>
    <row r="22238">
      <c r="C22238" s="277"/>
      <c r="M22238" s="277"/>
      <c r="O22238" s="247"/>
      <c r="AC22238" s="247"/>
      <c r="AT22238" s="247"/>
    </row>
    <row r="22239">
      <c r="C22239" s="277"/>
      <c r="M22239" s="277"/>
      <c r="O22239" s="247"/>
      <c r="AC22239" s="247"/>
      <c r="AT22239" s="247"/>
    </row>
    <row r="22240">
      <c r="C22240" s="277"/>
      <c r="M22240" s="277"/>
      <c r="O22240" s="247"/>
      <c r="AC22240" s="247"/>
      <c r="AT22240" s="247"/>
    </row>
    <row r="22241">
      <c r="C22241" s="277"/>
      <c r="M22241" s="277"/>
      <c r="O22241" s="247"/>
      <c r="AC22241" s="247"/>
      <c r="AT22241" s="247"/>
    </row>
    <row r="22242">
      <c r="C22242" s="277"/>
      <c r="M22242" s="277"/>
      <c r="O22242" s="247"/>
      <c r="AC22242" s="247"/>
      <c r="AT22242" s="247"/>
    </row>
    <row r="22243">
      <c r="C22243" s="277"/>
      <c r="M22243" s="277"/>
      <c r="O22243" s="247"/>
      <c r="AC22243" s="247"/>
      <c r="AT22243" s="247"/>
    </row>
    <row r="22244">
      <c r="C22244" s="277"/>
      <c r="M22244" s="277"/>
      <c r="O22244" s="247"/>
      <c r="AC22244" s="247"/>
      <c r="AT22244" s="247"/>
    </row>
    <row r="22245">
      <c r="C22245" s="277"/>
      <c r="M22245" s="277"/>
      <c r="O22245" s="247"/>
      <c r="AC22245" s="247"/>
      <c r="AT22245" s="247"/>
    </row>
    <row r="22246">
      <c r="C22246" s="277"/>
      <c r="M22246" s="277"/>
      <c r="O22246" s="247"/>
      <c r="AC22246" s="247"/>
      <c r="AT22246" s="247"/>
    </row>
    <row r="22247">
      <c r="C22247" s="277"/>
      <c r="M22247" s="277"/>
      <c r="O22247" s="247"/>
      <c r="AC22247" s="247"/>
      <c r="AT22247" s="247"/>
    </row>
    <row r="22248">
      <c r="C22248" s="277"/>
      <c r="M22248" s="277"/>
      <c r="O22248" s="247"/>
      <c r="AC22248" s="247"/>
      <c r="AT22248" s="247"/>
    </row>
    <row r="22249">
      <c r="C22249" s="277"/>
      <c r="M22249" s="277"/>
      <c r="O22249" s="247"/>
      <c r="AC22249" s="247"/>
      <c r="AT22249" s="247"/>
    </row>
    <row r="22250">
      <c r="C22250" s="277"/>
      <c r="M22250" s="277"/>
      <c r="O22250" s="247"/>
      <c r="AC22250" s="247"/>
      <c r="AT22250" s="247"/>
    </row>
    <row r="22251">
      <c r="C22251" s="277"/>
      <c r="M22251" s="277"/>
      <c r="O22251" s="247"/>
      <c r="AC22251" s="247"/>
      <c r="AT22251" s="247"/>
    </row>
    <row r="22252">
      <c r="C22252" s="277"/>
      <c r="M22252" s="277"/>
      <c r="O22252" s="247"/>
      <c r="AC22252" s="247"/>
      <c r="AT22252" s="247"/>
    </row>
    <row r="22253">
      <c r="C22253" s="277"/>
      <c r="M22253" s="277"/>
      <c r="O22253" s="247"/>
      <c r="AC22253" s="247"/>
      <c r="AT22253" s="247"/>
    </row>
    <row r="22254">
      <c r="C22254" s="277"/>
      <c r="M22254" s="277"/>
      <c r="O22254" s="247"/>
      <c r="AC22254" s="247"/>
      <c r="AT22254" s="247"/>
    </row>
    <row r="22255">
      <c r="C22255" s="277"/>
      <c r="M22255" s="277"/>
      <c r="O22255" s="247"/>
      <c r="AC22255" s="247"/>
      <c r="AT22255" s="247"/>
    </row>
    <row r="22256">
      <c r="C22256" s="277"/>
      <c r="M22256" s="277"/>
      <c r="O22256" s="247"/>
      <c r="AC22256" s="247"/>
      <c r="AT22256" s="247"/>
    </row>
    <row r="22257">
      <c r="C22257" s="277"/>
      <c r="M22257" s="277"/>
      <c r="O22257" s="247"/>
      <c r="AC22257" s="247"/>
      <c r="AT22257" s="247"/>
    </row>
    <row r="22258">
      <c r="C22258" s="277"/>
      <c r="M22258" s="277"/>
      <c r="O22258" s="247"/>
      <c r="AC22258" s="247"/>
      <c r="AT22258" s="247"/>
    </row>
    <row r="22259">
      <c r="C22259" s="277"/>
      <c r="M22259" s="277"/>
      <c r="O22259" s="247"/>
      <c r="AC22259" s="247"/>
      <c r="AT22259" s="247"/>
    </row>
    <row r="22260">
      <c r="C22260" s="277"/>
      <c r="M22260" s="277"/>
      <c r="O22260" s="247"/>
      <c r="AC22260" s="247"/>
      <c r="AT22260" s="247"/>
    </row>
    <row r="22261">
      <c r="C22261" s="277"/>
      <c r="M22261" s="277"/>
      <c r="O22261" s="247"/>
      <c r="AC22261" s="247"/>
      <c r="AT22261" s="247"/>
    </row>
    <row r="22262">
      <c r="C22262" s="277"/>
      <c r="M22262" s="277"/>
      <c r="O22262" s="247"/>
      <c r="AC22262" s="247"/>
      <c r="AT22262" s="247"/>
    </row>
    <row r="22263">
      <c r="C22263" s="277"/>
      <c r="M22263" s="277"/>
      <c r="O22263" s="247"/>
      <c r="AC22263" s="247"/>
      <c r="AT22263" s="247"/>
    </row>
    <row r="22264">
      <c r="C22264" s="277"/>
      <c r="M22264" s="277"/>
      <c r="O22264" s="247"/>
      <c r="AC22264" s="247"/>
      <c r="AT22264" s="247"/>
    </row>
    <row r="22265">
      <c r="C22265" s="277"/>
      <c r="M22265" s="277"/>
      <c r="O22265" s="247"/>
      <c r="AC22265" s="247"/>
      <c r="AT22265" s="247"/>
    </row>
    <row r="22266">
      <c r="C22266" s="277"/>
      <c r="M22266" s="277"/>
      <c r="O22266" s="247"/>
      <c r="AC22266" s="247"/>
      <c r="AT22266" s="247"/>
    </row>
    <row r="22267">
      <c r="C22267" s="277"/>
      <c r="M22267" s="277"/>
      <c r="O22267" s="247"/>
      <c r="AC22267" s="247"/>
      <c r="AT22267" s="247"/>
    </row>
    <row r="22268">
      <c r="C22268" s="277"/>
      <c r="M22268" s="277"/>
      <c r="O22268" s="247"/>
      <c r="AC22268" s="247"/>
      <c r="AT22268" s="247"/>
    </row>
    <row r="22269">
      <c r="C22269" s="277"/>
      <c r="M22269" s="277"/>
      <c r="O22269" s="247"/>
      <c r="AC22269" s="247"/>
      <c r="AT22269" s="247"/>
    </row>
    <row r="22270">
      <c r="C22270" s="277"/>
      <c r="M22270" s="277"/>
      <c r="O22270" s="247"/>
      <c r="AC22270" s="247"/>
      <c r="AT22270" s="247"/>
    </row>
    <row r="22271">
      <c r="C22271" s="277"/>
      <c r="M22271" s="277"/>
      <c r="O22271" s="247"/>
      <c r="AC22271" s="247"/>
      <c r="AT22271" s="247"/>
    </row>
    <row r="22272">
      <c r="C22272" s="277"/>
      <c r="M22272" s="277"/>
      <c r="O22272" s="247"/>
      <c r="AC22272" s="247"/>
      <c r="AT22272" s="247"/>
    </row>
    <row r="22273">
      <c r="C22273" s="277"/>
      <c r="M22273" s="277"/>
      <c r="O22273" s="247"/>
      <c r="AC22273" s="247"/>
      <c r="AT22273" s="247"/>
    </row>
    <row r="22274">
      <c r="C22274" s="277"/>
      <c r="M22274" s="277"/>
      <c r="O22274" s="247"/>
      <c r="AC22274" s="247"/>
      <c r="AT22274" s="247"/>
    </row>
    <row r="22275">
      <c r="C22275" s="277"/>
      <c r="M22275" s="277"/>
      <c r="O22275" s="247"/>
      <c r="AC22275" s="247"/>
      <c r="AT22275" s="247"/>
    </row>
    <row r="22276">
      <c r="C22276" s="277"/>
      <c r="M22276" s="277"/>
      <c r="O22276" s="247"/>
      <c r="AC22276" s="247"/>
      <c r="AT22276" s="247"/>
    </row>
    <row r="22277">
      <c r="C22277" s="277"/>
      <c r="M22277" s="277"/>
      <c r="O22277" s="247"/>
      <c r="AC22277" s="247"/>
      <c r="AT22277" s="247"/>
    </row>
    <row r="22278">
      <c r="C22278" s="277"/>
      <c r="M22278" s="277"/>
      <c r="O22278" s="247"/>
      <c r="AC22278" s="247"/>
      <c r="AT22278" s="247"/>
    </row>
    <row r="22279">
      <c r="C22279" s="277"/>
      <c r="M22279" s="277"/>
      <c r="O22279" s="247"/>
      <c r="AC22279" s="247"/>
      <c r="AT22279" s="247"/>
    </row>
    <row r="22280">
      <c r="C22280" s="277"/>
      <c r="M22280" s="277"/>
      <c r="O22280" s="247"/>
      <c r="AC22280" s="247"/>
      <c r="AT22280" s="247"/>
    </row>
    <row r="22281">
      <c r="C22281" s="277"/>
      <c r="M22281" s="277"/>
      <c r="O22281" s="247"/>
      <c r="AC22281" s="247"/>
      <c r="AT22281" s="247"/>
    </row>
    <row r="22282">
      <c r="C22282" s="277"/>
      <c r="M22282" s="277"/>
      <c r="O22282" s="247"/>
      <c r="AC22282" s="247"/>
      <c r="AT22282" s="247"/>
    </row>
    <row r="22283">
      <c r="C22283" s="277"/>
      <c r="M22283" s="277"/>
      <c r="O22283" s="247"/>
      <c r="AC22283" s="247"/>
      <c r="AT22283" s="247"/>
    </row>
    <row r="22284">
      <c r="C22284" s="277"/>
      <c r="M22284" s="277"/>
      <c r="O22284" s="247"/>
      <c r="AC22284" s="247"/>
      <c r="AT22284" s="247"/>
    </row>
    <row r="22285">
      <c r="C22285" s="277"/>
      <c r="M22285" s="277"/>
      <c r="O22285" s="247"/>
      <c r="AC22285" s="247"/>
      <c r="AT22285" s="247"/>
    </row>
    <row r="22286">
      <c r="C22286" s="277"/>
      <c r="M22286" s="277"/>
      <c r="O22286" s="247"/>
      <c r="AC22286" s="247"/>
      <c r="AT22286" s="247"/>
    </row>
    <row r="22287">
      <c r="C22287" s="277"/>
      <c r="M22287" s="277"/>
      <c r="O22287" s="247"/>
      <c r="AC22287" s="247"/>
      <c r="AT22287" s="247"/>
    </row>
    <row r="22288">
      <c r="C22288" s="277"/>
      <c r="M22288" s="277"/>
      <c r="O22288" s="247"/>
      <c r="AC22288" s="247"/>
      <c r="AT22288" s="247"/>
    </row>
    <row r="22289">
      <c r="C22289" s="277"/>
      <c r="M22289" s="277"/>
      <c r="O22289" s="247"/>
      <c r="AC22289" s="247"/>
      <c r="AT22289" s="247"/>
    </row>
    <row r="22290">
      <c r="C22290" s="277"/>
      <c r="M22290" s="277"/>
      <c r="O22290" s="247"/>
      <c r="AC22290" s="247"/>
      <c r="AT22290" s="247"/>
    </row>
    <row r="22291">
      <c r="C22291" s="277"/>
      <c r="M22291" s="277"/>
      <c r="O22291" s="247"/>
      <c r="AC22291" s="247"/>
      <c r="AT22291" s="247"/>
    </row>
    <row r="22292">
      <c r="C22292" s="277"/>
      <c r="M22292" s="277"/>
      <c r="O22292" s="247"/>
      <c r="AC22292" s="247"/>
      <c r="AT22292" s="247"/>
    </row>
    <row r="22293">
      <c r="C22293" s="277"/>
      <c r="M22293" s="277"/>
      <c r="O22293" s="247"/>
      <c r="AC22293" s="247"/>
      <c r="AT22293" s="247"/>
    </row>
    <row r="22294">
      <c r="C22294" s="277"/>
      <c r="M22294" s="277"/>
      <c r="O22294" s="247"/>
      <c r="AC22294" s="247"/>
      <c r="AT22294" s="247"/>
    </row>
    <row r="22295">
      <c r="C22295" s="277"/>
      <c r="M22295" s="277"/>
      <c r="O22295" s="247"/>
      <c r="AC22295" s="247"/>
      <c r="AT22295" s="247"/>
    </row>
    <row r="22296">
      <c r="C22296" s="277"/>
      <c r="M22296" s="277"/>
      <c r="O22296" s="247"/>
      <c r="AC22296" s="247"/>
      <c r="AT22296" s="247"/>
    </row>
    <row r="22297">
      <c r="C22297" s="277"/>
      <c r="M22297" s="277"/>
      <c r="O22297" s="247"/>
      <c r="AC22297" s="247"/>
      <c r="AT22297" s="247"/>
    </row>
    <row r="22298">
      <c r="C22298" s="277"/>
      <c r="M22298" s="277"/>
      <c r="O22298" s="247"/>
      <c r="AC22298" s="247"/>
      <c r="AT22298" s="247"/>
    </row>
    <row r="22299">
      <c r="C22299" s="277"/>
      <c r="M22299" s="277"/>
      <c r="O22299" s="247"/>
      <c r="AC22299" s="247"/>
      <c r="AT22299" s="247"/>
    </row>
    <row r="22300">
      <c r="C22300" s="277"/>
      <c r="M22300" s="277"/>
      <c r="O22300" s="247"/>
      <c r="AC22300" s="247"/>
      <c r="AT22300" s="247"/>
    </row>
    <row r="22301">
      <c r="C22301" s="277"/>
      <c r="M22301" s="277"/>
      <c r="O22301" s="247"/>
      <c r="AC22301" s="247"/>
      <c r="AT22301" s="247"/>
    </row>
    <row r="22302">
      <c r="C22302" s="277"/>
      <c r="M22302" s="277"/>
      <c r="O22302" s="247"/>
      <c r="AC22302" s="247"/>
      <c r="AT22302" s="247"/>
    </row>
    <row r="22303">
      <c r="C22303" s="277"/>
      <c r="M22303" s="277"/>
      <c r="O22303" s="247"/>
      <c r="AC22303" s="247"/>
      <c r="AT22303" s="247"/>
    </row>
    <row r="22304">
      <c r="C22304" s="277"/>
      <c r="M22304" s="277"/>
      <c r="O22304" s="247"/>
      <c r="AC22304" s="247"/>
      <c r="AT22304" s="247"/>
    </row>
    <row r="22305">
      <c r="C22305" s="277"/>
      <c r="M22305" s="277"/>
      <c r="O22305" s="247"/>
      <c r="AC22305" s="247"/>
      <c r="AT22305" s="247"/>
    </row>
    <row r="22306">
      <c r="C22306" s="277"/>
      <c r="M22306" s="277"/>
      <c r="O22306" s="247"/>
      <c r="AC22306" s="247"/>
      <c r="AT22306" s="247"/>
    </row>
    <row r="22307">
      <c r="C22307" s="277"/>
      <c r="M22307" s="277"/>
      <c r="O22307" s="247"/>
      <c r="AC22307" s="247"/>
      <c r="AT22307" s="247"/>
    </row>
    <row r="22308">
      <c r="C22308" s="277"/>
      <c r="M22308" s="277"/>
      <c r="O22308" s="247"/>
      <c r="AC22308" s="247"/>
      <c r="AT22308" s="247"/>
    </row>
    <row r="22309">
      <c r="C22309" s="277"/>
      <c r="M22309" s="277"/>
      <c r="O22309" s="247"/>
      <c r="AC22309" s="247"/>
      <c r="AT22309" s="247"/>
    </row>
    <row r="22310">
      <c r="C22310" s="277"/>
      <c r="M22310" s="277"/>
      <c r="O22310" s="247"/>
      <c r="AC22310" s="247"/>
      <c r="AT22310" s="247"/>
    </row>
    <row r="22311">
      <c r="C22311" s="277"/>
      <c r="M22311" s="277"/>
      <c r="O22311" s="247"/>
      <c r="AC22311" s="247"/>
      <c r="AT22311" s="247"/>
    </row>
    <row r="22312">
      <c r="C22312" s="277"/>
      <c r="M22312" s="277"/>
      <c r="O22312" s="247"/>
      <c r="AC22312" s="247"/>
      <c r="AT22312" s="247"/>
    </row>
    <row r="22313">
      <c r="C22313" s="277"/>
      <c r="M22313" s="277"/>
      <c r="O22313" s="247"/>
      <c r="AC22313" s="247"/>
      <c r="AT22313" s="247"/>
    </row>
    <row r="22314">
      <c r="C22314" s="277"/>
      <c r="M22314" s="277"/>
      <c r="O22314" s="247"/>
      <c r="AC22314" s="247"/>
      <c r="AT22314" s="247"/>
    </row>
    <row r="22315">
      <c r="C22315" s="277"/>
      <c r="M22315" s="277"/>
      <c r="O22315" s="247"/>
      <c r="AC22315" s="247"/>
      <c r="AT22315" s="247"/>
    </row>
    <row r="22316">
      <c r="C22316" s="277"/>
      <c r="M22316" s="277"/>
      <c r="O22316" s="247"/>
      <c r="AC22316" s="247"/>
      <c r="AT22316" s="247"/>
    </row>
    <row r="22317">
      <c r="C22317" s="277"/>
      <c r="M22317" s="277"/>
      <c r="O22317" s="247"/>
      <c r="AC22317" s="247"/>
      <c r="AT22317" s="247"/>
    </row>
    <row r="22318">
      <c r="C22318" s="277"/>
      <c r="M22318" s="277"/>
      <c r="O22318" s="247"/>
      <c r="AC22318" s="247"/>
      <c r="AT22318" s="247"/>
    </row>
    <row r="22319">
      <c r="C22319" s="277"/>
      <c r="M22319" s="277"/>
      <c r="O22319" s="247"/>
      <c r="AC22319" s="247"/>
      <c r="AT22319" s="247"/>
    </row>
    <row r="22320">
      <c r="C22320" s="277"/>
      <c r="M22320" s="277"/>
      <c r="O22320" s="247"/>
      <c r="AC22320" s="247"/>
      <c r="AT22320" s="247"/>
    </row>
    <row r="22321">
      <c r="C22321" s="277"/>
      <c r="M22321" s="277"/>
      <c r="O22321" s="247"/>
      <c r="AC22321" s="247"/>
      <c r="AT22321" s="247"/>
    </row>
    <row r="22322">
      <c r="C22322" s="277"/>
      <c r="M22322" s="277"/>
      <c r="O22322" s="247"/>
      <c r="AC22322" s="247"/>
      <c r="AT22322" s="247"/>
    </row>
    <row r="22323">
      <c r="C22323" s="277"/>
      <c r="M22323" s="277"/>
      <c r="O22323" s="247"/>
      <c r="AC22323" s="247"/>
      <c r="AT22323" s="247"/>
    </row>
    <row r="22324">
      <c r="C22324" s="277"/>
      <c r="M22324" s="277"/>
      <c r="O22324" s="247"/>
      <c r="AC22324" s="247"/>
      <c r="AT22324" s="247"/>
    </row>
    <row r="22325">
      <c r="C22325" s="277"/>
      <c r="M22325" s="277"/>
      <c r="O22325" s="247"/>
      <c r="AC22325" s="247"/>
      <c r="AT22325" s="247"/>
    </row>
    <row r="22326">
      <c r="C22326" s="277"/>
      <c r="M22326" s="277"/>
      <c r="O22326" s="247"/>
      <c r="AC22326" s="247"/>
      <c r="AT22326" s="247"/>
    </row>
    <row r="22327">
      <c r="C22327" s="277"/>
      <c r="M22327" s="277"/>
      <c r="O22327" s="247"/>
      <c r="AC22327" s="247"/>
      <c r="AT22327" s="247"/>
    </row>
    <row r="22328">
      <c r="C22328" s="277"/>
      <c r="M22328" s="277"/>
      <c r="O22328" s="247"/>
      <c r="AC22328" s="247"/>
      <c r="AT22328" s="247"/>
    </row>
    <row r="22329">
      <c r="C22329" s="277"/>
      <c r="M22329" s="277"/>
      <c r="O22329" s="247"/>
      <c r="AC22329" s="247"/>
      <c r="AT22329" s="247"/>
    </row>
    <row r="22330">
      <c r="C22330" s="277"/>
      <c r="M22330" s="277"/>
      <c r="O22330" s="247"/>
      <c r="AC22330" s="247"/>
      <c r="AT22330" s="247"/>
    </row>
    <row r="22331">
      <c r="C22331" s="277"/>
      <c r="M22331" s="277"/>
      <c r="O22331" s="247"/>
      <c r="AC22331" s="247"/>
      <c r="AT22331" s="247"/>
    </row>
    <row r="22332">
      <c r="C22332" s="277"/>
      <c r="M22332" s="277"/>
      <c r="O22332" s="247"/>
      <c r="AC22332" s="247"/>
      <c r="AT22332" s="247"/>
    </row>
    <row r="22333">
      <c r="C22333" s="277"/>
      <c r="M22333" s="277"/>
      <c r="O22333" s="247"/>
      <c r="AC22333" s="247"/>
      <c r="AT22333" s="247"/>
    </row>
    <row r="22334">
      <c r="C22334" s="277"/>
      <c r="M22334" s="277"/>
      <c r="O22334" s="247"/>
      <c r="AC22334" s="247"/>
      <c r="AT22334" s="247"/>
    </row>
    <row r="22335">
      <c r="C22335" s="277"/>
      <c r="M22335" s="277"/>
      <c r="O22335" s="247"/>
      <c r="AC22335" s="247"/>
      <c r="AT22335" s="247"/>
    </row>
    <row r="22336">
      <c r="C22336" s="277"/>
      <c r="M22336" s="277"/>
      <c r="O22336" s="247"/>
      <c r="AC22336" s="247"/>
      <c r="AT22336" s="247"/>
    </row>
    <row r="22337">
      <c r="C22337" s="277"/>
      <c r="M22337" s="277"/>
      <c r="O22337" s="247"/>
      <c r="AC22337" s="247"/>
      <c r="AT22337" s="247"/>
    </row>
    <row r="22338">
      <c r="C22338" s="277"/>
      <c r="M22338" s="277"/>
      <c r="O22338" s="247"/>
      <c r="AC22338" s="247"/>
      <c r="AT22338" s="247"/>
    </row>
    <row r="22339">
      <c r="C22339" s="277"/>
      <c r="M22339" s="277"/>
      <c r="O22339" s="247"/>
      <c r="AC22339" s="247"/>
      <c r="AT22339" s="247"/>
    </row>
    <row r="22340">
      <c r="C22340" s="277"/>
      <c r="M22340" s="277"/>
      <c r="O22340" s="247"/>
      <c r="AC22340" s="247"/>
      <c r="AT22340" s="247"/>
    </row>
    <row r="22341">
      <c r="C22341" s="277"/>
      <c r="M22341" s="277"/>
      <c r="O22341" s="247"/>
      <c r="AC22341" s="247"/>
      <c r="AT22341" s="247"/>
    </row>
    <row r="22342">
      <c r="C22342" s="277"/>
      <c r="M22342" s="277"/>
      <c r="O22342" s="247"/>
      <c r="AC22342" s="247"/>
      <c r="AT22342" s="247"/>
    </row>
    <row r="22343">
      <c r="C22343" s="277"/>
      <c r="M22343" s="277"/>
      <c r="O22343" s="247"/>
      <c r="AC22343" s="247"/>
      <c r="AT22343" s="247"/>
    </row>
    <row r="22344">
      <c r="C22344" s="277"/>
      <c r="M22344" s="277"/>
      <c r="O22344" s="247"/>
      <c r="AC22344" s="247"/>
      <c r="AT22344" s="247"/>
    </row>
    <row r="22345">
      <c r="C22345" s="277"/>
      <c r="M22345" s="277"/>
      <c r="O22345" s="247"/>
      <c r="AC22345" s="247"/>
      <c r="AT22345" s="247"/>
    </row>
    <row r="22346">
      <c r="C22346" s="277"/>
      <c r="M22346" s="277"/>
      <c r="O22346" s="247"/>
      <c r="AC22346" s="247"/>
      <c r="AT22346" s="247"/>
    </row>
    <row r="22347">
      <c r="C22347" s="277"/>
      <c r="M22347" s="277"/>
      <c r="O22347" s="247"/>
      <c r="AC22347" s="247"/>
      <c r="AT22347" s="247"/>
    </row>
    <row r="22348">
      <c r="C22348" s="277"/>
      <c r="M22348" s="277"/>
      <c r="O22348" s="247"/>
      <c r="AC22348" s="247"/>
      <c r="AT22348" s="247"/>
    </row>
    <row r="22349">
      <c r="C22349" s="277"/>
      <c r="M22349" s="277"/>
      <c r="O22349" s="247"/>
      <c r="AC22349" s="247"/>
      <c r="AT22349" s="247"/>
    </row>
    <row r="22350">
      <c r="C22350" s="277"/>
      <c r="M22350" s="277"/>
      <c r="O22350" s="247"/>
      <c r="AC22350" s="247"/>
      <c r="AT22350" s="247"/>
    </row>
    <row r="22351">
      <c r="C22351" s="277"/>
      <c r="M22351" s="277"/>
      <c r="O22351" s="247"/>
      <c r="AC22351" s="247"/>
      <c r="AT22351" s="247"/>
    </row>
    <row r="22352">
      <c r="C22352" s="277"/>
      <c r="M22352" s="277"/>
      <c r="O22352" s="247"/>
      <c r="AC22352" s="247"/>
      <c r="AT22352" s="247"/>
    </row>
    <row r="22353">
      <c r="C22353" s="277"/>
      <c r="M22353" s="277"/>
      <c r="O22353" s="247"/>
      <c r="AC22353" s="247"/>
      <c r="AT22353" s="247"/>
    </row>
    <row r="22354">
      <c r="C22354" s="277"/>
      <c r="M22354" s="277"/>
      <c r="O22354" s="247"/>
      <c r="AC22354" s="247"/>
      <c r="AT22354" s="247"/>
    </row>
    <row r="22355">
      <c r="C22355" s="277"/>
      <c r="M22355" s="277"/>
      <c r="O22355" s="247"/>
      <c r="AC22355" s="247"/>
      <c r="AT22355" s="247"/>
    </row>
    <row r="22356">
      <c r="C22356" s="277"/>
      <c r="M22356" s="277"/>
      <c r="O22356" s="247"/>
      <c r="AC22356" s="247"/>
      <c r="AT22356" s="247"/>
    </row>
    <row r="22357">
      <c r="C22357" s="277"/>
      <c r="M22357" s="277"/>
      <c r="O22357" s="247"/>
      <c r="AC22357" s="247"/>
      <c r="AT22357" s="247"/>
    </row>
    <row r="22358">
      <c r="C22358" s="277"/>
      <c r="M22358" s="277"/>
      <c r="O22358" s="247"/>
      <c r="AC22358" s="247"/>
      <c r="AT22358" s="247"/>
    </row>
    <row r="22359">
      <c r="C22359" s="277"/>
      <c r="M22359" s="277"/>
      <c r="O22359" s="247"/>
      <c r="AC22359" s="247"/>
      <c r="AT22359" s="247"/>
    </row>
    <row r="22360">
      <c r="C22360" s="277"/>
      <c r="M22360" s="277"/>
      <c r="O22360" s="247"/>
      <c r="AC22360" s="247"/>
      <c r="AT22360" s="247"/>
    </row>
    <row r="22361">
      <c r="C22361" s="277"/>
      <c r="M22361" s="277"/>
      <c r="O22361" s="247"/>
      <c r="AC22361" s="247"/>
      <c r="AT22361" s="247"/>
    </row>
    <row r="22362">
      <c r="C22362" s="277"/>
      <c r="M22362" s="277"/>
      <c r="O22362" s="247"/>
      <c r="AC22362" s="247"/>
      <c r="AT22362" s="247"/>
    </row>
    <row r="22363">
      <c r="C22363" s="277"/>
      <c r="M22363" s="277"/>
      <c r="O22363" s="247"/>
      <c r="AC22363" s="247"/>
      <c r="AT22363" s="247"/>
    </row>
    <row r="22364">
      <c r="C22364" s="277"/>
      <c r="M22364" s="277"/>
      <c r="O22364" s="247"/>
      <c r="AC22364" s="247"/>
      <c r="AT22364" s="247"/>
    </row>
    <row r="22365">
      <c r="C22365" s="277"/>
      <c r="M22365" s="277"/>
      <c r="O22365" s="247"/>
      <c r="AC22365" s="247"/>
      <c r="AT22365" s="247"/>
    </row>
    <row r="22366">
      <c r="C22366" s="277"/>
      <c r="M22366" s="277"/>
      <c r="O22366" s="247"/>
      <c r="AC22366" s="247"/>
      <c r="AT22366" s="247"/>
    </row>
    <row r="22367">
      <c r="C22367" s="277"/>
      <c r="M22367" s="277"/>
      <c r="O22367" s="247"/>
      <c r="AC22367" s="247"/>
      <c r="AT22367" s="247"/>
    </row>
    <row r="22368">
      <c r="C22368" s="277"/>
      <c r="M22368" s="277"/>
      <c r="O22368" s="247"/>
      <c r="AC22368" s="247"/>
      <c r="AT22368" s="247"/>
    </row>
    <row r="22369">
      <c r="C22369" s="277"/>
      <c r="M22369" s="277"/>
      <c r="O22369" s="247"/>
      <c r="AC22369" s="247"/>
      <c r="AT22369" s="247"/>
    </row>
    <row r="22370">
      <c r="C22370" s="277"/>
      <c r="M22370" s="277"/>
      <c r="O22370" s="247"/>
      <c r="AC22370" s="247"/>
      <c r="AT22370" s="247"/>
    </row>
    <row r="22371">
      <c r="C22371" s="277"/>
      <c r="M22371" s="277"/>
      <c r="O22371" s="247"/>
      <c r="AC22371" s="247"/>
      <c r="AT22371" s="247"/>
    </row>
    <row r="22372">
      <c r="C22372" s="277"/>
      <c r="M22372" s="277"/>
      <c r="O22372" s="247"/>
      <c r="AC22372" s="247"/>
      <c r="AT22372" s="247"/>
    </row>
    <row r="22373">
      <c r="C22373" s="277"/>
      <c r="M22373" s="277"/>
      <c r="O22373" s="247"/>
      <c r="AC22373" s="247"/>
      <c r="AT22373" s="247"/>
    </row>
    <row r="22374">
      <c r="C22374" s="277"/>
      <c r="M22374" s="277"/>
      <c r="O22374" s="247"/>
      <c r="AC22374" s="247"/>
      <c r="AT22374" s="247"/>
    </row>
    <row r="22375">
      <c r="C22375" s="277"/>
      <c r="M22375" s="277"/>
      <c r="O22375" s="247"/>
      <c r="AC22375" s="247"/>
      <c r="AT22375" s="247"/>
    </row>
    <row r="22376">
      <c r="C22376" s="277"/>
      <c r="M22376" s="277"/>
      <c r="O22376" s="247"/>
      <c r="AC22376" s="247"/>
      <c r="AT22376" s="247"/>
    </row>
    <row r="22377">
      <c r="C22377" s="277"/>
      <c r="M22377" s="277"/>
      <c r="O22377" s="247"/>
      <c r="AC22377" s="247"/>
      <c r="AT22377" s="247"/>
    </row>
    <row r="22378">
      <c r="C22378" s="277"/>
      <c r="M22378" s="277"/>
      <c r="O22378" s="247"/>
      <c r="AC22378" s="247"/>
      <c r="AT22378" s="247"/>
    </row>
    <row r="22379">
      <c r="C22379" s="277"/>
      <c r="M22379" s="277"/>
      <c r="O22379" s="247"/>
      <c r="AC22379" s="247"/>
      <c r="AT22379" s="247"/>
    </row>
    <row r="22380">
      <c r="C22380" s="277"/>
      <c r="M22380" s="277"/>
      <c r="O22380" s="247"/>
      <c r="AC22380" s="247"/>
      <c r="AT22380" s="247"/>
    </row>
    <row r="22381">
      <c r="C22381" s="277"/>
      <c r="M22381" s="277"/>
      <c r="O22381" s="247"/>
      <c r="AC22381" s="247"/>
      <c r="AT22381" s="247"/>
    </row>
    <row r="22382">
      <c r="C22382" s="277"/>
      <c r="M22382" s="277"/>
      <c r="O22382" s="247"/>
      <c r="AC22382" s="247"/>
      <c r="AT22382" s="247"/>
    </row>
    <row r="22383">
      <c r="C22383" s="277"/>
      <c r="M22383" s="277"/>
      <c r="O22383" s="247"/>
      <c r="AC22383" s="247"/>
      <c r="AT22383" s="247"/>
    </row>
    <row r="22384">
      <c r="C22384" s="277"/>
      <c r="M22384" s="277"/>
      <c r="O22384" s="247"/>
      <c r="AC22384" s="247"/>
      <c r="AT22384" s="247"/>
    </row>
    <row r="22385">
      <c r="C22385" s="277"/>
      <c r="M22385" s="277"/>
      <c r="O22385" s="247"/>
      <c r="AC22385" s="247"/>
      <c r="AT22385" s="247"/>
    </row>
    <row r="22386">
      <c r="C22386" s="277"/>
      <c r="M22386" s="277"/>
      <c r="O22386" s="247"/>
      <c r="AC22386" s="247"/>
      <c r="AT22386" s="247"/>
    </row>
    <row r="22387">
      <c r="C22387" s="277"/>
      <c r="M22387" s="277"/>
      <c r="O22387" s="247"/>
      <c r="AC22387" s="247"/>
      <c r="AT22387" s="247"/>
    </row>
    <row r="22388">
      <c r="C22388" s="277"/>
      <c r="M22388" s="277"/>
      <c r="O22388" s="247"/>
      <c r="AC22388" s="247"/>
      <c r="AT22388" s="247"/>
    </row>
    <row r="22389">
      <c r="C22389" s="277"/>
      <c r="M22389" s="277"/>
      <c r="O22389" s="247"/>
      <c r="AC22389" s="247"/>
      <c r="AT22389" s="247"/>
    </row>
    <row r="22390">
      <c r="C22390" s="277"/>
      <c r="M22390" s="277"/>
      <c r="O22390" s="247"/>
      <c r="AC22390" s="247"/>
      <c r="AT22390" s="247"/>
    </row>
    <row r="22391">
      <c r="C22391" s="277"/>
      <c r="M22391" s="277"/>
      <c r="O22391" s="247"/>
      <c r="AC22391" s="247"/>
      <c r="AT22391" s="247"/>
    </row>
    <row r="22392">
      <c r="C22392" s="277"/>
      <c r="M22392" s="277"/>
      <c r="O22392" s="247"/>
      <c r="AC22392" s="247"/>
      <c r="AT22392" s="247"/>
    </row>
    <row r="22393">
      <c r="C22393" s="277"/>
      <c r="M22393" s="277"/>
      <c r="O22393" s="247"/>
      <c r="AC22393" s="247"/>
      <c r="AT22393" s="247"/>
    </row>
    <row r="22394">
      <c r="C22394" s="277"/>
      <c r="M22394" s="277"/>
      <c r="O22394" s="247"/>
      <c r="AC22394" s="247"/>
      <c r="AT22394" s="247"/>
    </row>
    <row r="22395">
      <c r="C22395" s="277"/>
      <c r="M22395" s="277"/>
      <c r="O22395" s="247"/>
      <c r="AC22395" s="247"/>
      <c r="AT22395" s="247"/>
    </row>
    <row r="22396">
      <c r="C22396" s="277"/>
      <c r="M22396" s="277"/>
      <c r="O22396" s="247"/>
      <c r="AC22396" s="247"/>
      <c r="AT22396" s="247"/>
    </row>
    <row r="22397">
      <c r="C22397" s="277"/>
      <c r="M22397" s="277"/>
      <c r="O22397" s="247"/>
      <c r="AC22397" s="247"/>
      <c r="AT22397" s="247"/>
    </row>
    <row r="22398">
      <c r="C22398" s="277"/>
      <c r="M22398" s="277"/>
      <c r="O22398" s="247"/>
      <c r="AC22398" s="247"/>
      <c r="AT22398" s="247"/>
    </row>
    <row r="22399">
      <c r="C22399" s="277"/>
      <c r="M22399" s="277"/>
      <c r="O22399" s="247"/>
      <c r="AC22399" s="247"/>
      <c r="AT22399" s="247"/>
    </row>
    <row r="22400">
      <c r="C22400" s="277"/>
      <c r="M22400" s="277"/>
      <c r="O22400" s="247"/>
      <c r="AC22400" s="247"/>
      <c r="AT22400" s="247"/>
    </row>
    <row r="22401">
      <c r="C22401" s="277"/>
      <c r="M22401" s="277"/>
      <c r="O22401" s="247"/>
      <c r="AC22401" s="247"/>
      <c r="AT22401" s="247"/>
    </row>
    <row r="22402">
      <c r="C22402" s="277"/>
      <c r="M22402" s="277"/>
      <c r="O22402" s="247"/>
      <c r="AC22402" s="247"/>
      <c r="AT22402" s="247"/>
    </row>
    <row r="22403">
      <c r="C22403" s="277"/>
      <c r="M22403" s="277"/>
      <c r="O22403" s="247"/>
      <c r="AC22403" s="247"/>
      <c r="AT22403" s="247"/>
    </row>
    <row r="22404">
      <c r="C22404" s="277"/>
      <c r="M22404" s="277"/>
      <c r="O22404" s="247"/>
      <c r="AC22404" s="247"/>
      <c r="AT22404" s="247"/>
    </row>
    <row r="22405">
      <c r="C22405" s="277"/>
      <c r="M22405" s="277"/>
      <c r="O22405" s="247"/>
      <c r="AC22405" s="247"/>
      <c r="AT22405" s="247"/>
    </row>
    <row r="22406">
      <c r="C22406" s="277"/>
      <c r="M22406" s="277"/>
      <c r="O22406" s="247"/>
      <c r="AC22406" s="247"/>
      <c r="AT22406" s="247"/>
    </row>
    <row r="22407">
      <c r="C22407" s="277"/>
      <c r="M22407" s="277"/>
      <c r="O22407" s="247"/>
      <c r="AC22407" s="247"/>
      <c r="AT22407" s="247"/>
    </row>
    <row r="22408">
      <c r="C22408" s="277"/>
      <c r="M22408" s="277"/>
      <c r="O22408" s="247"/>
      <c r="AC22408" s="247"/>
      <c r="AT22408" s="247"/>
    </row>
    <row r="22409">
      <c r="C22409" s="277"/>
      <c r="M22409" s="277"/>
      <c r="O22409" s="247"/>
      <c r="AC22409" s="247"/>
      <c r="AT22409" s="247"/>
    </row>
    <row r="22410">
      <c r="C22410" s="277"/>
      <c r="M22410" s="277"/>
      <c r="O22410" s="247"/>
      <c r="AC22410" s="247"/>
      <c r="AT22410" s="247"/>
    </row>
    <row r="22411">
      <c r="C22411" s="277"/>
      <c r="M22411" s="277"/>
      <c r="O22411" s="247"/>
      <c r="AC22411" s="247"/>
      <c r="AT22411" s="247"/>
    </row>
    <row r="22412">
      <c r="C22412" s="277"/>
      <c r="M22412" s="277"/>
      <c r="O22412" s="247"/>
      <c r="AC22412" s="247"/>
      <c r="AT22412" s="247"/>
    </row>
    <row r="22413">
      <c r="C22413" s="277"/>
      <c r="M22413" s="277"/>
      <c r="O22413" s="247"/>
      <c r="AC22413" s="247"/>
      <c r="AT22413" s="247"/>
    </row>
    <row r="22414">
      <c r="C22414" s="277"/>
      <c r="M22414" s="277"/>
      <c r="O22414" s="247"/>
      <c r="AC22414" s="247"/>
      <c r="AT22414" s="247"/>
    </row>
    <row r="22415">
      <c r="C22415" s="277"/>
      <c r="M22415" s="277"/>
      <c r="O22415" s="247"/>
      <c r="AC22415" s="247"/>
      <c r="AT22415" s="247"/>
    </row>
    <row r="22416">
      <c r="C22416" s="277"/>
      <c r="M22416" s="277"/>
      <c r="O22416" s="247"/>
      <c r="AC22416" s="247"/>
      <c r="AT22416" s="247"/>
    </row>
    <row r="22417">
      <c r="C22417" s="277"/>
      <c r="M22417" s="277"/>
      <c r="O22417" s="247"/>
      <c r="AC22417" s="247"/>
      <c r="AT22417" s="247"/>
    </row>
    <row r="22418">
      <c r="C22418" s="277"/>
      <c r="M22418" s="277"/>
      <c r="O22418" s="247"/>
      <c r="AC22418" s="247"/>
      <c r="AT22418" s="247"/>
    </row>
    <row r="22419">
      <c r="C22419" s="277"/>
      <c r="M22419" s="277"/>
      <c r="O22419" s="247"/>
      <c r="AC22419" s="247"/>
      <c r="AT22419" s="247"/>
    </row>
    <row r="22420">
      <c r="C22420" s="277"/>
      <c r="M22420" s="277"/>
      <c r="O22420" s="247"/>
      <c r="AC22420" s="247"/>
      <c r="AT22420" s="247"/>
    </row>
    <row r="22421">
      <c r="C22421" s="277"/>
      <c r="M22421" s="277"/>
      <c r="O22421" s="247"/>
      <c r="AC22421" s="247"/>
      <c r="AT22421" s="247"/>
    </row>
    <row r="22422">
      <c r="C22422" s="277"/>
      <c r="M22422" s="277"/>
      <c r="O22422" s="247"/>
      <c r="AC22422" s="247"/>
      <c r="AT22422" s="247"/>
    </row>
    <row r="22423">
      <c r="C22423" s="277"/>
      <c r="M22423" s="277"/>
      <c r="O22423" s="247"/>
      <c r="AC22423" s="247"/>
      <c r="AT22423" s="247"/>
    </row>
    <row r="22424">
      <c r="C22424" s="277"/>
      <c r="M22424" s="277"/>
      <c r="O22424" s="247"/>
      <c r="AC22424" s="247"/>
      <c r="AT22424" s="247"/>
    </row>
    <row r="22425">
      <c r="C22425" s="277"/>
      <c r="M22425" s="277"/>
      <c r="O22425" s="247"/>
      <c r="AC22425" s="247"/>
      <c r="AT22425" s="247"/>
    </row>
    <row r="22426">
      <c r="C22426" s="277"/>
      <c r="M22426" s="277"/>
      <c r="O22426" s="247"/>
      <c r="AC22426" s="247"/>
      <c r="AT22426" s="247"/>
    </row>
    <row r="22427">
      <c r="C22427" s="277"/>
      <c r="M22427" s="277"/>
      <c r="O22427" s="247"/>
      <c r="AC22427" s="247"/>
      <c r="AT22427" s="247"/>
    </row>
    <row r="22428">
      <c r="C22428" s="277"/>
      <c r="M22428" s="277"/>
      <c r="O22428" s="247"/>
      <c r="AC22428" s="247"/>
      <c r="AT22428" s="247"/>
    </row>
    <row r="22429">
      <c r="C22429" s="277"/>
      <c r="M22429" s="277"/>
      <c r="O22429" s="247"/>
      <c r="AC22429" s="247"/>
      <c r="AT22429" s="247"/>
    </row>
    <row r="22430">
      <c r="C22430" s="277"/>
      <c r="M22430" s="277"/>
      <c r="O22430" s="247"/>
      <c r="AC22430" s="247"/>
      <c r="AT22430" s="247"/>
    </row>
    <row r="22431">
      <c r="C22431" s="277"/>
      <c r="M22431" s="277"/>
      <c r="O22431" s="247"/>
      <c r="AC22431" s="247"/>
      <c r="AT22431" s="247"/>
    </row>
    <row r="22432">
      <c r="C22432" s="277"/>
      <c r="M22432" s="277"/>
      <c r="O22432" s="247"/>
      <c r="AC22432" s="247"/>
      <c r="AT22432" s="247"/>
    </row>
    <row r="22433">
      <c r="C22433" s="277"/>
      <c r="M22433" s="277"/>
      <c r="O22433" s="247"/>
      <c r="AC22433" s="247"/>
      <c r="AT22433" s="247"/>
    </row>
    <row r="22434">
      <c r="C22434" s="277"/>
      <c r="M22434" s="277"/>
      <c r="O22434" s="247"/>
      <c r="AC22434" s="247"/>
      <c r="AT22434" s="247"/>
    </row>
    <row r="22435">
      <c r="C22435" s="277"/>
      <c r="M22435" s="277"/>
      <c r="O22435" s="247"/>
      <c r="AC22435" s="247"/>
      <c r="AT22435" s="247"/>
    </row>
    <row r="22436">
      <c r="C22436" s="277"/>
      <c r="M22436" s="277"/>
      <c r="O22436" s="247"/>
      <c r="AC22436" s="247"/>
      <c r="AT22436" s="247"/>
    </row>
    <row r="22437">
      <c r="C22437" s="277"/>
      <c r="M22437" s="277"/>
      <c r="O22437" s="247"/>
      <c r="AC22437" s="247"/>
      <c r="AT22437" s="247"/>
    </row>
    <row r="22438">
      <c r="C22438" s="277"/>
      <c r="M22438" s="277"/>
      <c r="O22438" s="247"/>
      <c r="AC22438" s="247"/>
      <c r="AT22438" s="247"/>
    </row>
    <row r="22439">
      <c r="C22439" s="277"/>
      <c r="M22439" s="277"/>
      <c r="O22439" s="247"/>
      <c r="AC22439" s="247"/>
      <c r="AT22439" s="247"/>
    </row>
    <row r="22440">
      <c r="C22440" s="277"/>
      <c r="M22440" s="277"/>
      <c r="O22440" s="247"/>
      <c r="AC22440" s="247"/>
      <c r="AT22440" s="247"/>
    </row>
    <row r="22441">
      <c r="C22441" s="277"/>
      <c r="M22441" s="277"/>
      <c r="O22441" s="247"/>
      <c r="AC22441" s="247"/>
      <c r="AT22441" s="247"/>
    </row>
    <row r="22442">
      <c r="C22442" s="277"/>
      <c r="M22442" s="277"/>
      <c r="O22442" s="247"/>
      <c r="AC22442" s="247"/>
      <c r="AT22442" s="247"/>
    </row>
    <row r="22443">
      <c r="C22443" s="277"/>
      <c r="M22443" s="277"/>
      <c r="O22443" s="247"/>
      <c r="AC22443" s="247"/>
      <c r="AT22443" s="247"/>
    </row>
    <row r="22444">
      <c r="C22444" s="277"/>
      <c r="M22444" s="277"/>
      <c r="O22444" s="247"/>
      <c r="AC22444" s="247"/>
      <c r="AT22444" s="247"/>
    </row>
    <row r="22445">
      <c r="C22445" s="277"/>
      <c r="M22445" s="277"/>
      <c r="O22445" s="247"/>
      <c r="AC22445" s="247"/>
      <c r="AT22445" s="247"/>
    </row>
    <row r="22446">
      <c r="C22446" s="277"/>
      <c r="M22446" s="277"/>
      <c r="O22446" s="247"/>
      <c r="AC22446" s="247"/>
      <c r="AT22446" s="247"/>
    </row>
    <row r="22447">
      <c r="C22447" s="277"/>
      <c r="M22447" s="277"/>
      <c r="O22447" s="247"/>
      <c r="AC22447" s="247"/>
      <c r="AT22447" s="247"/>
    </row>
    <row r="22448">
      <c r="C22448" s="277"/>
      <c r="M22448" s="277"/>
      <c r="O22448" s="247"/>
      <c r="AC22448" s="247"/>
      <c r="AT22448" s="247"/>
    </row>
    <row r="22449">
      <c r="C22449" s="277"/>
      <c r="M22449" s="277"/>
      <c r="O22449" s="247"/>
      <c r="AC22449" s="247"/>
      <c r="AT22449" s="247"/>
    </row>
    <row r="22450">
      <c r="C22450" s="277"/>
      <c r="M22450" s="277"/>
      <c r="O22450" s="247"/>
      <c r="AC22450" s="247"/>
      <c r="AT22450" s="247"/>
    </row>
    <row r="22451">
      <c r="C22451" s="277"/>
      <c r="M22451" s="277"/>
      <c r="O22451" s="247"/>
      <c r="AC22451" s="247"/>
      <c r="AT22451" s="247"/>
    </row>
    <row r="22452">
      <c r="C22452" s="277"/>
      <c r="M22452" s="277"/>
      <c r="O22452" s="247"/>
      <c r="AC22452" s="247"/>
      <c r="AT22452" s="247"/>
    </row>
    <row r="22453">
      <c r="C22453" s="277"/>
      <c r="M22453" s="277"/>
      <c r="O22453" s="247"/>
      <c r="AC22453" s="247"/>
      <c r="AT22453" s="247"/>
    </row>
    <row r="22454">
      <c r="C22454" s="277"/>
      <c r="M22454" s="277"/>
      <c r="O22454" s="247"/>
      <c r="AC22454" s="247"/>
      <c r="AT22454" s="247"/>
    </row>
    <row r="22455">
      <c r="C22455" s="277"/>
      <c r="M22455" s="277"/>
      <c r="O22455" s="247"/>
      <c r="AC22455" s="247"/>
      <c r="AT22455" s="247"/>
    </row>
    <row r="22456">
      <c r="C22456" s="277"/>
      <c r="M22456" s="277"/>
      <c r="O22456" s="247"/>
      <c r="AC22456" s="247"/>
      <c r="AT22456" s="247"/>
    </row>
    <row r="22457">
      <c r="C22457" s="277"/>
      <c r="M22457" s="277"/>
      <c r="O22457" s="247"/>
      <c r="AC22457" s="247"/>
      <c r="AT22457" s="247"/>
    </row>
    <row r="22458">
      <c r="C22458" s="277"/>
      <c r="M22458" s="277"/>
      <c r="O22458" s="247"/>
      <c r="AC22458" s="247"/>
      <c r="AT22458" s="247"/>
    </row>
    <row r="22459">
      <c r="C22459" s="277"/>
      <c r="M22459" s="277"/>
      <c r="O22459" s="247"/>
      <c r="AC22459" s="247"/>
      <c r="AT22459" s="247"/>
    </row>
    <row r="22460">
      <c r="C22460" s="277"/>
      <c r="M22460" s="277"/>
      <c r="O22460" s="247"/>
      <c r="AC22460" s="247"/>
      <c r="AT22460" s="247"/>
    </row>
    <row r="22461">
      <c r="C22461" s="277"/>
      <c r="M22461" s="277"/>
      <c r="O22461" s="247"/>
      <c r="AC22461" s="247"/>
      <c r="AT22461" s="247"/>
    </row>
    <row r="22462">
      <c r="C22462" s="277"/>
      <c r="M22462" s="277"/>
      <c r="O22462" s="247"/>
      <c r="AC22462" s="247"/>
      <c r="AT22462" s="247"/>
    </row>
    <row r="22463">
      <c r="C22463" s="277"/>
      <c r="M22463" s="277"/>
      <c r="O22463" s="247"/>
      <c r="AC22463" s="247"/>
      <c r="AT22463" s="247"/>
    </row>
    <row r="22464">
      <c r="C22464" s="277"/>
      <c r="M22464" s="277"/>
      <c r="O22464" s="247"/>
      <c r="AC22464" s="247"/>
      <c r="AT22464" s="247"/>
    </row>
    <row r="22465">
      <c r="C22465" s="277"/>
      <c r="M22465" s="277"/>
      <c r="O22465" s="247"/>
      <c r="AC22465" s="247"/>
      <c r="AT22465" s="247"/>
    </row>
    <row r="22466">
      <c r="C22466" s="277"/>
      <c r="M22466" s="277"/>
      <c r="O22466" s="247"/>
      <c r="AC22466" s="247"/>
      <c r="AT22466" s="247"/>
    </row>
    <row r="22467">
      <c r="C22467" s="277"/>
      <c r="M22467" s="277"/>
      <c r="O22467" s="247"/>
      <c r="AC22467" s="247"/>
      <c r="AT22467" s="247"/>
    </row>
    <row r="22468">
      <c r="C22468" s="277"/>
      <c r="M22468" s="277"/>
      <c r="O22468" s="247"/>
      <c r="AC22468" s="247"/>
      <c r="AT22468" s="247"/>
    </row>
    <row r="22469">
      <c r="C22469" s="277"/>
      <c r="M22469" s="277"/>
      <c r="O22469" s="247"/>
      <c r="AC22469" s="247"/>
      <c r="AT22469" s="247"/>
    </row>
    <row r="22470">
      <c r="C22470" s="277"/>
      <c r="M22470" s="277"/>
      <c r="O22470" s="247"/>
      <c r="AC22470" s="247"/>
      <c r="AT22470" s="247"/>
    </row>
    <row r="22471">
      <c r="C22471" s="277"/>
      <c r="M22471" s="277"/>
      <c r="O22471" s="247"/>
      <c r="AC22471" s="247"/>
      <c r="AT22471" s="247"/>
    </row>
    <row r="22472">
      <c r="C22472" s="277"/>
      <c r="M22472" s="277"/>
      <c r="O22472" s="247"/>
      <c r="AC22472" s="247"/>
      <c r="AT22472" s="247"/>
    </row>
    <row r="22473">
      <c r="C22473" s="277"/>
      <c r="M22473" s="277"/>
      <c r="O22473" s="247"/>
      <c r="AC22473" s="247"/>
      <c r="AT22473" s="247"/>
    </row>
    <row r="22474">
      <c r="C22474" s="277"/>
      <c r="M22474" s="277"/>
      <c r="O22474" s="247"/>
      <c r="AC22474" s="247"/>
      <c r="AT22474" s="247"/>
    </row>
    <row r="22475">
      <c r="C22475" s="277"/>
      <c r="M22475" s="277"/>
      <c r="O22475" s="247"/>
      <c r="AC22475" s="247"/>
      <c r="AT22475" s="247"/>
    </row>
    <row r="22476">
      <c r="C22476" s="277"/>
      <c r="M22476" s="277"/>
      <c r="O22476" s="247"/>
      <c r="AC22476" s="247"/>
      <c r="AT22476" s="247"/>
    </row>
    <row r="22477">
      <c r="C22477" s="277"/>
      <c r="M22477" s="277"/>
      <c r="O22477" s="247"/>
      <c r="AC22477" s="247"/>
      <c r="AT22477" s="247"/>
    </row>
    <row r="22478">
      <c r="C22478" s="277"/>
      <c r="M22478" s="277"/>
      <c r="O22478" s="247"/>
      <c r="AC22478" s="247"/>
      <c r="AT22478" s="247"/>
    </row>
    <row r="22479">
      <c r="C22479" s="277"/>
      <c r="M22479" s="277"/>
      <c r="O22479" s="247"/>
      <c r="AC22479" s="247"/>
      <c r="AT22479" s="247"/>
    </row>
    <row r="22480">
      <c r="C22480" s="277"/>
      <c r="M22480" s="277"/>
      <c r="O22480" s="247"/>
      <c r="AC22480" s="247"/>
      <c r="AT22480" s="247"/>
    </row>
    <row r="22481">
      <c r="C22481" s="277"/>
      <c r="M22481" s="277"/>
      <c r="O22481" s="247"/>
      <c r="AC22481" s="247"/>
      <c r="AT22481" s="247"/>
    </row>
    <row r="22482">
      <c r="C22482" s="277"/>
      <c r="M22482" s="277"/>
      <c r="O22482" s="247"/>
      <c r="AC22482" s="247"/>
      <c r="AT22482" s="247"/>
    </row>
    <row r="22483">
      <c r="C22483" s="277"/>
      <c r="M22483" s="277"/>
      <c r="O22483" s="247"/>
      <c r="AC22483" s="247"/>
      <c r="AT22483" s="247"/>
    </row>
    <row r="22484">
      <c r="C22484" s="277"/>
      <c r="M22484" s="277"/>
      <c r="O22484" s="247"/>
      <c r="AC22484" s="247"/>
      <c r="AT22484" s="247"/>
    </row>
    <row r="22485">
      <c r="C22485" s="277"/>
      <c r="M22485" s="277"/>
      <c r="O22485" s="247"/>
      <c r="AC22485" s="247"/>
      <c r="AT22485" s="247"/>
    </row>
    <row r="22486">
      <c r="C22486" s="277"/>
      <c r="M22486" s="277"/>
      <c r="O22486" s="247"/>
      <c r="AC22486" s="247"/>
      <c r="AT22486" s="247"/>
    </row>
    <row r="22487">
      <c r="C22487" s="277"/>
      <c r="M22487" s="277"/>
      <c r="O22487" s="247"/>
      <c r="AC22487" s="247"/>
      <c r="AT22487" s="247"/>
    </row>
    <row r="22488">
      <c r="C22488" s="277"/>
      <c r="M22488" s="277"/>
      <c r="O22488" s="247"/>
      <c r="AC22488" s="247"/>
      <c r="AT22488" s="247"/>
    </row>
    <row r="22489">
      <c r="C22489" s="277"/>
      <c r="M22489" s="277"/>
      <c r="O22489" s="247"/>
      <c r="AC22489" s="247"/>
      <c r="AT22489" s="247"/>
    </row>
    <row r="22490">
      <c r="C22490" s="277"/>
      <c r="M22490" s="277"/>
      <c r="O22490" s="247"/>
      <c r="AC22490" s="247"/>
      <c r="AT22490" s="247"/>
    </row>
    <row r="22491">
      <c r="C22491" s="277"/>
      <c r="M22491" s="277"/>
      <c r="O22491" s="247"/>
      <c r="AC22491" s="247"/>
      <c r="AT22491" s="247"/>
    </row>
    <row r="22492">
      <c r="C22492" s="277"/>
      <c r="M22492" s="277"/>
      <c r="O22492" s="247"/>
      <c r="AC22492" s="247"/>
      <c r="AT22492" s="247"/>
    </row>
    <row r="22493">
      <c r="C22493" s="277"/>
      <c r="M22493" s="277"/>
      <c r="O22493" s="247"/>
      <c r="AC22493" s="247"/>
      <c r="AT22493" s="247"/>
    </row>
    <row r="22494">
      <c r="C22494" s="277"/>
      <c r="M22494" s="277"/>
      <c r="O22494" s="247"/>
      <c r="AC22494" s="247"/>
      <c r="AT22494" s="247"/>
    </row>
    <row r="22495">
      <c r="C22495" s="277"/>
      <c r="M22495" s="277"/>
      <c r="O22495" s="247"/>
      <c r="AC22495" s="247"/>
      <c r="AT22495" s="247"/>
    </row>
    <row r="22496">
      <c r="C22496" s="277"/>
      <c r="M22496" s="277"/>
      <c r="O22496" s="247"/>
      <c r="AC22496" s="247"/>
      <c r="AT22496" s="247"/>
    </row>
    <row r="22497">
      <c r="C22497" s="277"/>
      <c r="M22497" s="277"/>
      <c r="O22497" s="247"/>
      <c r="AC22497" s="247"/>
      <c r="AT22497" s="247"/>
    </row>
    <row r="22498">
      <c r="C22498" s="277"/>
      <c r="M22498" s="277"/>
      <c r="O22498" s="247"/>
      <c r="AC22498" s="247"/>
      <c r="AT22498" s="247"/>
    </row>
    <row r="22499">
      <c r="C22499" s="277"/>
      <c r="M22499" s="277"/>
      <c r="O22499" s="247"/>
      <c r="AC22499" s="247"/>
      <c r="AT22499" s="247"/>
    </row>
    <row r="22500">
      <c r="C22500" s="277"/>
      <c r="M22500" s="277"/>
      <c r="O22500" s="247"/>
      <c r="AC22500" s="247"/>
      <c r="AT22500" s="247"/>
    </row>
    <row r="22501">
      <c r="C22501" s="277"/>
      <c r="M22501" s="277"/>
      <c r="O22501" s="247"/>
      <c r="AC22501" s="247"/>
      <c r="AT22501" s="247"/>
    </row>
    <row r="22502">
      <c r="C22502" s="277"/>
      <c r="M22502" s="277"/>
      <c r="O22502" s="247"/>
      <c r="AC22502" s="247"/>
      <c r="AT22502" s="247"/>
    </row>
    <row r="22503">
      <c r="C22503" s="277"/>
      <c r="M22503" s="277"/>
      <c r="O22503" s="247"/>
      <c r="AC22503" s="247"/>
      <c r="AT22503" s="247"/>
    </row>
    <row r="22504">
      <c r="C22504" s="277"/>
      <c r="M22504" s="277"/>
      <c r="O22504" s="247"/>
      <c r="AC22504" s="247"/>
      <c r="AT22504" s="247"/>
    </row>
    <row r="22505">
      <c r="C22505" s="277"/>
      <c r="M22505" s="277"/>
      <c r="O22505" s="247"/>
      <c r="AC22505" s="247"/>
      <c r="AT22505" s="247"/>
    </row>
    <row r="22506">
      <c r="C22506" s="277"/>
      <c r="M22506" s="277"/>
      <c r="O22506" s="247"/>
      <c r="AC22506" s="247"/>
      <c r="AT22506" s="247"/>
    </row>
    <row r="22507">
      <c r="C22507" s="277"/>
      <c r="M22507" s="277"/>
      <c r="O22507" s="247"/>
      <c r="AC22507" s="247"/>
      <c r="AT22507" s="247"/>
    </row>
    <row r="22508">
      <c r="C22508" s="277"/>
      <c r="M22508" s="277"/>
      <c r="O22508" s="247"/>
      <c r="AC22508" s="247"/>
      <c r="AT22508" s="247"/>
    </row>
    <row r="22509">
      <c r="C22509" s="277"/>
      <c r="M22509" s="277"/>
      <c r="O22509" s="247"/>
      <c r="AC22509" s="247"/>
      <c r="AT22509" s="247"/>
    </row>
    <row r="22510">
      <c r="C22510" s="277"/>
      <c r="M22510" s="277"/>
      <c r="O22510" s="247"/>
      <c r="AC22510" s="247"/>
      <c r="AT22510" s="247"/>
    </row>
    <row r="22511">
      <c r="C22511" s="277"/>
      <c r="M22511" s="277"/>
      <c r="O22511" s="247"/>
      <c r="AC22511" s="247"/>
      <c r="AT22511" s="247"/>
    </row>
    <row r="22512">
      <c r="C22512" s="277"/>
      <c r="M22512" s="277"/>
      <c r="O22512" s="247"/>
      <c r="AC22512" s="247"/>
      <c r="AT22512" s="247"/>
    </row>
    <row r="22513">
      <c r="C22513" s="277"/>
      <c r="M22513" s="277"/>
      <c r="O22513" s="247"/>
      <c r="AC22513" s="247"/>
      <c r="AT22513" s="247"/>
    </row>
    <row r="22514">
      <c r="C22514" s="277"/>
      <c r="M22514" s="277"/>
      <c r="O22514" s="247"/>
      <c r="AC22514" s="247"/>
      <c r="AT22514" s="247"/>
    </row>
    <row r="22515">
      <c r="C22515" s="277"/>
      <c r="M22515" s="277"/>
      <c r="O22515" s="247"/>
      <c r="AC22515" s="247"/>
      <c r="AT22515" s="247"/>
    </row>
    <row r="22516">
      <c r="C22516" s="277"/>
      <c r="M22516" s="277"/>
      <c r="O22516" s="247"/>
      <c r="AC22516" s="247"/>
      <c r="AT22516" s="247"/>
    </row>
    <row r="22517">
      <c r="C22517" s="277"/>
      <c r="M22517" s="277"/>
      <c r="O22517" s="247"/>
      <c r="AC22517" s="247"/>
      <c r="AT22517" s="247"/>
    </row>
    <row r="22518">
      <c r="C22518" s="277"/>
      <c r="M22518" s="277"/>
      <c r="O22518" s="247"/>
      <c r="AC22518" s="247"/>
      <c r="AT22518" s="247"/>
    </row>
    <row r="22519">
      <c r="C22519" s="277"/>
      <c r="M22519" s="277"/>
      <c r="O22519" s="247"/>
      <c r="AC22519" s="247"/>
      <c r="AT22519" s="247"/>
    </row>
    <row r="22520">
      <c r="C22520" s="277"/>
      <c r="M22520" s="277"/>
      <c r="O22520" s="247"/>
      <c r="AC22520" s="247"/>
      <c r="AT22520" s="247"/>
    </row>
    <row r="22521">
      <c r="C22521" s="277"/>
      <c r="M22521" s="277"/>
      <c r="O22521" s="247"/>
      <c r="AC22521" s="247"/>
      <c r="AT22521" s="247"/>
    </row>
    <row r="22522">
      <c r="C22522" s="277"/>
      <c r="M22522" s="277"/>
      <c r="O22522" s="247"/>
      <c r="AC22522" s="247"/>
      <c r="AT22522" s="247"/>
    </row>
    <row r="22523">
      <c r="C22523" s="277"/>
      <c r="M22523" s="277"/>
      <c r="O22523" s="247"/>
      <c r="AC22523" s="247"/>
      <c r="AT22523" s="247"/>
    </row>
    <row r="22524">
      <c r="C22524" s="277"/>
      <c r="M22524" s="277"/>
      <c r="O22524" s="247"/>
      <c r="AC22524" s="247"/>
      <c r="AT22524" s="247"/>
    </row>
    <row r="22525">
      <c r="C22525" s="277"/>
      <c r="M22525" s="277"/>
      <c r="O22525" s="247"/>
      <c r="AC22525" s="247"/>
      <c r="AT22525" s="247"/>
    </row>
    <row r="22526">
      <c r="C22526" s="277"/>
      <c r="M22526" s="277"/>
      <c r="O22526" s="247"/>
      <c r="AC22526" s="247"/>
      <c r="AT22526" s="247"/>
    </row>
    <row r="22527">
      <c r="C22527" s="277"/>
      <c r="M22527" s="277"/>
      <c r="O22527" s="247"/>
      <c r="AC22527" s="247"/>
      <c r="AT22527" s="247"/>
    </row>
    <row r="22528">
      <c r="C22528" s="277"/>
      <c r="M22528" s="277"/>
      <c r="O22528" s="247"/>
      <c r="AC22528" s="247"/>
      <c r="AT22528" s="247"/>
    </row>
    <row r="22529">
      <c r="C22529" s="277"/>
      <c r="M22529" s="277"/>
      <c r="O22529" s="247"/>
      <c r="AC22529" s="247"/>
      <c r="AT22529" s="247"/>
    </row>
    <row r="22530">
      <c r="C22530" s="277"/>
      <c r="M22530" s="277"/>
      <c r="O22530" s="247"/>
      <c r="AC22530" s="247"/>
      <c r="AT22530" s="247"/>
    </row>
    <row r="22531">
      <c r="C22531" s="277"/>
      <c r="M22531" s="277"/>
      <c r="O22531" s="247"/>
      <c r="AC22531" s="247"/>
      <c r="AT22531" s="247"/>
    </row>
    <row r="22532">
      <c r="C22532" s="277"/>
      <c r="M22532" s="277"/>
      <c r="O22532" s="247"/>
      <c r="AC22532" s="247"/>
      <c r="AT22532" s="247"/>
    </row>
    <row r="22533">
      <c r="C22533" s="277"/>
      <c r="M22533" s="277"/>
      <c r="O22533" s="247"/>
      <c r="AC22533" s="247"/>
      <c r="AT22533" s="247"/>
    </row>
    <row r="22534">
      <c r="C22534" s="277"/>
      <c r="M22534" s="277"/>
      <c r="O22534" s="247"/>
      <c r="AC22534" s="247"/>
      <c r="AT22534" s="247"/>
    </row>
    <row r="22535">
      <c r="C22535" s="277"/>
      <c r="M22535" s="277"/>
      <c r="O22535" s="247"/>
      <c r="AC22535" s="247"/>
      <c r="AT22535" s="247"/>
    </row>
    <row r="22536">
      <c r="C22536" s="277"/>
      <c r="M22536" s="277"/>
      <c r="O22536" s="247"/>
      <c r="AC22536" s="247"/>
      <c r="AT22536" s="247"/>
    </row>
    <row r="22537">
      <c r="C22537" s="277"/>
      <c r="M22537" s="277"/>
      <c r="O22537" s="247"/>
      <c r="AC22537" s="247"/>
      <c r="AT22537" s="247"/>
    </row>
    <row r="22538">
      <c r="C22538" s="277"/>
      <c r="M22538" s="277"/>
      <c r="O22538" s="247"/>
      <c r="AC22538" s="247"/>
      <c r="AT22538" s="247"/>
    </row>
    <row r="22539">
      <c r="C22539" s="277"/>
      <c r="M22539" s="277"/>
      <c r="O22539" s="247"/>
      <c r="AC22539" s="247"/>
      <c r="AT22539" s="247"/>
    </row>
    <row r="22540">
      <c r="C22540" s="277"/>
      <c r="M22540" s="277"/>
      <c r="O22540" s="247"/>
      <c r="AC22540" s="247"/>
      <c r="AT22540" s="247"/>
    </row>
    <row r="22541">
      <c r="C22541" s="277"/>
      <c r="M22541" s="277"/>
      <c r="O22541" s="247"/>
      <c r="AC22541" s="247"/>
      <c r="AT22541" s="247"/>
    </row>
    <row r="22542">
      <c r="C22542" s="277"/>
      <c r="M22542" s="277"/>
      <c r="O22542" s="247"/>
      <c r="AC22542" s="247"/>
      <c r="AT22542" s="247"/>
    </row>
    <row r="22543">
      <c r="C22543" s="277"/>
      <c r="M22543" s="277"/>
      <c r="O22543" s="247"/>
      <c r="AC22543" s="247"/>
      <c r="AT22543" s="247"/>
    </row>
    <row r="22544">
      <c r="C22544" s="277"/>
      <c r="M22544" s="277"/>
      <c r="O22544" s="247"/>
      <c r="AC22544" s="247"/>
      <c r="AT22544" s="247"/>
    </row>
    <row r="22545">
      <c r="C22545" s="277"/>
      <c r="M22545" s="277"/>
      <c r="O22545" s="247"/>
      <c r="AC22545" s="247"/>
      <c r="AT22545" s="247"/>
    </row>
    <row r="22546">
      <c r="C22546" s="277"/>
      <c r="M22546" s="277"/>
      <c r="O22546" s="247"/>
      <c r="AC22546" s="247"/>
      <c r="AT22546" s="247"/>
    </row>
    <row r="22547">
      <c r="C22547" s="277"/>
      <c r="M22547" s="277"/>
      <c r="O22547" s="247"/>
      <c r="AC22547" s="247"/>
      <c r="AT22547" s="247"/>
    </row>
    <row r="22548">
      <c r="C22548" s="277"/>
      <c r="M22548" s="277"/>
      <c r="O22548" s="247"/>
      <c r="AC22548" s="247"/>
      <c r="AT22548" s="247"/>
    </row>
    <row r="22549">
      <c r="C22549" s="277"/>
      <c r="M22549" s="277"/>
      <c r="O22549" s="247"/>
      <c r="AC22549" s="247"/>
      <c r="AT22549" s="247"/>
    </row>
    <row r="22550">
      <c r="C22550" s="277"/>
      <c r="M22550" s="277"/>
      <c r="O22550" s="247"/>
      <c r="AC22550" s="247"/>
      <c r="AT22550" s="247"/>
    </row>
    <row r="22551">
      <c r="C22551" s="277"/>
      <c r="M22551" s="277"/>
      <c r="O22551" s="247"/>
      <c r="AC22551" s="247"/>
      <c r="AT22551" s="247"/>
    </row>
    <row r="22552">
      <c r="C22552" s="277"/>
      <c r="M22552" s="277"/>
      <c r="O22552" s="247"/>
      <c r="AC22552" s="247"/>
      <c r="AT22552" s="247"/>
    </row>
    <row r="22553">
      <c r="C22553" s="277"/>
      <c r="M22553" s="277"/>
      <c r="O22553" s="247"/>
      <c r="AC22553" s="247"/>
      <c r="AT22553" s="247"/>
    </row>
    <row r="22554">
      <c r="C22554" s="277"/>
      <c r="M22554" s="277"/>
      <c r="O22554" s="247"/>
      <c r="AC22554" s="247"/>
      <c r="AT22554" s="247"/>
    </row>
    <row r="22555">
      <c r="C22555" s="277"/>
      <c r="M22555" s="277"/>
      <c r="O22555" s="247"/>
      <c r="AC22555" s="247"/>
      <c r="AT22555" s="247"/>
    </row>
    <row r="22556">
      <c r="C22556" s="277"/>
      <c r="M22556" s="277"/>
      <c r="O22556" s="247"/>
      <c r="AC22556" s="247"/>
      <c r="AT22556" s="247"/>
    </row>
    <row r="22557">
      <c r="C22557" s="277"/>
      <c r="M22557" s="277"/>
      <c r="O22557" s="247"/>
      <c r="AC22557" s="247"/>
      <c r="AT22557" s="247"/>
    </row>
    <row r="22558">
      <c r="C22558" s="277"/>
      <c r="M22558" s="277"/>
      <c r="O22558" s="247"/>
      <c r="AC22558" s="247"/>
      <c r="AT22558" s="247"/>
    </row>
    <row r="22559">
      <c r="C22559" s="277"/>
      <c r="M22559" s="277"/>
      <c r="O22559" s="247"/>
      <c r="AC22559" s="247"/>
      <c r="AT22559" s="247"/>
    </row>
    <row r="22560">
      <c r="C22560" s="277"/>
      <c r="M22560" s="277"/>
      <c r="O22560" s="247"/>
      <c r="AC22560" s="247"/>
      <c r="AT22560" s="247"/>
    </row>
    <row r="22561">
      <c r="C22561" s="277"/>
      <c r="M22561" s="277"/>
      <c r="O22561" s="247"/>
      <c r="AC22561" s="247"/>
      <c r="AT22561" s="247"/>
    </row>
    <row r="22562">
      <c r="C22562" s="277"/>
      <c r="M22562" s="277"/>
      <c r="O22562" s="247"/>
      <c r="AC22562" s="247"/>
      <c r="AT22562" s="247"/>
    </row>
    <row r="22563">
      <c r="C22563" s="277"/>
      <c r="M22563" s="277"/>
      <c r="O22563" s="247"/>
      <c r="AC22563" s="247"/>
      <c r="AT22563" s="247"/>
    </row>
    <row r="22564">
      <c r="C22564" s="277"/>
      <c r="M22564" s="277"/>
      <c r="O22564" s="247"/>
      <c r="AC22564" s="247"/>
      <c r="AT22564" s="247"/>
    </row>
    <row r="22565">
      <c r="C22565" s="277"/>
      <c r="M22565" s="277"/>
      <c r="O22565" s="247"/>
      <c r="AC22565" s="247"/>
      <c r="AT22565" s="247"/>
    </row>
    <row r="22566">
      <c r="C22566" s="277"/>
      <c r="M22566" s="277"/>
      <c r="O22566" s="247"/>
      <c r="AC22566" s="247"/>
      <c r="AT22566" s="247"/>
    </row>
    <row r="22567">
      <c r="C22567" s="277"/>
      <c r="M22567" s="277"/>
      <c r="O22567" s="247"/>
      <c r="AC22567" s="247"/>
      <c r="AT22567" s="247"/>
    </row>
    <row r="22568">
      <c r="C22568" s="277"/>
      <c r="M22568" s="277"/>
      <c r="O22568" s="247"/>
      <c r="AC22568" s="247"/>
      <c r="AT22568" s="247"/>
    </row>
    <row r="22569">
      <c r="C22569" s="277"/>
      <c r="M22569" s="277"/>
      <c r="O22569" s="247"/>
      <c r="AC22569" s="247"/>
      <c r="AT22569" s="247"/>
    </row>
    <row r="22570">
      <c r="C22570" s="277"/>
      <c r="M22570" s="277"/>
      <c r="O22570" s="247"/>
      <c r="AC22570" s="247"/>
      <c r="AT22570" s="247"/>
    </row>
    <row r="22571">
      <c r="C22571" s="277"/>
      <c r="M22571" s="277"/>
      <c r="O22571" s="247"/>
      <c r="AC22571" s="247"/>
      <c r="AT22571" s="247"/>
    </row>
    <row r="22572">
      <c r="C22572" s="277"/>
      <c r="M22572" s="277"/>
      <c r="O22572" s="247"/>
      <c r="AC22572" s="247"/>
      <c r="AT22572" s="247"/>
    </row>
    <row r="22573">
      <c r="C22573" s="277"/>
      <c r="M22573" s="277"/>
      <c r="O22573" s="247"/>
      <c r="AC22573" s="247"/>
      <c r="AT22573" s="247"/>
    </row>
    <row r="22574">
      <c r="C22574" s="277"/>
      <c r="M22574" s="277"/>
      <c r="O22574" s="247"/>
      <c r="AC22574" s="247"/>
      <c r="AT22574" s="247"/>
    </row>
    <row r="22575">
      <c r="C22575" s="277"/>
      <c r="M22575" s="277"/>
      <c r="O22575" s="247"/>
      <c r="AC22575" s="247"/>
      <c r="AT22575" s="247"/>
    </row>
    <row r="22576">
      <c r="C22576" s="277"/>
      <c r="M22576" s="277"/>
      <c r="O22576" s="247"/>
      <c r="AC22576" s="247"/>
      <c r="AT22576" s="247"/>
    </row>
    <row r="22577">
      <c r="C22577" s="277"/>
      <c r="M22577" s="277"/>
      <c r="O22577" s="247"/>
      <c r="AC22577" s="247"/>
      <c r="AT22577" s="247"/>
    </row>
    <row r="22578">
      <c r="C22578" s="277"/>
      <c r="M22578" s="277"/>
      <c r="O22578" s="247"/>
      <c r="AC22578" s="247"/>
      <c r="AT22578" s="247"/>
    </row>
    <row r="22579">
      <c r="C22579" s="277"/>
      <c r="M22579" s="277"/>
      <c r="O22579" s="247"/>
      <c r="AC22579" s="247"/>
      <c r="AT22579" s="247"/>
    </row>
    <row r="22580">
      <c r="C22580" s="277"/>
      <c r="M22580" s="277"/>
      <c r="O22580" s="247"/>
      <c r="AC22580" s="247"/>
      <c r="AT22580" s="247"/>
    </row>
    <row r="22581">
      <c r="C22581" s="277"/>
      <c r="M22581" s="277"/>
      <c r="O22581" s="247"/>
      <c r="AC22581" s="247"/>
      <c r="AT22581" s="247"/>
    </row>
    <row r="22582">
      <c r="C22582" s="277"/>
      <c r="M22582" s="277"/>
      <c r="O22582" s="247"/>
      <c r="AC22582" s="247"/>
      <c r="AT22582" s="247"/>
    </row>
    <row r="22583">
      <c r="C22583" s="277"/>
      <c r="M22583" s="277"/>
      <c r="O22583" s="247"/>
      <c r="AC22583" s="247"/>
      <c r="AT22583" s="247"/>
    </row>
    <row r="22584">
      <c r="C22584" s="277"/>
      <c r="M22584" s="277"/>
      <c r="O22584" s="247"/>
      <c r="AC22584" s="247"/>
      <c r="AT22584" s="247"/>
    </row>
    <row r="22585">
      <c r="C22585" s="277"/>
      <c r="M22585" s="277"/>
      <c r="O22585" s="247"/>
      <c r="AC22585" s="247"/>
      <c r="AT22585" s="247"/>
    </row>
    <row r="22586">
      <c r="C22586" s="277"/>
      <c r="M22586" s="277"/>
      <c r="O22586" s="247"/>
      <c r="AC22586" s="247"/>
      <c r="AT22586" s="247"/>
    </row>
    <row r="22587">
      <c r="C22587" s="277"/>
      <c r="M22587" s="277"/>
      <c r="O22587" s="247"/>
      <c r="AC22587" s="247"/>
      <c r="AT22587" s="247"/>
    </row>
    <row r="22588">
      <c r="C22588" s="277"/>
      <c r="M22588" s="277"/>
      <c r="O22588" s="247"/>
      <c r="AC22588" s="247"/>
      <c r="AT22588" s="247"/>
    </row>
    <row r="22589">
      <c r="C22589" s="277"/>
      <c r="M22589" s="277"/>
      <c r="O22589" s="247"/>
      <c r="AC22589" s="247"/>
      <c r="AT22589" s="247"/>
    </row>
    <row r="22590">
      <c r="C22590" s="277"/>
      <c r="M22590" s="277"/>
      <c r="O22590" s="247"/>
      <c r="AC22590" s="247"/>
      <c r="AT22590" s="247"/>
    </row>
    <row r="22591">
      <c r="C22591" s="277"/>
      <c r="M22591" s="277"/>
      <c r="O22591" s="247"/>
      <c r="AC22591" s="247"/>
      <c r="AT22591" s="247"/>
    </row>
    <row r="22592">
      <c r="C22592" s="277"/>
      <c r="M22592" s="277"/>
      <c r="O22592" s="247"/>
      <c r="AC22592" s="247"/>
      <c r="AT22592" s="247"/>
    </row>
    <row r="22593">
      <c r="C22593" s="277"/>
      <c r="M22593" s="277"/>
      <c r="O22593" s="247"/>
      <c r="AC22593" s="247"/>
      <c r="AT22593" s="247"/>
    </row>
    <row r="22594">
      <c r="C22594" s="277"/>
      <c r="M22594" s="277"/>
      <c r="O22594" s="247"/>
      <c r="AC22594" s="247"/>
      <c r="AT22594" s="247"/>
    </row>
    <row r="22595">
      <c r="C22595" s="277"/>
      <c r="M22595" s="277"/>
      <c r="O22595" s="247"/>
      <c r="AC22595" s="247"/>
      <c r="AT22595" s="247"/>
    </row>
    <row r="22596">
      <c r="C22596" s="277"/>
      <c r="M22596" s="277"/>
      <c r="O22596" s="247"/>
      <c r="AC22596" s="247"/>
      <c r="AT22596" s="247"/>
    </row>
    <row r="22597">
      <c r="C22597" s="277"/>
      <c r="M22597" s="277"/>
      <c r="O22597" s="247"/>
      <c r="AC22597" s="247"/>
      <c r="AT22597" s="247"/>
    </row>
    <row r="22598">
      <c r="C22598" s="277"/>
      <c r="M22598" s="277"/>
      <c r="O22598" s="247"/>
      <c r="AC22598" s="247"/>
      <c r="AT22598" s="247"/>
    </row>
    <row r="22599">
      <c r="C22599" s="277"/>
      <c r="M22599" s="277"/>
      <c r="O22599" s="247"/>
      <c r="AC22599" s="247"/>
      <c r="AT22599" s="247"/>
    </row>
    <row r="22600">
      <c r="C22600" s="277"/>
      <c r="M22600" s="277"/>
      <c r="O22600" s="247"/>
      <c r="AC22600" s="247"/>
      <c r="AT22600" s="247"/>
    </row>
    <row r="22601">
      <c r="C22601" s="277"/>
      <c r="M22601" s="277"/>
      <c r="O22601" s="247"/>
      <c r="AC22601" s="247"/>
      <c r="AT22601" s="247"/>
    </row>
    <row r="22602">
      <c r="C22602" s="277"/>
      <c r="M22602" s="277"/>
      <c r="O22602" s="247"/>
      <c r="AC22602" s="247"/>
      <c r="AT22602" s="247"/>
    </row>
    <row r="22603">
      <c r="C22603" s="277"/>
      <c r="M22603" s="277"/>
      <c r="O22603" s="247"/>
      <c r="AC22603" s="247"/>
      <c r="AT22603" s="247"/>
    </row>
    <row r="22604">
      <c r="C22604" s="277"/>
      <c r="M22604" s="277"/>
      <c r="O22604" s="247"/>
      <c r="AC22604" s="247"/>
      <c r="AT22604" s="247"/>
    </row>
    <row r="22605">
      <c r="C22605" s="277"/>
      <c r="M22605" s="277"/>
      <c r="O22605" s="247"/>
      <c r="AC22605" s="247"/>
      <c r="AT22605" s="247"/>
    </row>
    <row r="22606">
      <c r="C22606" s="277"/>
      <c r="M22606" s="277"/>
      <c r="O22606" s="247"/>
      <c r="AC22606" s="247"/>
      <c r="AT22606" s="247"/>
    </row>
    <row r="22607">
      <c r="C22607" s="277"/>
      <c r="M22607" s="277"/>
      <c r="O22607" s="247"/>
      <c r="AC22607" s="247"/>
      <c r="AT22607" s="247"/>
    </row>
    <row r="22608">
      <c r="C22608" s="277"/>
      <c r="M22608" s="277"/>
      <c r="O22608" s="247"/>
      <c r="AC22608" s="247"/>
      <c r="AT22608" s="247"/>
    </row>
    <row r="22609">
      <c r="C22609" s="277"/>
      <c r="M22609" s="277"/>
      <c r="O22609" s="247"/>
      <c r="AC22609" s="247"/>
      <c r="AT22609" s="247"/>
    </row>
    <row r="22610">
      <c r="C22610" s="277"/>
      <c r="M22610" s="277"/>
      <c r="O22610" s="247"/>
      <c r="AC22610" s="247"/>
      <c r="AT22610" s="247"/>
    </row>
    <row r="22611">
      <c r="C22611" s="277"/>
      <c r="M22611" s="277"/>
      <c r="O22611" s="247"/>
      <c r="AC22611" s="247"/>
      <c r="AT22611" s="247"/>
    </row>
    <row r="22612">
      <c r="C22612" s="277"/>
      <c r="M22612" s="277"/>
      <c r="O22612" s="247"/>
      <c r="AC22612" s="247"/>
      <c r="AT22612" s="247"/>
    </row>
    <row r="22613">
      <c r="C22613" s="277"/>
      <c r="M22613" s="277"/>
      <c r="O22613" s="247"/>
      <c r="AC22613" s="247"/>
      <c r="AT22613" s="247"/>
    </row>
    <row r="22614">
      <c r="C22614" s="277"/>
      <c r="M22614" s="277"/>
      <c r="O22614" s="247"/>
      <c r="AC22614" s="247"/>
      <c r="AT22614" s="247"/>
    </row>
    <row r="22615">
      <c r="C22615" s="277"/>
      <c r="M22615" s="277"/>
      <c r="O22615" s="247"/>
      <c r="AC22615" s="247"/>
      <c r="AT22615" s="247"/>
    </row>
    <row r="22616">
      <c r="C22616" s="277"/>
      <c r="M22616" s="277"/>
      <c r="O22616" s="247"/>
      <c r="AC22616" s="247"/>
      <c r="AT22616" s="247"/>
    </row>
    <row r="22617">
      <c r="C22617" s="277"/>
      <c r="M22617" s="277"/>
      <c r="O22617" s="247"/>
      <c r="AC22617" s="247"/>
      <c r="AT22617" s="247"/>
    </row>
    <row r="22618">
      <c r="C22618" s="277"/>
      <c r="M22618" s="277"/>
      <c r="O22618" s="247"/>
      <c r="AC22618" s="247"/>
      <c r="AT22618" s="247"/>
    </row>
    <row r="22619">
      <c r="C22619" s="277"/>
      <c r="M22619" s="277"/>
      <c r="O22619" s="247"/>
      <c r="AC22619" s="247"/>
      <c r="AT22619" s="247"/>
    </row>
    <row r="22620">
      <c r="C22620" s="277"/>
      <c r="M22620" s="277"/>
      <c r="O22620" s="247"/>
      <c r="AC22620" s="247"/>
      <c r="AT22620" s="247"/>
    </row>
    <row r="22621">
      <c r="C22621" s="277"/>
      <c r="M22621" s="277"/>
      <c r="O22621" s="247"/>
      <c r="AC22621" s="247"/>
      <c r="AT22621" s="247"/>
    </row>
    <row r="22622">
      <c r="C22622" s="277"/>
      <c r="M22622" s="277"/>
      <c r="O22622" s="247"/>
      <c r="AC22622" s="247"/>
      <c r="AT22622" s="247"/>
    </row>
    <row r="22623">
      <c r="C22623" s="277"/>
      <c r="M22623" s="277"/>
      <c r="O22623" s="247"/>
      <c r="AC22623" s="247"/>
      <c r="AT22623" s="247"/>
    </row>
    <row r="22624">
      <c r="C22624" s="277"/>
      <c r="M22624" s="277"/>
      <c r="O22624" s="247"/>
      <c r="AC22624" s="247"/>
      <c r="AT22624" s="247"/>
    </row>
    <row r="22625">
      <c r="C22625" s="277"/>
      <c r="M22625" s="277"/>
      <c r="O22625" s="247"/>
      <c r="AC22625" s="247"/>
      <c r="AT22625" s="247"/>
    </row>
    <row r="22626">
      <c r="C22626" s="277"/>
      <c r="M22626" s="277"/>
      <c r="O22626" s="247"/>
      <c r="AC22626" s="247"/>
      <c r="AT22626" s="247"/>
    </row>
    <row r="22627">
      <c r="C22627" s="277"/>
      <c r="M22627" s="277"/>
      <c r="O22627" s="247"/>
      <c r="AC22627" s="247"/>
      <c r="AT22627" s="247"/>
    </row>
    <row r="22628">
      <c r="C22628" s="277"/>
      <c r="M22628" s="277"/>
      <c r="O22628" s="247"/>
      <c r="AC22628" s="247"/>
      <c r="AT22628" s="247"/>
    </row>
    <row r="22629">
      <c r="C22629" s="277"/>
      <c r="M22629" s="277"/>
      <c r="O22629" s="247"/>
      <c r="AC22629" s="247"/>
      <c r="AT22629" s="247"/>
    </row>
    <row r="22630">
      <c r="C22630" s="277"/>
      <c r="M22630" s="277"/>
      <c r="O22630" s="247"/>
      <c r="AC22630" s="247"/>
      <c r="AT22630" s="247"/>
    </row>
    <row r="22631">
      <c r="C22631" s="277"/>
      <c r="M22631" s="277"/>
      <c r="O22631" s="247"/>
      <c r="AC22631" s="247"/>
      <c r="AT22631" s="247"/>
    </row>
    <row r="22632">
      <c r="C22632" s="277"/>
      <c r="M22632" s="277"/>
      <c r="O22632" s="247"/>
      <c r="AC22632" s="247"/>
      <c r="AT22632" s="247"/>
    </row>
    <row r="22633">
      <c r="C22633" s="277"/>
      <c r="M22633" s="277"/>
      <c r="O22633" s="247"/>
      <c r="AC22633" s="247"/>
      <c r="AT22633" s="247"/>
    </row>
    <row r="22634">
      <c r="C22634" s="277"/>
      <c r="M22634" s="277"/>
      <c r="O22634" s="247"/>
      <c r="AC22634" s="247"/>
      <c r="AT22634" s="247"/>
    </row>
    <row r="22635">
      <c r="C22635" s="277"/>
      <c r="M22635" s="277"/>
      <c r="O22635" s="247"/>
      <c r="AC22635" s="247"/>
      <c r="AT22635" s="247"/>
    </row>
    <row r="22636">
      <c r="C22636" s="277"/>
      <c r="M22636" s="277"/>
      <c r="O22636" s="247"/>
      <c r="AC22636" s="247"/>
      <c r="AT22636" s="247"/>
    </row>
    <row r="22637">
      <c r="C22637" s="277"/>
      <c r="M22637" s="277"/>
      <c r="O22637" s="247"/>
      <c r="AC22637" s="247"/>
      <c r="AT22637" s="247"/>
    </row>
    <row r="22638">
      <c r="C22638" s="277"/>
      <c r="M22638" s="277"/>
      <c r="O22638" s="247"/>
      <c r="AC22638" s="247"/>
      <c r="AT22638" s="247"/>
    </row>
    <row r="22639">
      <c r="C22639" s="277"/>
      <c r="M22639" s="277"/>
      <c r="O22639" s="247"/>
      <c r="AC22639" s="247"/>
      <c r="AT22639" s="247"/>
    </row>
    <row r="22640">
      <c r="C22640" s="277"/>
      <c r="M22640" s="277"/>
      <c r="O22640" s="247"/>
      <c r="AC22640" s="247"/>
      <c r="AT22640" s="247"/>
    </row>
    <row r="22641">
      <c r="C22641" s="277"/>
      <c r="M22641" s="277"/>
      <c r="O22641" s="247"/>
      <c r="AC22641" s="247"/>
      <c r="AT22641" s="247"/>
    </row>
    <row r="22642">
      <c r="C22642" s="277"/>
      <c r="M22642" s="277"/>
      <c r="O22642" s="247"/>
      <c r="AC22642" s="247"/>
      <c r="AT22642" s="247"/>
    </row>
    <row r="22643">
      <c r="C22643" s="277"/>
      <c r="M22643" s="277"/>
      <c r="O22643" s="247"/>
      <c r="AC22643" s="247"/>
      <c r="AT22643" s="247"/>
    </row>
    <row r="22644">
      <c r="C22644" s="277"/>
      <c r="M22644" s="277"/>
      <c r="O22644" s="247"/>
      <c r="AC22644" s="247"/>
      <c r="AT22644" s="247"/>
    </row>
    <row r="22645">
      <c r="C22645" s="277"/>
      <c r="M22645" s="277"/>
      <c r="O22645" s="247"/>
      <c r="AC22645" s="247"/>
      <c r="AT22645" s="247"/>
    </row>
    <row r="22646">
      <c r="C22646" s="277"/>
      <c r="M22646" s="277"/>
      <c r="O22646" s="247"/>
      <c r="AC22646" s="247"/>
      <c r="AT22646" s="247"/>
    </row>
    <row r="22647">
      <c r="C22647" s="277"/>
      <c r="M22647" s="277"/>
      <c r="O22647" s="247"/>
      <c r="AC22647" s="247"/>
      <c r="AT22647" s="247"/>
    </row>
    <row r="22648">
      <c r="C22648" s="277"/>
      <c r="M22648" s="277"/>
      <c r="O22648" s="247"/>
      <c r="AC22648" s="247"/>
      <c r="AT22648" s="247"/>
    </row>
    <row r="22649">
      <c r="C22649" s="277"/>
      <c r="M22649" s="277"/>
      <c r="O22649" s="247"/>
      <c r="AC22649" s="247"/>
      <c r="AT22649" s="247"/>
    </row>
    <row r="22650">
      <c r="C22650" s="277"/>
      <c r="M22650" s="277"/>
      <c r="O22650" s="247"/>
      <c r="AC22650" s="247"/>
      <c r="AT22650" s="247"/>
    </row>
    <row r="22651">
      <c r="C22651" s="277"/>
      <c r="M22651" s="277"/>
      <c r="O22651" s="247"/>
      <c r="AC22651" s="247"/>
      <c r="AT22651" s="247"/>
    </row>
    <row r="22652">
      <c r="C22652" s="277"/>
      <c r="M22652" s="277"/>
      <c r="O22652" s="247"/>
      <c r="AC22652" s="247"/>
      <c r="AT22652" s="247"/>
    </row>
    <row r="22653">
      <c r="C22653" s="277"/>
      <c r="M22653" s="277"/>
      <c r="O22653" s="247"/>
      <c r="AC22653" s="247"/>
      <c r="AT22653" s="247"/>
    </row>
    <row r="22654">
      <c r="C22654" s="277"/>
      <c r="M22654" s="277"/>
      <c r="O22654" s="247"/>
      <c r="AC22654" s="247"/>
      <c r="AT22654" s="247"/>
    </row>
    <row r="22655">
      <c r="C22655" s="277"/>
      <c r="M22655" s="277"/>
      <c r="O22655" s="247"/>
      <c r="AC22655" s="247"/>
      <c r="AT22655" s="247"/>
    </row>
    <row r="22656">
      <c r="C22656" s="277"/>
      <c r="M22656" s="277"/>
      <c r="O22656" s="247"/>
      <c r="AC22656" s="247"/>
      <c r="AT22656" s="247"/>
    </row>
    <row r="22657">
      <c r="C22657" s="277"/>
      <c r="M22657" s="277"/>
      <c r="O22657" s="247"/>
      <c r="AC22657" s="247"/>
      <c r="AT22657" s="247"/>
    </row>
    <row r="22658">
      <c r="C22658" s="277"/>
      <c r="M22658" s="277"/>
      <c r="O22658" s="247"/>
      <c r="AC22658" s="247"/>
      <c r="AT22658" s="247"/>
    </row>
    <row r="22659">
      <c r="C22659" s="277"/>
      <c r="M22659" s="277"/>
      <c r="O22659" s="247"/>
      <c r="AC22659" s="247"/>
      <c r="AT22659" s="247"/>
    </row>
    <row r="22660">
      <c r="C22660" s="277"/>
      <c r="M22660" s="277"/>
      <c r="O22660" s="247"/>
      <c r="AC22660" s="247"/>
      <c r="AT22660" s="247"/>
    </row>
    <row r="22661">
      <c r="C22661" s="277"/>
      <c r="M22661" s="277"/>
      <c r="O22661" s="247"/>
      <c r="AC22661" s="247"/>
      <c r="AT22661" s="247"/>
    </row>
    <row r="22662">
      <c r="C22662" s="277"/>
      <c r="M22662" s="277"/>
      <c r="O22662" s="247"/>
      <c r="AC22662" s="247"/>
      <c r="AT22662" s="247"/>
    </row>
    <row r="22663">
      <c r="C22663" s="277"/>
      <c r="M22663" s="277"/>
      <c r="O22663" s="247"/>
      <c r="AC22663" s="247"/>
      <c r="AT22663" s="247"/>
    </row>
    <row r="22664">
      <c r="C22664" s="277"/>
      <c r="M22664" s="277"/>
      <c r="O22664" s="247"/>
      <c r="AC22664" s="247"/>
      <c r="AT22664" s="247"/>
    </row>
    <row r="22665">
      <c r="C22665" s="277"/>
      <c r="M22665" s="277"/>
      <c r="O22665" s="247"/>
      <c r="AC22665" s="247"/>
      <c r="AT22665" s="247"/>
    </row>
    <row r="22666">
      <c r="C22666" s="277"/>
      <c r="M22666" s="277"/>
      <c r="O22666" s="247"/>
      <c r="AC22666" s="247"/>
      <c r="AT22666" s="247"/>
    </row>
    <row r="22667">
      <c r="C22667" s="277"/>
      <c r="M22667" s="277"/>
      <c r="O22667" s="247"/>
      <c r="AC22667" s="247"/>
      <c r="AT22667" s="247"/>
    </row>
    <row r="22668">
      <c r="C22668" s="277"/>
      <c r="M22668" s="277"/>
      <c r="O22668" s="247"/>
      <c r="AC22668" s="247"/>
      <c r="AT22668" s="247"/>
    </row>
    <row r="22669">
      <c r="C22669" s="277"/>
      <c r="M22669" s="277"/>
      <c r="O22669" s="247"/>
      <c r="AC22669" s="247"/>
      <c r="AT22669" s="247"/>
    </row>
    <row r="22670">
      <c r="C22670" s="277"/>
      <c r="M22670" s="277"/>
      <c r="O22670" s="247"/>
      <c r="AC22670" s="247"/>
      <c r="AT22670" s="247"/>
    </row>
    <row r="22671">
      <c r="C22671" s="277"/>
      <c r="M22671" s="277"/>
      <c r="O22671" s="247"/>
      <c r="AC22671" s="247"/>
      <c r="AT22671" s="247"/>
    </row>
    <row r="22672">
      <c r="C22672" s="277"/>
      <c r="M22672" s="277"/>
      <c r="O22672" s="247"/>
      <c r="AC22672" s="247"/>
      <c r="AT22672" s="247"/>
    </row>
    <row r="22673">
      <c r="C22673" s="277"/>
      <c r="M22673" s="277"/>
      <c r="O22673" s="247"/>
      <c r="AC22673" s="247"/>
      <c r="AT22673" s="247"/>
    </row>
    <row r="22674">
      <c r="C22674" s="277"/>
      <c r="M22674" s="277"/>
      <c r="O22674" s="247"/>
      <c r="AC22674" s="247"/>
      <c r="AT22674" s="247"/>
    </row>
    <row r="22675">
      <c r="C22675" s="277"/>
      <c r="M22675" s="277"/>
      <c r="O22675" s="247"/>
      <c r="AC22675" s="247"/>
      <c r="AT22675" s="247"/>
    </row>
    <row r="22676">
      <c r="C22676" s="277"/>
      <c r="M22676" s="277"/>
      <c r="O22676" s="247"/>
      <c r="AC22676" s="247"/>
      <c r="AT22676" s="247"/>
    </row>
    <row r="22677">
      <c r="C22677" s="277"/>
      <c r="M22677" s="277"/>
      <c r="O22677" s="247"/>
      <c r="AC22677" s="247"/>
      <c r="AT22677" s="247"/>
    </row>
    <row r="22678">
      <c r="C22678" s="277"/>
      <c r="M22678" s="277"/>
      <c r="O22678" s="247"/>
      <c r="AC22678" s="247"/>
      <c r="AT22678" s="247"/>
    </row>
    <row r="22679">
      <c r="C22679" s="277"/>
      <c r="M22679" s="277"/>
      <c r="O22679" s="247"/>
      <c r="AC22679" s="247"/>
      <c r="AT22679" s="247"/>
    </row>
    <row r="22680">
      <c r="C22680" s="277"/>
      <c r="M22680" s="277"/>
      <c r="O22680" s="247"/>
      <c r="AC22680" s="247"/>
      <c r="AT22680" s="247"/>
    </row>
    <row r="22681">
      <c r="C22681" s="277"/>
      <c r="M22681" s="277"/>
      <c r="O22681" s="247"/>
      <c r="AC22681" s="247"/>
      <c r="AT22681" s="247"/>
    </row>
    <row r="22682">
      <c r="C22682" s="277"/>
      <c r="M22682" s="277"/>
      <c r="O22682" s="247"/>
      <c r="AC22682" s="247"/>
      <c r="AT22682" s="247"/>
    </row>
    <row r="22683">
      <c r="C22683" s="277"/>
      <c r="M22683" s="277"/>
      <c r="O22683" s="247"/>
      <c r="AC22683" s="247"/>
      <c r="AT22683" s="247"/>
    </row>
    <row r="22684">
      <c r="C22684" s="277"/>
      <c r="M22684" s="277"/>
      <c r="O22684" s="247"/>
      <c r="AC22684" s="247"/>
      <c r="AT22684" s="247"/>
    </row>
    <row r="22685">
      <c r="C22685" s="277"/>
      <c r="M22685" s="277"/>
      <c r="O22685" s="247"/>
      <c r="AC22685" s="247"/>
      <c r="AT22685" s="247"/>
    </row>
    <row r="22686">
      <c r="C22686" s="277"/>
      <c r="M22686" s="277"/>
      <c r="O22686" s="247"/>
      <c r="AC22686" s="247"/>
      <c r="AT22686" s="247"/>
    </row>
    <row r="22687">
      <c r="C22687" s="277"/>
      <c r="M22687" s="277"/>
      <c r="O22687" s="247"/>
      <c r="AC22687" s="247"/>
      <c r="AT22687" s="247"/>
    </row>
    <row r="22688">
      <c r="C22688" s="277"/>
      <c r="M22688" s="277"/>
      <c r="O22688" s="247"/>
      <c r="AC22688" s="247"/>
      <c r="AT22688" s="247"/>
    </row>
    <row r="22689">
      <c r="C22689" s="277"/>
      <c r="M22689" s="277"/>
      <c r="O22689" s="247"/>
      <c r="AC22689" s="247"/>
      <c r="AT22689" s="247"/>
    </row>
    <row r="22690">
      <c r="C22690" s="277"/>
      <c r="M22690" s="277"/>
      <c r="O22690" s="247"/>
      <c r="AC22690" s="247"/>
      <c r="AT22690" s="247"/>
    </row>
    <row r="22691">
      <c r="C22691" s="277"/>
      <c r="M22691" s="277"/>
      <c r="O22691" s="247"/>
      <c r="AC22691" s="247"/>
      <c r="AT22691" s="247"/>
    </row>
    <row r="22692">
      <c r="C22692" s="277"/>
      <c r="M22692" s="277"/>
      <c r="O22692" s="247"/>
      <c r="AC22692" s="247"/>
      <c r="AT22692" s="247"/>
    </row>
    <row r="22693">
      <c r="C22693" s="277"/>
      <c r="M22693" s="277"/>
      <c r="O22693" s="247"/>
      <c r="AC22693" s="247"/>
      <c r="AT22693" s="247"/>
    </row>
    <row r="22694">
      <c r="C22694" s="277"/>
      <c r="M22694" s="277"/>
      <c r="O22694" s="247"/>
      <c r="AC22694" s="247"/>
      <c r="AT22694" s="247"/>
    </row>
    <row r="22695">
      <c r="C22695" s="277"/>
      <c r="M22695" s="277"/>
      <c r="O22695" s="247"/>
      <c r="AC22695" s="247"/>
      <c r="AT22695" s="247"/>
    </row>
    <row r="22696">
      <c r="C22696" s="277"/>
      <c r="M22696" s="277"/>
      <c r="O22696" s="247"/>
      <c r="AC22696" s="247"/>
      <c r="AT22696" s="247"/>
    </row>
    <row r="22697">
      <c r="C22697" s="277"/>
      <c r="M22697" s="277"/>
      <c r="O22697" s="247"/>
      <c r="AC22697" s="247"/>
      <c r="AT22697" s="247"/>
    </row>
    <row r="22698">
      <c r="C22698" s="277"/>
      <c r="M22698" s="277"/>
      <c r="O22698" s="247"/>
      <c r="AC22698" s="247"/>
      <c r="AT22698" s="247"/>
    </row>
    <row r="22699">
      <c r="C22699" s="277"/>
      <c r="M22699" s="277"/>
      <c r="O22699" s="247"/>
      <c r="AC22699" s="247"/>
      <c r="AT22699" s="247"/>
    </row>
    <row r="22700">
      <c r="C22700" s="277"/>
      <c r="M22700" s="277"/>
      <c r="O22700" s="247"/>
      <c r="AC22700" s="247"/>
      <c r="AT22700" s="247"/>
    </row>
    <row r="22701">
      <c r="C22701" s="277"/>
      <c r="M22701" s="277"/>
      <c r="O22701" s="247"/>
      <c r="AC22701" s="247"/>
      <c r="AT22701" s="247"/>
    </row>
    <row r="22702">
      <c r="C22702" s="277"/>
      <c r="M22702" s="277"/>
      <c r="O22702" s="247"/>
      <c r="AC22702" s="247"/>
      <c r="AT22702" s="247"/>
    </row>
    <row r="22703">
      <c r="C22703" s="277"/>
      <c r="M22703" s="277"/>
      <c r="O22703" s="247"/>
      <c r="AC22703" s="247"/>
      <c r="AT22703" s="247"/>
    </row>
    <row r="22704">
      <c r="C22704" s="277"/>
      <c r="M22704" s="277"/>
      <c r="O22704" s="247"/>
      <c r="AC22704" s="247"/>
      <c r="AT22704" s="247"/>
    </row>
    <row r="22705">
      <c r="C22705" s="277"/>
      <c r="M22705" s="277"/>
      <c r="O22705" s="247"/>
      <c r="AC22705" s="247"/>
      <c r="AT22705" s="247"/>
    </row>
    <row r="22706">
      <c r="C22706" s="277"/>
      <c r="M22706" s="277"/>
      <c r="O22706" s="247"/>
      <c r="AC22706" s="247"/>
      <c r="AT22706" s="247"/>
    </row>
    <row r="22707">
      <c r="C22707" s="277"/>
      <c r="M22707" s="277"/>
      <c r="O22707" s="247"/>
      <c r="AC22707" s="247"/>
      <c r="AT22707" s="247"/>
    </row>
    <row r="22708">
      <c r="C22708" s="277"/>
      <c r="M22708" s="277"/>
      <c r="O22708" s="247"/>
      <c r="AC22708" s="247"/>
      <c r="AT22708" s="247"/>
    </row>
    <row r="22709">
      <c r="C22709" s="277"/>
      <c r="M22709" s="277"/>
      <c r="O22709" s="247"/>
      <c r="AC22709" s="247"/>
      <c r="AT22709" s="247"/>
    </row>
    <row r="22710">
      <c r="C22710" s="277"/>
      <c r="M22710" s="277"/>
      <c r="O22710" s="247"/>
      <c r="AC22710" s="247"/>
      <c r="AT22710" s="247"/>
    </row>
    <row r="22711">
      <c r="C22711" s="277"/>
      <c r="M22711" s="277"/>
      <c r="O22711" s="247"/>
      <c r="AC22711" s="247"/>
      <c r="AT22711" s="247"/>
    </row>
    <row r="22712">
      <c r="C22712" s="277"/>
      <c r="M22712" s="277"/>
      <c r="O22712" s="247"/>
      <c r="AC22712" s="247"/>
      <c r="AT22712" s="247"/>
    </row>
    <row r="22713">
      <c r="C22713" s="277"/>
      <c r="M22713" s="277"/>
      <c r="O22713" s="247"/>
      <c r="AC22713" s="247"/>
      <c r="AT22713" s="247"/>
    </row>
    <row r="22714">
      <c r="C22714" s="277"/>
      <c r="M22714" s="277"/>
      <c r="O22714" s="247"/>
      <c r="AC22714" s="247"/>
      <c r="AT22714" s="247"/>
    </row>
    <row r="22715">
      <c r="C22715" s="277"/>
      <c r="M22715" s="277"/>
      <c r="O22715" s="247"/>
      <c r="AC22715" s="247"/>
      <c r="AT22715" s="247"/>
    </row>
    <row r="22716">
      <c r="C22716" s="277"/>
      <c r="M22716" s="277"/>
      <c r="O22716" s="247"/>
      <c r="AC22716" s="247"/>
      <c r="AT22716" s="247"/>
    </row>
    <row r="22717">
      <c r="C22717" s="277"/>
      <c r="M22717" s="277"/>
      <c r="O22717" s="247"/>
      <c r="AC22717" s="247"/>
      <c r="AT22717" s="247"/>
    </row>
    <row r="22718">
      <c r="C22718" s="277"/>
      <c r="M22718" s="277"/>
      <c r="O22718" s="247"/>
      <c r="AC22718" s="247"/>
      <c r="AT22718" s="247"/>
    </row>
    <row r="22719">
      <c r="C22719" s="277"/>
      <c r="M22719" s="277"/>
      <c r="O22719" s="247"/>
      <c r="AC22719" s="247"/>
      <c r="AT22719" s="247"/>
    </row>
    <row r="22720">
      <c r="C22720" s="277"/>
      <c r="M22720" s="277"/>
      <c r="O22720" s="247"/>
      <c r="AC22720" s="247"/>
      <c r="AT22720" s="247"/>
    </row>
    <row r="22721">
      <c r="C22721" s="277"/>
      <c r="M22721" s="277"/>
      <c r="O22721" s="247"/>
      <c r="AC22721" s="247"/>
      <c r="AT22721" s="247"/>
    </row>
    <row r="22722">
      <c r="C22722" s="277"/>
      <c r="M22722" s="277"/>
      <c r="O22722" s="247"/>
      <c r="AC22722" s="247"/>
      <c r="AT22722" s="247"/>
    </row>
    <row r="22723">
      <c r="C22723" s="277"/>
      <c r="M22723" s="277"/>
      <c r="O22723" s="247"/>
      <c r="AC22723" s="247"/>
      <c r="AT22723" s="247"/>
    </row>
    <row r="22724">
      <c r="C22724" s="277"/>
      <c r="M22724" s="277"/>
      <c r="O22724" s="247"/>
      <c r="AC22724" s="247"/>
      <c r="AT22724" s="247"/>
    </row>
    <row r="22725">
      <c r="C22725" s="277"/>
      <c r="M22725" s="277"/>
      <c r="O22725" s="247"/>
      <c r="AC22725" s="247"/>
      <c r="AT22725" s="247"/>
    </row>
    <row r="22726">
      <c r="C22726" s="277"/>
      <c r="M22726" s="277"/>
      <c r="O22726" s="247"/>
      <c r="AC22726" s="247"/>
      <c r="AT22726" s="247"/>
    </row>
    <row r="22727">
      <c r="C22727" s="277"/>
      <c r="M22727" s="277"/>
      <c r="O22727" s="247"/>
      <c r="AC22727" s="247"/>
      <c r="AT22727" s="247"/>
    </row>
    <row r="22728">
      <c r="C22728" s="277"/>
      <c r="M22728" s="277"/>
      <c r="O22728" s="247"/>
      <c r="AC22728" s="247"/>
      <c r="AT22728" s="247"/>
    </row>
    <row r="22729">
      <c r="C22729" s="277"/>
      <c r="M22729" s="277"/>
      <c r="O22729" s="247"/>
      <c r="AC22729" s="247"/>
      <c r="AT22729" s="247"/>
    </row>
    <row r="22730">
      <c r="C22730" s="277"/>
      <c r="M22730" s="277"/>
      <c r="O22730" s="247"/>
      <c r="AC22730" s="247"/>
      <c r="AT22730" s="247"/>
    </row>
    <row r="22731">
      <c r="C22731" s="277"/>
      <c r="M22731" s="277"/>
      <c r="O22731" s="247"/>
      <c r="AC22731" s="247"/>
      <c r="AT22731" s="247"/>
    </row>
    <row r="22732">
      <c r="C22732" s="277"/>
      <c r="M22732" s="277"/>
      <c r="O22732" s="247"/>
      <c r="AC22732" s="247"/>
      <c r="AT22732" s="247"/>
    </row>
    <row r="22733">
      <c r="C22733" s="277"/>
      <c r="M22733" s="277"/>
      <c r="O22733" s="247"/>
      <c r="AC22733" s="247"/>
      <c r="AT22733" s="247"/>
    </row>
    <row r="22734">
      <c r="C22734" s="277"/>
      <c r="M22734" s="277"/>
      <c r="O22734" s="247"/>
      <c r="AC22734" s="247"/>
      <c r="AT22734" s="247"/>
    </row>
    <row r="22735">
      <c r="C22735" s="277"/>
      <c r="M22735" s="277"/>
      <c r="O22735" s="247"/>
      <c r="AC22735" s="247"/>
      <c r="AT22735" s="247"/>
    </row>
    <row r="22736">
      <c r="C22736" s="277"/>
      <c r="M22736" s="277"/>
      <c r="O22736" s="247"/>
      <c r="AC22736" s="247"/>
      <c r="AT22736" s="247"/>
    </row>
    <row r="22737">
      <c r="C22737" s="277"/>
      <c r="M22737" s="277"/>
      <c r="O22737" s="247"/>
      <c r="AC22737" s="247"/>
      <c r="AT22737" s="247"/>
    </row>
    <row r="22738">
      <c r="C22738" s="277"/>
      <c r="M22738" s="277"/>
      <c r="O22738" s="247"/>
      <c r="AC22738" s="247"/>
      <c r="AT22738" s="247"/>
    </row>
    <row r="22739">
      <c r="C22739" s="277"/>
      <c r="M22739" s="277"/>
      <c r="O22739" s="247"/>
      <c r="AC22739" s="247"/>
      <c r="AT22739" s="247"/>
    </row>
    <row r="22740">
      <c r="C22740" s="277"/>
      <c r="M22740" s="277"/>
      <c r="O22740" s="247"/>
      <c r="AC22740" s="247"/>
      <c r="AT22740" s="247"/>
    </row>
    <row r="22741">
      <c r="C22741" s="277"/>
      <c r="M22741" s="277"/>
      <c r="O22741" s="247"/>
      <c r="AC22741" s="247"/>
      <c r="AT22741" s="247"/>
    </row>
    <row r="22742">
      <c r="C22742" s="277"/>
      <c r="M22742" s="277"/>
      <c r="O22742" s="247"/>
      <c r="AC22742" s="247"/>
      <c r="AT22742" s="247"/>
    </row>
    <row r="22743">
      <c r="C22743" s="277"/>
      <c r="M22743" s="277"/>
      <c r="O22743" s="247"/>
      <c r="AC22743" s="247"/>
      <c r="AT22743" s="247"/>
    </row>
    <row r="22744">
      <c r="C22744" s="277"/>
      <c r="M22744" s="277"/>
      <c r="O22744" s="247"/>
      <c r="AC22744" s="247"/>
      <c r="AT22744" s="247"/>
    </row>
    <row r="22745">
      <c r="C22745" s="277"/>
      <c r="M22745" s="277"/>
      <c r="O22745" s="247"/>
      <c r="AC22745" s="247"/>
      <c r="AT22745" s="247"/>
    </row>
    <row r="22746">
      <c r="C22746" s="277"/>
      <c r="M22746" s="277"/>
      <c r="O22746" s="247"/>
      <c r="AC22746" s="247"/>
      <c r="AT22746" s="247"/>
    </row>
    <row r="22747">
      <c r="C22747" s="277"/>
      <c r="M22747" s="277"/>
      <c r="O22747" s="247"/>
      <c r="AC22747" s="247"/>
      <c r="AT22747" s="247"/>
    </row>
    <row r="22748">
      <c r="C22748" s="277"/>
      <c r="M22748" s="277"/>
      <c r="O22748" s="247"/>
      <c r="AC22748" s="247"/>
      <c r="AT22748" s="247"/>
    </row>
    <row r="22749">
      <c r="C22749" s="277"/>
      <c r="M22749" s="277"/>
      <c r="O22749" s="247"/>
      <c r="AC22749" s="247"/>
      <c r="AT22749" s="247"/>
    </row>
    <row r="22750">
      <c r="C22750" s="277"/>
      <c r="M22750" s="277"/>
      <c r="O22750" s="247"/>
      <c r="AC22750" s="247"/>
      <c r="AT22750" s="247"/>
    </row>
    <row r="22751">
      <c r="C22751" s="277"/>
      <c r="M22751" s="277"/>
      <c r="O22751" s="247"/>
      <c r="AC22751" s="247"/>
      <c r="AT22751" s="247"/>
    </row>
    <row r="22752">
      <c r="C22752" s="277"/>
      <c r="M22752" s="277"/>
      <c r="O22752" s="247"/>
      <c r="AC22752" s="247"/>
      <c r="AT22752" s="247"/>
    </row>
    <row r="22753">
      <c r="C22753" s="277"/>
      <c r="M22753" s="277"/>
      <c r="O22753" s="247"/>
      <c r="AC22753" s="247"/>
      <c r="AT22753" s="247"/>
    </row>
    <row r="22754">
      <c r="C22754" s="277"/>
      <c r="M22754" s="277"/>
      <c r="O22754" s="247"/>
      <c r="AC22754" s="247"/>
      <c r="AT22754" s="247"/>
    </row>
    <row r="22755">
      <c r="C22755" s="277"/>
      <c r="M22755" s="277"/>
      <c r="O22755" s="247"/>
      <c r="AC22755" s="247"/>
      <c r="AT22755" s="247"/>
    </row>
    <row r="22756">
      <c r="C22756" s="277"/>
      <c r="M22756" s="277"/>
      <c r="O22756" s="247"/>
      <c r="AC22756" s="247"/>
      <c r="AT22756" s="247"/>
    </row>
    <row r="22757">
      <c r="C22757" s="277"/>
      <c r="M22757" s="277"/>
      <c r="O22757" s="247"/>
      <c r="AC22757" s="247"/>
      <c r="AT22757" s="247"/>
    </row>
    <row r="22758">
      <c r="C22758" s="277"/>
      <c r="M22758" s="277"/>
      <c r="O22758" s="247"/>
      <c r="AC22758" s="247"/>
      <c r="AT22758" s="247"/>
    </row>
    <row r="22759">
      <c r="C22759" s="277"/>
      <c r="M22759" s="277"/>
      <c r="O22759" s="247"/>
      <c r="AC22759" s="247"/>
      <c r="AT22759" s="247"/>
    </row>
    <row r="22760">
      <c r="C22760" s="277"/>
      <c r="M22760" s="277"/>
      <c r="O22760" s="247"/>
      <c r="AC22760" s="247"/>
      <c r="AT22760" s="247"/>
    </row>
    <row r="22761">
      <c r="C22761" s="277"/>
      <c r="M22761" s="277"/>
      <c r="O22761" s="247"/>
      <c r="AC22761" s="247"/>
      <c r="AT22761" s="247"/>
    </row>
    <row r="22762">
      <c r="C22762" s="277"/>
      <c r="M22762" s="277"/>
      <c r="O22762" s="247"/>
      <c r="AC22762" s="247"/>
      <c r="AT22762" s="247"/>
    </row>
    <row r="22763">
      <c r="C22763" s="277"/>
      <c r="M22763" s="277"/>
      <c r="O22763" s="247"/>
      <c r="AC22763" s="247"/>
      <c r="AT22763" s="247"/>
    </row>
    <row r="22764">
      <c r="C22764" s="277"/>
      <c r="M22764" s="277"/>
      <c r="O22764" s="247"/>
      <c r="AC22764" s="247"/>
      <c r="AT22764" s="247"/>
    </row>
    <row r="22765">
      <c r="C22765" s="277"/>
      <c r="M22765" s="277"/>
      <c r="O22765" s="247"/>
      <c r="AC22765" s="247"/>
      <c r="AT22765" s="247"/>
    </row>
    <row r="22766">
      <c r="C22766" s="277"/>
      <c r="M22766" s="277"/>
      <c r="O22766" s="247"/>
      <c r="AC22766" s="247"/>
      <c r="AT22766" s="247"/>
    </row>
    <row r="22767">
      <c r="C22767" s="277"/>
      <c r="M22767" s="277"/>
      <c r="O22767" s="247"/>
      <c r="AC22767" s="247"/>
      <c r="AT22767" s="247"/>
    </row>
    <row r="22768">
      <c r="C22768" s="277"/>
      <c r="M22768" s="277"/>
      <c r="O22768" s="247"/>
      <c r="AC22768" s="247"/>
      <c r="AT22768" s="247"/>
    </row>
    <row r="22769">
      <c r="C22769" s="277"/>
      <c r="M22769" s="277"/>
      <c r="O22769" s="247"/>
      <c r="AC22769" s="247"/>
      <c r="AT22769" s="247"/>
    </row>
    <row r="22770">
      <c r="C22770" s="277"/>
      <c r="M22770" s="277"/>
      <c r="O22770" s="247"/>
      <c r="AC22770" s="247"/>
      <c r="AT22770" s="247"/>
    </row>
    <row r="22771">
      <c r="C22771" s="277"/>
      <c r="M22771" s="277"/>
      <c r="O22771" s="247"/>
      <c r="AC22771" s="247"/>
      <c r="AT22771" s="247"/>
    </row>
    <row r="22772">
      <c r="C22772" s="277"/>
      <c r="M22772" s="277"/>
      <c r="O22772" s="247"/>
      <c r="AC22772" s="247"/>
      <c r="AT22772" s="247"/>
    </row>
    <row r="22773">
      <c r="C22773" s="277"/>
      <c r="M22773" s="277"/>
      <c r="O22773" s="247"/>
      <c r="AC22773" s="247"/>
      <c r="AT22773" s="247"/>
    </row>
    <row r="22774">
      <c r="C22774" s="277"/>
      <c r="M22774" s="277"/>
      <c r="O22774" s="247"/>
      <c r="AC22774" s="247"/>
      <c r="AT22774" s="247"/>
    </row>
    <row r="22775">
      <c r="C22775" s="277"/>
      <c r="M22775" s="277"/>
      <c r="O22775" s="247"/>
      <c r="AC22775" s="247"/>
      <c r="AT22775" s="247"/>
    </row>
    <row r="22776">
      <c r="C22776" s="277"/>
      <c r="M22776" s="277"/>
      <c r="O22776" s="247"/>
      <c r="AC22776" s="247"/>
      <c r="AT22776" s="247"/>
    </row>
    <row r="22777">
      <c r="C22777" s="277"/>
      <c r="M22777" s="277"/>
      <c r="O22777" s="247"/>
      <c r="AC22777" s="247"/>
      <c r="AT22777" s="247"/>
    </row>
    <row r="22778">
      <c r="C22778" s="277"/>
      <c r="M22778" s="277"/>
      <c r="O22778" s="247"/>
      <c r="AC22778" s="247"/>
      <c r="AT22778" s="247"/>
    </row>
    <row r="22779">
      <c r="C22779" s="277"/>
      <c r="M22779" s="277"/>
      <c r="O22779" s="247"/>
      <c r="AC22779" s="247"/>
      <c r="AT22779" s="247"/>
    </row>
    <row r="22780">
      <c r="C22780" s="277"/>
      <c r="M22780" s="277"/>
      <c r="O22780" s="247"/>
      <c r="AC22780" s="247"/>
      <c r="AT22780" s="247"/>
    </row>
    <row r="22781">
      <c r="C22781" s="277"/>
      <c r="M22781" s="277"/>
      <c r="O22781" s="247"/>
      <c r="AC22781" s="247"/>
      <c r="AT22781" s="247"/>
    </row>
    <row r="22782">
      <c r="C22782" s="277"/>
      <c r="M22782" s="277"/>
      <c r="O22782" s="247"/>
      <c r="AC22782" s="247"/>
      <c r="AT22782" s="247"/>
    </row>
    <row r="22783">
      <c r="C22783" s="277"/>
      <c r="M22783" s="277"/>
      <c r="O22783" s="247"/>
      <c r="AC22783" s="247"/>
      <c r="AT22783" s="247"/>
    </row>
    <row r="22784">
      <c r="C22784" s="277"/>
      <c r="M22784" s="277"/>
      <c r="O22784" s="247"/>
      <c r="AC22784" s="247"/>
      <c r="AT22784" s="247"/>
    </row>
    <row r="22785">
      <c r="C22785" s="277"/>
      <c r="M22785" s="277"/>
      <c r="O22785" s="247"/>
      <c r="AC22785" s="247"/>
      <c r="AT22785" s="247"/>
    </row>
    <row r="22786">
      <c r="C22786" s="277"/>
      <c r="M22786" s="277"/>
      <c r="O22786" s="247"/>
      <c r="AC22786" s="247"/>
      <c r="AT22786" s="247"/>
    </row>
    <row r="22787">
      <c r="C22787" s="277"/>
      <c r="M22787" s="277"/>
      <c r="O22787" s="247"/>
      <c r="AC22787" s="247"/>
      <c r="AT22787" s="247"/>
    </row>
    <row r="22788">
      <c r="C22788" s="277"/>
      <c r="M22788" s="277"/>
      <c r="O22788" s="247"/>
      <c r="AC22788" s="247"/>
      <c r="AT22788" s="247"/>
    </row>
    <row r="22789">
      <c r="C22789" s="277"/>
      <c r="M22789" s="277"/>
      <c r="O22789" s="247"/>
      <c r="AC22789" s="247"/>
      <c r="AT22789" s="247"/>
    </row>
    <row r="22790">
      <c r="C22790" s="277"/>
      <c r="M22790" s="277"/>
      <c r="O22790" s="247"/>
      <c r="AC22790" s="247"/>
      <c r="AT22790" s="247"/>
    </row>
    <row r="22791">
      <c r="C22791" s="277"/>
      <c r="M22791" s="277"/>
      <c r="O22791" s="247"/>
      <c r="AC22791" s="247"/>
      <c r="AT22791" s="247"/>
    </row>
    <row r="22792">
      <c r="C22792" s="277"/>
      <c r="M22792" s="277"/>
      <c r="O22792" s="247"/>
      <c r="AC22792" s="247"/>
      <c r="AT22792" s="247"/>
    </row>
    <row r="22793">
      <c r="C22793" s="277"/>
      <c r="M22793" s="277"/>
      <c r="O22793" s="247"/>
      <c r="AC22793" s="247"/>
      <c r="AT22793" s="247"/>
    </row>
    <row r="22794">
      <c r="C22794" s="277"/>
      <c r="M22794" s="277"/>
      <c r="O22794" s="247"/>
      <c r="AC22794" s="247"/>
      <c r="AT22794" s="247"/>
    </row>
    <row r="22795">
      <c r="C22795" s="277"/>
      <c r="M22795" s="277"/>
      <c r="O22795" s="247"/>
      <c r="AC22795" s="247"/>
      <c r="AT22795" s="247"/>
    </row>
    <row r="22796">
      <c r="C22796" s="277"/>
      <c r="M22796" s="277"/>
      <c r="O22796" s="247"/>
      <c r="AC22796" s="247"/>
      <c r="AT22796" s="247"/>
    </row>
    <row r="22797">
      <c r="C22797" s="277"/>
      <c r="M22797" s="277"/>
      <c r="O22797" s="247"/>
      <c r="AC22797" s="247"/>
      <c r="AT22797" s="247"/>
    </row>
    <row r="22798">
      <c r="C22798" s="277"/>
      <c r="M22798" s="277"/>
      <c r="O22798" s="247"/>
      <c r="AC22798" s="247"/>
      <c r="AT22798" s="247"/>
    </row>
    <row r="22799">
      <c r="C22799" s="277"/>
      <c r="M22799" s="277"/>
      <c r="O22799" s="247"/>
      <c r="AC22799" s="247"/>
      <c r="AT22799" s="247"/>
    </row>
    <row r="22800">
      <c r="C22800" s="277"/>
      <c r="M22800" s="277"/>
      <c r="O22800" s="247"/>
      <c r="AC22800" s="247"/>
      <c r="AT22800" s="247"/>
    </row>
    <row r="22801">
      <c r="C22801" s="277"/>
      <c r="M22801" s="277"/>
      <c r="O22801" s="247"/>
      <c r="AC22801" s="247"/>
      <c r="AT22801" s="247"/>
    </row>
    <row r="22802">
      <c r="C22802" s="277"/>
      <c r="M22802" s="277"/>
      <c r="O22802" s="247"/>
      <c r="AC22802" s="247"/>
      <c r="AT22802" s="247"/>
    </row>
    <row r="22803">
      <c r="C22803" s="277"/>
      <c r="M22803" s="277"/>
      <c r="O22803" s="247"/>
      <c r="AC22803" s="247"/>
      <c r="AT22803" s="247"/>
    </row>
    <row r="22804">
      <c r="C22804" s="277"/>
      <c r="M22804" s="277"/>
      <c r="O22804" s="247"/>
      <c r="AC22804" s="247"/>
      <c r="AT22804" s="247"/>
    </row>
    <row r="22805">
      <c r="C22805" s="277"/>
      <c r="M22805" s="277"/>
      <c r="O22805" s="247"/>
      <c r="AC22805" s="247"/>
      <c r="AT22805" s="247"/>
    </row>
    <row r="22806">
      <c r="C22806" s="277"/>
      <c r="M22806" s="277"/>
      <c r="O22806" s="247"/>
      <c r="AC22806" s="247"/>
      <c r="AT22806" s="247"/>
    </row>
    <row r="22807">
      <c r="C22807" s="277"/>
      <c r="M22807" s="277"/>
      <c r="O22807" s="247"/>
      <c r="AC22807" s="247"/>
      <c r="AT22807" s="247"/>
    </row>
    <row r="22808">
      <c r="C22808" s="277"/>
      <c r="M22808" s="277"/>
      <c r="O22808" s="247"/>
      <c r="AC22808" s="247"/>
      <c r="AT22808" s="247"/>
    </row>
    <row r="22809">
      <c r="C22809" s="277"/>
      <c r="M22809" s="277"/>
      <c r="O22809" s="247"/>
      <c r="AC22809" s="247"/>
      <c r="AT22809" s="247"/>
    </row>
    <row r="22810">
      <c r="C22810" s="277"/>
      <c r="M22810" s="277"/>
      <c r="O22810" s="247"/>
      <c r="AC22810" s="247"/>
      <c r="AT22810" s="247"/>
    </row>
    <row r="22811">
      <c r="C22811" s="277"/>
      <c r="M22811" s="277"/>
      <c r="O22811" s="247"/>
      <c r="AC22811" s="247"/>
      <c r="AT22811" s="247"/>
    </row>
    <row r="22812">
      <c r="C22812" s="277"/>
      <c r="M22812" s="277"/>
      <c r="O22812" s="247"/>
      <c r="AC22812" s="247"/>
      <c r="AT22812" s="247"/>
    </row>
    <row r="22813">
      <c r="C22813" s="277"/>
      <c r="M22813" s="277"/>
      <c r="O22813" s="247"/>
      <c r="AC22813" s="247"/>
      <c r="AT22813" s="247"/>
    </row>
    <row r="22814">
      <c r="C22814" s="277"/>
      <c r="M22814" s="277"/>
      <c r="O22814" s="247"/>
      <c r="AC22814" s="247"/>
      <c r="AT22814" s="247"/>
    </row>
    <row r="22815">
      <c r="C22815" s="277"/>
      <c r="M22815" s="277"/>
      <c r="O22815" s="247"/>
      <c r="AC22815" s="247"/>
      <c r="AT22815" s="247"/>
    </row>
    <row r="22816">
      <c r="C22816" s="277"/>
      <c r="M22816" s="277"/>
      <c r="O22816" s="247"/>
      <c r="AC22816" s="247"/>
      <c r="AT22816" s="247"/>
    </row>
    <row r="22817">
      <c r="C22817" s="277"/>
      <c r="M22817" s="277"/>
      <c r="O22817" s="247"/>
      <c r="AC22817" s="247"/>
      <c r="AT22817" s="247"/>
    </row>
    <row r="22818">
      <c r="C22818" s="277"/>
      <c r="M22818" s="277"/>
      <c r="O22818" s="247"/>
      <c r="AC22818" s="247"/>
      <c r="AT22818" s="247"/>
    </row>
    <row r="22819">
      <c r="C22819" s="277"/>
      <c r="M22819" s="277"/>
      <c r="O22819" s="247"/>
      <c r="AC22819" s="247"/>
      <c r="AT22819" s="247"/>
    </row>
    <row r="22820">
      <c r="C22820" s="277"/>
      <c r="M22820" s="277"/>
      <c r="O22820" s="247"/>
      <c r="AC22820" s="247"/>
      <c r="AT22820" s="247"/>
    </row>
    <row r="22821">
      <c r="C22821" s="277"/>
      <c r="M22821" s="277"/>
      <c r="O22821" s="247"/>
      <c r="AC22821" s="247"/>
      <c r="AT22821" s="247"/>
    </row>
    <row r="22822">
      <c r="C22822" s="277"/>
      <c r="M22822" s="277"/>
      <c r="O22822" s="247"/>
      <c r="AC22822" s="247"/>
      <c r="AT22822" s="247"/>
    </row>
    <row r="22823">
      <c r="C22823" s="277"/>
      <c r="M22823" s="277"/>
      <c r="O22823" s="247"/>
      <c r="AC22823" s="247"/>
      <c r="AT22823" s="247"/>
    </row>
    <row r="22824">
      <c r="C22824" s="277"/>
      <c r="M22824" s="277"/>
      <c r="O22824" s="247"/>
      <c r="AC22824" s="247"/>
      <c r="AT22824" s="247"/>
    </row>
    <row r="22825">
      <c r="C22825" s="277"/>
      <c r="M22825" s="277"/>
      <c r="O22825" s="247"/>
      <c r="AC22825" s="247"/>
      <c r="AT22825" s="247"/>
    </row>
    <row r="22826">
      <c r="C22826" s="277"/>
      <c r="M22826" s="277"/>
      <c r="O22826" s="247"/>
      <c r="AC22826" s="247"/>
      <c r="AT22826" s="247"/>
    </row>
    <row r="22827">
      <c r="C22827" s="277"/>
      <c r="M22827" s="277"/>
      <c r="O22827" s="247"/>
      <c r="AC22827" s="247"/>
      <c r="AT22827" s="247"/>
    </row>
    <row r="22828">
      <c r="C22828" s="277"/>
      <c r="M22828" s="277"/>
      <c r="O22828" s="247"/>
      <c r="AC22828" s="247"/>
      <c r="AT22828" s="247"/>
    </row>
    <row r="22829">
      <c r="C22829" s="277"/>
      <c r="M22829" s="277"/>
      <c r="O22829" s="247"/>
      <c r="AC22829" s="247"/>
      <c r="AT22829" s="247"/>
    </row>
    <row r="22830">
      <c r="C22830" s="277"/>
      <c r="M22830" s="277"/>
      <c r="O22830" s="247"/>
      <c r="AC22830" s="247"/>
      <c r="AT22830" s="247"/>
    </row>
    <row r="22831">
      <c r="C22831" s="277"/>
      <c r="M22831" s="277"/>
      <c r="O22831" s="247"/>
      <c r="AC22831" s="247"/>
      <c r="AT22831" s="247"/>
    </row>
    <row r="22832">
      <c r="C22832" s="277"/>
      <c r="M22832" s="277"/>
      <c r="O22832" s="247"/>
      <c r="AC22832" s="247"/>
      <c r="AT22832" s="247"/>
    </row>
    <row r="22833">
      <c r="C22833" s="277"/>
      <c r="M22833" s="277"/>
      <c r="O22833" s="247"/>
      <c r="AC22833" s="247"/>
      <c r="AT22833" s="247"/>
    </row>
    <row r="22834">
      <c r="C22834" s="277"/>
      <c r="M22834" s="277"/>
      <c r="O22834" s="247"/>
      <c r="AC22834" s="247"/>
      <c r="AT22834" s="247"/>
    </row>
    <row r="22835">
      <c r="C22835" s="277"/>
      <c r="M22835" s="277"/>
      <c r="O22835" s="247"/>
      <c r="AC22835" s="247"/>
      <c r="AT22835" s="247"/>
    </row>
    <row r="22836">
      <c r="C22836" s="277"/>
      <c r="M22836" s="277"/>
      <c r="O22836" s="247"/>
      <c r="AC22836" s="247"/>
      <c r="AT22836" s="247"/>
    </row>
    <row r="22837">
      <c r="C22837" s="277"/>
      <c r="M22837" s="277"/>
      <c r="O22837" s="247"/>
      <c r="AC22837" s="247"/>
      <c r="AT22837" s="247"/>
    </row>
    <row r="22838">
      <c r="C22838" s="277"/>
      <c r="M22838" s="277"/>
      <c r="O22838" s="247"/>
      <c r="AC22838" s="247"/>
      <c r="AT22838" s="247"/>
    </row>
    <row r="22839">
      <c r="C22839" s="277"/>
      <c r="M22839" s="277"/>
      <c r="O22839" s="247"/>
      <c r="AC22839" s="247"/>
      <c r="AT22839" s="247"/>
    </row>
    <row r="22840">
      <c r="C22840" s="277"/>
      <c r="M22840" s="277"/>
      <c r="O22840" s="247"/>
      <c r="AC22840" s="247"/>
      <c r="AT22840" s="247"/>
    </row>
    <row r="22841">
      <c r="C22841" s="277"/>
      <c r="M22841" s="277"/>
      <c r="O22841" s="247"/>
      <c r="AC22841" s="247"/>
      <c r="AT22841" s="247"/>
    </row>
    <row r="22842">
      <c r="C22842" s="277"/>
      <c r="M22842" s="277"/>
      <c r="O22842" s="247"/>
      <c r="AC22842" s="247"/>
      <c r="AT22842" s="247"/>
    </row>
    <row r="22843">
      <c r="C22843" s="277"/>
      <c r="M22843" s="277"/>
      <c r="O22843" s="247"/>
      <c r="AC22843" s="247"/>
      <c r="AT22843" s="247"/>
    </row>
    <row r="22844">
      <c r="C22844" s="277"/>
      <c r="M22844" s="277"/>
      <c r="O22844" s="247"/>
      <c r="AC22844" s="247"/>
      <c r="AT22844" s="247"/>
    </row>
    <row r="22845">
      <c r="C22845" s="277"/>
      <c r="M22845" s="277"/>
      <c r="O22845" s="247"/>
      <c r="AC22845" s="247"/>
      <c r="AT22845" s="247"/>
    </row>
    <row r="22846">
      <c r="C22846" s="277"/>
      <c r="M22846" s="277"/>
      <c r="O22846" s="247"/>
      <c r="AC22846" s="247"/>
      <c r="AT22846" s="247"/>
    </row>
    <row r="22847">
      <c r="C22847" s="277"/>
      <c r="M22847" s="277"/>
      <c r="O22847" s="247"/>
      <c r="AC22847" s="247"/>
      <c r="AT22847" s="247"/>
    </row>
    <row r="22848">
      <c r="C22848" s="277"/>
      <c r="M22848" s="277"/>
      <c r="O22848" s="247"/>
      <c r="AC22848" s="247"/>
      <c r="AT22848" s="247"/>
    </row>
    <row r="22849">
      <c r="C22849" s="277"/>
      <c r="M22849" s="277"/>
      <c r="O22849" s="247"/>
      <c r="AC22849" s="247"/>
      <c r="AT22849" s="247"/>
    </row>
    <row r="22850">
      <c r="C22850" s="277"/>
      <c r="M22850" s="277"/>
      <c r="O22850" s="247"/>
      <c r="AC22850" s="247"/>
      <c r="AT22850" s="247"/>
    </row>
    <row r="22851">
      <c r="C22851" s="277"/>
      <c r="M22851" s="277"/>
      <c r="O22851" s="247"/>
      <c r="AC22851" s="247"/>
      <c r="AT22851" s="247"/>
    </row>
    <row r="22852">
      <c r="C22852" s="277"/>
      <c r="M22852" s="277"/>
      <c r="O22852" s="247"/>
      <c r="AC22852" s="247"/>
      <c r="AT22852" s="247"/>
    </row>
    <row r="22853">
      <c r="C22853" s="277"/>
      <c r="M22853" s="277"/>
      <c r="O22853" s="247"/>
      <c r="AC22853" s="247"/>
      <c r="AT22853" s="247"/>
    </row>
    <row r="22854">
      <c r="C22854" s="277"/>
      <c r="M22854" s="277"/>
      <c r="O22854" s="247"/>
      <c r="AC22854" s="247"/>
      <c r="AT22854" s="247"/>
    </row>
    <row r="22855">
      <c r="C22855" s="277"/>
      <c r="M22855" s="277"/>
      <c r="O22855" s="247"/>
      <c r="AC22855" s="247"/>
      <c r="AT22855" s="247"/>
    </row>
    <row r="22856">
      <c r="C22856" s="277"/>
      <c r="M22856" s="277"/>
      <c r="O22856" s="247"/>
      <c r="AC22856" s="247"/>
      <c r="AT22856" s="247"/>
    </row>
    <row r="22857">
      <c r="C22857" s="277"/>
      <c r="M22857" s="277"/>
      <c r="O22857" s="247"/>
      <c r="AC22857" s="247"/>
      <c r="AT22857" s="247"/>
    </row>
    <row r="22858">
      <c r="C22858" s="277"/>
      <c r="M22858" s="277"/>
      <c r="O22858" s="247"/>
      <c r="AC22858" s="247"/>
      <c r="AT22858" s="247"/>
    </row>
    <row r="22859">
      <c r="C22859" s="277"/>
      <c r="M22859" s="277"/>
      <c r="O22859" s="247"/>
      <c r="AC22859" s="247"/>
      <c r="AT22859" s="247"/>
    </row>
    <row r="22860">
      <c r="C22860" s="277"/>
      <c r="M22860" s="277"/>
      <c r="O22860" s="247"/>
      <c r="AC22860" s="247"/>
      <c r="AT22860" s="247"/>
    </row>
    <row r="22861">
      <c r="C22861" s="277"/>
      <c r="M22861" s="277"/>
      <c r="O22861" s="247"/>
      <c r="AC22861" s="247"/>
      <c r="AT22861" s="247"/>
    </row>
    <row r="22862">
      <c r="C22862" s="277"/>
      <c r="M22862" s="277"/>
      <c r="O22862" s="247"/>
      <c r="AC22862" s="247"/>
      <c r="AT22862" s="247"/>
    </row>
    <row r="22863">
      <c r="C22863" s="277"/>
      <c r="M22863" s="277"/>
      <c r="O22863" s="247"/>
      <c r="AC22863" s="247"/>
      <c r="AT22863" s="247"/>
    </row>
    <row r="22864">
      <c r="C22864" s="277"/>
      <c r="M22864" s="277"/>
      <c r="O22864" s="247"/>
      <c r="AC22864" s="247"/>
      <c r="AT22864" s="247"/>
    </row>
    <row r="22865">
      <c r="C22865" s="277"/>
      <c r="M22865" s="277"/>
      <c r="O22865" s="247"/>
      <c r="AC22865" s="247"/>
      <c r="AT22865" s="247"/>
    </row>
    <row r="22866">
      <c r="C22866" s="277"/>
      <c r="M22866" s="277"/>
      <c r="O22866" s="247"/>
      <c r="AC22866" s="247"/>
      <c r="AT22866" s="247"/>
    </row>
    <row r="22867">
      <c r="C22867" s="277"/>
      <c r="M22867" s="277"/>
      <c r="O22867" s="247"/>
      <c r="AC22867" s="247"/>
      <c r="AT22867" s="247"/>
    </row>
    <row r="22868">
      <c r="C22868" s="277"/>
      <c r="M22868" s="277"/>
      <c r="O22868" s="247"/>
      <c r="AC22868" s="247"/>
      <c r="AT22868" s="247"/>
    </row>
    <row r="22869">
      <c r="C22869" s="277"/>
      <c r="M22869" s="277"/>
      <c r="O22869" s="247"/>
      <c r="AC22869" s="247"/>
      <c r="AT22869" s="247"/>
    </row>
    <row r="22870">
      <c r="C22870" s="277"/>
      <c r="M22870" s="277"/>
      <c r="O22870" s="247"/>
      <c r="AC22870" s="247"/>
      <c r="AT22870" s="247"/>
    </row>
    <row r="22871">
      <c r="C22871" s="277"/>
      <c r="M22871" s="277"/>
      <c r="O22871" s="247"/>
      <c r="AC22871" s="247"/>
      <c r="AT22871" s="247"/>
    </row>
    <row r="22872">
      <c r="C22872" s="277"/>
      <c r="M22872" s="277"/>
      <c r="O22872" s="247"/>
      <c r="AC22872" s="247"/>
      <c r="AT22872" s="247"/>
    </row>
    <row r="22873">
      <c r="C22873" s="277"/>
      <c r="M22873" s="277"/>
      <c r="O22873" s="247"/>
      <c r="AC22873" s="247"/>
      <c r="AT22873" s="247"/>
    </row>
    <row r="22874">
      <c r="C22874" s="277"/>
      <c r="M22874" s="277"/>
      <c r="O22874" s="247"/>
      <c r="AC22874" s="247"/>
      <c r="AT22874" s="247"/>
    </row>
    <row r="22875">
      <c r="C22875" s="277"/>
      <c r="M22875" s="277"/>
      <c r="O22875" s="247"/>
      <c r="AC22875" s="247"/>
      <c r="AT22875" s="247"/>
    </row>
    <row r="22876">
      <c r="C22876" s="277"/>
      <c r="M22876" s="277"/>
      <c r="O22876" s="247"/>
      <c r="AC22876" s="247"/>
      <c r="AT22876" s="247"/>
    </row>
    <row r="22877">
      <c r="C22877" s="277"/>
      <c r="M22877" s="277"/>
      <c r="O22877" s="247"/>
      <c r="AC22877" s="247"/>
      <c r="AT22877" s="247"/>
    </row>
    <row r="22878">
      <c r="C22878" s="277"/>
      <c r="M22878" s="277"/>
      <c r="O22878" s="247"/>
      <c r="AC22878" s="247"/>
      <c r="AT22878" s="247"/>
    </row>
    <row r="22879">
      <c r="C22879" s="277"/>
      <c r="M22879" s="277"/>
      <c r="O22879" s="247"/>
      <c r="AC22879" s="247"/>
      <c r="AT22879" s="247"/>
    </row>
    <row r="22880">
      <c r="C22880" s="277"/>
      <c r="M22880" s="277"/>
      <c r="O22880" s="247"/>
      <c r="AC22880" s="247"/>
      <c r="AT22880" s="247"/>
    </row>
    <row r="22881">
      <c r="C22881" s="277"/>
      <c r="M22881" s="277"/>
      <c r="O22881" s="247"/>
      <c r="AC22881" s="247"/>
      <c r="AT22881" s="247"/>
    </row>
    <row r="22882">
      <c r="C22882" s="277"/>
      <c r="M22882" s="277"/>
      <c r="O22882" s="247"/>
      <c r="AC22882" s="247"/>
      <c r="AT22882" s="247"/>
    </row>
    <row r="22883">
      <c r="C22883" s="277"/>
      <c r="M22883" s="277"/>
      <c r="O22883" s="247"/>
      <c r="AC22883" s="247"/>
      <c r="AT22883" s="247"/>
    </row>
    <row r="22884">
      <c r="C22884" s="277"/>
      <c r="M22884" s="277"/>
      <c r="O22884" s="247"/>
      <c r="AC22884" s="247"/>
      <c r="AT22884" s="247"/>
    </row>
    <row r="22885">
      <c r="C22885" s="277"/>
      <c r="M22885" s="277"/>
      <c r="O22885" s="247"/>
      <c r="AC22885" s="247"/>
      <c r="AT22885" s="247"/>
    </row>
    <row r="22886">
      <c r="C22886" s="277"/>
      <c r="M22886" s="277"/>
      <c r="O22886" s="247"/>
      <c r="AC22886" s="247"/>
      <c r="AT22886" s="247"/>
    </row>
    <row r="22887">
      <c r="C22887" s="277"/>
      <c r="M22887" s="277"/>
      <c r="O22887" s="247"/>
      <c r="AC22887" s="247"/>
      <c r="AT22887" s="247"/>
    </row>
    <row r="22888">
      <c r="C22888" s="277"/>
      <c r="M22888" s="277"/>
      <c r="O22888" s="247"/>
      <c r="AC22888" s="247"/>
      <c r="AT22888" s="247"/>
    </row>
    <row r="22889">
      <c r="C22889" s="277"/>
      <c r="M22889" s="277"/>
      <c r="O22889" s="247"/>
      <c r="AC22889" s="247"/>
      <c r="AT22889" s="247"/>
    </row>
    <row r="22890">
      <c r="C22890" s="277"/>
      <c r="M22890" s="277"/>
      <c r="O22890" s="247"/>
      <c r="AC22890" s="247"/>
      <c r="AT22890" s="247"/>
    </row>
    <row r="22891">
      <c r="C22891" s="277"/>
      <c r="M22891" s="277"/>
      <c r="O22891" s="247"/>
      <c r="AC22891" s="247"/>
      <c r="AT22891" s="247"/>
    </row>
    <row r="22892">
      <c r="C22892" s="277"/>
      <c r="M22892" s="277"/>
      <c r="O22892" s="247"/>
      <c r="AC22892" s="247"/>
      <c r="AT22892" s="247"/>
    </row>
    <row r="22893">
      <c r="C22893" s="277"/>
      <c r="M22893" s="277"/>
      <c r="O22893" s="247"/>
      <c r="AC22893" s="247"/>
      <c r="AT22893" s="247"/>
    </row>
    <row r="22894">
      <c r="C22894" s="277"/>
      <c r="M22894" s="277"/>
      <c r="O22894" s="247"/>
      <c r="AC22894" s="247"/>
      <c r="AT22894" s="247"/>
    </row>
    <row r="22895">
      <c r="C22895" s="277"/>
      <c r="M22895" s="277"/>
      <c r="O22895" s="247"/>
      <c r="AC22895" s="247"/>
      <c r="AT22895" s="247"/>
    </row>
    <row r="22896">
      <c r="C22896" s="277"/>
      <c r="M22896" s="277"/>
      <c r="O22896" s="247"/>
      <c r="AC22896" s="247"/>
      <c r="AT22896" s="247"/>
    </row>
    <row r="22897">
      <c r="C22897" s="277"/>
      <c r="M22897" s="277"/>
      <c r="O22897" s="247"/>
      <c r="AC22897" s="247"/>
      <c r="AT22897" s="247"/>
    </row>
    <row r="22898">
      <c r="C22898" s="277"/>
      <c r="M22898" s="277"/>
      <c r="O22898" s="247"/>
      <c r="AC22898" s="247"/>
      <c r="AT22898" s="247"/>
    </row>
    <row r="22899">
      <c r="C22899" s="277"/>
      <c r="M22899" s="277"/>
      <c r="O22899" s="247"/>
      <c r="AC22899" s="247"/>
      <c r="AT22899" s="247"/>
    </row>
    <row r="22900">
      <c r="C22900" s="277"/>
      <c r="M22900" s="277"/>
      <c r="O22900" s="247"/>
      <c r="AC22900" s="247"/>
      <c r="AT22900" s="247"/>
    </row>
    <row r="22901">
      <c r="C22901" s="277"/>
      <c r="M22901" s="277"/>
      <c r="O22901" s="247"/>
      <c r="AC22901" s="247"/>
      <c r="AT22901" s="247"/>
    </row>
    <row r="22902">
      <c r="C22902" s="277"/>
      <c r="M22902" s="277"/>
      <c r="O22902" s="247"/>
      <c r="AC22902" s="247"/>
      <c r="AT22902" s="247"/>
    </row>
    <row r="22903">
      <c r="C22903" s="277"/>
      <c r="M22903" s="277"/>
      <c r="O22903" s="247"/>
      <c r="AC22903" s="247"/>
      <c r="AT22903" s="247"/>
    </row>
    <row r="22904">
      <c r="C22904" s="277"/>
      <c r="M22904" s="277"/>
      <c r="O22904" s="247"/>
      <c r="AC22904" s="247"/>
      <c r="AT22904" s="247"/>
    </row>
    <row r="22905">
      <c r="C22905" s="277"/>
      <c r="M22905" s="277"/>
      <c r="O22905" s="247"/>
      <c r="AC22905" s="247"/>
      <c r="AT22905" s="247"/>
    </row>
    <row r="22906">
      <c r="C22906" s="277"/>
      <c r="M22906" s="277"/>
      <c r="O22906" s="247"/>
      <c r="AC22906" s="247"/>
      <c r="AT22906" s="247"/>
    </row>
    <row r="22907">
      <c r="C22907" s="277"/>
      <c r="M22907" s="277"/>
      <c r="O22907" s="247"/>
      <c r="AC22907" s="247"/>
      <c r="AT22907" s="247"/>
    </row>
    <row r="22908">
      <c r="C22908" s="277"/>
      <c r="M22908" s="277"/>
      <c r="O22908" s="247"/>
      <c r="AC22908" s="247"/>
      <c r="AT22908" s="247"/>
    </row>
    <row r="22909">
      <c r="C22909" s="277"/>
      <c r="M22909" s="277"/>
      <c r="O22909" s="247"/>
      <c r="AC22909" s="247"/>
      <c r="AT22909" s="247"/>
    </row>
    <row r="22910">
      <c r="C22910" s="277"/>
      <c r="M22910" s="277"/>
      <c r="O22910" s="247"/>
      <c r="AC22910" s="247"/>
      <c r="AT22910" s="247"/>
    </row>
    <row r="22911">
      <c r="C22911" s="277"/>
      <c r="M22911" s="277"/>
      <c r="O22911" s="247"/>
      <c r="AC22911" s="247"/>
      <c r="AT22911" s="247"/>
    </row>
    <row r="22912">
      <c r="C22912" s="277"/>
      <c r="M22912" s="277"/>
      <c r="O22912" s="247"/>
      <c r="AC22912" s="247"/>
      <c r="AT22912" s="247"/>
    </row>
    <row r="22913">
      <c r="C22913" s="277"/>
      <c r="M22913" s="277"/>
      <c r="O22913" s="247"/>
      <c r="AC22913" s="247"/>
      <c r="AT22913" s="247"/>
    </row>
    <row r="22914">
      <c r="C22914" s="277"/>
      <c r="M22914" s="277"/>
      <c r="O22914" s="247"/>
      <c r="AC22914" s="247"/>
      <c r="AT22914" s="247"/>
    </row>
    <row r="22915">
      <c r="C22915" s="277"/>
      <c r="M22915" s="277"/>
      <c r="O22915" s="247"/>
      <c r="AC22915" s="247"/>
      <c r="AT22915" s="247"/>
    </row>
    <row r="22916">
      <c r="C22916" s="277"/>
      <c r="M22916" s="277"/>
      <c r="O22916" s="247"/>
      <c r="AC22916" s="247"/>
      <c r="AT22916" s="247"/>
    </row>
    <row r="22917">
      <c r="C22917" s="277"/>
      <c r="M22917" s="277"/>
      <c r="O22917" s="247"/>
      <c r="AC22917" s="247"/>
      <c r="AT22917" s="247"/>
    </row>
    <row r="22918">
      <c r="C22918" s="277"/>
      <c r="M22918" s="277"/>
      <c r="O22918" s="247"/>
      <c r="AC22918" s="247"/>
      <c r="AT22918" s="247"/>
    </row>
    <row r="22919">
      <c r="C22919" s="277"/>
      <c r="M22919" s="277"/>
      <c r="O22919" s="247"/>
      <c r="AC22919" s="247"/>
      <c r="AT22919" s="247"/>
    </row>
    <row r="22920">
      <c r="C22920" s="277"/>
      <c r="M22920" s="277"/>
      <c r="O22920" s="247"/>
      <c r="AC22920" s="247"/>
      <c r="AT22920" s="247"/>
    </row>
    <row r="22921">
      <c r="C22921" s="277"/>
      <c r="M22921" s="277"/>
      <c r="O22921" s="247"/>
      <c r="AC22921" s="247"/>
      <c r="AT22921" s="247"/>
    </row>
    <row r="22922">
      <c r="C22922" s="277"/>
      <c r="M22922" s="277"/>
      <c r="O22922" s="247"/>
      <c r="AC22922" s="247"/>
      <c r="AT22922" s="247"/>
    </row>
    <row r="22923">
      <c r="C22923" s="277"/>
      <c r="M22923" s="277"/>
      <c r="O22923" s="247"/>
      <c r="AC22923" s="247"/>
      <c r="AT22923" s="247"/>
    </row>
    <row r="22924">
      <c r="C22924" s="277"/>
      <c r="M22924" s="277"/>
      <c r="O22924" s="247"/>
      <c r="AC22924" s="247"/>
      <c r="AT22924" s="247"/>
    </row>
    <row r="22925">
      <c r="C22925" s="277"/>
      <c r="M22925" s="277"/>
      <c r="O22925" s="247"/>
      <c r="AC22925" s="247"/>
      <c r="AT22925" s="247"/>
    </row>
    <row r="22926">
      <c r="C22926" s="277"/>
      <c r="M22926" s="277"/>
      <c r="O22926" s="247"/>
      <c r="AC22926" s="247"/>
      <c r="AT22926" s="247"/>
    </row>
    <row r="22927">
      <c r="C22927" s="277"/>
      <c r="M22927" s="277"/>
      <c r="O22927" s="247"/>
      <c r="AC22927" s="247"/>
      <c r="AT22927" s="247"/>
    </row>
    <row r="22928">
      <c r="C22928" s="277"/>
      <c r="M22928" s="277"/>
      <c r="O22928" s="247"/>
      <c r="AC22928" s="247"/>
      <c r="AT22928" s="247"/>
    </row>
    <row r="22929">
      <c r="C22929" s="277"/>
      <c r="M22929" s="277"/>
      <c r="O22929" s="247"/>
      <c r="AC22929" s="247"/>
      <c r="AT22929" s="247"/>
    </row>
    <row r="22930">
      <c r="C22930" s="277"/>
      <c r="M22930" s="277"/>
      <c r="O22930" s="247"/>
      <c r="AC22930" s="247"/>
      <c r="AT22930" s="247"/>
    </row>
    <row r="22931">
      <c r="C22931" s="277"/>
      <c r="M22931" s="277"/>
      <c r="O22931" s="247"/>
      <c r="AC22931" s="247"/>
      <c r="AT22931" s="247"/>
    </row>
    <row r="22932">
      <c r="C22932" s="277"/>
      <c r="M22932" s="277"/>
      <c r="O22932" s="247"/>
      <c r="AC22932" s="247"/>
      <c r="AT22932" s="247"/>
    </row>
    <row r="22933">
      <c r="C22933" s="277"/>
      <c r="M22933" s="277"/>
      <c r="O22933" s="247"/>
      <c r="AC22933" s="247"/>
      <c r="AT22933" s="247"/>
    </row>
    <row r="22934">
      <c r="C22934" s="277"/>
      <c r="M22934" s="277"/>
      <c r="O22934" s="247"/>
      <c r="AC22934" s="247"/>
      <c r="AT22934" s="247"/>
    </row>
    <row r="22935">
      <c r="C22935" s="277"/>
      <c r="M22935" s="277"/>
      <c r="O22935" s="247"/>
      <c r="AC22935" s="247"/>
      <c r="AT22935" s="247"/>
    </row>
    <row r="22936">
      <c r="C22936" s="277"/>
      <c r="M22936" s="277"/>
      <c r="O22936" s="247"/>
      <c r="AC22936" s="247"/>
      <c r="AT22936" s="247"/>
    </row>
    <row r="22937">
      <c r="C22937" s="277"/>
      <c r="M22937" s="277"/>
      <c r="O22937" s="247"/>
      <c r="AC22937" s="247"/>
      <c r="AT22937" s="247"/>
    </row>
    <row r="22938">
      <c r="C22938" s="277"/>
      <c r="M22938" s="277"/>
      <c r="O22938" s="247"/>
      <c r="AC22938" s="247"/>
      <c r="AT22938" s="247"/>
    </row>
    <row r="22939">
      <c r="C22939" s="277"/>
      <c r="M22939" s="277"/>
      <c r="O22939" s="247"/>
      <c r="AC22939" s="247"/>
      <c r="AT22939" s="247"/>
    </row>
    <row r="22940">
      <c r="C22940" s="277"/>
      <c r="M22940" s="277"/>
      <c r="O22940" s="247"/>
      <c r="AC22940" s="247"/>
      <c r="AT22940" s="247"/>
    </row>
    <row r="22941">
      <c r="C22941" s="277"/>
      <c r="M22941" s="277"/>
      <c r="O22941" s="247"/>
      <c r="AC22941" s="247"/>
      <c r="AT22941" s="247"/>
    </row>
    <row r="22942">
      <c r="C22942" s="277"/>
      <c r="M22942" s="277"/>
      <c r="O22942" s="247"/>
      <c r="AC22942" s="247"/>
      <c r="AT22942" s="247"/>
    </row>
    <row r="22943">
      <c r="C22943" s="277"/>
      <c r="M22943" s="277"/>
      <c r="O22943" s="247"/>
      <c r="AC22943" s="247"/>
      <c r="AT22943" s="247"/>
    </row>
    <row r="22944">
      <c r="C22944" s="277"/>
      <c r="M22944" s="277"/>
      <c r="O22944" s="247"/>
      <c r="AC22944" s="247"/>
      <c r="AT22944" s="247"/>
    </row>
    <row r="22945">
      <c r="C22945" s="277"/>
      <c r="M22945" s="277"/>
      <c r="O22945" s="247"/>
      <c r="AC22945" s="247"/>
      <c r="AT22945" s="247"/>
    </row>
    <row r="22946">
      <c r="C22946" s="277"/>
      <c r="M22946" s="277"/>
      <c r="O22946" s="247"/>
      <c r="AC22946" s="247"/>
      <c r="AT22946" s="247"/>
    </row>
    <row r="22947">
      <c r="C22947" s="277"/>
      <c r="M22947" s="277"/>
      <c r="O22947" s="247"/>
      <c r="AC22947" s="247"/>
      <c r="AT22947" s="247"/>
    </row>
    <row r="22948">
      <c r="C22948" s="277"/>
      <c r="M22948" s="277"/>
      <c r="O22948" s="247"/>
      <c r="AC22948" s="247"/>
      <c r="AT22948" s="247"/>
    </row>
    <row r="22949">
      <c r="C22949" s="277"/>
      <c r="M22949" s="277"/>
      <c r="O22949" s="247"/>
      <c r="AC22949" s="247"/>
      <c r="AT22949" s="247"/>
    </row>
    <row r="22950">
      <c r="C22950" s="277"/>
      <c r="M22950" s="277"/>
      <c r="O22950" s="247"/>
      <c r="AC22950" s="247"/>
      <c r="AT22950" s="247"/>
    </row>
    <row r="22951">
      <c r="C22951" s="277"/>
      <c r="M22951" s="277"/>
      <c r="O22951" s="247"/>
      <c r="AC22951" s="247"/>
      <c r="AT22951" s="247"/>
    </row>
    <row r="22952">
      <c r="C22952" s="277"/>
      <c r="M22952" s="277"/>
      <c r="O22952" s="247"/>
      <c r="AC22952" s="247"/>
      <c r="AT22952" s="247"/>
    </row>
    <row r="22953">
      <c r="C22953" s="277"/>
      <c r="M22953" s="277"/>
      <c r="O22953" s="247"/>
      <c r="AC22953" s="247"/>
      <c r="AT22953" s="247"/>
    </row>
    <row r="22954">
      <c r="C22954" s="277"/>
      <c r="M22954" s="277"/>
      <c r="O22954" s="247"/>
      <c r="AC22954" s="247"/>
      <c r="AT22954" s="247"/>
    </row>
    <row r="22955">
      <c r="C22955" s="277"/>
      <c r="M22955" s="277"/>
      <c r="O22955" s="247"/>
      <c r="AC22955" s="247"/>
      <c r="AT22955" s="247"/>
    </row>
    <row r="22956">
      <c r="C22956" s="277"/>
      <c r="M22956" s="277"/>
      <c r="O22956" s="247"/>
      <c r="AC22956" s="247"/>
      <c r="AT22956" s="247"/>
    </row>
    <row r="22957">
      <c r="C22957" s="277"/>
      <c r="M22957" s="277"/>
      <c r="O22957" s="247"/>
      <c r="AC22957" s="247"/>
      <c r="AT22957" s="247"/>
    </row>
    <row r="22958">
      <c r="C22958" s="277"/>
      <c r="M22958" s="277"/>
      <c r="O22958" s="247"/>
      <c r="AC22958" s="247"/>
      <c r="AT22958" s="247"/>
    </row>
    <row r="22959">
      <c r="C22959" s="277"/>
      <c r="M22959" s="277"/>
      <c r="O22959" s="247"/>
      <c r="AC22959" s="247"/>
      <c r="AT22959" s="247"/>
    </row>
    <row r="22960">
      <c r="C22960" s="277"/>
      <c r="M22960" s="277"/>
      <c r="O22960" s="247"/>
      <c r="AC22960" s="247"/>
      <c r="AT22960" s="247"/>
    </row>
    <row r="22961">
      <c r="C22961" s="277"/>
      <c r="M22961" s="277"/>
      <c r="O22961" s="247"/>
      <c r="AC22961" s="247"/>
      <c r="AT22961" s="247"/>
    </row>
    <row r="22962">
      <c r="C22962" s="277"/>
      <c r="M22962" s="277"/>
      <c r="O22962" s="247"/>
      <c r="AC22962" s="247"/>
      <c r="AT22962" s="247"/>
    </row>
    <row r="22963">
      <c r="C22963" s="277"/>
      <c r="M22963" s="277"/>
      <c r="O22963" s="247"/>
      <c r="AC22963" s="247"/>
      <c r="AT22963" s="247"/>
    </row>
    <row r="22964">
      <c r="C22964" s="277"/>
      <c r="M22964" s="277"/>
      <c r="O22964" s="247"/>
      <c r="AC22964" s="247"/>
      <c r="AT22964" s="247"/>
    </row>
    <row r="22965">
      <c r="C22965" s="277"/>
      <c r="M22965" s="277"/>
      <c r="O22965" s="247"/>
      <c r="AC22965" s="247"/>
      <c r="AT22965" s="247"/>
    </row>
    <row r="22966">
      <c r="C22966" s="277"/>
      <c r="M22966" s="277"/>
      <c r="O22966" s="247"/>
      <c r="AC22966" s="247"/>
      <c r="AT22966" s="247"/>
    </row>
    <row r="22967">
      <c r="C22967" s="277"/>
      <c r="M22967" s="277"/>
      <c r="O22967" s="247"/>
      <c r="AC22967" s="247"/>
      <c r="AT22967" s="247"/>
    </row>
    <row r="22968">
      <c r="C22968" s="277"/>
      <c r="M22968" s="277"/>
      <c r="O22968" s="247"/>
      <c r="AC22968" s="247"/>
      <c r="AT22968" s="247"/>
    </row>
    <row r="22969">
      <c r="C22969" s="277"/>
      <c r="M22969" s="277"/>
      <c r="O22969" s="247"/>
      <c r="AC22969" s="247"/>
      <c r="AT22969" s="247"/>
    </row>
    <row r="22970">
      <c r="C22970" s="277"/>
      <c r="M22970" s="277"/>
      <c r="O22970" s="247"/>
      <c r="AC22970" s="247"/>
      <c r="AT22970" s="247"/>
    </row>
    <row r="22971">
      <c r="C22971" s="277"/>
      <c r="M22971" s="277"/>
      <c r="O22971" s="247"/>
      <c r="AC22971" s="247"/>
      <c r="AT22971" s="247"/>
    </row>
    <row r="22972">
      <c r="C22972" s="277"/>
      <c r="M22972" s="277"/>
      <c r="O22972" s="247"/>
      <c r="AC22972" s="247"/>
      <c r="AT22972" s="247"/>
    </row>
    <row r="22973">
      <c r="C22973" s="277"/>
      <c r="M22973" s="277"/>
      <c r="O22973" s="247"/>
      <c r="AC22973" s="247"/>
      <c r="AT22973" s="247"/>
    </row>
    <row r="22974">
      <c r="C22974" s="277"/>
      <c r="M22974" s="277"/>
      <c r="O22974" s="247"/>
      <c r="AC22974" s="247"/>
      <c r="AT22974" s="247"/>
    </row>
    <row r="22975">
      <c r="C22975" s="277"/>
      <c r="M22975" s="277"/>
      <c r="O22975" s="247"/>
      <c r="AC22975" s="247"/>
      <c r="AT22975" s="247"/>
    </row>
    <row r="22976">
      <c r="C22976" s="277"/>
      <c r="M22976" s="277"/>
      <c r="O22976" s="247"/>
      <c r="AC22976" s="247"/>
      <c r="AT22976" s="247"/>
    </row>
    <row r="22977">
      <c r="C22977" s="277"/>
      <c r="M22977" s="277"/>
      <c r="O22977" s="247"/>
      <c r="AC22977" s="247"/>
      <c r="AT22977" s="247"/>
    </row>
    <row r="22978">
      <c r="C22978" s="277"/>
      <c r="M22978" s="277"/>
      <c r="O22978" s="247"/>
      <c r="AC22978" s="247"/>
      <c r="AT22978" s="247"/>
    </row>
    <row r="22979">
      <c r="C22979" s="277"/>
      <c r="M22979" s="277"/>
      <c r="O22979" s="247"/>
      <c r="AC22979" s="247"/>
      <c r="AT22979" s="247"/>
    </row>
    <row r="22980">
      <c r="C22980" s="277"/>
      <c r="M22980" s="277"/>
      <c r="O22980" s="247"/>
      <c r="AC22980" s="247"/>
      <c r="AT22980" s="247"/>
    </row>
    <row r="22981">
      <c r="C22981" s="277"/>
      <c r="M22981" s="277"/>
      <c r="O22981" s="247"/>
      <c r="AC22981" s="247"/>
      <c r="AT22981" s="247"/>
    </row>
    <row r="22982">
      <c r="C22982" s="277"/>
      <c r="M22982" s="277"/>
      <c r="O22982" s="247"/>
      <c r="AC22982" s="247"/>
      <c r="AT22982" s="247"/>
    </row>
    <row r="22983">
      <c r="C22983" s="277"/>
      <c r="M22983" s="277"/>
      <c r="O22983" s="247"/>
      <c r="AC22983" s="247"/>
      <c r="AT22983" s="247"/>
    </row>
    <row r="22984">
      <c r="C22984" s="277"/>
      <c r="M22984" s="277"/>
      <c r="O22984" s="247"/>
      <c r="AC22984" s="247"/>
      <c r="AT22984" s="247"/>
    </row>
    <row r="22985">
      <c r="C22985" s="277"/>
      <c r="M22985" s="277"/>
      <c r="O22985" s="247"/>
      <c r="AC22985" s="247"/>
      <c r="AT22985" s="247"/>
    </row>
    <row r="22986">
      <c r="C22986" s="277"/>
      <c r="M22986" s="277"/>
      <c r="O22986" s="247"/>
      <c r="AC22986" s="247"/>
      <c r="AT22986" s="247"/>
    </row>
    <row r="22987">
      <c r="C22987" s="277"/>
      <c r="M22987" s="277"/>
      <c r="O22987" s="247"/>
      <c r="AC22987" s="247"/>
      <c r="AT22987" s="247"/>
    </row>
    <row r="22988">
      <c r="C22988" s="277"/>
      <c r="M22988" s="277"/>
      <c r="O22988" s="247"/>
      <c r="AC22988" s="247"/>
      <c r="AT22988" s="247"/>
    </row>
    <row r="22989">
      <c r="C22989" s="277"/>
      <c r="M22989" s="277"/>
      <c r="O22989" s="247"/>
      <c r="AC22989" s="247"/>
      <c r="AT22989" s="247"/>
    </row>
    <row r="22990">
      <c r="C22990" s="277"/>
      <c r="M22990" s="277"/>
      <c r="O22990" s="247"/>
      <c r="AC22990" s="247"/>
      <c r="AT22990" s="247"/>
    </row>
    <row r="22991">
      <c r="C22991" s="277"/>
      <c r="M22991" s="277"/>
      <c r="O22991" s="247"/>
      <c r="AC22991" s="247"/>
      <c r="AT22991" s="247"/>
    </row>
    <row r="22992">
      <c r="C22992" s="277"/>
      <c r="M22992" s="277"/>
      <c r="O22992" s="247"/>
      <c r="AC22992" s="247"/>
      <c r="AT22992" s="247"/>
    </row>
    <row r="22993">
      <c r="C22993" s="277"/>
      <c r="M22993" s="277"/>
      <c r="O22993" s="247"/>
      <c r="AC22993" s="247"/>
      <c r="AT22993" s="247"/>
    </row>
    <row r="22994">
      <c r="C22994" s="277"/>
      <c r="M22994" s="277"/>
      <c r="O22994" s="247"/>
      <c r="AC22994" s="247"/>
      <c r="AT22994" s="247"/>
    </row>
    <row r="22995">
      <c r="C22995" s="277"/>
      <c r="M22995" s="277"/>
      <c r="O22995" s="247"/>
      <c r="AC22995" s="247"/>
      <c r="AT22995" s="247"/>
    </row>
    <row r="22996">
      <c r="C22996" s="277"/>
      <c r="M22996" s="277"/>
      <c r="O22996" s="247"/>
      <c r="AC22996" s="247"/>
      <c r="AT22996" s="247"/>
    </row>
    <row r="22997">
      <c r="C22997" s="277"/>
      <c r="M22997" s="277"/>
      <c r="O22997" s="247"/>
      <c r="AC22997" s="247"/>
      <c r="AT22997" s="247"/>
    </row>
    <row r="22998">
      <c r="C22998" s="277"/>
      <c r="M22998" s="277"/>
      <c r="O22998" s="247"/>
      <c r="AC22998" s="247"/>
      <c r="AT22998" s="247"/>
    </row>
    <row r="22999">
      <c r="C22999" s="277"/>
      <c r="M22999" s="277"/>
      <c r="O22999" s="247"/>
      <c r="AC22999" s="247"/>
      <c r="AT22999" s="247"/>
    </row>
    <row r="23000">
      <c r="C23000" s="277"/>
      <c r="M23000" s="277"/>
      <c r="O23000" s="247"/>
      <c r="AC23000" s="247"/>
      <c r="AT23000" s="247"/>
    </row>
    <row r="23001">
      <c r="C23001" s="277"/>
      <c r="M23001" s="277"/>
      <c r="O23001" s="247"/>
      <c r="AC23001" s="247"/>
      <c r="AT23001" s="247"/>
    </row>
    <row r="23002">
      <c r="C23002" s="277"/>
      <c r="M23002" s="277"/>
      <c r="O23002" s="247"/>
      <c r="AC23002" s="247"/>
      <c r="AT23002" s="247"/>
    </row>
    <row r="23003">
      <c r="C23003" s="277"/>
      <c r="M23003" s="277"/>
      <c r="O23003" s="247"/>
      <c r="AC23003" s="247"/>
      <c r="AT23003" s="247"/>
    </row>
    <row r="23004">
      <c r="C23004" s="277"/>
      <c r="M23004" s="277"/>
      <c r="O23004" s="247"/>
      <c r="AC23004" s="247"/>
      <c r="AT23004" s="247"/>
    </row>
    <row r="23005">
      <c r="C23005" s="277"/>
      <c r="M23005" s="277"/>
      <c r="O23005" s="247"/>
      <c r="AC23005" s="247"/>
      <c r="AT23005" s="247"/>
    </row>
    <row r="23006">
      <c r="C23006" s="277"/>
      <c r="M23006" s="277"/>
      <c r="O23006" s="247"/>
      <c r="AC23006" s="247"/>
      <c r="AT23006" s="247"/>
    </row>
    <row r="23007">
      <c r="C23007" s="277"/>
      <c r="M23007" s="277"/>
      <c r="O23007" s="247"/>
      <c r="AC23007" s="247"/>
      <c r="AT23007" s="247"/>
    </row>
    <row r="23008">
      <c r="C23008" s="277"/>
      <c r="M23008" s="277"/>
      <c r="O23008" s="247"/>
      <c r="AC23008" s="247"/>
      <c r="AT23008" s="247"/>
    </row>
    <row r="23009">
      <c r="C23009" s="277"/>
      <c r="M23009" s="277"/>
      <c r="O23009" s="247"/>
      <c r="AC23009" s="247"/>
      <c r="AT23009" s="247"/>
    </row>
    <row r="23010">
      <c r="C23010" s="277"/>
      <c r="M23010" s="277"/>
      <c r="O23010" s="247"/>
      <c r="AC23010" s="247"/>
      <c r="AT23010" s="247"/>
    </row>
    <row r="23011">
      <c r="C23011" s="277"/>
      <c r="M23011" s="277"/>
      <c r="O23011" s="247"/>
      <c r="AC23011" s="247"/>
      <c r="AT23011" s="247"/>
    </row>
    <row r="23012">
      <c r="C23012" s="277"/>
      <c r="M23012" s="277"/>
      <c r="O23012" s="247"/>
      <c r="AC23012" s="247"/>
      <c r="AT23012" s="247"/>
    </row>
    <row r="23013">
      <c r="C23013" s="277"/>
      <c r="M23013" s="277"/>
      <c r="O23013" s="247"/>
      <c r="AC23013" s="247"/>
      <c r="AT23013" s="247"/>
    </row>
    <row r="23014">
      <c r="C23014" s="277"/>
      <c r="M23014" s="277"/>
      <c r="O23014" s="247"/>
      <c r="AC23014" s="247"/>
      <c r="AT23014" s="247"/>
    </row>
    <row r="23015">
      <c r="C23015" s="277"/>
      <c r="M23015" s="277"/>
      <c r="O23015" s="247"/>
      <c r="AC23015" s="247"/>
      <c r="AT23015" s="247"/>
    </row>
    <row r="23016">
      <c r="C23016" s="277"/>
      <c r="M23016" s="277"/>
      <c r="O23016" s="247"/>
      <c r="AC23016" s="247"/>
      <c r="AT23016" s="247"/>
    </row>
    <row r="23017">
      <c r="C23017" s="277"/>
      <c r="M23017" s="277"/>
      <c r="O23017" s="247"/>
      <c r="AC23017" s="247"/>
      <c r="AT23017" s="247"/>
    </row>
    <row r="23018">
      <c r="C23018" s="277"/>
      <c r="M23018" s="277"/>
      <c r="O23018" s="247"/>
      <c r="AC23018" s="247"/>
      <c r="AT23018" s="247"/>
    </row>
    <row r="23019">
      <c r="C23019" s="277"/>
      <c r="M23019" s="277"/>
      <c r="O23019" s="247"/>
      <c r="AC23019" s="247"/>
      <c r="AT23019" s="247"/>
    </row>
    <row r="23020">
      <c r="C23020" s="277"/>
      <c r="M23020" s="277"/>
      <c r="O23020" s="247"/>
      <c r="AC23020" s="247"/>
      <c r="AT23020" s="247"/>
    </row>
    <row r="23021">
      <c r="C23021" s="277"/>
      <c r="M23021" s="277"/>
      <c r="O23021" s="247"/>
      <c r="AC23021" s="247"/>
      <c r="AT23021" s="247"/>
    </row>
    <row r="23022">
      <c r="C23022" s="277"/>
      <c r="M23022" s="277"/>
      <c r="O23022" s="247"/>
      <c r="AC23022" s="247"/>
      <c r="AT23022" s="247"/>
    </row>
    <row r="23023">
      <c r="C23023" s="277"/>
      <c r="M23023" s="277"/>
      <c r="O23023" s="247"/>
      <c r="AC23023" s="247"/>
      <c r="AT23023" s="247"/>
    </row>
    <row r="23024">
      <c r="C23024" s="277"/>
      <c r="M23024" s="277"/>
      <c r="O23024" s="247"/>
      <c r="AC23024" s="247"/>
      <c r="AT23024" s="247"/>
    </row>
    <row r="23025">
      <c r="C23025" s="277"/>
      <c r="M23025" s="277"/>
      <c r="O23025" s="247"/>
      <c r="AC23025" s="247"/>
      <c r="AT23025" s="247"/>
    </row>
    <row r="23026">
      <c r="C23026" s="277"/>
      <c r="M23026" s="277"/>
      <c r="O23026" s="247"/>
      <c r="AC23026" s="247"/>
      <c r="AT23026" s="247"/>
    </row>
    <row r="23027">
      <c r="C23027" s="277"/>
      <c r="M23027" s="277"/>
      <c r="O23027" s="247"/>
      <c r="AC23027" s="247"/>
      <c r="AT23027" s="247"/>
    </row>
    <row r="23028">
      <c r="C23028" s="277"/>
      <c r="M23028" s="277"/>
      <c r="O23028" s="247"/>
      <c r="AC23028" s="247"/>
      <c r="AT23028" s="247"/>
    </row>
    <row r="23029">
      <c r="C23029" s="277"/>
      <c r="M23029" s="277"/>
      <c r="O23029" s="247"/>
      <c r="AC23029" s="247"/>
      <c r="AT23029" s="247"/>
    </row>
    <row r="23030">
      <c r="C23030" s="277"/>
      <c r="M23030" s="277"/>
      <c r="O23030" s="247"/>
      <c r="AC23030" s="247"/>
      <c r="AT23030" s="247"/>
    </row>
    <row r="23031">
      <c r="C23031" s="277"/>
      <c r="M23031" s="277"/>
      <c r="O23031" s="247"/>
      <c r="AC23031" s="247"/>
      <c r="AT23031" s="247"/>
    </row>
    <row r="23032">
      <c r="C23032" s="277"/>
      <c r="M23032" s="277"/>
      <c r="O23032" s="247"/>
      <c r="AC23032" s="247"/>
      <c r="AT23032" s="247"/>
    </row>
    <row r="23033">
      <c r="C23033" s="277"/>
      <c r="M23033" s="277"/>
      <c r="O23033" s="247"/>
      <c r="AC23033" s="247"/>
      <c r="AT23033" s="247"/>
    </row>
    <row r="23034">
      <c r="C23034" s="277"/>
      <c r="M23034" s="277"/>
      <c r="O23034" s="247"/>
      <c r="AC23034" s="247"/>
      <c r="AT23034" s="247"/>
    </row>
    <row r="23035">
      <c r="C23035" s="277"/>
      <c r="M23035" s="277"/>
      <c r="O23035" s="247"/>
      <c r="AC23035" s="247"/>
      <c r="AT23035" s="247"/>
    </row>
    <row r="23036">
      <c r="C23036" s="277"/>
      <c r="M23036" s="277"/>
      <c r="O23036" s="247"/>
      <c r="AC23036" s="247"/>
      <c r="AT23036" s="247"/>
    </row>
    <row r="23037">
      <c r="C23037" s="277"/>
      <c r="M23037" s="277"/>
      <c r="O23037" s="247"/>
      <c r="AC23037" s="247"/>
      <c r="AT23037" s="247"/>
    </row>
    <row r="23038">
      <c r="C23038" s="277"/>
      <c r="M23038" s="277"/>
      <c r="O23038" s="247"/>
      <c r="AC23038" s="247"/>
      <c r="AT23038" s="247"/>
    </row>
    <row r="23039">
      <c r="C23039" s="277"/>
      <c r="M23039" s="277"/>
      <c r="O23039" s="247"/>
      <c r="AC23039" s="247"/>
      <c r="AT23039" s="247"/>
    </row>
    <row r="23040">
      <c r="C23040" s="277"/>
      <c r="M23040" s="277"/>
      <c r="O23040" s="247"/>
      <c r="AC23040" s="247"/>
      <c r="AT23040" s="247"/>
    </row>
    <row r="23041">
      <c r="C23041" s="277"/>
      <c r="M23041" s="277"/>
      <c r="O23041" s="247"/>
      <c r="AC23041" s="247"/>
      <c r="AT23041" s="247"/>
    </row>
    <row r="23042">
      <c r="C23042" s="277"/>
      <c r="M23042" s="277"/>
      <c r="O23042" s="247"/>
      <c r="AC23042" s="247"/>
      <c r="AT23042" s="247"/>
    </row>
    <row r="23043">
      <c r="C23043" s="277"/>
      <c r="M23043" s="277"/>
      <c r="O23043" s="247"/>
      <c r="AC23043" s="247"/>
      <c r="AT23043" s="247"/>
    </row>
    <row r="23044">
      <c r="C23044" s="277"/>
      <c r="M23044" s="277"/>
      <c r="O23044" s="247"/>
      <c r="AC23044" s="247"/>
      <c r="AT23044" s="247"/>
    </row>
    <row r="23045">
      <c r="C23045" s="277"/>
      <c r="M23045" s="277"/>
      <c r="O23045" s="247"/>
      <c r="AC23045" s="247"/>
      <c r="AT23045" s="247"/>
    </row>
    <row r="23046">
      <c r="C23046" s="277"/>
      <c r="M23046" s="277"/>
      <c r="O23046" s="247"/>
      <c r="AC23046" s="247"/>
      <c r="AT23046" s="247"/>
    </row>
    <row r="23047">
      <c r="C23047" s="277"/>
      <c r="M23047" s="277"/>
      <c r="O23047" s="247"/>
      <c r="AC23047" s="247"/>
      <c r="AT23047" s="247"/>
    </row>
    <row r="23048">
      <c r="C23048" s="277"/>
      <c r="M23048" s="277"/>
      <c r="O23048" s="247"/>
      <c r="AC23048" s="247"/>
      <c r="AT23048" s="247"/>
    </row>
    <row r="23049">
      <c r="C23049" s="277"/>
      <c r="M23049" s="277"/>
      <c r="O23049" s="247"/>
      <c r="AC23049" s="247"/>
      <c r="AT23049" s="247"/>
    </row>
    <row r="23050">
      <c r="C23050" s="277"/>
      <c r="M23050" s="277"/>
      <c r="O23050" s="247"/>
      <c r="AC23050" s="247"/>
      <c r="AT23050" s="247"/>
    </row>
    <row r="23051">
      <c r="C23051" s="277"/>
      <c r="M23051" s="277"/>
      <c r="O23051" s="247"/>
      <c r="AC23051" s="247"/>
      <c r="AT23051" s="247"/>
    </row>
    <row r="23052">
      <c r="C23052" s="277"/>
      <c r="M23052" s="277"/>
      <c r="O23052" s="247"/>
      <c r="AC23052" s="247"/>
      <c r="AT23052" s="247"/>
    </row>
    <row r="23053">
      <c r="C23053" s="277"/>
      <c r="M23053" s="277"/>
      <c r="O23053" s="247"/>
      <c r="AC23053" s="247"/>
      <c r="AT23053" s="247"/>
    </row>
    <row r="23054">
      <c r="C23054" s="277"/>
      <c r="M23054" s="277"/>
      <c r="O23054" s="247"/>
      <c r="AC23054" s="247"/>
      <c r="AT23054" s="247"/>
    </row>
    <row r="23055">
      <c r="C23055" s="277"/>
      <c r="M23055" s="277"/>
      <c r="O23055" s="247"/>
      <c r="AC23055" s="247"/>
      <c r="AT23055" s="247"/>
    </row>
    <row r="23056">
      <c r="C23056" s="277"/>
      <c r="M23056" s="277"/>
      <c r="O23056" s="247"/>
      <c r="AC23056" s="247"/>
      <c r="AT23056" s="247"/>
    </row>
    <row r="23057">
      <c r="C23057" s="277"/>
      <c r="M23057" s="277"/>
      <c r="O23057" s="247"/>
      <c r="AC23057" s="247"/>
      <c r="AT23057" s="247"/>
    </row>
    <row r="23058">
      <c r="C23058" s="277"/>
      <c r="M23058" s="277"/>
      <c r="O23058" s="247"/>
      <c r="AC23058" s="247"/>
      <c r="AT23058" s="247"/>
    </row>
    <row r="23059">
      <c r="C23059" s="277"/>
      <c r="M23059" s="277"/>
      <c r="O23059" s="247"/>
      <c r="AC23059" s="247"/>
      <c r="AT23059" s="247"/>
    </row>
    <row r="23060">
      <c r="C23060" s="277"/>
      <c r="M23060" s="277"/>
      <c r="O23060" s="247"/>
      <c r="AC23060" s="247"/>
      <c r="AT23060" s="247"/>
    </row>
    <row r="23061">
      <c r="C23061" s="277"/>
      <c r="M23061" s="277"/>
      <c r="O23061" s="247"/>
      <c r="AC23061" s="247"/>
      <c r="AT23061" s="247"/>
    </row>
    <row r="23062">
      <c r="C23062" s="277"/>
      <c r="M23062" s="277"/>
      <c r="O23062" s="247"/>
      <c r="AC23062" s="247"/>
      <c r="AT23062" s="247"/>
    </row>
    <row r="23063">
      <c r="C23063" s="277"/>
      <c r="M23063" s="277"/>
      <c r="O23063" s="247"/>
      <c r="AC23063" s="247"/>
      <c r="AT23063" s="247"/>
    </row>
    <row r="23064">
      <c r="C23064" s="277"/>
      <c r="M23064" s="277"/>
      <c r="O23064" s="247"/>
      <c r="AC23064" s="247"/>
      <c r="AT23064" s="247"/>
    </row>
    <row r="23065">
      <c r="C23065" s="277"/>
      <c r="M23065" s="277"/>
      <c r="O23065" s="247"/>
      <c r="AC23065" s="247"/>
      <c r="AT23065" s="247"/>
    </row>
    <row r="23066">
      <c r="C23066" s="277"/>
      <c r="M23066" s="277"/>
      <c r="O23066" s="247"/>
      <c r="AC23066" s="247"/>
      <c r="AT23066" s="247"/>
    </row>
    <row r="23067">
      <c r="C23067" s="277"/>
      <c r="M23067" s="277"/>
      <c r="O23067" s="247"/>
      <c r="AC23067" s="247"/>
      <c r="AT23067" s="247"/>
    </row>
    <row r="23068">
      <c r="C23068" s="277"/>
      <c r="M23068" s="277"/>
      <c r="O23068" s="247"/>
      <c r="AC23068" s="247"/>
      <c r="AT23068" s="247"/>
    </row>
    <row r="23069">
      <c r="C23069" s="277"/>
      <c r="M23069" s="277"/>
      <c r="O23069" s="247"/>
      <c r="AC23069" s="247"/>
      <c r="AT23069" s="247"/>
    </row>
    <row r="23070">
      <c r="C23070" s="277"/>
      <c r="M23070" s="277"/>
      <c r="O23070" s="247"/>
      <c r="AC23070" s="247"/>
      <c r="AT23070" s="247"/>
    </row>
    <row r="23071">
      <c r="C23071" s="277"/>
      <c r="M23071" s="277"/>
      <c r="O23071" s="247"/>
      <c r="AC23071" s="247"/>
      <c r="AT23071" s="247"/>
    </row>
    <row r="23072">
      <c r="C23072" s="277"/>
      <c r="M23072" s="277"/>
      <c r="O23072" s="247"/>
      <c r="AC23072" s="247"/>
      <c r="AT23072" s="247"/>
    </row>
    <row r="23073">
      <c r="C23073" s="277"/>
      <c r="M23073" s="277"/>
      <c r="O23073" s="247"/>
      <c r="AC23073" s="247"/>
      <c r="AT23073" s="247"/>
    </row>
    <row r="23074">
      <c r="C23074" s="277"/>
      <c r="M23074" s="277"/>
      <c r="O23074" s="247"/>
      <c r="AC23074" s="247"/>
      <c r="AT23074" s="247"/>
    </row>
    <row r="23075">
      <c r="C23075" s="277"/>
      <c r="M23075" s="277"/>
      <c r="O23075" s="247"/>
      <c r="AC23075" s="247"/>
      <c r="AT23075" s="247"/>
    </row>
    <row r="23076">
      <c r="C23076" s="277"/>
      <c r="M23076" s="277"/>
      <c r="O23076" s="247"/>
      <c r="AC23076" s="247"/>
      <c r="AT23076" s="247"/>
    </row>
    <row r="23077">
      <c r="C23077" s="277"/>
      <c r="M23077" s="277"/>
      <c r="O23077" s="247"/>
      <c r="AC23077" s="247"/>
      <c r="AT23077" s="247"/>
    </row>
    <row r="23078">
      <c r="C23078" s="277"/>
      <c r="M23078" s="277"/>
      <c r="O23078" s="247"/>
      <c r="AC23078" s="247"/>
      <c r="AT23078" s="247"/>
    </row>
    <row r="23079">
      <c r="C23079" s="277"/>
      <c r="M23079" s="277"/>
      <c r="O23079" s="247"/>
      <c r="AC23079" s="247"/>
      <c r="AT23079" s="247"/>
    </row>
    <row r="23080">
      <c r="C23080" s="277"/>
      <c r="M23080" s="277"/>
      <c r="O23080" s="247"/>
      <c r="AC23080" s="247"/>
      <c r="AT23080" s="247"/>
    </row>
    <row r="23081">
      <c r="C23081" s="277"/>
      <c r="M23081" s="277"/>
      <c r="O23081" s="247"/>
      <c r="AC23081" s="247"/>
      <c r="AT23081" s="247"/>
    </row>
    <row r="23082">
      <c r="C23082" s="277"/>
      <c r="M23082" s="277"/>
      <c r="O23082" s="247"/>
      <c r="AC23082" s="247"/>
      <c r="AT23082" s="247"/>
    </row>
    <row r="23083">
      <c r="C23083" s="277"/>
      <c r="M23083" s="277"/>
      <c r="O23083" s="247"/>
      <c r="AC23083" s="247"/>
      <c r="AT23083" s="247"/>
    </row>
    <row r="23084">
      <c r="C23084" s="277"/>
      <c r="M23084" s="277"/>
      <c r="O23084" s="247"/>
      <c r="AC23084" s="247"/>
      <c r="AT23084" s="247"/>
    </row>
    <row r="23085">
      <c r="C23085" s="277"/>
      <c r="M23085" s="277"/>
      <c r="O23085" s="247"/>
      <c r="AC23085" s="247"/>
      <c r="AT23085" s="247"/>
    </row>
    <row r="23086">
      <c r="C23086" s="277"/>
      <c r="M23086" s="277"/>
      <c r="O23086" s="247"/>
      <c r="AC23086" s="247"/>
      <c r="AT23086" s="247"/>
    </row>
    <row r="23087">
      <c r="C23087" s="277"/>
      <c r="M23087" s="277"/>
      <c r="O23087" s="247"/>
      <c r="AC23087" s="247"/>
      <c r="AT23087" s="247"/>
    </row>
    <row r="23088">
      <c r="C23088" s="277"/>
      <c r="M23088" s="277"/>
      <c r="O23088" s="247"/>
      <c r="AC23088" s="247"/>
      <c r="AT23088" s="247"/>
    </row>
    <row r="23089">
      <c r="C23089" s="277"/>
      <c r="M23089" s="277"/>
      <c r="O23089" s="247"/>
      <c r="AC23089" s="247"/>
      <c r="AT23089" s="247"/>
    </row>
    <row r="23090">
      <c r="C23090" s="277"/>
      <c r="M23090" s="277"/>
      <c r="O23090" s="247"/>
      <c r="AC23090" s="247"/>
      <c r="AT23090" s="247"/>
    </row>
    <row r="23091">
      <c r="C23091" s="277"/>
      <c r="M23091" s="277"/>
      <c r="O23091" s="247"/>
      <c r="AC23091" s="247"/>
      <c r="AT23091" s="247"/>
    </row>
    <row r="23092">
      <c r="C23092" s="277"/>
      <c r="M23092" s="277"/>
      <c r="O23092" s="247"/>
      <c r="AC23092" s="247"/>
      <c r="AT23092" s="247"/>
    </row>
    <row r="23093">
      <c r="C23093" s="277"/>
      <c r="M23093" s="277"/>
      <c r="O23093" s="247"/>
      <c r="AC23093" s="247"/>
      <c r="AT23093" s="247"/>
    </row>
    <row r="23094">
      <c r="C23094" s="277"/>
      <c r="M23094" s="277"/>
      <c r="O23094" s="247"/>
      <c r="AC23094" s="247"/>
      <c r="AT23094" s="247"/>
    </row>
    <row r="23095">
      <c r="C23095" s="277"/>
      <c r="M23095" s="277"/>
      <c r="O23095" s="247"/>
      <c r="AC23095" s="247"/>
      <c r="AT23095" s="247"/>
    </row>
    <row r="23096">
      <c r="C23096" s="277"/>
      <c r="M23096" s="277"/>
      <c r="O23096" s="247"/>
      <c r="AC23096" s="247"/>
      <c r="AT23096" s="247"/>
    </row>
    <row r="23097">
      <c r="C23097" s="277"/>
      <c r="M23097" s="277"/>
      <c r="O23097" s="247"/>
      <c r="AC23097" s="247"/>
      <c r="AT23097" s="247"/>
    </row>
    <row r="23098">
      <c r="C23098" s="277"/>
      <c r="M23098" s="277"/>
      <c r="O23098" s="247"/>
      <c r="AC23098" s="247"/>
      <c r="AT23098" s="247"/>
    </row>
    <row r="23099">
      <c r="C23099" s="277"/>
      <c r="M23099" s="277"/>
      <c r="O23099" s="247"/>
      <c r="AC23099" s="247"/>
      <c r="AT23099" s="247"/>
    </row>
    <row r="23100">
      <c r="C23100" s="277"/>
      <c r="M23100" s="277"/>
      <c r="O23100" s="247"/>
      <c r="AC23100" s="247"/>
      <c r="AT23100" s="247"/>
    </row>
    <row r="23101">
      <c r="C23101" s="277"/>
      <c r="M23101" s="277"/>
      <c r="O23101" s="247"/>
      <c r="AC23101" s="247"/>
      <c r="AT23101" s="247"/>
    </row>
    <row r="23102">
      <c r="C23102" s="277"/>
      <c r="M23102" s="277"/>
      <c r="O23102" s="247"/>
      <c r="AC23102" s="247"/>
      <c r="AT23102" s="247"/>
    </row>
    <row r="23103">
      <c r="C23103" s="277"/>
      <c r="M23103" s="277"/>
      <c r="O23103" s="247"/>
      <c r="AC23103" s="247"/>
      <c r="AT23103" s="247"/>
    </row>
    <row r="23104">
      <c r="C23104" s="277"/>
      <c r="M23104" s="277"/>
      <c r="O23104" s="247"/>
      <c r="AC23104" s="247"/>
      <c r="AT23104" s="247"/>
    </row>
    <row r="23105">
      <c r="C23105" s="277"/>
      <c r="M23105" s="277"/>
      <c r="O23105" s="247"/>
      <c r="AC23105" s="247"/>
      <c r="AT23105" s="247"/>
    </row>
    <row r="23106">
      <c r="C23106" s="277"/>
      <c r="M23106" s="277"/>
      <c r="O23106" s="247"/>
      <c r="AC23106" s="247"/>
      <c r="AT23106" s="247"/>
    </row>
    <row r="23107">
      <c r="C23107" s="277"/>
      <c r="M23107" s="277"/>
      <c r="O23107" s="247"/>
      <c r="AC23107" s="247"/>
      <c r="AT23107" s="247"/>
    </row>
    <row r="23108">
      <c r="C23108" s="277"/>
      <c r="M23108" s="277"/>
      <c r="O23108" s="247"/>
      <c r="AC23108" s="247"/>
      <c r="AT23108" s="247"/>
    </row>
    <row r="23109">
      <c r="C23109" s="277"/>
      <c r="M23109" s="277"/>
      <c r="O23109" s="247"/>
      <c r="AC23109" s="247"/>
      <c r="AT23109" s="247"/>
    </row>
    <row r="23110">
      <c r="C23110" s="277"/>
      <c r="M23110" s="277"/>
      <c r="O23110" s="247"/>
      <c r="AC23110" s="247"/>
      <c r="AT23110" s="247"/>
    </row>
    <row r="23111">
      <c r="C23111" s="277"/>
      <c r="M23111" s="277"/>
      <c r="O23111" s="247"/>
      <c r="AC23111" s="247"/>
      <c r="AT23111" s="247"/>
    </row>
    <row r="23112">
      <c r="C23112" s="277"/>
      <c r="M23112" s="277"/>
      <c r="O23112" s="247"/>
      <c r="AC23112" s="247"/>
      <c r="AT23112" s="247"/>
    </row>
    <row r="23113">
      <c r="C23113" s="277"/>
      <c r="M23113" s="277"/>
      <c r="O23113" s="247"/>
      <c r="AC23113" s="247"/>
      <c r="AT23113" s="247"/>
    </row>
    <row r="23114">
      <c r="C23114" s="277"/>
      <c r="M23114" s="277"/>
      <c r="O23114" s="247"/>
      <c r="AC23114" s="247"/>
      <c r="AT23114" s="247"/>
    </row>
    <row r="23115">
      <c r="C23115" s="277"/>
      <c r="M23115" s="277"/>
      <c r="O23115" s="247"/>
      <c r="AC23115" s="247"/>
      <c r="AT23115" s="247"/>
    </row>
    <row r="23116">
      <c r="C23116" s="277"/>
      <c r="M23116" s="277"/>
      <c r="O23116" s="247"/>
      <c r="AC23116" s="247"/>
      <c r="AT23116" s="247"/>
    </row>
    <row r="23117">
      <c r="C23117" s="277"/>
      <c r="M23117" s="277"/>
      <c r="O23117" s="247"/>
      <c r="AC23117" s="247"/>
      <c r="AT23117" s="247"/>
    </row>
    <row r="23118">
      <c r="C23118" s="277"/>
      <c r="M23118" s="277"/>
      <c r="O23118" s="247"/>
      <c r="AC23118" s="247"/>
      <c r="AT23118" s="247"/>
    </row>
    <row r="23119">
      <c r="C23119" s="277"/>
      <c r="M23119" s="277"/>
      <c r="O23119" s="247"/>
      <c r="AC23119" s="247"/>
      <c r="AT23119" s="247"/>
    </row>
    <row r="23120">
      <c r="C23120" s="277"/>
      <c r="M23120" s="277"/>
      <c r="O23120" s="247"/>
      <c r="AC23120" s="247"/>
      <c r="AT23120" s="247"/>
    </row>
    <row r="23121">
      <c r="C23121" s="277"/>
      <c r="M23121" s="277"/>
      <c r="O23121" s="247"/>
      <c r="AC23121" s="247"/>
      <c r="AT23121" s="247"/>
    </row>
    <row r="23122">
      <c r="C23122" s="277"/>
      <c r="M23122" s="277"/>
      <c r="O23122" s="247"/>
      <c r="AC23122" s="247"/>
      <c r="AT23122" s="247"/>
    </row>
    <row r="23123">
      <c r="C23123" s="277"/>
      <c r="M23123" s="277"/>
      <c r="O23123" s="247"/>
      <c r="AC23123" s="247"/>
      <c r="AT23123" s="247"/>
    </row>
    <row r="23124">
      <c r="C23124" s="277"/>
      <c r="M23124" s="277"/>
      <c r="O23124" s="247"/>
      <c r="AC23124" s="247"/>
      <c r="AT23124" s="247"/>
    </row>
    <row r="23125">
      <c r="C23125" s="277"/>
      <c r="M23125" s="277"/>
      <c r="O23125" s="247"/>
      <c r="AC23125" s="247"/>
      <c r="AT23125" s="247"/>
    </row>
    <row r="23126">
      <c r="C23126" s="277"/>
      <c r="M23126" s="277"/>
      <c r="O23126" s="247"/>
      <c r="AC23126" s="247"/>
      <c r="AT23126" s="247"/>
    </row>
    <row r="23127">
      <c r="C23127" s="277"/>
      <c r="M23127" s="277"/>
      <c r="O23127" s="247"/>
      <c r="AC23127" s="247"/>
      <c r="AT23127" s="247"/>
    </row>
    <row r="23128">
      <c r="C23128" s="277"/>
      <c r="M23128" s="277"/>
      <c r="O23128" s="247"/>
      <c r="AC23128" s="247"/>
      <c r="AT23128" s="247"/>
    </row>
    <row r="23129">
      <c r="C23129" s="277"/>
      <c r="M23129" s="277"/>
      <c r="O23129" s="247"/>
      <c r="AC23129" s="247"/>
      <c r="AT23129" s="247"/>
    </row>
    <row r="23130">
      <c r="C23130" s="277"/>
      <c r="M23130" s="277"/>
      <c r="O23130" s="247"/>
      <c r="AC23130" s="247"/>
      <c r="AT23130" s="247"/>
    </row>
    <row r="23131">
      <c r="C23131" s="277"/>
      <c r="M23131" s="277"/>
      <c r="O23131" s="247"/>
      <c r="AC23131" s="247"/>
      <c r="AT23131" s="247"/>
    </row>
    <row r="23132">
      <c r="C23132" s="277"/>
      <c r="M23132" s="277"/>
      <c r="O23132" s="247"/>
      <c r="AC23132" s="247"/>
      <c r="AT23132" s="247"/>
    </row>
    <row r="23133">
      <c r="C23133" s="277"/>
      <c r="M23133" s="277"/>
      <c r="O23133" s="247"/>
      <c r="AC23133" s="247"/>
      <c r="AT23133" s="247"/>
    </row>
    <row r="23134">
      <c r="C23134" s="277"/>
      <c r="M23134" s="277"/>
      <c r="O23134" s="247"/>
      <c r="AC23134" s="247"/>
      <c r="AT23134" s="247"/>
    </row>
    <row r="23135">
      <c r="C23135" s="277"/>
      <c r="M23135" s="277"/>
      <c r="O23135" s="247"/>
      <c r="AC23135" s="247"/>
      <c r="AT23135" s="247"/>
    </row>
    <row r="23136">
      <c r="C23136" s="277"/>
      <c r="M23136" s="277"/>
      <c r="O23136" s="247"/>
      <c r="AC23136" s="247"/>
      <c r="AT23136" s="247"/>
    </row>
    <row r="23137">
      <c r="C23137" s="277"/>
      <c r="M23137" s="277"/>
      <c r="O23137" s="247"/>
      <c r="AC23137" s="247"/>
      <c r="AT23137" s="247"/>
    </row>
    <row r="23138">
      <c r="C23138" s="277"/>
      <c r="M23138" s="277"/>
      <c r="O23138" s="247"/>
      <c r="AC23138" s="247"/>
      <c r="AT23138" s="247"/>
    </row>
    <row r="23139">
      <c r="C23139" s="277"/>
      <c r="M23139" s="277"/>
      <c r="O23139" s="247"/>
      <c r="AC23139" s="247"/>
      <c r="AT23139" s="247"/>
    </row>
    <row r="23140">
      <c r="C23140" s="277"/>
      <c r="M23140" s="277"/>
      <c r="O23140" s="247"/>
      <c r="AC23140" s="247"/>
      <c r="AT23140" s="247"/>
    </row>
    <row r="23141">
      <c r="C23141" s="277"/>
      <c r="M23141" s="277"/>
      <c r="O23141" s="247"/>
      <c r="AC23141" s="247"/>
      <c r="AT23141" s="247"/>
    </row>
    <row r="23142">
      <c r="C23142" s="277"/>
      <c r="M23142" s="277"/>
      <c r="O23142" s="247"/>
      <c r="AC23142" s="247"/>
      <c r="AT23142" s="247"/>
    </row>
    <row r="23143">
      <c r="C23143" s="277"/>
      <c r="M23143" s="277"/>
      <c r="O23143" s="247"/>
      <c r="AC23143" s="247"/>
      <c r="AT23143" s="247"/>
    </row>
    <row r="23144">
      <c r="C23144" s="277"/>
      <c r="M23144" s="277"/>
      <c r="O23144" s="247"/>
      <c r="AC23144" s="247"/>
      <c r="AT23144" s="247"/>
    </row>
    <row r="23145">
      <c r="C23145" s="277"/>
      <c r="M23145" s="277"/>
      <c r="O23145" s="247"/>
      <c r="AC23145" s="247"/>
      <c r="AT23145" s="247"/>
    </row>
    <row r="23146">
      <c r="C23146" s="277"/>
      <c r="M23146" s="277"/>
      <c r="O23146" s="247"/>
      <c r="AC23146" s="247"/>
      <c r="AT23146" s="247"/>
    </row>
    <row r="23147">
      <c r="C23147" s="277"/>
      <c r="M23147" s="277"/>
      <c r="O23147" s="247"/>
      <c r="AC23147" s="247"/>
      <c r="AT23147" s="247"/>
    </row>
    <row r="23148">
      <c r="C23148" s="277"/>
      <c r="M23148" s="277"/>
      <c r="O23148" s="247"/>
      <c r="AC23148" s="247"/>
      <c r="AT23148" s="247"/>
    </row>
    <row r="23149">
      <c r="C23149" s="277"/>
      <c r="M23149" s="277"/>
      <c r="O23149" s="247"/>
      <c r="AC23149" s="247"/>
      <c r="AT23149" s="247"/>
    </row>
    <row r="23150">
      <c r="C23150" s="277"/>
      <c r="M23150" s="277"/>
      <c r="O23150" s="247"/>
      <c r="AC23150" s="247"/>
      <c r="AT23150" s="247"/>
    </row>
    <row r="23151">
      <c r="C23151" s="277"/>
      <c r="M23151" s="277"/>
      <c r="O23151" s="247"/>
      <c r="AC23151" s="247"/>
      <c r="AT23151" s="247"/>
    </row>
    <row r="23152">
      <c r="C23152" s="277"/>
      <c r="M23152" s="277"/>
      <c r="O23152" s="247"/>
      <c r="AC23152" s="247"/>
      <c r="AT23152" s="247"/>
    </row>
    <row r="23153">
      <c r="C23153" s="277"/>
      <c r="M23153" s="277"/>
      <c r="O23153" s="247"/>
      <c r="AC23153" s="247"/>
      <c r="AT23153" s="247"/>
    </row>
    <row r="23154">
      <c r="C23154" s="277"/>
      <c r="M23154" s="277"/>
      <c r="O23154" s="247"/>
      <c r="AC23154" s="247"/>
      <c r="AT23154" s="247"/>
    </row>
    <row r="23155">
      <c r="C23155" s="277"/>
      <c r="M23155" s="277"/>
      <c r="O23155" s="247"/>
      <c r="AC23155" s="247"/>
      <c r="AT23155" s="247"/>
    </row>
    <row r="23156">
      <c r="C23156" s="277"/>
      <c r="M23156" s="277"/>
      <c r="O23156" s="247"/>
      <c r="AC23156" s="247"/>
      <c r="AT23156" s="247"/>
    </row>
    <row r="23157">
      <c r="C23157" s="277"/>
      <c r="M23157" s="277"/>
      <c r="O23157" s="247"/>
      <c r="AC23157" s="247"/>
      <c r="AT23157" s="247"/>
    </row>
    <row r="23158">
      <c r="C23158" s="277"/>
      <c r="M23158" s="277"/>
      <c r="O23158" s="247"/>
      <c r="AC23158" s="247"/>
      <c r="AT23158" s="247"/>
    </row>
    <row r="23159">
      <c r="C23159" s="277"/>
      <c r="M23159" s="277"/>
      <c r="O23159" s="247"/>
      <c r="AC23159" s="247"/>
      <c r="AT23159" s="247"/>
    </row>
    <row r="23160">
      <c r="C23160" s="277"/>
      <c r="M23160" s="277"/>
      <c r="O23160" s="247"/>
      <c r="AC23160" s="247"/>
      <c r="AT23160" s="247"/>
    </row>
    <row r="23161">
      <c r="C23161" s="277"/>
      <c r="M23161" s="277"/>
      <c r="O23161" s="247"/>
      <c r="AC23161" s="247"/>
      <c r="AT23161" s="247"/>
    </row>
    <row r="23162">
      <c r="C23162" s="277"/>
      <c r="M23162" s="277"/>
      <c r="O23162" s="247"/>
      <c r="AC23162" s="247"/>
      <c r="AT23162" s="247"/>
    </row>
    <row r="23163">
      <c r="C23163" s="277"/>
      <c r="M23163" s="277"/>
      <c r="O23163" s="247"/>
      <c r="AC23163" s="247"/>
      <c r="AT23163" s="247"/>
    </row>
    <row r="23164">
      <c r="C23164" s="277"/>
      <c r="M23164" s="277"/>
      <c r="O23164" s="247"/>
      <c r="AC23164" s="247"/>
      <c r="AT23164" s="247"/>
    </row>
    <row r="23165">
      <c r="C23165" s="277"/>
      <c r="M23165" s="277"/>
      <c r="O23165" s="247"/>
      <c r="AC23165" s="247"/>
      <c r="AT23165" s="247"/>
    </row>
    <row r="23166">
      <c r="C23166" s="277"/>
      <c r="M23166" s="277"/>
      <c r="O23166" s="247"/>
      <c r="AC23166" s="247"/>
      <c r="AT23166" s="247"/>
    </row>
    <row r="23167">
      <c r="C23167" s="277"/>
      <c r="M23167" s="277"/>
      <c r="O23167" s="247"/>
      <c r="AC23167" s="247"/>
      <c r="AT23167" s="247"/>
    </row>
    <row r="23168">
      <c r="C23168" s="277"/>
      <c r="M23168" s="277"/>
      <c r="O23168" s="247"/>
      <c r="AC23168" s="247"/>
      <c r="AT23168" s="247"/>
    </row>
    <row r="23169">
      <c r="C23169" s="277"/>
      <c r="M23169" s="277"/>
      <c r="O23169" s="247"/>
      <c r="AC23169" s="247"/>
      <c r="AT23169" s="247"/>
    </row>
    <row r="23170">
      <c r="C23170" s="277"/>
      <c r="M23170" s="277"/>
      <c r="O23170" s="247"/>
      <c r="AC23170" s="247"/>
      <c r="AT23170" s="247"/>
    </row>
    <row r="23171">
      <c r="C23171" s="277"/>
      <c r="M23171" s="277"/>
      <c r="O23171" s="247"/>
      <c r="AC23171" s="247"/>
      <c r="AT23171" s="247"/>
    </row>
    <row r="23172">
      <c r="C23172" s="277"/>
      <c r="M23172" s="277"/>
      <c r="O23172" s="247"/>
      <c r="AC23172" s="247"/>
      <c r="AT23172" s="247"/>
    </row>
    <row r="23173">
      <c r="C23173" s="277"/>
      <c r="M23173" s="277"/>
      <c r="O23173" s="247"/>
      <c r="AC23173" s="247"/>
      <c r="AT23173" s="247"/>
    </row>
    <row r="23174">
      <c r="C23174" s="277"/>
      <c r="M23174" s="277"/>
      <c r="O23174" s="247"/>
      <c r="AC23174" s="247"/>
      <c r="AT23174" s="247"/>
    </row>
    <row r="23175">
      <c r="C23175" s="277"/>
      <c r="M23175" s="277"/>
      <c r="O23175" s="247"/>
      <c r="AC23175" s="247"/>
      <c r="AT23175" s="247"/>
    </row>
    <row r="23176">
      <c r="C23176" s="277"/>
      <c r="M23176" s="277"/>
      <c r="O23176" s="247"/>
      <c r="AC23176" s="247"/>
      <c r="AT23176" s="247"/>
    </row>
    <row r="23177">
      <c r="C23177" s="277"/>
      <c r="M23177" s="277"/>
      <c r="O23177" s="247"/>
      <c r="AC23177" s="247"/>
      <c r="AT23177" s="247"/>
    </row>
    <row r="23178">
      <c r="C23178" s="277"/>
      <c r="M23178" s="277"/>
      <c r="O23178" s="247"/>
      <c r="AC23178" s="247"/>
      <c r="AT23178" s="247"/>
    </row>
    <row r="23179">
      <c r="C23179" s="277"/>
      <c r="M23179" s="277"/>
      <c r="O23179" s="247"/>
      <c r="AC23179" s="247"/>
      <c r="AT23179" s="247"/>
    </row>
    <row r="23180">
      <c r="C23180" s="277"/>
      <c r="M23180" s="277"/>
      <c r="O23180" s="247"/>
      <c r="AC23180" s="247"/>
      <c r="AT23180" s="247"/>
    </row>
    <row r="23181">
      <c r="C23181" s="277"/>
      <c r="M23181" s="277"/>
      <c r="O23181" s="247"/>
      <c r="AC23181" s="247"/>
      <c r="AT23181" s="247"/>
    </row>
    <row r="23182">
      <c r="C23182" s="277"/>
      <c r="M23182" s="277"/>
      <c r="O23182" s="247"/>
      <c r="AC23182" s="247"/>
      <c r="AT23182" s="247"/>
    </row>
    <row r="23183">
      <c r="C23183" s="277"/>
      <c r="M23183" s="277"/>
      <c r="O23183" s="247"/>
      <c r="AC23183" s="247"/>
      <c r="AT23183" s="247"/>
    </row>
    <row r="23184">
      <c r="C23184" s="277"/>
      <c r="M23184" s="277"/>
      <c r="O23184" s="247"/>
      <c r="AC23184" s="247"/>
      <c r="AT23184" s="247"/>
    </row>
    <row r="23185">
      <c r="C23185" s="277"/>
      <c r="M23185" s="277"/>
      <c r="O23185" s="247"/>
      <c r="AC23185" s="247"/>
      <c r="AT23185" s="247"/>
    </row>
    <row r="23186">
      <c r="C23186" s="277"/>
      <c r="M23186" s="277"/>
      <c r="O23186" s="247"/>
      <c r="AC23186" s="247"/>
      <c r="AT23186" s="247"/>
    </row>
    <row r="23187">
      <c r="C23187" s="277"/>
      <c r="M23187" s="277"/>
      <c r="O23187" s="247"/>
      <c r="AC23187" s="247"/>
      <c r="AT23187" s="247"/>
    </row>
    <row r="23188">
      <c r="C23188" s="277"/>
      <c r="M23188" s="277"/>
      <c r="O23188" s="247"/>
      <c r="AC23188" s="247"/>
      <c r="AT23188" s="247"/>
    </row>
    <row r="23189">
      <c r="C23189" s="277"/>
      <c r="M23189" s="277"/>
      <c r="O23189" s="247"/>
      <c r="AC23189" s="247"/>
      <c r="AT23189" s="247"/>
    </row>
    <row r="23190">
      <c r="C23190" s="277"/>
      <c r="M23190" s="277"/>
      <c r="O23190" s="247"/>
      <c r="AC23190" s="247"/>
      <c r="AT23190" s="247"/>
    </row>
    <row r="23191">
      <c r="C23191" s="277"/>
      <c r="M23191" s="277"/>
      <c r="O23191" s="247"/>
      <c r="AC23191" s="247"/>
      <c r="AT23191" s="247"/>
    </row>
    <row r="23192">
      <c r="C23192" s="277"/>
      <c r="M23192" s="277"/>
      <c r="O23192" s="247"/>
      <c r="AC23192" s="247"/>
      <c r="AT23192" s="247"/>
    </row>
    <row r="23193">
      <c r="C23193" s="277"/>
      <c r="M23193" s="277"/>
      <c r="O23193" s="247"/>
      <c r="AC23193" s="247"/>
      <c r="AT23193" s="247"/>
    </row>
    <row r="23194">
      <c r="C23194" s="277"/>
      <c r="M23194" s="277"/>
      <c r="O23194" s="247"/>
      <c r="AC23194" s="247"/>
      <c r="AT23194" s="247"/>
    </row>
    <row r="23195">
      <c r="C23195" s="277"/>
      <c r="M23195" s="277"/>
      <c r="O23195" s="247"/>
      <c r="AC23195" s="247"/>
      <c r="AT23195" s="247"/>
    </row>
    <row r="23196">
      <c r="C23196" s="277"/>
      <c r="M23196" s="277"/>
      <c r="O23196" s="247"/>
      <c r="AC23196" s="247"/>
      <c r="AT23196" s="247"/>
    </row>
    <row r="23197">
      <c r="C23197" s="277"/>
      <c r="M23197" s="277"/>
      <c r="O23197" s="247"/>
      <c r="AC23197" s="247"/>
      <c r="AT23197" s="247"/>
    </row>
    <row r="23198">
      <c r="C23198" s="277"/>
      <c r="M23198" s="277"/>
      <c r="O23198" s="247"/>
      <c r="AC23198" s="247"/>
      <c r="AT23198" s="247"/>
    </row>
    <row r="23199">
      <c r="C23199" s="277"/>
      <c r="M23199" s="277"/>
      <c r="O23199" s="247"/>
      <c r="AC23199" s="247"/>
      <c r="AT23199" s="247"/>
    </row>
    <row r="23200">
      <c r="C23200" s="277"/>
      <c r="M23200" s="277"/>
      <c r="O23200" s="247"/>
      <c r="AC23200" s="247"/>
      <c r="AT23200" s="247"/>
    </row>
    <row r="23201">
      <c r="C23201" s="277"/>
      <c r="M23201" s="277"/>
      <c r="O23201" s="247"/>
      <c r="AC23201" s="247"/>
      <c r="AT23201" s="247"/>
    </row>
    <row r="23202">
      <c r="C23202" s="277"/>
      <c r="M23202" s="277"/>
      <c r="O23202" s="247"/>
      <c r="AC23202" s="247"/>
      <c r="AT23202" s="247"/>
    </row>
    <row r="23203">
      <c r="C23203" s="277"/>
      <c r="M23203" s="277"/>
      <c r="O23203" s="247"/>
      <c r="AC23203" s="247"/>
      <c r="AT23203" s="247"/>
    </row>
    <row r="23204">
      <c r="C23204" s="277"/>
      <c r="M23204" s="277"/>
      <c r="O23204" s="247"/>
      <c r="AC23204" s="247"/>
      <c r="AT23204" s="247"/>
    </row>
    <row r="23205">
      <c r="C23205" s="277"/>
      <c r="M23205" s="277"/>
      <c r="O23205" s="247"/>
      <c r="AC23205" s="247"/>
      <c r="AT23205" s="247"/>
    </row>
    <row r="23206">
      <c r="C23206" s="277"/>
      <c r="M23206" s="277"/>
      <c r="O23206" s="247"/>
      <c r="AC23206" s="247"/>
      <c r="AT23206" s="247"/>
    </row>
    <row r="23207">
      <c r="C23207" s="277"/>
      <c r="M23207" s="277"/>
      <c r="O23207" s="247"/>
      <c r="AC23207" s="247"/>
      <c r="AT23207" s="247"/>
    </row>
    <row r="23208">
      <c r="C23208" s="277"/>
      <c r="M23208" s="277"/>
      <c r="O23208" s="247"/>
      <c r="AC23208" s="247"/>
      <c r="AT23208" s="247"/>
    </row>
    <row r="23209">
      <c r="C23209" s="277"/>
      <c r="M23209" s="277"/>
      <c r="O23209" s="247"/>
      <c r="AC23209" s="247"/>
      <c r="AT23209" s="247"/>
    </row>
    <row r="23210">
      <c r="C23210" s="277"/>
      <c r="M23210" s="277"/>
      <c r="O23210" s="247"/>
      <c r="AC23210" s="247"/>
      <c r="AT23210" s="247"/>
    </row>
    <row r="23211">
      <c r="C23211" s="277"/>
      <c r="M23211" s="277"/>
      <c r="O23211" s="247"/>
      <c r="AC23211" s="247"/>
      <c r="AT23211" s="247"/>
    </row>
    <row r="23212">
      <c r="C23212" s="277"/>
      <c r="M23212" s="277"/>
      <c r="O23212" s="247"/>
      <c r="AC23212" s="247"/>
      <c r="AT23212" s="247"/>
    </row>
    <row r="23213">
      <c r="C23213" s="277"/>
      <c r="M23213" s="277"/>
      <c r="O23213" s="247"/>
      <c r="AC23213" s="247"/>
      <c r="AT23213" s="247"/>
    </row>
    <row r="23214">
      <c r="C23214" s="277"/>
      <c r="M23214" s="277"/>
      <c r="O23214" s="247"/>
      <c r="AC23214" s="247"/>
      <c r="AT23214" s="247"/>
    </row>
    <row r="23215">
      <c r="C23215" s="277"/>
      <c r="M23215" s="277"/>
      <c r="O23215" s="247"/>
      <c r="AC23215" s="247"/>
      <c r="AT23215" s="247"/>
    </row>
    <row r="23216">
      <c r="C23216" s="277"/>
      <c r="M23216" s="277"/>
      <c r="O23216" s="247"/>
      <c r="AC23216" s="247"/>
      <c r="AT23216" s="247"/>
    </row>
    <row r="23217">
      <c r="C23217" s="277"/>
      <c r="M23217" s="277"/>
      <c r="O23217" s="247"/>
      <c r="AC23217" s="247"/>
      <c r="AT23217" s="247"/>
    </row>
    <row r="23218">
      <c r="C23218" s="277"/>
      <c r="M23218" s="277"/>
      <c r="O23218" s="247"/>
      <c r="AC23218" s="247"/>
      <c r="AT23218" s="247"/>
    </row>
    <row r="23219">
      <c r="C23219" s="277"/>
      <c r="M23219" s="277"/>
      <c r="O23219" s="247"/>
      <c r="AC23219" s="247"/>
      <c r="AT23219" s="247"/>
    </row>
    <row r="23220">
      <c r="C23220" s="277"/>
      <c r="M23220" s="277"/>
      <c r="O23220" s="247"/>
      <c r="AC23220" s="247"/>
      <c r="AT23220" s="247"/>
    </row>
    <row r="23221">
      <c r="C23221" s="277"/>
      <c r="M23221" s="277"/>
      <c r="O23221" s="247"/>
      <c r="AC23221" s="247"/>
      <c r="AT23221" s="247"/>
    </row>
    <row r="23222">
      <c r="C23222" s="277"/>
      <c r="M23222" s="277"/>
      <c r="O23222" s="247"/>
      <c r="AC23222" s="247"/>
      <c r="AT23222" s="247"/>
    </row>
    <row r="23223">
      <c r="C23223" s="277"/>
      <c r="M23223" s="277"/>
      <c r="O23223" s="247"/>
      <c r="AC23223" s="247"/>
      <c r="AT23223" s="247"/>
    </row>
    <row r="23224">
      <c r="C23224" s="277"/>
      <c r="M23224" s="277"/>
      <c r="O23224" s="247"/>
      <c r="AC23224" s="247"/>
      <c r="AT23224" s="247"/>
    </row>
    <row r="23225">
      <c r="C23225" s="277"/>
      <c r="M23225" s="277"/>
      <c r="O23225" s="247"/>
      <c r="AC23225" s="247"/>
      <c r="AT23225" s="247"/>
    </row>
    <row r="23226">
      <c r="C23226" s="277"/>
      <c r="M23226" s="277"/>
      <c r="O23226" s="247"/>
      <c r="AC23226" s="247"/>
      <c r="AT23226" s="247"/>
    </row>
    <row r="23227">
      <c r="C23227" s="277"/>
      <c r="M23227" s="277"/>
      <c r="O23227" s="247"/>
      <c r="AC23227" s="247"/>
      <c r="AT23227" s="247"/>
    </row>
    <row r="23228">
      <c r="C23228" s="277"/>
      <c r="M23228" s="277"/>
      <c r="O23228" s="247"/>
      <c r="AC23228" s="247"/>
      <c r="AT23228" s="247"/>
    </row>
    <row r="23229">
      <c r="C23229" s="277"/>
      <c r="M23229" s="277"/>
      <c r="O23229" s="247"/>
      <c r="AC23229" s="247"/>
      <c r="AT23229" s="247"/>
    </row>
    <row r="23230">
      <c r="C23230" s="277"/>
      <c r="M23230" s="277"/>
      <c r="O23230" s="247"/>
      <c r="AC23230" s="247"/>
      <c r="AT23230" s="247"/>
    </row>
    <row r="23231">
      <c r="C23231" s="277"/>
      <c r="M23231" s="277"/>
      <c r="O23231" s="247"/>
      <c r="AC23231" s="247"/>
      <c r="AT23231" s="247"/>
    </row>
    <row r="23232">
      <c r="C23232" s="277"/>
      <c r="M23232" s="277"/>
      <c r="O23232" s="247"/>
      <c r="AC23232" s="247"/>
      <c r="AT23232" s="247"/>
    </row>
    <row r="23233">
      <c r="C23233" s="277"/>
      <c r="M23233" s="277"/>
      <c r="O23233" s="247"/>
      <c r="AC23233" s="247"/>
      <c r="AT23233" s="247"/>
    </row>
    <row r="23234">
      <c r="C23234" s="277"/>
      <c r="M23234" s="277"/>
      <c r="O23234" s="247"/>
      <c r="AC23234" s="247"/>
      <c r="AT23234" s="247"/>
    </row>
    <row r="23235">
      <c r="C23235" s="277"/>
      <c r="M23235" s="277"/>
      <c r="O23235" s="247"/>
      <c r="AC23235" s="247"/>
      <c r="AT23235" s="247"/>
    </row>
    <row r="23236">
      <c r="C23236" s="277"/>
      <c r="M23236" s="277"/>
      <c r="O23236" s="247"/>
      <c r="AC23236" s="247"/>
      <c r="AT23236" s="247"/>
    </row>
    <row r="23237">
      <c r="C23237" s="277"/>
      <c r="M23237" s="277"/>
      <c r="O23237" s="247"/>
      <c r="AC23237" s="247"/>
      <c r="AT23237" s="247"/>
    </row>
    <row r="23238">
      <c r="C23238" s="277"/>
      <c r="M23238" s="277"/>
      <c r="O23238" s="247"/>
      <c r="AC23238" s="247"/>
      <c r="AT23238" s="247"/>
    </row>
    <row r="23239">
      <c r="C23239" s="277"/>
      <c r="M23239" s="277"/>
      <c r="O23239" s="247"/>
      <c r="AC23239" s="247"/>
      <c r="AT23239" s="247"/>
    </row>
    <row r="23240">
      <c r="C23240" s="277"/>
      <c r="M23240" s="277"/>
      <c r="O23240" s="247"/>
      <c r="AC23240" s="247"/>
      <c r="AT23240" s="247"/>
    </row>
    <row r="23241">
      <c r="C23241" s="277"/>
      <c r="M23241" s="277"/>
      <c r="O23241" s="247"/>
      <c r="AC23241" s="247"/>
      <c r="AT23241" s="247"/>
    </row>
    <row r="23242">
      <c r="C23242" s="277"/>
      <c r="M23242" s="277"/>
      <c r="O23242" s="247"/>
      <c r="AC23242" s="247"/>
      <c r="AT23242" s="247"/>
    </row>
    <row r="23243">
      <c r="C23243" s="277"/>
      <c r="M23243" s="277"/>
      <c r="O23243" s="247"/>
      <c r="AC23243" s="247"/>
      <c r="AT23243" s="247"/>
    </row>
    <row r="23244">
      <c r="C23244" s="277"/>
      <c r="M23244" s="277"/>
      <c r="O23244" s="247"/>
      <c r="AC23244" s="247"/>
      <c r="AT23244" s="247"/>
    </row>
    <row r="23245">
      <c r="C23245" s="277"/>
      <c r="M23245" s="277"/>
      <c r="O23245" s="247"/>
      <c r="AC23245" s="247"/>
      <c r="AT23245" s="247"/>
    </row>
    <row r="23246">
      <c r="C23246" s="277"/>
      <c r="M23246" s="277"/>
      <c r="O23246" s="247"/>
      <c r="AC23246" s="247"/>
      <c r="AT23246" s="247"/>
    </row>
    <row r="23247">
      <c r="C23247" s="277"/>
      <c r="M23247" s="277"/>
      <c r="O23247" s="247"/>
      <c r="AC23247" s="247"/>
      <c r="AT23247" s="247"/>
    </row>
    <row r="23248">
      <c r="C23248" s="277"/>
      <c r="M23248" s="277"/>
      <c r="O23248" s="247"/>
      <c r="AC23248" s="247"/>
      <c r="AT23248" s="247"/>
    </row>
    <row r="23249">
      <c r="C23249" s="277"/>
      <c r="M23249" s="277"/>
      <c r="O23249" s="247"/>
      <c r="AC23249" s="247"/>
      <c r="AT23249" s="247"/>
    </row>
    <row r="23250">
      <c r="C23250" s="277"/>
      <c r="M23250" s="277"/>
      <c r="O23250" s="247"/>
      <c r="AC23250" s="247"/>
      <c r="AT23250" s="247"/>
    </row>
    <row r="23251">
      <c r="C23251" s="277"/>
      <c r="M23251" s="277"/>
      <c r="O23251" s="247"/>
      <c r="AC23251" s="247"/>
      <c r="AT23251" s="247"/>
    </row>
    <row r="23252">
      <c r="C23252" s="277"/>
      <c r="M23252" s="277"/>
      <c r="O23252" s="247"/>
      <c r="AC23252" s="247"/>
      <c r="AT23252" s="247"/>
    </row>
    <row r="23253">
      <c r="C23253" s="277"/>
      <c r="M23253" s="277"/>
      <c r="O23253" s="247"/>
      <c r="AC23253" s="247"/>
      <c r="AT23253" s="247"/>
    </row>
    <row r="23254">
      <c r="C23254" s="277"/>
      <c r="M23254" s="277"/>
      <c r="O23254" s="247"/>
      <c r="AC23254" s="247"/>
      <c r="AT23254" s="247"/>
    </row>
    <row r="23255">
      <c r="C23255" s="277"/>
      <c r="M23255" s="277"/>
      <c r="O23255" s="247"/>
      <c r="AC23255" s="247"/>
      <c r="AT23255" s="247"/>
    </row>
    <row r="23256">
      <c r="C23256" s="277"/>
      <c r="M23256" s="277"/>
      <c r="O23256" s="247"/>
      <c r="AC23256" s="247"/>
      <c r="AT23256" s="247"/>
    </row>
    <row r="23257">
      <c r="C23257" s="277"/>
      <c r="M23257" s="277"/>
      <c r="O23257" s="247"/>
      <c r="AC23257" s="247"/>
      <c r="AT23257" s="247"/>
    </row>
    <row r="23258">
      <c r="C23258" s="277"/>
      <c r="M23258" s="277"/>
      <c r="O23258" s="247"/>
      <c r="AC23258" s="247"/>
      <c r="AT23258" s="247"/>
    </row>
    <row r="23259">
      <c r="C23259" s="277"/>
      <c r="M23259" s="277"/>
      <c r="O23259" s="247"/>
      <c r="AC23259" s="247"/>
      <c r="AT23259" s="247"/>
    </row>
    <row r="23260">
      <c r="C23260" s="277"/>
      <c r="M23260" s="277"/>
      <c r="O23260" s="247"/>
      <c r="AC23260" s="247"/>
      <c r="AT23260" s="247"/>
    </row>
    <row r="23261">
      <c r="C23261" s="277"/>
      <c r="M23261" s="277"/>
      <c r="O23261" s="247"/>
      <c r="AC23261" s="247"/>
      <c r="AT23261" s="247"/>
    </row>
    <row r="23262">
      <c r="C23262" s="277"/>
      <c r="M23262" s="277"/>
      <c r="O23262" s="247"/>
      <c r="AC23262" s="247"/>
      <c r="AT23262" s="247"/>
    </row>
    <row r="23263">
      <c r="C23263" s="277"/>
      <c r="M23263" s="277"/>
      <c r="O23263" s="247"/>
      <c r="AC23263" s="247"/>
      <c r="AT23263" s="247"/>
    </row>
    <row r="23264">
      <c r="C23264" s="277"/>
      <c r="M23264" s="277"/>
      <c r="O23264" s="247"/>
      <c r="AC23264" s="247"/>
      <c r="AT23264" s="247"/>
    </row>
    <row r="23265">
      <c r="C23265" s="277"/>
      <c r="M23265" s="277"/>
      <c r="O23265" s="247"/>
      <c r="AC23265" s="247"/>
      <c r="AT23265" s="247"/>
    </row>
    <row r="23266">
      <c r="C23266" s="277"/>
      <c r="M23266" s="277"/>
      <c r="O23266" s="247"/>
      <c r="AC23266" s="247"/>
      <c r="AT23266" s="247"/>
    </row>
    <row r="23267">
      <c r="C23267" s="277"/>
      <c r="M23267" s="277"/>
      <c r="O23267" s="247"/>
      <c r="AC23267" s="247"/>
      <c r="AT23267" s="247"/>
    </row>
    <row r="23268">
      <c r="C23268" s="277"/>
      <c r="M23268" s="277"/>
      <c r="O23268" s="247"/>
      <c r="AC23268" s="247"/>
      <c r="AT23268" s="247"/>
    </row>
    <row r="23269">
      <c r="C23269" s="277"/>
      <c r="M23269" s="277"/>
      <c r="O23269" s="247"/>
      <c r="AC23269" s="247"/>
      <c r="AT23269" s="247"/>
    </row>
    <row r="23270">
      <c r="C23270" s="277"/>
      <c r="M23270" s="277"/>
      <c r="O23270" s="247"/>
      <c r="AC23270" s="247"/>
      <c r="AT23270" s="247"/>
    </row>
    <row r="23271">
      <c r="C23271" s="277"/>
      <c r="M23271" s="277"/>
      <c r="O23271" s="247"/>
      <c r="AC23271" s="247"/>
      <c r="AT23271" s="247"/>
    </row>
    <row r="23272">
      <c r="C23272" s="277"/>
      <c r="M23272" s="277"/>
      <c r="O23272" s="247"/>
      <c r="AC23272" s="247"/>
      <c r="AT23272" s="247"/>
    </row>
    <row r="23273">
      <c r="C23273" s="277"/>
      <c r="M23273" s="277"/>
      <c r="O23273" s="247"/>
      <c r="AC23273" s="247"/>
      <c r="AT23273" s="247"/>
    </row>
    <row r="23274">
      <c r="C23274" s="277"/>
      <c r="M23274" s="277"/>
      <c r="O23274" s="247"/>
      <c r="AC23274" s="247"/>
      <c r="AT23274" s="247"/>
    </row>
    <row r="23275">
      <c r="C23275" s="277"/>
      <c r="M23275" s="277"/>
      <c r="O23275" s="247"/>
      <c r="AC23275" s="247"/>
      <c r="AT23275" s="247"/>
    </row>
    <row r="23276">
      <c r="C23276" s="277"/>
      <c r="M23276" s="277"/>
      <c r="O23276" s="247"/>
      <c r="AC23276" s="247"/>
      <c r="AT23276" s="247"/>
    </row>
    <row r="23277">
      <c r="C23277" s="277"/>
      <c r="M23277" s="277"/>
      <c r="O23277" s="247"/>
      <c r="AC23277" s="247"/>
      <c r="AT23277" s="247"/>
    </row>
    <row r="23278">
      <c r="C23278" s="277"/>
      <c r="M23278" s="277"/>
      <c r="O23278" s="247"/>
      <c r="AC23278" s="247"/>
      <c r="AT23278" s="247"/>
    </row>
    <row r="23279">
      <c r="C23279" s="277"/>
      <c r="M23279" s="277"/>
      <c r="O23279" s="247"/>
      <c r="AC23279" s="247"/>
      <c r="AT23279" s="247"/>
    </row>
    <row r="23280">
      <c r="C23280" s="277"/>
      <c r="M23280" s="277"/>
      <c r="O23280" s="247"/>
      <c r="AC23280" s="247"/>
      <c r="AT23280" s="247"/>
    </row>
    <row r="23281">
      <c r="C23281" s="277"/>
      <c r="M23281" s="277"/>
      <c r="O23281" s="247"/>
      <c r="AC23281" s="247"/>
      <c r="AT23281" s="247"/>
    </row>
    <row r="23282">
      <c r="C23282" s="277"/>
      <c r="M23282" s="277"/>
      <c r="O23282" s="247"/>
      <c r="AC23282" s="247"/>
      <c r="AT23282" s="247"/>
    </row>
    <row r="23283">
      <c r="C23283" s="277"/>
      <c r="M23283" s="277"/>
      <c r="O23283" s="247"/>
      <c r="AC23283" s="247"/>
      <c r="AT23283" s="247"/>
    </row>
    <row r="23284">
      <c r="C23284" s="277"/>
      <c r="M23284" s="277"/>
      <c r="O23284" s="247"/>
      <c r="AC23284" s="247"/>
      <c r="AT23284" s="247"/>
    </row>
    <row r="23285">
      <c r="C23285" s="277"/>
      <c r="M23285" s="277"/>
      <c r="O23285" s="247"/>
      <c r="AC23285" s="247"/>
      <c r="AT23285" s="247"/>
    </row>
    <row r="23286">
      <c r="C23286" s="277"/>
      <c r="M23286" s="277"/>
      <c r="O23286" s="247"/>
      <c r="AC23286" s="247"/>
      <c r="AT23286" s="247"/>
    </row>
    <row r="23287">
      <c r="C23287" s="277"/>
      <c r="M23287" s="277"/>
      <c r="O23287" s="247"/>
      <c r="AC23287" s="247"/>
      <c r="AT23287" s="247"/>
    </row>
    <row r="23288">
      <c r="C23288" s="277"/>
      <c r="M23288" s="277"/>
      <c r="O23288" s="247"/>
      <c r="AC23288" s="247"/>
      <c r="AT23288" s="247"/>
    </row>
    <row r="23289">
      <c r="C23289" s="277"/>
      <c r="M23289" s="277"/>
      <c r="O23289" s="247"/>
      <c r="AC23289" s="247"/>
      <c r="AT23289" s="247"/>
    </row>
    <row r="23290">
      <c r="C23290" s="277"/>
      <c r="M23290" s="277"/>
      <c r="O23290" s="247"/>
      <c r="AC23290" s="247"/>
      <c r="AT23290" s="247"/>
    </row>
    <row r="23291">
      <c r="C23291" s="277"/>
      <c r="M23291" s="277"/>
      <c r="O23291" s="247"/>
      <c r="AC23291" s="247"/>
      <c r="AT23291" s="247"/>
    </row>
    <row r="23292">
      <c r="C23292" s="277"/>
      <c r="M23292" s="277"/>
      <c r="O23292" s="247"/>
      <c r="AC23292" s="247"/>
      <c r="AT23292" s="247"/>
    </row>
    <row r="23293">
      <c r="C23293" s="277"/>
      <c r="M23293" s="277"/>
      <c r="O23293" s="247"/>
      <c r="AC23293" s="247"/>
      <c r="AT23293" s="247"/>
    </row>
    <row r="23294">
      <c r="C23294" s="277"/>
      <c r="M23294" s="277"/>
      <c r="O23294" s="247"/>
      <c r="AC23294" s="247"/>
      <c r="AT23294" s="247"/>
    </row>
    <row r="23295">
      <c r="C23295" s="277"/>
      <c r="M23295" s="277"/>
      <c r="O23295" s="247"/>
      <c r="AC23295" s="247"/>
      <c r="AT23295" s="247"/>
    </row>
    <row r="23296">
      <c r="C23296" s="277"/>
      <c r="M23296" s="277"/>
      <c r="O23296" s="247"/>
      <c r="AC23296" s="247"/>
      <c r="AT23296" s="247"/>
    </row>
    <row r="23297">
      <c r="C23297" s="277"/>
      <c r="M23297" s="277"/>
      <c r="O23297" s="247"/>
      <c r="AC23297" s="247"/>
      <c r="AT23297" s="247"/>
    </row>
    <row r="23298">
      <c r="C23298" s="277"/>
      <c r="M23298" s="277"/>
      <c r="O23298" s="247"/>
      <c r="AC23298" s="247"/>
      <c r="AT23298" s="247"/>
    </row>
    <row r="23299">
      <c r="C23299" s="277"/>
      <c r="M23299" s="277"/>
      <c r="O23299" s="247"/>
      <c r="AC23299" s="247"/>
      <c r="AT23299" s="247"/>
    </row>
    <row r="23300">
      <c r="C23300" s="277"/>
      <c r="M23300" s="277"/>
      <c r="O23300" s="247"/>
      <c r="AC23300" s="247"/>
      <c r="AT23300" s="247"/>
    </row>
    <row r="23301">
      <c r="C23301" s="277"/>
      <c r="M23301" s="277"/>
      <c r="O23301" s="247"/>
      <c r="AC23301" s="247"/>
      <c r="AT23301" s="247"/>
    </row>
    <row r="23302">
      <c r="C23302" s="277"/>
      <c r="M23302" s="277"/>
      <c r="O23302" s="247"/>
      <c r="AC23302" s="247"/>
      <c r="AT23302" s="247"/>
    </row>
    <row r="23303">
      <c r="C23303" s="277"/>
      <c r="M23303" s="277"/>
      <c r="O23303" s="247"/>
      <c r="AC23303" s="247"/>
      <c r="AT23303" s="247"/>
    </row>
    <row r="23304">
      <c r="C23304" s="277"/>
      <c r="M23304" s="277"/>
      <c r="O23304" s="247"/>
      <c r="AC23304" s="247"/>
      <c r="AT23304" s="247"/>
    </row>
    <row r="23305">
      <c r="C23305" s="277"/>
      <c r="M23305" s="277"/>
      <c r="O23305" s="247"/>
      <c r="AC23305" s="247"/>
      <c r="AT23305" s="247"/>
    </row>
    <row r="23306">
      <c r="C23306" s="277"/>
      <c r="M23306" s="277"/>
      <c r="O23306" s="247"/>
      <c r="AC23306" s="247"/>
      <c r="AT23306" s="247"/>
    </row>
    <row r="23307">
      <c r="C23307" s="277"/>
      <c r="M23307" s="277"/>
      <c r="O23307" s="247"/>
      <c r="AC23307" s="247"/>
      <c r="AT23307" s="247"/>
    </row>
    <row r="23308">
      <c r="C23308" s="277"/>
      <c r="M23308" s="277"/>
      <c r="O23308" s="247"/>
      <c r="AC23308" s="247"/>
      <c r="AT23308" s="247"/>
    </row>
    <row r="23309">
      <c r="C23309" s="277"/>
      <c r="M23309" s="277"/>
      <c r="O23309" s="247"/>
      <c r="AC23309" s="247"/>
      <c r="AT23309" s="247"/>
    </row>
    <row r="23310">
      <c r="C23310" s="277"/>
      <c r="M23310" s="277"/>
      <c r="O23310" s="247"/>
      <c r="AC23310" s="247"/>
      <c r="AT23310" s="247"/>
    </row>
    <row r="23311">
      <c r="C23311" s="277"/>
      <c r="M23311" s="277"/>
      <c r="O23311" s="247"/>
      <c r="AC23311" s="247"/>
      <c r="AT23311" s="247"/>
    </row>
    <row r="23312">
      <c r="C23312" s="277"/>
      <c r="M23312" s="277"/>
      <c r="O23312" s="247"/>
      <c r="AC23312" s="247"/>
      <c r="AT23312" s="247"/>
    </row>
    <row r="23313">
      <c r="C23313" s="277"/>
      <c r="M23313" s="277"/>
      <c r="O23313" s="247"/>
      <c r="AC23313" s="247"/>
      <c r="AT23313" s="247"/>
    </row>
    <row r="23314">
      <c r="C23314" s="277"/>
      <c r="M23314" s="277"/>
      <c r="O23314" s="247"/>
      <c r="AC23314" s="247"/>
      <c r="AT23314" s="247"/>
    </row>
    <row r="23315">
      <c r="C23315" s="277"/>
      <c r="M23315" s="277"/>
      <c r="O23315" s="247"/>
      <c r="AC23315" s="247"/>
      <c r="AT23315" s="247"/>
    </row>
    <row r="23316">
      <c r="C23316" s="277"/>
      <c r="M23316" s="277"/>
      <c r="O23316" s="247"/>
      <c r="AC23316" s="247"/>
      <c r="AT23316" s="247"/>
    </row>
    <row r="23317">
      <c r="C23317" s="277"/>
      <c r="M23317" s="277"/>
      <c r="O23317" s="247"/>
      <c r="AC23317" s="247"/>
      <c r="AT23317" s="247"/>
    </row>
    <row r="23318">
      <c r="C23318" s="277"/>
      <c r="M23318" s="277"/>
      <c r="O23318" s="247"/>
      <c r="AC23318" s="247"/>
      <c r="AT23318" s="247"/>
    </row>
    <row r="23319">
      <c r="C23319" s="277"/>
      <c r="M23319" s="277"/>
      <c r="O23319" s="247"/>
      <c r="AC23319" s="247"/>
      <c r="AT23319" s="247"/>
    </row>
    <row r="23320">
      <c r="C23320" s="277"/>
      <c r="M23320" s="277"/>
      <c r="O23320" s="247"/>
      <c r="AC23320" s="247"/>
      <c r="AT23320" s="247"/>
    </row>
    <row r="23321">
      <c r="C23321" s="277"/>
      <c r="M23321" s="277"/>
      <c r="O23321" s="247"/>
      <c r="AC23321" s="247"/>
      <c r="AT23321" s="247"/>
    </row>
    <row r="23322">
      <c r="C23322" s="277"/>
      <c r="M23322" s="277"/>
      <c r="O23322" s="247"/>
      <c r="AC23322" s="247"/>
      <c r="AT23322" s="247"/>
    </row>
    <row r="23323">
      <c r="C23323" s="277"/>
      <c r="M23323" s="277"/>
      <c r="O23323" s="247"/>
      <c r="AC23323" s="247"/>
      <c r="AT23323" s="247"/>
    </row>
    <row r="23324">
      <c r="C23324" s="277"/>
      <c r="M23324" s="277"/>
      <c r="O23324" s="247"/>
      <c r="AC23324" s="247"/>
      <c r="AT23324" s="247"/>
    </row>
    <row r="23325">
      <c r="C23325" s="277"/>
      <c r="M23325" s="277"/>
      <c r="O23325" s="247"/>
      <c r="AC23325" s="247"/>
      <c r="AT23325" s="247"/>
    </row>
    <row r="23326">
      <c r="C23326" s="277"/>
      <c r="M23326" s="277"/>
      <c r="O23326" s="247"/>
      <c r="AC23326" s="247"/>
      <c r="AT23326" s="247"/>
    </row>
    <row r="23327">
      <c r="C23327" s="277"/>
      <c r="M23327" s="277"/>
      <c r="O23327" s="247"/>
      <c r="AC23327" s="247"/>
      <c r="AT23327" s="247"/>
    </row>
    <row r="23328">
      <c r="C23328" s="277"/>
      <c r="M23328" s="277"/>
      <c r="O23328" s="247"/>
      <c r="AC23328" s="247"/>
      <c r="AT23328" s="247"/>
    </row>
    <row r="23329">
      <c r="C23329" s="277"/>
      <c r="M23329" s="277"/>
      <c r="O23329" s="247"/>
      <c r="AC23329" s="247"/>
      <c r="AT23329" s="247"/>
    </row>
    <row r="23330">
      <c r="C23330" s="277"/>
      <c r="M23330" s="277"/>
      <c r="O23330" s="247"/>
      <c r="AC23330" s="247"/>
      <c r="AT23330" s="247"/>
    </row>
    <row r="23331">
      <c r="C23331" s="277"/>
      <c r="M23331" s="277"/>
      <c r="O23331" s="247"/>
      <c r="AC23331" s="247"/>
      <c r="AT23331" s="247"/>
    </row>
    <row r="23332">
      <c r="C23332" s="277"/>
      <c r="M23332" s="277"/>
      <c r="O23332" s="247"/>
      <c r="AC23332" s="247"/>
      <c r="AT23332" s="247"/>
    </row>
    <row r="23333">
      <c r="C23333" s="277"/>
      <c r="M23333" s="277"/>
      <c r="O23333" s="247"/>
      <c r="AC23333" s="247"/>
      <c r="AT23333" s="247"/>
    </row>
    <row r="23334">
      <c r="C23334" s="277"/>
      <c r="M23334" s="277"/>
      <c r="O23334" s="247"/>
      <c r="AC23334" s="247"/>
      <c r="AT23334" s="247"/>
    </row>
    <row r="23335">
      <c r="C23335" s="277"/>
      <c r="M23335" s="277"/>
      <c r="O23335" s="247"/>
      <c r="AC23335" s="247"/>
      <c r="AT23335" s="247"/>
    </row>
    <row r="23336">
      <c r="C23336" s="277"/>
      <c r="M23336" s="277"/>
      <c r="O23336" s="247"/>
      <c r="AC23336" s="247"/>
      <c r="AT23336" s="247"/>
    </row>
    <row r="23337">
      <c r="C23337" s="277"/>
      <c r="M23337" s="277"/>
      <c r="O23337" s="247"/>
      <c r="AC23337" s="247"/>
      <c r="AT23337" s="247"/>
    </row>
    <row r="23338">
      <c r="C23338" s="277"/>
      <c r="M23338" s="277"/>
      <c r="O23338" s="247"/>
      <c r="AC23338" s="247"/>
      <c r="AT23338" s="247"/>
    </row>
    <row r="23339">
      <c r="C23339" s="277"/>
      <c r="M23339" s="277"/>
      <c r="O23339" s="247"/>
      <c r="AC23339" s="247"/>
      <c r="AT23339" s="247"/>
    </row>
    <row r="23340">
      <c r="C23340" s="277"/>
      <c r="M23340" s="277"/>
      <c r="O23340" s="247"/>
      <c r="AC23340" s="247"/>
      <c r="AT23340" s="247"/>
    </row>
    <row r="23341">
      <c r="C23341" s="277"/>
      <c r="M23341" s="277"/>
      <c r="O23341" s="247"/>
      <c r="AC23341" s="247"/>
      <c r="AT23341" s="247"/>
    </row>
    <row r="23342">
      <c r="C23342" s="277"/>
      <c r="M23342" s="277"/>
      <c r="O23342" s="247"/>
      <c r="AC23342" s="247"/>
      <c r="AT23342" s="247"/>
    </row>
    <row r="23343">
      <c r="C23343" s="277"/>
      <c r="M23343" s="277"/>
      <c r="O23343" s="247"/>
      <c r="AC23343" s="247"/>
      <c r="AT23343" s="247"/>
    </row>
    <row r="23344">
      <c r="C23344" s="277"/>
      <c r="M23344" s="277"/>
      <c r="O23344" s="247"/>
      <c r="AC23344" s="247"/>
      <c r="AT23344" s="247"/>
    </row>
    <row r="23345">
      <c r="C23345" s="277"/>
      <c r="M23345" s="277"/>
      <c r="O23345" s="247"/>
      <c r="AC23345" s="247"/>
      <c r="AT23345" s="247"/>
    </row>
    <row r="23346">
      <c r="C23346" s="277"/>
      <c r="M23346" s="277"/>
      <c r="O23346" s="247"/>
      <c r="AC23346" s="247"/>
      <c r="AT23346" s="247"/>
    </row>
    <row r="23347">
      <c r="C23347" s="277"/>
      <c r="M23347" s="277"/>
      <c r="O23347" s="247"/>
      <c r="AC23347" s="247"/>
      <c r="AT23347" s="247"/>
    </row>
    <row r="23348">
      <c r="C23348" s="277"/>
      <c r="M23348" s="277"/>
      <c r="O23348" s="247"/>
      <c r="AC23348" s="247"/>
      <c r="AT23348" s="247"/>
    </row>
    <row r="23349">
      <c r="C23349" s="277"/>
      <c r="M23349" s="277"/>
      <c r="O23349" s="247"/>
      <c r="AC23349" s="247"/>
      <c r="AT23349" s="247"/>
    </row>
    <row r="23350">
      <c r="C23350" s="277"/>
      <c r="M23350" s="277"/>
      <c r="O23350" s="247"/>
      <c r="AC23350" s="247"/>
      <c r="AT23350" s="247"/>
    </row>
    <row r="23351">
      <c r="C23351" s="277"/>
      <c r="M23351" s="277"/>
      <c r="O23351" s="247"/>
      <c r="AC23351" s="247"/>
      <c r="AT23351" s="247"/>
    </row>
    <row r="23352">
      <c r="C23352" s="277"/>
      <c r="M23352" s="277"/>
      <c r="O23352" s="247"/>
      <c r="AC23352" s="247"/>
      <c r="AT23352" s="247"/>
    </row>
    <row r="23353">
      <c r="C23353" s="277"/>
      <c r="M23353" s="277"/>
      <c r="O23353" s="247"/>
      <c r="AC23353" s="247"/>
      <c r="AT23353" s="247"/>
    </row>
    <row r="23354">
      <c r="C23354" s="277"/>
      <c r="M23354" s="277"/>
      <c r="O23354" s="247"/>
      <c r="AC23354" s="247"/>
      <c r="AT23354" s="247"/>
    </row>
    <row r="23355">
      <c r="C23355" s="277"/>
      <c r="M23355" s="277"/>
      <c r="O23355" s="247"/>
      <c r="AC23355" s="247"/>
      <c r="AT23355" s="247"/>
    </row>
    <row r="23356">
      <c r="C23356" s="277"/>
      <c r="M23356" s="277"/>
      <c r="O23356" s="247"/>
      <c r="AC23356" s="247"/>
      <c r="AT23356" s="247"/>
    </row>
    <row r="23357">
      <c r="C23357" s="277"/>
      <c r="M23357" s="277"/>
      <c r="O23357" s="247"/>
      <c r="AC23357" s="247"/>
      <c r="AT23357" s="247"/>
    </row>
    <row r="23358">
      <c r="C23358" s="277"/>
      <c r="M23358" s="277"/>
      <c r="O23358" s="247"/>
      <c r="AC23358" s="247"/>
      <c r="AT23358" s="247"/>
    </row>
    <row r="23359">
      <c r="C23359" s="277"/>
      <c r="M23359" s="277"/>
      <c r="O23359" s="247"/>
      <c r="AC23359" s="247"/>
      <c r="AT23359" s="247"/>
    </row>
    <row r="23360">
      <c r="C23360" s="277"/>
      <c r="M23360" s="277"/>
      <c r="O23360" s="247"/>
      <c r="AC23360" s="247"/>
      <c r="AT23360" s="247"/>
    </row>
    <row r="23361">
      <c r="C23361" s="277"/>
      <c r="M23361" s="277"/>
      <c r="O23361" s="247"/>
      <c r="AC23361" s="247"/>
      <c r="AT23361" s="247"/>
    </row>
    <row r="23362">
      <c r="C23362" s="277"/>
      <c r="M23362" s="277"/>
      <c r="O23362" s="247"/>
      <c r="AC23362" s="247"/>
      <c r="AT23362" s="247"/>
    </row>
    <row r="23363">
      <c r="C23363" s="277"/>
      <c r="M23363" s="277"/>
      <c r="O23363" s="247"/>
      <c r="AC23363" s="247"/>
      <c r="AT23363" s="247"/>
    </row>
    <row r="23364">
      <c r="C23364" s="277"/>
      <c r="M23364" s="277"/>
      <c r="O23364" s="247"/>
      <c r="AC23364" s="247"/>
      <c r="AT23364" s="247"/>
    </row>
    <row r="23365">
      <c r="C23365" s="277"/>
      <c r="M23365" s="277"/>
      <c r="O23365" s="247"/>
      <c r="AC23365" s="247"/>
      <c r="AT23365" s="247"/>
    </row>
    <row r="23366">
      <c r="C23366" s="277"/>
      <c r="M23366" s="277"/>
      <c r="O23366" s="247"/>
      <c r="AC23366" s="247"/>
      <c r="AT23366" s="247"/>
    </row>
    <row r="23367">
      <c r="C23367" s="277"/>
      <c r="M23367" s="277"/>
      <c r="O23367" s="247"/>
      <c r="AC23367" s="247"/>
      <c r="AT23367" s="247"/>
    </row>
    <row r="23368">
      <c r="C23368" s="277"/>
      <c r="M23368" s="277"/>
      <c r="O23368" s="247"/>
      <c r="AC23368" s="247"/>
      <c r="AT23368" s="247"/>
    </row>
    <row r="23369">
      <c r="C23369" s="277"/>
      <c r="M23369" s="277"/>
      <c r="O23369" s="247"/>
      <c r="AC23369" s="247"/>
      <c r="AT23369" s="247"/>
    </row>
    <row r="23370">
      <c r="C23370" s="277"/>
      <c r="M23370" s="277"/>
      <c r="O23370" s="247"/>
      <c r="AC23370" s="247"/>
      <c r="AT23370" s="247"/>
    </row>
    <row r="23371">
      <c r="C23371" s="277"/>
      <c r="M23371" s="277"/>
      <c r="O23371" s="247"/>
      <c r="AC23371" s="247"/>
      <c r="AT23371" s="247"/>
    </row>
    <row r="23372">
      <c r="C23372" s="277"/>
      <c r="M23372" s="277"/>
      <c r="O23372" s="247"/>
      <c r="AC23372" s="247"/>
      <c r="AT23372" s="247"/>
    </row>
    <row r="23373">
      <c r="C23373" s="277"/>
      <c r="M23373" s="277"/>
      <c r="O23373" s="247"/>
      <c r="AC23373" s="247"/>
      <c r="AT23373" s="247"/>
    </row>
    <row r="23374">
      <c r="C23374" s="277"/>
      <c r="M23374" s="277"/>
      <c r="O23374" s="247"/>
      <c r="AC23374" s="247"/>
      <c r="AT23374" s="247"/>
    </row>
    <row r="23375">
      <c r="C23375" s="277"/>
      <c r="M23375" s="277"/>
      <c r="O23375" s="247"/>
      <c r="AC23375" s="247"/>
      <c r="AT23375" s="247"/>
    </row>
    <row r="23376">
      <c r="C23376" s="277"/>
      <c r="M23376" s="277"/>
      <c r="O23376" s="247"/>
      <c r="AC23376" s="247"/>
      <c r="AT23376" s="247"/>
    </row>
    <row r="23377">
      <c r="C23377" s="277"/>
      <c r="M23377" s="277"/>
      <c r="O23377" s="247"/>
      <c r="AC23377" s="247"/>
      <c r="AT23377" s="247"/>
    </row>
    <row r="23378">
      <c r="C23378" s="277"/>
      <c r="M23378" s="277"/>
      <c r="O23378" s="247"/>
      <c r="AC23378" s="247"/>
      <c r="AT23378" s="247"/>
    </row>
    <row r="23379">
      <c r="C23379" s="277"/>
      <c r="M23379" s="277"/>
      <c r="O23379" s="247"/>
      <c r="AC23379" s="247"/>
      <c r="AT23379" s="247"/>
    </row>
    <row r="23380">
      <c r="C23380" s="277"/>
      <c r="M23380" s="277"/>
      <c r="O23380" s="247"/>
      <c r="AC23380" s="247"/>
      <c r="AT23380" s="247"/>
    </row>
    <row r="23381">
      <c r="C23381" s="277"/>
      <c r="M23381" s="277"/>
      <c r="O23381" s="247"/>
      <c r="AC23381" s="247"/>
      <c r="AT23381" s="247"/>
    </row>
    <row r="23382">
      <c r="C23382" s="277"/>
      <c r="M23382" s="277"/>
      <c r="O23382" s="247"/>
      <c r="AC23382" s="247"/>
      <c r="AT23382" s="247"/>
    </row>
    <row r="23383">
      <c r="C23383" s="277"/>
      <c r="M23383" s="277"/>
      <c r="O23383" s="247"/>
      <c r="AC23383" s="247"/>
      <c r="AT23383" s="247"/>
    </row>
    <row r="23384">
      <c r="C23384" s="277"/>
      <c r="M23384" s="277"/>
      <c r="O23384" s="247"/>
      <c r="AC23384" s="247"/>
      <c r="AT23384" s="247"/>
    </row>
    <row r="23385">
      <c r="C23385" s="277"/>
      <c r="M23385" s="277"/>
      <c r="O23385" s="247"/>
      <c r="AC23385" s="247"/>
      <c r="AT23385" s="247"/>
    </row>
    <row r="23386">
      <c r="C23386" s="277"/>
      <c r="M23386" s="277"/>
      <c r="O23386" s="247"/>
      <c r="AC23386" s="247"/>
      <c r="AT23386" s="247"/>
    </row>
    <row r="23387">
      <c r="C23387" s="277"/>
      <c r="M23387" s="277"/>
      <c r="O23387" s="247"/>
      <c r="AC23387" s="247"/>
      <c r="AT23387" s="247"/>
    </row>
    <row r="23388">
      <c r="C23388" s="277"/>
      <c r="M23388" s="277"/>
      <c r="O23388" s="247"/>
      <c r="AC23388" s="247"/>
      <c r="AT23388" s="247"/>
    </row>
    <row r="23389">
      <c r="C23389" s="277"/>
      <c r="M23389" s="277"/>
      <c r="O23389" s="247"/>
      <c r="AC23389" s="247"/>
      <c r="AT23389" s="247"/>
    </row>
    <row r="23390">
      <c r="C23390" s="277"/>
      <c r="M23390" s="277"/>
      <c r="O23390" s="247"/>
      <c r="AC23390" s="247"/>
      <c r="AT23390" s="247"/>
    </row>
    <row r="23391">
      <c r="C23391" s="277"/>
      <c r="M23391" s="277"/>
      <c r="O23391" s="247"/>
      <c r="AC23391" s="247"/>
      <c r="AT23391" s="247"/>
    </row>
    <row r="23392">
      <c r="C23392" s="277"/>
      <c r="M23392" s="277"/>
      <c r="O23392" s="247"/>
      <c r="AC23392" s="247"/>
      <c r="AT23392" s="247"/>
    </row>
    <row r="23393">
      <c r="C23393" s="277"/>
      <c r="M23393" s="277"/>
      <c r="O23393" s="247"/>
      <c r="AC23393" s="247"/>
      <c r="AT23393" s="247"/>
    </row>
    <row r="23394">
      <c r="C23394" s="277"/>
      <c r="M23394" s="277"/>
      <c r="O23394" s="247"/>
      <c r="AC23394" s="247"/>
      <c r="AT23394" s="247"/>
    </row>
    <row r="23395">
      <c r="C23395" s="277"/>
      <c r="M23395" s="277"/>
      <c r="O23395" s="247"/>
      <c r="AC23395" s="247"/>
      <c r="AT23395" s="247"/>
    </row>
    <row r="23396">
      <c r="C23396" s="277"/>
      <c r="M23396" s="277"/>
      <c r="O23396" s="247"/>
      <c r="AC23396" s="247"/>
      <c r="AT23396" s="247"/>
    </row>
    <row r="23397">
      <c r="C23397" s="277"/>
      <c r="M23397" s="277"/>
      <c r="O23397" s="247"/>
      <c r="AC23397" s="247"/>
      <c r="AT23397" s="247"/>
    </row>
    <row r="23398">
      <c r="C23398" s="277"/>
      <c r="M23398" s="277"/>
      <c r="O23398" s="247"/>
      <c r="AC23398" s="247"/>
      <c r="AT23398" s="247"/>
    </row>
    <row r="23399">
      <c r="C23399" s="277"/>
      <c r="M23399" s="277"/>
      <c r="O23399" s="247"/>
      <c r="AC23399" s="247"/>
      <c r="AT23399" s="247"/>
    </row>
    <row r="23400">
      <c r="C23400" s="277"/>
      <c r="M23400" s="277"/>
      <c r="O23400" s="247"/>
      <c r="AC23400" s="247"/>
      <c r="AT23400" s="247"/>
    </row>
    <row r="23401">
      <c r="C23401" s="277"/>
      <c r="M23401" s="277"/>
      <c r="O23401" s="247"/>
      <c r="AC23401" s="247"/>
      <c r="AT23401" s="247"/>
    </row>
    <row r="23402">
      <c r="C23402" s="277"/>
      <c r="M23402" s="277"/>
      <c r="O23402" s="247"/>
      <c r="AC23402" s="247"/>
      <c r="AT23402" s="247"/>
    </row>
    <row r="23403">
      <c r="C23403" s="277"/>
      <c r="M23403" s="277"/>
      <c r="O23403" s="247"/>
      <c r="AC23403" s="247"/>
      <c r="AT23403" s="247"/>
    </row>
    <row r="23404">
      <c r="C23404" s="277"/>
      <c r="M23404" s="277"/>
      <c r="O23404" s="247"/>
      <c r="AC23404" s="247"/>
      <c r="AT23404" s="247"/>
    </row>
    <row r="23405">
      <c r="C23405" s="277"/>
      <c r="M23405" s="277"/>
      <c r="O23405" s="247"/>
      <c r="AC23405" s="247"/>
      <c r="AT23405" s="247"/>
    </row>
    <row r="23406">
      <c r="C23406" s="277"/>
      <c r="M23406" s="277"/>
      <c r="O23406" s="247"/>
      <c r="AC23406" s="247"/>
      <c r="AT23406" s="247"/>
    </row>
    <row r="23407">
      <c r="C23407" s="277"/>
      <c r="M23407" s="277"/>
      <c r="O23407" s="247"/>
      <c r="AC23407" s="247"/>
      <c r="AT23407" s="247"/>
    </row>
    <row r="23408">
      <c r="C23408" s="277"/>
      <c r="M23408" s="277"/>
      <c r="O23408" s="247"/>
      <c r="AC23408" s="247"/>
      <c r="AT23408" s="247"/>
    </row>
    <row r="23409">
      <c r="C23409" s="277"/>
      <c r="M23409" s="277"/>
      <c r="O23409" s="247"/>
      <c r="AC23409" s="247"/>
      <c r="AT23409" s="247"/>
    </row>
    <row r="23410">
      <c r="C23410" s="277"/>
      <c r="M23410" s="277"/>
      <c r="O23410" s="247"/>
      <c r="AC23410" s="247"/>
      <c r="AT23410" s="247"/>
    </row>
    <row r="23411">
      <c r="C23411" s="277"/>
      <c r="M23411" s="277"/>
      <c r="O23411" s="247"/>
      <c r="AC23411" s="247"/>
      <c r="AT23411" s="247"/>
    </row>
    <row r="23412">
      <c r="C23412" s="277"/>
      <c r="M23412" s="277"/>
      <c r="O23412" s="247"/>
      <c r="AC23412" s="247"/>
      <c r="AT23412" s="247"/>
    </row>
    <row r="23413">
      <c r="C23413" s="277"/>
      <c r="M23413" s="277"/>
      <c r="O23413" s="247"/>
      <c r="AC23413" s="247"/>
      <c r="AT23413" s="247"/>
    </row>
    <row r="23414">
      <c r="C23414" s="277"/>
      <c r="M23414" s="277"/>
      <c r="O23414" s="247"/>
      <c r="AC23414" s="247"/>
      <c r="AT23414" s="247"/>
    </row>
    <row r="23415">
      <c r="C23415" s="277"/>
      <c r="M23415" s="277"/>
      <c r="O23415" s="247"/>
      <c r="AC23415" s="247"/>
      <c r="AT23415" s="247"/>
    </row>
    <row r="23416">
      <c r="C23416" s="277"/>
      <c r="M23416" s="277"/>
      <c r="O23416" s="247"/>
      <c r="AC23416" s="247"/>
      <c r="AT23416" s="247"/>
    </row>
    <row r="23417">
      <c r="C23417" s="277"/>
      <c r="M23417" s="277"/>
      <c r="O23417" s="247"/>
      <c r="AC23417" s="247"/>
      <c r="AT23417" s="247"/>
    </row>
    <row r="23418">
      <c r="C23418" s="277"/>
      <c r="M23418" s="277"/>
      <c r="O23418" s="247"/>
      <c r="AC23418" s="247"/>
      <c r="AT23418" s="247"/>
    </row>
    <row r="23419">
      <c r="C23419" s="277"/>
      <c r="M23419" s="277"/>
      <c r="O23419" s="247"/>
      <c r="AC23419" s="247"/>
      <c r="AT23419" s="247"/>
    </row>
    <row r="23420">
      <c r="C23420" s="277"/>
      <c r="M23420" s="277"/>
      <c r="O23420" s="247"/>
      <c r="AC23420" s="247"/>
      <c r="AT23420" s="247"/>
    </row>
    <row r="23421">
      <c r="C23421" s="277"/>
      <c r="M23421" s="277"/>
      <c r="O23421" s="247"/>
      <c r="AC23421" s="247"/>
      <c r="AT23421" s="247"/>
    </row>
    <row r="23422">
      <c r="C23422" s="277"/>
      <c r="M23422" s="277"/>
      <c r="O23422" s="247"/>
      <c r="AC23422" s="247"/>
      <c r="AT23422" s="247"/>
    </row>
    <row r="23423">
      <c r="C23423" s="277"/>
      <c r="M23423" s="277"/>
      <c r="O23423" s="247"/>
      <c r="AC23423" s="247"/>
      <c r="AT23423" s="247"/>
    </row>
    <row r="23424">
      <c r="C23424" s="277"/>
      <c r="M23424" s="277"/>
      <c r="O23424" s="247"/>
      <c r="AC23424" s="247"/>
      <c r="AT23424" s="247"/>
    </row>
    <row r="23425">
      <c r="C23425" s="277"/>
      <c r="M23425" s="277"/>
      <c r="O23425" s="247"/>
      <c r="AC23425" s="247"/>
      <c r="AT23425" s="247"/>
    </row>
    <row r="23426">
      <c r="C23426" s="277"/>
      <c r="M23426" s="277"/>
      <c r="O23426" s="247"/>
      <c r="AC23426" s="247"/>
      <c r="AT23426" s="247"/>
    </row>
    <row r="23427">
      <c r="C23427" s="277"/>
      <c r="M23427" s="277"/>
      <c r="O23427" s="247"/>
      <c r="AC23427" s="247"/>
      <c r="AT23427" s="247"/>
    </row>
    <row r="23428">
      <c r="C23428" s="277"/>
      <c r="M23428" s="277"/>
      <c r="O23428" s="247"/>
      <c r="AC23428" s="247"/>
      <c r="AT23428" s="247"/>
    </row>
    <row r="23429">
      <c r="C23429" s="277"/>
      <c r="M23429" s="277"/>
      <c r="O23429" s="247"/>
      <c r="AC23429" s="247"/>
      <c r="AT23429" s="247"/>
    </row>
    <row r="23430">
      <c r="C23430" s="277"/>
      <c r="M23430" s="277"/>
      <c r="O23430" s="247"/>
      <c r="AC23430" s="247"/>
      <c r="AT23430" s="247"/>
    </row>
    <row r="23431">
      <c r="C23431" s="277"/>
      <c r="M23431" s="277"/>
      <c r="O23431" s="247"/>
      <c r="AC23431" s="247"/>
      <c r="AT23431" s="247"/>
    </row>
    <row r="23432">
      <c r="C23432" s="277"/>
      <c r="M23432" s="277"/>
      <c r="O23432" s="247"/>
      <c r="AC23432" s="247"/>
      <c r="AT23432" s="247"/>
    </row>
    <row r="23433">
      <c r="C23433" s="277"/>
      <c r="M23433" s="277"/>
      <c r="O23433" s="247"/>
      <c r="AC23433" s="247"/>
      <c r="AT23433" s="247"/>
    </row>
    <row r="23434">
      <c r="C23434" s="277"/>
      <c r="M23434" s="277"/>
      <c r="O23434" s="247"/>
      <c r="AC23434" s="247"/>
      <c r="AT23434" s="247"/>
    </row>
    <row r="23435">
      <c r="C23435" s="277"/>
      <c r="M23435" s="277"/>
      <c r="O23435" s="247"/>
      <c r="AC23435" s="247"/>
      <c r="AT23435" s="247"/>
    </row>
    <row r="23436">
      <c r="C23436" s="277"/>
      <c r="M23436" s="277"/>
      <c r="O23436" s="247"/>
      <c r="AC23436" s="247"/>
      <c r="AT23436" s="247"/>
    </row>
    <row r="23437">
      <c r="C23437" s="277"/>
      <c r="M23437" s="277"/>
      <c r="O23437" s="247"/>
      <c r="AC23437" s="247"/>
      <c r="AT23437" s="247"/>
    </row>
    <row r="23438">
      <c r="C23438" s="277"/>
      <c r="M23438" s="277"/>
      <c r="O23438" s="247"/>
      <c r="AC23438" s="247"/>
      <c r="AT23438" s="247"/>
    </row>
    <row r="23439">
      <c r="C23439" s="277"/>
      <c r="M23439" s="277"/>
      <c r="O23439" s="247"/>
      <c r="AC23439" s="247"/>
      <c r="AT23439" s="247"/>
    </row>
    <row r="23440">
      <c r="C23440" s="277"/>
      <c r="M23440" s="277"/>
      <c r="O23440" s="247"/>
      <c r="AC23440" s="247"/>
      <c r="AT23440" s="247"/>
    </row>
    <row r="23441">
      <c r="C23441" s="277"/>
      <c r="M23441" s="277"/>
      <c r="O23441" s="247"/>
      <c r="AC23441" s="247"/>
      <c r="AT23441" s="247"/>
    </row>
    <row r="23442">
      <c r="C23442" s="277"/>
      <c r="M23442" s="277"/>
      <c r="O23442" s="247"/>
      <c r="AC23442" s="247"/>
      <c r="AT23442" s="247"/>
    </row>
    <row r="23443">
      <c r="C23443" s="277"/>
      <c r="M23443" s="277"/>
      <c r="O23443" s="247"/>
      <c r="AC23443" s="247"/>
      <c r="AT23443" s="247"/>
    </row>
    <row r="23444">
      <c r="C23444" s="277"/>
      <c r="M23444" s="277"/>
      <c r="O23444" s="247"/>
      <c r="AC23444" s="247"/>
      <c r="AT23444" s="247"/>
    </row>
    <row r="23445">
      <c r="C23445" s="277"/>
      <c r="M23445" s="277"/>
      <c r="O23445" s="247"/>
      <c r="AC23445" s="247"/>
      <c r="AT23445" s="247"/>
    </row>
    <row r="23446">
      <c r="C23446" s="277"/>
      <c r="M23446" s="277"/>
      <c r="O23446" s="247"/>
      <c r="AC23446" s="247"/>
      <c r="AT23446" s="247"/>
    </row>
    <row r="23447">
      <c r="C23447" s="277"/>
      <c r="M23447" s="277"/>
      <c r="O23447" s="247"/>
      <c r="AC23447" s="247"/>
      <c r="AT23447" s="247"/>
    </row>
    <row r="23448">
      <c r="C23448" s="277"/>
      <c r="M23448" s="277"/>
      <c r="O23448" s="247"/>
      <c r="AC23448" s="247"/>
      <c r="AT23448" s="247"/>
    </row>
    <row r="23449">
      <c r="C23449" s="277"/>
      <c r="M23449" s="277"/>
      <c r="O23449" s="247"/>
      <c r="AC23449" s="247"/>
      <c r="AT23449" s="247"/>
    </row>
    <row r="23450">
      <c r="C23450" s="277"/>
      <c r="M23450" s="277"/>
      <c r="O23450" s="247"/>
      <c r="AC23450" s="247"/>
      <c r="AT23450" s="247"/>
    </row>
    <row r="23451">
      <c r="C23451" s="277"/>
      <c r="M23451" s="277"/>
      <c r="O23451" s="247"/>
      <c r="AC23451" s="247"/>
      <c r="AT23451" s="247"/>
    </row>
    <row r="23452">
      <c r="C23452" s="277"/>
      <c r="M23452" s="277"/>
      <c r="O23452" s="247"/>
      <c r="AC23452" s="247"/>
      <c r="AT23452" s="247"/>
    </row>
    <row r="23453">
      <c r="C23453" s="277"/>
      <c r="M23453" s="277"/>
      <c r="O23453" s="247"/>
      <c r="AC23453" s="247"/>
      <c r="AT23453" s="247"/>
    </row>
    <row r="23454">
      <c r="C23454" s="277"/>
      <c r="M23454" s="277"/>
      <c r="O23454" s="247"/>
      <c r="AC23454" s="247"/>
      <c r="AT23454" s="247"/>
    </row>
    <row r="23455">
      <c r="C23455" s="277"/>
      <c r="M23455" s="277"/>
      <c r="O23455" s="247"/>
      <c r="AC23455" s="247"/>
      <c r="AT23455" s="247"/>
    </row>
    <row r="23456">
      <c r="C23456" s="277"/>
      <c r="M23456" s="277"/>
      <c r="O23456" s="247"/>
      <c r="AC23456" s="247"/>
      <c r="AT23456" s="247"/>
    </row>
    <row r="23457">
      <c r="C23457" s="277"/>
      <c r="M23457" s="277"/>
      <c r="O23457" s="247"/>
      <c r="AC23457" s="247"/>
      <c r="AT23457" s="247"/>
    </row>
    <row r="23458">
      <c r="C23458" s="277"/>
      <c r="M23458" s="277"/>
      <c r="O23458" s="247"/>
      <c r="AC23458" s="247"/>
      <c r="AT23458" s="247"/>
    </row>
    <row r="23459">
      <c r="C23459" s="277"/>
      <c r="M23459" s="277"/>
      <c r="O23459" s="247"/>
      <c r="AC23459" s="247"/>
      <c r="AT23459" s="247"/>
    </row>
    <row r="23460">
      <c r="C23460" s="277"/>
      <c r="M23460" s="277"/>
      <c r="O23460" s="247"/>
      <c r="AC23460" s="247"/>
      <c r="AT23460" s="247"/>
    </row>
    <row r="23461">
      <c r="C23461" s="277"/>
      <c r="M23461" s="277"/>
      <c r="O23461" s="247"/>
      <c r="AC23461" s="247"/>
      <c r="AT23461" s="247"/>
    </row>
    <row r="23462">
      <c r="C23462" s="277"/>
      <c r="M23462" s="277"/>
      <c r="O23462" s="247"/>
      <c r="AC23462" s="247"/>
      <c r="AT23462" s="247"/>
    </row>
    <row r="23463">
      <c r="C23463" s="277"/>
      <c r="M23463" s="277"/>
      <c r="O23463" s="247"/>
      <c r="AC23463" s="247"/>
      <c r="AT23463" s="247"/>
    </row>
    <row r="23464">
      <c r="C23464" s="277"/>
      <c r="M23464" s="277"/>
      <c r="O23464" s="247"/>
      <c r="AC23464" s="247"/>
      <c r="AT23464" s="247"/>
    </row>
    <row r="23465">
      <c r="C23465" s="277"/>
      <c r="M23465" s="277"/>
      <c r="O23465" s="247"/>
      <c r="AC23465" s="247"/>
      <c r="AT23465" s="247"/>
    </row>
    <row r="23466">
      <c r="C23466" s="277"/>
      <c r="M23466" s="277"/>
      <c r="O23466" s="247"/>
      <c r="AC23466" s="247"/>
      <c r="AT23466" s="247"/>
    </row>
    <row r="23467">
      <c r="C23467" s="277"/>
      <c r="M23467" s="277"/>
      <c r="O23467" s="247"/>
      <c r="AC23467" s="247"/>
      <c r="AT23467" s="247"/>
    </row>
    <row r="23468">
      <c r="C23468" s="277"/>
      <c r="M23468" s="277"/>
      <c r="O23468" s="247"/>
      <c r="AC23468" s="247"/>
      <c r="AT23468" s="247"/>
    </row>
    <row r="23469">
      <c r="C23469" s="277"/>
      <c r="M23469" s="277"/>
      <c r="O23469" s="247"/>
      <c r="AC23469" s="247"/>
      <c r="AT23469" s="247"/>
    </row>
    <row r="23470">
      <c r="C23470" s="277"/>
      <c r="M23470" s="277"/>
      <c r="O23470" s="247"/>
      <c r="AC23470" s="247"/>
      <c r="AT23470" s="247"/>
    </row>
    <row r="23471">
      <c r="C23471" s="277"/>
      <c r="M23471" s="277"/>
      <c r="O23471" s="247"/>
      <c r="AC23471" s="247"/>
      <c r="AT23471" s="247"/>
    </row>
    <row r="23472">
      <c r="C23472" s="277"/>
      <c r="M23472" s="277"/>
      <c r="O23472" s="247"/>
      <c r="AC23472" s="247"/>
      <c r="AT23472" s="247"/>
    </row>
    <row r="23473">
      <c r="C23473" s="277"/>
      <c r="M23473" s="277"/>
      <c r="O23473" s="247"/>
      <c r="AC23473" s="247"/>
      <c r="AT23473" s="247"/>
    </row>
    <row r="23474">
      <c r="C23474" s="277"/>
      <c r="M23474" s="277"/>
      <c r="O23474" s="247"/>
      <c r="AC23474" s="247"/>
      <c r="AT23474" s="247"/>
    </row>
    <row r="23475">
      <c r="C23475" s="277"/>
      <c r="M23475" s="277"/>
      <c r="O23475" s="247"/>
      <c r="AC23475" s="247"/>
      <c r="AT23475" s="247"/>
    </row>
    <row r="23476">
      <c r="C23476" s="277"/>
      <c r="M23476" s="277"/>
      <c r="O23476" s="247"/>
      <c r="AC23476" s="247"/>
      <c r="AT23476" s="247"/>
    </row>
    <row r="23477">
      <c r="C23477" s="277"/>
      <c r="M23477" s="277"/>
      <c r="O23477" s="247"/>
      <c r="AC23477" s="247"/>
      <c r="AT23477" s="247"/>
    </row>
    <row r="23478">
      <c r="C23478" s="277"/>
      <c r="M23478" s="277"/>
      <c r="O23478" s="247"/>
      <c r="AC23478" s="247"/>
      <c r="AT23478" s="247"/>
    </row>
    <row r="23479">
      <c r="C23479" s="277"/>
      <c r="M23479" s="277"/>
      <c r="O23479" s="247"/>
      <c r="AC23479" s="247"/>
      <c r="AT23479" s="247"/>
    </row>
    <row r="23480">
      <c r="C23480" s="277"/>
      <c r="M23480" s="277"/>
      <c r="O23480" s="247"/>
      <c r="AC23480" s="247"/>
      <c r="AT23480" s="247"/>
    </row>
    <row r="23481">
      <c r="C23481" s="277"/>
      <c r="M23481" s="277"/>
      <c r="O23481" s="247"/>
      <c r="AC23481" s="247"/>
      <c r="AT23481" s="247"/>
    </row>
    <row r="23482">
      <c r="C23482" s="277"/>
      <c r="M23482" s="277"/>
      <c r="O23482" s="247"/>
      <c r="AC23482" s="247"/>
      <c r="AT23482" s="247"/>
    </row>
    <row r="23483">
      <c r="C23483" s="277"/>
      <c r="M23483" s="277"/>
      <c r="O23483" s="247"/>
      <c r="AC23483" s="247"/>
      <c r="AT23483" s="247"/>
    </row>
    <row r="23484">
      <c r="C23484" s="277"/>
      <c r="M23484" s="277"/>
      <c r="O23484" s="247"/>
      <c r="AC23484" s="247"/>
      <c r="AT23484" s="247"/>
    </row>
    <row r="23485">
      <c r="C23485" s="277"/>
      <c r="M23485" s="277"/>
      <c r="O23485" s="247"/>
      <c r="AC23485" s="247"/>
      <c r="AT23485" s="247"/>
    </row>
    <row r="23486">
      <c r="C23486" s="277"/>
      <c r="M23486" s="277"/>
      <c r="O23486" s="247"/>
      <c r="AC23486" s="247"/>
      <c r="AT23486" s="247"/>
    </row>
    <row r="23487">
      <c r="C23487" s="277"/>
      <c r="M23487" s="277"/>
      <c r="O23487" s="247"/>
      <c r="AC23487" s="247"/>
      <c r="AT23487" s="247"/>
    </row>
    <row r="23488">
      <c r="C23488" s="277"/>
      <c r="M23488" s="277"/>
      <c r="O23488" s="247"/>
      <c r="AC23488" s="247"/>
      <c r="AT23488" s="247"/>
    </row>
    <row r="23489">
      <c r="C23489" s="277"/>
      <c r="M23489" s="277"/>
      <c r="O23489" s="247"/>
      <c r="AC23489" s="247"/>
      <c r="AT23489" s="247"/>
    </row>
    <row r="23490">
      <c r="C23490" s="277"/>
      <c r="M23490" s="277"/>
      <c r="O23490" s="247"/>
      <c r="AC23490" s="247"/>
      <c r="AT23490" s="247"/>
    </row>
    <row r="23491">
      <c r="C23491" s="277"/>
      <c r="M23491" s="277"/>
      <c r="O23491" s="247"/>
      <c r="AC23491" s="247"/>
      <c r="AT23491" s="247"/>
    </row>
    <row r="23492">
      <c r="C23492" s="277"/>
      <c r="M23492" s="277"/>
      <c r="O23492" s="247"/>
      <c r="AC23492" s="247"/>
      <c r="AT23492" s="247"/>
    </row>
    <row r="23493">
      <c r="C23493" s="277"/>
      <c r="M23493" s="277"/>
      <c r="O23493" s="247"/>
      <c r="AC23493" s="247"/>
      <c r="AT23493" s="247"/>
    </row>
    <row r="23494">
      <c r="C23494" s="277"/>
      <c r="M23494" s="277"/>
      <c r="O23494" s="247"/>
      <c r="AC23494" s="247"/>
      <c r="AT23494" s="247"/>
    </row>
    <row r="23495">
      <c r="C23495" s="277"/>
      <c r="M23495" s="277"/>
      <c r="O23495" s="247"/>
      <c r="AC23495" s="247"/>
      <c r="AT23495" s="247"/>
    </row>
    <row r="23496">
      <c r="C23496" s="277"/>
      <c r="M23496" s="277"/>
      <c r="O23496" s="247"/>
      <c r="AC23496" s="247"/>
      <c r="AT23496" s="247"/>
    </row>
    <row r="23497">
      <c r="C23497" s="277"/>
      <c r="M23497" s="277"/>
      <c r="O23497" s="247"/>
      <c r="AC23497" s="247"/>
      <c r="AT23497" s="247"/>
    </row>
    <row r="23498">
      <c r="C23498" s="277"/>
      <c r="M23498" s="277"/>
      <c r="O23498" s="247"/>
      <c r="AC23498" s="247"/>
      <c r="AT23498" s="247"/>
    </row>
    <row r="23499">
      <c r="C23499" s="277"/>
      <c r="M23499" s="277"/>
      <c r="O23499" s="247"/>
      <c r="AC23499" s="247"/>
      <c r="AT23499" s="247"/>
    </row>
    <row r="23500">
      <c r="C23500" s="277"/>
      <c r="M23500" s="277"/>
      <c r="O23500" s="247"/>
      <c r="AC23500" s="247"/>
      <c r="AT23500" s="247"/>
    </row>
    <row r="23501">
      <c r="C23501" s="277"/>
      <c r="M23501" s="277"/>
      <c r="O23501" s="247"/>
      <c r="AC23501" s="247"/>
      <c r="AT23501" s="247"/>
    </row>
    <row r="23502">
      <c r="C23502" s="277"/>
      <c r="M23502" s="277"/>
      <c r="O23502" s="247"/>
      <c r="AC23502" s="247"/>
      <c r="AT23502" s="247"/>
    </row>
    <row r="23503">
      <c r="C23503" s="277"/>
      <c r="M23503" s="277"/>
      <c r="O23503" s="247"/>
      <c r="AC23503" s="247"/>
      <c r="AT23503" s="247"/>
    </row>
    <row r="23504">
      <c r="C23504" s="277"/>
      <c r="M23504" s="277"/>
      <c r="O23504" s="247"/>
      <c r="AC23504" s="247"/>
      <c r="AT23504" s="247"/>
    </row>
    <row r="23505">
      <c r="C23505" s="277"/>
      <c r="M23505" s="277"/>
      <c r="O23505" s="247"/>
      <c r="AC23505" s="247"/>
      <c r="AT23505" s="247"/>
    </row>
    <row r="23506">
      <c r="C23506" s="277"/>
      <c r="M23506" s="277"/>
      <c r="O23506" s="247"/>
      <c r="AC23506" s="247"/>
      <c r="AT23506" s="247"/>
    </row>
    <row r="23507">
      <c r="C23507" s="277"/>
      <c r="M23507" s="277"/>
      <c r="O23507" s="247"/>
      <c r="AC23507" s="247"/>
      <c r="AT23507" s="247"/>
    </row>
    <row r="23508">
      <c r="C23508" s="277"/>
      <c r="M23508" s="277"/>
      <c r="O23508" s="247"/>
      <c r="AC23508" s="247"/>
      <c r="AT23508" s="247"/>
    </row>
    <row r="23509">
      <c r="C23509" s="277"/>
      <c r="M23509" s="277"/>
      <c r="O23509" s="247"/>
      <c r="AC23509" s="247"/>
      <c r="AT23509" s="247"/>
    </row>
    <row r="23510">
      <c r="C23510" s="277"/>
      <c r="M23510" s="277"/>
      <c r="O23510" s="247"/>
      <c r="AC23510" s="247"/>
      <c r="AT23510" s="247"/>
    </row>
    <row r="23511">
      <c r="C23511" s="277"/>
      <c r="M23511" s="277"/>
      <c r="O23511" s="247"/>
      <c r="AC23511" s="247"/>
      <c r="AT23511" s="247"/>
    </row>
    <row r="23512">
      <c r="C23512" s="277"/>
      <c r="M23512" s="277"/>
      <c r="O23512" s="247"/>
      <c r="AC23512" s="247"/>
      <c r="AT23512" s="247"/>
    </row>
    <row r="23513">
      <c r="C23513" s="277"/>
      <c r="M23513" s="277"/>
      <c r="O23513" s="247"/>
      <c r="AC23513" s="247"/>
      <c r="AT23513" s="247"/>
    </row>
    <row r="23514">
      <c r="C23514" s="277"/>
      <c r="M23514" s="277"/>
      <c r="O23514" s="247"/>
      <c r="AC23514" s="247"/>
      <c r="AT23514" s="247"/>
    </row>
    <row r="23515">
      <c r="C23515" s="277"/>
      <c r="M23515" s="277"/>
      <c r="O23515" s="247"/>
      <c r="AC23515" s="247"/>
      <c r="AT23515" s="247"/>
    </row>
    <row r="23516">
      <c r="C23516" s="277"/>
      <c r="M23516" s="277"/>
      <c r="O23516" s="247"/>
      <c r="AC23516" s="247"/>
      <c r="AT23516" s="247"/>
    </row>
    <row r="23517">
      <c r="C23517" s="277"/>
      <c r="M23517" s="277"/>
      <c r="O23517" s="247"/>
      <c r="AC23517" s="247"/>
      <c r="AT23517" s="247"/>
    </row>
    <row r="23518">
      <c r="C23518" s="277"/>
      <c r="M23518" s="277"/>
      <c r="O23518" s="247"/>
      <c r="AC23518" s="247"/>
      <c r="AT23518" s="247"/>
    </row>
    <row r="23519">
      <c r="C23519" s="277"/>
      <c r="M23519" s="277"/>
      <c r="O23519" s="247"/>
      <c r="AC23519" s="247"/>
      <c r="AT23519" s="247"/>
    </row>
    <row r="23520">
      <c r="C23520" s="277"/>
      <c r="M23520" s="277"/>
      <c r="O23520" s="247"/>
      <c r="AC23520" s="247"/>
      <c r="AT23520" s="247"/>
    </row>
    <row r="23521">
      <c r="C23521" s="277"/>
      <c r="M23521" s="277"/>
      <c r="O23521" s="247"/>
      <c r="AC23521" s="247"/>
      <c r="AT23521" s="247"/>
    </row>
    <row r="23522">
      <c r="C23522" s="277"/>
      <c r="M23522" s="277"/>
      <c r="O23522" s="247"/>
      <c r="AC23522" s="247"/>
      <c r="AT23522" s="247"/>
    </row>
    <row r="23523">
      <c r="C23523" s="277"/>
      <c r="M23523" s="277"/>
      <c r="O23523" s="247"/>
      <c r="AC23523" s="247"/>
      <c r="AT23523" s="247"/>
    </row>
    <row r="23524">
      <c r="C23524" s="277"/>
      <c r="M23524" s="277"/>
      <c r="O23524" s="247"/>
      <c r="AC23524" s="247"/>
      <c r="AT23524" s="247"/>
    </row>
    <row r="23525">
      <c r="C23525" s="277"/>
      <c r="M23525" s="277"/>
      <c r="O23525" s="247"/>
      <c r="AC23525" s="247"/>
      <c r="AT23525" s="247"/>
    </row>
    <row r="23526">
      <c r="C23526" s="277"/>
      <c r="M23526" s="277"/>
      <c r="O23526" s="247"/>
      <c r="AC23526" s="247"/>
      <c r="AT23526" s="247"/>
    </row>
    <row r="23527">
      <c r="C23527" s="277"/>
      <c r="M23527" s="277"/>
      <c r="O23527" s="247"/>
      <c r="AC23527" s="247"/>
      <c r="AT23527" s="247"/>
    </row>
    <row r="23528">
      <c r="C23528" s="277"/>
      <c r="M23528" s="277"/>
      <c r="O23528" s="247"/>
      <c r="AC23528" s="247"/>
      <c r="AT23528" s="247"/>
    </row>
    <row r="23529">
      <c r="C23529" s="277"/>
      <c r="M23529" s="277"/>
      <c r="O23529" s="247"/>
      <c r="AC23529" s="247"/>
      <c r="AT23529" s="247"/>
    </row>
    <row r="23530">
      <c r="C23530" s="277"/>
      <c r="M23530" s="277"/>
      <c r="O23530" s="247"/>
      <c r="AC23530" s="247"/>
      <c r="AT23530" s="247"/>
    </row>
    <row r="23531">
      <c r="C23531" s="277"/>
      <c r="M23531" s="277"/>
      <c r="O23531" s="247"/>
      <c r="AC23531" s="247"/>
      <c r="AT23531" s="247"/>
    </row>
    <row r="23532">
      <c r="C23532" s="277"/>
      <c r="M23532" s="277"/>
      <c r="O23532" s="247"/>
      <c r="AC23532" s="247"/>
      <c r="AT23532" s="247"/>
    </row>
    <row r="23533">
      <c r="C23533" s="277"/>
      <c r="M23533" s="277"/>
      <c r="O23533" s="247"/>
      <c r="AC23533" s="247"/>
      <c r="AT23533" s="247"/>
    </row>
    <row r="23534">
      <c r="C23534" s="277"/>
      <c r="M23534" s="277"/>
      <c r="O23534" s="247"/>
      <c r="AC23534" s="247"/>
      <c r="AT23534" s="247"/>
    </row>
    <row r="23535">
      <c r="C23535" s="277"/>
      <c r="M23535" s="277"/>
      <c r="O23535" s="247"/>
      <c r="AC23535" s="247"/>
      <c r="AT23535" s="247"/>
    </row>
    <row r="23536">
      <c r="C23536" s="277"/>
      <c r="M23536" s="277"/>
      <c r="O23536" s="247"/>
      <c r="AC23536" s="247"/>
      <c r="AT23536" s="247"/>
    </row>
    <row r="23537">
      <c r="C23537" s="277"/>
      <c r="M23537" s="277"/>
      <c r="O23537" s="247"/>
      <c r="AC23537" s="247"/>
      <c r="AT23537" s="247"/>
    </row>
    <row r="23538">
      <c r="C23538" s="277"/>
      <c r="M23538" s="277"/>
      <c r="O23538" s="247"/>
      <c r="AC23538" s="247"/>
      <c r="AT23538" s="247"/>
    </row>
    <row r="23539">
      <c r="C23539" s="277"/>
      <c r="M23539" s="277"/>
      <c r="O23539" s="247"/>
      <c r="AC23539" s="247"/>
      <c r="AT23539" s="247"/>
    </row>
    <row r="23540">
      <c r="C23540" s="277"/>
      <c r="M23540" s="277"/>
      <c r="O23540" s="247"/>
      <c r="AC23540" s="247"/>
      <c r="AT23540" s="247"/>
    </row>
    <row r="23541">
      <c r="C23541" s="277"/>
      <c r="M23541" s="277"/>
      <c r="O23541" s="247"/>
      <c r="AC23541" s="247"/>
      <c r="AT23541" s="247"/>
    </row>
    <row r="23542">
      <c r="C23542" s="277"/>
      <c r="M23542" s="277"/>
      <c r="O23542" s="247"/>
      <c r="AC23542" s="247"/>
      <c r="AT23542" s="247"/>
    </row>
    <row r="23543">
      <c r="C23543" s="277"/>
      <c r="M23543" s="277"/>
      <c r="O23543" s="247"/>
      <c r="AC23543" s="247"/>
      <c r="AT23543" s="247"/>
    </row>
    <row r="23544">
      <c r="C23544" s="277"/>
      <c r="M23544" s="277"/>
      <c r="O23544" s="247"/>
      <c r="AC23544" s="247"/>
      <c r="AT23544" s="247"/>
    </row>
    <row r="23545">
      <c r="C23545" s="277"/>
      <c r="M23545" s="277"/>
      <c r="O23545" s="247"/>
      <c r="AC23545" s="247"/>
      <c r="AT23545" s="247"/>
    </row>
    <row r="23546">
      <c r="C23546" s="277"/>
      <c r="M23546" s="277"/>
      <c r="O23546" s="247"/>
      <c r="AC23546" s="247"/>
      <c r="AT23546" s="247"/>
    </row>
    <row r="23547">
      <c r="C23547" s="277"/>
      <c r="M23547" s="277"/>
      <c r="O23547" s="247"/>
      <c r="AC23547" s="247"/>
      <c r="AT23547" s="247"/>
    </row>
    <row r="23548">
      <c r="C23548" s="277"/>
      <c r="M23548" s="277"/>
      <c r="O23548" s="247"/>
      <c r="AC23548" s="247"/>
      <c r="AT23548" s="247"/>
    </row>
    <row r="23549">
      <c r="C23549" s="277"/>
      <c r="M23549" s="277"/>
      <c r="O23549" s="247"/>
      <c r="AC23549" s="247"/>
      <c r="AT23549" s="247"/>
    </row>
    <row r="23550">
      <c r="C23550" s="277"/>
      <c r="M23550" s="277"/>
      <c r="O23550" s="247"/>
      <c r="AC23550" s="247"/>
      <c r="AT23550" s="247"/>
    </row>
    <row r="23551">
      <c r="C23551" s="277"/>
      <c r="M23551" s="277"/>
      <c r="O23551" s="247"/>
      <c r="AC23551" s="247"/>
      <c r="AT23551" s="247"/>
    </row>
    <row r="23552">
      <c r="C23552" s="277"/>
      <c r="M23552" s="277"/>
      <c r="O23552" s="247"/>
      <c r="AC23552" s="247"/>
      <c r="AT23552" s="247"/>
    </row>
    <row r="23553">
      <c r="C23553" s="277"/>
      <c r="M23553" s="277"/>
      <c r="O23553" s="247"/>
      <c r="AC23553" s="247"/>
      <c r="AT23553" s="247"/>
    </row>
    <row r="23554">
      <c r="C23554" s="277"/>
      <c r="M23554" s="277"/>
      <c r="O23554" s="247"/>
      <c r="AC23554" s="247"/>
      <c r="AT23554" s="247"/>
    </row>
    <row r="23555">
      <c r="C23555" s="277"/>
      <c r="M23555" s="277"/>
      <c r="O23555" s="247"/>
      <c r="AC23555" s="247"/>
      <c r="AT23555" s="247"/>
    </row>
    <row r="23556">
      <c r="C23556" s="277"/>
      <c r="M23556" s="277"/>
      <c r="O23556" s="247"/>
      <c r="AC23556" s="247"/>
      <c r="AT23556" s="247"/>
    </row>
    <row r="23557">
      <c r="C23557" s="277"/>
      <c r="M23557" s="277"/>
      <c r="O23557" s="247"/>
      <c r="AC23557" s="247"/>
      <c r="AT23557" s="247"/>
    </row>
    <row r="23558">
      <c r="C23558" s="277"/>
      <c r="M23558" s="277"/>
      <c r="O23558" s="247"/>
      <c r="AC23558" s="247"/>
      <c r="AT23558" s="247"/>
    </row>
    <row r="23559">
      <c r="C23559" s="277"/>
      <c r="M23559" s="277"/>
      <c r="O23559" s="247"/>
      <c r="AC23559" s="247"/>
      <c r="AT23559" s="247"/>
    </row>
    <row r="23560">
      <c r="C23560" s="277"/>
      <c r="M23560" s="277"/>
      <c r="O23560" s="247"/>
      <c r="AC23560" s="247"/>
      <c r="AT23560" s="247"/>
    </row>
    <row r="23561">
      <c r="C23561" s="277"/>
      <c r="M23561" s="277"/>
      <c r="O23561" s="247"/>
      <c r="AC23561" s="247"/>
      <c r="AT23561" s="247"/>
    </row>
    <row r="23562">
      <c r="C23562" s="277"/>
      <c r="M23562" s="277"/>
      <c r="O23562" s="247"/>
      <c r="AC23562" s="247"/>
      <c r="AT23562" s="247"/>
    </row>
    <row r="23563">
      <c r="C23563" s="277"/>
      <c r="M23563" s="277"/>
      <c r="O23563" s="247"/>
      <c r="AC23563" s="247"/>
      <c r="AT23563" s="247"/>
    </row>
    <row r="23564">
      <c r="C23564" s="277"/>
      <c r="M23564" s="277"/>
      <c r="O23564" s="247"/>
      <c r="AC23564" s="247"/>
      <c r="AT23564" s="247"/>
    </row>
    <row r="23565">
      <c r="C23565" s="277"/>
      <c r="M23565" s="277"/>
      <c r="O23565" s="247"/>
      <c r="AC23565" s="247"/>
      <c r="AT23565" s="247"/>
    </row>
    <row r="23566">
      <c r="C23566" s="277"/>
      <c r="M23566" s="277"/>
      <c r="O23566" s="247"/>
      <c r="AC23566" s="247"/>
      <c r="AT23566" s="247"/>
    </row>
    <row r="23567">
      <c r="C23567" s="277"/>
      <c r="M23567" s="277"/>
      <c r="O23567" s="247"/>
      <c r="AC23567" s="247"/>
      <c r="AT23567" s="247"/>
    </row>
    <row r="23568">
      <c r="C23568" s="277"/>
      <c r="M23568" s="277"/>
      <c r="O23568" s="247"/>
      <c r="AC23568" s="247"/>
      <c r="AT23568" s="247"/>
    </row>
    <row r="23569">
      <c r="C23569" s="277"/>
      <c r="M23569" s="277"/>
      <c r="O23569" s="247"/>
      <c r="AC23569" s="247"/>
      <c r="AT23569" s="247"/>
    </row>
    <row r="23570">
      <c r="C23570" s="277"/>
      <c r="M23570" s="277"/>
      <c r="O23570" s="247"/>
      <c r="AC23570" s="247"/>
      <c r="AT23570" s="247"/>
    </row>
    <row r="23571">
      <c r="C23571" s="277"/>
      <c r="M23571" s="277"/>
      <c r="O23571" s="247"/>
      <c r="AC23571" s="247"/>
      <c r="AT23571" s="247"/>
    </row>
    <row r="23572">
      <c r="C23572" s="277"/>
      <c r="M23572" s="277"/>
      <c r="O23572" s="247"/>
      <c r="AC23572" s="247"/>
      <c r="AT23572" s="247"/>
    </row>
    <row r="23573">
      <c r="C23573" s="277"/>
      <c r="M23573" s="277"/>
      <c r="O23573" s="247"/>
      <c r="AC23573" s="247"/>
      <c r="AT23573" s="247"/>
    </row>
    <row r="23574">
      <c r="C23574" s="277"/>
      <c r="M23574" s="277"/>
      <c r="O23574" s="247"/>
      <c r="AC23574" s="247"/>
      <c r="AT23574" s="247"/>
    </row>
    <row r="23575">
      <c r="C23575" s="277"/>
      <c r="M23575" s="277"/>
      <c r="O23575" s="247"/>
      <c r="AC23575" s="247"/>
      <c r="AT23575" s="247"/>
    </row>
    <row r="23576">
      <c r="C23576" s="277"/>
      <c r="M23576" s="277"/>
      <c r="O23576" s="247"/>
      <c r="AC23576" s="247"/>
      <c r="AT23576" s="247"/>
    </row>
    <row r="23577">
      <c r="C23577" s="277"/>
      <c r="M23577" s="277"/>
      <c r="O23577" s="247"/>
      <c r="AC23577" s="247"/>
      <c r="AT23577" s="247"/>
    </row>
    <row r="23578">
      <c r="C23578" s="277"/>
      <c r="M23578" s="277"/>
      <c r="O23578" s="247"/>
      <c r="AC23578" s="247"/>
      <c r="AT23578" s="247"/>
    </row>
    <row r="23579">
      <c r="C23579" s="277"/>
      <c r="M23579" s="277"/>
      <c r="O23579" s="247"/>
      <c r="AC23579" s="247"/>
      <c r="AT23579" s="247"/>
    </row>
    <row r="23580">
      <c r="C23580" s="277"/>
      <c r="M23580" s="277"/>
      <c r="O23580" s="247"/>
      <c r="AC23580" s="247"/>
      <c r="AT23580" s="247"/>
    </row>
    <row r="23581">
      <c r="C23581" s="277"/>
      <c r="M23581" s="277"/>
      <c r="O23581" s="247"/>
      <c r="AC23581" s="247"/>
      <c r="AT23581" s="247"/>
    </row>
    <row r="23582">
      <c r="C23582" s="277"/>
      <c r="M23582" s="277"/>
      <c r="O23582" s="247"/>
      <c r="AC23582" s="247"/>
      <c r="AT23582" s="247"/>
    </row>
    <row r="23583">
      <c r="C23583" s="277"/>
      <c r="M23583" s="277"/>
      <c r="O23583" s="247"/>
      <c r="AC23583" s="247"/>
      <c r="AT23583" s="247"/>
    </row>
    <row r="23584">
      <c r="C23584" s="277"/>
      <c r="M23584" s="277"/>
      <c r="O23584" s="247"/>
      <c r="AC23584" s="247"/>
      <c r="AT23584" s="247"/>
    </row>
    <row r="23585">
      <c r="C23585" s="277"/>
      <c r="M23585" s="277"/>
      <c r="O23585" s="247"/>
      <c r="AC23585" s="247"/>
      <c r="AT23585" s="247"/>
    </row>
    <row r="23586">
      <c r="C23586" s="277"/>
      <c r="M23586" s="277"/>
      <c r="O23586" s="247"/>
      <c r="AC23586" s="247"/>
      <c r="AT23586" s="247"/>
    </row>
    <row r="23587">
      <c r="C23587" s="277"/>
      <c r="M23587" s="277"/>
      <c r="O23587" s="247"/>
      <c r="AC23587" s="247"/>
      <c r="AT23587" s="247"/>
    </row>
    <row r="23588">
      <c r="C23588" s="277"/>
      <c r="M23588" s="277"/>
      <c r="O23588" s="247"/>
      <c r="AC23588" s="247"/>
      <c r="AT23588" s="247"/>
    </row>
    <row r="23589">
      <c r="C23589" s="277"/>
      <c r="M23589" s="277"/>
      <c r="O23589" s="247"/>
      <c r="AC23589" s="247"/>
      <c r="AT23589" s="247"/>
    </row>
    <row r="23590">
      <c r="C23590" s="277"/>
      <c r="M23590" s="277"/>
      <c r="O23590" s="247"/>
      <c r="AC23590" s="247"/>
      <c r="AT23590" s="247"/>
    </row>
    <row r="23591">
      <c r="C23591" s="277"/>
      <c r="M23591" s="277"/>
      <c r="O23591" s="247"/>
      <c r="AC23591" s="247"/>
      <c r="AT23591" s="247"/>
    </row>
    <row r="23592">
      <c r="C23592" s="277"/>
      <c r="M23592" s="277"/>
      <c r="O23592" s="247"/>
      <c r="AC23592" s="247"/>
      <c r="AT23592" s="247"/>
    </row>
    <row r="23593">
      <c r="C23593" s="277"/>
      <c r="M23593" s="277"/>
      <c r="O23593" s="247"/>
      <c r="AC23593" s="247"/>
      <c r="AT23593" s="247"/>
    </row>
    <row r="23594">
      <c r="C23594" s="277"/>
      <c r="M23594" s="277"/>
      <c r="O23594" s="247"/>
      <c r="AC23594" s="247"/>
      <c r="AT23594" s="247"/>
    </row>
    <row r="23595">
      <c r="C23595" s="277"/>
      <c r="M23595" s="277"/>
      <c r="O23595" s="247"/>
      <c r="AC23595" s="247"/>
      <c r="AT23595" s="247"/>
    </row>
    <row r="23596">
      <c r="C23596" s="277"/>
      <c r="M23596" s="277"/>
      <c r="O23596" s="247"/>
      <c r="AC23596" s="247"/>
      <c r="AT23596" s="247"/>
    </row>
    <row r="23597">
      <c r="C23597" s="277"/>
      <c r="M23597" s="277"/>
      <c r="O23597" s="247"/>
      <c r="AC23597" s="247"/>
      <c r="AT23597" s="247"/>
    </row>
    <row r="23598">
      <c r="C23598" s="277"/>
      <c r="M23598" s="277"/>
      <c r="O23598" s="247"/>
      <c r="AC23598" s="247"/>
      <c r="AT23598" s="247"/>
    </row>
    <row r="23599">
      <c r="C23599" s="277"/>
      <c r="M23599" s="277"/>
      <c r="O23599" s="247"/>
      <c r="AC23599" s="247"/>
      <c r="AT23599" s="247"/>
    </row>
    <row r="23600">
      <c r="C23600" s="277"/>
      <c r="M23600" s="277"/>
      <c r="O23600" s="247"/>
      <c r="AC23600" s="247"/>
      <c r="AT23600" s="247"/>
    </row>
    <row r="23601">
      <c r="C23601" s="277"/>
      <c r="M23601" s="277"/>
      <c r="O23601" s="247"/>
      <c r="AC23601" s="247"/>
      <c r="AT23601" s="247"/>
    </row>
    <row r="23602">
      <c r="C23602" s="277"/>
      <c r="M23602" s="277"/>
      <c r="O23602" s="247"/>
      <c r="AC23602" s="247"/>
      <c r="AT23602" s="247"/>
    </row>
    <row r="23603">
      <c r="C23603" s="277"/>
      <c r="M23603" s="277"/>
      <c r="O23603" s="247"/>
      <c r="AC23603" s="247"/>
      <c r="AT23603" s="247"/>
    </row>
    <row r="23604">
      <c r="C23604" s="277"/>
      <c r="M23604" s="277"/>
      <c r="O23604" s="247"/>
      <c r="AC23604" s="247"/>
      <c r="AT23604" s="247"/>
    </row>
    <row r="23605">
      <c r="C23605" s="277"/>
      <c r="M23605" s="277"/>
      <c r="O23605" s="247"/>
      <c r="AC23605" s="247"/>
      <c r="AT23605" s="247"/>
    </row>
    <row r="23606">
      <c r="C23606" s="277"/>
      <c r="M23606" s="277"/>
      <c r="O23606" s="247"/>
      <c r="AC23606" s="247"/>
      <c r="AT23606" s="247"/>
    </row>
    <row r="23607">
      <c r="C23607" s="277"/>
      <c r="M23607" s="277"/>
      <c r="O23607" s="247"/>
      <c r="AC23607" s="247"/>
      <c r="AT23607" s="247"/>
    </row>
    <row r="23608">
      <c r="C23608" s="277"/>
      <c r="M23608" s="277"/>
      <c r="O23608" s="247"/>
      <c r="AC23608" s="247"/>
      <c r="AT23608" s="247"/>
    </row>
    <row r="23609">
      <c r="C23609" s="277"/>
      <c r="M23609" s="277"/>
      <c r="O23609" s="247"/>
      <c r="AC23609" s="247"/>
      <c r="AT23609" s="247"/>
    </row>
    <row r="23610">
      <c r="C23610" s="277"/>
      <c r="M23610" s="277"/>
      <c r="O23610" s="247"/>
      <c r="AC23610" s="247"/>
      <c r="AT23610" s="247"/>
    </row>
    <row r="23611">
      <c r="C23611" s="277"/>
      <c r="M23611" s="277"/>
      <c r="O23611" s="247"/>
      <c r="AC23611" s="247"/>
      <c r="AT23611" s="247"/>
    </row>
    <row r="23612">
      <c r="C23612" s="277"/>
      <c r="M23612" s="277"/>
      <c r="O23612" s="247"/>
      <c r="AC23612" s="247"/>
      <c r="AT23612" s="247"/>
    </row>
    <row r="23613">
      <c r="C23613" s="277"/>
      <c r="M23613" s="277"/>
      <c r="O23613" s="247"/>
      <c r="AC23613" s="247"/>
      <c r="AT23613" s="247"/>
    </row>
    <row r="23614">
      <c r="C23614" s="277"/>
      <c r="M23614" s="277"/>
      <c r="O23614" s="247"/>
      <c r="AC23614" s="247"/>
      <c r="AT23614" s="247"/>
    </row>
    <row r="23615">
      <c r="C23615" s="277"/>
      <c r="M23615" s="277"/>
      <c r="O23615" s="247"/>
      <c r="AC23615" s="247"/>
      <c r="AT23615" s="247"/>
    </row>
    <row r="23616">
      <c r="C23616" s="277"/>
      <c r="M23616" s="277"/>
      <c r="O23616" s="247"/>
      <c r="AC23616" s="247"/>
      <c r="AT23616" s="247"/>
    </row>
    <row r="23617">
      <c r="C23617" s="277"/>
      <c r="M23617" s="277"/>
      <c r="O23617" s="247"/>
      <c r="AC23617" s="247"/>
      <c r="AT23617" s="247"/>
    </row>
    <row r="23618">
      <c r="C23618" s="277"/>
      <c r="M23618" s="277"/>
      <c r="O23618" s="247"/>
      <c r="AC23618" s="247"/>
      <c r="AT23618" s="247"/>
    </row>
    <row r="23619">
      <c r="C23619" s="277"/>
      <c r="M23619" s="277"/>
      <c r="O23619" s="247"/>
      <c r="AC23619" s="247"/>
      <c r="AT23619" s="247"/>
    </row>
    <row r="23620">
      <c r="C23620" s="277"/>
      <c r="M23620" s="277"/>
      <c r="O23620" s="247"/>
      <c r="AC23620" s="247"/>
      <c r="AT23620" s="247"/>
    </row>
    <row r="23621">
      <c r="C23621" s="277"/>
      <c r="M23621" s="277"/>
      <c r="O23621" s="247"/>
      <c r="AC23621" s="247"/>
      <c r="AT23621" s="247"/>
    </row>
    <row r="23622">
      <c r="C23622" s="277"/>
      <c r="M23622" s="277"/>
      <c r="O23622" s="247"/>
      <c r="AC23622" s="247"/>
      <c r="AT23622" s="247"/>
    </row>
    <row r="23623">
      <c r="C23623" s="277"/>
      <c r="M23623" s="277"/>
      <c r="O23623" s="247"/>
      <c r="AC23623" s="247"/>
      <c r="AT23623" s="247"/>
    </row>
    <row r="23624">
      <c r="C23624" s="277"/>
      <c r="M23624" s="277"/>
      <c r="O23624" s="247"/>
      <c r="AC23624" s="247"/>
      <c r="AT23624" s="247"/>
    </row>
    <row r="23625">
      <c r="C23625" s="277"/>
      <c r="M23625" s="277"/>
      <c r="O23625" s="247"/>
      <c r="AC23625" s="247"/>
      <c r="AT23625" s="247"/>
    </row>
    <row r="23626">
      <c r="C23626" s="277"/>
      <c r="M23626" s="277"/>
      <c r="O23626" s="247"/>
      <c r="AC23626" s="247"/>
      <c r="AT23626" s="247"/>
    </row>
    <row r="23627">
      <c r="C23627" s="277"/>
      <c r="M23627" s="277"/>
      <c r="O23627" s="247"/>
      <c r="AC23627" s="247"/>
      <c r="AT23627" s="247"/>
    </row>
    <row r="23628">
      <c r="C23628" s="277"/>
      <c r="M23628" s="277"/>
      <c r="O23628" s="247"/>
      <c r="AC23628" s="247"/>
      <c r="AT23628" s="247"/>
    </row>
    <row r="23629">
      <c r="C23629" s="277"/>
      <c r="M23629" s="277"/>
      <c r="O23629" s="247"/>
      <c r="AC23629" s="247"/>
      <c r="AT23629" s="247"/>
    </row>
    <row r="23630">
      <c r="C23630" s="277"/>
      <c r="M23630" s="277"/>
      <c r="O23630" s="247"/>
      <c r="AC23630" s="247"/>
      <c r="AT23630" s="247"/>
    </row>
    <row r="23631">
      <c r="C23631" s="277"/>
      <c r="M23631" s="277"/>
      <c r="O23631" s="247"/>
      <c r="AC23631" s="247"/>
      <c r="AT23631" s="247"/>
    </row>
    <row r="23632">
      <c r="C23632" s="277"/>
      <c r="M23632" s="277"/>
      <c r="O23632" s="247"/>
      <c r="AC23632" s="247"/>
      <c r="AT23632" s="247"/>
    </row>
    <row r="23633">
      <c r="C23633" s="277"/>
      <c r="M23633" s="277"/>
      <c r="O23633" s="247"/>
      <c r="AC23633" s="247"/>
      <c r="AT23633" s="247"/>
    </row>
    <row r="23634">
      <c r="C23634" s="277"/>
      <c r="M23634" s="277"/>
      <c r="O23634" s="247"/>
      <c r="AC23634" s="247"/>
      <c r="AT23634" s="247"/>
    </row>
    <row r="23635">
      <c r="C23635" s="277"/>
      <c r="M23635" s="277"/>
      <c r="O23635" s="247"/>
      <c r="AC23635" s="247"/>
      <c r="AT23635" s="247"/>
    </row>
    <row r="23636">
      <c r="C23636" s="277"/>
      <c r="M23636" s="277"/>
      <c r="O23636" s="247"/>
      <c r="AC23636" s="247"/>
      <c r="AT23636" s="247"/>
    </row>
    <row r="23637">
      <c r="C23637" s="277"/>
      <c r="M23637" s="277"/>
      <c r="O23637" s="247"/>
      <c r="AC23637" s="247"/>
      <c r="AT23637" s="247"/>
    </row>
    <row r="23638">
      <c r="C23638" s="277"/>
      <c r="M23638" s="277"/>
      <c r="O23638" s="247"/>
      <c r="AC23638" s="247"/>
      <c r="AT23638" s="247"/>
    </row>
    <row r="23639">
      <c r="C23639" s="277"/>
      <c r="M23639" s="277"/>
      <c r="O23639" s="247"/>
      <c r="AC23639" s="247"/>
      <c r="AT23639" s="247"/>
    </row>
    <row r="23640">
      <c r="C23640" s="277"/>
      <c r="M23640" s="277"/>
      <c r="O23640" s="247"/>
      <c r="AC23640" s="247"/>
      <c r="AT23640" s="247"/>
    </row>
    <row r="23641">
      <c r="C23641" s="277"/>
      <c r="M23641" s="277"/>
      <c r="O23641" s="247"/>
      <c r="AC23641" s="247"/>
      <c r="AT23641" s="247"/>
    </row>
    <row r="23642">
      <c r="C23642" s="277"/>
      <c r="M23642" s="277"/>
      <c r="O23642" s="247"/>
      <c r="AC23642" s="247"/>
      <c r="AT23642" s="247"/>
    </row>
    <row r="23643">
      <c r="C23643" s="277"/>
      <c r="M23643" s="277"/>
      <c r="O23643" s="247"/>
      <c r="AC23643" s="247"/>
      <c r="AT23643" s="247"/>
    </row>
    <row r="23644">
      <c r="C23644" s="277"/>
      <c r="M23644" s="277"/>
      <c r="O23644" s="247"/>
      <c r="AC23644" s="247"/>
      <c r="AT23644" s="247"/>
    </row>
    <row r="23645">
      <c r="C23645" s="277"/>
      <c r="M23645" s="277"/>
      <c r="O23645" s="247"/>
      <c r="AC23645" s="247"/>
      <c r="AT23645" s="247"/>
    </row>
    <row r="23646">
      <c r="C23646" s="277"/>
      <c r="M23646" s="277"/>
      <c r="O23646" s="247"/>
      <c r="AC23646" s="247"/>
      <c r="AT23646" s="247"/>
    </row>
    <row r="23647">
      <c r="C23647" s="277"/>
      <c r="M23647" s="277"/>
      <c r="O23647" s="247"/>
      <c r="AC23647" s="247"/>
      <c r="AT23647" s="247"/>
    </row>
    <row r="23648">
      <c r="C23648" s="277"/>
      <c r="M23648" s="277"/>
      <c r="O23648" s="247"/>
      <c r="AC23648" s="247"/>
      <c r="AT23648" s="247"/>
    </row>
    <row r="23649">
      <c r="C23649" s="277"/>
      <c r="M23649" s="277"/>
      <c r="O23649" s="247"/>
      <c r="AC23649" s="247"/>
      <c r="AT23649" s="247"/>
    </row>
    <row r="23650">
      <c r="C23650" s="277"/>
      <c r="M23650" s="277"/>
      <c r="O23650" s="247"/>
      <c r="AC23650" s="247"/>
      <c r="AT23650" s="247"/>
    </row>
    <row r="23651">
      <c r="C23651" s="277"/>
      <c r="M23651" s="277"/>
      <c r="O23651" s="247"/>
      <c r="AC23651" s="247"/>
      <c r="AT23651" s="247"/>
    </row>
    <row r="23652">
      <c r="C23652" s="277"/>
      <c r="M23652" s="277"/>
      <c r="O23652" s="247"/>
      <c r="AC23652" s="247"/>
      <c r="AT23652" s="247"/>
    </row>
    <row r="23653">
      <c r="C23653" s="277"/>
      <c r="M23653" s="277"/>
      <c r="O23653" s="247"/>
      <c r="AC23653" s="247"/>
      <c r="AT23653" s="247"/>
    </row>
    <row r="23654">
      <c r="C23654" s="277"/>
      <c r="M23654" s="277"/>
      <c r="O23654" s="247"/>
      <c r="AC23654" s="247"/>
      <c r="AT23654" s="247"/>
    </row>
    <row r="23655">
      <c r="C23655" s="277"/>
      <c r="M23655" s="277"/>
      <c r="O23655" s="247"/>
      <c r="AC23655" s="247"/>
      <c r="AT23655" s="247"/>
    </row>
    <row r="23656">
      <c r="C23656" s="277"/>
      <c r="M23656" s="277"/>
      <c r="O23656" s="247"/>
      <c r="AC23656" s="247"/>
      <c r="AT23656" s="247"/>
    </row>
    <row r="23657">
      <c r="C23657" s="277"/>
      <c r="M23657" s="277"/>
      <c r="O23657" s="247"/>
      <c r="AC23657" s="247"/>
      <c r="AT23657" s="247"/>
    </row>
    <row r="23658">
      <c r="C23658" s="277"/>
      <c r="M23658" s="277"/>
      <c r="O23658" s="247"/>
      <c r="AC23658" s="247"/>
      <c r="AT23658" s="247"/>
    </row>
    <row r="23659">
      <c r="C23659" s="277"/>
      <c r="M23659" s="277"/>
      <c r="O23659" s="247"/>
      <c r="AC23659" s="247"/>
      <c r="AT23659" s="247"/>
    </row>
    <row r="23660">
      <c r="C23660" s="277"/>
      <c r="M23660" s="277"/>
      <c r="O23660" s="247"/>
      <c r="AC23660" s="247"/>
      <c r="AT23660" s="247"/>
    </row>
    <row r="23661">
      <c r="C23661" s="277"/>
      <c r="M23661" s="277"/>
      <c r="O23661" s="247"/>
      <c r="AC23661" s="247"/>
      <c r="AT23661" s="247"/>
    </row>
    <row r="23662">
      <c r="C23662" s="277"/>
      <c r="M23662" s="277"/>
      <c r="O23662" s="247"/>
      <c r="AC23662" s="247"/>
      <c r="AT23662" s="247"/>
    </row>
    <row r="23663">
      <c r="C23663" s="277"/>
      <c r="M23663" s="277"/>
      <c r="O23663" s="247"/>
      <c r="AC23663" s="247"/>
      <c r="AT23663" s="247"/>
    </row>
    <row r="23664">
      <c r="C23664" s="277"/>
      <c r="M23664" s="277"/>
      <c r="O23664" s="247"/>
      <c r="AC23664" s="247"/>
      <c r="AT23664" s="247"/>
    </row>
    <row r="23665">
      <c r="C23665" s="277"/>
      <c r="M23665" s="277"/>
      <c r="O23665" s="247"/>
      <c r="AC23665" s="247"/>
      <c r="AT23665" s="247"/>
    </row>
    <row r="23666">
      <c r="C23666" s="277"/>
      <c r="M23666" s="277"/>
      <c r="O23666" s="247"/>
      <c r="AC23666" s="247"/>
      <c r="AT23666" s="247"/>
    </row>
    <row r="23667">
      <c r="C23667" s="277"/>
      <c r="M23667" s="277"/>
      <c r="O23667" s="247"/>
      <c r="AC23667" s="247"/>
      <c r="AT23667" s="247"/>
    </row>
    <row r="23668">
      <c r="C23668" s="277"/>
      <c r="M23668" s="277"/>
      <c r="O23668" s="247"/>
      <c r="AC23668" s="247"/>
      <c r="AT23668" s="247"/>
    </row>
    <row r="23669">
      <c r="C23669" s="277"/>
      <c r="M23669" s="277"/>
      <c r="O23669" s="247"/>
      <c r="AC23669" s="247"/>
      <c r="AT23669" s="247"/>
    </row>
    <row r="23670">
      <c r="C23670" s="277"/>
      <c r="M23670" s="277"/>
      <c r="O23670" s="247"/>
      <c r="AC23670" s="247"/>
      <c r="AT23670" s="247"/>
    </row>
    <row r="23671">
      <c r="C23671" s="277"/>
      <c r="M23671" s="277"/>
      <c r="O23671" s="247"/>
      <c r="AC23671" s="247"/>
      <c r="AT23671" s="247"/>
    </row>
    <row r="23672">
      <c r="C23672" s="277"/>
      <c r="M23672" s="277"/>
      <c r="O23672" s="247"/>
      <c r="AC23672" s="247"/>
      <c r="AT23672" s="247"/>
    </row>
    <row r="23673">
      <c r="C23673" s="277"/>
      <c r="M23673" s="277"/>
      <c r="O23673" s="247"/>
      <c r="AC23673" s="247"/>
      <c r="AT23673" s="247"/>
    </row>
    <row r="23674">
      <c r="C23674" s="277"/>
      <c r="M23674" s="277"/>
      <c r="O23674" s="247"/>
      <c r="AC23674" s="247"/>
      <c r="AT23674" s="247"/>
    </row>
    <row r="23675">
      <c r="C23675" s="277"/>
      <c r="M23675" s="277"/>
      <c r="O23675" s="247"/>
      <c r="AC23675" s="247"/>
      <c r="AT23675" s="247"/>
    </row>
    <row r="23676">
      <c r="C23676" s="277"/>
      <c r="M23676" s="277"/>
      <c r="O23676" s="247"/>
      <c r="AC23676" s="247"/>
      <c r="AT23676" s="247"/>
    </row>
    <row r="23677">
      <c r="C23677" s="277"/>
      <c r="M23677" s="277"/>
      <c r="O23677" s="247"/>
      <c r="AC23677" s="247"/>
      <c r="AT23677" s="247"/>
    </row>
    <row r="23678">
      <c r="C23678" s="277"/>
      <c r="M23678" s="277"/>
      <c r="O23678" s="247"/>
      <c r="AC23678" s="247"/>
      <c r="AT23678" s="247"/>
    </row>
    <row r="23679">
      <c r="C23679" s="277"/>
      <c r="M23679" s="277"/>
      <c r="O23679" s="247"/>
      <c r="AC23679" s="247"/>
      <c r="AT23679" s="247"/>
    </row>
    <row r="23680">
      <c r="C23680" s="277"/>
      <c r="M23680" s="277"/>
      <c r="O23680" s="247"/>
      <c r="AC23680" s="247"/>
      <c r="AT23680" s="247"/>
    </row>
    <row r="23681">
      <c r="C23681" s="277"/>
      <c r="M23681" s="277"/>
      <c r="O23681" s="247"/>
      <c r="AC23681" s="247"/>
      <c r="AT23681" s="247"/>
    </row>
    <row r="23682">
      <c r="C23682" s="277"/>
      <c r="M23682" s="277"/>
      <c r="O23682" s="247"/>
      <c r="AC23682" s="247"/>
      <c r="AT23682" s="247"/>
    </row>
    <row r="23683">
      <c r="C23683" s="277"/>
      <c r="M23683" s="277"/>
      <c r="O23683" s="247"/>
      <c r="AC23683" s="247"/>
      <c r="AT23683" s="247"/>
    </row>
    <row r="23684">
      <c r="C23684" s="277"/>
      <c r="M23684" s="277"/>
      <c r="O23684" s="247"/>
      <c r="AC23684" s="247"/>
      <c r="AT23684" s="247"/>
    </row>
    <row r="23685">
      <c r="C23685" s="277"/>
      <c r="M23685" s="277"/>
      <c r="O23685" s="247"/>
      <c r="AC23685" s="247"/>
      <c r="AT23685" s="247"/>
    </row>
    <row r="23686">
      <c r="C23686" s="277"/>
      <c r="M23686" s="277"/>
      <c r="O23686" s="247"/>
      <c r="AC23686" s="247"/>
      <c r="AT23686" s="247"/>
    </row>
    <row r="23687">
      <c r="C23687" s="277"/>
      <c r="M23687" s="277"/>
      <c r="O23687" s="247"/>
      <c r="AC23687" s="247"/>
      <c r="AT23687" s="247"/>
    </row>
    <row r="23688">
      <c r="C23688" s="277"/>
      <c r="M23688" s="277"/>
      <c r="O23688" s="247"/>
      <c r="AC23688" s="247"/>
      <c r="AT23688" s="247"/>
    </row>
    <row r="23689">
      <c r="C23689" s="277"/>
      <c r="M23689" s="277"/>
      <c r="O23689" s="247"/>
      <c r="AC23689" s="247"/>
      <c r="AT23689" s="247"/>
    </row>
    <row r="23690">
      <c r="C23690" s="277"/>
      <c r="M23690" s="277"/>
      <c r="O23690" s="247"/>
      <c r="AC23690" s="247"/>
      <c r="AT23690" s="247"/>
    </row>
    <row r="23691">
      <c r="C23691" s="277"/>
      <c r="M23691" s="277"/>
      <c r="O23691" s="247"/>
      <c r="AC23691" s="247"/>
      <c r="AT23691" s="247"/>
    </row>
    <row r="23692">
      <c r="C23692" s="277"/>
      <c r="M23692" s="277"/>
      <c r="O23692" s="247"/>
      <c r="AC23692" s="247"/>
      <c r="AT23692" s="247"/>
    </row>
    <row r="23693">
      <c r="C23693" s="277"/>
      <c r="M23693" s="277"/>
      <c r="O23693" s="247"/>
      <c r="AC23693" s="247"/>
      <c r="AT23693" s="247"/>
    </row>
    <row r="23694">
      <c r="C23694" s="277"/>
      <c r="M23694" s="277"/>
      <c r="O23694" s="247"/>
      <c r="AC23694" s="247"/>
      <c r="AT23694" s="247"/>
    </row>
    <row r="23695">
      <c r="C23695" s="277"/>
      <c r="M23695" s="277"/>
      <c r="O23695" s="247"/>
      <c r="AC23695" s="247"/>
      <c r="AT23695" s="247"/>
    </row>
    <row r="23696">
      <c r="C23696" s="277"/>
      <c r="M23696" s="277"/>
      <c r="O23696" s="247"/>
      <c r="AC23696" s="247"/>
      <c r="AT23696" s="247"/>
    </row>
    <row r="23697">
      <c r="C23697" s="277"/>
      <c r="M23697" s="277"/>
      <c r="O23697" s="247"/>
      <c r="AC23697" s="247"/>
      <c r="AT23697" s="247"/>
    </row>
    <row r="23698">
      <c r="C23698" s="277"/>
      <c r="M23698" s="277"/>
      <c r="O23698" s="247"/>
      <c r="AC23698" s="247"/>
      <c r="AT23698" s="247"/>
    </row>
    <row r="23699">
      <c r="C23699" s="277"/>
      <c r="M23699" s="277"/>
      <c r="O23699" s="247"/>
      <c r="AC23699" s="247"/>
      <c r="AT23699" s="247"/>
    </row>
    <row r="23700">
      <c r="C23700" s="277"/>
      <c r="M23700" s="277"/>
      <c r="O23700" s="247"/>
      <c r="AC23700" s="247"/>
      <c r="AT23700" s="247"/>
    </row>
    <row r="23701">
      <c r="C23701" s="277"/>
      <c r="M23701" s="277"/>
      <c r="O23701" s="247"/>
      <c r="AC23701" s="247"/>
      <c r="AT23701" s="247"/>
    </row>
    <row r="23702">
      <c r="C23702" s="277"/>
      <c r="M23702" s="277"/>
      <c r="O23702" s="247"/>
      <c r="AC23702" s="247"/>
      <c r="AT23702" s="247"/>
    </row>
    <row r="23703">
      <c r="C23703" s="277"/>
      <c r="M23703" s="277"/>
      <c r="O23703" s="247"/>
      <c r="AC23703" s="247"/>
      <c r="AT23703" s="247"/>
    </row>
    <row r="23704">
      <c r="C23704" s="277"/>
      <c r="M23704" s="277"/>
      <c r="O23704" s="247"/>
      <c r="AC23704" s="247"/>
      <c r="AT23704" s="247"/>
    </row>
    <row r="23705">
      <c r="C23705" s="277"/>
      <c r="M23705" s="277"/>
      <c r="O23705" s="247"/>
      <c r="AC23705" s="247"/>
      <c r="AT23705" s="247"/>
    </row>
    <row r="23706">
      <c r="C23706" s="277"/>
      <c r="M23706" s="277"/>
      <c r="O23706" s="247"/>
      <c r="AC23706" s="247"/>
      <c r="AT23706" s="247"/>
    </row>
    <row r="23707">
      <c r="C23707" s="277"/>
      <c r="M23707" s="277"/>
      <c r="O23707" s="247"/>
      <c r="AC23707" s="247"/>
      <c r="AT23707" s="247"/>
    </row>
    <row r="23708">
      <c r="C23708" s="277"/>
      <c r="M23708" s="277"/>
      <c r="O23708" s="247"/>
      <c r="AC23708" s="247"/>
      <c r="AT23708" s="247"/>
    </row>
    <row r="23709">
      <c r="C23709" s="277"/>
      <c r="M23709" s="277"/>
      <c r="O23709" s="247"/>
      <c r="AC23709" s="247"/>
      <c r="AT23709" s="247"/>
    </row>
    <row r="23710">
      <c r="C23710" s="277"/>
      <c r="M23710" s="277"/>
      <c r="O23710" s="247"/>
      <c r="AC23710" s="247"/>
      <c r="AT23710" s="247"/>
    </row>
    <row r="23711">
      <c r="C23711" s="277"/>
      <c r="M23711" s="277"/>
      <c r="O23711" s="247"/>
      <c r="AC23711" s="247"/>
      <c r="AT23711" s="247"/>
    </row>
    <row r="23712">
      <c r="C23712" s="277"/>
      <c r="M23712" s="277"/>
      <c r="O23712" s="247"/>
      <c r="AC23712" s="247"/>
      <c r="AT23712" s="247"/>
    </row>
    <row r="23713">
      <c r="C23713" s="277"/>
      <c r="M23713" s="277"/>
      <c r="O23713" s="247"/>
      <c r="AC23713" s="247"/>
      <c r="AT23713" s="247"/>
    </row>
    <row r="23714">
      <c r="C23714" s="277"/>
      <c r="M23714" s="277"/>
      <c r="O23714" s="247"/>
      <c r="AC23714" s="247"/>
      <c r="AT23714" s="247"/>
    </row>
    <row r="23715">
      <c r="C23715" s="277"/>
      <c r="M23715" s="277"/>
      <c r="O23715" s="247"/>
      <c r="AC23715" s="247"/>
      <c r="AT23715" s="247"/>
    </row>
    <row r="23716">
      <c r="C23716" s="277"/>
      <c r="M23716" s="277"/>
      <c r="O23716" s="247"/>
      <c r="AC23716" s="247"/>
      <c r="AT23716" s="247"/>
    </row>
    <row r="23717">
      <c r="C23717" s="277"/>
      <c r="M23717" s="277"/>
      <c r="O23717" s="247"/>
      <c r="AC23717" s="247"/>
      <c r="AT23717" s="247"/>
    </row>
    <row r="23718">
      <c r="C23718" s="277"/>
      <c r="M23718" s="277"/>
      <c r="O23718" s="247"/>
      <c r="AC23718" s="247"/>
      <c r="AT23718" s="247"/>
    </row>
    <row r="23719">
      <c r="C23719" s="277"/>
      <c r="M23719" s="277"/>
      <c r="O23719" s="247"/>
      <c r="AC23719" s="247"/>
      <c r="AT23719" s="247"/>
    </row>
    <row r="23720">
      <c r="C23720" s="277"/>
      <c r="M23720" s="277"/>
      <c r="O23720" s="247"/>
      <c r="AC23720" s="247"/>
      <c r="AT23720" s="247"/>
    </row>
    <row r="23721">
      <c r="C23721" s="277"/>
      <c r="M23721" s="277"/>
      <c r="O23721" s="247"/>
      <c r="AC23721" s="247"/>
      <c r="AT23721" s="247"/>
    </row>
    <row r="23722">
      <c r="C23722" s="277"/>
      <c r="M23722" s="277"/>
      <c r="O23722" s="247"/>
      <c r="AC23722" s="247"/>
      <c r="AT23722" s="247"/>
    </row>
    <row r="23723">
      <c r="C23723" s="277"/>
      <c r="M23723" s="277"/>
      <c r="O23723" s="247"/>
      <c r="AC23723" s="247"/>
      <c r="AT23723" s="247"/>
    </row>
    <row r="23724">
      <c r="C23724" s="277"/>
      <c r="M23724" s="277"/>
      <c r="O23724" s="247"/>
      <c r="AC23724" s="247"/>
      <c r="AT23724" s="247"/>
    </row>
    <row r="23725">
      <c r="C23725" s="277"/>
      <c r="M23725" s="277"/>
      <c r="O23725" s="247"/>
      <c r="AC23725" s="247"/>
      <c r="AT23725" s="247"/>
    </row>
    <row r="23726">
      <c r="C23726" s="277"/>
      <c r="M23726" s="277"/>
      <c r="O23726" s="247"/>
      <c r="AC23726" s="247"/>
      <c r="AT23726" s="247"/>
    </row>
    <row r="23727">
      <c r="C23727" s="277"/>
      <c r="M23727" s="277"/>
      <c r="O23727" s="247"/>
      <c r="AC23727" s="247"/>
      <c r="AT23727" s="247"/>
    </row>
    <row r="23728">
      <c r="C23728" s="277"/>
      <c r="M23728" s="277"/>
      <c r="O23728" s="247"/>
      <c r="AC23728" s="247"/>
      <c r="AT23728" s="247"/>
    </row>
    <row r="23729">
      <c r="C23729" s="277"/>
      <c r="M23729" s="277"/>
      <c r="O23729" s="247"/>
      <c r="AC23729" s="247"/>
      <c r="AT23729" s="247"/>
    </row>
    <row r="23730">
      <c r="C23730" s="277"/>
      <c r="M23730" s="277"/>
      <c r="O23730" s="247"/>
      <c r="AC23730" s="247"/>
      <c r="AT23730" s="247"/>
    </row>
    <row r="23731">
      <c r="C23731" s="277"/>
      <c r="M23731" s="277"/>
      <c r="O23731" s="247"/>
      <c r="AC23731" s="247"/>
      <c r="AT23731" s="247"/>
    </row>
    <row r="23732">
      <c r="C23732" s="277"/>
      <c r="M23732" s="277"/>
      <c r="O23732" s="247"/>
      <c r="AC23732" s="247"/>
      <c r="AT23732" s="247"/>
    </row>
    <row r="23733">
      <c r="C23733" s="277"/>
      <c r="M23733" s="277"/>
      <c r="O23733" s="247"/>
      <c r="AC23733" s="247"/>
      <c r="AT23733" s="247"/>
    </row>
    <row r="23734">
      <c r="C23734" s="277"/>
      <c r="M23734" s="277"/>
      <c r="O23734" s="247"/>
      <c r="AC23734" s="247"/>
      <c r="AT23734" s="247"/>
    </row>
    <row r="23735">
      <c r="C23735" s="277"/>
      <c r="M23735" s="277"/>
      <c r="O23735" s="247"/>
      <c r="AC23735" s="247"/>
      <c r="AT23735" s="247"/>
    </row>
    <row r="23736">
      <c r="C23736" s="277"/>
      <c r="M23736" s="277"/>
      <c r="O23736" s="247"/>
      <c r="AC23736" s="247"/>
      <c r="AT23736" s="247"/>
    </row>
    <row r="23737">
      <c r="C23737" s="277"/>
      <c r="M23737" s="277"/>
      <c r="O23737" s="247"/>
      <c r="AC23737" s="247"/>
      <c r="AT23737" s="247"/>
    </row>
    <row r="23738">
      <c r="C23738" s="277"/>
      <c r="M23738" s="277"/>
      <c r="O23738" s="247"/>
      <c r="AC23738" s="247"/>
      <c r="AT23738" s="247"/>
    </row>
    <row r="23739">
      <c r="C23739" s="277"/>
      <c r="M23739" s="277"/>
      <c r="O23739" s="247"/>
      <c r="AC23739" s="247"/>
      <c r="AT23739" s="247"/>
    </row>
    <row r="23740">
      <c r="C23740" s="277"/>
      <c r="M23740" s="277"/>
      <c r="O23740" s="247"/>
      <c r="AC23740" s="247"/>
      <c r="AT23740" s="247"/>
    </row>
    <row r="23741">
      <c r="C23741" s="277"/>
      <c r="M23741" s="277"/>
      <c r="O23741" s="247"/>
      <c r="AC23741" s="247"/>
      <c r="AT23741" s="247"/>
    </row>
    <row r="23742">
      <c r="C23742" s="277"/>
      <c r="M23742" s="277"/>
      <c r="O23742" s="247"/>
      <c r="AC23742" s="247"/>
      <c r="AT23742" s="247"/>
    </row>
    <row r="23743">
      <c r="C23743" s="277"/>
      <c r="M23743" s="277"/>
      <c r="O23743" s="247"/>
      <c r="AC23743" s="247"/>
      <c r="AT23743" s="247"/>
    </row>
    <row r="23744">
      <c r="C23744" s="277"/>
      <c r="M23744" s="277"/>
      <c r="O23744" s="247"/>
      <c r="AC23744" s="247"/>
      <c r="AT23744" s="247"/>
    </row>
    <row r="23745">
      <c r="C23745" s="277"/>
      <c r="M23745" s="277"/>
      <c r="O23745" s="247"/>
      <c r="AC23745" s="247"/>
      <c r="AT23745" s="247"/>
    </row>
    <row r="23746">
      <c r="C23746" s="277"/>
      <c r="M23746" s="277"/>
      <c r="O23746" s="247"/>
      <c r="AC23746" s="247"/>
      <c r="AT23746" s="247"/>
    </row>
    <row r="23747">
      <c r="C23747" s="277"/>
      <c r="M23747" s="277"/>
      <c r="O23747" s="247"/>
      <c r="AC23747" s="247"/>
      <c r="AT23747" s="247"/>
    </row>
    <row r="23748">
      <c r="C23748" s="277"/>
      <c r="M23748" s="277"/>
      <c r="O23748" s="247"/>
      <c r="AC23748" s="247"/>
      <c r="AT23748" s="247"/>
    </row>
    <row r="23749">
      <c r="C23749" s="277"/>
      <c r="M23749" s="277"/>
      <c r="O23749" s="247"/>
      <c r="AC23749" s="247"/>
      <c r="AT23749" s="247"/>
    </row>
    <row r="23750">
      <c r="C23750" s="277"/>
      <c r="M23750" s="277"/>
      <c r="O23750" s="247"/>
      <c r="AC23750" s="247"/>
      <c r="AT23750" s="247"/>
    </row>
    <row r="23751">
      <c r="C23751" s="277"/>
      <c r="M23751" s="277"/>
      <c r="O23751" s="247"/>
      <c r="AC23751" s="247"/>
      <c r="AT23751" s="247"/>
    </row>
    <row r="23752">
      <c r="C23752" s="277"/>
      <c r="M23752" s="277"/>
      <c r="O23752" s="247"/>
      <c r="AC23752" s="247"/>
      <c r="AT23752" s="247"/>
    </row>
    <row r="23753">
      <c r="C23753" s="277"/>
      <c r="M23753" s="277"/>
      <c r="O23753" s="247"/>
      <c r="AC23753" s="247"/>
      <c r="AT23753" s="247"/>
    </row>
    <row r="23754">
      <c r="C23754" s="277"/>
      <c r="M23754" s="277"/>
      <c r="O23754" s="247"/>
      <c r="AC23754" s="247"/>
      <c r="AT23754" s="247"/>
    </row>
    <row r="23755">
      <c r="C23755" s="277"/>
      <c r="M23755" s="277"/>
      <c r="O23755" s="247"/>
      <c r="AC23755" s="247"/>
      <c r="AT23755" s="247"/>
    </row>
    <row r="23756">
      <c r="C23756" s="277"/>
      <c r="M23756" s="277"/>
      <c r="O23756" s="247"/>
      <c r="AC23756" s="247"/>
      <c r="AT23756" s="247"/>
    </row>
    <row r="23757">
      <c r="C23757" s="277"/>
      <c r="M23757" s="277"/>
      <c r="O23757" s="247"/>
      <c r="AC23757" s="247"/>
      <c r="AT23757" s="247"/>
    </row>
    <row r="23758">
      <c r="C23758" s="277"/>
      <c r="M23758" s="277"/>
      <c r="O23758" s="247"/>
      <c r="AC23758" s="247"/>
      <c r="AT23758" s="247"/>
    </row>
    <row r="23759">
      <c r="C23759" s="277"/>
      <c r="M23759" s="277"/>
      <c r="O23759" s="247"/>
      <c r="AC23759" s="247"/>
      <c r="AT23759" s="247"/>
    </row>
    <row r="23760">
      <c r="C23760" s="277"/>
      <c r="M23760" s="277"/>
      <c r="O23760" s="247"/>
      <c r="AC23760" s="247"/>
      <c r="AT23760" s="247"/>
    </row>
    <row r="23761">
      <c r="C23761" s="277"/>
      <c r="M23761" s="277"/>
      <c r="O23761" s="247"/>
      <c r="AC23761" s="247"/>
      <c r="AT23761" s="247"/>
    </row>
    <row r="23762">
      <c r="C23762" s="277"/>
      <c r="M23762" s="277"/>
      <c r="O23762" s="247"/>
      <c r="AC23762" s="247"/>
      <c r="AT23762" s="247"/>
    </row>
    <row r="23763">
      <c r="C23763" s="277"/>
      <c r="M23763" s="277"/>
      <c r="O23763" s="247"/>
      <c r="AC23763" s="247"/>
      <c r="AT23763" s="247"/>
    </row>
    <row r="23764">
      <c r="C23764" s="277"/>
      <c r="M23764" s="277"/>
      <c r="O23764" s="247"/>
      <c r="AC23764" s="247"/>
      <c r="AT23764" s="247"/>
    </row>
    <row r="23765">
      <c r="C23765" s="277"/>
      <c r="M23765" s="277"/>
      <c r="O23765" s="247"/>
      <c r="AC23765" s="247"/>
      <c r="AT23765" s="247"/>
    </row>
    <row r="23766">
      <c r="C23766" s="277"/>
      <c r="M23766" s="277"/>
      <c r="O23766" s="247"/>
      <c r="AC23766" s="247"/>
      <c r="AT23766" s="247"/>
    </row>
    <row r="23767">
      <c r="C23767" s="277"/>
      <c r="M23767" s="277"/>
      <c r="O23767" s="247"/>
      <c r="AC23767" s="247"/>
      <c r="AT23767" s="247"/>
    </row>
    <row r="23768">
      <c r="C23768" s="277"/>
      <c r="M23768" s="277"/>
      <c r="O23768" s="247"/>
      <c r="AC23768" s="247"/>
      <c r="AT23768" s="247"/>
    </row>
    <row r="23769">
      <c r="C23769" s="277"/>
      <c r="M23769" s="277"/>
      <c r="O23769" s="247"/>
      <c r="AC23769" s="247"/>
      <c r="AT23769" s="247"/>
    </row>
    <row r="23770">
      <c r="C23770" s="277"/>
      <c r="M23770" s="277"/>
      <c r="O23770" s="247"/>
      <c r="AC23770" s="247"/>
      <c r="AT23770" s="247"/>
    </row>
    <row r="23771">
      <c r="C23771" s="277"/>
      <c r="M23771" s="277"/>
      <c r="O23771" s="247"/>
      <c r="AC23771" s="247"/>
      <c r="AT23771" s="247"/>
    </row>
    <row r="23772">
      <c r="C23772" s="277"/>
      <c r="M23772" s="277"/>
      <c r="O23772" s="247"/>
      <c r="AC23772" s="247"/>
      <c r="AT23772" s="247"/>
    </row>
    <row r="23773">
      <c r="C23773" s="277"/>
      <c r="M23773" s="277"/>
      <c r="O23773" s="247"/>
      <c r="AC23773" s="247"/>
      <c r="AT23773" s="247"/>
    </row>
    <row r="23774">
      <c r="C23774" s="277"/>
      <c r="M23774" s="277"/>
      <c r="O23774" s="247"/>
      <c r="AC23774" s="247"/>
      <c r="AT23774" s="247"/>
    </row>
    <row r="23775">
      <c r="C23775" s="277"/>
      <c r="M23775" s="277"/>
      <c r="O23775" s="247"/>
      <c r="AC23775" s="247"/>
      <c r="AT23775" s="247"/>
    </row>
    <row r="23776">
      <c r="C23776" s="277"/>
      <c r="M23776" s="277"/>
      <c r="O23776" s="247"/>
      <c r="AC23776" s="247"/>
      <c r="AT23776" s="247"/>
    </row>
    <row r="23777">
      <c r="C23777" s="277"/>
      <c r="M23777" s="277"/>
      <c r="O23777" s="247"/>
      <c r="AC23777" s="247"/>
      <c r="AT23777" s="247"/>
    </row>
    <row r="23778">
      <c r="C23778" s="277"/>
      <c r="M23778" s="277"/>
      <c r="O23778" s="247"/>
      <c r="AC23778" s="247"/>
      <c r="AT23778" s="247"/>
    </row>
    <row r="23779">
      <c r="C23779" s="277"/>
      <c r="M23779" s="277"/>
      <c r="O23779" s="247"/>
      <c r="AC23779" s="247"/>
      <c r="AT23779" s="247"/>
    </row>
    <row r="23780">
      <c r="C23780" s="277"/>
      <c r="M23780" s="277"/>
      <c r="O23780" s="247"/>
      <c r="AC23780" s="247"/>
      <c r="AT23780" s="247"/>
    </row>
    <row r="23781">
      <c r="C23781" s="277"/>
      <c r="M23781" s="277"/>
      <c r="O23781" s="247"/>
      <c r="AC23781" s="247"/>
      <c r="AT23781" s="247"/>
    </row>
    <row r="23782">
      <c r="C23782" s="277"/>
      <c r="M23782" s="277"/>
      <c r="O23782" s="247"/>
      <c r="AC23782" s="247"/>
      <c r="AT23782" s="247"/>
    </row>
    <row r="23783">
      <c r="C23783" s="277"/>
      <c r="M23783" s="277"/>
      <c r="O23783" s="247"/>
      <c r="AC23783" s="247"/>
      <c r="AT23783" s="247"/>
    </row>
    <row r="23784">
      <c r="C23784" s="277"/>
      <c r="M23784" s="277"/>
      <c r="O23784" s="247"/>
      <c r="AC23784" s="247"/>
      <c r="AT23784" s="247"/>
    </row>
    <row r="23785">
      <c r="C23785" s="277"/>
      <c r="M23785" s="277"/>
      <c r="O23785" s="247"/>
      <c r="AC23785" s="247"/>
      <c r="AT23785" s="247"/>
    </row>
    <row r="23786">
      <c r="C23786" s="277"/>
      <c r="M23786" s="277"/>
      <c r="O23786" s="247"/>
      <c r="AC23786" s="247"/>
      <c r="AT23786" s="247"/>
    </row>
    <row r="23787">
      <c r="C23787" s="277"/>
      <c r="M23787" s="277"/>
      <c r="O23787" s="247"/>
      <c r="AC23787" s="247"/>
      <c r="AT23787" s="247"/>
    </row>
    <row r="23788">
      <c r="C23788" s="277"/>
      <c r="M23788" s="277"/>
      <c r="O23788" s="247"/>
      <c r="AC23788" s="247"/>
      <c r="AT23788" s="247"/>
    </row>
    <row r="23789">
      <c r="C23789" s="277"/>
      <c r="M23789" s="277"/>
      <c r="O23789" s="247"/>
      <c r="AC23789" s="247"/>
      <c r="AT23789" s="247"/>
    </row>
    <row r="23790">
      <c r="C23790" s="277"/>
      <c r="M23790" s="277"/>
      <c r="O23790" s="247"/>
      <c r="AC23790" s="247"/>
      <c r="AT23790" s="247"/>
    </row>
    <row r="23791">
      <c r="C23791" s="277"/>
      <c r="M23791" s="277"/>
      <c r="O23791" s="247"/>
      <c r="AC23791" s="247"/>
      <c r="AT23791" s="247"/>
    </row>
    <row r="23792">
      <c r="C23792" s="277"/>
      <c r="M23792" s="277"/>
      <c r="O23792" s="247"/>
      <c r="AC23792" s="247"/>
      <c r="AT23792" s="247"/>
    </row>
    <row r="23793">
      <c r="C23793" s="277"/>
      <c r="M23793" s="277"/>
      <c r="O23793" s="247"/>
      <c r="AC23793" s="247"/>
      <c r="AT23793" s="247"/>
    </row>
    <row r="23794">
      <c r="C23794" s="277"/>
      <c r="M23794" s="277"/>
      <c r="O23794" s="247"/>
      <c r="AC23794" s="247"/>
      <c r="AT23794" s="247"/>
    </row>
    <row r="23795">
      <c r="C23795" s="277"/>
      <c r="M23795" s="277"/>
      <c r="O23795" s="247"/>
      <c r="AC23795" s="247"/>
      <c r="AT23795" s="247"/>
    </row>
    <row r="23796">
      <c r="C23796" s="277"/>
      <c r="M23796" s="277"/>
      <c r="O23796" s="247"/>
      <c r="AC23796" s="247"/>
      <c r="AT23796" s="247"/>
    </row>
    <row r="23797">
      <c r="C23797" s="277"/>
      <c r="M23797" s="277"/>
      <c r="O23797" s="247"/>
      <c r="AC23797" s="247"/>
      <c r="AT23797" s="247"/>
    </row>
    <row r="23798">
      <c r="C23798" s="277"/>
      <c r="M23798" s="277"/>
      <c r="O23798" s="247"/>
      <c r="AC23798" s="247"/>
      <c r="AT23798" s="247"/>
    </row>
    <row r="23799">
      <c r="C23799" s="277"/>
      <c r="M23799" s="277"/>
      <c r="O23799" s="247"/>
      <c r="AC23799" s="247"/>
      <c r="AT23799" s="247"/>
    </row>
    <row r="23800">
      <c r="C23800" s="277"/>
      <c r="M23800" s="277"/>
      <c r="O23800" s="247"/>
      <c r="AC23800" s="247"/>
      <c r="AT23800" s="247"/>
    </row>
    <row r="23801">
      <c r="C23801" s="277"/>
      <c r="M23801" s="277"/>
      <c r="O23801" s="247"/>
      <c r="AC23801" s="247"/>
      <c r="AT23801" s="247"/>
    </row>
    <row r="23802">
      <c r="C23802" s="277"/>
      <c r="M23802" s="277"/>
      <c r="O23802" s="247"/>
      <c r="AC23802" s="247"/>
      <c r="AT23802" s="247"/>
    </row>
    <row r="23803">
      <c r="C23803" s="277"/>
      <c r="M23803" s="277"/>
      <c r="O23803" s="247"/>
      <c r="AC23803" s="247"/>
      <c r="AT23803" s="247"/>
    </row>
    <row r="23804">
      <c r="C23804" s="277"/>
      <c r="M23804" s="277"/>
      <c r="O23804" s="247"/>
      <c r="AC23804" s="247"/>
      <c r="AT23804" s="247"/>
    </row>
    <row r="23805">
      <c r="C23805" s="277"/>
      <c r="M23805" s="277"/>
      <c r="O23805" s="247"/>
      <c r="AC23805" s="247"/>
      <c r="AT23805" s="247"/>
    </row>
    <row r="23806">
      <c r="C23806" s="277"/>
      <c r="M23806" s="277"/>
      <c r="O23806" s="247"/>
      <c r="AC23806" s="247"/>
      <c r="AT23806" s="247"/>
    </row>
    <row r="23807">
      <c r="C23807" s="277"/>
      <c r="M23807" s="277"/>
      <c r="O23807" s="247"/>
      <c r="AC23807" s="247"/>
      <c r="AT23807" s="247"/>
    </row>
    <row r="23808">
      <c r="C23808" s="277"/>
      <c r="M23808" s="277"/>
      <c r="O23808" s="247"/>
      <c r="AC23808" s="247"/>
      <c r="AT23808" s="247"/>
    </row>
    <row r="23809">
      <c r="C23809" s="277"/>
      <c r="M23809" s="277"/>
      <c r="O23809" s="247"/>
      <c r="AC23809" s="247"/>
      <c r="AT23809" s="247"/>
    </row>
    <row r="23810">
      <c r="C23810" s="277"/>
      <c r="M23810" s="277"/>
      <c r="O23810" s="247"/>
      <c r="AC23810" s="247"/>
      <c r="AT23810" s="247"/>
    </row>
    <row r="23811">
      <c r="C23811" s="277"/>
      <c r="M23811" s="277"/>
      <c r="O23811" s="247"/>
      <c r="AC23811" s="247"/>
      <c r="AT23811" s="247"/>
    </row>
    <row r="23812">
      <c r="C23812" s="277"/>
      <c r="M23812" s="277"/>
      <c r="O23812" s="247"/>
      <c r="AC23812" s="247"/>
      <c r="AT23812" s="247"/>
    </row>
    <row r="23813">
      <c r="C23813" s="277"/>
      <c r="M23813" s="277"/>
      <c r="O23813" s="247"/>
      <c r="AC23813" s="247"/>
      <c r="AT23813" s="247"/>
    </row>
    <row r="23814">
      <c r="C23814" s="277"/>
      <c r="M23814" s="277"/>
      <c r="O23814" s="247"/>
      <c r="AC23814" s="247"/>
      <c r="AT23814" s="247"/>
    </row>
    <row r="23815">
      <c r="C23815" s="277"/>
      <c r="M23815" s="277"/>
      <c r="O23815" s="247"/>
      <c r="AC23815" s="247"/>
      <c r="AT23815" s="247"/>
    </row>
    <row r="23816">
      <c r="C23816" s="277"/>
      <c r="M23816" s="277"/>
      <c r="O23816" s="247"/>
      <c r="AC23816" s="247"/>
      <c r="AT23816" s="247"/>
    </row>
    <row r="23817">
      <c r="C23817" s="277"/>
      <c r="M23817" s="277"/>
      <c r="O23817" s="247"/>
      <c r="AC23817" s="247"/>
      <c r="AT23817" s="247"/>
    </row>
    <row r="23818">
      <c r="C23818" s="277"/>
      <c r="M23818" s="277"/>
      <c r="O23818" s="247"/>
      <c r="AC23818" s="247"/>
      <c r="AT23818" s="247"/>
    </row>
    <row r="23819">
      <c r="C23819" s="277"/>
      <c r="M23819" s="277"/>
      <c r="O23819" s="247"/>
      <c r="AC23819" s="247"/>
      <c r="AT23819" s="247"/>
    </row>
    <row r="23820">
      <c r="C23820" s="277"/>
      <c r="M23820" s="277"/>
      <c r="O23820" s="247"/>
      <c r="AC23820" s="247"/>
      <c r="AT23820" s="247"/>
    </row>
    <row r="23821">
      <c r="C23821" s="277"/>
      <c r="M23821" s="277"/>
      <c r="O23821" s="247"/>
      <c r="AC23821" s="247"/>
      <c r="AT23821" s="247"/>
    </row>
    <row r="23822">
      <c r="C23822" s="277"/>
      <c r="M23822" s="277"/>
      <c r="O23822" s="247"/>
      <c r="AC23822" s="247"/>
      <c r="AT23822" s="247"/>
    </row>
    <row r="23823">
      <c r="C23823" s="277"/>
      <c r="M23823" s="277"/>
      <c r="O23823" s="247"/>
      <c r="AC23823" s="247"/>
      <c r="AT23823" s="247"/>
    </row>
    <row r="23824">
      <c r="C23824" s="277"/>
      <c r="M23824" s="277"/>
      <c r="O23824" s="247"/>
      <c r="AC23824" s="247"/>
      <c r="AT23824" s="247"/>
    </row>
    <row r="23825">
      <c r="C23825" s="277"/>
      <c r="M23825" s="277"/>
      <c r="O23825" s="247"/>
      <c r="AC23825" s="247"/>
      <c r="AT23825" s="247"/>
    </row>
    <row r="23826">
      <c r="C23826" s="277"/>
      <c r="M23826" s="277"/>
      <c r="O23826" s="247"/>
      <c r="AC23826" s="247"/>
      <c r="AT23826" s="247"/>
    </row>
    <row r="23827">
      <c r="C23827" s="277"/>
      <c r="M23827" s="277"/>
      <c r="O23827" s="247"/>
      <c r="AC23827" s="247"/>
      <c r="AT23827" s="247"/>
    </row>
    <row r="23828">
      <c r="C23828" s="277"/>
      <c r="M23828" s="277"/>
      <c r="O23828" s="247"/>
      <c r="AC23828" s="247"/>
      <c r="AT23828" s="247"/>
    </row>
    <row r="23829">
      <c r="C23829" s="277"/>
      <c r="M23829" s="277"/>
      <c r="O23829" s="247"/>
      <c r="AC23829" s="247"/>
      <c r="AT23829" s="247"/>
    </row>
    <row r="23830">
      <c r="C23830" s="277"/>
      <c r="M23830" s="277"/>
      <c r="O23830" s="247"/>
      <c r="AC23830" s="247"/>
      <c r="AT23830" s="247"/>
    </row>
    <row r="23831">
      <c r="C23831" s="277"/>
      <c r="M23831" s="277"/>
      <c r="O23831" s="247"/>
      <c r="AC23831" s="247"/>
      <c r="AT23831" s="247"/>
    </row>
    <row r="23832">
      <c r="C23832" s="277"/>
      <c r="M23832" s="277"/>
      <c r="O23832" s="247"/>
      <c r="AC23832" s="247"/>
      <c r="AT23832" s="247"/>
    </row>
    <row r="23833">
      <c r="C23833" s="277"/>
      <c r="M23833" s="277"/>
      <c r="O23833" s="247"/>
      <c r="AC23833" s="247"/>
      <c r="AT23833" s="247"/>
    </row>
    <row r="23834">
      <c r="C23834" s="277"/>
      <c r="M23834" s="277"/>
      <c r="O23834" s="247"/>
      <c r="AC23834" s="247"/>
      <c r="AT23834" s="247"/>
    </row>
    <row r="23835">
      <c r="C23835" s="277"/>
      <c r="M23835" s="277"/>
      <c r="O23835" s="247"/>
      <c r="AC23835" s="247"/>
      <c r="AT23835" s="247"/>
    </row>
    <row r="23836">
      <c r="C23836" s="277"/>
      <c r="M23836" s="277"/>
      <c r="O23836" s="247"/>
      <c r="AC23836" s="247"/>
      <c r="AT23836" s="247"/>
    </row>
    <row r="23837">
      <c r="C23837" s="277"/>
      <c r="M23837" s="277"/>
      <c r="O23837" s="247"/>
      <c r="AC23837" s="247"/>
      <c r="AT23837" s="247"/>
    </row>
    <row r="23838">
      <c r="C23838" s="277"/>
      <c r="M23838" s="277"/>
      <c r="O23838" s="247"/>
      <c r="AC23838" s="247"/>
      <c r="AT23838" s="247"/>
    </row>
    <row r="23839">
      <c r="C23839" s="277"/>
      <c r="M23839" s="277"/>
      <c r="O23839" s="247"/>
      <c r="AC23839" s="247"/>
      <c r="AT23839" s="247"/>
    </row>
    <row r="23840">
      <c r="C23840" s="277"/>
      <c r="M23840" s="277"/>
      <c r="O23840" s="247"/>
      <c r="AC23840" s="247"/>
      <c r="AT23840" s="247"/>
    </row>
    <row r="23841">
      <c r="C23841" s="277"/>
      <c r="M23841" s="277"/>
      <c r="O23841" s="247"/>
      <c r="AC23841" s="247"/>
      <c r="AT23841" s="247"/>
    </row>
    <row r="23842">
      <c r="C23842" s="277"/>
      <c r="M23842" s="277"/>
      <c r="O23842" s="247"/>
      <c r="AC23842" s="247"/>
      <c r="AT23842" s="247"/>
    </row>
    <row r="23843">
      <c r="C23843" s="277"/>
      <c r="M23843" s="277"/>
      <c r="O23843" s="247"/>
      <c r="AC23843" s="247"/>
      <c r="AT23843" s="247"/>
    </row>
    <row r="23844">
      <c r="C23844" s="277"/>
      <c r="M23844" s="277"/>
      <c r="O23844" s="247"/>
      <c r="AC23844" s="247"/>
      <c r="AT23844" s="247"/>
    </row>
    <row r="23845">
      <c r="C23845" s="277"/>
      <c r="M23845" s="277"/>
      <c r="O23845" s="247"/>
      <c r="AC23845" s="247"/>
      <c r="AT23845" s="247"/>
    </row>
    <row r="23846">
      <c r="C23846" s="277"/>
      <c r="M23846" s="277"/>
      <c r="O23846" s="247"/>
      <c r="AC23846" s="247"/>
      <c r="AT23846" s="247"/>
    </row>
    <row r="23847">
      <c r="C23847" s="277"/>
      <c r="M23847" s="277"/>
      <c r="O23847" s="247"/>
      <c r="AC23847" s="247"/>
      <c r="AT23847" s="247"/>
    </row>
    <row r="23848">
      <c r="C23848" s="277"/>
      <c r="M23848" s="277"/>
      <c r="O23848" s="247"/>
      <c r="AC23848" s="247"/>
      <c r="AT23848" s="247"/>
    </row>
    <row r="23849">
      <c r="C23849" s="277"/>
      <c r="M23849" s="277"/>
      <c r="O23849" s="247"/>
      <c r="AC23849" s="247"/>
      <c r="AT23849" s="247"/>
    </row>
    <row r="23850">
      <c r="C23850" s="277"/>
      <c r="M23850" s="277"/>
      <c r="O23850" s="247"/>
      <c r="AC23850" s="247"/>
      <c r="AT23850" s="247"/>
    </row>
    <row r="23851">
      <c r="C23851" s="277"/>
      <c r="M23851" s="277"/>
      <c r="O23851" s="247"/>
      <c r="AC23851" s="247"/>
      <c r="AT23851" s="247"/>
    </row>
    <row r="23852">
      <c r="C23852" s="277"/>
      <c r="M23852" s="277"/>
      <c r="O23852" s="247"/>
      <c r="AC23852" s="247"/>
      <c r="AT23852" s="247"/>
    </row>
    <row r="23853">
      <c r="C23853" s="277"/>
      <c r="M23853" s="277"/>
      <c r="O23853" s="247"/>
      <c r="AC23853" s="247"/>
      <c r="AT23853" s="247"/>
    </row>
    <row r="23854">
      <c r="C23854" s="277"/>
      <c r="M23854" s="277"/>
      <c r="O23854" s="247"/>
      <c r="AC23854" s="247"/>
      <c r="AT23854" s="247"/>
    </row>
    <row r="23855">
      <c r="C23855" s="277"/>
      <c r="M23855" s="277"/>
      <c r="O23855" s="247"/>
      <c r="AC23855" s="247"/>
      <c r="AT23855" s="247"/>
    </row>
    <row r="23856">
      <c r="C23856" s="277"/>
      <c r="M23856" s="277"/>
      <c r="O23856" s="247"/>
      <c r="AC23856" s="247"/>
      <c r="AT23856" s="247"/>
    </row>
    <row r="23857">
      <c r="C23857" s="277"/>
      <c r="M23857" s="277"/>
      <c r="O23857" s="247"/>
      <c r="AC23857" s="247"/>
      <c r="AT23857" s="247"/>
    </row>
    <row r="23858">
      <c r="C23858" s="277"/>
      <c r="M23858" s="277"/>
      <c r="O23858" s="247"/>
      <c r="AC23858" s="247"/>
      <c r="AT23858" s="247"/>
    </row>
    <row r="23859">
      <c r="C23859" s="277"/>
      <c r="M23859" s="277"/>
      <c r="O23859" s="247"/>
      <c r="AC23859" s="247"/>
      <c r="AT23859" s="247"/>
    </row>
    <row r="23860">
      <c r="C23860" s="277"/>
      <c r="M23860" s="277"/>
      <c r="O23860" s="247"/>
      <c r="AC23860" s="247"/>
      <c r="AT23860" s="247"/>
    </row>
    <row r="23861">
      <c r="C23861" s="277"/>
      <c r="M23861" s="277"/>
      <c r="O23861" s="247"/>
      <c r="AC23861" s="247"/>
      <c r="AT23861" s="247"/>
    </row>
    <row r="23862">
      <c r="C23862" s="277"/>
      <c r="M23862" s="277"/>
      <c r="O23862" s="247"/>
      <c r="AC23862" s="247"/>
      <c r="AT23862" s="247"/>
    </row>
    <row r="23863">
      <c r="C23863" s="277"/>
      <c r="M23863" s="277"/>
      <c r="O23863" s="247"/>
      <c r="AC23863" s="247"/>
      <c r="AT23863" s="247"/>
    </row>
    <row r="23864">
      <c r="C23864" s="277"/>
      <c r="M23864" s="277"/>
      <c r="O23864" s="247"/>
      <c r="AC23864" s="247"/>
      <c r="AT23864" s="247"/>
    </row>
    <row r="23865">
      <c r="C23865" s="277"/>
      <c r="M23865" s="277"/>
      <c r="O23865" s="247"/>
      <c r="AC23865" s="247"/>
      <c r="AT23865" s="247"/>
    </row>
    <row r="23866">
      <c r="C23866" s="277"/>
      <c r="M23866" s="277"/>
      <c r="O23866" s="247"/>
      <c r="AC23866" s="247"/>
      <c r="AT23866" s="247"/>
    </row>
    <row r="23867">
      <c r="C23867" s="277"/>
      <c r="M23867" s="277"/>
      <c r="O23867" s="247"/>
      <c r="AC23867" s="247"/>
      <c r="AT23867" s="247"/>
    </row>
    <row r="23868">
      <c r="C23868" s="277"/>
      <c r="M23868" s="277"/>
      <c r="O23868" s="247"/>
      <c r="AC23868" s="247"/>
      <c r="AT23868" s="247"/>
    </row>
    <row r="23869">
      <c r="C23869" s="277"/>
      <c r="M23869" s="277"/>
      <c r="O23869" s="247"/>
      <c r="AC23869" s="247"/>
      <c r="AT23869" s="247"/>
    </row>
    <row r="23870">
      <c r="C23870" s="277"/>
      <c r="M23870" s="277"/>
      <c r="O23870" s="247"/>
      <c r="AC23870" s="247"/>
      <c r="AT23870" s="247"/>
    </row>
    <row r="23871">
      <c r="C23871" s="277"/>
      <c r="M23871" s="277"/>
      <c r="O23871" s="247"/>
      <c r="AC23871" s="247"/>
      <c r="AT23871" s="247"/>
    </row>
    <row r="23872">
      <c r="C23872" s="277"/>
      <c r="M23872" s="277"/>
      <c r="O23872" s="247"/>
      <c r="AC23872" s="247"/>
      <c r="AT23872" s="247"/>
    </row>
    <row r="23873">
      <c r="C23873" s="277"/>
      <c r="M23873" s="277"/>
      <c r="O23873" s="247"/>
      <c r="AC23873" s="247"/>
      <c r="AT23873" s="247"/>
    </row>
    <row r="23874">
      <c r="C23874" s="277"/>
      <c r="M23874" s="277"/>
      <c r="O23874" s="247"/>
      <c r="AC23874" s="247"/>
      <c r="AT23874" s="247"/>
    </row>
    <row r="23875">
      <c r="C23875" s="277"/>
      <c r="M23875" s="277"/>
      <c r="O23875" s="247"/>
      <c r="AC23875" s="247"/>
      <c r="AT23875" s="247"/>
    </row>
    <row r="23876">
      <c r="C23876" s="277"/>
      <c r="M23876" s="277"/>
      <c r="O23876" s="247"/>
      <c r="AC23876" s="247"/>
      <c r="AT23876" s="247"/>
    </row>
    <row r="23877">
      <c r="C23877" s="277"/>
      <c r="M23877" s="277"/>
      <c r="O23877" s="247"/>
      <c r="AC23877" s="247"/>
      <c r="AT23877" s="247"/>
    </row>
    <row r="23878">
      <c r="C23878" s="277"/>
      <c r="M23878" s="277"/>
      <c r="O23878" s="247"/>
      <c r="AC23878" s="247"/>
      <c r="AT23878" s="247"/>
    </row>
    <row r="23879">
      <c r="C23879" s="277"/>
      <c r="M23879" s="277"/>
      <c r="O23879" s="247"/>
      <c r="AC23879" s="247"/>
      <c r="AT23879" s="247"/>
    </row>
    <row r="23880">
      <c r="C23880" s="277"/>
      <c r="M23880" s="277"/>
      <c r="O23880" s="247"/>
      <c r="AC23880" s="247"/>
      <c r="AT23880" s="247"/>
    </row>
    <row r="23881">
      <c r="C23881" s="277"/>
      <c r="M23881" s="277"/>
      <c r="O23881" s="247"/>
      <c r="AC23881" s="247"/>
      <c r="AT23881" s="247"/>
    </row>
    <row r="23882">
      <c r="C23882" s="277"/>
      <c r="M23882" s="277"/>
      <c r="O23882" s="247"/>
      <c r="AC23882" s="247"/>
      <c r="AT23882" s="247"/>
    </row>
    <row r="23883">
      <c r="C23883" s="277"/>
      <c r="M23883" s="277"/>
      <c r="O23883" s="247"/>
      <c r="AC23883" s="247"/>
      <c r="AT23883" s="247"/>
    </row>
    <row r="23884">
      <c r="C23884" s="277"/>
      <c r="M23884" s="277"/>
      <c r="O23884" s="247"/>
      <c r="AC23884" s="247"/>
      <c r="AT23884" s="247"/>
    </row>
    <row r="23885">
      <c r="C23885" s="277"/>
      <c r="M23885" s="277"/>
      <c r="O23885" s="247"/>
      <c r="AC23885" s="247"/>
      <c r="AT23885" s="247"/>
    </row>
    <row r="23886">
      <c r="C23886" s="277"/>
      <c r="M23886" s="277"/>
      <c r="O23886" s="247"/>
      <c r="AC23886" s="247"/>
      <c r="AT23886" s="247"/>
    </row>
    <row r="23887">
      <c r="C23887" s="277"/>
      <c r="M23887" s="277"/>
      <c r="O23887" s="247"/>
      <c r="AC23887" s="247"/>
      <c r="AT23887" s="247"/>
    </row>
    <row r="23888">
      <c r="C23888" s="277"/>
      <c r="M23888" s="277"/>
      <c r="O23888" s="247"/>
      <c r="AC23888" s="247"/>
      <c r="AT23888" s="247"/>
    </row>
    <row r="23889">
      <c r="C23889" s="277"/>
      <c r="M23889" s="277"/>
      <c r="O23889" s="247"/>
      <c r="AC23889" s="247"/>
      <c r="AT23889" s="247"/>
    </row>
    <row r="23890">
      <c r="C23890" s="277"/>
      <c r="M23890" s="277"/>
      <c r="O23890" s="247"/>
      <c r="AC23890" s="247"/>
      <c r="AT23890" s="247"/>
    </row>
    <row r="23891">
      <c r="C23891" s="277"/>
      <c r="M23891" s="277"/>
      <c r="O23891" s="247"/>
      <c r="AC23891" s="247"/>
      <c r="AT23891" s="247"/>
    </row>
    <row r="23892">
      <c r="C23892" s="277"/>
      <c r="M23892" s="277"/>
      <c r="O23892" s="247"/>
      <c r="AC23892" s="247"/>
      <c r="AT23892" s="247"/>
    </row>
    <row r="23893">
      <c r="C23893" s="277"/>
      <c r="M23893" s="277"/>
      <c r="O23893" s="247"/>
      <c r="AC23893" s="247"/>
      <c r="AT23893" s="247"/>
    </row>
    <row r="23894">
      <c r="C23894" s="277"/>
      <c r="M23894" s="277"/>
      <c r="O23894" s="247"/>
      <c r="AC23894" s="247"/>
      <c r="AT23894" s="247"/>
    </row>
    <row r="23895">
      <c r="C23895" s="277"/>
      <c r="M23895" s="277"/>
      <c r="O23895" s="247"/>
      <c r="AC23895" s="247"/>
      <c r="AT23895" s="247"/>
    </row>
    <row r="23896">
      <c r="C23896" s="277"/>
      <c r="M23896" s="277"/>
      <c r="O23896" s="247"/>
      <c r="AC23896" s="247"/>
      <c r="AT23896" s="247"/>
    </row>
    <row r="23897">
      <c r="C23897" s="277"/>
      <c r="M23897" s="277"/>
      <c r="O23897" s="247"/>
      <c r="AC23897" s="247"/>
      <c r="AT23897" s="247"/>
    </row>
    <row r="23898">
      <c r="C23898" s="277"/>
      <c r="M23898" s="277"/>
      <c r="O23898" s="247"/>
      <c r="AC23898" s="247"/>
      <c r="AT23898" s="247"/>
    </row>
    <row r="23899">
      <c r="C23899" s="277"/>
      <c r="M23899" s="277"/>
      <c r="O23899" s="247"/>
      <c r="AC23899" s="247"/>
      <c r="AT23899" s="247"/>
    </row>
    <row r="23900">
      <c r="C23900" s="277"/>
      <c r="M23900" s="277"/>
      <c r="O23900" s="247"/>
      <c r="AC23900" s="247"/>
      <c r="AT23900" s="247"/>
    </row>
    <row r="23901">
      <c r="C23901" s="277"/>
      <c r="M23901" s="277"/>
      <c r="O23901" s="247"/>
      <c r="AC23901" s="247"/>
      <c r="AT23901" s="247"/>
    </row>
    <row r="23902">
      <c r="C23902" s="277"/>
      <c r="M23902" s="277"/>
      <c r="O23902" s="247"/>
      <c r="AC23902" s="247"/>
      <c r="AT23902" s="247"/>
    </row>
    <row r="23903">
      <c r="C23903" s="277"/>
      <c r="M23903" s="277"/>
      <c r="O23903" s="247"/>
      <c r="AC23903" s="247"/>
      <c r="AT23903" s="247"/>
    </row>
    <row r="23904">
      <c r="C23904" s="277"/>
      <c r="M23904" s="277"/>
      <c r="O23904" s="247"/>
      <c r="AC23904" s="247"/>
      <c r="AT23904" s="247"/>
    </row>
    <row r="23905">
      <c r="C23905" s="277"/>
      <c r="M23905" s="277"/>
      <c r="O23905" s="247"/>
      <c r="AC23905" s="247"/>
      <c r="AT23905" s="247"/>
    </row>
    <row r="23906">
      <c r="C23906" s="277"/>
      <c r="M23906" s="277"/>
      <c r="O23906" s="247"/>
      <c r="AC23906" s="247"/>
      <c r="AT23906" s="247"/>
    </row>
    <row r="23907">
      <c r="C23907" s="277"/>
      <c r="M23907" s="277"/>
      <c r="O23907" s="247"/>
      <c r="AC23907" s="247"/>
      <c r="AT23907" s="247"/>
    </row>
    <row r="23908">
      <c r="C23908" s="277"/>
      <c r="M23908" s="277"/>
      <c r="O23908" s="247"/>
      <c r="AC23908" s="247"/>
      <c r="AT23908" s="247"/>
    </row>
    <row r="23909">
      <c r="C23909" s="277"/>
      <c r="M23909" s="277"/>
      <c r="O23909" s="247"/>
      <c r="AC23909" s="247"/>
      <c r="AT23909" s="247"/>
    </row>
    <row r="23910">
      <c r="C23910" s="277"/>
      <c r="M23910" s="277"/>
      <c r="O23910" s="247"/>
      <c r="AC23910" s="247"/>
      <c r="AT23910" s="247"/>
    </row>
    <row r="23911">
      <c r="C23911" s="277"/>
      <c r="M23911" s="277"/>
      <c r="O23911" s="247"/>
      <c r="AC23911" s="247"/>
      <c r="AT23911" s="247"/>
    </row>
    <row r="23912">
      <c r="C23912" s="277"/>
      <c r="M23912" s="277"/>
      <c r="O23912" s="247"/>
      <c r="AC23912" s="247"/>
      <c r="AT23912" s="247"/>
    </row>
    <row r="23913">
      <c r="C23913" s="277"/>
      <c r="M23913" s="277"/>
      <c r="O23913" s="247"/>
      <c r="AC23913" s="247"/>
      <c r="AT23913" s="247"/>
    </row>
    <row r="23914">
      <c r="C23914" s="277"/>
      <c r="M23914" s="277"/>
      <c r="O23914" s="247"/>
      <c r="AC23914" s="247"/>
      <c r="AT23914" s="247"/>
    </row>
    <row r="23915">
      <c r="C23915" s="277"/>
      <c r="M23915" s="277"/>
      <c r="O23915" s="247"/>
      <c r="AC23915" s="247"/>
      <c r="AT23915" s="247"/>
    </row>
    <row r="23916">
      <c r="C23916" s="277"/>
      <c r="M23916" s="277"/>
      <c r="O23916" s="247"/>
      <c r="AC23916" s="247"/>
      <c r="AT23916" s="247"/>
    </row>
    <row r="23917">
      <c r="C23917" s="277"/>
      <c r="M23917" s="277"/>
      <c r="O23917" s="247"/>
      <c r="AC23917" s="247"/>
      <c r="AT23917" s="247"/>
    </row>
    <row r="23918">
      <c r="C23918" s="277"/>
      <c r="M23918" s="277"/>
      <c r="O23918" s="247"/>
      <c r="AC23918" s="247"/>
      <c r="AT23918" s="247"/>
    </row>
    <row r="23919">
      <c r="C23919" s="277"/>
      <c r="M23919" s="277"/>
      <c r="O23919" s="247"/>
      <c r="AC23919" s="247"/>
      <c r="AT23919" s="247"/>
    </row>
    <row r="23920">
      <c r="C23920" s="277"/>
      <c r="M23920" s="277"/>
      <c r="O23920" s="247"/>
      <c r="AC23920" s="247"/>
      <c r="AT23920" s="247"/>
    </row>
    <row r="23921">
      <c r="C23921" s="277"/>
      <c r="M23921" s="277"/>
      <c r="O23921" s="247"/>
      <c r="AC23921" s="247"/>
      <c r="AT23921" s="247"/>
    </row>
    <row r="23922">
      <c r="C23922" s="277"/>
      <c r="M23922" s="277"/>
      <c r="O23922" s="247"/>
      <c r="AC23922" s="247"/>
      <c r="AT23922" s="247"/>
    </row>
    <row r="23923">
      <c r="C23923" s="277"/>
      <c r="M23923" s="277"/>
      <c r="O23923" s="247"/>
      <c r="AC23923" s="247"/>
      <c r="AT23923" s="247"/>
    </row>
    <row r="23924">
      <c r="C23924" s="277"/>
      <c r="M23924" s="277"/>
      <c r="O23924" s="247"/>
      <c r="AC23924" s="247"/>
      <c r="AT23924" s="247"/>
    </row>
    <row r="23925">
      <c r="C23925" s="277"/>
      <c r="M23925" s="277"/>
      <c r="O23925" s="247"/>
      <c r="AC23925" s="247"/>
      <c r="AT23925" s="247"/>
    </row>
    <row r="23926">
      <c r="C23926" s="277"/>
      <c r="M23926" s="277"/>
      <c r="O23926" s="247"/>
      <c r="AC23926" s="247"/>
      <c r="AT23926" s="247"/>
    </row>
    <row r="23927">
      <c r="C23927" s="277"/>
      <c r="M23927" s="277"/>
      <c r="O23927" s="247"/>
      <c r="AC23927" s="247"/>
      <c r="AT23927" s="247"/>
    </row>
    <row r="23928">
      <c r="C23928" s="277"/>
      <c r="M23928" s="277"/>
      <c r="O23928" s="247"/>
      <c r="AC23928" s="247"/>
      <c r="AT23928" s="247"/>
    </row>
    <row r="23929">
      <c r="C23929" s="277"/>
      <c r="M23929" s="277"/>
      <c r="O23929" s="247"/>
      <c r="AC23929" s="247"/>
      <c r="AT23929" s="247"/>
    </row>
    <row r="23930">
      <c r="C23930" s="277"/>
      <c r="M23930" s="277"/>
      <c r="O23930" s="247"/>
      <c r="AC23930" s="247"/>
      <c r="AT23930" s="247"/>
    </row>
    <row r="23931">
      <c r="C23931" s="277"/>
      <c r="M23931" s="277"/>
      <c r="O23931" s="247"/>
      <c r="AC23931" s="247"/>
      <c r="AT23931" s="247"/>
    </row>
    <row r="23932">
      <c r="C23932" s="277"/>
      <c r="M23932" s="277"/>
      <c r="O23932" s="247"/>
      <c r="AC23932" s="247"/>
      <c r="AT23932" s="247"/>
    </row>
    <row r="23933">
      <c r="C23933" s="277"/>
      <c r="M23933" s="277"/>
      <c r="O23933" s="247"/>
      <c r="AC23933" s="247"/>
      <c r="AT23933" s="247"/>
    </row>
    <row r="23934">
      <c r="C23934" s="277"/>
      <c r="M23934" s="277"/>
      <c r="O23934" s="247"/>
      <c r="AC23934" s="247"/>
      <c r="AT23934" s="247"/>
    </row>
    <row r="23935">
      <c r="C23935" s="277"/>
      <c r="M23935" s="277"/>
      <c r="O23935" s="247"/>
      <c r="AC23935" s="247"/>
      <c r="AT23935" s="247"/>
    </row>
    <row r="23936">
      <c r="C23936" s="277"/>
      <c r="M23936" s="277"/>
      <c r="O23936" s="247"/>
      <c r="AC23936" s="247"/>
      <c r="AT23936" s="247"/>
    </row>
    <row r="23937">
      <c r="C23937" s="277"/>
      <c r="M23937" s="277"/>
      <c r="O23937" s="247"/>
      <c r="AC23937" s="247"/>
      <c r="AT23937" s="247"/>
    </row>
    <row r="23938">
      <c r="C23938" s="277"/>
      <c r="M23938" s="277"/>
      <c r="O23938" s="247"/>
      <c r="AC23938" s="247"/>
      <c r="AT23938" s="247"/>
    </row>
    <row r="23939">
      <c r="C23939" s="277"/>
      <c r="M23939" s="277"/>
      <c r="O23939" s="247"/>
      <c r="AC23939" s="247"/>
      <c r="AT23939" s="247"/>
    </row>
    <row r="23940">
      <c r="C23940" s="277"/>
      <c r="M23940" s="277"/>
      <c r="O23940" s="247"/>
      <c r="AC23940" s="247"/>
      <c r="AT23940" s="247"/>
    </row>
    <row r="23941">
      <c r="C23941" s="277"/>
      <c r="M23941" s="277"/>
      <c r="O23941" s="247"/>
      <c r="AC23941" s="247"/>
      <c r="AT23941" s="247"/>
    </row>
    <row r="23942">
      <c r="C23942" s="277"/>
      <c r="M23942" s="277"/>
      <c r="O23942" s="247"/>
      <c r="AC23942" s="247"/>
      <c r="AT23942" s="247"/>
    </row>
    <row r="23943">
      <c r="C23943" s="277"/>
      <c r="M23943" s="277"/>
      <c r="O23943" s="247"/>
      <c r="AC23943" s="247"/>
      <c r="AT23943" s="247"/>
    </row>
    <row r="23944">
      <c r="C23944" s="277"/>
      <c r="M23944" s="277"/>
      <c r="O23944" s="247"/>
      <c r="AC23944" s="247"/>
      <c r="AT23944" s="247"/>
    </row>
    <row r="23945">
      <c r="C23945" s="277"/>
      <c r="M23945" s="277"/>
      <c r="O23945" s="247"/>
      <c r="AC23945" s="247"/>
      <c r="AT23945" s="247"/>
    </row>
    <row r="23946">
      <c r="C23946" s="277"/>
      <c r="M23946" s="277"/>
      <c r="O23946" s="247"/>
      <c r="AC23946" s="247"/>
      <c r="AT23946" s="247"/>
    </row>
    <row r="23947">
      <c r="C23947" s="277"/>
      <c r="M23947" s="277"/>
      <c r="O23947" s="247"/>
      <c r="AC23947" s="247"/>
      <c r="AT23947" s="247"/>
    </row>
    <row r="23948">
      <c r="C23948" s="277"/>
      <c r="M23948" s="277"/>
      <c r="O23948" s="247"/>
      <c r="AC23948" s="247"/>
      <c r="AT23948" s="247"/>
    </row>
    <row r="23949">
      <c r="C23949" s="277"/>
      <c r="M23949" s="277"/>
      <c r="O23949" s="247"/>
      <c r="AC23949" s="247"/>
      <c r="AT23949" s="247"/>
    </row>
    <row r="23950">
      <c r="C23950" s="277"/>
      <c r="M23950" s="277"/>
      <c r="O23950" s="247"/>
      <c r="AC23950" s="247"/>
      <c r="AT23950" s="247"/>
    </row>
    <row r="23951">
      <c r="C23951" s="277"/>
      <c r="M23951" s="277"/>
      <c r="O23951" s="247"/>
      <c r="AC23951" s="247"/>
      <c r="AT23951" s="247"/>
    </row>
    <row r="23952">
      <c r="C23952" s="277"/>
      <c r="M23952" s="277"/>
      <c r="O23952" s="247"/>
      <c r="AC23952" s="247"/>
      <c r="AT23952" s="247"/>
    </row>
    <row r="23953">
      <c r="C23953" s="277"/>
      <c r="M23953" s="277"/>
      <c r="O23953" s="247"/>
      <c r="AC23953" s="247"/>
      <c r="AT23953" s="247"/>
    </row>
    <row r="23954">
      <c r="C23954" s="277"/>
      <c r="M23954" s="277"/>
      <c r="O23954" s="247"/>
      <c r="AC23954" s="247"/>
      <c r="AT23954" s="247"/>
    </row>
    <row r="23955">
      <c r="C23955" s="277"/>
      <c r="M23955" s="277"/>
      <c r="O23955" s="247"/>
      <c r="AC23955" s="247"/>
      <c r="AT23955" s="247"/>
    </row>
    <row r="23956">
      <c r="C23956" s="277"/>
      <c r="M23956" s="277"/>
      <c r="O23956" s="247"/>
      <c r="AC23956" s="247"/>
      <c r="AT23956" s="247"/>
    </row>
    <row r="23957">
      <c r="C23957" s="277"/>
      <c r="M23957" s="277"/>
      <c r="O23957" s="247"/>
      <c r="AC23957" s="247"/>
      <c r="AT23957" s="247"/>
    </row>
    <row r="23958">
      <c r="C23958" s="277"/>
      <c r="M23958" s="277"/>
      <c r="O23958" s="247"/>
      <c r="AC23958" s="247"/>
      <c r="AT23958" s="247"/>
    </row>
    <row r="23959">
      <c r="C23959" s="277"/>
      <c r="M23959" s="277"/>
      <c r="O23959" s="247"/>
      <c r="AC23959" s="247"/>
      <c r="AT23959" s="247"/>
    </row>
    <row r="23960">
      <c r="C23960" s="277"/>
      <c r="M23960" s="277"/>
      <c r="O23960" s="247"/>
      <c r="AC23960" s="247"/>
      <c r="AT23960" s="247"/>
    </row>
    <row r="23961">
      <c r="C23961" s="277"/>
      <c r="M23961" s="277"/>
      <c r="O23961" s="247"/>
      <c r="AC23961" s="247"/>
      <c r="AT23961" s="247"/>
    </row>
    <row r="23962">
      <c r="C23962" s="277"/>
      <c r="M23962" s="277"/>
      <c r="O23962" s="247"/>
      <c r="AC23962" s="247"/>
      <c r="AT23962" s="247"/>
    </row>
    <row r="23963">
      <c r="C23963" s="277"/>
      <c r="M23963" s="277"/>
      <c r="O23963" s="247"/>
      <c r="AC23963" s="247"/>
      <c r="AT23963" s="247"/>
    </row>
    <row r="23964">
      <c r="C23964" s="277"/>
      <c r="M23964" s="277"/>
      <c r="O23964" s="247"/>
      <c r="AC23964" s="247"/>
      <c r="AT23964" s="247"/>
    </row>
    <row r="23965">
      <c r="C23965" s="277"/>
      <c r="M23965" s="277"/>
      <c r="O23965" s="247"/>
      <c r="AC23965" s="247"/>
      <c r="AT23965" s="247"/>
    </row>
    <row r="23966">
      <c r="C23966" s="277"/>
      <c r="M23966" s="277"/>
      <c r="O23966" s="247"/>
      <c r="AC23966" s="247"/>
      <c r="AT23966" s="247"/>
    </row>
    <row r="23967">
      <c r="C23967" s="277"/>
      <c r="M23967" s="277"/>
      <c r="O23967" s="247"/>
      <c r="AC23967" s="247"/>
      <c r="AT23967" s="247"/>
    </row>
    <row r="23968">
      <c r="C23968" s="277"/>
      <c r="M23968" s="277"/>
      <c r="O23968" s="247"/>
      <c r="AC23968" s="247"/>
      <c r="AT23968" s="247"/>
    </row>
    <row r="23969">
      <c r="C23969" s="277"/>
      <c r="M23969" s="277"/>
      <c r="O23969" s="247"/>
      <c r="AC23969" s="247"/>
      <c r="AT23969" s="247"/>
    </row>
    <row r="23970">
      <c r="C23970" s="277"/>
      <c r="M23970" s="277"/>
      <c r="O23970" s="247"/>
      <c r="AC23970" s="247"/>
      <c r="AT23970" s="247"/>
    </row>
    <row r="23971">
      <c r="C23971" s="277"/>
      <c r="M23971" s="277"/>
      <c r="O23971" s="247"/>
      <c r="AC23971" s="247"/>
      <c r="AT23971" s="247"/>
    </row>
    <row r="23972">
      <c r="C23972" s="277"/>
      <c r="M23972" s="277"/>
      <c r="O23972" s="247"/>
      <c r="AC23972" s="247"/>
      <c r="AT23972" s="247"/>
    </row>
    <row r="23973">
      <c r="C23973" s="277"/>
      <c r="M23973" s="277"/>
      <c r="O23973" s="247"/>
      <c r="AC23973" s="247"/>
      <c r="AT23973" s="247"/>
    </row>
    <row r="23974">
      <c r="C23974" s="277"/>
      <c r="M23974" s="277"/>
      <c r="O23974" s="247"/>
      <c r="AC23974" s="247"/>
      <c r="AT23974" s="247"/>
    </row>
    <row r="23975">
      <c r="C23975" s="277"/>
      <c r="M23975" s="277"/>
      <c r="O23975" s="247"/>
      <c r="AC23975" s="247"/>
      <c r="AT23975" s="247"/>
    </row>
    <row r="23976">
      <c r="C23976" s="277"/>
      <c r="M23976" s="277"/>
      <c r="O23976" s="247"/>
      <c r="AC23976" s="247"/>
      <c r="AT23976" s="247"/>
    </row>
    <row r="23977">
      <c r="C23977" s="277"/>
      <c r="M23977" s="277"/>
      <c r="O23977" s="247"/>
      <c r="AC23977" s="247"/>
      <c r="AT23977" s="247"/>
    </row>
    <row r="23978">
      <c r="C23978" s="277"/>
      <c r="M23978" s="277"/>
      <c r="O23978" s="247"/>
      <c r="AC23978" s="247"/>
      <c r="AT23978" s="247"/>
    </row>
    <row r="23979">
      <c r="C23979" s="277"/>
      <c r="M23979" s="277"/>
      <c r="O23979" s="247"/>
      <c r="AC23979" s="247"/>
      <c r="AT23979" s="247"/>
    </row>
    <row r="23980">
      <c r="C23980" s="277"/>
      <c r="M23980" s="277"/>
      <c r="O23980" s="247"/>
      <c r="AC23980" s="247"/>
      <c r="AT23980" s="247"/>
    </row>
    <row r="23981">
      <c r="C23981" s="277"/>
      <c r="M23981" s="277"/>
      <c r="O23981" s="247"/>
      <c r="AC23981" s="247"/>
      <c r="AT23981" s="247"/>
    </row>
    <row r="23982">
      <c r="C23982" s="277"/>
      <c r="M23982" s="277"/>
      <c r="O23982" s="247"/>
      <c r="AC23982" s="247"/>
      <c r="AT23982" s="247"/>
    </row>
    <row r="23983">
      <c r="C23983" s="277"/>
      <c r="M23983" s="277"/>
      <c r="O23983" s="247"/>
      <c r="AC23983" s="247"/>
      <c r="AT23983" s="247"/>
    </row>
    <row r="23984">
      <c r="C23984" s="277"/>
      <c r="M23984" s="277"/>
      <c r="O23984" s="247"/>
      <c r="AC23984" s="247"/>
      <c r="AT23984" s="247"/>
    </row>
    <row r="23985">
      <c r="C23985" s="277"/>
      <c r="M23985" s="277"/>
      <c r="O23985" s="247"/>
      <c r="AC23985" s="247"/>
      <c r="AT23985" s="247"/>
    </row>
    <row r="23986">
      <c r="C23986" s="277"/>
      <c r="M23986" s="277"/>
      <c r="O23986" s="247"/>
      <c r="AC23986" s="247"/>
      <c r="AT23986" s="247"/>
    </row>
    <row r="23987">
      <c r="C23987" s="277"/>
      <c r="M23987" s="277"/>
      <c r="O23987" s="247"/>
      <c r="AC23987" s="247"/>
      <c r="AT23987" s="247"/>
    </row>
    <row r="23988">
      <c r="C23988" s="277"/>
      <c r="M23988" s="277"/>
      <c r="O23988" s="247"/>
      <c r="AC23988" s="247"/>
      <c r="AT23988" s="247"/>
    </row>
    <row r="23989">
      <c r="C23989" s="277"/>
      <c r="M23989" s="277"/>
      <c r="O23989" s="247"/>
      <c r="AC23989" s="247"/>
      <c r="AT23989" s="247"/>
    </row>
    <row r="23990">
      <c r="C23990" s="277"/>
      <c r="M23990" s="277"/>
      <c r="O23990" s="247"/>
      <c r="AC23990" s="247"/>
      <c r="AT23990" s="247"/>
    </row>
    <row r="23991">
      <c r="C23991" s="277"/>
      <c r="M23991" s="277"/>
      <c r="O23991" s="247"/>
      <c r="AC23991" s="247"/>
      <c r="AT23991" s="247"/>
    </row>
    <row r="23992">
      <c r="C23992" s="277"/>
      <c r="M23992" s="277"/>
      <c r="O23992" s="247"/>
      <c r="AC23992" s="247"/>
      <c r="AT23992" s="247"/>
    </row>
    <row r="23993">
      <c r="C23993" s="277"/>
      <c r="M23993" s="277"/>
      <c r="O23993" s="247"/>
      <c r="AC23993" s="247"/>
      <c r="AT23993" s="247"/>
    </row>
    <row r="23994">
      <c r="C23994" s="277"/>
      <c r="M23994" s="277"/>
      <c r="O23994" s="247"/>
      <c r="AC23994" s="247"/>
      <c r="AT23994" s="247"/>
    </row>
    <row r="23995">
      <c r="C23995" s="277"/>
      <c r="M23995" s="277"/>
      <c r="O23995" s="247"/>
      <c r="AC23995" s="247"/>
      <c r="AT23995" s="247"/>
    </row>
    <row r="23996">
      <c r="C23996" s="277"/>
      <c r="M23996" s="277"/>
      <c r="O23996" s="247"/>
      <c r="AC23996" s="247"/>
      <c r="AT23996" s="247"/>
    </row>
    <row r="23997">
      <c r="C23997" s="277"/>
      <c r="M23997" s="277"/>
      <c r="O23997" s="247"/>
      <c r="AC23997" s="247"/>
      <c r="AT23997" s="247"/>
    </row>
    <row r="23998">
      <c r="C23998" s="277"/>
      <c r="M23998" s="277"/>
      <c r="O23998" s="247"/>
      <c r="AC23998" s="247"/>
      <c r="AT23998" s="247"/>
    </row>
    <row r="23999">
      <c r="C23999" s="277"/>
      <c r="M23999" s="277"/>
      <c r="O23999" s="247"/>
      <c r="AC23999" s="247"/>
      <c r="AT23999" s="247"/>
    </row>
    <row r="24000">
      <c r="C24000" s="277"/>
      <c r="M24000" s="277"/>
      <c r="O24000" s="247"/>
      <c r="AC24000" s="247"/>
      <c r="AT24000" s="247"/>
    </row>
    <row r="24001">
      <c r="C24001" s="277"/>
      <c r="M24001" s="277"/>
      <c r="O24001" s="247"/>
      <c r="AC24001" s="247"/>
      <c r="AT24001" s="247"/>
    </row>
    <row r="24002">
      <c r="C24002" s="277"/>
      <c r="M24002" s="277"/>
      <c r="O24002" s="247"/>
      <c r="AC24002" s="247"/>
      <c r="AT24002" s="247"/>
    </row>
    <row r="24003">
      <c r="C24003" s="277"/>
      <c r="M24003" s="277"/>
      <c r="O24003" s="247"/>
      <c r="AC24003" s="247"/>
      <c r="AT24003" s="247"/>
    </row>
    <row r="24004">
      <c r="C24004" s="277"/>
      <c r="M24004" s="277"/>
      <c r="O24004" s="247"/>
      <c r="AC24004" s="247"/>
      <c r="AT24004" s="247"/>
    </row>
    <row r="24005">
      <c r="C24005" s="277"/>
      <c r="M24005" s="277"/>
      <c r="O24005" s="247"/>
      <c r="AC24005" s="247"/>
      <c r="AT24005" s="247"/>
    </row>
    <row r="24006">
      <c r="C24006" s="277"/>
      <c r="M24006" s="277"/>
      <c r="O24006" s="247"/>
      <c r="AC24006" s="247"/>
      <c r="AT24006" s="247"/>
    </row>
    <row r="24007">
      <c r="C24007" s="277"/>
      <c r="M24007" s="277"/>
      <c r="O24007" s="247"/>
      <c r="AC24007" s="247"/>
      <c r="AT24007" s="247"/>
    </row>
    <row r="24008">
      <c r="C24008" s="277"/>
      <c r="M24008" s="277"/>
      <c r="O24008" s="247"/>
      <c r="AC24008" s="247"/>
      <c r="AT24008" s="247"/>
    </row>
    <row r="24009">
      <c r="C24009" s="277"/>
      <c r="M24009" s="277"/>
      <c r="O24009" s="247"/>
      <c r="AC24009" s="247"/>
      <c r="AT24009" s="247"/>
    </row>
    <row r="24010">
      <c r="C24010" s="277"/>
      <c r="M24010" s="277"/>
      <c r="O24010" s="247"/>
      <c r="AC24010" s="247"/>
      <c r="AT24010" s="247"/>
    </row>
    <row r="24011">
      <c r="C24011" s="277"/>
      <c r="M24011" s="277"/>
      <c r="O24011" s="247"/>
      <c r="AC24011" s="247"/>
      <c r="AT24011" s="247"/>
    </row>
    <row r="24012">
      <c r="C24012" s="277"/>
      <c r="M24012" s="277"/>
      <c r="O24012" s="247"/>
      <c r="AC24012" s="247"/>
      <c r="AT24012" s="247"/>
    </row>
    <row r="24013">
      <c r="C24013" s="277"/>
      <c r="M24013" s="277"/>
      <c r="O24013" s="247"/>
      <c r="AC24013" s="247"/>
      <c r="AT24013" s="247"/>
    </row>
    <row r="24014">
      <c r="C24014" s="277"/>
      <c r="M24014" s="277"/>
      <c r="O24014" s="247"/>
      <c r="AC24014" s="247"/>
      <c r="AT24014" s="247"/>
    </row>
    <row r="24015">
      <c r="C24015" s="277"/>
      <c r="M24015" s="277"/>
      <c r="O24015" s="247"/>
      <c r="AC24015" s="247"/>
      <c r="AT24015" s="247"/>
    </row>
    <row r="24016">
      <c r="C24016" s="277"/>
      <c r="M24016" s="277"/>
      <c r="O24016" s="247"/>
      <c r="AC24016" s="247"/>
      <c r="AT24016" s="247"/>
    </row>
    <row r="24017">
      <c r="C24017" s="277"/>
      <c r="M24017" s="277"/>
      <c r="O24017" s="247"/>
      <c r="AC24017" s="247"/>
      <c r="AT24017" s="247"/>
    </row>
    <row r="24018">
      <c r="C24018" s="277"/>
      <c r="M24018" s="277"/>
      <c r="O24018" s="247"/>
      <c r="AC24018" s="247"/>
      <c r="AT24018" s="247"/>
    </row>
    <row r="24019">
      <c r="C24019" s="277"/>
      <c r="M24019" s="277"/>
      <c r="O24019" s="247"/>
      <c r="AC24019" s="247"/>
      <c r="AT24019" s="247"/>
    </row>
    <row r="24020">
      <c r="C24020" s="277"/>
      <c r="M24020" s="277"/>
      <c r="O24020" s="247"/>
      <c r="AC24020" s="247"/>
      <c r="AT24020" s="247"/>
    </row>
    <row r="24021">
      <c r="C24021" s="277"/>
      <c r="M24021" s="277"/>
      <c r="O24021" s="247"/>
      <c r="AC24021" s="247"/>
      <c r="AT24021" s="247"/>
    </row>
    <row r="24022">
      <c r="C24022" s="277"/>
      <c r="M24022" s="277"/>
      <c r="O24022" s="247"/>
      <c r="AC24022" s="247"/>
      <c r="AT24022" s="247"/>
    </row>
    <row r="24023">
      <c r="C24023" s="277"/>
      <c r="M24023" s="277"/>
      <c r="O24023" s="247"/>
      <c r="AC24023" s="247"/>
      <c r="AT24023" s="247"/>
    </row>
    <row r="24024">
      <c r="C24024" s="277"/>
      <c r="M24024" s="277"/>
      <c r="O24024" s="247"/>
      <c r="AC24024" s="247"/>
      <c r="AT24024" s="247"/>
    </row>
    <row r="24025">
      <c r="C24025" s="277"/>
      <c r="M24025" s="277"/>
      <c r="O24025" s="247"/>
      <c r="AC24025" s="247"/>
      <c r="AT24025" s="247"/>
    </row>
    <row r="24026">
      <c r="C24026" s="277"/>
      <c r="M24026" s="277"/>
      <c r="O24026" s="247"/>
      <c r="AC24026" s="247"/>
      <c r="AT24026" s="247"/>
    </row>
    <row r="24027">
      <c r="C24027" s="277"/>
      <c r="M24027" s="277"/>
      <c r="O24027" s="247"/>
      <c r="AC24027" s="247"/>
      <c r="AT24027" s="247"/>
    </row>
    <row r="24028">
      <c r="C24028" s="277"/>
      <c r="M24028" s="277"/>
      <c r="O24028" s="247"/>
      <c r="AC24028" s="247"/>
      <c r="AT24028" s="247"/>
    </row>
    <row r="24029">
      <c r="C24029" s="277"/>
      <c r="M24029" s="277"/>
      <c r="O24029" s="247"/>
      <c r="AC24029" s="247"/>
      <c r="AT24029" s="247"/>
    </row>
    <row r="24030">
      <c r="C24030" s="277"/>
      <c r="M24030" s="277"/>
      <c r="O24030" s="247"/>
      <c r="AC24030" s="247"/>
      <c r="AT24030" s="247"/>
    </row>
    <row r="24031">
      <c r="C24031" s="277"/>
      <c r="M24031" s="277"/>
      <c r="O24031" s="247"/>
      <c r="AC24031" s="247"/>
      <c r="AT24031" s="247"/>
    </row>
    <row r="24032">
      <c r="C24032" s="277"/>
      <c r="M24032" s="277"/>
      <c r="O24032" s="247"/>
      <c r="AC24032" s="247"/>
      <c r="AT24032" s="247"/>
    </row>
    <row r="24033">
      <c r="C24033" s="277"/>
      <c r="M24033" s="277"/>
      <c r="O24033" s="247"/>
      <c r="AC24033" s="247"/>
      <c r="AT24033" s="247"/>
    </row>
    <row r="24034">
      <c r="C24034" s="277"/>
      <c r="M24034" s="277"/>
      <c r="O24034" s="247"/>
      <c r="AC24034" s="247"/>
      <c r="AT24034" s="247"/>
    </row>
    <row r="24035">
      <c r="C24035" s="277"/>
      <c r="M24035" s="277"/>
      <c r="O24035" s="247"/>
      <c r="AC24035" s="247"/>
      <c r="AT24035" s="247"/>
    </row>
    <row r="24036">
      <c r="C24036" s="277"/>
      <c r="M24036" s="277"/>
      <c r="O24036" s="247"/>
      <c r="AC24036" s="247"/>
      <c r="AT24036" s="247"/>
    </row>
    <row r="24037">
      <c r="C24037" s="277"/>
      <c r="M24037" s="277"/>
      <c r="O24037" s="247"/>
      <c r="AC24037" s="247"/>
      <c r="AT24037" s="247"/>
    </row>
    <row r="24038">
      <c r="C24038" s="277"/>
      <c r="M24038" s="277"/>
      <c r="O24038" s="247"/>
      <c r="AC24038" s="247"/>
      <c r="AT24038" s="247"/>
    </row>
    <row r="24039">
      <c r="C24039" s="277"/>
      <c r="M24039" s="277"/>
      <c r="O24039" s="247"/>
      <c r="AC24039" s="247"/>
      <c r="AT24039" s="247"/>
    </row>
    <row r="24040">
      <c r="C24040" s="277"/>
      <c r="M24040" s="277"/>
      <c r="O24040" s="247"/>
      <c r="AC24040" s="247"/>
      <c r="AT24040" s="247"/>
    </row>
    <row r="24041">
      <c r="C24041" s="277"/>
      <c r="M24041" s="277"/>
      <c r="O24041" s="247"/>
      <c r="AC24041" s="247"/>
      <c r="AT24041" s="247"/>
    </row>
    <row r="24042">
      <c r="C24042" s="277"/>
      <c r="M24042" s="277"/>
      <c r="O24042" s="247"/>
      <c r="AC24042" s="247"/>
      <c r="AT24042" s="247"/>
    </row>
    <row r="24043">
      <c r="C24043" s="277"/>
      <c r="M24043" s="277"/>
      <c r="O24043" s="247"/>
      <c r="AC24043" s="247"/>
      <c r="AT24043" s="247"/>
    </row>
    <row r="24044">
      <c r="C24044" s="277"/>
      <c r="M24044" s="277"/>
      <c r="O24044" s="247"/>
      <c r="AC24044" s="247"/>
      <c r="AT24044" s="247"/>
    </row>
    <row r="24045">
      <c r="C24045" s="277"/>
      <c r="M24045" s="277"/>
      <c r="O24045" s="247"/>
      <c r="AC24045" s="247"/>
      <c r="AT24045" s="247"/>
    </row>
    <row r="24046">
      <c r="C24046" s="277"/>
      <c r="M24046" s="277"/>
      <c r="O24046" s="247"/>
      <c r="AC24046" s="247"/>
      <c r="AT24046" s="247"/>
    </row>
    <row r="24047">
      <c r="C24047" s="277"/>
      <c r="M24047" s="277"/>
      <c r="O24047" s="247"/>
      <c r="AC24047" s="247"/>
      <c r="AT24047" s="247"/>
    </row>
    <row r="24048">
      <c r="C24048" s="277"/>
      <c r="M24048" s="277"/>
      <c r="O24048" s="247"/>
      <c r="AC24048" s="247"/>
      <c r="AT24048" s="247"/>
    </row>
    <row r="24049">
      <c r="C24049" s="277"/>
      <c r="M24049" s="277"/>
      <c r="O24049" s="247"/>
      <c r="AC24049" s="247"/>
      <c r="AT24049" s="247"/>
    </row>
    <row r="24050">
      <c r="C24050" s="277"/>
      <c r="M24050" s="277"/>
      <c r="O24050" s="247"/>
      <c r="AC24050" s="247"/>
      <c r="AT24050" s="247"/>
    </row>
    <row r="24051">
      <c r="C24051" s="277"/>
      <c r="M24051" s="277"/>
      <c r="O24051" s="247"/>
      <c r="AC24051" s="247"/>
      <c r="AT24051" s="247"/>
    </row>
    <row r="24052">
      <c r="C24052" s="277"/>
      <c r="M24052" s="277"/>
      <c r="O24052" s="247"/>
      <c r="AC24052" s="247"/>
      <c r="AT24052" s="247"/>
    </row>
    <row r="24053">
      <c r="C24053" s="277"/>
      <c r="M24053" s="277"/>
      <c r="O24053" s="247"/>
      <c r="AC24053" s="247"/>
      <c r="AT24053" s="247"/>
    </row>
    <row r="24054">
      <c r="C24054" s="277"/>
      <c r="M24054" s="277"/>
      <c r="O24054" s="247"/>
      <c r="AC24054" s="247"/>
      <c r="AT24054" s="247"/>
    </row>
    <row r="24055">
      <c r="C24055" s="277"/>
      <c r="M24055" s="277"/>
      <c r="O24055" s="247"/>
      <c r="AC24055" s="247"/>
      <c r="AT24055" s="247"/>
    </row>
    <row r="24056">
      <c r="C24056" s="277"/>
      <c r="M24056" s="277"/>
      <c r="O24056" s="247"/>
      <c r="AC24056" s="247"/>
      <c r="AT24056" s="247"/>
    </row>
    <row r="24057">
      <c r="C24057" s="277"/>
      <c r="M24057" s="277"/>
      <c r="O24057" s="247"/>
      <c r="AC24057" s="247"/>
      <c r="AT24057" s="247"/>
    </row>
    <row r="24058">
      <c r="C24058" s="277"/>
      <c r="M24058" s="277"/>
      <c r="O24058" s="247"/>
      <c r="AC24058" s="247"/>
      <c r="AT24058" s="247"/>
    </row>
    <row r="24059">
      <c r="C24059" s="277"/>
      <c r="M24059" s="277"/>
      <c r="O24059" s="247"/>
      <c r="AC24059" s="247"/>
      <c r="AT24059" s="247"/>
    </row>
    <row r="24060">
      <c r="C24060" s="277"/>
      <c r="M24060" s="277"/>
      <c r="O24060" s="247"/>
      <c r="AC24060" s="247"/>
      <c r="AT24060" s="247"/>
    </row>
    <row r="24061">
      <c r="C24061" s="277"/>
      <c r="M24061" s="277"/>
      <c r="O24061" s="247"/>
      <c r="AC24061" s="247"/>
      <c r="AT24061" s="247"/>
    </row>
    <row r="24062">
      <c r="C24062" s="277"/>
      <c r="M24062" s="277"/>
      <c r="O24062" s="247"/>
      <c r="AC24062" s="247"/>
      <c r="AT24062" s="247"/>
    </row>
    <row r="24063">
      <c r="C24063" s="277"/>
      <c r="M24063" s="277"/>
      <c r="O24063" s="247"/>
      <c r="AC24063" s="247"/>
      <c r="AT24063" s="247"/>
    </row>
    <row r="24064">
      <c r="C24064" s="277"/>
      <c r="M24064" s="277"/>
      <c r="O24064" s="247"/>
      <c r="AC24064" s="247"/>
      <c r="AT24064" s="247"/>
    </row>
    <row r="24065">
      <c r="C24065" s="277"/>
      <c r="M24065" s="277"/>
      <c r="O24065" s="247"/>
      <c r="AC24065" s="247"/>
      <c r="AT24065" s="247"/>
    </row>
    <row r="24066">
      <c r="C24066" s="277"/>
      <c r="M24066" s="277"/>
      <c r="O24066" s="247"/>
      <c r="AC24066" s="247"/>
      <c r="AT24066" s="247"/>
    </row>
    <row r="24067">
      <c r="C24067" s="277"/>
      <c r="M24067" s="277"/>
      <c r="O24067" s="247"/>
      <c r="AC24067" s="247"/>
      <c r="AT24067" s="247"/>
    </row>
    <row r="24068">
      <c r="C24068" s="277"/>
      <c r="M24068" s="277"/>
      <c r="O24068" s="247"/>
      <c r="AC24068" s="247"/>
      <c r="AT24068" s="247"/>
    </row>
    <row r="24069">
      <c r="C24069" s="277"/>
      <c r="M24069" s="277"/>
      <c r="O24069" s="247"/>
      <c r="AC24069" s="247"/>
      <c r="AT24069" s="247"/>
    </row>
    <row r="24070">
      <c r="C24070" s="277"/>
      <c r="M24070" s="277"/>
      <c r="O24070" s="247"/>
      <c r="AC24070" s="247"/>
      <c r="AT24070" s="247"/>
    </row>
    <row r="24071">
      <c r="C24071" s="277"/>
      <c r="M24071" s="277"/>
      <c r="O24071" s="247"/>
      <c r="AC24071" s="247"/>
      <c r="AT24071" s="247"/>
    </row>
    <row r="24072">
      <c r="C24072" s="277"/>
      <c r="M24072" s="277"/>
      <c r="O24072" s="247"/>
      <c r="AC24072" s="247"/>
      <c r="AT24072" s="247"/>
    </row>
    <row r="24073">
      <c r="C24073" s="277"/>
      <c r="M24073" s="277"/>
      <c r="O24073" s="247"/>
      <c r="AC24073" s="247"/>
      <c r="AT24073" s="247"/>
    </row>
    <row r="24074">
      <c r="C24074" s="277"/>
      <c r="M24074" s="277"/>
      <c r="O24074" s="247"/>
      <c r="AC24074" s="247"/>
      <c r="AT24074" s="247"/>
    </row>
    <row r="24075">
      <c r="C24075" s="277"/>
      <c r="M24075" s="277"/>
      <c r="O24075" s="247"/>
      <c r="AC24075" s="247"/>
      <c r="AT24075" s="247"/>
    </row>
    <row r="24076">
      <c r="C24076" s="277"/>
      <c r="M24076" s="277"/>
      <c r="O24076" s="247"/>
      <c r="AC24076" s="247"/>
      <c r="AT24076" s="247"/>
    </row>
    <row r="24077">
      <c r="C24077" s="277"/>
      <c r="M24077" s="277"/>
      <c r="O24077" s="247"/>
      <c r="AC24077" s="247"/>
      <c r="AT24077" s="247"/>
    </row>
    <row r="24078">
      <c r="C24078" s="277"/>
      <c r="M24078" s="277"/>
      <c r="O24078" s="247"/>
      <c r="AC24078" s="247"/>
      <c r="AT24078" s="247"/>
    </row>
    <row r="24079">
      <c r="C24079" s="277"/>
      <c r="M24079" s="277"/>
      <c r="O24079" s="247"/>
      <c r="AC24079" s="247"/>
      <c r="AT24079" s="247"/>
    </row>
    <row r="24080">
      <c r="C24080" s="277"/>
      <c r="M24080" s="277"/>
      <c r="O24080" s="247"/>
      <c r="AC24080" s="247"/>
      <c r="AT24080" s="247"/>
    </row>
    <row r="24081">
      <c r="C24081" s="277"/>
      <c r="M24081" s="277"/>
      <c r="O24081" s="247"/>
      <c r="AC24081" s="247"/>
      <c r="AT24081" s="247"/>
    </row>
    <row r="24082">
      <c r="C24082" s="277"/>
      <c r="M24082" s="277"/>
      <c r="O24082" s="247"/>
      <c r="AC24082" s="247"/>
      <c r="AT24082" s="247"/>
    </row>
    <row r="24083">
      <c r="C24083" s="277"/>
      <c r="M24083" s="277"/>
      <c r="O24083" s="247"/>
      <c r="AC24083" s="247"/>
      <c r="AT24083" s="247"/>
    </row>
    <row r="24084">
      <c r="C24084" s="277"/>
      <c r="M24084" s="277"/>
      <c r="O24084" s="247"/>
      <c r="AC24084" s="247"/>
      <c r="AT24084" s="247"/>
    </row>
    <row r="24085">
      <c r="C24085" s="277"/>
      <c r="M24085" s="277"/>
      <c r="O24085" s="247"/>
      <c r="AC24085" s="247"/>
      <c r="AT24085" s="247"/>
    </row>
    <row r="24086">
      <c r="C24086" s="277"/>
      <c r="M24086" s="277"/>
      <c r="O24086" s="247"/>
      <c r="AC24086" s="247"/>
      <c r="AT24086" s="247"/>
    </row>
    <row r="24087">
      <c r="C24087" s="277"/>
      <c r="M24087" s="277"/>
      <c r="O24087" s="247"/>
      <c r="AC24087" s="247"/>
      <c r="AT24087" s="247"/>
    </row>
    <row r="24088">
      <c r="C24088" s="277"/>
      <c r="M24088" s="277"/>
      <c r="O24088" s="247"/>
      <c r="AC24088" s="247"/>
      <c r="AT24088" s="247"/>
    </row>
    <row r="24089">
      <c r="C24089" s="277"/>
      <c r="M24089" s="277"/>
      <c r="O24089" s="247"/>
      <c r="AC24089" s="247"/>
      <c r="AT24089" s="247"/>
    </row>
    <row r="24090">
      <c r="C24090" s="277"/>
      <c r="M24090" s="277"/>
      <c r="O24090" s="247"/>
      <c r="AC24090" s="247"/>
      <c r="AT24090" s="247"/>
    </row>
    <row r="24091">
      <c r="C24091" s="277"/>
      <c r="M24091" s="277"/>
      <c r="O24091" s="247"/>
      <c r="AC24091" s="247"/>
      <c r="AT24091" s="247"/>
    </row>
    <row r="24092">
      <c r="C24092" s="277"/>
      <c r="M24092" s="277"/>
      <c r="O24092" s="247"/>
      <c r="AC24092" s="247"/>
      <c r="AT24092" s="247"/>
    </row>
    <row r="24093">
      <c r="C24093" s="277"/>
      <c r="M24093" s="277"/>
      <c r="O24093" s="247"/>
      <c r="AC24093" s="247"/>
      <c r="AT24093" s="247"/>
    </row>
    <row r="24094">
      <c r="C24094" s="277"/>
      <c r="M24094" s="277"/>
      <c r="O24094" s="247"/>
      <c r="AC24094" s="247"/>
      <c r="AT24094" s="247"/>
    </row>
    <row r="24095">
      <c r="C24095" s="277"/>
      <c r="M24095" s="277"/>
      <c r="O24095" s="247"/>
      <c r="AC24095" s="247"/>
      <c r="AT24095" s="247"/>
    </row>
    <row r="24096">
      <c r="C24096" s="277"/>
      <c r="M24096" s="277"/>
      <c r="O24096" s="247"/>
      <c r="AC24096" s="247"/>
      <c r="AT24096" s="247"/>
    </row>
    <row r="24097">
      <c r="C24097" s="277"/>
      <c r="M24097" s="277"/>
      <c r="O24097" s="247"/>
      <c r="AC24097" s="247"/>
      <c r="AT24097" s="247"/>
    </row>
    <row r="24098">
      <c r="C24098" s="277"/>
      <c r="M24098" s="277"/>
      <c r="O24098" s="247"/>
      <c r="AC24098" s="247"/>
      <c r="AT24098" s="247"/>
    </row>
    <row r="24099">
      <c r="C24099" s="277"/>
      <c r="M24099" s="277"/>
      <c r="O24099" s="247"/>
      <c r="AC24099" s="247"/>
      <c r="AT24099" s="247"/>
    </row>
    <row r="24100">
      <c r="C24100" s="277"/>
      <c r="M24100" s="277"/>
      <c r="O24100" s="247"/>
      <c r="AC24100" s="247"/>
      <c r="AT24100" s="247"/>
    </row>
    <row r="24101">
      <c r="C24101" s="277"/>
      <c r="M24101" s="277"/>
      <c r="O24101" s="247"/>
      <c r="AC24101" s="247"/>
      <c r="AT24101" s="247"/>
    </row>
    <row r="24102">
      <c r="C24102" s="277"/>
      <c r="M24102" s="277"/>
      <c r="O24102" s="247"/>
      <c r="AC24102" s="247"/>
      <c r="AT24102" s="247"/>
    </row>
    <row r="24103">
      <c r="C24103" s="277"/>
      <c r="M24103" s="277"/>
      <c r="O24103" s="247"/>
      <c r="AC24103" s="247"/>
      <c r="AT24103" s="247"/>
    </row>
    <row r="24104">
      <c r="C24104" s="277"/>
      <c r="M24104" s="277"/>
      <c r="O24104" s="247"/>
      <c r="AC24104" s="247"/>
      <c r="AT24104" s="247"/>
    </row>
    <row r="24105">
      <c r="C24105" s="277"/>
      <c r="M24105" s="277"/>
      <c r="O24105" s="247"/>
      <c r="AC24105" s="247"/>
      <c r="AT24105" s="247"/>
    </row>
    <row r="24106">
      <c r="C24106" s="277"/>
      <c r="M24106" s="277"/>
      <c r="O24106" s="247"/>
      <c r="AC24106" s="247"/>
      <c r="AT24106" s="247"/>
    </row>
    <row r="24107">
      <c r="C24107" s="277"/>
      <c r="M24107" s="277"/>
      <c r="O24107" s="247"/>
      <c r="AC24107" s="247"/>
      <c r="AT24107" s="247"/>
    </row>
    <row r="24108">
      <c r="C24108" s="277"/>
      <c r="M24108" s="277"/>
      <c r="O24108" s="247"/>
      <c r="AC24108" s="247"/>
      <c r="AT24108" s="247"/>
    </row>
    <row r="24109">
      <c r="C24109" s="277"/>
      <c r="M24109" s="277"/>
      <c r="O24109" s="247"/>
      <c r="AC24109" s="247"/>
      <c r="AT24109" s="247"/>
    </row>
    <row r="24110">
      <c r="C24110" s="277"/>
      <c r="M24110" s="277"/>
      <c r="O24110" s="247"/>
      <c r="AC24110" s="247"/>
      <c r="AT24110" s="247"/>
    </row>
    <row r="24111">
      <c r="C24111" s="277"/>
      <c r="M24111" s="277"/>
      <c r="O24111" s="247"/>
      <c r="AC24111" s="247"/>
      <c r="AT24111" s="247"/>
    </row>
    <row r="24112">
      <c r="C24112" s="277"/>
      <c r="M24112" s="277"/>
      <c r="O24112" s="247"/>
      <c r="AC24112" s="247"/>
      <c r="AT24112" s="247"/>
    </row>
    <row r="24113">
      <c r="C24113" s="277"/>
      <c r="M24113" s="277"/>
      <c r="O24113" s="247"/>
      <c r="AC24113" s="247"/>
      <c r="AT24113" s="247"/>
    </row>
    <row r="24114">
      <c r="C24114" s="277"/>
      <c r="M24114" s="277"/>
      <c r="O24114" s="247"/>
      <c r="AC24114" s="247"/>
      <c r="AT24114" s="247"/>
    </row>
    <row r="24115">
      <c r="C24115" s="277"/>
      <c r="M24115" s="277"/>
      <c r="O24115" s="247"/>
      <c r="AC24115" s="247"/>
      <c r="AT24115" s="247"/>
    </row>
    <row r="24116">
      <c r="C24116" s="277"/>
      <c r="M24116" s="277"/>
      <c r="O24116" s="247"/>
      <c r="AC24116" s="247"/>
      <c r="AT24116" s="247"/>
    </row>
    <row r="24117">
      <c r="C24117" s="277"/>
      <c r="M24117" s="277"/>
      <c r="O24117" s="247"/>
      <c r="AC24117" s="247"/>
      <c r="AT24117" s="247"/>
    </row>
    <row r="24118">
      <c r="C24118" s="277"/>
      <c r="M24118" s="277"/>
      <c r="O24118" s="247"/>
      <c r="AC24118" s="247"/>
      <c r="AT24118" s="247"/>
    </row>
    <row r="24119">
      <c r="C24119" s="277"/>
      <c r="M24119" s="277"/>
      <c r="O24119" s="247"/>
      <c r="AC24119" s="247"/>
      <c r="AT24119" s="247"/>
    </row>
    <row r="24120">
      <c r="C24120" s="277"/>
      <c r="M24120" s="277"/>
      <c r="O24120" s="247"/>
      <c r="AC24120" s="247"/>
      <c r="AT24120" s="247"/>
    </row>
    <row r="24121">
      <c r="C24121" s="277"/>
      <c r="M24121" s="277"/>
      <c r="O24121" s="247"/>
      <c r="AC24121" s="247"/>
      <c r="AT24121" s="247"/>
    </row>
    <row r="24122">
      <c r="C24122" s="277"/>
      <c r="M24122" s="277"/>
      <c r="O24122" s="247"/>
      <c r="AC24122" s="247"/>
      <c r="AT24122" s="247"/>
    </row>
    <row r="24123">
      <c r="C24123" s="277"/>
      <c r="M24123" s="277"/>
      <c r="O24123" s="247"/>
      <c r="AC24123" s="247"/>
      <c r="AT24123" s="247"/>
    </row>
    <row r="24124">
      <c r="C24124" s="277"/>
      <c r="M24124" s="277"/>
      <c r="O24124" s="247"/>
      <c r="AC24124" s="247"/>
      <c r="AT24124" s="247"/>
    </row>
    <row r="24125">
      <c r="C24125" s="277"/>
      <c r="M24125" s="277"/>
      <c r="O24125" s="247"/>
      <c r="AC24125" s="247"/>
      <c r="AT24125" s="247"/>
    </row>
    <row r="24126">
      <c r="C24126" s="277"/>
      <c r="M24126" s="277"/>
      <c r="O24126" s="247"/>
      <c r="AC24126" s="247"/>
      <c r="AT24126" s="247"/>
    </row>
    <row r="24127">
      <c r="C24127" s="277"/>
      <c r="M24127" s="277"/>
      <c r="O24127" s="247"/>
      <c r="AC24127" s="247"/>
      <c r="AT24127" s="247"/>
    </row>
    <row r="24128">
      <c r="C24128" s="277"/>
      <c r="M24128" s="277"/>
      <c r="O24128" s="247"/>
      <c r="AC24128" s="247"/>
      <c r="AT24128" s="247"/>
    </row>
    <row r="24129">
      <c r="C24129" s="277"/>
      <c r="M24129" s="277"/>
      <c r="O24129" s="247"/>
      <c r="AC24129" s="247"/>
      <c r="AT24129" s="247"/>
    </row>
    <row r="24130">
      <c r="C24130" s="277"/>
      <c r="M24130" s="277"/>
      <c r="O24130" s="247"/>
      <c r="AC24130" s="247"/>
      <c r="AT24130" s="247"/>
    </row>
    <row r="24131">
      <c r="C24131" s="277"/>
      <c r="M24131" s="277"/>
      <c r="O24131" s="247"/>
      <c r="AC24131" s="247"/>
      <c r="AT24131" s="247"/>
    </row>
    <row r="24132">
      <c r="C24132" s="277"/>
      <c r="M24132" s="277"/>
      <c r="O24132" s="247"/>
      <c r="AC24132" s="247"/>
      <c r="AT24132" s="247"/>
    </row>
    <row r="24133">
      <c r="C24133" s="277"/>
      <c r="M24133" s="277"/>
      <c r="O24133" s="247"/>
      <c r="AC24133" s="247"/>
      <c r="AT24133" s="247"/>
    </row>
    <row r="24134">
      <c r="C24134" s="277"/>
      <c r="M24134" s="277"/>
      <c r="O24134" s="247"/>
      <c r="AC24134" s="247"/>
      <c r="AT24134" s="247"/>
    </row>
    <row r="24135">
      <c r="C24135" s="277"/>
      <c r="M24135" s="277"/>
      <c r="O24135" s="247"/>
      <c r="AC24135" s="247"/>
      <c r="AT24135" s="247"/>
    </row>
    <row r="24136">
      <c r="C24136" s="277"/>
      <c r="M24136" s="277"/>
      <c r="O24136" s="247"/>
      <c r="AC24136" s="247"/>
      <c r="AT24136" s="247"/>
    </row>
    <row r="24137">
      <c r="C24137" s="277"/>
      <c r="M24137" s="277"/>
      <c r="O24137" s="247"/>
      <c r="AC24137" s="247"/>
      <c r="AT24137" s="247"/>
    </row>
    <row r="24138">
      <c r="C24138" s="277"/>
      <c r="M24138" s="277"/>
      <c r="O24138" s="247"/>
      <c r="AC24138" s="247"/>
      <c r="AT24138" s="247"/>
    </row>
    <row r="24139">
      <c r="C24139" s="277"/>
      <c r="M24139" s="277"/>
      <c r="O24139" s="247"/>
      <c r="AC24139" s="247"/>
      <c r="AT24139" s="247"/>
    </row>
    <row r="24140">
      <c r="C24140" s="277"/>
      <c r="M24140" s="277"/>
      <c r="O24140" s="247"/>
      <c r="AC24140" s="247"/>
      <c r="AT24140" s="247"/>
    </row>
    <row r="24141">
      <c r="C24141" s="277"/>
      <c r="M24141" s="277"/>
      <c r="O24141" s="247"/>
      <c r="AC24141" s="247"/>
      <c r="AT24141" s="247"/>
    </row>
    <row r="24142">
      <c r="C24142" s="277"/>
      <c r="M24142" s="277"/>
      <c r="O24142" s="247"/>
      <c r="AC24142" s="247"/>
      <c r="AT24142" s="247"/>
    </row>
    <row r="24143">
      <c r="C24143" s="277"/>
      <c r="M24143" s="277"/>
      <c r="O24143" s="247"/>
      <c r="AC24143" s="247"/>
      <c r="AT24143" s="247"/>
    </row>
    <row r="24144">
      <c r="C24144" s="277"/>
      <c r="M24144" s="277"/>
      <c r="O24144" s="247"/>
      <c r="AC24144" s="247"/>
      <c r="AT24144" s="247"/>
    </row>
    <row r="24145">
      <c r="C24145" s="277"/>
      <c r="M24145" s="277"/>
      <c r="O24145" s="247"/>
      <c r="AC24145" s="247"/>
      <c r="AT24145" s="247"/>
    </row>
    <row r="24146">
      <c r="C24146" s="277"/>
      <c r="M24146" s="277"/>
      <c r="O24146" s="247"/>
      <c r="AC24146" s="247"/>
      <c r="AT24146" s="247"/>
    </row>
    <row r="24147">
      <c r="C24147" s="277"/>
      <c r="M24147" s="277"/>
      <c r="O24147" s="247"/>
      <c r="AC24147" s="247"/>
      <c r="AT24147" s="247"/>
    </row>
    <row r="24148">
      <c r="C24148" s="277"/>
      <c r="M24148" s="277"/>
      <c r="O24148" s="247"/>
      <c r="AC24148" s="247"/>
      <c r="AT24148" s="247"/>
    </row>
    <row r="24149">
      <c r="C24149" s="277"/>
      <c r="M24149" s="277"/>
      <c r="O24149" s="247"/>
      <c r="AC24149" s="247"/>
      <c r="AT24149" s="247"/>
    </row>
    <row r="24150">
      <c r="C24150" s="277"/>
      <c r="M24150" s="277"/>
      <c r="O24150" s="247"/>
      <c r="AC24150" s="247"/>
      <c r="AT24150" s="247"/>
    </row>
    <row r="24151">
      <c r="C24151" s="277"/>
      <c r="M24151" s="277"/>
      <c r="O24151" s="247"/>
      <c r="AC24151" s="247"/>
      <c r="AT24151" s="247"/>
    </row>
    <row r="24152">
      <c r="C24152" s="277"/>
      <c r="M24152" s="277"/>
      <c r="O24152" s="247"/>
      <c r="AC24152" s="247"/>
      <c r="AT24152" s="247"/>
    </row>
    <row r="24153">
      <c r="C24153" s="277"/>
      <c r="M24153" s="277"/>
      <c r="O24153" s="247"/>
      <c r="AC24153" s="247"/>
      <c r="AT24153" s="247"/>
    </row>
    <row r="24154">
      <c r="C24154" s="277"/>
      <c r="M24154" s="277"/>
      <c r="O24154" s="247"/>
      <c r="AC24154" s="247"/>
      <c r="AT24154" s="247"/>
    </row>
    <row r="24155">
      <c r="C24155" s="277"/>
      <c r="M24155" s="277"/>
      <c r="O24155" s="247"/>
      <c r="AC24155" s="247"/>
      <c r="AT24155" s="247"/>
    </row>
    <row r="24156">
      <c r="C24156" s="277"/>
      <c r="M24156" s="277"/>
      <c r="O24156" s="247"/>
      <c r="AC24156" s="247"/>
      <c r="AT24156" s="247"/>
    </row>
    <row r="24157">
      <c r="C24157" s="277"/>
      <c r="M24157" s="277"/>
      <c r="O24157" s="247"/>
      <c r="AC24157" s="247"/>
      <c r="AT24157" s="247"/>
    </row>
    <row r="24158">
      <c r="C24158" s="277"/>
      <c r="M24158" s="277"/>
      <c r="O24158" s="247"/>
      <c r="AC24158" s="247"/>
      <c r="AT24158" s="247"/>
    </row>
    <row r="24159">
      <c r="C24159" s="277"/>
      <c r="M24159" s="277"/>
      <c r="O24159" s="247"/>
      <c r="AC24159" s="247"/>
      <c r="AT24159" s="247"/>
    </row>
    <row r="24160">
      <c r="C24160" s="277"/>
      <c r="M24160" s="277"/>
      <c r="O24160" s="247"/>
      <c r="AC24160" s="247"/>
      <c r="AT24160" s="247"/>
    </row>
    <row r="24161">
      <c r="C24161" s="277"/>
      <c r="M24161" s="277"/>
      <c r="O24161" s="247"/>
      <c r="AC24161" s="247"/>
      <c r="AT24161" s="247"/>
    </row>
    <row r="24162">
      <c r="C24162" s="277"/>
      <c r="M24162" s="277"/>
      <c r="O24162" s="247"/>
      <c r="AC24162" s="247"/>
      <c r="AT24162" s="247"/>
    </row>
    <row r="24163">
      <c r="C24163" s="277"/>
      <c r="M24163" s="277"/>
      <c r="O24163" s="247"/>
      <c r="AC24163" s="247"/>
      <c r="AT24163" s="247"/>
    </row>
    <row r="24164">
      <c r="C24164" s="277"/>
      <c r="M24164" s="277"/>
      <c r="O24164" s="247"/>
      <c r="AC24164" s="247"/>
      <c r="AT24164" s="247"/>
    </row>
    <row r="24165">
      <c r="C24165" s="277"/>
      <c r="M24165" s="277"/>
      <c r="O24165" s="247"/>
      <c r="AC24165" s="247"/>
      <c r="AT24165" s="247"/>
    </row>
    <row r="24166">
      <c r="C24166" s="277"/>
      <c r="M24166" s="277"/>
      <c r="O24166" s="247"/>
      <c r="AC24166" s="247"/>
      <c r="AT24166" s="247"/>
    </row>
    <row r="24167">
      <c r="C24167" s="277"/>
      <c r="M24167" s="277"/>
      <c r="O24167" s="247"/>
      <c r="AC24167" s="247"/>
      <c r="AT24167" s="247"/>
    </row>
    <row r="24168">
      <c r="C24168" s="277"/>
      <c r="M24168" s="277"/>
      <c r="O24168" s="247"/>
      <c r="AC24168" s="247"/>
      <c r="AT24168" s="247"/>
    </row>
    <row r="24169">
      <c r="C24169" s="277"/>
      <c r="M24169" s="277"/>
      <c r="O24169" s="247"/>
      <c r="AC24169" s="247"/>
      <c r="AT24169" s="247"/>
    </row>
    <row r="24170">
      <c r="C24170" s="277"/>
      <c r="M24170" s="277"/>
      <c r="O24170" s="247"/>
      <c r="AC24170" s="247"/>
      <c r="AT24170" s="247"/>
    </row>
    <row r="24171">
      <c r="C24171" s="277"/>
      <c r="M24171" s="277"/>
      <c r="O24171" s="247"/>
      <c r="AC24171" s="247"/>
      <c r="AT24171" s="247"/>
    </row>
    <row r="24172">
      <c r="C24172" s="277"/>
      <c r="M24172" s="277"/>
      <c r="O24172" s="247"/>
      <c r="AC24172" s="247"/>
      <c r="AT24172" s="247"/>
    </row>
    <row r="24173">
      <c r="C24173" s="277"/>
      <c r="M24173" s="277"/>
      <c r="O24173" s="247"/>
      <c r="AC24173" s="247"/>
      <c r="AT24173" s="247"/>
    </row>
    <row r="24174">
      <c r="C24174" s="277"/>
      <c r="M24174" s="277"/>
      <c r="O24174" s="247"/>
      <c r="AC24174" s="247"/>
      <c r="AT24174" s="247"/>
    </row>
    <row r="24175">
      <c r="C24175" s="277"/>
      <c r="M24175" s="277"/>
      <c r="O24175" s="247"/>
      <c r="AC24175" s="247"/>
      <c r="AT24175" s="247"/>
    </row>
    <row r="24176">
      <c r="C24176" s="277"/>
      <c r="M24176" s="277"/>
      <c r="O24176" s="247"/>
      <c r="AC24176" s="247"/>
      <c r="AT24176" s="247"/>
    </row>
    <row r="24177">
      <c r="C24177" s="277"/>
      <c r="M24177" s="277"/>
      <c r="O24177" s="247"/>
      <c r="AC24177" s="247"/>
      <c r="AT24177" s="247"/>
    </row>
    <row r="24178">
      <c r="C24178" s="277"/>
      <c r="M24178" s="277"/>
      <c r="O24178" s="247"/>
      <c r="AC24178" s="247"/>
      <c r="AT24178" s="247"/>
    </row>
    <row r="24179">
      <c r="C24179" s="277"/>
      <c r="M24179" s="277"/>
      <c r="O24179" s="247"/>
      <c r="AC24179" s="247"/>
      <c r="AT24179" s="247"/>
    </row>
    <row r="24180">
      <c r="C24180" s="277"/>
      <c r="M24180" s="277"/>
      <c r="O24180" s="247"/>
      <c r="AC24180" s="247"/>
      <c r="AT24180" s="247"/>
    </row>
    <row r="24181">
      <c r="C24181" s="277"/>
      <c r="M24181" s="277"/>
      <c r="O24181" s="247"/>
      <c r="AC24181" s="247"/>
      <c r="AT24181" s="247"/>
    </row>
    <row r="24182">
      <c r="C24182" s="277"/>
      <c r="M24182" s="277"/>
      <c r="O24182" s="247"/>
      <c r="AC24182" s="247"/>
      <c r="AT24182" s="247"/>
    </row>
    <row r="24183">
      <c r="C24183" s="277"/>
      <c r="M24183" s="277"/>
      <c r="O24183" s="247"/>
      <c r="AC24183" s="247"/>
      <c r="AT24183" s="247"/>
    </row>
    <row r="24184">
      <c r="C24184" s="277"/>
      <c r="M24184" s="277"/>
      <c r="O24184" s="247"/>
      <c r="AC24184" s="247"/>
      <c r="AT24184" s="247"/>
    </row>
    <row r="24185">
      <c r="C24185" s="277"/>
      <c r="M24185" s="277"/>
      <c r="O24185" s="247"/>
      <c r="AC24185" s="247"/>
      <c r="AT24185" s="247"/>
    </row>
    <row r="24186">
      <c r="C24186" s="277"/>
      <c r="M24186" s="277"/>
      <c r="O24186" s="247"/>
      <c r="AC24186" s="247"/>
      <c r="AT24186" s="247"/>
    </row>
    <row r="24187">
      <c r="C24187" s="277"/>
      <c r="M24187" s="277"/>
      <c r="O24187" s="247"/>
      <c r="AC24187" s="247"/>
      <c r="AT24187" s="247"/>
    </row>
    <row r="24188">
      <c r="C24188" s="277"/>
      <c r="M24188" s="277"/>
      <c r="O24188" s="247"/>
      <c r="AC24188" s="247"/>
      <c r="AT24188" s="247"/>
    </row>
    <row r="24189">
      <c r="C24189" s="277"/>
      <c r="M24189" s="277"/>
      <c r="O24189" s="247"/>
      <c r="AC24189" s="247"/>
      <c r="AT24189" s="247"/>
    </row>
    <row r="24190">
      <c r="C24190" s="277"/>
      <c r="M24190" s="277"/>
      <c r="O24190" s="247"/>
      <c r="AC24190" s="247"/>
      <c r="AT24190" s="247"/>
    </row>
    <row r="24191">
      <c r="C24191" s="277"/>
      <c r="M24191" s="277"/>
      <c r="O24191" s="247"/>
      <c r="AC24191" s="247"/>
      <c r="AT24191" s="247"/>
    </row>
    <row r="24192">
      <c r="C24192" s="277"/>
      <c r="M24192" s="277"/>
      <c r="O24192" s="247"/>
      <c r="AC24192" s="247"/>
      <c r="AT24192" s="247"/>
    </row>
    <row r="24193">
      <c r="C24193" s="277"/>
      <c r="M24193" s="277"/>
      <c r="O24193" s="247"/>
      <c r="AC24193" s="247"/>
      <c r="AT24193" s="247"/>
    </row>
    <row r="24194">
      <c r="C24194" s="277"/>
      <c r="M24194" s="277"/>
      <c r="O24194" s="247"/>
      <c r="AC24194" s="247"/>
      <c r="AT24194" s="247"/>
    </row>
    <row r="24195">
      <c r="C24195" s="277"/>
      <c r="M24195" s="277"/>
      <c r="O24195" s="247"/>
      <c r="AC24195" s="247"/>
      <c r="AT24195" s="247"/>
    </row>
    <row r="24196">
      <c r="C24196" s="277"/>
      <c r="M24196" s="277"/>
      <c r="O24196" s="247"/>
      <c r="AC24196" s="247"/>
      <c r="AT24196" s="247"/>
    </row>
    <row r="24197">
      <c r="C24197" s="277"/>
      <c r="M24197" s="277"/>
      <c r="O24197" s="247"/>
      <c r="AC24197" s="247"/>
      <c r="AT24197" s="247"/>
    </row>
    <row r="24198">
      <c r="C24198" s="277"/>
      <c r="M24198" s="277"/>
      <c r="O24198" s="247"/>
      <c r="AC24198" s="247"/>
      <c r="AT24198" s="247"/>
    </row>
    <row r="24199">
      <c r="C24199" s="277"/>
      <c r="M24199" s="277"/>
      <c r="O24199" s="247"/>
      <c r="AC24199" s="247"/>
      <c r="AT24199" s="247"/>
    </row>
    <row r="24200">
      <c r="C24200" s="277"/>
      <c r="M24200" s="277"/>
      <c r="O24200" s="247"/>
      <c r="AC24200" s="247"/>
      <c r="AT24200" s="247"/>
    </row>
    <row r="24201">
      <c r="C24201" s="277"/>
      <c r="M24201" s="277"/>
      <c r="O24201" s="247"/>
      <c r="AC24201" s="247"/>
      <c r="AT24201" s="247"/>
    </row>
    <row r="24202">
      <c r="C24202" s="277"/>
      <c r="M24202" s="277"/>
      <c r="O24202" s="247"/>
      <c r="AC24202" s="247"/>
      <c r="AT24202" s="247"/>
    </row>
    <row r="24203">
      <c r="C24203" s="277"/>
      <c r="M24203" s="277"/>
      <c r="O24203" s="247"/>
      <c r="AC24203" s="247"/>
      <c r="AT24203" s="247"/>
    </row>
    <row r="24204">
      <c r="C24204" s="277"/>
      <c r="M24204" s="277"/>
      <c r="O24204" s="247"/>
      <c r="AC24204" s="247"/>
      <c r="AT24204" s="247"/>
    </row>
    <row r="24205">
      <c r="C24205" s="277"/>
      <c r="M24205" s="277"/>
      <c r="O24205" s="247"/>
      <c r="AC24205" s="247"/>
      <c r="AT24205" s="247"/>
    </row>
    <row r="24206">
      <c r="C24206" s="277"/>
      <c r="M24206" s="277"/>
      <c r="O24206" s="247"/>
      <c r="AC24206" s="247"/>
      <c r="AT24206" s="247"/>
    </row>
    <row r="24207">
      <c r="C24207" s="277"/>
      <c r="M24207" s="277"/>
      <c r="O24207" s="247"/>
      <c r="AC24207" s="247"/>
      <c r="AT24207" s="247"/>
    </row>
    <row r="24208">
      <c r="C24208" s="277"/>
      <c r="M24208" s="277"/>
      <c r="O24208" s="247"/>
      <c r="AC24208" s="247"/>
      <c r="AT24208" s="247"/>
    </row>
    <row r="24209">
      <c r="C24209" s="277"/>
      <c r="M24209" s="277"/>
      <c r="O24209" s="247"/>
      <c r="AC24209" s="247"/>
      <c r="AT24209" s="247"/>
    </row>
    <row r="24210">
      <c r="C24210" s="277"/>
      <c r="M24210" s="277"/>
      <c r="O24210" s="247"/>
      <c r="AC24210" s="247"/>
      <c r="AT24210" s="247"/>
    </row>
    <row r="24211">
      <c r="C24211" s="277"/>
      <c r="M24211" s="277"/>
      <c r="O24211" s="247"/>
      <c r="AC24211" s="247"/>
      <c r="AT24211" s="247"/>
    </row>
    <row r="24212">
      <c r="C24212" s="277"/>
      <c r="M24212" s="277"/>
      <c r="O24212" s="247"/>
      <c r="AC24212" s="247"/>
      <c r="AT24212" s="247"/>
    </row>
    <row r="24213">
      <c r="C24213" s="277"/>
      <c r="M24213" s="277"/>
      <c r="O24213" s="247"/>
      <c r="AC24213" s="247"/>
      <c r="AT24213" s="247"/>
    </row>
    <row r="24214">
      <c r="C24214" s="277"/>
      <c r="M24214" s="277"/>
      <c r="O24214" s="247"/>
      <c r="AC24214" s="247"/>
      <c r="AT24214" s="247"/>
    </row>
    <row r="24215">
      <c r="C24215" s="277"/>
      <c r="M24215" s="277"/>
      <c r="O24215" s="247"/>
      <c r="AC24215" s="247"/>
      <c r="AT24215" s="247"/>
    </row>
    <row r="24216">
      <c r="C24216" s="277"/>
      <c r="M24216" s="277"/>
      <c r="O24216" s="247"/>
      <c r="AC24216" s="247"/>
      <c r="AT24216" s="247"/>
    </row>
    <row r="24217">
      <c r="C24217" s="277"/>
      <c r="M24217" s="277"/>
      <c r="O24217" s="247"/>
      <c r="AC24217" s="247"/>
      <c r="AT24217" s="247"/>
    </row>
    <row r="24218">
      <c r="C24218" s="277"/>
      <c r="M24218" s="277"/>
      <c r="O24218" s="247"/>
      <c r="AC24218" s="247"/>
      <c r="AT24218" s="247"/>
    </row>
    <row r="24219">
      <c r="C24219" s="277"/>
      <c r="M24219" s="277"/>
      <c r="O24219" s="247"/>
      <c r="AC24219" s="247"/>
      <c r="AT24219" s="247"/>
    </row>
    <row r="24220">
      <c r="C24220" s="277"/>
      <c r="M24220" s="277"/>
      <c r="O24220" s="247"/>
      <c r="AC24220" s="247"/>
      <c r="AT24220" s="247"/>
    </row>
    <row r="24221">
      <c r="C24221" s="277"/>
      <c r="M24221" s="277"/>
      <c r="O24221" s="247"/>
      <c r="AC24221" s="247"/>
      <c r="AT24221" s="247"/>
    </row>
    <row r="24222">
      <c r="C24222" s="277"/>
      <c r="M24222" s="277"/>
      <c r="O24222" s="247"/>
      <c r="AC24222" s="247"/>
      <c r="AT24222" s="247"/>
    </row>
    <row r="24223">
      <c r="C24223" s="277"/>
      <c r="M24223" s="277"/>
      <c r="O24223" s="247"/>
      <c r="AC24223" s="247"/>
      <c r="AT24223" s="247"/>
    </row>
    <row r="24224">
      <c r="C24224" s="277"/>
      <c r="M24224" s="277"/>
      <c r="O24224" s="247"/>
      <c r="AC24224" s="247"/>
      <c r="AT24224" s="247"/>
    </row>
    <row r="24225">
      <c r="C24225" s="277"/>
      <c r="M24225" s="277"/>
      <c r="O24225" s="247"/>
      <c r="AC24225" s="247"/>
      <c r="AT24225" s="247"/>
    </row>
    <row r="24226">
      <c r="C24226" s="277"/>
      <c r="M24226" s="277"/>
      <c r="O24226" s="247"/>
      <c r="AC24226" s="247"/>
      <c r="AT24226" s="247"/>
    </row>
    <row r="24227">
      <c r="C24227" s="277"/>
      <c r="M24227" s="277"/>
      <c r="O24227" s="247"/>
      <c r="AC24227" s="247"/>
      <c r="AT24227" s="247"/>
    </row>
    <row r="24228">
      <c r="C24228" s="277"/>
      <c r="M24228" s="277"/>
      <c r="O24228" s="247"/>
      <c r="AC24228" s="247"/>
      <c r="AT24228" s="247"/>
    </row>
    <row r="24229">
      <c r="C24229" s="277"/>
      <c r="M24229" s="277"/>
      <c r="O24229" s="247"/>
      <c r="AC24229" s="247"/>
      <c r="AT24229" s="247"/>
    </row>
    <row r="24230">
      <c r="C24230" s="277"/>
      <c r="M24230" s="277"/>
      <c r="O24230" s="247"/>
      <c r="AC24230" s="247"/>
      <c r="AT24230" s="247"/>
    </row>
    <row r="24231">
      <c r="C24231" s="277"/>
      <c r="M24231" s="277"/>
      <c r="O24231" s="247"/>
      <c r="AC24231" s="247"/>
      <c r="AT24231" s="247"/>
    </row>
    <row r="24232">
      <c r="C24232" s="277"/>
      <c r="M24232" s="277"/>
      <c r="O24232" s="247"/>
      <c r="AC24232" s="247"/>
      <c r="AT24232" s="247"/>
    </row>
    <row r="24233">
      <c r="C24233" s="277"/>
      <c r="M24233" s="277"/>
      <c r="O24233" s="247"/>
      <c r="AC24233" s="247"/>
      <c r="AT24233" s="247"/>
    </row>
    <row r="24234">
      <c r="C24234" s="277"/>
      <c r="M24234" s="277"/>
      <c r="O24234" s="247"/>
      <c r="AC24234" s="247"/>
      <c r="AT24234" s="247"/>
    </row>
    <row r="24235">
      <c r="C24235" s="277"/>
      <c r="M24235" s="277"/>
      <c r="O24235" s="247"/>
      <c r="AC24235" s="247"/>
      <c r="AT24235" s="247"/>
    </row>
    <row r="24236">
      <c r="C24236" s="277"/>
      <c r="M24236" s="277"/>
      <c r="O24236" s="247"/>
      <c r="AC24236" s="247"/>
      <c r="AT24236" s="247"/>
    </row>
    <row r="24237">
      <c r="C24237" s="277"/>
      <c r="M24237" s="277"/>
      <c r="O24237" s="247"/>
      <c r="AC24237" s="247"/>
      <c r="AT24237" s="247"/>
    </row>
    <row r="24238">
      <c r="C24238" s="277"/>
      <c r="M24238" s="277"/>
      <c r="O24238" s="247"/>
      <c r="AC24238" s="247"/>
      <c r="AT24238" s="247"/>
    </row>
    <row r="24239">
      <c r="C24239" s="277"/>
      <c r="M24239" s="277"/>
      <c r="O24239" s="247"/>
      <c r="AC24239" s="247"/>
      <c r="AT24239" s="247"/>
    </row>
    <row r="24240">
      <c r="C24240" s="277"/>
      <c r="M24240" s="277"/>
      <c r="O24240" s="247"/>
      <c r="AC24240" s="247"/>
      <c r="AT24240" s="247"/>
    </row>
    <row r="24241">
      <c r="C24241" s="277"/>
      <c r="M24241" s="277"/>
      <c r="O24241" s="247"/>
      <c r="AC24241" s="247"/>
      <c r="AT24241" s="247"/>
    </row>
    <row r="24242">
      <c r="C24242" s="277"/>
      <c r="M24242" s="277"/>
      <c r="O24242" s="247"/>
      <c r="AC24242" s="247"/>
      <c r="AT24242" s="247"/>
    </row>
    <row r="24243">
      <c r="C24243" s="277"/>
      <c r="M24243" s="277"/>
      <c r="O24243" s="247"/>
      <c r="AC24243" s="247"/>
      <c r="AT24243" s="247"/>
    </row>
    <row r="24244">
      <c r="C24244" s="277"/>
      <c r="M24244" s="277"/>
      <c r="O24244" s="247"/>
      <c r="AC24244" s="247"/>
      <c r="AT24244" s="247"/>
    </row>
    <row r="24245">
      <c r="C24245" s="277"/>
      <c r="M24245" s="277"/>
      <c r="O24245" s="247"/>
      <c r="AC24245" s="247"/>
      <c r="AT24245" s="247"/>
    </row>
    <row r="24246">
      <c r="C24246" s="277"/>
      <c r="M24246" s="277"/>
      <c r="O24246" s="247"/>
      <c r="AC24246" s="247"/>
      <c r="AT24246" s="247"/>
    </row>
    <row r="24247">
      <c r="C24247" s="277"/>
      <c r="M24247" s="277"/>
      <c r="O24247" s="247"/>
      <c r="AC24247" s="247"/>
      <c r="AT24247" s="247"/>
    </row>
    <row r="24248">
      <c r="C24248" s="277"/>
      <c r="M24248" s="277"/>
      <c r="O24248" s="247"/>
      <c r="AC24248" s="247"/>
      <c r="AT24248" s="247"/>
    </row>
    <row r="24249">
      <c r="C24249" s="277"/>
      <c r="M24249" s="277"/>
      <c r="O24249" s="247"/>
      <c r="AC24249" s="247"/>
      <c r="AT24249" s="247"/>
    </row>
    <row r="24250">
      <c r="C24250" s="277"/>
      <c r="M24250" s="277"/>
      <c r="O24250" s="247"/>
      <c r="AC24250" s="247"/>
      <c r="AT24250" s="247"/>
    </row>
    <row r="24251">
      <c r="C24251" s="277"/>
      <c r="M24251" s="277"/>
      <c r="O24251" s="247"/>
      <c r="AC24251" s="247"/>
      <c r="AT24251" s="247"/>
    </row>
    <row r="24252">
      <c r="C24252" s="277"/>
      <c r="M24252" s="277"/>
      <c r="O24252" s="247"/>
      <c r="AC24252" s="247"/>
      <c r="AT24252" s="247"/>
    </row>
    <row r="24253">
      <c r="C24253" s="277"/>
      <c r="M24253" s="277"/>
      <c r="O24253" s="247"/>
      <c r="AC24253" s="247"/>
      <c r="AT24253" s="247"/>
    </row>
    <row r="24254">
      <c r="C24254" s="277"/>
      <c r="M24254" s="277"/>
      <c r="O24254" s="247"/>
      <c r="AC24254" s="247"/>
      <c r="AT24254" s="247"/>
    </row>
    <row r="24255">
      <c r="C24255" s="277"/>
      <c r="M24255" s="277"/>
      <c r="O24255" s="247"/>
      <c r="AC24255" s="247"/>
      <c r="AT24255" s="247"/>
    </row>
    <row r="24256">
      <c r="C24256" s="277"/>
      <c r="M24256" s="277"/>
      <c r="O24256" s="247"/>
      <c r="AC24256" s="247"/>
      <c r="AT24256" s="247"/>
    </row>
    <row r="24257">
      <c r="C24257" s="277"/>
      <c r="M24257" s="277"/>
      <c r="O24257" s="247"/>
      <c r="AC24257" s="247"/>
      <c r="AT24257" s="247"/>
    </row>
    <row r="24258">
      <c r="C24258" s="277"/>
      <c r="M24258" s="277"/>
      <c r="O24258" s="247"/>
      <c r="AC24258" s="247"/>
      <c r="AT24258" s="247"/>
    </row>
    <row r="24259">
      <c r="C24259" s="277"/>
      <c r="M24259" s="277"/>
      <c r="O24259" s="247"/>
      <c r="AC24259" s="247"/>
      <c r="AT24259" s="247"/>
    </row>
    <row r="24260">
      <c r="C24260" s="277"/>
      <c r="M24260" s="277"/>
      <c r="O24260" s="247"/>
      <c r="AC24260" s="247"/>
      <c r="AT24260" s="247"/>
    </row>
    <row r="24261">
      <c r="C24261" s="277"/>
      <c r="M24261" s="277"/>
      <c r="O24261" s="247"/>
      <c r="AC24261" s="247"/>
      <c r="AT24261" s="247"/>
    </row>
    <row r="24262">
      <c r="C24262" s="277"/>
      <c r="M24262" s="277"/>
      <c r="O24262" s="247"/>
      <c r="AC24262" s="247"/>
      <c r="AT24262" s="247"/>
    </row>
    <row r="24263">
      <c r="C24263" s="277"/>
      <c r="M24263" s="277"/>
      <c r="O24263" s="247"/>
      <c r="AC24263" s="247"/>
      <c r="AT24263" s="247"/>
    </row>
    <row r="24264">
      <c r="C24264" s="277"/>
      <c r="M24264" s="277"/>
      <c r="O24264" s="247"/>
      <c r="AC24264" s="247"/>
      <c r="AT24264" s="247"/>
    </row>
    <row r="24265">
      <c r="C24265" s="277"/>
      <c r="M24265" s="277"/>
      <c r="O24265" s="247"/>
      <c r="AC24265" s="247"/>
      <c r="AT24265" s="247"/>
    </row>
    <row r="24266">
      <c r="C24266" s="277"/>
      <c r="M24266" s="277"/>
      <c r="O24266" s="247"/>
      <c r="AC24266" s="247"/>
      <c r="AT24266" s="247"/>
    </row>
    <row r="24267">
      <c r="C24267" s="277"/>
      <c r="M24267" s="277"/>
      <c r="O24267" s="247"/>
      <c r="AC24267" s="247"/>
      <c r="AT24267" s="247"/>
    </row>
    <row r="24268">
      <c r="C24268" s="277"/>
      <c r="M24268" s="277"/>
      <c r="O24268" s="247"/>
      <c r="AC24268" s="247"/>
      <c r="AT24268" s="247"/>
    </row>
    <row r="24269">
      <c r="C24269" s="277"/>
      <c r="M24269" s="277"/>
      <c r="O24269" s="247"/>
      <c r="AC24269" s="247"/>
      <c r="AT24269" s="247"/>
    </row>
    <row r="24270">
      <c r="C24270" s="277"/>
      <c r="M24270" s="277"/>
      <c r="O24270" s="247"/>
      <c r="AC24270" s="247"/>
      <c r="AT24270" s="247"/>
    </row>
    <row r="24271">
      <c r="C24271" s="277"/>
      <c r="M24271" s="277"/>
      <c r="O24271" s="247"/>
      <c r="AC24271" s="247"/>
      <c r="AT24271" s="247"/>
    </row>
    <row r="24272">
      <c r="C24272" s="277"/>
      <c r="M24272" s="277"/>
      <c r="O24272" s="247"/>
      <c r="AC24272" s="247"/>
      <c r="AT24272" s="247"/>
    </row>
    <row r="24273">
      <c r="C24273" s="277"/>
      <c r="M24273" s="277"/>
      <c r="O24273" s="247"/>
      <c r="AC24273" s="247"/>
      <c r="AT24273" s="247"/>
    </row>
    <row r="24274">
      <c r="C24274" s="277"/>
      <c r="M24274" s="277"/>
      <c r="O24274" s="247"/>
      <c r="AC24274" s="247"/>
      <c r="AT24274" s="247"/>
    </row>
    <row r="24275">
      <c r="C24275" s="277"/>
      <c r="M24275" s="277"/>
      <c r="O24275" s="247"/>
      <c r="AC24275" s="247"/>
      <c r="AT24275" s="247"/>
    </row>
    <row r="24276">
      <c r="C24276" s="277"/>
      <c r="M24276" s="277"/>
      <c r="O24276" s="247"/>
      <c r="AC24276" s="247"/>
      <c r="AT24276" s="247"/>
    </row>
    <row r="24277">
      <c r="C24277" s="277"/>
      <c r="M24277" s="277"/>
      <c r="O24277" s="247"/>
      <c r="AC24277" s="247"/>
      <c r="AT24277" s="247"/>
    </row>
    <row r="24278">
      <c r="C24278" s="277"/>
      <c r="M24278" s="277"/>
      <c r="O24278" s="247"/>
      <c r="AC24278" s="247"/>
      <c r="AT24278" s="247"/>
    </row>
    <row r="24279">
      <c r="C24279" s="277"/>
      <c r="M24279" s="277"/>
      <c r="O24279" s="247"/>
      <c r="AC24279" s="247"/>
      <c r="AT24279" s="247"/>
    </row>
    <row r="24280">
      <c r="C24280" s="277"/>
      <c r="M24280" s="277"/>
      <c r="O24280" s="247"/>
      <c r="AC24280" s="247"/>
      <c r="AT24280" s="247"/>
    </row>
    <row r="24281">
      <c r="C24281" s="277"/>
      <c r="M24281" s="277"/>
      <c r="O24281" s="247"/>
      <c r="AC24281" s="247"/>
      <c r="AT24281" s="247"/>
    </row>
    <row r="24282">
      <c r="C24282" s="277"/>
      <c r="M24282" s="277"/>
      <c r="O24282" s="247"/>
      <c r="AC24282" s="247"/>
      <c r="AT24282" s="247"/>
    </row>
    <row r="24283">
      <c r="C24283" s="277"/>
      <c r="M24283" s="277"/>
      <c r="O24283" s="247"/>
      <c r="AC24283" s="247"/>
      <c r="AT24283" s="247"/>
    </row>
    <row r="24284">
      <c r="C24284" s="277"/>
      <c r="M24284" s="277"/>
      <c r="O24284" s="247"/>
      <c r="AC24284" s="247"/>
      <c r="AT24284" s="247"/>
    </row>
    <row r="24285">
      <c r="C24285" s="277"/>
      <c r="M24285" s="277"/>
      <c r="O24285" s="247"/>
      <c r="AC24285" s="247"/>
      <c r="AT24285" s="247"/>
    </row>
    <row r="24286">
      <c r="C24286" s="277"/>
      <c r="M24286" s="277"/>
      <c r="O24286" s="247"/>
      <c r="AC24286" s="247"/>
      <c r="AT24286" s="247"/>
    </row>
    <row r="24287">
      <c r="C24287" s="277"/>
      <c r="M24287" s="277"/>
      <c r="O24287" s="247"/>
      <c r="AC24287" s="247"/>
      <c r="AT24287" s="247"/>
    </row>
    <row r="24288">
      <c r="C24288" s="277"/>
      <c r="M24288" s="277"/>
      <c r="O24288" s="247"/>
      <c r="AC24288" s="247"/>
      <c r="AT24288" s="247"/>
    </row>
    <row r="24289">
      <c r="C24289" s="277"/>
      <c r="M24289" s="277"/>
      <c r="O24289" s="247"/>
      <c r="AC24289" s="247"/>
      <c r="AT24289" s="247"/>
    </row>
    <row r="24290">
      <c r="C24290" s="277"/>
      <c r="M24290" s="277"/>
      <c r="O24290" s="247"/>
      <c r="AC24290" s="247"/>
      <c r="AT24290" s="247"/>
    </row>
    <row r="24291">
      <c r="C24291" s="277"/>
      <c r="M24291" s="277"/>
      <c r="O24291" s="247"/>
      <c r="AC24291" s="247"/>
      <c r="AT24291" s="247"/>
    </row>
    <row r="24292">
      <c r="C24292" s="277"/>
      <c r="M24292" s="277"/>
      <c r="O24292" s="247"/>
      <c r="AC24292" s="247"/>
      <c r="AT24292" s="247"/>
    </row>
    <row r="24293">
      <c r="C24293" s="277"/>
      <c r="M24293" s="277"/>
      <c r="O24293" s="247"/>
      <c r="AC24293" s="247"/>
      <c r="AT24293" s="247"/>
    </row>
    <row r="24294">
      <c r="C24294" s="277"/>
      <c r="M24294" s="277"/>
      <c r="O24294" s="247"/>
      <c r="AC24294" s="247"/>
      <c r="AT24294" s="247"/>
    </row>
    <row r="24295">
      <c r="C24295" s="277"/>
      <c r="M24295" s="277"/>
      <c r="O24295" s="247"/>
      <c r="AC24295" s="247"/>
      <c r="AT24295" s="247"/>
    </row>
    <row r="24296">
      <c r="C24296" s="277"/>
      <c r="M24296" s="277"/>
      <c r="O24296" s="247"/>
      <c r="AC24296" s="247"/>
      <c r="AT24296" s="247"/>
    </row>
    <row r="24297">
      <c r="C24297" s="277"/>
      <c r="M24297" s="277"/>
      <c r="O24297" s="247"/>
      <c r="AC24297" s="247"/>
      <c r="AT24297" s="247"/>
    </row>
    <row r="24298">
      <c r="C24298" s="277"/>
      <c r="M24298" s="277"/>
      <c r="O24298" s="247"/>
      <c r="AC24298" s="247"/>
      <c r="AT24298" s="247"/>
    </row>
    <row r="24299">
      <c r="C24299" s="277"/>
      <c r="M24299" s="277"/>
      <c r="O24299" s="247"/>
      <c r="AC24299" s="247"/>
      <c r="AT24299" s="247"/>
    </row>
    <row r="24300">
      <c r="C24300" s="277"/>
      <c r="M24300" s="277"/>
      <c r="O24300" s="247"/>
      <c r="AC24300" s="247"/>
      <c r="AT24300" s="247"/>
    </row>
    <row r="24301">
      <c r="C24301" s="277"/>
      <c r="M24301" s="277"/>
      <c r="O24301" s="247"/>
      <c r="AC24301" s="247"/>
      <c r="AT24301" s="247"/>
    </row>
    <row r="24302">
      <c r="C24302" s="277"/>
      <c r="M24302" s="277"/>
      <c r="O24302" s="247"/>
      <c r="AC24302" s="247"/>
      <c r="AT24302" s="247"/>
    </row>
    <row r="24303">
      <c r="C24303" s="277"/>
      <c r="M24303" s="277"/>
      <c r="O24303" s="247"/>
      <c r="AC24303" s="247"/>
      <c r="AT24303" s="247"/>
    </row>
    <row r="24304">
      <c r="C24304" s="277"/>
      <c r="M24304" s="277"/>
      <c r="O24304" s="247"/>
      <c r="AC24304" s="247"/>
      <c r="AT24304" s="247"/>
    </row>
    <row r="24305">
      <c r="C24305" s="277"/>
      <c r="M24305" s="277"/>
      <c r="O24305" s="247"/>
      <c r="AC24305" s="247"/>
      <c r="AT24305" s="247"/>
    </row>
    <row r="24306">
      <c r="C24306" s="277"/>
      <c r="M24306" s="277"/>
      <c r="O24306" s="247"/>
      <c r="AC24306" s="247"/>
      <c r="AT24306" s="247"/>
    </row>
    <row r="24307">
      <c r="C24307" s="277"/>
      <c r="M24307" s="277"/>
      <c r="O24307" s="247"/>
      <c r="AC24307" s="247"/>
      <c r="AT24307" s="247"/>
    </row>
    <row r="24308">
      <c r="C24308" s="277"/>
      <c r="M24308" s="277"/>
      <c r="O24308" s="247"/>
      <c r="AC24308" s="247"/>
      <c r="AT24308" s="247"/>
    </row>
    <row r="24309">
      <c r="C24309" s="277"/>
      <c r="M24309" s="277"/>
      <c r="O24309" s="247"/>
      <c r="AC24309" s="247"/>
      <c r="AT24309" s="247"/>
    </row>
    <row r="24310">
      <c r="C24310" s="277"/>
      <c r="M24310" s="277"/>
      <c r="O24310" s="247"/>
      <c r="AC24310" s="247"/>
      <c r="AT24310" s="247"/>
    </row>
    <row r="24311">
      <c r="C24311" s="277"/>
      <c r="M24311" s="277"/>
      <c r="O24311" s="247"/>
      <c r="AC24311" s="247"/>
      <c r="AT24311" s="247"/>
    </row>
    <row r="24312">
      <c r="C24312" s="277"/>
      <c r="M24312" s="277"/>
      <c r="O24312" s="247"/>
      <c r="AC24312" s="247"/>
      <c r="AT24312" s="247"/>
    </row>
    <row r="24313">
      <c r="C24313" s="277"/>
      <c r="M24313" s="277"/>
      <c r="O24313" s="247"/>
      <c r="AC24313" s="247"/>
      <c r="AT24313" s="247"/>
    </row>
    <row r="24314">
      <c r="C24314" s="277"/>
      <c r="M24314" s="277"/>
      <c r="O24314" s="247"/>
      <c r="AC24314" s="247"/>
      <c r="AT24314" s="247"/>
    </row>
    <row r="24315">
      <c r="C24315" s="277"/>
      <c r="M24315" s="277"/>
      <c r="O24315" s="247"/>
      <c r="AC24315" s="247"/>
      <c r="AT24315" s="247"/>
    </row>
    <row r="24316">
      <c r="C24316" s="277"/>
      <c r="M24316" s="277"/>
      <c r="O24316" s="247"/>
      <c r="AC24316" s="247"/>
      <c r="AT24316" s="247"/>
    </row>
    <row r="24317">
      <c r="C24317" s="277"/>
      <c r="M24317" s="277"/>
      <c r="O24317" s="247"/>
      <c r="AC24317" s="247"/>
      <c r="AT24317" s="247"/>
    </row>
    <row r="24318">
      <c r="C24318" s="277"/>
      <c r="M24318" s="277"/>
      <c r="O24318" s="247"/>
      <c r="AC24318" s="247"/>
      <c r="AT24318" s="247"/>
    </row>
    <row r="24319">
      <c r="C24319" s="277"/>
      <c r="M24319" s="277"/>
      <c r="O24319" s="247"/>
      <c r="AC24319" s="247"/>
      <c r="AT24319" s="247"/>
    </row>
    <row r="24320">
      <c r="C24320" s="277"/>
      <c r="M24320" s="277"/>
      <c r="O24320" s="247"/>
      <c r="AC24320" s="247"/>
      <c r="AT24320" s="247"/>
    </row>
    <row r="24321">
      <c r="C24321" s="277"/>
      <c r="M24321" s="277"/>
      <c r="O24321" s="247"/>
      <c r="AC24321" s="247"/>
      <c r="AT24321" s="247"/>
    </row>
    <row r="24322">
      <c r="C24322" s="277"/>
      <c r="M24322" s="277"/>
      <c r="O24322" s="247"/>
      <c r="AC24322" s="247"/>
      <c r="AT24322" s="247"/>
    </row>
    <row r="24323">
      <c r="C24323" s="277"/>
      <c r="M24323" s="277"/>
      <c r="O24323" s="247"/>
      <c r="AC24323" s="247"/>
      <c r="AT24323" s="247"/>
    </row>
    <row r="24324">
      <c r="C24324" s="277"/>
      <c r="M24324" s="277"/>
      <c r="O24324" s="247"/>
      <c r="AC24324" s="247"/>
      <c r="AT24324" s="247"/>
    </row>
    <row r="24325">
      <c r="C24325" s="277"/>
      <c r="M24325" s="277"/>
      <c r="O24325" s="247"/>
      <c r="AC24325" s="247"/>
      <c r="AT24325" s="247"/>
    </row>
    <row r="24326">
      <c r="C24326" s="277"/>
      <c r="M24326" s="277"/>
      <c r="O24326" s="247"/>
      <c r="AC24326" s="247"/>
      <c r="AT24326" s="247"/>
    </row>
    <row r="24327">
      <c r="C24327" s="277"/>
      <c r="M24327" s="277"/>
      <c r="O24327" s="247"/>
      <c r="AC24327" s="247"/>
      <c r="AT24327" s="247"/>
    </row>
    <row r="24328">
      <c r="C24328" s="277"/>
      <c r="M24328" s="277"/>
      <c r="O24328" s="247"/>
      <c r="AC24328" s="247"/>
      <c r="AT24328" s="247"/>
    </row>
    <row r="24329">
      <c r="C24329" s="277"/>
      <c r="M24329" s="277"/>
      <c r="O24329" s="247"/>
      <c r="AC24329" s="247"/>
      <c r="AT24329" s="247"/>
    </row>
    <row r="24330">
      <c r="C24330" s="277"/>
      <c r="M24330" s="277"/>
      <c r="O24330" s="247"/>
      <c r="AC24330" s="247"/>
      <c r="AT24330" s="247"/>
    </row>
    <row r="24331">
      <c r="C24331" s="277"/>
      <c r="M24331" s="277"/>
      <c r="O24331" s="247"/>
      <c r="AC24331" s="247"/>
      <c r="AT24331" s="247"/>
    </row>
    <row r="24332">
      <c r="C24332" s="277"/>
      <c r="M24332" s="277"/>
      <c r="O24332" s="247"/>
      <c r="AC24332" s="247"/>
      <c r="AT24332" s="247"/>
    </row>
    <row r="24333">
      <c r="C24333" s="277"/>
      <c r="M24333" s="277"/>
      <c r="O24333" s="247"/>
      <c r="AC24333" s="247"/>
      <c r="AT24333" s="247"/>
    </row>
    <row r="24334">
      <c r="C24334" s="277"/>
      <c r="M24334" s="277"/>
      <c r="O24334" s="247"/>
      <c r="AC24334" s="247"/>
      <c r="AT24334" s="247"/>
    </row>
    <row r="24335">
      <c r="C24335" s="277"/>
      <c r="M24335" s="277"/>
      <c r="O24335" s="247"/>
      <c r="AC24335" s="247"/>
      <c r="AT24335" s="247"/>
    </row>
    <row r="24336">
      <c r="C24336" s="277"/>
      <c r="M24336" s="277"/>
      <c r="O24336" s="247"/>
      <c r="AC24336" s="247"/>
      <c r="AT24336" s="247"/>
    </row>
    <row r="24337">
      <c r="C24337" s="277"/>
      <c r="M24337" s="277"/>
      <c r="O24337" s="247"/>
      <c r="AC24337" s="247"/>
      <c r="AT24337" s="247"/>
    </row>
    <row r="24338">
      <c r="C24338" s="277"/>
      <c r="M24338" s="277"/>
      <c r="O24338" s="247"/>
      <c r="AC24338" s="247"/>
      <c r="AT24338" s="247"/>
    </row>
    <row r="24339">
      <c r="C24339" s="277"/>
      <c r="M24339" s="277"/>
      <c r="O24339" s="247"/>
      <c r="AC24339" s="247"/>
      <c r="AT24339" s="247"/>
    </row>
    <row r="24340">
      <c r="C24340" s="277"/>
      <c r="M24340" s="277"/>
      <c r="O24340" s="247"/>
      <c r="AC24340" s="247"/>
      <c r="AT24340" s="247"/>
    </row>
    <row r="24341">
      <c r="C24341" s="277"/>
      <c r="M24341" s="277"/>
      <c r="O24341" s="247"/>
      <c r="AC24341" s="247"/>
      <c r="AT24341" s="247"/>
    </row>
    <row r="24342">
      <c r="C24342" s="277"/>
      <c r="M24342" s="277"/>
      <c r="O24342" s="247"/>
      <c r="AC24342" s="247"/>
      <c r="AT24342" s="247"/>
    </row>
    <row r="24343">
      <c r="C24343" s="277"/>
      <c r="M24343" s="277"/>
      <c r="O24343" s="247"/>
      <c r="AC24343" s="247"/>
      <c r="AT24343" s="247"/>
    </row>
    <row r="24344">
      <c r="C24344" s="277"/>
      <c r="M24344" s="277"/>
      <c r="O24344" s="247"/>
      <c r="AC24344" s="247"/>
      <c r="AT24344" s="247"/>
    </row>
    <row r="24345">
      <c r="C24345" s="277"/>
      <c r="M24345" s="277"/>
      <c r="O24345" s="247"/>
      <c r="AC24345" s="247"/>
      <c r="AT24345" s="247"/>
    </row>
    <row r="24346">
      <c r="C24346" s="277"/>
      <c r="M24346" s="277"/>
      <c r="O24346" s="247"/>
      <c r="AC24346" s="247"/>
      <c r="AT24346" s="247"/>
    </row>
    <row r="24347">
      <c r="C24347" s="277"/>
      <c r="M24347" s="277"/>
      <c r="O24347" s="247"/>
      <c r="AC24347" s="247"/>
      <c r="AT24347" s="247"/>
    </row>
    <row r="24348">
      <c r="C24348" s="277"/>
      <c r="M24348" s="277"/>
      <c r="O24348" s="247"/>
      <c r="AC24348" s="247"/>
      <c r="AT24348" s="247"/>
    </row>
    <row r="24349">
      <c r="C24349" s="277"/>
      <c r="M24349" s="277"/>
      <c r="O24349" s="247"/>
      <c r="AC24349" s="247"/>
      <c r="AT24349" s="247"/>
    </row>
    <row r="24350">
      <c r="C24350" s="277"/>
      <c r="M24350" s="277"/>
      <c r="O24350" s="247"/>
      <c r="AC24350" s="247"/>
      <c r="AT24350" s="247"/>
    </row>
    <row r="24351">
      <c r="C24351" s="277"/>
      <c r="M24351" s="277"/>
      <c r="O24351" s="247"/>
      <c r="AC24351" s="247"/>
      <c r="AT24351" s="247"/>
    </row>
    <row r="24352">
      <c r="C24352" s="277"/>
      <c r="M24352" s="277"/>
      <c r="O24352" s="247"/>
      <c r="AC24352" s="247"/>
      <c r="AT24352" s="247"/>
    </row>
    <row r="24353">
      <c r="C24353" s="277"/>
      <c r="M24353" s="277"/>
      <c r="O24353" s="247"/>
      <c r="AC24353" s="247"/>
      <c r="AT24353" s="247"/>
    </row>
    <row r="24354">
      <c r="C24354" s="277"/>
      <c r="M24354" s="277"/>
      <c r="O24354" s="247"/>
      <c r="AC24354" s="247"/>
      <c r="AT24354" s="247"/>
    </row>
    <row r="24355">
      <c r="C24355" s="277"/>
      <c r="M24355" s="277"/>
      <c r="O24355" s="247"/>
      <c r="AC24355" s="247"/>
      <c r="AT24355" s="247"/>
    </row>
    <row r="24356">
      <c r="C24356" s="277"/>
      <c r="M24356" s="277"/>
      <c r="O24356" s="247"/>
      <c r="AC24356" s="247"/>
      <c r="AT24356" s="247"/>
    </row>
    <row r="24357">
      <c r="C24357" s="277"/>
      <c r="M24357" s="277"/>
      <c r="O24357" s="247"/>
      <c r="AC24357" s="247"/>
      <c r="AT24357" s="247"/>
    </row>
    <row r="24358">
      <c r="C24358" s="277"/>
      <c r="M24358" s="277"/>
      <c r="O24358" s="247"/>
      <c r="AC24358" s="247"/>
      <c r="AT24358" s="247"/>
    </row>
    <row r="24359">
      <c r="C24359" s="277"/>
      <c r="M24359" s="277"/>
      <c r="O24359" s="247"/>
      <c r="AC24359" s="247"/>
      <c r="AT24359" s="247"/>
    </row>
    <row r="24360">
      <c r="C24360" s="277"/>
      <c r="M24360" s="277"/>
      <c r="O24360" s="247"/>
      <c r="AC24360" s="247"/>
      <c r="AT24360" s="247"/>
    </row>
    <row r="24361">
      <c r="C24361" s="277"/>
      <c r="M24361" s="277"/>
      <c r="O24361" s="247"/>
      <c r="AC24361" s="247"/>
      <c r="AT24361" s="247"/>
    </row>
    <row r="24362">
      <c r="C24362" s="277"/>
      <c r="M24362" s="277"/>
      <c r="O24362" s="247"/>
      <c r="AC24362" s="247"/>
      <c r="AT24362" s="247"/>
    </row>
    <row r="24363">
      <c r="C24363" s="277"/>
      <c r="M24363" s="277"/>
      <c r="O24363" s="247"/>
      <c r="AC24363" s="247"/>
      <c r="AT24363" s="247"/>
    </row>
    <row r="24364">
      <c r="C24364" s="277"/>
      <c r="M24364" s="277"/>
      <c r="O24364" s="247"/>
      <c r="AC24364" s="247"/>
      <c r="AT24364" s="247"/>
    </row>
    <row r="24365">
      <c r="C24365" s="277"/>
      <c r="M24365" s="277"/>
      <c r="O24365" s="247"/>
      <c r="AC24365" s="247"/>
      <c r="AT24365" s="247"/>
    </row>
    <row r="24366">
      <c r="C24366" s="277"/>
      <c r="M24366" s="277"/>
      <c r="O24366" s="247"/>
      <c r="AC24366" s="247"/>
      <c r="AT24366" s="247"/>
    </row>
    <row r="24367">
      <c r="C24367" s="277"/>
      <c r="M24367" s="277"/>
      <c r="O24367" s="247"/>
      <c r="AC24367" s="247"/>
      <c r="AT24367" s="247"/>
    </row>
    <row r="24368">
      <c r="C24368" s="277"/>
      <c r="M24368" s="277"/>
      <c r="O24368" s="247"/>
      <c r="AC24368" s="247"/>
      <c r="AT24368" s="247"/>
    </row>
    <row r="24369">
      <c r="C24369" s="277"/>
      <c r="M24369" s="277"/>
      <c r="O24369" s="247"/>
      <c r="AC24369" s="247"/>
      <c r="AT24369" s="247"/>
    </row>
    <row r="24370">
      <c r="C24370" s="277"/>
      <c r="M24370" s="277"/>
      <c r="O24370" s="247"/>
      <c r="AC24370" s="247"/>
      <c r="AT24370" s="247"/>
    </row>
    <row r="24371">
      <c r="C24371" s="277"/>
      <c r="M24371" s="277"/>
      <c r="O24371" s="247"/>
      <c r="AC24371" s="247"/>
      <c r="AT24371" s="247"/>
    </row>
    <row r="24372">
      <c r="C24372" s="277"/>
      <c r="M24372" s="277"/>
      <c r="O24372" s="247"/>
      <c r="AC24372" s="247"/>
      <c r="AT24372" s="247"/>
    </row>
    <row r="24373">
      <c r="C24373" s="277"/>
      <c r="M24373" s="277"/>
      <c r="O24373" s="247"/>
      <c r="AC24373" s="247"/>
      <c r="AT24373" s="247"/>
    </row>
    <row r="24374">
      <c r="C24374" s="277"/>
      <c r="M24374" s="277"/>
      <c r="O24374" s="247"/>
      <c r="AC24374" s="247"/>
      <c r="AT24374" s="247"/>
    </row>
    <row r="24375">
      <c r="C24375" s="277"/>
      <c r="M24375" s="277"/>
      <c r="O24375" s="247"/>
      <c r="AC24375" s="247"/>
      <c r="AT24375" s="247"/>
    </row>
    <row r="24376">
      <c r="C24376" s="277"/>
      <c r="M24376" s="277"/>
      <c r="O24376" s="247"/>
      <c r="AC24376" s="247"/>
      <c r="AT24376" s="247"/>
    </row>
    <row r="24377">
      <c r="C24377" s="277"/>
      <c r="M24377" s="277"/>
      <c r="O24377" s="247"/>
      <c r="AC24377" s="247"/>
      <c r="AT24377" s="247"/>
    </row>
    <row r="24378">
      <c r="C24378" s="277"/>
      <c r="M24378" s="277"/>
      <c r="O24378" s="247"/>
      <c r="AC24378" s="247"/>
      <c r="AT24378" s="247"/>
    </row>
    <row r="24379">
      <c r="C24379" s="277"/>
      <c r="M24379" s="277"/>
      <c r="O24379" s="247"/>
      <c r="AC24379" s="247"/>
      <c r="AT24379" s="247"/>
    </row>
    <row r="24380">
      <c r="C24380" s="277"/>
      <c r="M24380" s="277"/>
      <c r="O24380" s="247"/>
      <c r="AC24380" s="247"/>
      <c r="AT24380" s="247"/>
    </row>
    <row r="24381">
      <c r="C24381" s="277"/>
      <c r="M24381" s="277"/>
      <c r="O24381" s="247"/>
      <c r="AC24381" s="247"/>
      <c r="AT24381" s="247"/>
    </row>
    <row r="24382">
      <c r="C24382" s="277"/>
      <c r="M24382" s="277"/>
      <c r="O24382" s="247"/>
      <c r="AC24382" s="247"/>
      <c r="AT24382" s="247"/>
    </row>
    <row r="24383">
      <c r="C24383" s="277"/>
      <c r="M24383" s="277"/>
      <c r="O24383" s="247"/>
      <c r="AC24383" s="247"/>
      <c r="AT24383" s="247"/>
    </row>
    <row r="24384">
      <c r="C24384" s="277"/>
      <c r="M24384" s="277"/>
      <c r="O24384" s="247"/>
      <c r="AC24384" s="247"/>
      <c r="AT24384" s="247"/>
    </row>
    <row r="24385">
      <c r="C24385" s="277"/>
      <c r="M24385" s="277"/>
      <c r="O24385" s="247"/>
      <c r="AC24385" s="247"/>
      <c r="AT24385" s="247"/>
    </row>
    <row r="24386">
      <c r="C24386" s="277"/>
      <c r="M24386" s="277"/>
      <c r="O24386" s="247"/>
      <c r="AC24386" s="247"/>
      <c r="AT24386" s="247"/>
    </row>
    <row r="24387">
      <c r="C24387" s="277"/>
      <c r="M24387" s="277"/>
      <c r="O24387" s="247"/>
      <c r="AC24387" s="247"/>
      <c r="AT24387" s="247"/>
    </row>
    <row r="24388">
      <c r="C24388" s="277"/>
      <c r="M24388" s="277"/>
      <c r="O24388" s="247"/>
      <c r="AC24388" s="247"/>
      <c r="AT24388" s="247"/>
    </row>
    <row r="24389">
      <c r="C24389" s="277"/>
      <c r="M24389" s="277"/>
      <c r="O24389" s="247"/>
      <c r="AC24389" s="247"/>
      <c r="AT24389" s="247"/>
    </row>
    <row r="24390">
      <c r="C24390" s="277"/>
      <c r="M24390" s="277"/>
      <c r="O24390" s="247"/>
      <c r="AC24390" s="247"/>
      <c r="AT24390" s="247"/>
    </row>
    <row r="24391">
      <c r="C24391" s="277"/>
      <c r="M24391" s="277"/>
      <c r="O24391" s="247"/>
      <c r="AC24391" s="247"/>
      <c r="AT24391" s="247"/>
    </row>
    <row r="24392">
      <c r="C24392" s="277"/>
      <c r="M24392" s="277"/>
      <c r="O24392" s="247"/>
      <c r="AC24392" s="247"/>
      <c r="AT24392" s="247"/>
    </row>
    <row r="24393">
      <c r="C24393" s="277"/>
      <c r="M24393" s="277"/>
      <c r="O24393" s="247"/>
      <c r="AC24393" s="247"/>
      <c r="AT24393" s="247"/>
    </row>
    <row r="24394">
      <c r="C24394" s="277"/>
      <c r="M24394" s="277"/>
      <c r="O24394" s="247"/>
      <c r="AC24394" s="247"/>
      <c r="AT24394" s="247"/>
    </row>
    <row r="24395">
      <c r="C24395" s="277"/>
      <c r="M24395" s="277"/>
      <c r="O24395" s="247"/>
      <c r="AC24395" s="247"/>
      <c r="AT24395" s="247"/>
    </row>
    <row r="24396">
      <c r="C24396" s="277"/>
      <c r="M24396" s="277"/>
      <c r="O24396" s="247"/>
      <c r="AC24396" s="247"/>
      <c r="AT24396" s="247"/>
    </row>
    <row r="24397">
      <c r="C24397" s="277"/>
      <c r="M24397" s="277"/>
      <c r="O24397" s="247"/>
      <c r="AC24397" s="247"/>
      <c r="AT24397" s="247"/>
    </row>
    <row r="24398">
      <c r="C24398" s="277"/>
      <c r="M24398" s="277"/>
      <c r="O24398" s="247"/>
      <c r="AC24398" s="247"/>
      <c r="AT24398" s="247"/>
    </row>
    <row r="24399">
      <c r="C24399" s="277"/>
      <c r="M24399" s="277"/>
      <c r="O24399" s="247"/>
      <c r="AC24399" s="247"/>
      <c r="AT24399" s="247"/>
    </row>
    <row r="24400">
      <c r="C24400" s="277"/>
      <c r="M24400" s="277"/>
      <c r="O24400" s="247"/>
      <c r="AC24400" s="247"/>
      <c r="AT24400" s="247"/>
    </row>
    <row r="24401">
      <c r="C24401" s="277"/>
      <c r="M24401" s="277"/>
      <c r="O24401" s="247"/>
      <c r="AC24401" s="247"/>
      <c r="AT24401" s="247"/>
    </row>
    <row r="24402">
      <c r="C24402" s="277"/>
      <c r="M24402" s="277"/>
      <c r="O24402" s="247"/>
      <c r="AC24402" s="247"/>
      <c r="AT24402" s="247"/>
    </row>
    <row r="24403">
      <c r="C24403" s="277"/>
      <c r="M24403" s="277"/>
      <c r="O24403" s="247"/>
      <c r="AC24403" s="247"/>
      <c r="AT24403" s="247"/>
    </row>
    <row r="24404">
      <c r="C24404" s="277"/>
      <c r="M24404" s="277"/>
      <c r="O24404" s="247"/>
      <c r="AC24404" s="247"/>
      <c r="AT24404" s="247"/>
    </row>
    <row r="24405">
      <c r="C24405" s="277"/>
      <c r="M24405" s="277"/>
      <c r="O24405" s="247"/>
      <c r="AC24405" s="247"/>
      <c r="AT24405" s="247"/>
    </row>
    <row r="24406">
      <c r="C24406" s="277"/>
      <c r="M24406" s="277"/>
      <c r="O24406" s="247"/>
      <c r="AC24406" s="247"/>
      <c r="AT24406" s="247"/>
    </row>
    <row r="24407">
      <c r="C24407" s="277"/>
      <c r="M24407" s="277"/>
      <c r="O24407" s="247"/>
      <c r="AC24407" s="247"/>
      <c r="AT24407" s="247"/>
    </row>
    <row r="24408">
      <c r="C24408" s="277"/>
      <c r="M24408" s="277"/>
      <c r="O24408" s="247"/>
      <c r="AC24408" s="247"/>
      <c r="AT24408" s="247"/>
    </row>
    <row r="24409">
      <c r="C24409" s="277"/>
      <c r="M24409" s="277"/>
      <c r="O24409" s="247"/>
      <c r="AC24409" s="247"/>
      <c r="AT24409" s="247"/>
    </row>
    <row r="24410">
      <c r="C24410" s="277"/>
      <c r="M24410" s="277"/>
      <c r="O24410" s="247"/>
      <c r="AC24410" s="247"/>
      <c r="AT24410" s="247"/>
    </row>
    <row r="24411">
      <c r="C24411" s="277"/>
      <c r="M24411" s="277"/>
      <c r="O24411" s="247"/>
      <c r="AC24411" s="247"/>
      <c r="AT24411" s="247"/>
    </row>
    <row r="24412">
      <c r="C24412" s="277"/>
      <c r="M24412" s="277"/>
      <c r="O24412" s="247"/>
      <c r="AC24412" s="247"/>
      <c r="AT24412" s="247"/>
    </row>
    <row r="24413">
      <c r="C24413" s="277"/>
      <c r="M24413" s="277"/>
      <c r="O24413" s="247"/>
      <c r="AC24413" s="247"/>
      <c r="AT24413" s="247"/>
    </row>
    <row r="24414">
      <c r="C24414" s="277"/>
      <c r="M24414" s="277"/>
      <c r="O24414" s="247"/>
      <c r="AC24414" s="247"/>
      <c r="AT24414" s="247"/>
    </row>
    <row r="24415">
      <c r="C24415" s="277"/>
      <c r="M24415" s="277"/>
      <c r="O24415" s="247"/>
      <c r="AC24415" s="247"/>
      <c r="AT24415" s="247"/>
    </row>
    <row r="24416">
      <c r="C24416" s="277"/>
      <c r="M24416" s="277"/>
      <c r="O24416" s="247"/>
      <c r="AC24416" s="247"/>
      <c r="AT24416" s="247"/>
    </row>
    <row r="24417">
      <c r="C24417" s="277"/>
      <c r="M24417" s="277"/>
      <c r="O24417" s="247"/>
      <c r="AC24417" s="247"/>
      <c r="AT24417" s="247"/>
    </row>
    <row r="24418">
      <c r="C24418" s="277"/>
      <c r="M24418" s="277"/>
      <c r="O24418" s="247"/>
      <c r="AC24418" s="247"/>
      <c r="AT24418" s="247"/>
    </row>
    <row r="24419">
      <c r="C24419" s="277"/>
      <c r="M24419" s="277"/>
      <c r="O24419" s="247"/>
      <c r="AC24419" s="247"/>
      <c r="AT24419" s="247"/>
    </row>
    <row r="24420">
      <c r="C24420" s="277"/>
      <c r="M24420" s="277"/>
      <c r="O24420" s="247"/>
      <c r="AC24420" s="247"/>
      <c r="AT24420" s="247"/>
    </row>
    <row r="24421">
      <c r="C24421" s="277"/>
      <c r="M24421" s="277"/>
      <c r="O24421" s="247"/>
      <c r="AC24421" s="247"/>
      <c r="AT24421" s="247"/>
    </row>
    <row r="24422">
      <c r="C24422" s="277"/>
      <c r="M24422" s="277"/>
      <c r="O24422" s="247"/>
      <c r="AC24422" s="247"/>
      <c r="AT24422" s="247"/>
    </row>
    <row r="24423">
      <c r="C24423" s="277"/>
      <c r="M24423" s="277"/>
      <c r="O24423" s="247"/>
      <c r="AC24423" s="247"/>
      <c r="AT24423" s="247"/>
    </row>
    <row r="24424">
      <c r="C24424" s="277"/>
      <c r="M24424" s="277"/>
      <c r="O24424" s="247"/>
      <c r="AC24424" s="247"/>
      <c r="AT24424" s="247"/>
    </row>
    <row r="24425">
      <c r="C24425" s="277"/>
      <c r="M24425" s="277"/>
      <c r="O24425" s="247"/>
      <c r="AC24425" s="247"/>
      <c r="AT24425" s="247"/>
    </row>
    <row r="24426">
      <c r="C24426" s="277"/>
      <c r="M24426" s="277"/>
      <c r="O24426" s="247"/>
      <c r="AC24426" s="247"/>
      <c r="AT24426" s="247"/>
    </row>
    <row r="24427">
      <c r="C24427" s="277"/>
      <c r="M24427" s="277"/>
      <c r="O24427" s="247"/>
      <c r="AC24427" s="247"/>
      <c r="AT24427" s="247"/>
    </row>
    <row r="24428">
      <c r="C24428" s="277"/>
      <c r="M24428" s="277"/>
      <c r="O24428" s="247"/>
      <c r="AC24428" s="247"/>
      <c r="AT24428" s="247"/>
    </row>
    <row r="24429">
      <c r="C24429" s="277"/>
      <c r="M24429" s="277"/>
      <c r="O24429" s="247"/>
      <c r="AC24429" s="247"/>
      <c r="AT24429" s="247"/>
    </row>
    <row r="24430">
      <c r="C24430" s="277"/>
      <c r="M24430" s="277"/>
      <c r="O24430" s="247"/>
      <c r="AC24430" s="247"/>
      <c r="AT24430" s="247"/>
    </row>
    <row r="24431">
      <c r="C24431" s="277"/>
      <c r="M24431" s="277"/>
      <c r="O24431" s="247"/>
      <c r="AC24431" s="247"/>
      <c r="AT24431" s="247"/>
    </row>
    <row r="24432">
      <c r="C24432" s="277"/>
      <c r="M24432" s="277"/>
      <c r="O24432" s="247"/>
      <c r="AC24432" s="247"/>
      <c r="AT24432" s="247"/>
    </row>
    <row r="24433">
      <c r="C24433" s="277"/>
      <c r="M24433" s="277"/>
      <c r="O24433" s="247"/>
      <c r="AC24433" s="247"/>
      <c r="AT24433" s="247"/>
    </row>
    <row r="24434">
      <c r="C24434" s="277"/>
      <c r="M24434" s="277"/>
      <c r="O24434" s="247"/>
      <c r="AC24434" s="247"/>
      <c r="AT24434" s="247"/>
    </row>
    <row r="24435">
      <c r="C24435" s="277"/>
      <c r="M24435" s="277"/>
      <c r="O24435" s="247"/>
      <c r="AC24435" s="247"/>
      <c r="AT24435" s="247"/>
    </row>
    <row r="24436">
      <c r="C24436" s="277"/>
      <c r="M24436" s="277"/>
      <c r="O24436" s="247"/>
      <c r="AC24436" s="247"/>
      <c r="AT24436" s="247"/>
    </row>
    <row r="24437">
      <c r="C24437" s="277"/>
      <c r="M24437" s="277"/>
      <c r="O24437" s="247"/>
      <c r="AC24437" s="247"/>
      <c r="AT24437" s="247"/>
    </row>
    <row r="24438">
      <c r="C24438" s="277"/>
      <c r="M24438" s="277"/>
      <c r="O24438" s="247"/>
      <c r="AC24438" s="247"/>
      <c r="AT24438" s="247"/>
    </row>
    <row r="24439">
      <c r="C24439" s="277"/>
      <c r="M24439" s="277"/>
      <c r="O24439" s="247"/>
      <c r="AC24439" s="247"/>
      <c r="AT24439" s="247"/>
    </row>
    <row r="24440">
      <c r="C24440" s="277"/>
      <c r="M24440" s="277"/>
      <c r="O24440" s="247"/>
      <c r="AC24440" s="247"/>
      <c r="AT24440" s="247"/>
    </row>
    <row r="24441">
      <c r="C24441" s="277"/>
      <c r="M24441" s="277"/>
      <c r="O24441" s="247"/>
      <c r="AC24441" s="247"/>
      <c r="AT24441" s="247"/>
    </row>
    <row r="24442">
      <c r="C24442" s="277"/>
      <c r="M24442" s="277"/>
      <c r="O24442" s="247"/>
      <c r="AC24442" s="247"/>
      <c r="AT24442" s="247"/>
    </row>
    <row r="24443">
      <c r="C24443" s="277"/>
      <c r="M24443" s="277"/>
      <c r="O24443" s="247"/>
      <c r="AC24443" s="247"/>
      <c r="AT24443" s="247"/>
    </row>
    <row r="24444">
      <c r="C24444" s="277"/>
      <c r="M24444" s="277"/>
      <c r="O24444" s="247"/>
      <c r="AC24444" s="247"/>
      <c r="AT24444" s="247"/>
    </row>
    <row r="24445">
      <c r="C24445" s="277"/>
      <c r="M24445" s="277"/>
      <c r="O24445" s="247"/>
      <c r="AC24445" s="247"/>
      <c r="AT24445" s="247"/>
    </row>
    <row r="24446">
      <c r="C24446" s="277"/>
      <c r="M24446" s="277"/>
      <c r="O24446" s="247"/>
      <c r="AC24446" s="247"/>
      <c r="AT24446" s="247"/>
    </row>
    <row r="24447">
      <c r="C24447" s="277"/>
      <c r="M24447" s="277"/>
      <c r="O24447" s="247"/>
      <c r="AC24447" s="247"/>
      <c r="AT24447" s="247"/>
    </row>
    <row r="24448">
      <c r="C24448" s="277"/>
      <c r="M24448" s="277"/>
      <c r="O24448" s="247"/>
      <c r="AC24448" s="247"/>
      <c r="AT24448" s="247"/>
    </row>
    <row r="24449">
      <c r="C24449" s="277"/>
      <c r="M24449" s="277"/>
      <c r="O24449" s="247"/>
      <c r="AC24449" s="247"/>
      <c r="AT24449" s="247"/>
    </row>
    <row r="24450">
      <c r="C24450" s="277"/>
      <c r="M24450" s="277"/>
      <c r="O24450" s="247"/>
      <c r="AC24450" s="247"/>
      <c r="AT24450" s="247"/>
    </row>
    <row r="24451">
      <c r="C24451" s="277"/>
      <c r="M24451" s="277"/>
      <c r="O24451" s="247"/>
      <c r="AC24451" s="247"/>
      <c r="AT24451" s="247"/>
    </row>
    <row r="24452">
      <c r="C24452" s="277"/>
      <c r="M24452" s="277"/>
      <c r="O24452" s="247"/>
      <c r="AC24452" s="247"/>
      <c r="AT24452" s="247"/>
    </row>
    <row r="24453">
      <c r="C24453" s="277"/>
      <c r="M24453" s="277"/>
      <c r="O24453" s="247"/>
      <c r="AC24453" s="247"/>
      <c r="AT24453" s="247"/>
    </row>
    <row r="24454">
      <c r="C24454" s="277"/>
      <c r="M24454" s="277"/>
      <c r="O24454" s="247"/>
      <c r="AC24454" s="247"/>
      <c r="AT24454" s="247"/>
    </row>
    <row r="24455">
      <c r="C24455" s="277"/>
      <c r="M24455" s="277"/>
      <c r="O24455" s="247"/>
      <c r="AC24455" s="247"/>
      <c r="AT24455" s="247"/>
    </row>
    <row r="24456">
      <c r="C24456" s="277"/>
      <c r="M24456" s="277"/>
      <c r="O24456" s="247"/>
      <c r="AC24456" s="247"/>
      <c r="AT24456" s="247"/>
    </row>
    <row r="24457">
      <c r="C24457" s="277"/>
      <c r="M24457" s="277"/>
      <c r="O24457" s="247"/>
      <c r="AC24457" s="247"/>
      <c r="AT24457" s="247"/>
    </row>
    <row r="24458">
      <c r="C24458" s="277"/>
      <c r="M24458" s="277"/>
      <c r="O24458" s="247"/>
      <c r="AC24458" s="247"/>
      <c r="AT24458" s="247"/>
    </row>
    <row r="24459">
      <c r="C24459" s="277"/>
      <c r="M24459" s="277"/>
      <c r="O24459" s="247"/>
      <c r="AC24459" s="247"/>
      <c r="AT24459" s="247"/>
    </row>
    <row r="24460">
      <c r="C24460" s="277"/>
      <c r="M24460" s="277"/>
      <c r="O24460" s="247"/>
      <c r="AC24460" s="247"/>
      <c r="AT24460" s="247"/>
    </row>
    <row r="24461">
      <c r="C24461" s="277"/>
      <c r="M24461" s="277"/>
      <c r="O24461" s="247"/>
      <c r="AC24461" s="247"/>
      <c r="AT24461" s="247"/>
    </row>
    <row r="24462">
      <c r="C24462" s="277"/>
      <c r="M24462" s="277"/>
      <c r="O24462" s="247"/>
      <c r="AC24462" s="247"/>
      <c r="AT24462" s="247"/>
    </row>
    <row r="24463">
      <c r="C24463" s="277"/>
      <c r="M24463" s="277"/>
      <c r="O24463" s="247"/>
      <c r="AC24463" s="247"/>
      <c r="AT24463" s="247"/>
    </row>
    <row r="24464">
      <c r="C24464" s="277"/>
      <c r="M24464" s="277"/>
      <c r="O24464" s="247"/>
      <c r="AC24464" s="247"/>
      <c r="AT24464" s="247"/>
    </row>
    <row r="24465">
      <c r="C24465" s="277"/>
      <c r="M24465" s="277"/>
      <c r="O24465" s="247"/>
      <c r="AC24465" s="247"/>
      <c r="AT24465" s="247"/>
    </row>
    <row r="24466">
      <c r="C24466" s="277"/>
      <c r="M24466" s="277"/>
      <c r="O24466" s="247"/>
      <c r="AC24466" s="247"/>
      <c r="AT24466" s="247"/>
    </row>
    <row r="24467">
      <c r="C24467" s="277"/>
      <c r="M24467" s="277"/>
      <c r="O24467" s="247"/>
      <c r="AC24467" s="247"/>
      <c r="AT24467" s="247"/>
    </row>
    <row r="24468">
      <c r="C24468" s="277"/>
      <c r="M24468" s="277"/>
      <c r="O24468" s="247"/>
      <c r="AC24468" s="247"/>
      <c r="AT24468" s="247"/>
    </row>
    <row r="24469">
      <c r="C24469" s="277"/>
      <c r="M24469" s="277"/>
      <c r="O24469" s="247"/>
      <c r="AC24469" s="247"/>
      <c r="AT24469" s="247"/>
    </row>
    <row r="24470">
      <c r="C24470" s="277"/>
      <c r="M24470" s="277"/>
      <c r="O24470" s="247"/>
      <c r="AC24470" s="247"/>
      <c r="AT24470" s="247"/>
    </row>
    <row r="24471">
      <c r="C24471" s="277"/>
      <c r="M24471" s="277"/>
      <c r="O24471" s="247"/>
      <c r="AC24471" s="247"/>
      <c r="AT24471" s="247"/>
    </row>
    <row r="24472">
      <c r="C24472" s="277"/>
      <c r="M24472" s="277"/>
      <c r="O24472" s="247"/>
      <c r="AC24472" s="247"/>
      <c r="AT24472" s="247"/>
    </row>
    <row r="24473">
      <c r="C24473" s="277"/>
      <c r="M24473" s="277"/>
      <c r="O24473" s="247"/>
      <c r="AC24473" s="247"/>
      <c r="AT24473" s="247"/>
    </row>
    <row r="24474">
      <c r="C24474" s="277"/>
      <c r="M24474" s="277"/>
      <c r="O24474" s="247"/>
      <c r="AC24474" s="247"/>
      <c r="AT24474" s="247"/>
    </row>
    <row r="24475">
      <c r="C24475" s="277"/>
      <c r="M24475" s="277"/>
      <c r="O24475" s="247"/>
      <c r="AC24475" s="247"/>
      <c r="AT24475" s="247"/>
    </row>
    <row r="24476">
      <c r="C24476" s="277"/>
      <c r="M24476" s="277"/>
      <c r="O24476" s="247"/>
      <c r="AC24476" s="247"/>
      <c r="AT24476" s="247"/>
    </row>
    <row r="24477">
      <c r="C24477" s="277"/>
      <c r="M24477" s="277"/>
      <c r="O24477" s="247"/>
      <c r="AC24477" s="247"/>
      <c r="AT24477" s="247"/>
    </row>
    <row r="24478">
      <c r="C24478" s="277"/>
      <c r="M24478" s="277"/>
      <c r="O24478" s="247"/>
      <c r="AC24478" s="247"/>
      <c r="AT24478" s="247"/>
    </row>
    <row r="24479">
      <c r="C24479" s="277"/>
      <c r="M24479" s="277"/>
      <c r="O24479" s="247"/>
      <c r="AC24479" s="247"/>
      <c r="AT24479" s="247"/>
    </row>
    <row r="24480">
      <c r="C24480" s="277"/>
      <c r="M24480" s="277"/>
      <c r="O24480" s="247"/>
      <c r="AC24480" s="247"/>
      <c r="AT24480" s="247"/>
    </row>
    <row r="24481">
      <c r="C24481" s="277"/>
      <c r="M24481" s="277"/>
      <c r="O24481" s="247"/>
      <c r="AC24481" s="247"/>
      <c r="AT24481" s="247"/>
    </row>
    <row r="24482">
      <c r="C24482" s="277"/>
      <c r="M24482" s="277"/>
      <c r="O24482" s="247"/>
      <c r="AC24482" s="247"/>
      <c r="AT24482" s="247"/>
    </row>
    <row r="24483">
      <c r="C24483" s="277"/>
      <c r="M24483" s="277"/>
      <c r="O24483" s="247"/>
      <c r="AC24483" s="247"/>
      <c r="AT24483" s="247"/>
    </row>
    <row r="24484">
      <c r="C24484" s="277"/>
      <c r="M24484" s="277"/>
      <c r="O24484" s="247"/>
      <c r="AC24484" s="247"/>
      <c r="AT24484" s="247"/>
    </row>
    <row r="24485">
      <c r="C24485" s="277"/>
      <c r="M24485" s="277"/>
      <c r="O24485" s="247"/>
      <c r="AC24485" s="247"/>
      <c r="AT24485" s="247"/>
    </row>
    <row r="24486">
      <c r="C24486" s="277"/>
      <c r="M24486" s="277"/>
      <c r="O24486" s="247"/>
      <c r="AC24486" s="247"/>
      <c r="AT24486" s="247"/>
    </row>
    <row r="24487">
      <c r="C24487" s="277"/>
      <c r="M24487" s="277"/>
      <c r="O24487" s="247"/>
      <c r="AC24487" s="247"/>
      <c r="AT24487" s="247"/>
    </row>
    <row r="24488">
      <c r="C24488" s="277"/>
      <c r="M24488" s="277"/>
      <c r="O24488" s="247"/>
      <c r="AC24488" s="247"/>
      <c r="AT24488" s="247"/>
    </row>
    <row r="24489">
      <c r="C24489" s="277"/>
      <c r="M24489" s="277"/>
      <c r="O24489" s="247"/>
      <c r="AC24489" s="247"/>
      <c r="AT24489" s="247"/>
    </row>
    <row r="24490">
      <c r="C24490" s="277"/>
      <c r="M24490" s="277"/>
      <c r="O24490" s="247"/>
      <c r="AC24490" s="247"/>
      <c r="AT24490" s="247"/>
    </row>
    <row r="24491">
      <c r="C24491" s="277"/>
      <c r="M24491" s="277"/>
      <c r="O24491" s="247"/>
      <c r="AC24491" s="247"/>
      <c r="AT24491" s="247"/>
    </row>
    <row r="24492">
      <c r="C24492" s="277"/>
      <c r="M24492" s="277"/>
      <c r="O24492" s="247"/>
      <c r="AC24492" s="247"/>
      <c r="AT24492" s="247"/>
    </row>
    <row r="24493">
      <c r="C24493" s="277"/>
      <c r="M24493" s="277"/>
      <c r="O24493" s="247"/>
      <c r="AC24493" s="247"/>
      <c r="AT24493" s="247"/>
    </row>
    <row r="24494">
      <c r="C24494" s="277"/>
      <c r="M24494" s="277"/>
      <c r="O24494" s="247"/>
      <c r="AC24494" s="247"/>
      <c r="AT24494" s="247"/>
    </row>
    <row r="24495">
      <c r="C24495" s="277"/>
      <c r="M24495" s="277"/>
      <c r="O24495" s="247"/>
      <c r="AC24495" s="247"/>
      <c r="AT24495" s="247"/>
    </row>
    <row r="24496">
      <c r="C24496" s="277"/>
      <c r="M24496" s="277"/>
      <c r="O24496" s="247"/>
      <c r="AC24496" s="247"/>
      <c r="AT24496" s="247"/>
    </row>
    <row r="24497">
      <c r="C24497" s="277"/>
      <c r="M24497" s="277"/>
      <c r="O24497" s="247"/>
      <c r="AC24497" s="247"/>
      <c r="AT24497" s="247"/>
    </row>
    <row r="24498">
      <c r="C24498" s="277"/>
      <c r="M24498" s="277"/>
      <c r="O24498" s="247"/>
      <c r="AC24498" s="247"/>
      <c r="AT24498" s="247"/>
    </row>
    <row r="24499">
      <c r="C24499" s="277"/>
      <c r="M24499" s="277"/>
      <c r="O24499" s="247"/>
      <c r="AC24499" s="247"/>
      <c r="AT24499" s="247"/>
    </row>
    <row r="24500">
      <c r="C24500" s="277"/>
      <c r="M24500" s="277"/>
      <c r="O24500" s="247"/>
      <c r="AC24500" s="247"/>
      <c r="AT24500" s="247"/>
    </row>
    <row r="24501">
      <c r="C24501" s="277"/>
      <c r="M24501" s="277"/>
      <c r="O24501" s="247"/>
      <c r="AC24501" s="247"/>
      <c r="AT24501" s="247"/>
    </row>
    <row r="24502">
      <c r="C24502" s="277"/>
      <c r="M24502" s="277"/>
      <c r="O24502" s="247"/>
      <c r="AC24502" s="247"/>
      <c r="AT24502" s="247"/>
    </row>
    <row r="24503">
      <c r="C24503" s="277"/>
      <c r="M24503" s="277"/>
      <c r="O24503" s="247"/>
      <c r="AC24503" s="247"/>
      <c r="AT24503" s="247"/>
    </row>
    <row r="24504">
      <c r="C24504" s="277"/>
      <c r="M24504" s="277"/>
      <c r="O24504" s="247"/>
      <c r="AC24504" s="247"/>
      <c r="AT24504" s="247"/>
    </row>
    <row r="24505">
      <c r="C24505" s="277"/>
      <c r="M24505" s="277"/>
      <c r="O24505" s="247"/>
      <c r="AC24505" s="247"/>
      <c r="AT24505" s="247"/>
    </row>
    <row r="24506">
      <c r="C24506" s="277"/>
      <c r="M24506" s="277"/>
      <c r="O24506" s="247"/>
      <c r="AC24506" s="247"/>
      <c r="AT24506" s="247"/>
    </row>
    <row r="24507">
      <c r="C24507" s="277"/>
      <c r="M24507" s="277"/>
      <c r="O24507" s="247"/>
      <c r="AC24507" s="247"/>
      <c r="AT24507" s="247"/>
    </row>
    <row r="24508">
      <c r="C24508" s="277"/>
      <c r="M24508" s="277"/>
      <c r="O24508" s="247"/>
      <c r="AC24508" s="247"/>
      <c r="AT24508" s="247"/>
    </row>
    <row r="24509">
      <c r="C24509" s="277"/>
      <c r="M24509" s="277"/>
      <c r="O24509" s="247"/>
      <c r="AC24509" s="247"/>
      <c r="AT24509" s="247"/>
    </row>
    <row r="24510">
      <c r="C24510" s="277"/>
      <c r="M24510" s="277"/>
      <c r="O24510" s="247"/>
      <c r="AC24510" s="247"/>
      <c r="AT24510" s="247"/>
    </row>
    <row r="24511">
      <c r="C24511" s="277"/>
      <c r="M24511" s="277"/>
      <c r="O24511" s="247"/>
      <c r="AC24511" s="247"/>
      <c r="AT24511" s="247"/>
    </row>
    <row r="24512">
      <c r="C24512" s="277"/>
      <c r="M24512" s="277"/>
      <c r="O24512" s="247"/>
      <c r="AC24512" s="247"/>
      <c r="AT24512" s="247"/>
    </row>
    <row r="24513">
      <c r="C24513" s="277"/>
      <c r="M24513" s="277"/>
      <c r="O24513" s="247"/>
      <c r="AC24513" s="247"/>
      <c r="AT24513" s="247"/>
    </row>
    <row r="24514">
      <c r="C24514" s="277"/>
      <c r="M24514" s="277"/>
      <c r="O24514" s="247"/>
      <c r="AC24514" s="247"/>
      <c r="AT24514" s="247"/>
    </row>
    <row r="24515">
      <c r="C24515" s="277"/>
      <c r="M24515" s="277"/>
      <c r="O24515" s="247"/>
      <c r="AC24515" s="247"/>
      <c r="AT24515" s="247"/>
    </row>
    <row r="24516">
      <c r="C24516" s="277"/>
      <c r="M24516" s="277"/>
      <c r="O24516" s="247"/>
      <c r="AC24516" s="247"/>
      <c r="AT24516" s="247"/>
    </row>
    <row r="24517">
      <c r="C24517" s="277"/>
      <c r="M24517" s="277"/>
      <c r="O24517" s="247"/>
      <c r="AC24517" s="247"/>
      <c r="AT24517" s="247"/>
    </row>
    <row r="24518">
      <c r="C24518" s="277"/>
      <c r="M24518" s="277"/>
      <c r="O24518" s="247"/>
      <c r="AC24518" s="247"/>
      <c r="AT24518" s="247"/>
    </row>
    <row r="24519">
      <c r="C24519" s="277"/>
      <c r="M24519" s="277"/>
      <c r="O24519" s="247"/>
      <c r="AC24519" s="247"/>
      <c r="AT24519" s="247"/>
    </row>
    <row r="24520">
      <c r="C24520" s="277"/>
      <c r="M24520" s="277"/>
      <c r="O24520" s="247"/>
      <c r="AC24520" s="247"/>
      <c r="AT24520" s="247"/>
    </row>
    <row r="24521">
      <c r="C24521" s="277"/>
      <c r="M24521" s="277"/>
      <c r="O24521" s="247"/>
      <c r="AC24521" s="247"/>
      <c r="AT24521" s="247"/>
    </row>
    <row r="24522">
      <c r="C24522" s="277"/>
      <c r="M24522" s="277"/>
      <c r="O24522" s="247"/>
      <c r="AC24522" s="247"/>
      <c r="AT24522" s="247"/>
    </row>
    <row r="24523">
      <c r="C24523" s="277"/>
      <c r="M24523" s="277"/>
      <c r="O24523" s="247"/>
      <c r="AC24523" s="247"/>
      <c r="AT24523" s="247"/>
    </row>
    <row r="24524">
      <c r="C24524" s="277"/>
      <c r="M24524" s="277"/>
      <c r="O24524" s="247"/>
      <c r="AC24524" s="247"/>
      <c r="AT24524" s="247"/>
    </row>
    <row r="24525">
      <c r="C24525" s="277"/>
      <c r="M24525" s="277"/>
      <c r="O24525" s="247"/>
      <c r="AC24525" s="247"/>
      <c r="AT24525" s="247"/>
    </row>
    <row r="24526">
      <c r="C24526" s="277"/>
      <c r="M24526" s="277"/>
      <c r="O24526" s="247"/>
      <c r="AC24526" s="247"/>
      <c r="AT24526" s="247"/>
    </row>
    <row r="24527">
      <c r="C24527" s="277"/>
      <c r="M24527" s="277"/>
      <c r="O24527" s="247"/>
      <c r="AC24527" s="247"/>
      <c r="AT24527" s="247"/>
    </row>
    <row r="24528">
      <c r="C24528" s="277"/>
      <c r="M24528" s="277"/>
      <c r="O24528" s="247"/>
      <c r="AC24528" s="247"/>
      <c r="AT24528" s="247"/>
    </row>
    <row r="24529">
      <c r="C24529" s="277"/>
      <c r="M24529" s="277"/>
      <c r="O24529" s="247"/>
      <c r="AC24529" s="247"/>
      <c r="AT24529" s="247"/>
    </row>
    <row r="24530">
      <c r="C24530" s="277"/>
      <c r="M24530" s="277"/>
      <c r="O24530" s="247"/>
      <c r="AC24530" s="247"/>
      <c r="AT24530" s="247"/>
    </row>
    <row r="24531">
      <c r="C24531" s="277"/>
      <c r="M24531" s="277"/>
      <c r="O24531" s="247"/>
      <c r="AC24531" s="247"/>
      <c r="AT24531" s="247"/>
    </row>
    <row r="24532">
      <c r="C24532" s="277"/>
      <c r="M24532" s="277"/>
      <c r="O24532" s="247"/>
      <c r="AC24532" s="247"/>
      <c r="AT24532" s="247"/>
    </row>
    <row r="24533">
      <c r="C24533" s="277"/>
      <c r="M24533" s="277"/>
      <c r="O24533" s="247"/>
      <c r="AC24533" s="247"/>
      <c r="AT24533" s="247"/>
    </row>
    <row r="24534">
      <c r="C24534" s="277"/>
      <c r="M24534" s="277"/>
      <c r="O24534" s="247"/>
      <c r="AC24534" s="247"/>
      <c r="AT24534" s="247"/>
    </row>
    <row r="24535">
      <c r="C24535" s="277"/>
      <c r="M24535" s="277"/>
      <c r="O24535" s="247"/>
      <c r="AC24535" s="247"/>
      <c r="AT24535" s="247"/>
    </row>
    <row r="24536">
      <c r="C24536" s="277"/>
      <c r="M24536" s="277"/>
      <c r="O24536" s="247"/>
      <c r="AC24536" s="247"/>
      <c r="AT24536" s="247"/>
    </row>
    <row r="24537">
      <c r="C24537" s="277"/>
      <c r="M24537" s="277"/>
      <c r="O24537" s="247"/>
      <c r="AC24537" s="247"/>
      <c r="AT24537" s="247"/>
    </row>
    <row r="24538">
      <c r="C24538" s="277"/>
      <c r="M24538" s="277"/>
      <c r="O24538" s="247"/>
      <c r="AC24538" s="247"/>
      <c r="AT24538" s="247"/>
    </row>
    <row r="24539">
      <c r="C24539" s="277"/>
      <c r="M24539" s="277"/>
      <c r="O24539" s="247"/>
      <c r="AC24539" s="247"/>
      <c r="AT24539" s="247"/>
    </row>
    <row r="24540">
      <c r="C24540" s="277"/>
      <c r="M24540" s="277"/>
      <c r="O24540" s="247"/>
      <c r="AC24540" s="247"/>
      <c r="AT24540" s="247"/>
    </row>
    <row r="24541">
      <c r="C24541" s="277"/>
      <c r="M24541" s="277"/>
      <c r="O24541" s="247"/>
      <c r="AC24541" s="247"/>
      <c r="AT24541" s="247"/>
    </row>
    <row r="24542">
      <c r="C24542" s="277"/>
      <c r="M24542" s="277"/>
      <c r="O24542" s="247"/>
      <c r="AC24542" s="247"/>
      <c r="AT24542" s="247"/>
    </row>
    <row r="24543">
      <c r="C24543" s="277"/>
      <c r="M24543" s="277"/>
      <c r="O24543" s="247"/>
      <c r="AC24543" s="247"/>
      <c r="AT24543" s="247"/>
    </row>
    <row r="24544">
      <c r="C24544" s="277"/>
      <c r="M24544" s="277"/>
      <c r="O24544" s="247"/>
      <c r="AC24544" s="247"/>
      <c r="AT24544" s="247"/>
    </row>
    <row r="24545">
      <c r="C24545" s="277"/>
      <c r="M24545" s="277"/>
      <c r="O24545" s="247"/>
      <c r="AC24545" s="247"/>
      <c r="AT24545" s="247"/>
    </row>
    <row r="24546">
      <c r="C24546" s="277"/>
      <c r="M24546" s="277"/>
      <c r="O24546" s="247"/>
      <c r="AC24546" s="247"/>
      <c r="AT24546" s="247"/>
    </row>
    <row r="24547">
      <c r="C24547" s="277"/>
      <c r="M24547" s="277"/>
      <c r="O24547" s="247"/>
      <c r="AC24547" s="247"/>
      <c r="AT24547" s="247"/>
    </row>
    <row r="24548">
      <c r="C24548" s="277"/>
      <c r="M24548" s="277"/>
      <c r="O24548" s="247"/>
      <c r="AC24548" s="247"/>
      <c r="AT24548" s="247"/>
    </row>
    <row r="24549">
      <c r="C24549" s="277"/>
      <c r="M24549" s="277"/>
      <c r="O24549" s="247"/>
      <c r="AC24549" s="247"/>
      <c r="AT24549" s="247"/>
    </row>
    <row r="24550">
      <c r="C24550" s="277"/>
      <c r="M24550" s="277"/>
      <c r="O24550" s="247"/>
      <c r="AC24550" s="247"/>
      <c r="AT24550" s="247"/>
    </row>
    <row r="24551">
      <c r="C24551" s="277"/>
      <c r="M24551" s="277"/>
      <c r="O24551" s="247"/>
      <c r="AC24551" s="247"/>
      <c r="AT24551" s="247"/>
    </row>
    <row r="24552">
      <c r="C24552" s="277"/>
      <c r="M24552" s="277"/>
      <c r="O24552" s="247"/>
      <c r="AC24552" s="247"/>
      <c r="AT24552" s="247"/>
    </row>
    <row r="24553">
      <c r="C24553" s="277"/>
      <c r="M24553" s="277"/>
      <c r="O24553" s="247"/>
      <c r="AC24553" s="247"/>
      <c r="AT24553" s="247"/>
    </row>
    <row r="24554">
      <c r="C24554" s="277"/>
      <c r="M24554" s="277"/>
      <c r="O24554" s="247"/>
      <c r="AC24554" s="247"/>
      <c r="AT24554" s="247"/>
    </row>
    <row r="24555">
      <c r="C24555" s="277"/>
      <c r="M24555" s="277"/>
      <c r="O24555" s="247"/>
      <c r="AC24555" s="247"/>
      <c r="AT24555" s="247"/>
    </row>
    <row r="24556">
      <c r="C24556" s="277"/>
      <c r="M24556" s="277"/>
      <c r="O24556" s="247"/>
      <c r="AC24556" s="247"/>
      <c r="AT24556" s="247"/>
    </row>
    <row r="24557">
      <c r="C24557" s="277"/>
      <c r="M24557" s="277"/>
      <c r="O24557" s="247"/>
      <c r="AC24557" s="247"/>
      <c r="AT24557" s="247"/>
    </row>
    <row r="24558">
      <c r="C24558" s="277"/>
      <c r="M24558" s="277"/>
      <c r="O24558" s="247"/>
      <c r="AC24558" s="247"/>
      <c r="AT24558" s="247"/>
    </row>
    <row r="24559">
      <c r="C24559" s="277"/>
      <c r="M24559" s="277"/>
      <c r="O24559" s="247"/>
      <c r="AC24559" s="247"/>
      <c r="AT24559" s="247"/>
    </row>
    <row r="24560">
      <c r="C24560" s="277"/>
      <c r="M24560" s="277"/>
      <c r="O24560" s="247"/>
      <c r="AC24560" s="247"/>
      <c r="AT24560" s="247"/>
    </row>
    <row r="24561">
      <c r="C24561" s="277"/>
      <c r="M24561" s="277"/>
      <c r="O24561" s="247"/>
      <c r="AC24561" s="247"/>
      <c r="AT24561" s="247"/>
    </row>
    <row r="24562">
      <c r="C24562" s="277"/>
      <c r="M24562" s="277"/>
      <c r="O24562" s="247"/>
      <c r="AC24562" s="247"/>
      <c r="AT24562" s="247"/>
    </row>
    <row r="24563">
      <c r="C24563" s="277"/>
      <c r="M24563" s="277"/>
      <c r="O24563" s="247"/>
      <c r="AC24563" s="247"/>
      <c r="AT24563" s="247"/>
    </row>
    <row r="24564">
      <c r="C24564" s="277"/>
      <c r="M24564" s="277"/>
      <c r="O24564" s="247"/>
      <c r="AC24564" s="247"/>
      <c r="AT24564" s="247"/>
    </row>
    <row r="24565">
      <c r="C24565" s="277"/>
      <c r="M24565" s="277"/>
      <c r="O24565" s="247"/>
      <c r="AC24565" s="247"/>
      <c r="AT24565" s="247"/>
    </row>
    <row r="24566">
      <c r="C24566" s="277"/>
      <c r="M24566" s="277"/>
      <c r="O24566" s="247"/>
      <c r="AC24566" s="247"/>
      <c r="AT24566" s="247"/>
    </row>
    <row r="24567">
      <c r="C24567" s="277"/>
      <c r="M24567" s="277"/>
      <c r="O24567" s="247"/>
      <c r="AC24567" s="247"/>
      <c r="AT24567" s="247"/>
    </row>
    <row r="24568">
      <c r="C24568" s="277"/>
      <c r="M24568" s="277"/>
      <c r="O24568" s="247"/>
      <c r="AC24568" s="247"/>
      <c r="AT24568" s="247"/>
    </row>
    <row r="24569">
      <c r="C24569" s="277"/>
      <c r="M24569" s="277"/>
      <c r="O24569" s="247"/>
      <c r="AC24569" s="247"/>
      <c r="AT24569" s="247"/>
    </row>
    <row r="24570">
      <c r="C24570" s="277"/>
      <c r="M24570" s="277"/>
      <c r="O24570" s="247"/>
      <c r="AC24570" s="247"/>
      <c r="AT24570" s="247"/>
    </row>
    <row r="24571">
      <c r="C24571" s="277"/>
      <c r="M24571" s="277"/>
      <c r="O24571" s="247"/>
      <c r="AC24571" s="247"/>
      <c r="AT24571" s="247"/>
    </row>
    <row r="24572">
      <c r="C24572" s="277"/>
      <c r="M24572" s="277"/>
      <c r="O24572" s="247"/>
      <c r="AC24572" s="247"/>
      <c r="AT24572" s="247"/>
    </row>
    <row r="24573">
      <c r="C24573" s="277"/>
      <c r="M24573" s="277"/>
      <c r="O24573" s="247"/>
      <c r="AC24573" s="247"/>
      <c r="AT24573" s="247"/>
    </row>
    <row r="24574">
      <c r="C24574" s="277"/>
      <c r="M24574" s="277"/>
      <c r="O24574" s="247"/>
      <c r="AC24574" s="247"/>
      <c r="AT24574" s="247"/>
    </row>
    <row r="24575">
      <c r="C24575" s="277"/>
      <c r="M24575" s="277"/>
      <c r="O24575" s="247"/>
      <c r="AC24575" s="247"/>
      <c r="AT24575" s="247"/>
    </row>
    <row r="24576">
      <c r="C24576" s="277"/>
      <c r="M24576" s="277"/>
      <c r="O24576" s="247"/>
      <c r="AC24576" s="247"/>
      <c r="AT24576" s="247"/>
    </row>
    <row r="24577">
      <c r="C24577" s="277"/>
      <c r="M24577" s="277"/>
      <c r="O24577" s="247"/>
      <c r="AC24577" s="247"/>
      <c r="AT24577" s="247"/>
    </row>
    <row r="24578">
      <c r="C24578" s="277"/>
      <c r="M24578" s="277"/>
      <c r="O24578" s="247"/>
      <c r="AC24578" s="247"/>
      <c r="AT24578" s="247"/>
    </row>
    <row r="24579">
      <c r="C24579" s="277"/>
      <c r="M24579" s="277"/>
      <c r="O24579" s="247"/>
      <c r="AC24579" s="247"/>
      <c r="AT24579" s="247"/>
    </row>
    <row r="24580">
      <c r="C24580" s="277"/>
      <c r="M24580" s="277"/>
      <c r="O24580" s="247"/>
      <c r="AC24580" s="247"/>
      <c r="AT24580" s="247"/>
    </row>
    <row r="24581">
      <c r="C24581" s="277"/>
      <c r="M24581" s="277"/>
      <c r="O24581" s="247"/>
      <c r="AC24581" s="247"/>
      <c r="AT24581" s="247"/>
    </row>
    <row r="24582">
      <c r="C24582" s="277"/>
      <c r="M24582" s="277"/>
      <c r="O24582" s="247"/>
      <c r="AC24582" s="247"/>
      <c r="AT24582" s="247"/>
    </row>
    <row r="24583">
      <c r="C24583" s="277"/>
      <c r="M24583" s="277"/>
      <c r="O24583" s="247"/>
      <c r="AC24583" s="247"/>
      <c r="AT24583" s="247"/>
    </row>
    <row r="24584">
      <c r="C24584" s="277"/>
      <c r="M24584" s="277"/>
      <c r="O24584" s="247"/>
      <c r="AC24584" s="247"/>
      <c r="AT24584" s="247"/>
    </row>
    <row r="24585">
      <c r="C24585" s="277"/>
      <c r="M24585" s="277"/>
      <c r="O24585" s="247"/>
      <c r="AC24585" s="247"/>
      <c r="AT24585" s="247"/>
    </row>
    <row r="24586">
      <c r="C24586" s="277"/>
      <c r="M24586" s="277"/>
      <c r="O24586" s="247"/>
      <c r="AC24586" s="247"/>
      <c r="AT24586" s="247"/>
    </row>
    <row r="24587">
      <c r="C24587" s="277"/>
      <c r="M24587" s="277"/>
      <c r="O24587" s="247"/>
      <c r="AC24587" s="247"/>
      <c r="AT24587" s="247"/>
    </row>
    <row r="24588">
      <c r="C24588" s="277"/>
      <c r="M24588" s="277"/>
      <c r="O24588" s="247"/>
      <c r="AC24588" s="247"/>
      <c r="AT24588" s="247"/>
    </row>
    <row r="24589">
      <c r="C24589" s="277"/>
      <c r="M24589" s="277"/>
      <c r="O24589" s="247"/>
      <c r="AC24589" s="247"/>
      <c r="AT24589" s="247"/>
    </row>
    <row r="24590">
      <c r="C24590" s="277"/>
      <c r="M24590" s="277"/>
      <c r="O24590" s="247"/>
      <c r="AC24590" s="247"/>
      <c r="AT24590" s="247"/>
    </row>
    <row r="24591">
      <c r="C24591" s="277"/>
      <c r="M24591" s="277"/>
      <c r="O24591" s="247"/>
      <c r="AC24591" s="247"/>
      <c r="AT24591" s="247"/>
    </row>
    <row r="24592">
      <c r="C24592" s="277"/>
      <c r="M24592" s="277"/>
      <c r="O24592" s="247"/>
      <c r="AC24592" s="247"/>
      <c r="AT24592" s="247"/>
    </row>
    <row r="24593">
      <c r="C24593" s="277"/>
      <c r="M24593" s="277"/>
      <c r="O24593" s="247"/>
      <c r="AC24593" s="247"/>
      <c r="AT24593" s="247"/>
    </row>
    <row r="24594">
      <c r="C24594" s="277"/>
      <c r="M24594" s="277"/>
      <c r="O24594" s="247"/>
      <c r="AC24594" s="247"/>
      <c r="AT24594" s="247"/>
    </row>
    <row r="24595">
      <c r="C24595" s="277"/>
      <c r="M24595" s="277"/>
      <c r="O24595" s="247"/>
      <c r="AC24595" s="247"/>
      <c r="AT24595" s="247"/>
    </row>
    <row r="24596">
      <c r="C24596" s="277"/>
      <c r="M24596" s="277"/>
      <c r="O24596" s="247"/>
      <c r="AC24596" s="247"/>
      <c r="AT24596" s="247"/>
    </row>
    <row r="24597">
      <c r="C24597" s="277"/>
      <c r="M24597" s="277"/>
      <c r="O24597" s="247"/>
      <c r="AC24597" s="247"/>
      <c r="AT24597" s="247"/>
    </row>
    <row r="24598">
      <c r="C24598" s="277"/>
      <c r="M24598" s="277"/>
      <c r="O24598" s="247"/>
      <c r="AC24598" s="247"/>
      <c r="AT24598" s="247"/>
    </row>
    <row r="24599">
      <c r="C24599" s="277"/>
      <c r="M24599" s="277"/>
      <c r="O24599" s="247"/>
      <c r="AC24599" s="247"/>
      <c r="AT24599" s="247"/>
    </row>
    <row r="24600">
      <c r="C24600" s="277"/>
      <c r="M24600" s="277"/>
      <c r="O24600" s="247"/>
      <c r="AC24600" s="247"/>
      <c r="AT24600" s="247"/>
    </row>
    <row r="24601">
      <c r="C24601" s="277"/>
      <c r="M24601" s="277"/>
      <c r="O24601" s="247"/>
      <c r="AC24601" s="247"/>
      <c r="AT24601" s="247"/>
    </row>
    <row r="24602">
      <c r="C24602" s="277"/>
      <c r="M24602" s="277"/>
      <c r="O24602" s="247"/>
      <c r="AC24602" s="247"/>
      <c r="AT24602" s="247"/>
    </row>
    <row r="24603">
      <c r="C24603" s="277"/>
      <c r="M24603" s="277"/>
      <c r="O24603" s="247"/>
      <c r="AC24603" s="247"/>
      <c r="AT24603" s="247"/>
    </row>
    <row r="24604">
      <c r="C24604" s="277"/>
      <c r="M24604" s="277"/>
      <c r="O24604" s="247"/>
      <c r="AC24604" s="247"/>
      <c r="AT24604" s="247"/>
    </row>
    <row r="24605">
      <c r="C24605" s="277"/>
      <c r="M24605" s="277"/>
      <c r="O24605" s="247"/>
      <c r="AC24605" s="247"/>
      <c r="AT24605" s="247"/>
    </row>
    <row r="24606">
      <c r="C24606" s="277"/>
      <c r="M24606" s="277"/>
      <c r="O24606" s="247"/>
      <c r="AC24606" s="247"/>
      <c r="AT24606" s="247"/>
    </row>
    <row r="24607">
      <c r="C24607" s="277"/>
      <c r="M24607" s="277"/>
      <c r="O24607" s="247"/>
      <c r="AC24607" s="247"/>
      <c r="AT24607" s="247"/>
    </row>
    <row r="24608">
      <c r="C24608" s="277"/>
      <c r="M24608" s="277"/>
      <c r="O24608" s="247"/>
      <c r="AC24608" s="247"/>
      <c r="AT24608" s="247"/>
    </row>
    <row r="24609">
      <c r="C24609" s="277"/>
      <c r="M24609" s="277"/>
      <c r="O24609" s="247"/>
      <c r="AC24609" s="247"/>
      <c r="AT24609" s="247"/>
    </row>
    <row r="24610">
      <c r="C24610" s="277"/>
      <c r="M24610" s="277"/>
      <c r="O24610" s="247"/>
      <c r="AC24610" s="247"/>
      <c r="AT24610" s="247"/>
    </row>
    <row r="24611">
      <c r="C24611" s="277"/>
      <c r="M24611" s="277"/>
      <c r="O24611" s="247"/>
      <c r="AC24611" s="247"/>
      <c r="AT24611" s="247"/>
    </row>
    <row r="24612">
      <c r="C24612" s="277"/>
      <c r="M24612" s="277"/>
      <c r="O24612" s="247"/>
      <c r="AC24612" s="247"/>
      <c r="AT24612" s="247"/>
    </row>
    <row r="24613">
      <c r="C24613" s="277"/>
      <c r="M24613" s="277"/>
      <c r="O24613" s="247"/>
      <c r="AC24613" s="247"/>
      <c r="AT24613" s="247"/>
    </row>
    <row r="24614">
      <c r="C24614" s="277"/>
      <c r="M24614" s="277"/>
      <c r="O24614" s="247"/>
      <c r="AC24614" s="247"/>
      <c r="AT24614" s="247"/>
    </row>
    <row r="24615">
      <c r="C24615" s="277"/>
      <c r="M24615" s="277"/>
      <c r="O24615" s="247"/>
      <c r="AC24615" s="247"/>
      <c r="AT24615" s="247"/>
    </row>
    <row r="24616">
      <c r="C24616" s="277"/>
      <c r="M24616" s="277"/>
      <c r="O24616" s="247"/>
      <c r="AC24616" s="247"/>
      <c r="AT24616" s="247"/>
    </row>
    <row r="24617">
      <c r="C24617" s="277"/>
      <c r="M24617" s="277"/>
      <c r="O24617" s="247"/>
      <c r="AC24617" s="247"/>
      <c r="AT24617" s="247"/>
    </row>
    <row r="24618">
      <c r="C24618" s="277"/>
      <c r="M24618" s="277"/>
      <c r="O24618" s="247"/>
      <c r="AC24618" s="247"/>
      <c r="AT24618" s="247"/>
    </row>
    <row r="24619">
      <c r="C24619" s="277"/>
      <c r="M24619" s="277"/>
      <c r="O24619" s="247"/>
      <c r="AC24619" s="247"/>
      <c r="AT24619" s="247"/>
    </row>
    <row r="24620">
      <c r="C24620" s="277"/>
      <c r="M24620" s="277"/>
      <c r="O24620" s="247"/>
      <c r="AC24620" s="247"/>
      <c r="AT24620" s="247"/>
    </row>
    <row r="24621">
      <c r="C24621" s="277"/>
      <c r="M24621" s="277"/>
      <c r="O24621" s="247"/>
      <c r="AC24621" s="247"/>
      <c r="AT24621" s="247"/>
    </row>
    <row r="24622">
      <c r="C24622" s="277"/>
      <c r="M24622" s="277"/>
      <c r="O24622" s="247"/>
      <c r="AC24622" s="247"/>
      <c r="AT24622" s="247"/>
    </row>
    <row r="24623">
      <c r="C24623" s="277"/>
      <c r="M24623" s="277"/>
      <c r="O24623" s="247"/>
      <c r="AC24623" s="247"/>
      <c r="AT24623" s="247"/>
    </row>
    <row r="24624">
      <c r="C24624" s="277"/>
      <c r="M24624" s="277"/>
      <c r="O24624" s="247"/>
      <c r="AC24624" s="247"/>
      <c r="AT24624" s="247"/>
    </row>
    <row r="24625">
      <c r="C24625" s="277"/>
      <c r="M24625" s="277"/>
      <c r="O24625" s="247"/>
      <c r="AC24625" s="247"/>
      <c r="AT24625" s="247"/>
    </row>
    <row r="24626">
      <c r="C24626" s="277"/>
      <c r="M24626" s="277"/>
      <c r="O24626" s="247"/>
      <c r="AC24626" s="247"/>
      <c r="AT24626" s="247"/>
    </row>
    <row r="24627">
      <c r="C24627" s="277"/>
      <c r="M24627" s="277"/>
      <c r="O24627" s="247"/>
      <c r="AC24627" s="247"/>
      <c r="AT24627" s="247"/>
    </row>
    <row r="24628">
      <c r="C24628" s="277"/>
      <c r="M24628" s="277"/>
      <c r="O24628" s="247"/>
      <c r="AC24628" s="247"/>
      <c r="AT24628" s="247"/>
    </row>
    <row r="24629">
      <c r="C24629" s="277"/>
      <c r="M24629" s="277"/>
      <c r="O24629" s="247"/>
      <c r="AC24629" s="247"/>
      <c r="AT24629" s="247"/>
    </row>
    <row r="24630">
      <c r="C24630" s="277"/>
      <c r="M24630" s="277"/>
      <c r="O24630" s="247"/>
      <c r="AC24630" s="247"/>
      <c r="AT24630" s="247"/>
    </row>
    <row r="24631">
      <c r="C24631" s="277"/>
      <c r="M24631" s="277"/>
      <c r="O24631" s="247"/>
      <c r="AC24631" s="247"/>
      <c r="AT24631" s="247"/>
    </row>
    <row r="24632">
      <c r="C24632" s="277"/>
      <c r="M24632" s="277"/>
      <c r="O24632" s="247"/>
      <c r="AC24632" s="247"/>
      <c r="AT24632" s="247"/>
    </row>
    <row r="24633">
      <c r="C24633" s="277"/>
      <c r="M24633" s="277"/>
      <c r="O24633" s="247"/>
      <c r="AC24633" s="247"/>
      <c r="AT24633" s="247"/>
    </row>
    <row r="24634">
      <c r="C24634" s="277"/>
      <c r="M24634" s="277"/>
      <c r="O24634" s="247"/>
      <c r="AC24634" s="247"/>
      <c r="AT24634" s="247"/>
    </row>
    <row r="24635">
      <c r="C24635" s="277"/>
      <c r="M24635" s="277"/>
      <c r="O24635" s="247"/>
      <c r="AC24635" s="247"/>
      <c r="AT24635" s="247"/>
    </row>
    <row r="24636">
      <c r="C24636" s="277"/>
      <c r="M24636" s="277"/>
      <c r="O24636" s="247"/>
      <c r="AC24636" s="247"/>
      <c r="AT24636" s="247"/>
    </row>
    <row r="24637">
      <c r="C24637" s="277"/>
      <c r="M24637" s="277"/>
      <c r="O24637" s="247"/>
      <c r="AC24637" s="247"/>
      <c r="AT24637" s="247"/>
    </row>
    <row r="24638">
      <c r="C24638" s="277"/>
      <c r="M24638" s="277"/>
      <c r="O24638" s="247"/>
      <c r="AC24638" s="247"/>
      <c r="AT24638" s="247"/>
    </row>
    <row r="24639">
      <c r="C24639" s="277"/>
      <c r="M24639" s="277"/>
      <c r="O24639" s="247"/>
      <c r="AC24639" s="247"/>
      <c r="AT24639" s="247"/>
    </row>
    <row r="24640">
      <c r="C24640" s="277"/>
      <c r="M24640" s="277"/>
      <c r="O24640" s="247"/>
      <c r="AC24640" s="247"/>
      <c r="AT24640" s="247"/>
    </row>
    <row r="24641">
      <c r="C24641" s="277"/>
      <c r="M24641" s="277"/>
      <c r="O24641" s="247"/>
      <c r="AC24641" s="247"/>
      <c r="AT24641" s="247"/>
    </row>
    <row r="24642">
      <c r="C24642" s="277"/>
      <c r="M24642" s="277"/>
      <c r="O24642" s="247"/>
      <c r="AC24642" s="247"/>
      <c r="AT24642" s="247"/>
    </row>
    <row r="24643">
      <c r="C24643" s="277"/>
      <c r="M24643" s="277"/>
      <c r="O24643" s="247"/>
      <c r="AC24643" s="247"/>
      <c r="AT24643" s="247"/>
    </row>
    <row r="24644">
      <c r="C24644" s="277"/>
      <c r="M24644" s="277"/>
      <c r="O24644" s="247"/>
      <c r="AC24644" s="247"/>
      <c r="AT24644" s="247"/>
    </row>
    <row r="24645">
      <c r="C24645" s="277"/>
      <c r="M24645" s="277"/>
      <c r="O24645" s="247"/>
      <c r="AC24645" s="247"/>
      <c r="AT24645" s="247"/>
    </row>
    <row r="24646">
      <c r="C24646" s="277"/>
      <c r="M24646" s="277"/>
      <c r="O24646" s="247"/>
      <c r="AC24646" s="247"/>
      <c r="AT24646" s="247"/>
    </row>
    <row r="24647">
      <c r="C24647" s="277"/>
      <c r="M24647" s="277"/>
      <c r="O24647" s="247"/>
      <c r="AC24647" s="247"/>
      <c r="AT24647" s="247"/>
    </row>
    <row r="24648">
      <c r="C24648" s="277"/>
      <c r="M24648" s="277"/>
      <c r="O24648" s="247"/>
      <c r="AC24648" s="247"/>
      <c r="AT24648" s="247"/>
    </row>
    <row r="24649">
      <c r="C24649" s="277"/>
      <c r="M24649" s="277"/>
      <c r="O24649" s="247"/>
      <c r="AC24649" s="247"/>
      <c r="AT24649" s="247"/>
    </row>
    <row r="24650">
      <c r="C24650" s="277"/>
      <c r="M24650" s="277"/>
      <c r="O24650" s="247"/>
      <c r="AC24650" s="247"/>
      <c r="AT24650" s="247"/>
    </row>
    <row r="24651">
      <c r="C24651" s="277"/>
      <c r="M24651" s="277"/>
      <c r="O24651" s="247"/>
      <c r="AC24651" s="247"/>
      <c r="AT24651" s="247"/>
    </row>
    <row r="24652">
      <c r="C24652" s="277"/>
      <c r="M24652" s="277"/>
      <c r="O24652" s="247"/>
      <c r="AC24652" s="247"/>
      <c r="AT24652" s="247"/>
    </row>
    <row r="24653">
      <c r="C24653" s="277"/>
      <c r="M24653" s="277"/>
      <c r="O24653" s="247"/>
      <c r="AC24653" s="247"/>
      <c r="AT24653" s="247"/>
    </row>
    <row r="24654">
      <c r="C24654" s="277"/>
      <c r="M24654" s="277"/>
      <c r="O24654" s="247"/>
      <c r="AC24654" s="247"/>
      <c r="AT24654" s="247"/>
    </row>
    <row r="24655">
      <c r="C24655" s="277"/>
      <c r="M24655" s="277"/>
      <c r="O24655" s="247"/>
      <c r="AC24655" s="247"/>
      <c r="AT24655" s="247"/>
    </row>
    <row r="24656">
      <c r="C24656" s="277"/>
      <c r="M24656" s="277"/>
      <c r="O24656" s="247"/>
      <c r="AC24656" s="247"/>
      <c r="AT24656" s="247"/>
    </row>
    <row r="24657">
      <c r="C24657" s="277"/>
      <c r="M24657" s="277"/>
      <c r="O24657" s="247"/>
      <c r="AC24657" s="247"/>
      <c r="AT24657" s="247"/>
    </row>
    <row r="24658">
      <c r="C24658" s="277"/>
      <c r="M24658" s="277"/>
      <c r="O24658" s="247"/>
      <c r="AC24658" s="247"/>
      <c r="AT24658" s="247"/>
    </row>
    <row r="24659">
      <c r="C24659" s="277"/>
      <c r="M24659" s="277"/>
      <c r="O24659" s="247"/>
      <c r="AC24659" s="247"/>
      <c r="AT24659" s="247"/>
    </row>
    <row r="24660">
      <c r="C24660" s="277"/>
      <c r="M24660" s="277"/>
      <c r="O24660" s="247"/>
      <c r="AC24660" s="247"/>
      <c r="AT24660" s="247"/>
    </row>
    <row r="24661">
      <c r="C24661" s="277"/>
      <c r="M24661" s="277"/>
      <c r="O24661" s="247"/>
      <c r="AC24661" s="247"/>
      <c r="AT24661" s="247"/>
    </row>
    <row r="24662">
      <c r="C24662" s="277"/>
      <c r="M24662" s="277"/>
      <c r="O24662" s="247"/>
      <c r="AC24662" s="247"/>
      <c r="AT24662" s="247"/>
    </row>
    <row r="24663">
      <c r="C24663" s="277"/>
      <c r="M24663" s="277"/>
      <c r="O24663" s="247"/>
      <c r="AC24663" s="247"/>
      <c r="AT24663" s="247"/>
    </row>
    <row r="24664">
      <c r="C24664" s="277"/>
      <c r="M24664" s="277"/>
      <c r="O24664" s="247"/>
      <c r="AC24664" s="247"/>
      <c r="AT24664" s="247"/>
    </row>
    <row r="24665">
      <c r="C24665" s="277"/>
      <c r="M24665" s="277"/>
      <c r="O24665" s="247"/>
      <c r="AC24665" s="247"/>
      <c r="AT24665" s="247"/>
    </row>
    <row r="24666">
      <c r="C24666" s="277"/>
      <c r="M24666" s="277"/>
      <c r="O24666" s="247"/>
      <c r="AC24666" s="247"/>
      <c r="AT24666" s="247"/>
    </row>
    <row r="24667">
      <c r="C24667" s="277"/>
      <c r="M24667" s="277"/>
      <c r="O24667" s="247"/>
      <c r="AC24667" s="247"/>
      <c r="AT24667" s="247"/>
    </row>
    <row r="24668">
      <c r="C24668" s="277"/>
      <c r="M24668" s="277"/>
      <c r="O24668" s="247"/>
      <c r="AC24668" s="247"/>
      <c r="AT24668" s="247"/>
    </row>
    <row r="24669">
      <c r="C24669" s="277"/>
      <c r="M24669" s="277"/>
      <c r="O24669" s="247"/>
      <c r="AC24669" s="247"/>
      <c r="AT24669" s="247"/>
    </row>
    <row r="24670">
      <c r="C24670" s="277"/>
      <c r="M24670" s="277"/>
      <c r="O24670" s="247"/>
      <c r="AC24670" s="247"/>
      <c r="AT24670" s="247"/>
    </row>
    <row r="24671">
      <c r="C24671" s="277"/>
      <c r="M24671" s="277"/>
      <c r="O24671" s="247"/>
      <c r="AC24671" s="247"/>
      <c r="AT24671" s="247"/>
    </row>
    <row r="24672">
      <c r="C24672" s="277"/>
      <c r="M24672" s="277"/>
      <c r="O24672" s="247"/>
      <c r="AC24672" s="247"/>
      <c r="AT24672" s="247"/>
    </row>
    <row r="24673">
      <c r="C24673" s="277"/>
      <c r="M24673" s="277"/>
      <c r="O24673" s="247"/>
      <c r="AC24673" s="247"/>
      <c r="AT24673" s="247"/>
    </row>
    <row r="24674">
      <c r="C24674" s="277"/>
      <c r="M24674" s="277"/>
      <c r="O24674" s="247"/>
      <c r="AC24674" s="247"/>
      <c r="AT24674" s="247"/>
    </row>
    <row r="24675">
      <c r="C24675" s="277"/>
      <c r="M24675" s="277"/>
      <c r="O24675" s="247"/>
      <c r="AC24675" s="247"/>
      <c r="AT24675" s="247"/>
    </row>
    <row r="24676">
      <c r="C24676" s="277"/>
      <c r="M24676" s="277"/>
      <c r="O24676" s="247"/>
      <c r="AC24676" s="247"/>
      <c r="AT24676" s="247"/>
    </row>
    <row r="24677">
      <c r="C24677" s="277"/>
      <c r="M24677" s="277"/>
      <c r="O24677" s="247"/>
      <c r="AC24677" s="247"/>
      <c r="AT24677" s="247"/>
    </row>
    <row r="24678">
      <c r="C24678" s="277"/>
      <c r="M24678" s="277"/>
      <c r="O24678" s="247"/>
      <c r="AC24678" s="247"/>
      <c r="AT24678" s="247"/>
    </row>
    <row r="24679">
      <c r="C24679" s="277"/>
      <c r="M24679" s="277"/>
      <c r="O24679" s="247"/>
      <c r="AC24679" s="247"/>
      <c r="AT24679" s="247"/>
    </row>
    <row r="24680">
      <c r="C24680" s="277"/>
      <c r="M24680" s="277"/>
      <c r="O24680" s="247"/>
      <c r="AC24680" s="247"/>
      <c r="AT24680" s="247"/>
    </row>
    <row r="24681">
      <c r="C24681" s="277"/>
      <c r="M24681" s="277"/>
      <c r="O24681" s="247"/>
      <c r="AC24681" s="247"/>
      <c r="AT24681" s="247"/>
    </row>
    <row r="24682">
      <c r="C24682" s="277"/>
      <c r="M24682" s="277"/>
      <c r="O24682" s="247"/>
      <c r="AC24682" s="247"/>
      <c r="AT24682" s="247"/>
    </row>
    <row r="24683">
      <c r="C24683" s="277"/>
      <c r="M24683" s="277"/>
      <c r="O24683" s="247"/>
      <c r="AC24683" s="247"/>
      <c r="AT24683" s="247"/>
    </row>
    <row r="24684">
      <c r="C24684" s="277"/>
      <c r="M24684" s="277"/>
      <c r="O24684" s="247"/>
      <c r="AC24684" s="247"/>
      <c r="AT24684" s="247"/>
    </row>
    <row r="24685">
      <c r="C24685" s="277"/>
      <c r="M24685" s="277"/>
      <c r="O24685" s="247"/>
      <c r="AC24685" s="247"/>
      <c r="AT24685" s="247"/>
    </row>
    <row r="24686">
      <c r="C24686" s="277"/>
      <c r="M24686" s="277"/>
      <c r="O24686" s="247"/>
      <c r="AC24686" s="247"/>
      <c r="AT24686" s="247"/>
    </row>
    <row r="24687">
      <c r="C24687" s="277"/>
      <c r="M24687" s="277"/>
      <c r="O24687" s="247"/>
      <c r="AC24687" s="247"/>
      <c r="AT24687" s="247"/>
    </row>
    <row r="24688">
      <c r="C24688" s="277"/>
      <c r="M24688" s="277"/>
      <c r="O24688" s="247"/>
      <c r="AC24688" s="247"/>
      <c r="AT24688" s="247"/>
    </row>
    <row r="24689">
      <c r="C24689" s="277"/>
      <c r="M24689" s="277"/>
      <c r="O24689" s="247"/>
      <c r="AC24689" s="247"/>
      <c r="AT24689" s="247"/>
    </row>
    <row r="24690">
      <c r="C24690" s="277"/>
      <c r="M24690" s="277"/>
      <c r="O24690" s="247"/>
      <c r="AC24690" s="247"/>
      <c r="AT24690" s="247"/>
    </row>
    <row r="24691">
      <c r="C24691" s="277"/>
      <c r="M24691" s="277"/>
      <c r="O24691" s="247"/>
      <c r="AC24691" s="247"/>
      <c r="AT24691" s="247"/>
    </row>
    <row r="24692">
      <c r="C24692" s="277"/>
      <c r="M24692" s="277"/>
      <c r="O24692" s="247"/>
      <c r="AC24692" s="247"/>
      <c r="AT24692" s="247"/>
    </row>
    <row r="24693">
      <c r="C24693" s="277"/>
      <c r="M24693" s="277"/>
      <c r="O24693" s="247"/>
      <c r="AC24693" s="247"/>
      <c r="AT24693" s="247"/>
    </row>
    <row r="24694">
      <c r="C24694" s="277"/>
      <c r="M24694" s="277"/>
      <c r="O24694" s="247"/>
      <c r="AC24694" s="247"/>
      <c r="AT24694" s="247"/>
    </row>
    <row r="24695">
      <c r="C24695" s="277"/>
      <c r="M24695" s="277"/>
      <c r="O24695" s="247"/>
      <c r="AC24695" s="247"/>
      <c r="AT24695" s="247"/>
    </row>
    <row r="24696">
      <c r="C24696" s="277"/>
      <c r="M24696" s="277"/>
      <c r="O24696" s="247"/>
      <c r="AC24696" s="247"/>
      <c r="AT24696" s="247"/>
    </row>
    <row r="24697">
      <c r="C24697" s="277"/>
      <c r="M24697" s="277"/>
      <c r="O24697" s="247"/>
      <c r="AC24697" s="247"/>
      <c r="AT24697" s="247"/>
    </row>
    <row r="24698">
      <c r="C24698" s="277"/>
      <c r="M24698" s="277"/>
      <c r="O24698" s="247"/>
      <c r="AC24698" s="247"/>
      <c r="AT24698" s="247"/>
    </row>
    <row r="24699">
      <c r="C24699" s="277"/>
      <c r="M24699" s="277"/>
      <c r="O24699" s="247"/>
      <c r="AC24699" s="247"/>
      <c r="AT24699" s="247"/>
    </row>
    <row r="24700">
      <c r="C24700" s="277"/>
      <c r="M24700" s="277"/>
      <c r="O24700" s="247"/>
      <c r="AC24700" s="247"/>
      <c r="AT24700" s="247"/>
    </row>
    <row r="24701">
      <c r="C24701" s="277"/>
      <c r="M24701" s="277"/>
      <c r="O24701" s="247"/>
      <c r="AC24701" s="247"/>
      <c r="AT24701" s="247"/>
    </row>
    <row r="24702">
      <c r="C24702" s="277"/>
      <c r="M24702" s="277"/>
      <c r="O24702" s="247"/>
      <c r="AC24702" s="247"/>
      <c r="AT24702" s="247"/>
    </row>
    <row r="24703">
      <c r="C24703" s="277"/>
      <c r="M24703" s="277"/>
      <c r="O24703" s="247"/>
      <c r="AC24703" s="247"/>
      <c r="AT24703" s="247"/>
    </row>
    <row r="24704">
      <c r="C24704" s="277"/>
      <c r="M24704" s="277"/>
      <c r="O24704" s="247"/>
      <c r="AC24704" s="247"/>
      <c r="AT24704" s="247"/>
    </row>
    <row r="24705">
      <c r="C24705" s="277"/>
      <c r="M24705" s="277"/>
      <c r="O24705" s="247"/>
      <c r="AC24705" s="247"/>
      <c r="AT24705" s="247"/>
    </row>
    <row r="24706">
      <c r="C24706" s="277"/>
      <c r="M24706" s="277"/>
      <c r="O24706" s="247"/>
      <c r="AC24706" s="247"/>
      <c r="AT24706" s="247"/>
    </row>
    <row r="24707">
      <c r="C24707" s="277"/>
      <c r="M24707" s="277"/>
      <c r="O24707" s="247"/>
      <c r="AC24707" s="247"/>
      <c r="AT24707" s="247"/>
    </row>
    <row r="24708">
      <c r="C24708" s="277"/>
      <c r="M24708" s="277"/>
      <c r="O24708" s="247"/>
      <c r="AC24708" s="247"/>
      <c r="AT24708" s="247"/>
    </row>
    <row r="24709">
      <c r="C24709" s="277"/>
      <c r="M24709" s="277"/>
      <c r="O24709" s="247"/>
      <c r="AC24709" s="247"/>
      <c r="AT24709" s="247"/>
    </row>
    <row r="24710">
      <c r="C24710" s="277"/>
      <c r="M24710" s="277"/>
      <c r="O24710" s="247"/>
      <c r="AC24710" s="247"/>
      <c r="AT24710" s="247"/>
    </row>
    <row r="24711">
      <c r="C24711" s="277"/>
      <c r="M24711" s="277"/>
      <c r="O24711" s="247"/>
      <c r="AC24711" s="247"/>
      <c r="AT24711" s="247"/>
    </row>
    <row r="24712">
      <c r="C24712" s="277"/>
      <c r="M24712" s="277"/>
      <c r="O24712" s="247"/>
      <c r="AC24712" s="247"/>
      <c r="AT24712" s="247"/>
    </row>
    <row r="24713">
      <c r="C24713" s="277"/>
      <c r="M24713" s="277"/>
      <c r="O24713" s="247"/>
      <c r="AC24713" s="247"/>
      <c r="AT24713" s="247"/>
    </row>
    <row r="24714">
      <c r="C24714" s="277"/>
      <c r="M24714" s="277"/>
      <c r="O24714" s="247"/>
      <c r="AC24714" s="247"/>
      <c r="AT24714" s="247"/>
    </row>
    <row r="24715">
      <c r="C24715" s="277"/>
      <c r="M24715" s="277"/>
      <c r="O24715" s="247"/>
      <c r="AC24715" s="247"/>
      <c r="AT24715" s="247"/>
    </row>
    <row r="24716">
      <c r="C24716" s="277"/>
      <c r="M24716" s="277"/>
      <c r="O24716" s="247"/>
      <c r="AC24716" s="247"/>
      <c r="AT24716" s="247"/>
    </row>
    <row r="24717">
      <c r="C24717" s="277"/>
      <c r="M24717" s="277"/>
      <c r="O24717" s="247"/>
      <c r="AC24717" s="247"/>
      <c r="AT24717" s="247"/>
    </row>
    <row r="24718">
      <c r="C24718" s="277"/>
      <c r="M24718" s="277"/>
      <c r="O24718" s="247"/>
      <c r="AC24718" s="247"/>
      <c r="AT24718" s="247"/>
    </row>
    <row r="24719">
      <c r="C24719" s="277"/>
      <c r="M24719" s="277"/>
      <c r="O24719" s="247"/>
      <c r="AC24719" s="247"/>
      <c r="AT24719" s="247"/>
    </row>
    <row r="24720">
      <c r="C24720" s="277"/>
      <c r="M24720" s="277"/>
      <c r="O24720" s="247"/>
      <c r="AC24720" s="247"/>
      <c r="AT24720" s="247"/>
    </row>
    <row r="24721">
      <c r="C24721" s="277"/>
      <c r="M24721" s="277"/>
      <c r="O24721" s="247"/>
      <c r="AC24721" s="247"/>
      <c r="AT24721" s="247"/>
    </row>
    <row r="24722">
      <c r="C24722" s="277"/>
      <c r="M24722" s="277"/>
      <c r="O24722" s="247"/>
      <c r="AC24722" s="247"/>
      <c r="AT24722" s="247"/>
    </row>
    <row r="24723">
      <c r="C24723" s="277"/>
      <c r="M24723" s="277"/>
      <c r="O24723" s="247"/>
      <c r="AC24723" s="247"/>
      <c r="AT24723" s="247"/>
    </row>
    <row r="24724">
      <c r="C24724" s="277"/>
      <c r="M24724" s="277"/>
      <c r="O24724" s="247"/>
      <c r="AC24724" s="247"/>
      <c r="AT24724" s="247"/>
    </row>
    <row r="24725">
      <c r="C24725" s="277"/>
      <c r="M24725" s="277"/>
      <c r="O24725" s="247"/>
      <c r="AC24725" s="247"/>
      <c r="AT24725" s="247"/>
    </row>
    <row r="24726">
      <c r="C24726" s="277"/>
      <c r="M24726" s="277"/>
      <c r="O24726" s="247"/>
      <c r="AC24726" s="247"/>
      <c r="AT24726" s="247"/>
    </row>
    <row r="24727">
      <c r="C24727" s="277"/>
      <c r="M24727" s="277"/>
      <c r="O24727" s="247"/>
      <c r="AC24727" s="247"/>
      <c r="AT24727" s="247"/>
    </row>
    <row r="24728">
      <c r="C24728" s="277"/>
      <c r="M24728" s="277"/>
      <c r="O24728" s="247"/>
      <c r="AC24728" s="247"/>
      <c r="AT24728" s="247"/>
    </row>
    <row r="24729">
      <c r="C24729" s="277"/>
      <c r="M24729" s="277"/>
      <c r="O24729" s="247"/>
      <c r="AC24729" s="247"/>
      <c r="AT24729" s="247"/>
    </row>
    <row r="24730">
      <c r="C24730" s="277"/>
      <c r="M24730" s="277"/>
      <c r="O24730" s="247"/>
      <c r="AC24730" s="247"/>
      <c r="AT24730" s="247"/>
    </row>
    <row r="24731">
      <c r="C24731" s="277"/>
      <c r="M24731" s="277"/>
      <c r="O24731" s="247"/>
      <c r="AC24731" s="247"/>
      <c r="AT24731" s="247"/>
    </row>
    <row r="24732">
      <c r="C24732" s="277"/>
      <c r="M24732" s="277"/>
      <c r="O24732" s="247"/>
      <c r="AC24732" s="247"/>
      <c r="AT24732" s="247"/>
    </row>
    <row r="24733">
      <c r="C24733" s="277"/>
      <c r="M24733" s="277"/>
      <c r="O24733" s="247"/>
      <c r="AC24733" s="247"/>
      <c r="AT24733" s="247"/>
    </row>
    <row r="24734">
      <c r="C24734" s="277"/>
      <c r="M24734" s="277"/>
      <c r="O24734" s="247"/>
      <c r="AC24734" s="247"/>
      <c r="AT24734" s="247"/>
    </row>
    <row r="24735">
      <c r="C24735" s="277"/>
      <c r="M24735" s="277"/>
      <c r="O24735" s="247"/>
      <c r="AC24735" s="247"/>
      <c r="AT24735" s="247"/>
    </row>
    <row r="24736">
      <c r="C24736" s="277"/>
      <c r="M24736" s="277"/>
      <c r="O24736" s="247"/>
      <c r="AC24736" s="247"/>
      <c r="AT24736" s="247"/>
    </row>
    <row r="24737">
      <c r="C24737" s="277"/>
      <c r="M24737" s="277"/>
      <c r="O24737" s="247"/>
      <c r="AC24737" s="247"/>
      <c r="AT24737" s="247"/>
    </row>
    <row r="24738">
      <c r="C24738" s="277"/>
      <c r="M24738" s="277"/>
      <c r="O24738" s="247"/>
      <c r="AC24738" s="247"/>
      <c r="AT24738" s="247"/>
    </row>
    <row r="24739">
      <c r="C24739" s="277"/>
      <c r="M24739" s="277"/>
      <c r="O24739" s="247"/>
      <c r="AC24739" s="247"/>
      <c r="AT24739" s="247"/>
    </row>
    <row r="24740">
      <c r="C24740" s="277"/>
      <c r="M24740" s="277"/>
      <c r="O24740" s="247"/>
      <c r="AC24740" s="247"/>
      <c r="AT24740" s="247"/>
    </row>
    <row r="24741">
      <c r="C24741" s="277"/>
      <c r="M24741" s="277"/>
      <c r="O24741" s="247"/>
      <c r="AC24741" s="247"/>
      <c r="AT24741" s="247"/>
    </row>
    <row r="24742">
      <c r="C24742" s="277"/>
      <c r="M24742" s="277"/>
      <c r="O24742" s="247"/>
      <c r="AC24742" s="247"/>
      <c r="AT24742" s="247"/>
    </row>
    <row r="24743">
      <c r="C24743" s="277"/>
      <c r="M24743" s="277"/>
      <c r="O24743" s="247"/>
      <c r="AC24743" s="247"/>
      <c r="AT24743" s="247"/>
    </row>
    <row r="24744">
      <c r="C24744" s="277"/>
      <c r="M24744" s="277"/>
      <c r="O24744" s="247"/>
      <c r="AC24744" s="247"/>
      <c r="AT24744" s="247"/>
    </row>
    <row r="24745">
      <c r="C24745" s="277"/>
      <c r="M24745" s="277"/>
      <c r="O24745" s="247"/>
      <c r="AC24745" s="247"/>
      <c r="AT24745" s="247"/>
    </row>
    <row r="24746">
      <c r="C24746" s="277"/>
      <c r="M24746" s="277"/>
      <c r="O24746" s="247"/>
      <c r="AC24746" s="247"/>
      <c r="AT24746" s="247"/>
    </row>
    <row r="24747">
      <c r="C24747" s="277"/>
      <c r="M24747" s="277"/>
      <c r="O24747" s="247"/>
      <c r="AC24747" s="247"/>
      <c r="AT24747" s="247"/>
    </row>
    <row r="24748">
      <c r="C24748" s="277"/>
      <c r="M24748" s="277"/>
      <c r="O24748" s="247"/>
      <c r="AC24748" s="247"/>
      <c r="AT24748" s="247"/>
    </row>
    <row r="24749">
      <c r="C24749" s="277"/>
      <c r="M24749" s="277"/>
      <c r="O24749" s="247"/>
      <c r="AC24749" s="247"/>
      <c r="AT24749" s="247"/>
    </row>
    <row r="24750">
      <c r="C24750" s="277"/>
      <c r="M24750" s="277"/>
      <c r="O24750" s="247"/>
      <c r="AC24750" s="247"/>
      <c r="AT24750" s="247"/>
    </row>
    <row r="24751">
      <c r="C24751" s="277"/>
      <c r="M24751" s="277"/>
      <c r="O24751" s="247"/>
      <c r="AC24751" s="247"/>
      <c r="AT24751" s="247"/>
    </row>
    <row r="24752">
      <c r="C24752" s="277"/>
      <c r="M24752" s="277"/>
      <c r="O24752" s="247"/>
      <c r="AC24752" s="247"/>
      <c r="AT24752" s="247"/>
    </row>
    <row r="24753">
      <c r="C24753" s="277"/>
      <c r="M24753" s="277"/>
      <c r="O24753" s="247"/>
      <c r="AC24753" s="247"/>
      <c r="AT24753" s="247"/>
    </row>
    <row r="24754">
      <c r="C24754" s="277"/>
      <c r="M24754" s="277"/>
      <c r="O24754" s="247"/>
      <c r="AC24754" s="247"/>
      <c r="AT24754" s="247"/>
    </row>
    <row r="24755">
      <c r="C24755" s="277"/>
      <c r="M24755" s="277"/>
      <c r="O24755" s="247"/>
      <c r="AC24755" s="247"/>
      <c r="AT24755" s="247"/>
    </row>
    <row r="24756">
      <c r="C24756" s="277"/>
      <c r="M24756" s="277"/>
      <c r="O24756" s="247"/>
      <c r="AC24756" s="247"/>
      <c r="AT24756" s="247"/>
    </row>
    <row r="24757">
      <c r="C24757" s="277"/>
      <c r="M24757" s="277"/>
      <c r="O24757" s="247"/>
      <c r="AC24757" s="247"/>
      <c r="AT24757" s="247"/>
    </row>
    <row r="24758">
      <c r="C24758" s="277"/>
      <c r="M24758" s="277"/>
      <c r="O24758" s="247"/>
      <c r="AC24758" s="247"/>
      <c r="AT24758" s="247"/>
    </row>
    <row r="24759">
      <c r="C24759" s="277"/>
      <c r="M24759" s="277"/>
      <c r="O24759" s="247"/>
      <c r="AC24759" s="247"/>
      <c r="AT24759" s="247"/>
    </row>
    <row r="24760">
      <c r="C24760" s="277"/>
      <c r="M24760" s="277"/>
      <c r="O24760" s="247"/>
      <c r="AC24760" s="247"/>
      <c r="AT24760" s="247"/>
    </row>
    <row r="24761">
      <c r="C24761" s="277"/>
      <c r="M24761" s="277"/>
      <c r="O24761" s="247"/>
      <c r="AC24761" s="247"/>
      <c r="AT24761" s="247"/>
    </row>
    <row r="24762">
      <c r="C24762" s="277"/>
      <c r="M24762" s="277"/>
      <c r="O24762" s="247"/>
      <c r="AC24762" s="247"/>
      <c r="AT24762" s="247"/>
    </row>
    <row r="24763">
      <c r="C24763" s="277"/>
      <c r="M24763" s="277"/>
      <c r="O24763" s="247"/>
      <c r="AC24763" s="247"/>
      <c r="AT24763" s="247"/>
    </row>
    <row r="24764">
      <c r="C24764" s="277"/>
      <c r="M24764" s="277"/>
      <c r="O24764" s="247"/>
      <c r="AC24764" s="247"/>
      <c r="AT24764" s="247"/>
    </row>
    <row r="24765">
      <c r="C24765" s="277"/>
      <c r="M24765" s="277"/>
      <c r="O24765" s="247"/>
      <c r="AC24765" s="247"/>
      <c r="AT24765" s="247"/>
    </row>
    <row r="24766">
      <c r="C24766" s="277"/>
      <c r="M24766" s="277"/>
      <c r="O24766" s="247"/>
      <c r="AC24766" s="247"/>
      <c r="AT24766" s="247"/>
    </row>
    <row r="24767">
      <c r="C24767" s="277"/>
      <c r="M24767" s="277"/>
      <c r="O24767" s="247"/>
      <c r="AC24767" s="247"/>
      <c r="AT24767" s="247"/>
    </row>
    <row r="24768">
      <c r="C24768" s="277"/>
      <c r="M24768" s="277"/>
      <c r="O24768" s="247"/>
      <c r="AC24768" s="247"/>
      <c r="AT24768" s="247"/>
    </row>
    <row r="24769">
      <c r="C24769" s="277"/>
      <c r="M24769" s="277"/>
      <c r="O24769" s="247"/>
      <c r="AC24769" s="247"/>
      <c r="AT24769" s="247"/>
    </row>
    <row r="24770">
      <c r="C24770" s="277"/>
      <c r="M24770" s="277"/>
      <c r="O24770" s="247"/>
      <c r="AC24770" s="247"/>
      <c r="AT24770" s="247"/>
    </row>
    <row r="24771">
      <c r="C24771" s="277"/>
      <c r="M24771" s="277"/>
      <c r="O24771" s="247"/>
      <c r="AC24771" s="247"/>
      <c r="AT24771" s="247"/>
    </row>
    <row r="24772">
      <c r="C24772" s="277"/>
      <c r="M24772" s="277"/>
      <c r="O24772" s="247"/>
      <c r="AC24772" s="247"/>
      <c r="AT24772" s="247"/>
    </row>
    <row r="24773">
      <c r="C24773" s="277"/>
      <c r="M24773" s="277"/>
      <c r="O24773" s="247"/>
      <c r="AC24773" s="247"/>
      <c r="AT24773" s="247"/>
    </row>
    <row r="24774">
      <c r="C24774" s="277"/>
      <c r="M24774" s="277"/>
      <c r="O24774" s="247"/>
      <c r="AC24774" s="247"/>
      <c r="AT24774" s="247"/>
    </row>
    <row r="24775">
      <c r="C24775" s="277"/>
      <c r="M24775" s="277"/>
      <c r="O24775" s="247"/>
      <c r="AC24775" s="247"/>
      <c r="AT24775" s="247"/>
    </row>
    <row r="24776">
      <c r="C24776" s="277"/>
      <c r="M24776" s="277"/>
      <c r="O24776" s="247"/>
      <c r="AC24776" s="247"/>
      <c r="AT24776" s="247"/>
    </row>
    <row r="24777">
      <c r="C24777" s="277"/>
      <c r="M24777" s="277"/>
      <c r="O24777" s="247"/>
      <c r="AC24777" s="247"/>
      <c r="AT24777" s="247"/>
    </row>
    <row r="24778">
      <c r="C24778" s="277"/>
      <c r="M24778" s="277"/>
      <c r="O24778" s="247"/>
      <c r="AC24778" s="247"/>
      <c r="AT24778" s="247"/>
    </row>
    <row r="24779">
      <c r="C24779" s="277"/>
      <c r="M24779" s="277"/>
      <c r="O24779" s="247"/>
      <c r="AC24779" s="247"/>
      <c r="AT24779" s="247"/>
    </row>
    <row r="24780">
      <c r="C24780" s="277"/>
      <c r="M24780" s="277"/>
      <c r="O24780" s="247"/>
      <c r="AC24780" s="247"/>
      <c r="AT24780" s="247"/>
    </row>
    <row r="24781">
      <c r="C24781" s="277"/>
      <c r="M24781" s="277"/>
      <c r="O24781" s="247"/>
      <c r="AC24781" s="247"/>
      <c r="AT24781" s="247"/>
    </row>
    <row r="24782">
      <c r="C24782" s="277"/>
      <c r="M24782" s="277"/>
      <c r="O24782" s="247"/>
      <c r="AC24782" s="247"/>
      <c r="AT24782" s="247"/>
    </row>
    <row r="24783">
      <c r="C24783" s="277"/>
      <c r="M24783" s="277"/>
      <c r="O24783" s="247"/>
      <c r="AC24783" s="247"/>
      <c r="AT24783" s="247"/>
    </row>
    <row r="24784">
      <c r="C24784" s="277"/>
      <c r="M24784" s="277"/>
      <c r="O24784" s="247"/>
      <c r="AC24784" s="247"/>
      <c r="AT24784" s="247"/>
    </row>
    <row r="24785">
      <c r="C24785" s="277"/>
      <c r="M24785" s="277"/>
      <c r="O24785" s="247"/>
      <c r="AC24785" s="247"/>
      <c r="AT24785" s="247"/>
    </row>
    <row r="24786">
      <c r="C24786" s="277"/>
      <c r="M24786" s="277"/>
      <c r="O24786" s="247"/>
      <c r="AC24786" s="247"/>
      <c r="AT24786" s="247"/>
    </row>
    <row r="24787">
      <c r="C24787" s="277"/>
      <c r="M24787" s="277"/>
      <c r="O24787" s="247"/>
      <c r="AC24787" s="247"/>
      <c r="AT24787" s="247"/>
    </row>
    <row r="24788">
      <c r="C24788" s="277"/>
      <c r="M24788" s="277"/>
      <c r="O24788" s="247"/>
      <c r="AC24788" s="247"/>
      <c r="AT24788" s="247"/>
    </row>
    <row r="24789">
      <c r="C24789" s="277"/>
      <c r="M24789" s="277"/>
      <c r="O24789" s="247"/>
      <c r="AC24789" s="247"/>
      <c r="AT24789" s="247"/>
    </row>
    <row r="24790">
      <c r="C24790" s="277"/>
      <c r="M24790" s="277"/>
      <c r="O24790" s="247"/>
      <c r="AC24790" s="247"/>
      <c r="AT24790" s="247"/>
    </row>
    <row r="24791">
      <c r="C24791" s="277"/>
      <c r="M24791" s="277"/>
      <c r="O24791" s="247"/>
      <c r="AC24791" s="247"/>
      <c r="AT24791" s="247"/>
    </row>
    <row r="24792">
      <c r="C24792" s="277"/>
      <c r="M24792" s="277"/>
      <c r="O24792" s="247"/>
      <c r="AC24792" s="247"/>
      <c r="AT24792" s="247"/>
    </row>
    <row r="24793">
      <c r="C24793" s="277"/>
      <c r="M24793" s="277"/>
      <c r="O24793" s="247"/>
      <c r="AC24793" s="247"/>
      <c r="AT24793" s="247"/>
    </row>
    <row r="24794">
      <c r="C24794" s="277"/>
      <c r="M24794" s="277"/>
      <c r="O24794" s="247"/>
      <c r="AC24794" s="247"/>
      <c r="AT24794" s="247"/>
    </row>
    <row r="24795">
      <c r="C24795" s="277"/>
      <c r="M24795" s="277"/>
      <c r="O24795" s="247"/>
      <c r="AC24795" s="247"/>
      <c r="AT24795" s="247"/>
    </row>
    <row r="24796">
      <c r="C24796" s="277"/>
      <c r="M24796" s="277"/>
      <c r="O24796" s="247"/>
      <c r="AC24796" s="247"/>
      <c r="AT24796" s="247"/>
    </row>
    <row r="24797">
      <c r="C24797" s="277"/>
      <c r="M24797" s="277"/>
      <c r="O24797" s="247"/>
      <c r="AC24797" s="247"/>
      <c r="AT24797" s="247"/>
    </row>
    <row r="24798">
      <c r="C24798" s="277"/>
      <c r="M24798" s="277"/>
      <c r="O24798" s="247"/>
      <c r="AC24798" s="247"/>
      <c r="AT24798" s="247"/>
    </row>
    <row r="24799">
      <c r="C24799" s="277"/>
      <c r="M24799" s="277"/>
      <c r="O24799" s="247"/>
      <c r="AC24799" s="247"/>
      <c r="AT24799" s="247"/>
    </row>
    <row r="24800">
      <c r="C24800" s="277"/>
      <c r="M24800" s="277"/>
      <c r="O24800" s="247"/>
      <c r="AC24800" s="247"/>
      <c r="AT24800" s="247"/>
    </row>
    <row r="24801">
      <c r="C24801" s="277"/>
      <c r="M24801" s="277"/>
      <c r="O24801" s="247"/>
      <c r="AC24801" s="247"/>
      <c r="AT24801" s="247"/>
    </row>
    <row r="24802">
      <c r="C24802" s="277"/>
      <c r="M24802" s="277"/>
      <c r="O24802" s="247"/>
      <c r="AC24802" s="247"/>
      <c r="AT24802" s="247"/>
    </row>
    <row r="24803">
      <c r="C24803" s="277"/>
      <c r="M24803" s="277"/>
      <c r="O24803" s="247"/>
      <c r="AC24803" s="247"/>
      <c r="AT24803" s="247"/>
    </row>
    <row r="24804">
      <c r="C24804" s="277"/>
      <c r="M24804" s="277"/>
      <c r="O24804" s="247"/>
      <c r="AC24804" s="247"/>
      <c r="AT24804" s="247"/>
    </row>
    <row r="24805">
      <c r="C24805" s="277"/>
      <c r="M24805" s="277"/>
      <c r="O24805" s="247"/>
      <c r="AC24805" s="247"/>
      <c r="AT24805" s="247"/>
    </row>
    <row r="24806">
      <c r="C24806" s="277"/>
      <c r="M24806" s="277"/>
      <c r="O24806" s="247"/>
      <c r="AC24806" s="247"/>
      <c r="AT24806" s="247"/>
    </row>
    <row r="24807">
      <c r="C24807" s="277"/>
      <c r="M24807" s="277"/>
      <c r="O24807" s="247"/>
      <c r="AC24807" s="247"/>
      <c r="AT24807" s="247"/>
    </row>
    <row r="24808">
      <c r="C24808" s="277"/>
      <c r="M24808" s="277"/>
      <c r="O24808" s="247"/>
      <c r="AC24808" s="247"/>
      <c r="AT24808" s="247"/>
    </row>
    <row r="24809">
      <c r="C24809" s="277"/>
      <c r="M24809" s="277"/>
      <c r="O24809" s="247"/>
      <c r="AC24809" s="247"/>
      <c r="AT24809" s="247"/>
    </row>
    <row r="24810">
      <c r="C24810" s="277"/>
      <c r="M24810" s="277"/>
      <c r="O24810" s="247"/>
      <c r="AC24810" s="247"/>
      <c r="AT24810" s="247"/>
    </row>
    <row r="24811">
      <c r="C24811" s="277"/>
      <c r="M24811" s="277"/>
      <c r="O24811" s="247"/>
      <c r="AC24811" s="247"/>
      <c r="AT24811" s="247"/>
    </row>
    <row r="24812">
      <c r="C24812" s="277"/>
      <c r="M24812" s="277"/>
      <c r="O24812" s="247"/>
      <c r="AC24812" s="247"/>
      <c r="AT24812" s="247"/>
    </row>
    <row r="24813">
      <c r="C24813" s="277"/>
      <c r="M24813" s="277"/>
      <c r="O24813" s="247"/>
      <c r="AC24813" s="247"/>
      <c r="AT24813" s="247"/>
    </row>
    <row r="24814">
      <c r="C24814" s="277"/>
      <c r="M24814" s="277"/>
      <c r="O24814" s="247"/>
      <c r="AC24814" s="247"/>
      <c r="AT24814" s="247"/>
    </row>
    <row r="24815">
      <c r="C24815" s="277"/>
      <c r="M24815" s="277"/>
      <c r="O24815" s="247"/>
      <c r="AC24815" s="247"/>
      <c r="AT24815" s="247"/>
    </row>
    <row r="24816">
      <c r="C24816" s="277"/>
      <c r="M24816" s="277"/>
      <c r="O24816" s="247"/>
      <c r="AC24816" s="247"/>
      <c r="AT24816" s="247"/>
    </row>
    <row r="24817">
      <c r="C24817" s="277"/>
      <c r="M24817" s="277"/>
      <c r="O24817" s="247"/>
      <c r="AC24817" s="247"/>
      <c r="AT24817" s="247"/>
    </row>
    <row r="24818">
      <c r="C24818" s="277"/>
      <c r="M24818" s="277"/>
      <c r="O24818" s="247"/>
      <c r="AC24818" s="247"/>
      <c r="AT24818" s="247"/>
    </row>
    <row r="24819">
      <c r="C24819" s="277"/>
      <c r="M24819" s="277"/>
      <c r="O24819" s="247"/>
      <c r="AC24819" s="247"/>
      <c r="AT24819" s="247"/>
    </row>
    <row r="24820">
      <c r="C24820" s="277"/>
      <c r="M24820" s="277"/>
      <c r="O24820" s="247"/>
      <c r="AC24820" s="247"/>
      <c r="AT24820" s="247"/>
    </row>
    <row r="24821">
      <c r="C24821" s="277"/>
      <c r="M24821" s="277"/>
      <c r="O24821" s="247"/>
      <c r="AC24821" s="247"/>
      <c r="AT24821" s="247"/>
    </row>
    <row r="24822">
      <c r="C24822" s="277"/>
      <c r="M24822" s="277"/>
      <c r="O24822" s="247"/>
      <c r="AC24822" s="247"/>
      <c r="AT24822" s="247"/>
    </row>
    <row r="24823">
      <c r="C24823" s="277"/>
      <c r="M24823" s="277"/>
      <c r="O24823" s="247"/>
      <c r="AC24823" s="247"/>
      <c r="AT24823" s="247"/>
    </row>
    <row r="24824">
      <c r="C24824" s="277"/>
      <c r="M24824" s="277"/>
      <c r="O24824" s="247"/>
      <c r="AC24824" s="247"/>
      <c r="AT24824" s="247"/>
    </row>
    <row r="24825">
      <c r="C24825" s="277"/>
      <c r="M24825" s="277"/>
      <c r="O24825" s="247"/>
      <c r="AC24825" s="247"/>
      <c r="AT24825" s="247"/>
    </row>
    <row r="24826">
      <c r="C24826" s="277"/>
      <c r="M24826" s="277"/>
      <c r="O24826" s="247"/>
      <c r="AC24826" s="247"/>
      <c r="AT24826" s="247"/>
    </row>
    <row r="24827">
      <c r="C24827" s="277"/>
      <c r="M24827" s="277"/>
      <c r="O24827" s="247"/>
      <c r="AC24827" s="247"/>
      <c r="AT24827" s="247"/>
    </row>
    <row r="24828">
      <c r="C24828" s="277"/>
      <c r="M24828" s="277"/>
      <c r="O24828" s="247"/>
      <c r="AC24828" s="247"/>
      <c r="AT24828" s="247"/>
    </row>
    <row r="24829">
      <c r="C24829" s="277"/>
      <c r="M24829" s="277"/>
      <c r="O24829" s="247"/>
      <c r="AC24829" s="247"/>
      <c r="AT24829" s="247"/>
    </row>
    <row r="24830">
      <c r="C24830" s="277"/>
      <c r="M24830" s="277"/>
      <c r="O24830" s="247"/>
      <c r="AC24830" s="247"/>
      <c r="AT24830" s="247"/>
    </row>
    <row r="24831">
      <c r="C24831" s="277"/>
      <c r="M24831" s="277"/>
      <c r="O24831" s="247"/>
      <c r="AC24831" s="247"/>
      <c r="AT24831" s="247"/>
    </row>
    <row r="24832">
      <c r="C24832" s="277"/>
      <c r="M24832" s="277"/>
      <c r="O24832" s="247"/>
      <c r="AC24832" s="247"/>
      <c r="AT24832" s="247"/>
    </row>
    <row r="24833">
      <c r="C24833" s="277"/>
      <c r="M24833" s="277"/>
      <c r="O24833" s="247"/>
      <c r="AC24833" s="247"/>
      <c r="AT24833" s="247"/>
    </row>
    <row r="24834">
      <c r="C24834" s="277"/>
      <c r="M24834" s="277"/>
      <c r="O24834" s="247"/>
      <c r="AC24834" s="247"/>
      <c r="AT24834" s="247"/>
    </row>
    <row r="24835">
      <c r="C24835" s="277"/>
      <c r="M24835" s="277"/>
      <c r="O24835" s="247"/>
      <c r="AC24835" s="247"/>
      <c r="AT24835" s="247"/>
    </row>
    <row r="24836">
      <c r="C24836" s="277"/>
      <c r="M24836" s="277"/>
      <c r="O24836" s="247"/>
      <c r="AC24836" s="247"/>
      <c r="AT24836" s="247"/>
    </row>
    <row r="24837">
      <c r="C24837" s="277"/>
      <c r="M24837" s="277"/>
      <c r="O24837" s="247"/>
      <c r="AC24837" s="247"/>
      <c r="AT24837" s="247"/>
    </row>
    <row r="24838">
      <c r="C24838" s="277"/>
      <c r="M24838" s="277"/>
      <c r="O24838" s="247"/>
      <c r="AC24838" s="247"/>
      <c r="AT24838" s="247"/>
    </row>
    <row r="24839">
      <c r="C24839" s="277"/>
      <c r="M24839" s="277"/>
      <c r="O24839" s="247"/>
      <c r="AC24839" s="247"/>
      <c r="AT24839" s="247"/>
    </row>
    <row r="24840">
      <c r="C24840" s="277"/>
      <c r="M24840" s="277"/>
      <c r="O24840" s="247"/>
      <c r="AC24840" s="247"/>
      <c r="AT24840" s="247"/>
    </row>
    <row r="24841">
      <c r="C24841" s="277"/>
      <c r="M24841" s="277"/>
      <c r="O24841" s="247"/>
      <c r="AC24841" s="247"/>
      <c r="AT24841" s="247"/>
    </row>
    <row r="24842">
      <c r="C24842" s="277"/>
      <c r="M24842" s="277"/>
      <c r="O24842" s="247"/>
      <c r="AC24842" s="247"/>
      <c r="AT24842" s="247"/>
    </row>
    <row r="24843">
      <c r="C24843" s="277"/>
      <c r="M24843" s="277"/>
      <c r="O24843" s="247"/>
      <c r="AC24843" s="247"/>
      <c r="AT24843" s="247"/>
    </row>
    <row r="24844">
      <c r="C24844" s="277"/>
      <c r="M24844" s="277"/>
      <c r="O24844" s="247"/>
      <c r="AC24844" s="247"/>
      <c r="AT24844" s="247"/>
    </row>
    <row r="24845">
      <c r="C24845" s="277"/>
      <c r="M24845" s="277"/>
      <c r="O24845" s="247"/>
      <c r="AC24845" s="247"/>
      <c r="AT24845" s="247"/>
    </row>
    <row r="24846">
      <c r="C24846" s="277"/>
      <c r="M24846" s="277"/>
      <c r="O24846" s="247"/>
      <c r="AC24846" s="247"/>
      <c r="AT24846" s="247"/>
    </row>
    <row r="24847">
      <c r="C24847" s="277"/>
      <c r="M24847" s="277"/>
      <c r="O24847" s="247"/>
      <c r="AC24847" s="247"/>
      <c r="AT24847" s="247"/>
    </row>
    <row r="24848">
      <c r="C24848" s="277"/>
      <c r="M24848" s="277"/>
      <c r="O24848" s="247"/>
      <c r="AC24848" s="247"/>
      <c r="AT24848" s="247"/>
    </row>
    <row r="24849">
      <c r="C24849" s="277"/>
      <c r="M24849" s="277"/>
      <c r="O24849" s="247"/>
      <c r="AC24849" s="247"/>
      <c r="AT24849" s="247"/>
    </row>
    <row r="24850">
      <c r="C24850" s="277"/>
      <c r="M24850" s="277"/>
      <c r="O24850" s="247"/>
      <c r="AC24850" s="247"/>
      <c r="AT24850" s="247"/>
    </row>
    <row r="24851">
      <c r="C24851" s="277"/>
      <c r="M24851" s="277"/>
      <c r="O24851" s="247"/>
      <c r="AC24851" s="247"/>
      <c r="AT24851" s="247"/>
    </row>
    <row r="24852">
      <c r="C24852" s="277"/>
      <c r="M24852" s="277"/>
      <c r="O24852" s="247"/>
      <c r="AC24852" s="247"/>
      <c r="AT24852" s="247"/>
    </row>
    <row r="24853">
      <c r="C24853" s="277"/>
      <c r="M24853" s="277"/>
      <c r="O24853" s="247"/>
      <c r="AC24853" s="247"/>
      <c r="AT24853" s="247"/>
    </row>
    <row r="24854">
      <c r="C24854" s="277"/>
      <c r="M24854" s="277"/>
      <c r="O24854" s="247"/>
      <c r="AC24854" s="247"/>
      <c r="AT24854" s="247"/>
    </row>
    <row r="24855">
      <c r="C24855" s="277"/>
      <c r="M24855" s="277"/>
      <c r="O24855" s="247"/>
      <c r="AC24855" s="247"/>
      <c r="AT24855" s="247"/>
    </row>
    <row r="24856">
      <c r="C24856" s="277"/>
      <c r="M24856" s="277"/>
      <c r="O24856" s="247"/>
      <c r="AC24856" s="247"/>
      <c r="AT24856" s="247"/>
    </row>
    <row r="24857">
      <c r="C24857" s="277"/>
      <c r="M24857" s="277"/>
      <c r="O24857" s="247"/>
      <c r="AC24857" s="247"/>
      <c r="AT24857" s="247"/>
    </row>
    <row r="24858">
      <c r="C24858" s="277"/>
      <c r="M24858" s="277"/>
      <c r="O24858" s="247"/>
      <c r="AC24858" s="247"/>
      <c r="AT24858" s="247"/>
    </row>
    <row r="24859">
      <c r="C24859" s="277"/>
      <c r="M24859" s="277"/>
      <c r="O24859" s="247"/>
      <c r="AC24859" s="247"/>
      <c r="AT24859" s="247"/>
    </row>
    <row r="24860">
      <c r="C24860" s="277"/>
      <c r="M24860" s="277"/>
      <c r="O24860" s="247"/>
      <c r="AC24860" s="247"/>
      <c r="AT24860" s="247"/>
    </row>
    <row r="24861">
      <c r="C24861" s="277"/>
      <c r="M24861" s="277"/>
      <c r="O24861" s="247"/>
      <c r="AC24861" s="247"/>
      <c r="AT24861" s="247"/>
    </row>
    <row r="24862">
      <c r="C24862" s="277"/>
      <c r="M24862" s="277"/>
      <c r="O24862" s="247"/>
      <c r="AC24862" s="247"/>
      <c r="AT24862" s="247"/>
    </row>
    <row r="24863">
      <c r="C24863" s="277"/>
      <c r="M24863" s="277"/>
      <c r="O24863" s="247"/>
      <c r="AC24863" s="247"/>
      <c r="AT24863" s="247"/>
    </row>
    <row r="24864">
      <c r="C24864" s="277"/>
      <c r="M24864" s="277"/>
      <c r="O24864" s="247"/>
      <c r="AC24864" s="247"/>
      <c r="AT24864" s="247"/>
    </row>
    <row r="24865">
      <c r="C24865" s="277"/>
      <c r="M24865" s="277"/>
      <c r="O24865" s="247"/>
      <c r="AC24865" s="247"/>
      <c r="AT24865" s="247"/>
    </row>
    <row r="24866">
      <c r="C24866" s="277"/>
      <c r="M24866" s="277"/>
      <c r="O24866" s="247"/>
      <c r="AC24866" s="247"/>
      <c r="AT24866" s="247"/>
    </row>
    <row r="24867">
      <c r="C24867" s="277"/>
      <c r="M24867" s="277"/>
      <c r="O24867" s="247"/>
      <c r="AC24867" s="247"/>
      <c r="AT24867" s="247"/>
    </row>
    <row r="24868">
      <c r="C24868" s="277"/>
      <c r="M24868" s="277"/>
      <c r="O24868" s="247"/>
      <c r="AC24868" s="247"/>
      <c r="AT24868" s="247"/>
    </row>
    <row r="24869">
      <c r="C24869" s="277"/>
      <c r="M24869" s="277"/>
      <c r="O24869" s="247"/>
      <c r="AC24869" s="247"/>
      <c r="AT24869" s="247"/>
    </row>
    <row r="24870">
      <c r="C24870" s="277"/>
      <c r="M24870" s="277"/>
      <c r="O24870" s="247"/>
      <c r="AC24870" s="247"/>
      <c r="AT24870" s="247"/>
    </row>
    <row r="24871">
      <c r="C24871" s="277"/>
      <c r="M24871" s="277"/>
      <c r="O24871" s="247"/>
      <c r="AC24871" s="247"/>
      <c r="AT24871" s="247"/>
    </row>
    <row r="24872">
      <c r="C24872" s="277"/>
      <c r="M24872" s="277"/>
      <c r="O24872" s="247"/>
      <c r="AC24872" s="247"/>
      <c r="AT24872" s="247"/>
    </row>
    <row r="24873">
      <c r="C24873" s="277"/>
      <c r="M24873" s="277"/>
      <c r="O24873" s="247"/>
      <c r="AC24873" s="247"/>
      <c r="AT24873" s="247"/>
    </row>
    <row r="24874">
      <c r="C24874" s="277"/>
      <c r="M24874" s="277"/>
      <c r="O24874" s="247"/>
      <c r="AC24874" s="247"/>
      <c r="AT24874" s="247"/>
    </row>
    <row r="24875">
      <c r="C24875" s="277"/>
      <c r="M24875" s="277"/>
      <c r="O24875" s="247"/>
      <c r="AC24875" s="247"/>
      <c r="AT24875" s="247"/>
    </row>
    <row r="24876">
      <c r="C24876" s="277"/>
      <c r="M24876" s="277"/>
      <c r="O24876" s="247"/>
      <c r="AC24876" s="247"/>
      <c r="AT24876" s="247"/>
    </row>
    <row r="24877">
      <c r="C24877" s="277"/>
      <c r="M24877" s="277"/>
      <c r="O24877" s="247"/>
      <c r="AC24877" s="247"/>
      <c r="AT24877" s="247"/>
    </row>
    <row r="24878">
      <c r="C24878" s="277"/>
      <c r="M24878" s="277"/>
      <c r="O24878" s="247"/>
      <c r="AC24878" s="247"/>
      <c r="AT24878" s="247"/>
    </row>
    <row r="24879">
      <c r="C24879" s="277"/>
      <c r="M24879" s="277"/>
      <c r="O24879" s="247"/>
      <c r="AC24879" s="247"/>
      <c r="AT24879" s="247"/>
    </row>
    <row r="24880">
      <c r="C24880" s="277"/>
      <c r="M24880" s="277"/>
      <c r="O24880" s="247"/>
      <c r="AC24880" s="247"/>
      <c r="AT24880" s="247"/>
    </row>
    <row r="24881">
      <c r="C24881" s="277"/>
      <c r="M24881" s="277"/>
      <c r="O24881" s="247"/>
      <c r="AC24881" s="247"/>
      <c r="AT24881" s="247"/>
    </row>
    <row r="24882">
      <c r="C24882" s="277"/>
      <c r="M24882" s="277"/>
      <c r="O24882" s="247"/>
      <c r="AC24882" s="247"/>
      <c r="AT24882" s="247"/>
    </row>
    <row r="24883">
      <c r="C24883" s="277"/>
      <c r="M24883" s="277"/>
      <c r="O24883" s="247"/>
      <c r="AC24883" s="247"/>
      <c r="AT24883" s="247"/>
    </row>
    <row r="24884">
      <c r="C24884" s="277"/>
      <c r="M24884" s="277"/>
      <c r="O24884" s="247"/>
      <c r="AC24884" s="247"/>
      <c r="AT24884" s="247"/>
    </row>
    <row r="24885">
      <c r="C24885" s="277"/>
      <c r="M24885" s="277"/>
      <c r="O24885" s="247"/>
      <c r="AC24885" s="247"/>
      <c r="AT24885" s="247"/>
    </row>
    <row r="24886">
      <c r="C24886" s="277"/>
      <c r="M24886" s="277"/>
      <c r="O24886" s="247"/>
      <c r="AC24886" s="247"/>
      <c r="AT24886" s="247"/>
    </row>
    <row r="24887">
      <c r="C24887" s="277"/>
      <c r="M24887" s="277"/>
      <c r="O24887" s="247"/>
      <c r="AC24887" s="247"/>
      <c r="AT24887" s="247"/>
    </row>
    <row r="24888">
      <c r="C24888" s="277"/>
      <c r="M24888" s="277"/>
      <c r="O24888" s="247"/>
      <c r="AC24888" s="247"/>
      <c r="AT24888" s="247"/>
    </row>
    <row r="24889">
      <c r="C24889" s="277"/>
      <c r="M24889" s="277"/>
      <c r="O24889" s="247"/>
      <c r="AC24889" s="247"/>
      <c r="AT24889" s="247"/>
    </row>
    <row r="24890">
      <c r="C24890" s="277"/>
      <c r="M24890" s="277"/>
      <c r="O24890" s="247"/>
      <c r="AC24890" s="247"/>
      <c r="AT24890" s="247"/>
    </row>
    <row r="24891">
      <c r="C24891" s="277"/>
      <c r="M24891" s="277"/>
      <c r="O24891" s="247"/>
      <c r="AC24891" s="247"/>
      <c r="AT24891" s="247"/>
    </row>
    <row r="24892">
      <c r="C24892" s="277"/>
      <c r="M24892" s="277"/>
      <c r="O24892" s="247"/>
      <c r="AC24892" s="247"/>
      <c r="AT24892" s="247"/>
    </row>
    <row r="24893">
      <c r="C24893" s="277"/>
      <c r="M24893" s="277"/>
      <c r="O24893" s="247"/>
      <c r="AC24893" s="247"/>
      <c r="AT24893" s="247"/>
    </row>
    <row r="24894">
      <c r="C24894" s="277"/>
      <c r="M24894" s="277"/>
      <c r="O24894" s="247"/>
      <c r="AC24894" s="247"/>
      <c r="AT24894" s="247"/>
    </row>
    <row r="24895">
      <c r="C24895" s="277"/>
      <c r="M24895" s="277"/>
      <c r="O24895" s="247"/>
      <c r="AC24895" s="247"/>
      <c r="AT24895" s="247"/>
    </row>
    <row r="24896">
      <c r="C24896" s="277"/>
      <c r="M24896" s="277"/>
      <c r="O24896" s="247"/>
      <c r="AC24896" s="247"/>
      <c r="AT24896" s="247"/>
    </row>
    <row r="24897">
      <c r="C24897" s="277"/>
      <c r="M24897" s="277"/>
      <c r="O24897" s="247"/>
      <c r="AC24897" s="247"/>
      <c r="AT24897" s="247"/>
    </row>
    <row r="24898">
      <c r="C24898" s="277"/>
      <c r="M24898" s="277"/>
      <c r="O24898" s="247"/>
      <c r="AC24898" s="247"/>
      <c r="AT24898" s="247"/>
    </row>
    <row r="24899">
      <c r="C24899" s="277"/>
      <c r="M24899" s="277"/>
      <c r="O24899" s="247"/>
      <c r="AC24899" s="247"/>
      <c r="AT24899" s="247"/>
    </row>
    <row r="24900">
      <c r="C24900" s="277"/>
      <c r="M24900" s="277"/>
      <c r="O24900" s="247"/>
      <c r="AC24900" s="247"/>
      <c r="AT24900" s="247"/>
    </row>
    <row r="24901">
      <c r="C24901" s="277"/>
      <c r="M24901" s="277"/>
      <c r="O24901" s="247"/>
      <c r="AC24901" s="247"/>
      <c r="AT24901" s="247"/>
    </row>
    <row r="24902">
      <c r="C24902" s="277"/>
      <c r="M24902" s="277"/>
      <c r="O24902" s="247"/>
      <c r="AC24902" s="247"/>
      <c r="AT24902" s="247"/>
    </row>
    <row r="24903">
      <c r="C24903" s="277"/>
      <c r="M24903" s="277"/>
      <c r="O24903" s="247"/>
      <c r="AC24903" s="247"/>
      <c r="AT24903" s="247"/>
    </row>
    <row r="24904">
      <c r="C24904" s="277"/>
      <c r="M24904" s="277"/>
      <c r="O24904" s="247"/>
      <c r="AC24904" s="247"/>
      <c r="AT24904" s="247"/>
    </row>
    <row r="24905">
      <c r="C24905" s="277"/>
      <c r="M24905" s="277"/>
      <c r="O24905" s="247"/>
      <c r="AC24905" s="247"/>
      <c r="AT24905" s="247"/>
    </row>
    <row r="24906">
      <c r="C24906" s="277"/>
      <c r="M24906" s="277"/>
      <c r="O24906" s="247"/>
      <c r="AC24906" s="247"/>
      <c r="AT24906" s="247"/>
    </row>
    <row r="24907">
      <c r="C24907" s="277"/>
      <c r="M24907" s="277"/>
      <c r="O24907" s="247"/>
      <c r="AC24907" s="247"/>
      <c r="AT24907" s="247"/>
    </row>
    <row r="24908">
      <c r="C24908" s="277"/>
      <c r="M24908" s="277"/>
      <c r="O24908" s="247"/>
      <c r="AC24908" s="247"/>
      <c r="AT24908" s="247"/>
    </row>
    <row r="24909">
      <c r="C24909" s="277"/>
      <c r="M24909" s="277"/>
      <c r="O24909" s="247"/>
      <c r="AC24909" s="247"/>
      <c r="AT24909" s="247"/>
    </row>
    <row r="24910">
      <c r="C24910" s="277"/>
      <c r="M24910" s="277"/>
      <c r="O24910" s="247"/>
      <c r="AC24910" s="247"/>
      <c r="AT24910" s="247"/>
    </row>
    <row r="24911">
      <c r="C24911" s="277"/>
      <c r="M24911" s="277"/>
      <c r="O24911" s="247"/>
      <c r="AC24911" s="247"/>
      <c r="AT24911" s="247"/>
    </row>
    <row r="24912">
      <c r="C24912" s="277"/>
      <c r="M24912" s="277"/>
      <c r="O24912" s="247"/>
      <c r="AC24912" s="247"/>
      <c r="AT24912" s="247"/>
    </row>
    <row r="24913">
      <c r="C24913" s="277"/>
      <c r="M24913" s="277"/>
      <c r="O24913" s="247"/>
      <c r="AC24913" s="247"/>
      <c r="AT24913" s="247"/>
    </row>
    <row r="24914">
      <c r="C24914" s="277"/>
      <c r="M24914" s="277"/>
      <c r="O24914" s="247"/>
      <c r="AC24914" s="247"/>
      <c r="AT24914" s="247"/>
    </row>
    <row r="24915">
      <c r="C24915" s="277"/>
      <c r="M24915" s="277"/>
      <c r="O24915" s="247"/>
      <c r="AC24915" s="247"/>
      <c r="AT24915" s="247"/>
    </row>
    <row r="24916">
      <c r="C24916" s="277"/>
      <c r="M24916" s="277"/>
      <c r="O24916" s="247"/>
      <c r="AC24916" s="247"/>
      <c r="AT24916" s="247"/>
    </row>
    <row r="24917">
      <c r="C24917" s="277"/>
      <c r="M24917" s="277"/>
      <c r="O24917" s="247"/>
      <c r="AC24917" s="247"/>
      <c r="AT24917" s="247"/>
    </row>
    <row r="24918">
      <c r="C24918" s="277"/>
      <c r="M24918" s="277"/>
      <c r="O24918" s="247"/>
      <c r="AC24918" s="247"/>
      <c r="AT24918" s="247"/>
    </row>
    <row r="24919">
      <c r="C24919" s="277"/>
      <c r="M24919" s="277"/>
      <c r="O24919" s="247"/>
      <c r="AC24919" s="247"/>
      <c r="AT24919" s="247"/>
    </row>
    <row r="24920">
      <c r="C24920" s="277"/>
      <c r="M24920" s="277"/>
      <c r="O24920" s="247"/>
      <c r="AC24920" s="247"/>
      <c r="AT24920" s="247"/>
    </row>
    <row r="24921">
      <c r="C24921" s="277"/>
      <c r="M24921" s="277"/>
      <c r="O24921" s="247"/>
      <c r="AC24921" s="247"/>
      <c r="AT24921" s="247"/>
    </row>
    <row r="24922">
      <c r="C24922" s="277"/>
      <c r="M24922" s="277"/>
      <c r="O24922" s="247"/>
      <c r="AC24922" s="247"/>
      <c r="AT24922" s="247"/>
    </row>
    <row r="24923">
      <c r="C24923" s="277"/>
      <c r="M24923" s="277"/>
      <c r="O24923" s="247"/>
      <c r="AC24923" s="247"/>
      <c r="AT24923" s="247"/>
    </row>
    <row r="24924">
      <c r="C24924" s="277"/>
      <c r="M24924" s="277"/>
      <c r="O24924" s="247"/>
      <c r="AC24924" s="247"/>
      <c r="AT24924" s="247"/>
    </row>
    <row r="24925">
      <c r="C24925" s="277"/>
      <c r="M24925" s="277"/>
      <c r="O24925" s="247"/>
      <c r="AC24925" s="247"/>
      <c r="AT24925" s="247"/>
    </row>
    <row r="24926">
      <c r="C24926" s="277"/>
      <c r="M24926" s="277"/>
      <c r="O24926" s="247"/>
      <c r="AC24926" s="247"/>
      <c r="AT24926" s="247"/>
    </row>
    <row r="24927">
      <c r="C24927" s="277"/>
      <c r="M24927" s="277"/>
      <c r="O24927" s="247"/>
      <c r="AC24927" s="247"/>
      <c r="AT24927" s="247"/>
    </row>
    <row r="24928">
      <c r="C24928" s="277"/>
      <c r="M24928" s="277"/>
      <c r="O24928" s="247"/>
      <c r="AC24928" s="247"/>
      <c r="AT24928" s="247"/>
    </row>
    <row r="24929">
      <c r="C24929" s="277"/>
      <c r="M24929" s="277"/>
      <c r="O24929" s="247"/>
      <c r="AC24929" s="247"/>
      <c r="AT24929" s="247"/>
    </row>
    <row r="24930">
      <c r="C24930" s="277"/>
      <c r="M24930" s="277"/>
      <c r="O24930" s="247"/>
      <c r="AC24930" s="247"/>
      <c r="AT24930" s="247"/>
    </row>
    <row r="24931">
      <c r="C24931" s="277"/>
      <c r="M24931" s="277"/>
      <c r="O24931" s="247"/>
      <c r="AC24931" s="247"/>
      <c r="AT24931" s="247"/>
    </row>
    <row r="24932">
      <c r="C24932" s="277"/>
      <c r="M24932" s="277"/>
      <c r="O24932" s="247"/>
      <c r="AC24932" s="247"/>
      <c r="AT24932" s="247"/>
    </row>
    <row r="24933">
      <c r="C24933" s="277"/>
      <c r="M24933" s="277"/>
      <c r="O24933" s="247"/>
      <c r="AC24933" s="247"/>
      <c r="AT24933" s="247"/>
    </row>
    <row r="24934">
      <c r="C24934" s="277"/>
      <c r="M24934" s="277"/>
      <c r="O24934" s="247"/>
      <c r="AC24934" s="247"/>
      <c r="AT24934" s="247"/>
    </row>
    <row r="24935">
      <c r="C24935" s="277"/>
      <c r="M24935" s="277"/>
      <c r="O24935" s="247"/>
      <c r="AC24935" s="247"/>
      <c r="AT24935" s="247"/>
    </row>
    <row r="24936">
      <c r="C24936" s="277"/>
      <c r="M24936" s="277"/>
      <c r="O24936" s="247"/>
      <c r="AC24936" s="247"/>
      <c r="AT24936" s="247"/>
    </row>
    <row r="24937">
      <c r="C24937" s="277"/>
      <c r="M24937" s="277"/>
      <c r="O24937" s="247"/>
      <c r="AC24937" s="247"/>
      <c r="AT24937" s="247"/>
    </row>
    <row r="24938">
      <c r="C24938" s="277"/>
      <c r="M24938" s="277"/>
      <c r="O24938" s="247"/>
      <c r="AC24938" s="247"/>
      <c r="AT24938" s="247"/>
    </row>
    <row r="24939">
      <c r="C24939" s="277"/>
      <c r="M24939" s="277"/>
      <c r="O24939" s="247"/>
      <c r="AC24939" s="247"/>
      <c r="AT24939" s="247"/>
    </row>
    <row r="24940">
      <c r="C24940" s="277"/>
      <c r="M24940" s="277"/>
      <c r="O24940" s="247"/>
      <c r="AC24940" s="247"/>
      <c r="AT24940" s="247"/>
    </row>
    <row r="24941">
      <c r="C24941" s="277"/>
      <c r="M24941" s="277"/>
      <c r="O24941" s="247"/>
      <c r="AC24941" s="247"/>
      <c r="AT24941" s="247"/>
    </row>
    <row r="24942">
      <c r="C24942" s="277"/>
      <c r="M24942" s="277"/>
      <c r="O24942" s="247"/>
      <c r="AC24942" s="247"/>
      <c r="AT24942" s="247"/>
    </row>
    <row r="24943">
      <c r="C24943" s="277"/>
      <c r="M24943" s="277"/>
      <c r="O24943" s="247"/>
      <c r="AC24943" s="247"/>
      <c r="AT24943" s="247"/>
    </row>
    <row r="24944">
      <c r="C24944" s="277"/>
      <c r="M24944" s="277"/>
      <c r="O24944" s="247"/>
      <c r="AC24944" s="247"/>
      <c r="AT24944" s="247"/>
    </row>
    <row r="24945">
      <c r="C24945" s="277"/>
      <c r="M24945" s="277"/>
      <c r="O24945" s="247"/>
      <c r="AC24945" s="247"/>
      <c r="AT24945" s="247"/>
    </row>
    <row r="24946">
      <c r="C24946" s="277"/>
      <c r="M24946" s="277"/>
      <c r="O24946" s="247"/>
      <c r="AC24946" s="247"/>
      <c r="AT24946" s="247"/>
    </row>
    <row r="24947">
      <c r="C24947" s="277"/>
      <c r="M24947" s="277"/>
      <c r="O24947" s="247"/>
      <c r="AC24947" s="247"/>
      <c r="AT24947" s="247"/>
    </row>
    <row r="24948">
      <c r="C24948" s="277"/>
      <c r="M24948" s="277"/>
      <c r="O24948" s="247"/>
      <c r="AC24948" s="247"/>
      <c r="AT24948" s="247"/>
    </row>
    <row r="24949">
      <c r="C24949" s="277"/>
      <c r="M24949" s="277"/>
      <c r="O24949" s="247"/>
      <c r="AC24949" s="247"/>
      <c r="AT24949" s="247"/>
    </row>
    <row r="24950">
      <c r="C24950" s="277"/>
      <c r="M24950" s="277"/>
      <c r="O24950" s="247"/>
      <c r="AC24950" s="247"/>
      <c r="AT24950" s="247"/>
    </row>
    <row r="24951">
      <c r="C24951" s="277"/>
      <c r="M24951" s="277"/>
      <c r="O24951" s="247"/>
      <c r="AC24951" s="247"/>
      <c r="AT24951" s="247"/>
    </row>
    <row r="24952">
      <c r="C24952" s="277"/>
      <c r="M24952" s="277"/>
      <c r="O24952" s="247"/>
      <c r="AC24952" s="247"/>
      <c r="AT24952" s="247"/>
    </row>
    <row r="24953">
      <c r="C24953" s="277"/>
      <c r="M24953" s="277"/>
      <c r="O24953" s="247"/>
      <c r="AC24953" s="247"/>
      <c r="AT24953" s="247"/>
    </row>
    <row r="24954">
      <c r="C24954" s="277"/>
      <c r="M24954" s="277"/>
      <c r="O24954" s="247"/>
      <c r="AC24954" s="247"/>
      <c r="AT24954" s="247"/>
    </row>
    <row r="24955">
      <c r="C24955" s="277"/>
      <c r="M24955" s="277"/>
      <c r="O24955" s="247"/>
      <c r="AC24955" s="247"/>
      <c r="AT24955" s="247"/>
    </row>
    <row r="24956">
      <c r="C24956" s="277"/>
      <c r="M24956" s="277"/>
      <c r="O24956" s="247"/>
      <c r="AC24956" s="247"/>
      <c r="AT24956" s="247"/>
    </row>
    <row r="24957">
      <c r="C24957" s="277"/>
      <c r="M24957" s="277"/>
      <c r="O24957" s="247"/>
      <c r="AC24957" s="247"/>
      <c r="AT24957" s="247"/>
    </row>
    <row r="24958">
      <c r="C24958" s="277"/>
      <c r="M24958" s="277"/>
      <c r="O24958" s="247"/>
      <c r="AC24958" s="247"/>
      <c r="AT24958" s="247"/>
    </row>
    <row r="24959">
      <c r="C24959" s="277"/>
      <c r="M24959" s="277"/>
      <c r="O24959" s="247"/>
      <c r="AC24959" s="247"/>
      <c r="AT24959" s="247"/>
    </row>
    <row r="24960">
      <c r="C24960" s="277"/>
      <c r="M24960" s="277"/>
      <c r="O24960" s="247"/>
      <c r="AC24960" s="247"/>
      <c r="AT24960" s="247"/>
    </row>
    <row r="24961">
      <c r="C24961" s="277"/>
      <c r="M24961" s="277"/>
      <c r="O24961" s="247"/>
      <c r="AC24961" s="247"/>
      <c r="AT24961" s="247"/>
    </row>
    <row r="24962">
      <c r="C24962" s="277"/>
      <c r="M24962" s="277"/>
      <c r="O24962" s="247"/>
      <c r="AC24962" s="247"/>
      <c r="AT24962" s="247"/>
    </row>
    <row r="24963">
      <c r="C24963" s="277"/>
      <c r="M24963" s="277"/>
      <c r="O24963" s="247"/>
      <c r="AC24963" s="247"/>
      <c r="AT24963" s="247"/>
    </row>
    <row r="24964">
      <c r="C24964" s="277"/>
      <c r="M24964" s="277"/>
      <c r="O24964" s="247"/>
      <c r="AC24964" s="247"/>
      <c r="AT24964" s="247"/>
    </row>
    <row r="24965">
      <c r="C24965" s="277"/>
      <c r="M24965" s="277"/>
      <c r="O24965" s="247"/>
      <c r="AC24965" s="247"/>
      <c r="AT24965" s="247"/>
    </row>
    <row r="24966">
      <c r="C24966" s="277"/>
      <c r="M24966" s="277"/>
      <c r="O24966" s="247"/>
      <c r="AC24966" s="247"/>
      <c r="AT24966" s="247"/>
    </row>
    <row r="24967">
      <c r="C24967" s="277"/>
      <c r="M24967" s="277"/>
      <c r="O24967" s="247"/>
      <c r="AC24967" s="247"/>
      <c r="AT24967" s="247"/>
    </row>
    <row r="24968">
      <c r="C24968" s="277"/>
      <c r="M24968" s="277"/>
      <c r="O24968" s="247"/>
      <c r="AC24968" s="247"/>
      <c r="AT24968" s="247"/>
    </row>
    <row r="24969">
      <c r="C24969" s="277"/>
      <c r="M24969" s="277"/>
      <c r="O24969" s="247"/>
      <c r="AC24969" s="247"/>
      <c r="AT24969" s="247"/>
    </row>
    <row r="24970">
      <c r="C24970" s="277"/>
      <c r="M24970" s="277"/>
      <c r="O24970" s="247"/>
      <c r="AC24970" s="247"/>
      <c r="AT24970" s="247"/>
    </row>
    <row r="24971">
      <c r="C24971" s="277"/>
      <c r="M24971" s="277"/>
      <c r="O24971" s="247"/>
      <c r="AC24971" s="247"/>
      <c r="AT24971" s="247"/>
    </row>
    <row r="24972">
      <c r="C24972" s="277"/>
      <c r="M24972" s="277"/>
      <c r="O24972" s="247"/>
      <c r="AC24972" s="247"/>
      <c r="AT24972" s="247"/>
    </row>
    <row r="24973">
      <c r="C24973" s="277"/>
      <c r="M24973" s="277"/>
      <c r="O24973" s="247"/>
      <c r="AC24973" s="247"/>
      <c r="AT24973" s="247"/>
    </row>
    <row r="24974">
      <c r="C24974" s="277"/>
      <c r="M24974" s="277"/>
      <c r="O24974" s="247"/>
      <c r="AC24974" s="247"/>
      <c r="AT24974" s="247"/>
    </row>
    <row r="24975">
      <c r="C24975" s="277"/>
      <c r="M24975" s="277"/>
      <c r="O24975" s="247"/>
      <c r="AC24975" s="247"/>
      <c r="AT24975" s="247"/>
    </row>
    <row r="24976">
      <c r="C24976" s="277"/>
      <c r="M24976" s="277"/>
      <c r="O24976" s="247"/>
      <c r="AC24976" s="247"/>
      <c r="AT24976" s="247"/>
    </row>
    <row r="24977">
      <c r="C24977" s="277"/>
      <c r="M24977" s="277"/>
      <c r="O24977" s="247"/>
      <c r="AC24977" s="247"/>
      <c r="AT24977" s="247"/>
    </row>
    <row r="24978">
      <c r="C24978" s="277"/>
      <c r="M24978" s="277"/>
      <c r="O24978" s="247"/>
      <c r="AC24978" s="247"/>
      <c r="AT24978" s="247"/>
    </row>
    <row r="24979">
      <c r="C24979" s="277"/>
      <c r="M24979" s="277"/>
      <c r="O24979" s="247"/>
      <c r="AC24979" s="247"/>
      <c r="AT24979" s="247"/>
    </row>
    <row r="24980">
      <c r="C24980" s="277"/>
      <c r="M24980" s="277"/>
      <c r="O24980" s="247"/>
      <c r="AC24980" s="247"/>
      <c r="AT24980" s="247"/>
    </row>
    <row r="24981">
      <c r="C24981" s="277"/>
      <c r="M24981" s="277"/>
      <c r="O24981" s="247"/>
      <c r="AC24981" s="247"/>
      <c r="AT24981" s="247"/>
    </row>
    <row r="24982">
      <c r="C24982" s="277"/>
      <c r="M24982" s="277"/>
      <c r="O24982" s="247"/>
      <c r="AC24982" s="247"/>
      <c r="AT24982" s="247"/>
    </row>
    <row r="24983">
      <c r="C24983" s="277"/>
      <c r="M24983" s="277"/>
      <c r="O24983" s="247"/>
      <c r="AC24983" s="247"/>
      <c r="AT24983" s="247"/>
    </row>
    <row r="24984">
      <c r="C24984" s="277"/>
      <c r="M24984" s="277"/>
      <c r="O24984" s="247"/>
      <c r="AC24984" s="247"/>
      <c r="AT24984" s="247"/>
    </row>
    <row r="24985">
      <c r="C24985" s="277"/>
      <c r="M24985" s="277"/>
      <c r="O24985" s="247"/>
      <c r="AC24985" s="247"/>
      <c r="AT24985" s="247"/>
    </row>
    <row r="24986">
      <c r="C24986" s="277"/>
      <c r="M24986" s="277"/>
      <c r="O24986" s="247"/>
      <c r="AC24986" s="247"/>
      <c r="AT24986" s="247"/>
    </row>
    <row r="24987">
      <c r="C24987" s="277"/>
      <c r="M24987" s="277"/>
      <c r="O24987" s="247"/>
      <c r="AC24987" s="247"/>
      <c r="AT24987" s="247"/>
    </row>
    <row r="24988">
      <c r="C24988" s="277"/>
      <c r="M24988" s="277"/>
      <c r="O24988" s="247"/>
      <c r="AC24988" s="247"/>
      <c r="AT24988" s="247"/>
    </row>
    <row r="24989">
      <c r="C24989" s="277"/>
      <c r="M24989" s="277"/>
      <c r="O24989" s="247"/>
      <c r="AC24989" s="247"/>
      <c r="AT24989" s="247"/>
    </row>
    <row r="24990">
      <c r="C24990" s="277"/>
      <c r="M24990" s="277"/>
      <c r="O24990" s="247"/>
      <c r="AC24990" s="247"/>
      <c r="AT24990" s="247"/>
    </row>
    <row r="24991">
      <c r="C24991" s="277"/>
      <c r="M24991" s="277"/>
      <c r="O24991" s="247"/>
      <c r="AC24991" s="247"/>
      <c r="AT24991" s="247"/>
    </row>
    <row r="24992">
      <c r="C24992" s="277"/>
      <c r="M24992" s="277"/>
      <c r="O24992" s="247"/>
      <c r="AC24992" s="247"/>
      <c r="AT24992" s="247"/>
    </row>
    <row r="24993">
      <c r="C24993" s="277"/>
      <c r="M24993" s="277"/>
      <c r="O24993" s="247"/>
      <c r="AC24993" s="247"/>
      <c r="AT24993" s="247"/>
    </row>
    <row r="24994">
      <c r="C24994" s="277"/>
      <c r="M24994" s="277"/>
      <c r="O24994" s="247"/>
      <c r="AC24994" s="247"/>
      <c r="AT24994" s="247"/>
    </row>
    <row r="24995">
      <c r="C24995" s="277"/>
      <c r="M24995" s="277"/>
      <c r="O24995" s="247"/>
      <c r="AC24995" s="247"/>
      <c r="AT24995" s="247"/>
    </row>
    <row r="24996">
      <c r="C24996" s="277"/>
      <c r="M24996" s="277"/>
      <c r="O24996" s="247"/>
      <c r="AC24996" s="247"/>
      <c r="AT24996" s="247"/>
    </row>
    <row r="24997">
      <c r="C24997" s="277"/>
      <c r="M24997" s="277"/>
      <c r="O24997" s="247"/>
      <c r="AC24997" s="247"/>
      <c r="AT24997" s="247"/>
    </row>
    <row r="24998">
      <c r="C24998" s="277"/>
      <c r="M24998" s="277"/>
      <c r="O24998" s="247"/>
      <c r="AC24998" s="247"/>
      <c r="AT24998" s="247"/>
    </row>
    <row r="24999">
      <c r="C24999" s="277"/>
      <c r="M24999" s="277"/>
      <c r="O24999" s="247"/>
      <c r="AC24999" s="247"/>
      <c r="AT24999" s="247"/>
    </row>
    <row r="25000">
      <c r="C25000" s="277"/>
      <c r="M25000" s="277"/>
      <c r="O25000" s="247"/>
      <c r="AC25000" s="247"/>
      <c r="AT25000" s="247"/>
    </row>
    <row r="25001">
      <c r="C25001" s="277"/>
      <c r="M25001" s="277"/>
      <c r="O25001" s="247"/>
      <c r="AC25001" s="247"/>
      <c r="AT25001" s="247"/>
    </row>
    <row r="25002">
      <c r="C25002" s="277"/>
      <c r="M25002" s="277"/>
      <c r="O25002" s="247"/>
      <c r="AC25002" s="247"/>
      <c r="AT25002" s="247"/>
    </row>
    <row r="25003">
      <c r="C25003" s="277"/>
      <c r="M25003" s="277"/>
      <c r="O25003" s="247"/>
      <c r="AC25003" s="247"/>
      <c r="AT25003" s="247"/>
    </row>
    <row r="25004">
      <c r="C25004" s="277"/>
      <c r="M25004" s="277"/>
      <c r="O25004" s="247"/>
      <c r="AC25004" s="247"/>
      <c r="AT25004" s="247"/>
    </row>
    <row r="25005">
      <c r="C25005" s="277"/>
      <c r="M25005" s="277"/>
      <c r="O25005" s="247"/>
      <c r="AC25005" s="247"/>
      <c r="AT25005" s="247"/>
    </row>
    <row r="25006">
      <c r="C25006" s="277"/>
      <c r="M25006" s="277"/>
      <c r="O25006" s="247"/>
      <c r="AC25006" s="247"/>
      <c r="AT25006" s="247"/>
    </row>
    <row r="25007">
      <c r="C25007" s="277"/>
      <c r="M25007" s="277"/>
      <c r="O25007" s="247"/>
      <c r="AC25007" s="247"/>
      <c r="AT25007" s="247"/>
    </row>
    <row r="25008">
      <c r="C25008" s="277"/>
      <c r="M25008" s="277"/>
      <c r="O25008" s="247"/>
      <c r="AC25008" s="247"/>
      <c r="AT25008" s="247"/>
    </row>
    <row r="25009">
      <c r="C25009" s="277"/>
      <c r="M25009" s="277"/>
      <c r="O25009" s="247"/>
      <c r="AC25009" s="247"/>
      <c r="AT25009" s="247"/>
    </row>
    <row r="25010">
      <c r="C25010" s="277"/>
      <c r="M25010" s="277"/>
      <c r="O25010" s="247"/>
      <c r="AC25010" s="247"/>
      <c r="AT25010" s="247"/>
    </row>
    <row r="25011">
      <c r="C25011" s="277"/>
      <c r="M25011" s="277"/>
      <c r="O25011" s="247"/>
      <c r="AC25011" s="247"/>
      <c r="AT25011" s="247"/>
    </row>
    <row r="25012">
      <c r="C25012" s="277"/>
      <c r="M25012" s="277"/>
      <c r="O25012" s="247"/>
      <c r="AC25012" s="247"/>
      <c r="AT25012" s="247"/>
    </row>
    <row r="25013">
      <c r="C25013" s="277"/>
      <c r="M25013" s="277"/>
      <c r="O25013" s="247"/>
      <c r="AC25013" s="247"/>
      <c r="AT25013" s="247"/>
    </row>
    <row r="25014">
      <c r="C25014" s="277"/>
      <c r="M25014" s="277"/>
      <c r="O25014" s="247"/>
      <c r="AC25014" s="247"/>
      <c r="AT25014" s="247"/>
    </row>
    <row r="25015">
      <c r="C25015" s="277"/>
      <c r="M25015" s="277"/>
      <c r="O25015" s="247"/>
      <c r="AC25015" s="247"/>
      <c r="AT25015" s="247"/>
    </row>
    <row r="25016">
      <c r="C25016" s="277"/>
      <c r="M25016" s="277"/>
      <c r="O25016" s="247"/>
      <c r="AC25016" s="247"/>
      <c r="AT25016" s="247"/>
    </row>
    <row r="25017">
      <c r="C25017" s="277"/>
      <c r="M25017" s="277"/>
      <c r="O25017" s="247"/>
      <c r="AC25017" s="247"/>
      <c r="AT25017" s="247"/>
    </row>
    <row r="25018">
      <c r="C25018" s="277"/>
      <c r="M25018" s="277"/>
      <c r="O25018" s="247"/>
      <c r="AC25018" s="247"/>
      <c r="AT25018" s="247"/>
    </row>
    <row r="25019">
      <c r="C25019" s="277"/>
      <c r="M25019" s="277"/>
      <c r="O25019" s="247"/>
      <c r="AC25019" s="247"/>
      <c r="AT25019" s="247"/>
    </row>
    <row r="25020">
      <c r="C25020" s="277"/>
      <c r="M25020" s="277"/>
      <c r="O25020" s="247"/>
      <c r="AC25020" s="247"/>
      <c r="AT25020" s="247"/>
    </row>
    <row r="25021">
      <c r="C25021" s="277"/>
      <c r="M25021" s="277"/>
      <c r="O25021" s="247"/>
      <c r="AC25021" s="247"/>
      <c r="AT25021" s="247"/>
    </row>
    <row r="25022">
      <c r="C25022" s="277"/>
      <c r="M25022" s="277"/>
      <c r="O25022" s="247"/>
      <c r="AC25022" s="247"/>
      <c r="AT25022" s="247"/>
    </row>
    <row r="25023">
      <c r="C25023" s="277"/>
      <c r="M25023" s="277"/>
      <c r="O25023" s="247"/>
      <c r="AC25023" s="247"/>
      <c r="AT25023" s="247"/>
    </row>
    <row r="25024">
      <c r="C25024" s="277"/>
      <c r="M25024" s="277"/>
      <c r="O25024" s="247"/>
      <c r="AC25024" s="247"/>
      <c r="AT25024" s="247"/>
    </row>
    <row r="25025">
      <c r="C25025" s="277"/>
      <c r="M25025" s="277"/>
      <c r="O25025" s="247"/>
      <c r="AC25025" s="247"/>
      <c r="AT25025" s="247"/>
    </row>
    <row r="25026">
      <c r="C25026" s="277"/>
      <c r="M25026" s="277"/>
      <c r="O25026" s="247"/>
      <c r="AC25026" s="247"/>
      <c r="AT25026" s="247"/>
    </row>
    <row r="25027">
      <c r="C25027" s="277"/>
      <c r="M25027" s="277"/>
      <c r="O25027" s="247"/>
      <c r="AC25027" s="247"/>
      <c r="AT25027" s="247"/>
    </row>
    <row r="25028">
      <c r="C25028" s="277"/>
      <c r="M25028" s="277"/>
      <c r="O25028" s="247"/>
      <c r="AC25028" s="247"/>
      <c r="AT25028" s="247"/>
    </row>
    <row r="25029">
      <c r="C25029" s="277"/>
      <c r="M25029" s="277"/>
      <c r="O25029" s="247"/>
      <c r="AC25029" s="247"/>
      <c r="AT25029" s="247"/>
    </row>
    <row r="25030">
      <c r="C25030" s="277"/>
      <c r="M25030" s="277"/>
      <c r="O25030" s="247"/>
      <c r="AC25030" s="247"/>
      <c r="AT25030" s="247"/>
    </row>
    <row r="25031">
      <c r="C25031" s="277"/>
      <c r="M25031" s="277"/>
      <c r="O25031" s="247"/>
      <c r="AC25031" s="247"/>
      <c r="AT25031" s="247"/>
    </row>
    <row r="25032">
      <c r="C25032" s="277"/>
      <c r="M25032" s="277"/>
      <c r="O25032" s="247"/>
      <c r="AC25032" s="247"/>
      <c r="AT25032" s="247"/>
    </row>
    <row r="25033">
      <c r="C25033" s="277"/>
      <c r="M25033" s="277"/>
      <c r="O25033" s="247"/>
      <c r="AC25033" s="247"/>
      <c r="AT25033" s="247"/>
    </row>
    <row r="25034">
      <c r="C25034" s="277"/>
      <c r="M25034" s="277"/>
      <c r="O25034" s="247"/>
      <c r="AC25034" s="247"/>
      <c r="AT25034" s="247"/>
    </row>
    <row r="25035">
      <c r="C25035" s="277"/>
      <c r="M25035" s="277"/>
      <c r="O25035" s="247"/>
      <c r="AC25035" s="247"/>
      <c r="AT25035" s="247"/>
    </row>
    <row r="25036">
      <c r="C25036" s="277"/>
      <c r="M25036" s="277"/>
      <c r="O25036" s="247"/>
      <c r="AC25036" s="247"/>
      <c r="AT25036" s="247"/>
    </row>
    <row r="25037">
      <c r="C25037" s="277"/>
      <c r="M25037" s="277"/>
      <c r="O25037" s="247"/>
      <c r="AC25037" s="247"/>
      <c r="AT25037" s="247"/>
    </row>
    <row r="25038">
      <c r="C25038" s="277"/>
      <c r="M25038" s="277"/>
      <c r="O25038" s="247"/>
      <c r="AC25038" s="247"/>
      <c r="AT25038" s="247"/>
    </row>
    <row r="25039">
      <c r="C25039" s="277"/>
      <c r="M25039" s="277"/>
      <c r="O25039" s="247"/>
      <c r="AC25039" s="247"/>
      <c r="AT25039" s="247"/>
    </row>
    <row r="25040">
      <c r="C25040" s="277"/>
      <c r="M25040" s="277"/>
      <c r="O25040" s="247"/>
      <c r="AC25040" s="247"/>
      <c r="AT25040" s="247"/>
    </row>
    <row r="25041">
      <c r="C25041" s="277"/>
      <c r="M25041" s="277"/>
      <c r="O25041" s="247"/>
      <c r="AC25041" s="247"/>
      <c r="AT25041" s="247"/>
    </row>
    <row r="25042">
      <c r="C25042" s="277"/>
      <c r="M25042" s="277"/>
      <c r="O25042" s="247"/>
      <c r="AC25042" s="247"/>
      <c r="AT25042" s="247"/>
    </row>
    <row r="25043">
      <c r="C25043" s="277"/>
      <c r="M25043" s="277"/>
      <c r="O25043" s="247"/>
      <c r="AC25043" s="247"/>
      <c r="AT25043" s="247"/>
    </row>
    <row r="25044">
      <c r="C25044" s="277"/>
      <c r="M25044" s="277"/>
      <c r="O25044" s="247"/>
      <c r="AC25044" s="247"/>
      <c r="AT25044" s="247"/>
    </row>
    <row r="25045">
      <c r="C25045" s="277"/>
      <c r="M25045" s="277"/>
      <c r="O25045" s="247"/>
      <c r="AC25045" s="247"/>
      <c r="AT25045" s="247"/>
    </row>
    <row r="25046">
      <c r="C25046" s="277"/>
      <c r="M25046" s="277"/>
      <c r="O25046" s="247"/>
      <c r="AC25046" s="247"/>
      <c r="AT25046" s="247"/>
    </row>
    <row r="25047">
      <c r="C25047" s="277"/>
      <c r="M25047" s="277"/>
      <c r="O25047" s="247"/>
      <c r="AC25047" s="247"/>
      <c r="AT25047" s="247"/>
    </row>
    <row r="25048">
      <c r="C25048" s="277"/>
      <c r="M25048" s="277"/>
      <c r="O25048" s="247"/>
      <c r="AC25048" s="247"/>
      <c r="AT25048" s="247"/>
    </row>
    <row r="25049">
      <c r="C25049" s="277"/>
      <c r="M25049" s="277"/>
      <c r="O25049" s="247"/>
      <c r="AC25049" s="247"/>
      <c r="AT25049" s="247"/>
    </row>
    <row r="25050">
      <c r="C25050" s="277"/>
      <c r="M25050" s="277"/>
      <c r="O25050" s="247"/>
      <c r="AC25050" s="247"/>
      <c r="AT25050" s="247"/>
    </row>
    <row r="25051">
      <c r="C25051" s="277"/>
      <c r="M25051" s="277"/>
      <c r="O25051" s="247"/>
      <c r="AC25051" s="247"/>
      <c r="AT25051" s="247"/>
    </row>
    <row r="25052">
      <c r="C25052" s="277"/>
      <c r="M25052" s="277"/>
      <c r="O25052" s="247"/>
      <c r="AC25052" s="247"/>
      <c r="AT25052" s="247"/>
    </row>
    <row r="25053">
      <c r="C25053" s="277"/>
      <c r="M25053" s="277"/>
      <c r="O25053" s="247"/>
      <c r="AC25053" s="247"/>
      <c r="AT25053" s="247"/>
    </row>
    <row r="25054">
      <c r="C25054" s="277"/>
      <c r="M25054" s="277"/>
      <c r="O25054" s="247"/>
      <c r="AC25054" s="247"/>
      <c r="AT25054" s="247"/>
    </row>
    <row r="25055">
      <c r="C25055" s="277"/>
      <c r="M25055" s="277"/>
      <c r="O25055" s="247"/>
      <c r="AC25055" s="247"/>
      <c r="AT25055" s="247"/>
    </row>
    <row r="25056">
      <c r="C25056" s="277"/>
      <c r="M25056" s="277"/>
      <c r="O25056" s="247"/>
      <c r="AC25056" s="247"/>
      <c r="AT25056" s="247"/>
    </row>
    <row r="25057">
      <c r="C25057" s="277"/>
      <c r="M25057" s="277"/>
      <c r="O25057" s="247"/>
      <c r="AC25057" s="247"/>
      <c r="AT25057" s="247"/>
    </row>
    <row r="25058">
      <c r="C25058" s="277"/>
      <c r="M25058" s="277"/>
      <c r="O25058" s="247"/>
      <c r="AC25058" s="247"/>
      <c r="AT25058" s="247"/>
    </row>
    <row r="25059">
      <c r="C25059" s="277"/>
      <c r="M25059" s="277"/>
      <c r="O25059" s="247"/>
      <c r="AC25059" s="247"/>
      <c r="AT25059" s="247"/>
    </row>
    <row r="25060">
      <c r="C25060" s="277"/>
      <c r="M25060" s="277"/>
      <c r="O25060" s="247"/>
      <c r="AC25060" s="247"/>
      <c r="AT25060" s="247"/>
    </row>
    <row r="25061">
      <c r="C25061" s="277"/>
      <c r="M25061" s="277"/>
      <c r="O25061" s="247"/>
      <c r="AC25061" s="247"/>
      <c r="AT25061" s="247"/>
    </row>
    <row r="25062">
      <c r="C25062" s="277"/>
      <c r="M25062" s="277"/>
      <c r="O25062" s="247"/>
      <c r="AC25062" s="247"/>
      <c r="AT25062" s="247"/>
    </row>
    <row r="25063">
      <c r="C25063" s="277"/>
      <c r="M25063" s="277"/>
      <c r="O25063" s="247"/>
      <c r="AC25063" s="247"/>
      <c r="AT25063" s="247"/>
    </row>
    <row r="25064">
      <c r="C25064" s="277"/>
      <c r="M25064" s="277"/>
      <c r="O25064" s="247"/>
      <c r="AC25064" s="247"/>
      <c r="AT25064" s="247"/>
    </row>
    <row r="25065">
      <c r="C25065" s="277"/>
      <c r="M25065" s="277"/>
      <c r="O25065" s="247"/>
      <c r="AC25065" s="247"/>
      <c r="AT25065" s="247"/>
    </row>
    <row r="25066">
      <c r="C25066" s="277"/>
      <c r="M25066" s="277"/>
      <c r="O25066" s="247"/>
      <c r="AC25066" s="247"/>
      <c r="AT25066" s="247"/>
    </row>
    <row r="25067">
      <c r="C25067" s="277"/>
      <c r="M25067" s="277"/>
      <c r="O25067" s="247"/>
      <c r="AC25067" s="247"/>
      <c r="AT25067" s="247"/>
    </row>
    <row r="25068">
      <c r="C25068" s="277"/>
      <c r="M25068" s="277"/>
      <c r="O25068" s="247"/>
      <c r="AC25068" s="247"/>
      <c r="AT25068" s="247"/>
    </row>
    <row r="25069">
      <c r="C25069" s="277"/>
      <c r="M25069" s="277"/>
      <c r="O25069" s="247"/>
      <c r="AC25069" s="247"/>
      <c r="AT25069" s="247"/>
    </row>
    <row r="25070">
      <c r="C25070" s="277"/>
      <c r="M25070" s="277"/>
      <c r="O25070" s="247"/>
      <c r="AC25070" s="247"/>
      <c r="AT25070" s="247"/>
    </row>
    <row r="25071">
      <c r="C25071" s="277"/>
      <c r="M25071" s="277"/>
      <c r="O25071" s="247"/>
      <c r="AC25071" s="247"/>
      <c r="AT25071" s="247"/>
    </row>
    <row r="25072">
      <c r="C25072" s="277"/>
      <c r="M25072" s="277"/>
      <c r="O25072" s="247"/>
      <c r="AC25072" s="247"/>
      <c r="AT25072" s="247"/>
    </row>
    <row r="25073">
      <c r="C25073" s="277"/>
      <c r="M25073" s="277"/>
      <c r="O25073" s="247"/>
      <c r="AC25073" s="247"/>
      <c r="AT25073" s="247"/>
    </row>
    <row r="25074">
      <c r="C25074" s="277"/>
      <c r="M25074" s="277"/>
      <c r="O25074" s="247"/>
      <c r="AC25074" s="247"/>
      <c r="AT25074" s="247"/>
    </row>
    <row r="25075">
      <c r="C25075" s="277"/>
      <c r="M25075" s="277"/>
      <c r="O25075" s="247"/>
      <c r="AC25075" s="247"/>
      <c r="AT25075" s="247"/>
    </row>
    <row r="25076">
      <c r="C25076" s="277"/>
      <c r="M25076" s="277"/>
      <c r="O25076" s="247"/>
      <c r="AC25076" s="247"/>
      <c r="AT25076" s="247"/>
    </row>
    <row r="25077">
      <c r="C25077" s="277"/>
      <c r="M25077" s="277"/>
      <c r="O25077" s="247"/>
      <c r="AC25077" s="247"/>
      <c r="AT25077" s="247"/>
    </row>
    <row r="25078">
      <c r="C25078" s="277"/>
      <c r="M25078" s="277"/>
      <c r="O25078" s="247"/>
      <c r="AC25078" s="247"/>
      <c r="AT25078" s="247"/>
    </row>
    <row r="25079">
      <c r="C25079" s="277"/>
      <c r="M25079" s="277"/>
      <c r="O25079" s="247"/>
      <c r="AC25079" s="247"/>
      <c r="AT25079" s="247"/>
    </row>
    <row r="25080">
      <c r="C25080" s="277"/>
      <c r="M25080" s="277"/>
      <c r="O25080" s="247"/>
      <c r="AC25080" s="247"/>
      <c r="AT25080" s="247"/>
    </row>
    <row r="25081">
      <c r="C25081" s="277"/>
      <c r="M25081" s="277"/>
      <c r="O25081" s="247"/>
      <c r="AC25081" s="247"/>
      <c r="AT25081" s="247"/>
    </row>
    <row r="25082">
      <c r="C25082" s="277"/>
      <c r="M25082" s="277"/>
      <c r="O25082" s="247"/>
      <c r="AC25082" s="247"/>
      <c r="AT25082" s="247"/>
    </row>
    <row r="25083">
      <c r="C25083" s="277"/>
      <c r="M25083" s="277"/>
      <c r="O25083" s="247"/>
      <c r="AC25083" s="247"/>
      <c r="AT25083" s="247"/>
    </row>
    <row r="25084">
      <c r="C25084" s="277"/>
      <c r="M25084" s="277"/>
      <c r="O25084" s="247"/>
      <c r="AC25084" s="247"/>
      <c r="AT25084" s="247"/>
    </row>
    <row r="25085">
      <c r="C25085" s="277"/>
      <c r="M25085" s="277"/>
      <c r="O25085" s="247"/>
      <c r="AC25085" s="247"/>
      <c r="AT25085" s="247"/>
    </row>
    <row r="25086">
      <c r="C25086" s="277"/>
      <c r="M25086" s="277"/>
      <c r="O25086" s="247"/>
      <c r="AC25086" s="247"/>
      <c r="AT25086" s="247"/>
    </row>
    <row r="25087">
      <c r="C25087" s="277"/>
      <c r="M25087" s="277"/>
      <c r="O25087" s="247"/>
      <c r="AC25087" s="247"/>
      <c r="AT25087" s="247"/>
    </row>
    <row r="25088">
      <c r="C25088" s="277"/>
      <c r="M25088" s="277"/>
      <c r="O25088" s="247"/>
      <c r="AC25088" s="247"/>
      <c r="AT25088" s="247"/>
    </row>
    <row r="25089">
      <c r="C25089" s="277"/>
      <c r="M25089" s="277"/>
      <c r="O25089" s="247"/>
      <c r="AC25089" s="247"/>
      <c r="AT25089" s="247"/>
    </row>
    <row r="25090">
      <c r="C25090" s="277"/>
      <c r="M25090" s="277"/>
      <c r="O25090" s="247"/>
      <c r="AC25090" s="247"/>
      <c r="AT25090" s="247"/>
    </row>
    <row r="25091">
      <c r="C25091" s="277"/>
      <c r="M25091" s="277"/>
      <c r="O25091" s="247"/>
      <c r="AC25091" s="247"/>
      <c r="AT25091" s="247"/>
    </row>
    <row r="25092">
      <c r="C25092" s="277"/>
      <c r="M25092" s="277"/>
      <c r="O25092" s="247"/>
      <c r="AC25092" s="247"/>
      <c r="AT25092" s="247"/>
    </row>
    <row r="25093">
      <c r="C25093" s="277"/>
      <c r="M25093" s="277"/>
      <c r="O25093" s="247"/>
      <c r="AC25093" s="247"/>
      <c r="AT25093" s="247"/>
    </row>
    <row r="25094">
      <c r="C25094" s="277"/>
      <c r="M25094" s="277"/>
      <c r="O25094" s="247"/>
      <c r="AC25094" s="247"/>
      <c r="AT25094" s="247"/>
    </row>
    <row r="25095">
      <c r="C25095" s="277"/>
      <c r="M25095" s="277"/>
      <c r="O25095" s="247"/>
      <c r="AC25095" s="247"/>
      <c r="AT25095" s="247"/>
    </row>
    <row r="25096">
      <c r="C25096" s="277"/>
      <c r="M25096" s="277"/>
      <c r="O25096" s="247"/>
      <c r="AC25096" s="247"/>
      <c r="AT25096" s="247"/>
    </row>
    <row r="25097">
      <c r="C25097" s="277"/>
      <c r="M25097" s="277"/>
      <c r="O25097" s="247"/>
      <c r="AC25097" s="247"/>
      <c r="AT25097" s="247"/>
    </row>
    <row r="25098">
      <c r="C25098" s="277"/>
      <c r="M25098" s="277"/>
      <c r="O25098" s="247"/>
      <c r="AC25098" s="247"/>
      <c r="AT25098" s="247"/>
    </row>
    <row r="25099">
      <c r="C25099" s="277"/>
      <c r="M25099" s="277"/>
      <c r="O25099" s="247"/>
      <c r="AC25099" s="247"/>
      <c r="AT25099" s="247"/>
    </row>
    <row r="25100">
      <c r="C25100" s="277"/>
      <c r="M25100" s="277"/>
      <c r="O25100" s="247"/>
      <c r="AC25100" s="247"/>
      <c r="AT25100" s="247"/>
    </row>
    <row r="25101">
      <c r="C25101" s="277"/>
      <c r="M25101" s="277"/>
      <c r="O25101" s="247"/>
      <c r="AC25101" s="247"/>
      <c r="AT25101" s="247"/>
    </row>
    <row r="25102">
      <c r="C25102" s="277"/>
      <c r="M25102" s="277"/>
      <c r="O25102" s="247"/>
      <c r="AC25102" s="247"/>
      <c r="AT25102" s="247"/>
    </row>
    <row r="25103">
      <c r="C25103" s="277"/>
      <c r="M25103" s="277"/>
      <c r="O25103" s="247"/>
      <c r="AC25103" s="247"/>
      <c r="AT25103" s="247"/>
    </row>
    <row r="25104">
      <c r="C25104" s="277"/>
      <c r="M25104" s="277"/>
      <c r="O25104" s="247"/>
      <c r="AC25104" s="247"/>
      <c r="AT25104" s="247"/>
    </row>
    <row r="25105">
      <c r="C25105" s="277"/>
      <c r="M25105" s="277"/>
      <c r="O25105" s="247"/>
      <c r="AC25105" s="247"/>
      <c r="AT25105" s="247"/>
    </row>
    <row r="25106">
      <c r="C25106" s="277"/>
      <c r="M25106" s="277"/>
      <c r="O25106" s="247"/>
      <c r="AC25106" s="247"/>
      <c r="AT25106" s="247"/>
    </row>
    <row r="25107">
      <c r="C25107" s="277"/>
      <c r="M25107" s="277"/>
      <c r="O25107" s="247"/>
      <c r="AC25107" s="247"/>
      <c r="AT25107" s="247"/>
    </row>
    <row r="25108">
      <c r="C25108" s="277"/>
      <c r="M25108" s="277"/>
      <c r="O25108" s="247"/>
      <c r="AC25108" s="247"/>
      <c r="AT25108" s="247"/>
    </row>
    <row r="25109">
      <c r="C25109" s="277"/>
      <c r="M25109" s="277"/>
      <c r="O25109" s="247"/>
      <c r="AC25109" s="247"/>
      <c r="AT25109" s="247"/>
    </row>
    <row r="25110">
      <c r="C25110" s="277"/>
      <c r="M25110" s="277"/>
      <c r="O25110" s="247"/>
      <c r="AC25110" s="247"/>
      <c r="AT25110" s="247"/>
    </row>
    <row r="25111">
      <c r="C25111" s="277"/>
      <c r="M25111" s="277"/>
      <c r="O25111" s="247"/>
      <c r="AC25111" s="247"/>
      <c r="AT25111" s="247"/>
    </row>
    <row r="25112">
      <c r="C25112" s="277"/>
      <c r="M25112" s="277"/>
      <c r="O25112" s="247"/>
      <c r="AC25112" s="247"/>
      <c r="AT25112" s="247"/>
    </row>
    <row r="25113">
      <c r="C25113" s="277"/>
      <c r="J25113" s="279"/>
      <c r="M25113" s="277"/>
      <c r="O25113" s="247"/>
      <c r="AC25113" s="247"/>
      <c r="AT25113" s="247"/>
    </row>
    <row r="25114">
      <c r="C25114" s="277"/>
      <c r="J25114" s="279"/>
      <c r="M25114" s="277"/>
      <c r="O25114" s="247"/>
      <c r="AC25114" s="247"/>
      <c r="AT25114" s="247"/>
    </row>
    <row r="25115">
      <c r="C25115" s="277"/>
      <c r="M25115" s="277"/>
      <c r="O25115" s="247"/>
      <c r="AC25115" s="247"/>
      <c r="AT25115" s="247"/>
    </row>
    <row r="25116">
      <c r="C25116" s="277"/>
      <c r="M25116" s="277"/>
      <c r="O25116" s="247"/>
      <c r="AC25116" s="247"/>
      <c r="AT25116" s="247"/>
    </row>
    <row r="25117">
      <c r="C25117" s="277"/>
      <c r="M25117" s="277"/>
      <c r="O25117" s="247"/>
      <c r="AC25117" s="247"/>
      <c r="AT25117" s="247"/>
    </row>
    <row r="25118">
      <c r="C25118" s="277"/>
      <c r="M25118" s="277"/>
      <c r="O25118" s="247"/>
      <c r="AC25118" s="247"/>
      <c r="AT25118" s="247"/>
    </row>
    <row r="25119">
      <c r="C25119" s="277"/>
      <c r="M25119" s="277"/>
      <c r="O25119" s="247"/>
      <c r="AC25119" s="247"/>
      <c r="AT25119" s="247"/>
    </row>
    <row r="25120">
      <c r="C25120" s="277"/>
      <c r="M25120" s="277"/>
      <c r="O25120" s="247"/>
      <c r="AC25120" s="247"/>
      <c r="AT25120" s="247"/>
    </row>
    <row r="25121">
      <c r="C25121" s="277"/>
      <c r="M25121" s="277"/>
      <c r="O25121" s="247"/>
      <c r="AC25121" s="247"/>
      <c r="AT25121" s="247"/>
    </row>
    <row r="25122">
      <c r="C25122" s="277"/>
      <c r="M25122" s="277"/>
      <c r="O25122" s="247"/>
      <c r="AC25122" s="247"/>
      <c r="AT25122" s="247"/>
    </row>
    <row r="25123">
      <c r="C25123" s="277"/>
      <c r="M25123" s="277"/>
      <c r="O25123" s="247"/>
      <c r="AC25123" s="247"/>
      <c r="AT25123" s="247"/>
    </row>
    <row r="25124">
      <c r="C25124" s="277"/>
      <c r="M25124" s="277"/>
      <c r="O25124" s="247"/>
      <c r="AC25124" s="247"/>
      <c r="AT25124" s="247"/>
    </row>
    <row r="25125">
      <c r="C25125" s="277"/>
      <c r="M25125" s="277"/>
      <c r="O25125" s="247"/>
      <c r="AC25125" s="247"/>
      <c r="AT25125" s="247"/>
    </row>
    <row r="25126">
      <c r="C25126" s="277"/>
      <c r="M25126" s="277"/>
      <c r="O25126" s="247"/>
      <c r="AC25126" s="247"/>
      <c r="AT25126" s="247"/>
    </row>
    <row r="25127">
      <c r="C25127" s="277"/>
      <c r="M25127" s="277"/>
      <c r="O25127" s="247"/>
      <c r="AC25127" s="247"/>
      <c r="AT25127" s="247"/>
    </row>
    <row r="25128">
      <c r="C25128" s="277"/>
      <c r="M25128" s="277"/>
      <c r="O25128" s="247"/>
      <c r="AC25128" s="247"/>
      <c r="AT25128" s="247"/>
    </row>
    <row r="25129">
      <c r="C25129" s="277"/>
      <c r="M25129" s="277"/>
      <c r="O25129" s="247"/>
      <c r="AC25129" s="247"/>
      <c r="AT25129" s="247"/>
    </row>
    <row r="25130">
      <c r="C25130" s="277"/>
      <c r="M25130" s="277"/>
      <c r="O25130" s="247"/>
      <c r="AC25130" s="247"/>
      <c r="AT25130" s="247"/>
    </row>
    <row r="25131">
      <c r="C25131" s="277"/>
      <c r="M25131" s="277"/>
      <c r="O25131" s="247"/>
      <c r="AC25131" s="247"/>
      <c r="AT25131" s="247"/>
    </row>
    <row r="25132">
      <c r="C25132" s="277"/>
      <c r="M25132" s="277"/>
      <c r="O25132" s="247"/>
      <c r="AC25132" s="247"/>
      <c r="AT25132" s="247"/>
    </row>
    <row r="25133">
      <c r="C25133" s="277"/>
      <c r="M25133" s="277"/>
      <c r="O25133" s="247"/>
      <c r="AC25133" s="247"/>
      <c r="AT25133" s="247"/>
    </row>
    <row r="25134">
      <c r="C25134" s="277"/>
      <c r="M25134" s="277"/>
      <c r="O25134" s="247"/>
      <c r="AC25134" s="247"/>
      <c r="AT25134" s="247"/>
    </row>
    <row r="25135">
      <c r="C25135" s="277"/>
      <c r="M25135" s="277"/>
      <c r="O25135" s="247"/>
      <c r="AC25135" s="247"/>
      <c r="AT25135" s="247"/>
    </row>
    <row r="25136">
      <c r="C25136" s="277"/>
      <c r="M25136" s="277"/>
      <c r="O25136" s="247"/>
      <c r="AC25136" s="247"/>
      <c r="AT25136" s="247"/>
    </row>
    <row r="25137">
      <c r="C25137" s="277"/>
      <c r="M25137" s="277"/>
      <c r="O25137" s="247"/>
      <c r="AC25137" s="247"/>
      <c r="AT25137" s="247"/>
    </row>
    <row r="25138">
      <c r="C25138" s="277"/>
      <c r="M25138" s="277"/>
      <c r="O25138" s="247"/>
      <c r="AC25138" s="247"/>
      <c r="AT25138" s="247"/>
    </row>
    <row r="25139">
      <c r="C25139" s="277"/>
      <c r="M25139" s="277"/>
      <c r="O25139" s="247"/>
      <c r="AC25139" s="247"/>
      <c r="AT25139" s="247"/>
    </row>
    <row r="25140">
      <c r="C25140" s="277"/>
      <c r="M25140" s="277"/>
      <c r="O25140" s="247"/>
      <c r="AC25140" s="247"/>
      <c r="AT25140" s="247"/>
    </row>
    <row r="25141">
      <c r="C25141" s="277"/>
      <c r="M25141" s="277"/>
      <c r="O25141" s="247"/>
      <c r="AC25141" s="247"/>
      <c r="AT25141" s="247"/>
    </row>
    <row r="25142">
      <c r="C25142" s="277"/>
      <c r="M25142" s="277"/>
      <c r="O25142" s="247"/>
      <c r="AC25142" s="247"/>
      <c r="AT25142" s="247"/>
    </row>
    <row r="25143">
      <c r="C25143" s="277"/>
      <c r="M25143" s="277"/>
      <c r="O25143" s="247"/>
      <c r="AC25143" s="247"/>
      <c r="AT25143" s="247"/>
    </row>
    <row r="25144">
      <c r="C25144" s="277"/>
      <c r="M25144" s="277"/>
      <c r="O25144" s="247"/>
      <c r="AC25144" s="247"/>
      <c r="AT25144" s="247"/>
    </row>
    <row r="25145">
      <c r="C25145" s="277"/>
      <c r="M25145" s="277"/>
      <c r="O25145" s="247"/>
      <c r="AC25145" s="247"/>
      <c r="AT25145" s="247"/>
    </row>
    <row r="25146">
      <c r="C25146" s="277"/>
      <c r="M25146" s="277"/>
      <c r="O25146" s="247"/>
      <c r="AC25146" s="247"/>
      <c r="AT25146" s="247"/>
    </row>
    <row r="25147">
      <c r="C25147" s="277"/>
      <c r="M25147" s="277"/>
      <c r="O25147" s="247"/>
      <c r="AC25147" s="247"/>
      <c r="AT25147" s="247"/>
    </row>
    <row r="25148">
      <c r="C25148" s="277"/>
      <c r="M25148" s="277"/>
      <c r="O25148" s="247"/>
      <c r="AC25148" s="247"/>
      <c r="AT25148" s="247"/>
    </row>
    <row r="25149">
      <c r="C25149" s="277"/>
      <c r="M25149" s="277"/>
      <c r="O25149" s="247"/>
      <c r="AC25149" s="247"/>
      <c r="AT25149" s="247"/>
    </row>
    <row r="25150">
      <c r="C25150" s="277"/>
      <c r="M25150" s="277"/>
      <c r="O25150" s="247"/>
      <c r="AC25150" s="247"/>
      <c r="AT25150" s="247"/>
    </row>
    <row r="25151">
      <c r="C25151" s="277"/>
      <c r="M25151" s="277"/>
      <c r="O25151" s="247"/>
      <c r="AC25151" s="247"/>
      <c r="AT25151" s="247"/>
    </row>
    <row r="25152">
      <c r="C25152" s="277"/>
      <c r="M25152" s="277"/>
      <c r="O25152" s="247"/>
      <c r="AC25152" s="247"/>
      <c r="AT25152" s="247"/>
    </row>
    <row r="25153">
      <c r="C25153" s="277"/>
      <c r="M25153" s="277"/>
      <c r="O25153" s="247"/>
      <c r="AC25153" s="247"/>
      <c r="AT25153" s="247"/>
    </row>
    <row r="25154">
      <c r="C25154" s="277"/>
      <c r="M25154" s="277"/>
      <c r="O25154" s="247"/>
      <c r="AC25154" s="247"/>
      <c r="AT25154" s="247"/>
    </row>
    <row r="25155">
      <c r="C25155" s="277"/>
      <c r="M25155" s="277"/>
      <c r="O25155" s="247"/>
      <c r="AC25155" s="247"/>
      <c r="AT25155" s="247"/>
    </row>
    <row r="25156">
      <c r="C25156" s="277"/>
      <c r="M25156" s="277"/>
      <c r="O25156" s="247"/>
      <c r="AC25156" s="247"/>
      <c r="AT25156" s="247"/>
    </row>
    <row r="25157">
      <c r="C25157" s="277"/>
      <c r="M25157" s="277"/>
      <c r="O25157" s="247"/>
      <c r="AC25157" s="247"/>
      <c r="AT25157" s="247"/>
    </row>
    <row r="25158">
      <c r="C25158" s="277"/>
      <c r="M25158" s="277"/>
      <c r="O25158" s="247"/>
      <c r="AC25158" s="247"/>
      <c r="AT25158" s="247"/>
    </row>
    <row r="25159">
      <c r="C25159" s="277"/>
      <c r="M25159" s="277"/>
      <c r="O25159" s="247"/>
      <c r="AC25159" s="247"/>
      <c r="AT25159" s="247"/>
    </row>
    <row r="25160">
      <c r="C25160" s="277"/>
      <c r="M25160" s="277"/>
      <c r="O25160" s="247"/>
      <c r="AC25160" s="247"/>
      <c r="AT25160" s="247"/>
    </row>
    <row r="25161">
      <c r="C25161" s="277"/>
      <c r="M25161" s="277"/>
      <c r="O25161" s="247"/>
      <c r="AC25161" s="247"/>
      <c r="AT25161" s="247"/>
    </row>
    <row r="25162">
      <c r="C25162" s="277"/>
      <c r="M25162" s="277"/>
      <c r="O25162" s="247"/>
      <c r="AC25162" s="247"/>
      <c r="AT25162" s="247"/>
    </row>
    <row r="25163">
      <c r="C25163" s="277"/>
      <c r="M25163" s="277"/>
      <c r="O25163" s="247"/>
      <c r="AC25163" s="247"/>
      <c r="AT25163" s="247"/>
    </row>
    <row r="25164">
      <c r="C25164" s="277"/>
      <c r="M25164" s="277"/>
      <c r="O25164" s="247"/>
      <c r="AC25164" s="247"/>
      <c r="AT25164" s="247"/>
    </row>
    <row r="25165">
      <c r="C25165" s="277"/>
      <c r="M25165" s="277"/>
      <c r="O25165" s="247"/>
      <c r="AC25165" s="247"/>
      <c r="AT25165" s="247"/>
    </row>
    <row r="25166">
      <c r="C25166" s="277"/>
      <c r="M25166" s="277"/>
      <c r="O25166" s="247"/>
      <c r="AC25166" s="247"/>
      <c r="AT25166" s="247"/>
    </row>
    <row r="25167">
      <c r="C25167" s="277"/>
      <c r="M25167" s="277"/>
      <c r="O25167" s="247"/>
      <c r="AC25167" s="247"/>
      <c r="AT25167" s="247"/>
    </row>
    <row r="25168">
      <c r="C25168" s="277"/>
      <c r="M25168" s="277"/>
      <c r="O25168" s="247"/>
      <c r="AC25168" s="247"/>
      <c r="AT25168" s="247"/>
    </row>
    <row r="25169">
      <c r="C25169" s="277"/>
      <c r="M25169" s="277"/>
      <c r="O25169" s="247"/>
      <c r="AC25169" s="247"/>
      <c r="AT25169" s="247"/>
    </row>
    <row r="25170">
      <c r="C25170" s="277"/>
      <c r="M25170" s="277"/>
      <c r="O25170" s="247"/>
      <c r="AC25170" s="247"/>
      <c r="AT25170" s="247"/>
    </row>
    <row r="25171">
      <c r="C25171" s="277"/>
      <c r="M25171" s="277"/>
      <c r="O25171" s="247"/>
      <c r="AC25171" s="247"/>
      <c r="AT25171" s="247"/>
    </row>
    <row r="25172">
      <c r="C25172" s="277"/>
      <c r="M25172" s="277"/>
      <c r="O25172" s="247"/>
      <c r="AC25172" s="247"/>
      <c r="AT25172" s="247"/>
    </row>
    <row r="25173">
      <c r="C25173" s="277"/>
      <c r="M25173" s="277"/>
      <c r="O25173" s="247"/>
      <c r="AC25173" s="247"/>
      <c r="AT25173" s="247"/>
    </row>
    <row r="25174">
      <c r="C25174" s="277"/>
      <c r="M25174" s="277"/>
      <c r="O25174" s="247"/>
      <c r="AC25174" s="247"/>
      <c r="AT25174" s="247"/>
    </row>
    <row r="25175">
      <c r="C25175" s="277"/>
      <c r="M25175" s="277"/>
      <c r="O25175" s="247"/>
      <c r="AC25175" s="247"/>
      <c r="AT25175" s="247"/>
    </row>
    <row r="25176">
      <c r="C25176" s="277"/>
      <c r="M25176" s="277"/>
      <c r="O25176" s="247"/>
      <c r="AC25176" s="247"/>
      <c r="AT25176" s="247"/>
    </row>
    <row r="25177">
      <c r="C25177" s="277"/>
      <c r="M25177" s="277"/>
      <c r="O25177" s="247"/>
      <c r="AC25177" s="247"/>
      <c r="AT25177" s="247"/>
    </row>
    <row r="25178">
      <c r="C25178" s="277"/>
      <c r="M25178" s="277"/>
      <c r="O25178" s="247"/>
      <c r="AC25178" s="247"/>
      <c r="AT25178" s="247"/>
    </row>
    <row r="25179">
      <c r="C25179" s="277"/>
      <c r="M25179" s="277"/>
      <c r="O25179" s="247"/>
      <c r="AC25179" s="247"/>
      <c r="AT25179" s="247"/>
    </row>
    <row r="25180">
      <c r="C25180" s="277"/>
      <c r="M25180" s="277"/>
      <c r="O25180" s="247"/>
      <c r="AC25180" s="247"/>
      <c r="AT25180" s="247"/>
    </row>
    <row r="25181">
      <c r="C25181" s="277"/>
      <c r="M25181" s="277"/>
      <c r="O25181" s="247"/>
      <c r="AC25181" s="247"/>
      <c r="AT25181" s="247"/>
    </row>
    <row r="25182">
      <c r="C25182" s="277"/>
      <c r="M25182" s="277"/>
      <c r="O25182" s="247"/>
      <c r="AC25182" s="247"/>
      <c r="AT25182" s="247"/>
    </row>
    <row r="25183">
      <c r="C25183" s="277"/>
      <c r="M25183" s="277"/>
      <c r="O25183" s="247"/>
      <c r="AC25183" s="247"/>
      <c r="AT25183" s="247"/>
    </row>
    <row r="25184">
      <c r="C25184" s="277"/>
      <c r="M25184" s="277"/>
      <c r="O25184" s="247"/>
      <c r="AC25184" s="247"/>
      <c r="AT25184" s="247"/>
    </row>
    <row r="25185">
      <c r="C25185" s="277"/>
      <c r="M25185" s="277"/>
      <c r="O25185" s="247"/>
      <c r="AC25185" s="247"/>
      <c r="AT25185" s="247"/>
    </row>
    <row r="25186">
      <c r="C25186" s="277"/>
      <c r="M25186" s="277"/>
      <c r="O25186" s="247"/>
      <c r="AC25186" s="247"/>
      <c r="AT25186" s="247"/>
    </row>
    <row r="25187">
      <c r="C25187" s="277"/>
      <c r="M25187" s="277"/>
      <c r="O25187" s="247"/>
      <c r="AC25187" s="247"/>
      <c r="AT25187" s="247"/>
    </row>
    <row r="25188">
      <c r="C25188" s="277"/>
      <c r="M25188" s="277"/>
      <c r="O25188" s="247"/>
      <c r="AC25188" s="247"/>
      <c r="AT25188" s="247"/>
    </row>
    <row r="25189">
      <c r="C25189" s="277"/>
      <c r="M25189" s="277"/>
      <c r="O25189" s="247"/>
      <c r="AC25189" s="247"/>
      <c r="AT25189" s="247"/>
    </row>
    <row r="25190">
      <c r="C25190" s="277"/>
      <c r="M25190" s="277"/>
      <c r="O25190" s="247"/>
      <c r="AC25190" s="247"/>
      <c r="AT25190" s="247"/>
    </row>
    <row r="25191">
      <c r="C25191" s="277"/>
      <c r="M25191" s="277"/>
      <c r="O25191" s="247"/>
      <c r="AC25191" s="247"/>
      <c r="AT25191" s="247"/>
    </row>
    <row r="25192">
      <c r="C25192" s="277"/>
      <c r="M25192" s="277"/>
      <c r="O25192" s="247"/>
      <c r="AC25192" s="247"/>
      <c r="AT25192" s="247"/>
    </row>
    <row r="25193">
      <c r="C25193" s="277"/>
      <c r="M25193" s="277"/>
      <c r="O25193" s="247"/>
      <c r="AC25193" s="247"/>
      <c r="AT25193" s="247"/>
    </row>
    <row r="25194">
      <c r="C25194" s="277"/>
      <c r="M25194" s="277"/>
      <c r="O25194" s="247"/>
      <c r="AC25194" s="247"/>
      <c r="AT25194" s="247"/>
    </row>
    <row r="25195">
      <c r="C25195" s="277"/>
      <c r="M25195" s="277"/>
      <c r="O25195" s="247"/>
      <c r="AC25195" s="247"/>
      <c r="AT25195" s="247"/>
    </row>
    <row r="25196">
      <c r="C25196" s="277"/>
      <c r="M25196" s="277"/>
      <c r="O25196" s="247"/>
      <c r="AC25196" s="247"/>
      <c r="AT25196" s="247"/>
    </row>
    <row r="25197">
      <c r="C25197" s="277"/>
      <c r="M25197" s="277"/>
      <c r="O25197" s="247"/>
      <c r="AC25197" s="247"/>
      <c r="AT25197" s="247"/>
    </row>
    <row r="25198">
      <c r="C25198" s="277"/>
      <c r="M25198" s="277"/>
      <c r="O25198" s="247"/>
      <c r="AC25198" s="247"/>
      <c r="AT25198" s="247"/>
    </row>
    <row r="25199">
      <c r="C25199" s="277"/>
      <c r="M25199" s="277"/>
      <c r="O25199" s="247"/>
      <c r="AC25199" s="247"/>
      <c r="AT25199" s="247"/>
    </row>
    <row r="25200">
      <c r="C25200" s="277"/>
      <c r="M25200" s="277"/>
      <c r="O25200" s="247"/>
      <c r="AC25200" s="247"/>
      <c r="AT25200" s="247"/>
    </row>
    <row r="25201">
      <c r="C25201" s="277"/>
      <c r="M25201" s="277"/>
      <c r="O25201" s="247"/>
      <c r="AC25201" s="247"/>
      <c r="AT25201" s="247"/>
    </row>
    <row r="25202">
      <c r="C25202" s="277"/>
      <c r="M25202" s="277"/>
      <c r="O25202" s="247"/>
      <c r="AC25202" s="247"/>
      <c r="AT25202" s="247"/>
    </row>
    <row r="25203">
      <c r="C25203" s="277"/>
      <c r="M25203" s="277"/>
      <c r="O25203" s="247"/>
      <c r="AC25203" s="247"/>
      <c r="AT25203" s="247"/>
    </row>
    <row r="25204">
      <c r="C25204" s="277"/>
      <c r="M25204" s="277"/>
      <c r="O25204" s="247"/>
      <c r="AC25204" s="247"/>
      <c r="AT25204" s="247"/>
    </row>
    <row r="25205">
      <c r="C25205" s="277"/>
      <c r="M25205" s="277"/>
      <c r="O25205" s="247"/>
      <c r="AC25205" s="247"/>
      <c r="AT25205" s="247"/>
    </row>
    <row r="25206">
      <c r="C25206" s="277"/>
      <c r="M25206" s="277"/>
      <c r="O25206" s="247"/>
      <c r="AC25206" s="247"/>
      <c r="AT25206" s="247"/>
    </row>
    <row r="25207">
      <c r="C25207" s="277"/>
      <c r="M25207" s="277"/>
      <c r="O25207" s="247"/>
      <c r="AC25207" s="247"/>
      <c r="AT25207" s="247"/>
    </row>
    <row r="25208">
      <c r="C25208" s="277"/>
      <c r="M25208" s="277"/>
      <c r="O25208" s="247"/>
      <c r="AC25208" s="247"/>
      <c r="AT25208" s="247"/>
    </row>
    <row r="25209">
      <c r="C25209" s="277"/>
      <c r="M25209" s="277"/>
      <c r="O25209" s="247"/>
      <c r="AC25209" s="247"/>
      <c r="AT25209" s="247"/>
    </row>
    <row r="25210">
      <c r="C25210" s="277"/>
      <c r="M25210" s="277"/>
      <c r="O25210" s="247"/>
      <c r="AC25210" s="247"/>
      <c r="AT25210" s="247"/>
    </row>
    <row r="25211">
      <c r="C25211" s="277"/>
      <c r="M25211" s="277"/>
      <c r="O25211" s="247"/>
      <c r="AC25211" s="247"/>
      <c r="AT25211" s="247"/>
    </row>
    <row r="25212">
      <c r="C25212" s="277"/>
      <c r="M25212" s="277"/>
      <c r="O25212" s="247"/>
      <c r="AC25212" s="247"/>
      <c r="AT25212" s="247"/>
    </row>
    <row r="25213">
      <c r="C25213" s="277"/>
      <c r="M25213" s="277"/>
      <c r="O25213" s="247"/>
      <c r="AC25213" s="247"/>
      <c r="AT25213" s="247"/>
    </row>
    <row r="25214">
      <c r="C25214" s="277"/>
      <c r="M25214" s="277"/>
      <c r="O25214" s="247"/>
      <c r="AC25214" s="247"/>
      <c r="AT25214" s="247"/>
    </row>
    <row r="25215">
      <c r="C25215" s="277"/>
      <c r="M25215" s="277"/>
      <c r="O25215" s="247"/>
      <c r="AC25215" s="247"/>
      <c r="AT25215" s="247"/>
    </row>
    <row r="25216">
      <c r="C25216" s="277"/>
      <c r="M25216" s="277"/>
      <c r="O25216" s="247"/>
      <c r="AC25216" s="247"/>
      <c r="AT25216" s="247"/>
    </row>
    <row r="25217">
      <c r="C25217" s="277"/>
      <c r="M25217" s="277"/>
      <c r="O25217" s="247"/>
      <c r="AC25217" s="247"/>
      <c r="AT25217" s="247"/>
    </row>
    <row r="25218">
      <c r="C25218" s="277"/>
      <c r="M25218" s="277"/>
      <c r="O25218" s="247"/>
      <c r="AC25218" s="247"/>
      <c r="AT25218" s="247"/>
    </row>
    <row r="25219">
      <c r="C25219" s="277"/>
      <c r="M25219" s="277"/>
      <c r="O25219" s="247"/>
      <c r="AC25219" s="247"/>
      <c r="AT25219" s="247"/>
    </row>
    <row r="25220">
      <c r="C25220" s="277"/>
      <c r="M25220" s="277"/>
      <c r="O25220" s="247"/>
      <c r="AC25220" s="247"/>
      <c r="AT25220" s="247"/>
    </row>
    <row r="25221">
      <c r="C25221" s="277"/>
      <c r="M25221" s="277"/>
      <c r="O25221" s="247"/>
      <c r="AC25221" s="247"/>
      <c r="AT25221" s="247"/>
    </row>
    <row r="25222">
      <c r="C25222" s="277"/>
      <c r="M25222" s="277"/>
      <c r="O25222" s="247"/>
      <c r="AC25222" s="247"/>
      <c r="AT25222" s="247"/>
    </row>
    <row r="25223">
      <c r="C25223" s="277"/>
      <c r="M25223" s="277"/>
      <c r="O25223" s="247"/>
      <c r="AC25223" s="247"/>
      <c r="AT25223" s="247"/>
    </row>
    <row r="25224">
      <c r="C25224" s="277"/>
      <c r="M25224" s="277"/>
      <c r="O25224" s="247"/>
      <c r="AC25224" s="247"/>
      <c r="AT25224" s="247"/>
    </row>
    <row r="25225">
      <c r="C25225" s="277"/>
      <c r="M25225" s="277"/>
      <c r="O25225" s="247"/>
      <c r="AC25225" s="247"/>
      <c r="AT25225" s="247"/>
    </row>
    <row r="25226">
      <c r="C25226" s="277"/>
      <c r="M25226" s="277"/>
      <c r="O25226" s="247"/>
      <c r="AC25226" s="247"/>
      <c r="AT25226" s="247"/>
    </row>
    <row r="25227">
      <c r="C25227" s="277"/>
      <c r="M25227" s="277"/>
      <c r="O25227" s="247"/>
      <c r="AC25227" s="247"/>
      <c r="AT25227" s="247"/>
    </row>
    <row r="25228">
      <c r="C25228" s="277"/>
      <c r="M25228" s="277"/>
      <c r="O25228" s="247"/>
      <c r="AC25228" s="247"/>
      <c r="AT25228" s="247"/>
    </row>
    <row r="25229">
      <c r="C25229" s="277"/>
      <c r="M25229" s="277"/>
      <c r="O25229" s="247"/>
      <c r="AC25229" s="247"/>
      <c r="AT25229" s="247"/>
    </row>
    <row r="25230">
      <c r="C25230" s="277"/>
      <c r="M25230" s="277"/>
      <c r="O25230" s="247"/>
      <c r="AC25230" s="247"/>
      <c r="AT25230" s="247"/>
    </row>
    <row r="25231">
      <c r="C25231" s="277"/>
      <c r="M25231" s="277"/>
      <c r="O25231" s="247"/>
      <c r="AC25231" s="247"/>
      <c r="AT25231" s="247"/>
    </row>
    <row r="25232">
      <c r="C25232" s="277"/>
      <c r="M25232" s="277"/>
      <c r="O25232" s="247"/>
      <c r="AC25232" s="247"/>
      <c r="AT25232" s="247"/>
    </row>
    <row r="25233">
      <c r="C25233" s="277"/>
      <c r="M25233" s="277"/>
      <c r="O25233" s="247"/>
      <c r="AC25233" s="247"/>
      <c r="AT25233" s="247"/>
    </row>
    <row r="25234">
      <c r="C25234" s="277"/>
      <c r="M25234" s="277"/>
      <c r="O25234" s="247"/>
      <c r="AC25234" s="247"/>
      <c r="AT25234" s="247"/>
    </row>
    <row r="25235">
      <c r="C25235" s="277"/>
      <c r="M25235" s="277"/>
      <c r="O25235" s="247"/>
      <c r="AC25235" s="247"/>
      <c r="AT25235" s="247"/>
    </row>
    <row r="25236">
      <c r="C25236" s="277"/>
      <c r="M25236" s="277"/>
      <c r="O25236" s="247"/>
      <c r="AC25236" s="247"/>
      <c r="AT25236" s="247"/>
    </row>
    <row r="25237">
      <c r="C25237" s="277"/>
      <c r="M25237" s="277"/>
      <c r="O25237" s="247"/>
      <c r="AC25237" s="247"/>
      <c r="AT25237" s="247"/>
    </row>
    <row r="25238">
      <c r="C25238" s="277"/>
      <c r="M25238" s="277"/>
      <c r="O25238" s="247"/>
      <c r="AC25238" s="247"/>
      <c r="AT25238" s="247"/>
    </row>
    <row r="25239">
      <c r="C25239" s="277"/>
      <c r="M25239" s="277"/>
      <c r="O25239" s="247"/>
      <c r="AC25239" s="247"/>
      <c r="AT25239" s="247"/>
    </row>
    <row r="25240">
      <c r="C25240" s="277"/>
      <c r="M25240" s="277"/>
      <c r="O25240" s="247"/>
      <c r="AC25240" s="247"/>
      <c r="AT25240" s="247"/>
    </row>
    <row r="25241">
      <c r="C25241" s="277"/>
      <c r="M25241" s="277"/>
      <c r="O25241" s="247"/>
      <c r="AC25241" s="247"/>
      <c r="AT25241" s="247"/>
    </row>
    <row r="25242">
      <c r="C25242" s="277"/>
      <c r="M25242" s="277"/>
      <c r="O25242" s="247"/>
      <c r="AC25242" s="247"/>
      <c r="AT25242" s="247"/>
    </row>
    <row r="25243">
      <c r="C25243" s="277"/>
      <c r="M25243" s="277"/>
      <c r="O25243" s="247"/>
      <c r="AC25243" s="247"/>
      <c r="AT25243" s="247"/>
    </row>
    <row r="25244">
      <c r="C25244" s="277"/>
      <c r="M25244" s="277"/>
      <c r="O25244" s="247"/>
      <c r="AC25244" s="247"/>
      <c r="AT25244" s="247"/>
    </row>
    <row r="25245">
      <c r="C25245" s="277"/>
      <c r="M25245" s="277"/>
      <c r="O25245" s="247"/>
      <c r="AC25245" s="247"/>
      <c r="AT25245" s="247"/>
    </row>
    <row r="25246">
      <c r="C25246" s="277"/>
      <c r="M25246" s="277"/>
      <c r="O25246" s="247"/>
      <c r="AC25246" s="247"/>
      <c r="AT25246" s="247"/>
    </row>
    <row r="25247">
      <c r="C25247" s="277"/>
      <c r="M25247" s="277"/>
      <c r="O25247" s="247"/>
      <c r="AC25247" s="247"/>
      <c r="AT25247" s="247"/>
    </row>
    <row r="25248">
      <c r="C25248" s="277"/>
      <c r="M25248" s="277"/>
      <c r="O25248" s="247"/>
      <c r="AC25248" s="247"/>
      <c r="AT25248" s="247"/>
    </row>
    <row r="25249">
      <c r="C25249" s="277"/>
      <c r="M25249" s="277"/>
      <c r="O25249" s="247"/>
      <c r="AC25249" s="247"/>
      <c r="AT25249" s="247"/>
    </row>
    <row r="25250">
      <c r="C25250" s="277"/>
      <c r="M25250" s="277"/>
      <c r="O25250" s="247"/>
      <c r="AC25250" s="247"/>
      <c r="AT25250" s="247"/>
    </row>
    <row r="25251">
      <c r="C25251" s="277"/>
      <c r="M25251" s="277"/>
      <c r="O25251" s="247"/>
      <c r="AC25251" s="247"/>
      <c r="AT25251" s="247"/>
    </row>
    <row r="25252">
      <c r="C25252" s="277"/>
      <c r="M25252" s="277"/>
      <c r="O25252" s="247"/>
      <c r="AC25252" s="247"/>
      <c r="AT25252" s="247"/>
    </row>
    <row r="25253">
      <c r="C25253" s="277"/>
      <c r="M25253" s="277"/>
      <c r="O25253" s="247"/>
      <c r="AC25253" s="247"/>
      <c r="AT25253" s="247"/>
    </row>
    <row r="25254">
      <c r="C25254" s="277"/>
      <c r="M25254" s="277"/>
      <c r="O25254" s="247"/>
      <c r="AC25254" s="247"/>
      <c r="AT25254" s="247"/>
    </row>
    <row r="25255">
      <c r="C25255" s="277"/>
      <c r="M25255" s="277"/>
      <c r="O25255" s="247"/>
      <c r="AC25255" s="247"/>
      <c r="AT25255" s="247"/>
    </row>
    <row r="25256">
      <c r="C25256" s="277"/>
      <c r="M25256" s="277"/>
      <c r="O25256" s="247"/>
      <c r="AC25256" s="247"/>
      <c r="AT25256" s="247"/>
    </row>
    <row r="25257">
      <c r="C25257" s="277"/>
      <c r="M25257" s="277"/>
      <c r="O25257" s="247"/>
      <c r="AC25257" s="247"/>
      <c r="AT25257" s="247"/>
    </row>
    <row r="25258">
      <c r="C25258" s="277"/>
      <c r="M25258" s="277"/>
      <c r="O25258" s="247"/>
      <c r="AC25258" s="247"/>
      <c r="AT25258" s="247"/>
    </row>
    <row r="25259">
      <c r="C25259" s="277"/>
      <c r="M25259" s="277"/>
      <c r="O25259" s="247"/>
      <c r="AC25259" s="247"/>
      <c r="AT25259" s="247"/>
    </row>
    <row r="25260">
      <c r="C25260" s="277"/>
      <c r="M25260" s="277"/>
      <c r="O25260" s="247"/>
      <c r="AC25260" s="247"/>
      <c r="AT25260" s="247"/>
    </row>
    <row r="25261">
      <c r="C25261" s="277"/>
      <c r="M25261" s="277"/>
      <c r="O25261" s="247"/>
      <c r="AC25261" s="247"/>
      <c r="AT25261" s="247"/>
    </row>
    <row r="25262">
      <c r="C25262" s="277"/>
      <c r="M25262" s="277"/>
      <c r="O25262" s="247"/>
      <c r="AC25262" s="247"/>
      <c r="AT25262" s="247"/>
    </row>
    <row r="25263">
      <c r="C25263" s="277"/>
      <c r="M25263" s="277"/>
      <c r="O25263" s="247"/>
      <c r="AC25263" s="247"/>
      <c r="AT25263" s="247"/>
    </row>
    <row r="25264">
      <c r="C25264" s="277"/>
      <c r="M25264" s="277"/>
      <c r="O25264" s="247"/>
      <c r="AC25264" s="247"/>
      <c r="AT25264" s="247"/>
    </row>
    <row r="25265">
      <c r="C25265" s="277"/>
      <c r="M25265" s="277"/>
      <c r="O25265" s="247"/>
      <c r="AC25265" s="247"/>
      <c r="AT25265" s="247"/>
    </row>
    <row r="25266">
      <c r="C25266" s="277"/>
      <c r="M25266" s="277"/>
      <c r="O25266" s="247"/>
      <c r="AC25266" s="247"/>
      <c r="AT25266" s="247"/>
    </row>
    <row r="25267">
      <c r="C25267" s="277"/>
      <c r="M25267" s="277"/>
      <c r="O25267" s="247"/>
      <c r="AC25267" s="247"/>
      <c r="AT25267" s="247"/>
    </row>
    <row r="25268">
      <c r="C25268" s="277"/>
      <c r="M25268" s="277"/>
      <c r="O25268" s="247"/>
      <c r="AC25268" s="247"/>
      <c r="AT25268" s="247"/>
    </row>
    <row r="25269">
      <c r="C25269" s="277"/>
      <c r="M25269" s="277"/>
      <c r="O25269" s="247"/>
      <c r="AC25269" s="247"/>
      <c r="AT25269" s="247"/>
    </row>
    <row r="25270">
      <c r="C25270" s="277"/>
      <c r="M25270" s="277"/>
      <c r="O25270" s="247"/>
      <c r="AC25270" s="247"/>
      <c r="AT25270" s="247"/>
    </row>
    <row r="25271">
      <c r="C25271" s="277"/>
      <c r="M25271" s="277"/>
      <c r="O25271" s="247"/>
      <c r="AC25271" s="247"/>
      <c r="AT25271" s="247"/>
    </row>
    <row r="25272">
      <c r="C25272" s="277"/>
      <c r="M25272" s="277"/>
      <c r="O25272" s="247"/>
      <c r="AC25272" s="247"/>
      <c r="AT25272" s="247"/>
    </row>
    <row r="25273">
      <c r="C25273" s="277"/>
      <c r="M25273" s="277"/>
      <c r="O25273" s="247"/>
      <c r="AC25273" s="247"/>
      <c r="AT25273" s="247"/>
    </row>
    <row r="25274">
      <c r="C25274" s="277"/>
      <c r="M25274" s="277"/>
      <c r="O25274" s="247"/>
      <c r="AC25274" s="247"/>
      <c r="AT25274" s="247"/>
    </row>
    <row r="25275">
      <c r="C25275" s="277"/>
      <c r="M25275" s="277"/>
      <c r="O25275" s="247"/>
      <c r="AC25275" s="247"/>
      <c r="AT25275" s="247"/>
    </row>
    <row r="25276">
      <c r="C25276" s="277"/>
      <c r="M25276" s="277"/>
      <c r="O25276" s="247"/>
      <c r="AC25276" s="247"/>
      <c r="AT25276" s="247"/>
    </row>
    <row r="25277">
      <c r="C25277" s="277"/>
      <c r="M25277" s="277"/>
      <c r="O25277" s="247"/>
      <c r="AC25277" s="247"/>
      <c r="AT25277" s="247"/>
    </row>
    <row r="25278">
      <c r="C25278" s="277"/>
      <c r="M25278" s="277"/>
      <c r="O25278" s="247"/>
      <c r="AC25278" s="247"/>
      <c r="AT25278" s="247"/>
    </row>
    <row r="25279">
      <c r="C25279" s="277"/>
      <c r="M25279" s="277"/>
      <c r="O25279" s="247"/>
      <c r="AC25279" s="247"/>
      <c r="AT25279" s="247"/>
    </row>
    <row r="25280">
      <c r="C25280" s="277"/>
      <c r="M25280" s="277"/>
      <c r="O25280" s="247"/>
      <c r="AC25280" s="247"/>
      <c r="AT25280" s="247"/>
    </row>
    <row r="25281">
      <c r="C25281" s="277"/>
      <c r="M25281" s="277"/>
      <c r="O25281" s="247"/>
      <c r="AC25281" s="247"/>
      <c r="AT25281" s="247"/>
    </row>
    <row r="25282">
      <c r="C25282" s="277"/>
      <c r="M25282" s="277"/>
      <c r="O25282" s="247"/>
      <c r="AC25282" s="247"/>
      <c r="AT25282" s="247"/>
    </row>
    <row r="25283">
      <c r="C25283" s="277"/>
      <c r="M25283" s="277"/>
      <c r="O25283" s="247"/>
      <c r="AC25283" s="247"/>
      <c r="AT25283" s="247"/>
    </row>
    <row r="25284">
      <c r="C25284" s="277"/>
      <c r="M25284" s="277"/>
      <c r="O25284" s="247"/>
      <c r="AC25284" s="247"/>
      <c r="AT25284" s="247"/>
    </row>
    <row r="25285">
      <c r="C25285" s="277"/>
      <c r="M25285" s="277"/>
      <c r="O25285" s="247"/>
      <c r="AC25285" s="247"/>
      <c r="AT25285" s="247"/>
    </row>
    <row r="25286">
      <c r="C25286" s="277"/>
      <c r="M25286" s="277"/>
      <c r="O25286" s="247"/>
      <c r="AC25286" s="247"/>
      <c r="AT25286" s="247"/>
    </row>
    <row r="25287">
      <c r="C25287" s="277"/>
      <c r="M25287" s="277"/>
      <c r="O25287" s="247"/>
      <c r="AC25287" s="247"/>
      <c r="AT25287" s="247"/>
    </row>
    <row r="25288">
      <c r="C25288" s="277"/>
      <c r="M25288" s="277"/>
      <c r="O25288" s="247"/>
      <c r="AC25288" s="247"/>
      <c r="AT25288" s="247"/>
    </row>
    <row r="25289">
      <c r="C25289" s="277"/>
      <c r="M25289" s="277"/>
      <c r="O25289" s="247"/>
      <c r="AC25289" s="247"/>
      <c r="AT25289" s="247"/>
    </row>
    <row r="25290">
      <c r="C25290" s="277"/>
      <c r="M25290" s="277"/>
      <c r="O25290" s="247"/>
      <c r="AC25290" s="247"/>
      <c r="AT25290" s="247"/>
    </row>
    <row r="25291">
      <c r="C25291" s="277"/>
      <c r="M25291" s="277"/>
      <c r="O25291" s="247"/>
      <c r="AC25291" s="247"/>
      <c r="AT25291" s="247"/>
    </row>
    <row r="25292">
      <c r="C25292" s="277"/>
      <c r="M25292" s="277"/>
      <c r="O25292" s="247"/>
      <c r="AC25292" s="247"/>
      <c r="AT25292" s="247"/>
    </row>
    <row r="25293">
      <c r="C25293" s="277"/>
      <c r="M25293" s="277"/>
      <c r="O25293" s="247"/>
      <c r="AC25293" s="247"/>
      <c r="AT25293" s="247"/>
    </row>
    <row r="25294">
      <c r="C25294" s="277"/>
      <c r="M25294" s="277"/>
      <c r="O25294" s="247"/>
      <c r="AC25294" s="247"/>
      <c r="AT25294" s="247"/>
    </row>
    <row r="25295">
      <c r="C25295" s="277"/>
      <c r="M25295" s="277"/>
      <c r="O25295" s="247"/>
      <c r="AC25295" s="247"/>
      <c r="AT25295" s="247"/>
    </row>
    <row r="25296">
      <c r="C25296" s="277"/>
      <c r="M25296" s="277"/>
      <c r="O25296" s="247"/>
      <c r="AC25296" s="247"/>
      <c r="AT25296" s="247"/>
    </row>
    <row r="25297">
      <c r="C25297" s="277"/>
      <c r="M25297" s="277"/>
      <c r="O25297" s="247"/>
      <c r="AC25297" s="247"/>
      <c r="AT25297" s="247"/>
    </row>
    <row r="25298">
      <c r="C25298" s="277"/>
      <c r="M25298" s="277"/>
      <c r="O25298" s="247"/>
      <c r="AC25298" s="247"/>
      <c r="AT25298" s="247"/>
    </row>
    <row r="25299">
      <c r="C25299" s="277"/>
      <c r="M25299" s="277"/>
      <c r="O25299" s="247"/>
      <c r="AC25299" s="247"/>
      <c r="AT25299" s="247"/>
    </row>
    <row r="25300">
      <c r="C25300" s="277"/>
      <c r="M25300" s="277"/>
      <c r="O25300" s="247"/>
      <c r="AC25300" s="247"/>
      <c r="AT25300" s="247"/>
    </row>
    <row r="25301">
      <c r="C25301" s="277"/>
      <c r="M25301" s="277"/>
      <c r="O25301" s="247"/>
      <c r="AC25301" s="247"/>
      <c r="AT25301" s="247"/>
    </row>
    <row r="25302">
      <c r="C25302" s="277"/>
      <c r="M25302" s="277"/>
      <c r="O25302" s="247"/>
      <c r="AC25302" s="247"/>
      <c r="AT25302" s="247"/>
    </row>
    <row r="25303">
      <c r="C25303" s="277"/>
      <c r="M25303" s="277"/>
      <c r="O25303" s="247"/>
      <c r="AC25303" s="247"/>
      <c r="AT25303" s="247"/>
    </row>
    <row r="25304">
      <c r="C25304" s="277"/>
      <c r="M25304" s="277"/>
      <c r="O25304" s="247"/>
      <c r="AC25304" s="247"/>
      <c r="AT25304" s="247"/>
    </row>
    <row r="25305">
      <c r="C25305" s="277"/>
      <c r="M25305" s="277"/>
      <c r="O25305" s="247"/>
      <c r="AC25305" s="247"/>
      <c r="AT25305" s="247"/>
    </row>
    <row r="25306">
      <c r="C25306" s="277"/>
      <c r="M25306" s="277"/>
      <c r="O25306" s="247"/>
      <c r="AC25306" s="247"/>
      <c r="AT25306" s="247"/>
    </row>
    <row r="25307">
      <c r="C25307" s="277"/>
      <c r="M25307" s="277"/>
      <c r="O25307" s="247"/>
      <c r="AC25307" s="247"/>
      <c r="AT25307" s="247"/>
    </row>
    <row r="25308">
      <c r="C25308" s="277"/>
      <c r="M25308" s="277"/>
      <c r="O25308" s="247"/>
      <c r="AC25308" s="247"/>
      <c r="AT25308" s="247"/>
    </row>
    <row r="25309">
      <c r="C25309" s="277"/>
      <c r="M25309" s="277"/>
      <c r="O25309" s="247"/>
      <c r="AC25309" s="247"/>
      <c r="AT25309" s="247"/>
    </row>
    <row r="25310">
      <c r="C25310" s="277"/>
      <c r="M25310" s="277"/>
      <c r="O25310" s="247"/>
      <c r="AC25310" s="247"/>
      <c r="AT25310" s="247"/>
    </row>
    <row r="25311">
      <c r="C25311" s="277"/>
      <c r="M25311" s="277"/>
      <c r="O25311" s="247"/>
      <c r="AC25311" s="247"/>
      <c r="AT25311" s="247"/>
    </row>
    <row r="25312">
      <c r="C25312" s="277"/>
      <c r="M25312" s="277"/>
      <c r="O25312" s="247"/>
      <c r="AC25312" s="247"/>
      <c r="AT25312" s="247"/>
    </row>
    <row r="25313">
      <c r="C25313" s="277"/>
      <c r="M25313" s="277"/>
      <c r="O25313" s="247"/>
      <c r="AC25313" s="247"/>
      <c r="AT25313" s="247"/>
    </row>
    <row r="25314">
      <c r="C25314" s="277"/>
      <c r="M25314" s="277"/>
      <c r="O25314" s="247"/>
      <c r="AC25314" s="247"/>
      <c r="AT25314" s="247"/>
    </row>
    <row r="25315">
      <c r="C25315" s="277"/>
      <c r="M25315" s="277"/>
      <c r="O25315" s="247"/>
      <c r="AC25315" s="247"/>
      <c r="AT25315" s="247"/>
    </row>
    <row r="25316">
      <c r="C25316" s="277"/>
      <c r="M25316" s="277"/>
      <c r="O25316" s="247"/>
      <c r="AC25316" s="247"/>
      <c r="AT25316" s="247"/>
    </row>
    <row r="25317">
      <c r="C25317" s="277"/>
      <c r="M25317" s="277"/>
      <c r="O25317" s="247"/>
      <c r="AC25317" s="247"/>
      <c r="AT25317" s="247"/>
    </row>
    <row r="25318">
      <c r="C25318" s="277"/>
      <c r="M25318" s="277"/>
      <c r="O25318" s="247"/>
      <c r="AC25318" s="247"/>
      <c r="AT25318" s="247"/>
    </row>
    <row r="25319">
      <c r="C25319" s="277"/>
      <c r="M25319" s="277"/>
      <c r="O25319" s="247"/>
      <c r="AC25319" s="247"/>
      <c r="AT25319" s="247"/>
    </row>
    <row r="25320">
      <c r="C25320" s="277"/>
      <c r="M25320" s="277"/>
      <c r="O25320" s="247"/>
      <c r="AC25320" s="247"/>
      <c r="AT25320" s="247"/>
    </row>
    <row r="25321">
      <c r="C25321" s="277"/>
      <c r="M25321" s="277"/>
      <c r="O25321" s="247"/>
      <c r="AC25321" s="247"/>
      <c r="AT25321" s="247"/>
    </row>
    <row r="25322">
      <c r="C25322" s="277"/>
      <c r="M25322" s="277"/>
      <c r="O25322" s="247"/>
      <c r="AC25322" s="247"/>
      <c r="AT25322" s="247"/>
    </row>
    <row r="25323">
      <c r="C25323" s="277"/>
      <c r="M25323" s="277"/>
      <c r="O25323" s="247"/>
      <c r="AC25323" s="247"/>
      <c r="AT25323" s="247"/>
    </row>
    <row r="25324">
      <c r="C25324" s="277"/>
      <c r="M25324" s="277"/>
      <c r="O25324" s="247"/>
      <c r="AC25324" s="247"/>
      <c r="AT25324" s="247"/>
    </row>
    <row r="25325">
      <c r="C25325" s="277"/>
      <c r="M25325" s="277"/>
      <c r="O25325" s="247"/>
      <c r="AC25325" s="247"/>
      <c r="AT25325" s="247"/>
    </row>
    <row r="25326">
      <c r="C25326" s="277"/>
      <c r="M25326" s="277"/>
      <c r="O25326" s="247"/>
      <c r="AC25326" s="247"/>
      <c r="AT25326" s="247"/>
    </row>
    <row r="25327">
      <c r="C25327" s="277"/>
      <c r="M25327" s="277"/>
      <c r="O25327" s="247"/>
      <c r="AC25327" s="247"/>
      <c r="AT25327" s="247"/>
    </row>
    <row r="25328">
      <c r="C25328" s="277"/>
      <c r="M25328" s="277"/>
      <c r="O25328" s="247"/>
      <c r="AC25328" s="247"/>
      <c r="AT25328" s="247"/>
    </row>
    <row r="25329">
      <c r="C25329" s="277"/>
      <c r="M25329" s="277"/>
      <c r="O25329" s="247"/>
      <c r="AC25329" s="247"/>
      <c r="AT25329" s="247"/>
    </row>
    <row r="25330">
      <c r="C25330" s="277"/>
      <c r="M25330" s="277"/>
      <c r="O25330" s="247"/>
      <c r="AC25330" s="247"/>
      <c r="AT25330" s="247"/>
    </row>
    <row r="25331">
      <c r="C25331" s="277"/>
      <c r="M25331" s="277"/>
      <c r="O25331" s="247"/>
      <c r="AC25331" s="247"/>
      <c r="AT25331" s="247"/>
    </row>
    <row r="25332">
      <c r="C25332" s="277"/>
      <c r="M25332" s="277"/>
      <c r="O25332" s="247"/>
      <c r="AC25332" s="247"/>
      <c r="AT25332" s="247"/>
    </row>
    <row r="25333">
      <c r="C25333" s="277"/>
      <c r="M25333" s="277"/>
      <c r="O25333" s="247"/>
      <c r="AC25333" s="247"/>
      <c r="AT25333" s="247"/>
    </row>
    <row r="25334">
      <c r="C25334" s="277"/>
      <c r="M25334" s="277"/>
      <c r="O25334" s="247"/>
      <c r="AC25334" s="247"/>
      <c r="AT25334" s="247"/>
    </row>
    <row r="25335">
      <c r="C25335" s="277"/>
      <c r="M25335" s="277"/>
      <c r="O25335" s="247"/>
      <c r="AC25335" s="247"/>
      <c r="AT25335" s="247"/>
    </row>
    <row r="25336">
      <c r="C25336" s="277"/>
      <c r="M25336" s="277"/>
      <c r="O25336" s="247"/>
      <c r="AC25336" s="247"/>
      <c r="AT25336" s="247"/>
    </row>
    <row r="25337">
      <c r="C25337" s="277"/>
      <c r="M25337" s="277"/>
      <c r="O25337" s="247"/>
      <c r="AC25337" s="247"/>
      <c r="AT25337" s="247"/>
    </row>
    <row r="25338">
      <c r="C25338" s="277"/>
      <c r="M25338" s="277"/>
      <c r="O25338" s="247"/>
      <c r="AC25338" s="247"/>
      <c r="AT25338" s="247"/>
    </row>
    <row r="25339">
      <c r="C25339" s="277"/>
      <c r="M25339" s="277"/>
      <c r="O25339" s="247"/>
      <c r="AC25339" s="247"/>
      <c r="AT25339" s="247"/>
    </row>
    <row r="25340">
      <c r="C25340" s="277"/>
      <c r="M25340" s="277"/>
      <c r="O25340" s="247"/>
      <c r="AC25340" s="247"/>
      <c r="AT25340" s="247"/>
    </row>
    <row r="25341">
      <c r="C25341" s="277"/>
      <c r="M25341" s="277"/>
      <c r="O25341" s="247"/>
      <c r="AC25341" s="247"/>
      <c r="AT25341" s="247"/>
    </row>
    <row r="25342">
      <c r="C25342" s="277"/>
      <c r="M25342" s="277"/>
      <c r="O25342" s="247"/>
      <c r="AC25342" s="247"/>
      <c r="AT25342" s="247"/>
    </row>
    <row r="25343">
      <c r="C25343" s="277"/>
      <c r="M25343" s="277"/>
      <c r="O25343" s="247"/>
      <c r="AC25343" s="247"/>
      <c r="AT25343" s="247"/>
    </row>
    <row r="25344">
      <c r="C25344" s="277"/>
      <c r="M25344" s="277"/>
      <c r="O25344" s="247"/>
      <c r="AC25344" s="247"/>
      <c r="AT25344" s="247"/>
    </row>
    <row r="25345">
      <c r="C25345" s="277"/>
      <c r="M25345" s="277"/>
      <c r="O25345" s="247"/>
      <c r="AC25345" s="247"/>
      <c r="AT25345" s="247"/>
    </row>
    <row r="25346">
      <c r="C25346" s="277"/>
      <c r="M25346" s="277"/>
      <c r="O25346" s="247"/>
      <c r="AC25346" s="247"/>
      <c r="AT25346" s="247"/>
    </row>
    <row r="25347">
      <c r="C25347" s="277"/>
      <c r="M25347" s="277"/>
      <c r="O25347" s="247"/>
      <c r="AC25347" s="247"/>
      <c r="AT25347" s="247"/>
    </row>
    <row r="25348">
      <c r="C25348" s="277"/>
      <c r="M25348" s="277"/>
      <c r="O25348" s="247"/>
      <c r="AC25348" s="247"/>
      <c r="AT25348" s="247"/>
    </row>
    <row r="25349">
      <c r="C25349" s="277"/>
      <c r="M25349" s="277"/>
      <c r="O25349" s="247"/>
      <c r="AC25349" s="247"/>
      <c r="AT25349" s="247"/>
    </row>
    <row r="25350">
      <c r="C25350" s="277"/>
      <c r="M25350" s="277"/>
      <c r="O25350" s="247"/>
      <c r="AC25350" s="247"/>
      <c r="AT25350" s="247"/>
    </row>
    <row r="25351">
      <c r="C25351" s="277"/>
      <c r="M25351" s="277"/>
      <c r="O25351" s="247"/>
      <c r="AC25351" s="247"/>
      <c r="AT25351" s="247"/>
    </row>
    <row r="25352">
      <c r="C25352" s="277"/>
      <c r="M25352" s="277"/>
      <c r="O25352" s="247"/>
      <c r="AC25352" s="247"/>
      <c r="AT25352" s="247"/>
    </row>
    <row r="25353">
      <c r="C25353" s="277"/>
      <c r="M25353" s="277"/>
      <c r="O25353" s="247"/>
      <c r="AC25353" s="247"/>
      <c r="AT25353" s="247"/>
    </row>
    <row r="25354">
      <c r="C25354" s="277"/>
      <c r="M25354" s="277"/>
      <c r="O25354" s="247"/>
      <c r="AC25354" s="247"/>
      <c r="AT25354" s="247"/>
    </row>
    <row r="25355">
      <c r="C25355" s="277"/>
      <c r="M25355" s="277"/>
      <c r="O25355" s="247"/>
      <c r="AC25355" s="247"/>
      <c r="AT25355" s="247"/>
    </row>
    <row r="25356">
      <c r="C25356" s="277"/>
      <c r="M25356" s="277"/>
      <c r="O25356" s="247"/>
      <c r="AC25356" s="247"/>
      <c r="AT25356" s="247"/>
    </row>
    <row r="25357">
      <c r="C25357" s="277"/>
      <c r="M25357" s="277"/>
      <c r="O25357" s="247"/>
      <c r="AC25357" s="247"/>
      <c r="AT25357" s="247"/>
    </row>
    <row r="25358">
      <c r="C25358" s="277"/>
      <c r="M25358" s="277"/>
      <c r="O25358" s="247"/>
      <c r="AC25358" s="247"/>
      <c r="AT25358" s="247"/>
    </row>
    <row r="25359">
      <c r="C25359" s="277"/>
      <c r="M25359" s="277"/>
      <c r="O25359" s="247"/>
      <c r="AC25359" s="247"/>
      <c r="AT25359" s="247"/>
    </row>
    <row r="25360">
      <c r="C25360" s="277"/>
      <c r="M25360" s="277"/>
      <c r="O25360" s="247"/>
      <c r="AC25360" s="247"/>
      <c r="AT25360" s="247"/>
    </row>
    <row r="25361">
      <c r="C25361" s="277"/>
      <c r="M25361" s="277"/>
      <c r="O25361" s="247"/>
      <c r="AC25361" s="247"/>
      <c r="AT25361" s="247"/>
    </row>
    <row r="25362">
      <c r="C25362" s="277"/>
      <c r="M25362" s="277"/>
      <c r="O25362" s="247"/>
      <c r="AC25362" s="247"/>
      <c r="AT25362" s="247"/>
    </row>
    <row r="25363">
      <c r="C25363" s="277"/>
      <c r="M25363" s="277"/>
      <c r="O25363" s="247"/>
      <c r="AC25363" s="247"/>
      <c r="AT25363" s="247"/>
    </row>
    <row r="25364">
      <c r="C25364" s="277"/>
      <c r="M25364" s="277"/>
      <c r="O25364" s="247"/>
      <c r="AC25364" s="247"/>
      <c r="AT25364" s="247"/>
    </row>
    <row r="25365">
      <c r="C25365" s="277"/>
      <c r="M25365" s="277"/>
      <c r="O25365" s="247"/>
      <c r="AC25365" s="247"/>
      <c r="AT25365" s="247"/>
    </row>
    <row r="25366">
      <c r="C25366" s="277"/>
      <c r="M25366" s="277"/>
      <c r="O25366" s="247"/>
      <c r="AC25366" s="247"/>
      <c r="AT25366" s="247"/>
    </row>
    <row r="25367">
      <c r="C25367" s="277"/>
      <c r="M25367" s="277"/>
      <c r="O25367" s="247"/>
      <c r="AC25367" s="247"/>
      <c r="AT25367" s="247"/>
    </row>
    <row r="25368">
      <c r="C25368" s="277"/>
      <c r="M25368" s="277"/>
      <c r="O25368" s="247"/>
      <c r="AC25368" s="247"/>
      <c r="AT25368" s="247"/>
    </row>
    <row r="25369">
      <c r="C25369" s="277"/>
      <c r="M25369" s="277"/>
      <c r="O25369" s="247"/>
      <c r="AC25369" s="247"/>
      <c r="AT25369" s="247"/>
    </row>
    <row r="25370">
      <c r="C25370" s="277"/>
      <c r="M25370" s="277"/>
      <c r="O25370" s="247"/>
      <c r="AC25370" s="247"/>
      <c r="AT25370" s="247"/>
    </row>
    <row r="25371">
      <c r="C25371" s="277"/>
      <c r="M25371" s="277"/>
      <c r="O25371" s="247"/>
      <c r="AC25371" s="247"/>
      <c r="AT25371" s="247"/>
    </row>
    <row r="25372">
      <c r="C25372" s="277"/>
      <c r="M25372" s="277"/>
      <c r="O25372" s="247"/>
      <c r="AC25372" s="247"/>
      <c r="AT25372" s="247"/>
    </row>
    <row r="25373">
      <c r="C25373" s="277"/>
      <c r="M25373" s="277"/>
      <c r="O25373" s="247"/>
      <c r="AC25373" s="247"/>
      <c r="AT25373" s="247"/>
    </row>
    <row r="25374">
      <c r="C25374" s="277"/>
      <c r="M25374" s="277"/>
      <c r="O25374" s="247"/>
      <c r="AC25374" s="247"/>
      <c r="AT25374" s="247"/>
    </row>
    <row r="25375">
      <c r="C25375" s="277"/>
      <c r="M25375" s="277"/>
      <c r="O25375" s="247"/>
      <c r="AC25375" s="247"/>
      <c r="AT25375" s="247"/>
    </row>
    <row r="25376">
      <c r="C25376" s="277"/>
      <c r="M25376" s="277"/>
      <c r="O25376" s="247"/>
      <c r="AC25376" s="247"/>
      <c r="AT25376" s="247"/>
    </row>
    <row r="25377">
      <c r="C25377" s="277"/>
      <c r="M25377" s="277"/>
      <c r="O25377" s="247"/>
      <c r="AC25377" s="247"/>
      <c r="AT25377" s="247"/>
    </row>
    <row r="25378">
      <c r="C25378" s="277"/>
      <c r="M25378" s="277"/>
      <c r="O25378" s="247"/>
      <c r="AC25378" s="247"/>
      <c r="AT25378" s="247"/>
    </row>
    <row r="25379">
      <c r="C25379" s="277"/>
      <c r="M25379" s="277"/>
      <c r="O25379" s="247"/>
      <c r="AC25379" s="247"/>
      <c r="AT25379" s="247"/>
    </row>
    <row r="25380">
      <c r="C25380" s="277"/>
      <c r="M25380" s="277"/>
      <c r="O25380" s="247"/>
      <c r="AC25380" s="247"/>
      <c r="AT25380" s="247"/>
    </row>
    <row r="25381">
      <c r="C25381" s="277"/>
      <c r="M25381" s="277"/>
      <c r="O25381" s="247"/>
      <c r="AC25381" s="247"/>
      <c r="AT25381" s="247"/>
    </row>
    <row r="25382">
      <c r="C25382" s="277"/>
      <c r="M25382" s="277"/>
      <c r="O25382" s="247"/>
      <c r="AC25382" s="247"/>
      <c r="AT25382" s="247"/>
    </row>
    <row r="25383">
      <c r="C25383" s="277"/>
      <c r="M25383" s="277"/>
      <c r="O25383" s="247"/>
      <c r="AC25383" s="247"/>
      <c r="AT25383" s="247"/>
    </row>
    <row r="25384">
      <c r="C25384" s="277"/>
      <c r="M25384" s="277"/>
      <c r="O25384" s="247"/>
      <c r="AC25384" s="247"/>
      <c r="AT25384" s="247"/>
    </row>
    <row r="25385">
      <c r="C25385" s="277"/>
      <c r="M25385" s="277"/>
      <c r="O25385" s="247"/>
      <c r="AC25385" s="247"/>
      <c r="AT25385" s="247"/>
    </row>
    <row r="25386">
      <c r="C25386" s="277"/>
      <c r="M25386" s="277"/>
      <c r="O25386" s="247"/>
      <c r="AC25386" s="247"/>
      <c r="AT25386" s="247"/>
    </row>
    <row r="25387">
      <c r="C25387" s="277"/>
      <c r="M25387" s="277"/>
      <c r="O25387" s="247"/>
      <c r="AC25387" s="247"/>
      <c r="AT25387" s="247"/>
    </row>
    <row r="25388">
      <c r="C25388" s="277"/>
      <c r="M25388" s="277"/>
      <c r="O25388" s="247"/>
      <c r="AC25388" s="247"/>
      <c r="AT25388" s="247"/>
    </row>
    <row r="25389">
      <c r="C25389" s="277"/>
      <c r="M25389" s="277"/>
      <c r="O25389" s="247"/>
      <c r="AC25389" s="247"/>
      <c r="AT25389" s="247"/>
    </row>
    <row r="25390">
      <c r="C25390" s="277"/>
      <c r="M25390" s="277"/>
      <c r="O25390" s="247"/>
      <c r="AC25390" s="247"/>
      <c r="AT25390" s="247"/>
    </row>
    <row r="25391">
      <c r="C25391" s="277"/>
      <c r="M25391" s="277"/>
      <c r="O25391" s="247"/>
      <c r="AC25391" s="247"/>
      <c r="AT25391" s="247"/>
    </row>
    <row r="25392">
      <c r="C25392" s="277"/>
      <c r="M25392" s="277"/>
      <c r="O25392" s="247"/>
      <c r="AC25392" s="247"/>
      <c r="AT25392" s="247"/>
    </row>
    <row r="25393">
      <c r="C25393" s="277"/>
      <c r="M25393" s="277"/>
      <c r="O25393" s="247"/>
      <c r="AC25393" s="247"/>
      <c r="AT25393" s="247"/>
    </row>
    <row r="25394">
      <c r="C25394" s="277"/>
      <c r="M25394" s="277"/>
      <c r="O25394" s="247"/>
      <c r="AC25394" s="247"/>
      <c r="AT25394" s="247"/>
    </row>
    <row r="25395">
      <c r="C25395" s="277"/>
      <c r="M25395" s="277"/>
      <c r="O25395" s="247"/>
      <c r="AC25395" s="247"/>
      <c r="AT25395" s="247"/>
    </row>
    <row r="25396">
      <c r="C25396" s="277"/>
      <c r="M25396" s="277"/>
      <c r="O25396" s="247"/>
      <c r="AC25396" s="247"/>
      <c r="AT25396" s="247"/>
    </row>
    <row r="25397">
      <c r="C25397" s="277"/>
      <c r="M25397" s="277"/>
      <c r="O25397" s="247"/>
      <c r="AC25397" s="247"/>
      <c r="AT25397" s="247"/>
    </row>
    <row r="25398">
      <c r="C25398" s="277"/>
      <c r="M25398" s="277"/>
      <c r="O25398" s="247"/>
      <c r="AC25398" s="247"/>
      <c r="AT25398" s="247"/>
    </row>
    <row r="25399">
      <c r="C25399" s="277"/>
      <c r="M25399" s="277"/>
      <c r="O25399" s="247"/>
      <c r="AC25399" s="247"/>
      <c r="AT25399" s="247"/>
    </row>
    <row r="25400">
      <c r="C25400" s="277"/>
      <c r="M25400" s="277"/>
      <c r="O25400" s="247"/>
      <c r="AC25400" s="247"/>
      <c r="AT25400" s="247"/>
    </row>
    <row r="25401">
      <c r="C25401" s="277"/>
      <c r="M25401" s="277"/>
      <c r="O25401" s="247"/>
      <c r="AC25401" s="247"/>
      <c r="AT25401" s="247"/>
    </row>
    <row r="25402">
      <c r="C25402" s="277"/>
      <c r="M25402" s="277"/>
      <c r="O25402" s="247"/>
      <c r="AC25402" s="247"/>
      <c r="AT25402" s="247"/>
    </row>
    <row r="25403">
      <c r="C25403" s="277"/>
      <c r="M25403" s="277"/>
      <c r="O25403" s="247"/>
      <c r="AC25403" s="247"/>
      <c r="AT25403" s="247"/>
    </row>
    <row r="25404">
      <c r="C25404" s="277"/>
      <c r="M25404" s="277"/>
      <c r="O25404" s="247"/>
      <c r="AC25404" s="247"/>
      <c r="AT25404" s="247"/>
    </row>
    <row r="25405">
      <c r="C25405" s="277"/>
      <c r="M25405" s="277"/>
      <c r="O25405" s="247"/>
      <c r="AC25405" s="247"/>
      <c r="AT25405" s="247"/>
    </row>
    <row r="25406">
      <c r="C25406" s="277"/>
      <c r="M25406" s="277"/>
      <c r="O25406" s="247"/>
      <c r="AC25406" s="247"/>
      <c r="AT25406" s="247"/>
    </row>
    <row r="25407">
      <c r="C25407" s="277"/>
      <c r="M25407" s="277"/>
      <c r="O25407" s="247"/>
      <c r="AC25407" s="247"/>
      <c r="AT25407" s="247"/>
    </row>
    <row r="25408">
      <c r="C25408" s="277"/>
      <c r="M25408" s="277"/>
      <c r="O25408" s="247"/>
      <c r="AC25408" s="247"/>
      <c r="AT25408" s="247"/>
    </row>
    <row r="25409">
      <c r="C25409" s="277"/>
      <c r="M25409" s="277"/>
      <c r="O25409" s="247"/>
      <c r="AC25409" s="247"/>
      <c r="AT25409" s="247"/>
    </row>
    <row r="25410">
      <c r="C25410" s="277"/>
      <c r="M25410" s="277"/>
      <c r="O25410" s="247"/>
      <c r="AC25410" s="247"/>
      <c r="AT25410" s="247"/>
    </row>
    <row r="25411">
      <c r="C25411" s="277"/>
      <c r="M25411" s="277"/>
      <c r="O25411" s="247"/>
      <c r="AC25411" s="247"/>
      <c r="AT25411" s="247"/>
    </row>
    <row r="25412">
      <c r="C25412" s="277"/>
      <c r="M25412" s="277"/>
      <c r="O25412" s="247"/>
      <c r="AC25412" s="247"/>
      <c r="AT25412" s="247"/>
    </row>
    <row r="25413">
      <c r="C25413" s="277"/>
      <c r="M25413" s="277"/>
      <c r="O25413" s="247"/>
      <c r="AC25413" s="247"/>
      <c r="AT25413" s="247"/>
    </row>
    <row r="25414">
      <c r="C25414" s="277"/>
      <c r="M25414" s="277"/>
      <c r="O25414" s="247"/>
      <c r="AC25414" s="247"/>
      <c r="AT25414" s="247"/>
    </row>
    <row r="25415">
      <c r="C25415" s="277"/>
      <c r="M25415" s="277"/>
      <c r="O25415" s="247"/>
      <c r="AC25415" s="247"/>
      <c r="AT25415" s="247"/>
    </row>
    <row r="25416">
      <c r="C25416" s="277"/>
      <c r="M25416" s="277"/>
      <c r="O25416" s="247"/>
      <c r="AC25416" s="247"/>
      <c r="AT25416" s="247"/>
    </row>
    <row r="25417">
      <c r="C25417" s="277"/>
      <c r="M25417" s="277"/>
      <c r="O25417" s="247"/>
      <c r="AC25417" s="247"/>
      <c r="AT25417" s="247"/>
    </row>
    <row r="25418">
      <c r="C25418" s="277"/>
      <c r="M25418" s="277"/>
      <c r="O25418" s="247"/>
      <c r="AC25418" s="247"/>
      <c r="AT25418" s="247"/>
    </row>
    <row r="25419">
      <c r="C25419" s="277"/>
      <c r="M25419" s="277"/>
      <c r="O25419" s="247"/>
      <c r="AC25419" s="247"/>
      <c r="AT25419" s="247"/>
    </row>
    <row r="25420">
      <c r="C25420" s="277"/>
      <c r="M25420" s="277"/>
      <c r="O25420" s="247"/>
      <c r="AC25420" s="247"/>
      <c r="AT25420" s="247"/>
    </row>
    <row r="25421">
      <c r="C25421" s="277"/>
      <c r="M25421" s="277"/>
      <c r="O25421" s="247"/>
      <c r="AC25421" s="247"/>
      <c r="AT25421" s="247"/>
    </row>
    <row r="25422">
      <c r="C25422" s="277"/>
      <c r="M25422" s="277"/>
      <c r="O25422" s="247"/>
      <c r="AC25422" s="247"/>
      <c r="AT25422" s="247"/>
    </row>
    <row r="25423">
      <c r="C25423" s="277"/>
      <c r="M25423" s="277"/>
      <c r="O25423" s="247"/>
      <c r="AC25423" s="247"/>
      <c r="AT25423" s="247"/>
    </row>
    <row r="25424">
      <c r="C25424" s="277"/>
      <c r="M25424" s="277"/>
      <c r="O25424" s="247"/>
      <c r="AC25424" s="247"/>
      <c r="AT25424" s="247"/>
    </row>
    <row r="25425">
      <c r="C25425" s="277"/>
      <c r="M25425" s="277"/>
      <c r="O25425" s="247"/>
      <c r="AC25425" s="247"/>
      <c r="AT25425" s="247"/>
    </row>
    <row r="25426">
      <c r="C25426" s="277"/>
      <c r="M25426" s="277"/>
      <c r="O25426" s="247"/>
      <c r="AC25426" s="247"/>
      <c r="AT25426" s="247"/>
    </row>
    <row r="25427">
      <c r="C25427" s="277"/>
      <c r="M25427" s="277"/>
      <c r="O25427" s="247"/>
      <c r="AC25427" s="247"/>
      <c r="AT25427" s="247"/>
    </row>
    <row r="25428">
      <c r="C25428" s="277"/>
      <c r="M25428" s="277"/>
      <c r="O25428" s="247"/>
      <c r="AC25428" s="247"/>
      <c r="AT25428" s="247"/>
    </row>
    <row r="25429">
      <c r="C25429" s="277"/>
      <c r="M25429" s="277"/>
      <c r="O25429" s="247"/>
      <c r="AC25429" s="247"/>
      <c r="AT25429" s="247"/>
    </row>
    <row r="25430">
      <c r="C25430" s="277"/>
      <c r="M25430" s="277"/>
      <c r="O25430" s="247"/>
      <c r="AC25430" s="247"/>
      <c r="AT25430" s="247"/>
    </row>
    <row r="25431">
      <c r="C25431" s="277"/>
      <c r="M25431" s="277"/>
      <c r="O25431" s="247"/>
      <c r="AC25431" s="247"/>
      <c r="AT25431" s="247"/>
    </row>
    <row r="25432">
      <c r="C25432" s="277"/>
      <c r="M25432" s="277"/>
      <c r="O25432" s="247"/>
      <c r="AC25432" s="247"/>
      <c r="AT25432" s="247"/>
    </row>
    <row r="25433">
      <c r="C25433" s="277"/>
      <c r="M25433" s="277"/>
      <c r="O25433" s="247"/>
      <c r="AC25433" s="247"/>
      <c r="AT25433" s="247"/>
    </row>
    <row r="25434">
      <c r="C25434" s="277"/>
      <c r="M25434" s="277"/>
      <c r="O25434" s="247"/>
      <c r="AC25434" s="247"/>
      <c r="AT25434" s="247"/>
    </row>
    <row r="25435">
      <c r="C25435" s="277"/>
      <c r="M25435" s="277"/>
      <c r="O25435" s="247"/>
      <c r="AC25435" s="247"/>
      <c r="AT25435" s="247"/>
    </row>
    <row r="25436">
      <c r="C25436" s="277"/>
      <c r="M25436" s="277"/>
      <c r="O25436" s="247"/>
      <c r="AC25436" s="247"/>
      <c r="AT25436" s="247"/>
    </row>
    <row r="25437">
      <c r="C25437" s="277"/>
      <c r="M25437" s="277"/>
      <c r="O25437" s="247"/>
      <c r="AC25437" s="247"/>
      <c r="AT25437" s="247"/>
    </row>
    <row r="25438">
      <c r="C25438" s="277"/>
      <c r="M25438" s="277"/>
      <c r="O25438" s="247"/>
      <c r="AC25438" s="247"/>
      <c r="AT25438" s="247"/>
    </row>
    <row r="25439">
      <c r="C25439" s="277"/>
      <c r="M25439" s="277"/>
      <c r="O25439" s="247"/>
      <c r="AC25439" s="247"/>
      <c r="AT25439" s="247"/>
    </row>
    <row r="25440">
      <c r="C25440" s="277"/>
      <c r="M25440" s="277"/>
      <c r="O25440" s="247"/>
      <c r="AC25440" s="247"/>
      <c r="AT25440" s="247"/>
    </row>
    <row r="25441">
      <c r="C25441" s="277"/>
      <c r="M25441" s="277"/>
      <c r="O25441" s="247"/>
      <c r="AC25441" s="247"/>
      <c r="AT25441" s="247"/>
    </row>
    <row r="25442">
      <c r="C25442" s="277"/>
      <c r="M25442" s="277"/>
      <c r="O25442" s="247"/>
      <c r="AC25442" s="247"/>
      <c r="AT25442" s="247"/>
    </row>
    <row r="25443">
      <c r="C25443" s="277"/>
      <c r="M25443" s="277"/>
      <c r="O25443" s="247"/>
      <c r="AC25443" s="247"/>
      <c r="AT25443" s="247"/>
    </row>
    <row r="25444">
      <c r="C25444" s="277"/>
      <c r="M25444" s="277"/>
      <c r="O25444" s="247"/>
      <c r="AC25444" s="247"/>
      <c r="AT25444" s="247"/>
    </row>
    <row r="25445">
      <c r="C25445" s="277"/>
      <c r="M25445" s="277"/>
      <c r="O25445" s="247"/>
      <c r="AC25445" s="247"/>
      <c r="AT25445" s="247"/>
    </row>
    <row r="25446">
      <c r="C25446" s="277"/>
      <c r="M25446" s="277"/>
      <c r="O25446" s="247"/>
      <c r="AC25446" s="247"/>
      <c r="AT25446" s="247"/>
    </row>
    <row r="25447">
      <c r="C25447" s="277"/>
      <c r="M25447" s="277"/>
      <c r="O25447" s="247"/>
      <c r="AC25447" s="247"/>
      <c r="AT25447" s="247"/>
    </row>
    <row r="25448">
      <c r="C25448" s="277"/>
      <c r="M25448" s="277"/>
      <c r="O25448" s="247"/>
      <c r="AC25448" s="247"/>
      <c r="AT25448" s="247"/>
    </row>
    <row r="25449">
      <c r="C25449" s="277"/>
      <c r="M25449" s="277"/>
      <c r="O25449" s="247"/>
      <c r="AC25449" s="247"/>
      <c r="AT25449" s="247"/>
    </row>
    <row r="25450">
      <c r="C25450" s="277"/>
      <c r="M25450" s="277"/>
      <c r="O25450" s="247"/>
      <c r="AC25450" s="247"/>
      <c r="AT25450" s="247"/>
    </row>
    <row r="25451">
      <c r="C25451" s="277"/>
      <c r="M25451" s="277"/>
      <c r="O25451" s="247"/>
      <c r="AC25451" s="247"/>
      <c r="AT25451" s="247"/>
    </row>
    <row r="25452">
      <c r="C25452" s="277"/>
      <c r="M25452" s="277"/>
      <c r="O25452" s="247"/>
      <c r="AC25452" s="247"/>
      <c r="AT25452" s="247"/>
    </row>
    <row r="25453">
      <c r="C25453" s="277"/>
      <c r="M25453" s="277"/>
      <c r="O25453" s="247"/>
      <c r="AC25453" s="247"/>
      <c r="AT25453" s="247"/>
    </row>
    <row r="25454">
      <c r="C25454" s="277"/>
      <c r="M25454" s="277"/>
      <c r="O25454" s="247"/>
      <c r="AC25454" s="247"/>
      <c r="AT25454" s="247"/>
    </row>
    <row r="25455">
      <c r="C25455" s="277"/>
      <c r="M25455" s="277"/>
      <c r="O25455" s="247"/>
      <c r="AC25455" s="247"/>
      <c r="AT25455" s="247"/>
    </row>
    <row r="25456">
      <c r="C25456" s="277"/>
      <c r="M25456" s="277"/>
      <c r="O25456" s="247"/>
      <c r="AC25456" s="247"/>
      <c r="AT25456" s="247"/>
    </row>
    <row r="25457">
      <c r="C25457" s="277"/>
      <c r="M25457" s="277"/>
      <c r="O25457" s="247"/>
      <c r="AC25457" s="247"/>
      <c r="AT25457" s="247"/>
    </row>
    <row r="25458">
      <c r="C25458" s="277"/>
      <c r="M25458" s="277"/>
      <c r="O25458" s="247"/>
      <c r="AC25458" s="247"/>
      <c r="AT25458" s="247"/>
    </row>
    <row r="25459">
      <c r="C25459" s="277"/>
      <c r="M25459" s="277"/>
      <c r="O25459" s="247"/>
      <c r="AC25459" s="247"/>
      <c r="AT25459" s="247"/>
    </row>
    <row r="25460">
      <c r="C25460" s="277"/>
      <c r="M25460" s="277"/>
      <c r="O25460" s="247"/>
      <c r="AC25460" s="247"/>
      <c r="AT25460" s="247"/>
    </row>
    <row r="25461">
      <c r="C25461" s="277"/>
      <c r="M25461" s="277"/>
      <c r="O25461" s="247"/>
      <c r="AC25461" s="247"/>
      <c r="AT25461" s="247"/>
    </row>
    <row r="25462">
      <c r="C25462" s="277"/>
      <c r="M25462" s="277"/>
      <c r="O25462" s="247"/>
      <c r="AC25462" s="247"/>
      <c r="AT25462" s="247"/>
    </row>
    <row r="25463">
      <c r="C25463" s="277"/>
      <c r="M25463" s="277"/>
      <c r="O25463" s="247"/>
      <c r="AC25463" s="247"/>
      <c r="AT25463" s="247"/>
    </row>
    <row r="25464">
      <c r="C25464" s="277"/>
      <c r="M25464" s="277"/>
      <c r="O25464" s="247"/>
      <c r="AC25464" s="247"/>
      <c r="AT25464" s="247"/>
    </row>
    <row r="25465">
      <c r="C25465" s="277"/>
      <c r="M25465" s="277"/>
      <c r="O25465" s="247"/>
      <c r="AC25465" s="247"/>
      <c r="AT25465" s="247"/>
    </row>
    <row r="25466">
      <c r="C25466" s="277"/>
      <c r="M25466" s="277"/>
      <c r="O25466" s="247"/>
      <c r="AC25466" s="247"/>
      <c r="AT25466" s="247"/>
    </row>
    <row r="25467">
      <c r="C25467" s="277"/>
      <c r="M25467" s="277"/>
      <c r="O25467" s="247"/>
      <c r="AC25467" s="247"/>
      <c r="AT25467" s="247"/>
    </row>
    <row r="25468">
      <c r="C25468" s="277"/>
      <c r="M25468" s="277"/>
      <c r="O25468" s="247"/>
      <c r="AC25468" s="247"/>
      <c r="AT25468" s="247"/>
    </row>
    <row r="25469">
      <c r="C25469" s="277"/>
      <c r="M25469" s="277"/>
      <c r="O25469" s="247"/>
      <c r="AC25469" s="247"/>
      <c r="AT25469" s="247"/>
    </row>
    <row r="25470">
      <c r="C25470" s="277"/>
      <c r="M25470" s="277"/>
      <c r="O25470" s="247"/>
      <c r="AC25470" s="247"/>
      <c r="AT25470" s="247"/>
    </row>
    <row r="25471">
      <c r="C25471" s="277"/>
      <c r="M25471" s="277"/>
      <c r="O25471" s="247"/>
      <c r="AC25471" s="247"/>
      <c r="AT25471" s="247"/>
    </row>
    <row r="25472">
      <c r="C25472" s="277"/>
      <c r="M25472" s="277"/>
      <c r="O25472" s="247"/>
      <c r="AC25472" s="247"/>
      <c r="AT25472" s="247"/>
    </row>
    <row r="25473">
      <c r="C25473" s="277"/>
      <c r="M25473" s="277"/>
      <c r="O25473" s="247"/>
      <c r="AC25473" s="247"/>
      <c r="AT25473" s="247"/>
    </row>
    <row r="25474">
      <c r="C25474" s="277"/>
      <c r="M25474" s="277"/>
      <c r="O25474" s="247"/>
      <c r="AC25474" s="247"/>
      <c r="AT25474" s="247"/>
    </row>
    <row r="25475">
      <c r="C25475" s="277"/>
      <c r="M25475" s="277"/>
      <c r="O25475" s="247"/>
      <c r="AC25475" s="247"/>
      <c r="AT25475" s="247"/>
    </row>
    <row r="25476">
      <c r="C25476" s="277"/>
      <c r="M25476" s="277"/>
      <c r="O25476" s="247"/>
      <c r="AC25476" s="247"/>
      <c r="AT25476" s="247"/>
    </row>
    <row r="25477">
      <c r="C25477" s="277"/>
      <c r="M25477" s="277"/>
      <c r="O25477" s="247"/>
      <c r="AC25477" s="247"/>
      <c r="AT25477" s="247"/>
    </row>
    <row r="25478">
      <c r="C25478" s="277"/>
      <c r="M25478" s="277"/>
      <c r="O25478" s="247"/>
      <c r="AC25478" s="247"/>
      <c r="AT25478" s="247"/>
    </row>
    <row r="25479">
      <c r="C25479" s="277"/>
      <c r="M25479" s="277"/>
      <c r="O25479" s="247"/>
      <c r="AC25479" s="247"/>
      <c r="AT25479" s="247"/>
    </row>
    <row r="25480">
      <c r="C25480" s="277"/>
      <c r="M25480" s="277"/>
      <c r="O25480" s="247"/>
      <c r="AC25480" s="247"/>
      <c r="AT25480" s="247"/>
    </row>
    <row r="25481">
      <c r="C25481" s="277"/>
      <c r="M25481" s="277"/>
      <c r="O25481" s="247"/>
      <c r="AC25481" s="247"/>
      <c r="AT25481" s="247"/>
    </row>
    <row r="25482">
      <c r="C25482" s="277"/>
      <c r="M25482" s="277"/>
      <c r="O25482" s="247"/>
      <c r="AC25482" s="247"/>
      <c r="AT25482" s="247"/>
    </row>
    <row r="25483">
      <c r="C25483" s="277"/>
      <c r="M25483" s="277"/>
      <c r="O25483" s="247"/>
      <c r="AC25483" s="247"/>
      <c r="AT25483" s="247"/>
    </row>
    <row r="25484">
      <c r="C25484" s="277"/>
      <c r="M25484" s="277"/>
      <c r="O25484" s="247"/>
      <c r="AC25484" s="247"/>
      <c r="AT25484" s="247"/>
    </row>
    <row r="25485">
      <c r="C25485" s="277"/>
      <c r="M25485" s="277"/>
      <c r="O25485" s="247"/>
      <c r="AC25485" s="247"/>
      <c r="AT25485" s="247"/>
    </row>
    <row r="25486">
      <c r="C25486" s="277"/>
      <c r="M25486" s="277"/>
      <c r="O25486" s="247"/>
      <c r="AC25486" s="247"/>
      <c r="AT25486" s="247"/>
    </row>
    <row r="25487">
      <c r="C25487" s="277"/>
      <c r="M25487" s="277"/>
      <c r="O25487" s="247"/>
      <c r="AC25487" s="247"/>
      <c r="AT25487" s="247"/>
    </row>
    <row r="25488">
      <c r="C25488" s="277"/>
      <c r="M25488" s="277"/>
      <c r="O25488" s="247"/>
      <c r="AC25488" s="247"/>
      <c r="AT25488" s="247"/>
    </row>
    <row r="25489">
      <c r="C25489" s="277"/>
      <c r="M25489" s="277"/>
      <c r="O25489" s="247"/>
      <c r="AC25489" s="247"/>
      <c r="AT25489" s="247"/>
    </row>
    <row r="25490">
      <c r="C25490" s="277"/>
      <c r="M25490" s="277"/>
      <c r="O25490" s="247"/>
      <c r="AC25490" s="247"/>
      <c r="AT25490" s="247"/>
    </row>
    <row r="25491">
      <c r="C25491" s="277"/>
      <c r="M25491" s="277"/>
      <c r="O25491" s="247"/>
      <c r="AC25491" s="247"/>
      <c r="AT25491" s="247"/>
    </row>
    <row r="25492">
      <c r="C25492" s="277"/>
      <c r="M25492" s="277"/>
      <c r="O25492" s="247"/>
      <c r="AC25492" s="247"/>
      <c r="AT25492" s="247"/>
    </row>
    <row r="25493">
      <c r="C25493" s="277"/>
      <c r="M25493" s="277"/>
      <c r="O25493" s="247"/>
      <c r="AC25493" s="247"/>
      <c r="AT25493" s="247"/>
    </row>
    <row r="25494">
      <c r="C25494" s="277"/>
      <c r="M25494" s="277"/>
      <c r="O25494" s="247"/>
      <c r="AC25494" s="247"/>
      <c r="AT25494" s="247"/>
    </row>
    <row r="25495">
      <c r="C25495" s="277"/>
      <c r="M25495" s="277"/>
      <c r="O25495" s="247"/>
      <c r="AC25495" s="247"/>
      <c r="AT25495" s="247"/>
    </row>
    <row r="25496">
      <c r="C25496" s="277"/>
      <c r="M25496" s="277"/>
      <c r="O25496" s="247"/>
      <c r="AC25496" s="247"/>
      <c r="AT25496" s="247"/>
    </row>
    <row r="25497">
      <c r="C25497" s="277"/>
      <c r="M25497" s="277"/>
      <c r="O25497" s="247"/>
      <c r="AC25497" s="247"/>
      <c r="AT25497" s="247"/>
    </row>
    <row r="25498">
      <c r="C25498" s="277"/>
      <c r="M25498" s="277"/>
      <c r="O25498" s="247"/>
      <c r="AC25498" s="247"/>
      <c r="AT25498" s="247"/>
    </row>
    <row r="25499">
      <c r="C25499" s="277"/>
      <c r="M25499" s="277"/>
      <c r="O25499" s="247"/>
      <c r="AC25499" s="247"/>
      <c r="AT25499" s="247"/>
    </row>
    <row r="25500">
      <c r="C25500" s="277"/>
      <c r="M25500" s="277"/>
      <c r="O25500" s="247"/>
      <c r="AC25500" s="247"/>
      <c r="AT25500" s="247"/>
    </row>
    <row r="25501">
      <c r="C25501" s="277"/>
      <c r="M25501" s="277"/>
      <c r="O25501" s="247"/>
      <c r="AC25501" s="247"/>
      <c r="AT25501" s="247"/>
    </row>
    <row r="25502">
      <c r="C25502" s="277"/>
      <c r="M25502" s="277"/>
      <c r="O25502" s="247"/>
      <c r="AC25502" s="247"/>
      <c r="AT25502" s="247"/>
    </row>
    <row r="25503">
      <c r="C25503" s="277"/>
      <c r="M25503" s="277"/>
      <c r="O25503" s="247"/>
      <c r="AC25503" s="247"/>
      <c r="AT25503" s="247"/>
    </row>
    <row r="25504">
      <c r="C25504" s="277"/>
      <c r="M25504" s="277"/>
      <c r="O25504" s="247"/>
      <c r="AC25504" s="247"/>
      <c r="AT25504" s="247"/>
    </row>
    <row r="25505">
      <c r="C25505" s="277"/>
      <c r="M25505" s="277"/>
      <c r="O25505" s="247"/>
      <c r="AC25505" s="247"/>
      <c r="AT25505" s="247"/>
    </row>
    <row r="25506">
      <c r="C25506" s="277"/>
      <c r="M25506" s="277"/>
      <c r="O25506" s="247"/>
      <c r="AC25506" s="247"/>
      <c r="AT25506" s="247"/>
    </row>
    <row r="25507">
      <c r="C25507" s="277"/>
      <c r="M25507" s="277"/>
      <c r="O25507" s="247"/>
      <c r="AC25507" s="247"/>
      <c r="AT25507" s="247"/>
    </row>
    <row r="25508">
      <c r="C25508" s="277"/>
      <c r="M25508" s="277"/>
      <c r="O25508" s="247"/>
      <c r="AC25508" s="247"/>
      <c r="AT25508" s="247"/>
    </row>
    <row r="25509">
      <c r="C25509" s="277"/>
      <c r="M25509" s="277"/>
      <c r="O25509" s="247"/>
      <c r="AC25509" s="247"/>
      <c r="AT25509" s="247"/>
    </row>
    <row r="25510">
      <c r="C25510" s="277"/>
      <c r="M25510" s="277"/>
      <c r="O25510" s="247"/>
      <c r="AC25510" s="247"/>
      <c r="AT25510" s="247"/>
    </row>
    <row r="25511">
      <c r="C25511" s="277"/>
      <c r="M25511" s="277"/>
      <c r="O25511" s="247"/>
      <c r="AC25511" s="247"/>
      <c r="AT25511" s="247"/>
    </row>
    <row r="25512">
      <c r="C25512" s="277"/>
      <c r="M25512" s="277"/>
      <c r="O25512" s="247"/>
      <c r="AC25512" s="247"/>
      <c r="AT25512" s="247"/>
    </row>
    <row r="25513">
      <c r="C25513" s="277"/>
      <c r="M25513" s="277"/>
      <c r="O25513" s="247"/>
      <c r="AC25513" s="247"/>
      <c r="AT25513" s="247"/>
    </row>
    <row r="25514">
      <c r="C25514" s="277"/>
      <c r="M25514" s="277"/>
      <c r="O25514" s="247"/>
      <c r="AC25514" s="247"/>
      <c r="AT25514" s="247"/>
    </row>
    <row r="25515">
      <c r="C25515" s="277"/>
      <c r="M25515" s="277"/>
      <c r="O25515" s="247"/>
      <c r="AC25515" s="247"/>
      <c r="AT25515" s="247"/>
    </row>
    <row r="25516">
      <c r="C25516" s="277"/>
      <c r="M25516" s="277"/>
      <c r="O25516" s="247"/>
      <c r="AC25516" s="247"/>
      <c r="AT25516" s="247"/>
    </row>
    <row r="25517">
      <c r="C25517" s="277"/>
      <c r="M25517" s="277"/>
      <c r="O25517" s="247"/>
      <c r="AC25517" s="247"/>
      <c r="AT25517" s="247"/>
    </row>
    <row r="25518">
      <c r="C25518" s="277"/>
      <c r="M25518" s="277"/>
      <c r="O25518" s="247"/>
      <c r="AC25518" s="247"/>
      <c r="AT25518" s="247"/>
    </row>
    <row r="25519">
      <c r="C25519" s="277"/>
      <c r="M25519" s="277"/>
      <c r="O25519" s="247"/>
      <c r="AC25519" s="247"/>
      <c r="AT25519" s="247"/>
    </row>
    <row r="25520">
      <c r="C25520" s="277"/>
      <c r="M25520" s="277"/>
      <c r="O25520" s="247"/>
      <c r="AC25520" s="247"/>
      <c r="AT25520" s="247"/>
    </row>
    <row r="25521">
      <c r="C25521" s="277"/>
      <c r="M25521" s="277"/>
      <c r="O25521" s="247"/>
      <c r="AC25521" s="247"/>
      <c r="AT25521" s="247"/>
    </row>
    <row r="25522">
      <c r="C25522" s="277"/>
      <c r="M25522" s="277"/>
      <c r="O25522" s="247"/>
      <c r="AC25522" s="247"/>
      <c r="AT25522" s="247"/>
    </row>
    <row r="25523">
      <c r="C25523" s="277"/>
      <c r="M25523" s="277"/>
      <c r="O25523" s="247"/>
      <c r="AC25523" s="247"/>
      <c r="AT25523" s="247"/>
    </row>
    <row r="25524">
      <c r="C25524" s="277"/>
      <c r="M25524" s="277"/>
      <c r="O25524" s="247"/>
      <c r="AC25524" s="247"/>
      <c r="AT25524" s="247"/>
    </row>
    <row r="25525">
      <c r="C25525" s="277"/>
      <c r="M25525" s="277"/>
      <c r="O25525" s="247"/>
      <c r="AC25525" s="247"/>
      <c r="AT25525" s="247"/>
    </row>
    <row r="25526">
      <c r="C25526" s="277"/>
      <c r="M25526" s="277"/>
      <c r="O25526" s="247"/>
      <c r="AC25526" s="247"/>
      <c r="AT25526" s="247"/>
    </row>
    <row r="25527">
      <c r="C25527" s="277"/>
      <c r="M25527" s="277"/>
      <c r="O25527" s="247"/>
      <c r="AC25527" s="247"/>
      <c r="AT25527" s="247"/>
    </row>
    <row r="25528">
      <c r="C25528" s="277"/>
      <c r="M25528" s="277"/>
      <c r="O25528" s="247"/>
      <c r="AC25528" s="247"/>
      <c r="AT25528" s="247"/>
    </row>
    <row r="25529">
      <c r="C25529" s="277"/>
      <c r="M25529" s="277"/>
      <c r="O25529" s="247"/>
      <c r="AC25529" s="247"/>
      <c r="AT25529" s="247"/>
    </row>
    <row r="25530">
      <c r="C25530" s="277"/>
      <c r="M25530" s="277"/>
      <c r="O25530" s="247"/>
      <c r="AC25530" s="247"/>
      <c r="AT25530" s="247"/>
    </row>
    <row r="25531">
      <c r="C25531" s="277"/>
      <c r="M25531" s="277"/>
      <c r="O25531" s="247"/>
      <c r="AC25531" s="247"/>
      <c r="AT25531" s="247"/>
    </row>
    <row r="25532">
      <c r="C25532" s="277"/>
      <c r="M25532" s="277"/>
      <c r="O25532" s="247"/>
      <c r="AC25532" s="247"/>
      <c r="AT25532" s="247"/>
    </row>
    <row r="25533">
      <c r="C25533" s="277"/>
      <c r="M25533" s="277"/>
      <c r="O25533" s="247"/>
      <c r="AC25533" s="247"/>
      <c r="AT25533" s="247"/>
    </row>
    <row r="25534">
      <c r="C25534" s="277"/>
      <c r="M25534" s="277"/>
      <c r="O25534" s="247"/>
      <c r="AC25534" s="247"/>
      <c r="AT25534" s="247"/>
    </row>
    <row r="25535">
      <c r="C25535" s="277"/>
      <c r="M25535" s="277"/>
      <c r="O25535" s="247"/>
      <c r="AC25535" s="247"/>
      <c r="AT25535" s="247"/>
    </row>
    <row r="25536">
      <c r="C25536" s="277"/>
      <c r="M25536" s="277"/>
      <c r="O25536" s="247"/>
      <c r="AC25536" s="247"/>
      <c r="AT25536" s="247"/>
    </row>
    <row r="25537">
      <c r="C25537" s="277"/>
      <c r="M25537" s="277"/>
      <c r="O25537" s="247"/>
      <c r="AC25537" s="247"/>
      <c r="AT25537" s="247"/>
    </row>
    <row r="25538">
      <c r="C25538" s="277"/>
      <c r="M25538" s="277"/>
      <c r="O25538" s="247"/>
      <c r="AC25538" s="247"/>
      <c r="AT25538" s="247"/>
    </row>
    <row r="25539">
      <c r="C25539" s="277"/>
      <c r="M25539" s="277"/>
      <c r="O25539" s="247"/>
      <c r="AC25539" s="247"/>
      <c r="AT25539" s="247"/>
    </row>
    <row r="25540">
      <c r="C25540" s="277"/>
      <c r="M25540" s="277"/>
      <c r="O25540" s="247"/>
      <c r="AC25540" s="247"/>
      <c r="AT25540" s="247"/>
    </row>
    <row r="25541">
      <c r="C25541" s="277"/>
      <c r="M25541" s="277"/>
      <c r="O25541" s="247"/>
      <c r="AC25541" s="247"/>
      <c r="AT25541" s="247"/>
    </row>
    <row r="25542">
      <c r="C25542" s="277"/>
      <c r="M25542" s="277"/>
      <c r="O25542" s="247"/>
      <c r="AC25542" s="247"/>
      <c r="AT25542" s="247"/>
    </row>
    <row r="25543">
      <c r="C25543" s="277"/>
      <c r="M25543" s="277"/>
      <c r="O25543" s="247"/>
      <c r="AC25543" s="247"/>
      <c r="AT25543" s="247"/>
    </row>
    <row r="25544">
      <c r="C25544" s="277"/>
      <c r="M25544" s="277"/>
      <c r="O25544" s="247"/>
      <c r="AC25544" s="247"/>
      <c r="AT25544" s="247"/>
    </row>
    <row r="25545">
      <c r="C25545" s="277"/>
      <c r="M25545" s="277"/>
      <c r="O25545" s="247"/>
      <c r="AC25545" s="247"/>
      <c r="AT25545" s="247"/>
    </row>
    <row r="25546">
      <c r="C25546" s="277"/>
      <c r="M25546" s="277"/>
      <c r="O25546" s="247"/>
      <c r="AC25546" s="247"/>
      <c r="AT25546" s="247"/>
    </row>
    <row r="25547">
      <c r="C25547" s="277"/>
      <c r="M25547" s="277"/>
      <c r="O25547" s="247"/>
      <c r="AC25547" s="247"/>
      <c r="AT25547" s="247"/>
    </row>
    <row r="25548">
      <c r="C25548" s="277"/>
      <c r="M25548" s="277"/>
      <c r="O25548" s="247"/>
      <c r="AC25548" s="247"/>
      <c r="AT25548" s="247"/>
    </row>
    <row r="25549">
      <c r="C25549" s="277"/>
      <c r="M25549" s="277"/>
      <c r="O25549" s="247"/>
      <c r="AC25549" s="247"/>
      <c r="AT25549" s="247"/>
    </row>
    <row r="25550">
      <c r="C25550" s="277"/>
      <c r="M25550" s="277"/>
      <c r="O25550" s="247"/>
      <c r="AC25550" s="247"/>
      <c r="AT25550" s="247"/>
    </row>
    <row r="25551">
      <c r="C25551" s="277"/>
      <c r="M25551" s="277"/>
      <c r="O25551" s="247"/>
      <c r="AC25551" s="247"/>
      <c r="AT25551" s="247"/>
    </row>
    <row r="25552">
      <c r="C25552" s="277"/>
      <c r="M25552" s="277"/>
      <c r="O25552" s="247"/>
      <c r="AC25552" s="247"/>
      <c r="AT25552" s="247"/>
    </row>
    <row r="25553">
      <c r="C25553" s="277"/>
      <c r="M25553" s="277"/>
      <c r="O25553" s="247"/>
      <c r="AC25553" s="247"/>
      <c r="AT25553" s="247"/>
    </row>
    <row r="25554">
      <c r="C25554" s="277"/>
      <c r="M25554" s="277"/>
      <c r="O25554" s="247"/>
      <c r="AC25554" s="247"/>
      <c r="AT25554" s="247"/>
    </row>
    <row r="25555">
      <c r="C25555" s="277"/>
      <c r="M25555" s="277"/>
      <c r="O25555" s="247"/>
      <c r="AC25555" s="247"/>
      <c r="AT25555" s="247"/>
    </row>
    <row r="25556">
      <c r="C25556" s="277"/>
      <c r="M25556" s="277"/>
      <c r="O25556" s="247"/>
      <c r="AC25556" s="247"/>
      <c r="AT25556" s="247"/>
    </row>
    <row r="25557">
      <c r="C25557" s="277"/>
      <c r="M25557" s="277"/>
      <c r="O25557" s="247"/>
      <c r="AC25557" s="247"/>
      <c r="AT25557" s="247"/>
    </row>
    <row r="25558">
      <c r="C25558" s="277"/>
      <c r="M25558" s="277"/>
      <c r="O25558" s="247"/>
      <c r="AC25558" s="247"/>
      <c r="AT25558" s="247"/>
    </row>
    <row r="25559">
      <c r="C25559" s="277"/>
      <c r="M25559" s="277"/>
      <c r="O25559" s="247"/>
      <c r="AC25559" s="247"/>
      <c r="AT25559" s="247"/>
    </row>
    <row r="25560">
      <c r="C25560" s="277"/>
      <c r="M25560" s="277"/>
      <c r="O25560" s="247"/>
      <c r="AC25560" s="247"/>
      <c r="AT25560" s="247"/>
    </row>
    <row r="25561">
      <c r="C25561" s="277"/>
      <c r="M25561" s="277"/>
      <c r="O25561" s="247"/>
      <c r="AC25561" s="247"/>
      <c r="AT25561" s="247"/>
    </row>
    <row r="25562">
      <c r="C25562" s="277"/>
      <c r="M25562" s="277"/>
      <c r="O25562" s="247"/>
      <c r="AC25562" s="247"/>
      <c r="AT25562" s="247"/>
    </row>
    <row r="25563">
      <c r="C25563" s="277"/>
      <c r="M25563" s="277"/>
      <c r="O25563" s="247"/>
      <c r="AC25563" s="247"/>
      <c r="AT25563" s="247"/>
    </row>
    <row r="25564">
      <c r="C25564" s="277"/>
      <c r="M25564" s="277"/>
      <c r="O25564" s="247"/>
      <c r="AC25564" s="247"/>
      <c r="AT25564" s="247"/>
    </row>
    <row r="25565">
      <c r="C25565" s="277"/>
      <c r="M25565" s="277"/>
      <c r="O25565" s="247"/>
      <c r="AC25565" s="247"/>
      <c r="AT25565" s="247"/>
    </row>
    <row r="25566">
      <c r="C25566" s="277"/>
      <c r="M25566" s="277"/>
      <c r="O25566" s="247"/>
      <c r="AC25566" s="247"/>
      <c r="AT25566" s="247"/>
    </row>
    <row r="25567">
      <c r="C25567" s="277"/>
      <c r="M25567" s="277"/>
      <c r="O25567" s="247"/>
      <c r="AC25567" s="247"/>
      <c r="AT25567" s="247"/>
    </row>
    <row r="25568">
      <c r="C25568" s="277"/>
      <c r="M25568" s="277"/>
      <c r="O25568" s="247"/>
      <c r="AC25568" s="247"/>
      <c r="AT25568" s="247"/>
    </row>
    <row r="25569">
      <c r="C25569" s="277"/>
      <c r="M25569" s="277"/>
      <c r="O25569" s="247"/>
      <c r="AC25569" s="247"/>
      <c r="AT25569" s="247"/>
    </row>
    <row r="25570">
      <c r="C25570" s="277"/>
      <c r="M25570" s="277"/>
      <c r="O25570" s="247"/>
      <c r="AC25570" s="247"/>
      <c r="AT25570" s="247"/>
    </row>
    <row r="25571">
      <c r="C25571" s="277"/>
      <c r="M25571" s="277"/>
      <c r="O25571" s="247"/>
      <c r="AC25571" s="247"/>
      <c r="AT25571" s="247"/>
    </row>
    <row r="25572">
      <c r="C25572" s="277"/>
      <c r="M25572" s="277"/>
      <c r="O25572" s="247"/>
      <c r="AC25572" s="247"/>
      <c r="AT25572" s="247"/>
    </row>
    <row r="25573">
      <c r="C25573" s="277"/>
      <c r="M25573" s="277"/>
      <c r="O25573" s="247"/>
      <c r="AC25573" s="247"/>
      <c r="AT25573" s="247"/>
    </row>
    <row r="25574">
      <c r="C25574" s="277"/>
      <c r="M25574" s="277"/>
      <c r="O25574" s="247"/>
      <c r="AC25574" s="247"/>
      <c r="AT25574" s="247"/>
    </row>
    <row r="25575">
      <c r="C25575" s="277"/>
      <c r="M25575" s="277"/>
      <c r="O25575" s="247"/>
      <c r="AC25575" s="247"/>
      <c r="AT25575" s="247"/>
    </row>
    <row r="25576">
      <c r="C25576" s="277"/>
      <c r="M25576" s="277"/>
      <c r="O25576" s="247"/>
      <c r="AC25576" s="247"/>
      <c r="AT25576" s="247"/>
    </row>
    <row r="25577">
      <c r="C25577" s="277"/>
      <c r="M25577" s="277"/>
      <c r="O25577" s="247"/>
      <c r="AC25577" s="247"/>
      <c r="AT25577" s="247"/>
    </row>
    <row r="25578">
      <c r="C25578" s="277"/>
      <c r="M25578" s="277"/>
      <c r="O25578" s="247"/>
      <c r="AC25578" s="247"/>
      <c r="AT25578" s="247"/>
    </row>
    <row r="25579">
      <c r="C25579" s="277"/>
      <c r="M25579" s="277"/>
      <c r="O25579" s="247"/>
      <c r="AC25579" s="247"/>
      <c r="AT25579" s="247"/>
    </row>
    <row r="25580">
      <c r="C25580" s="277"/>
      <c r="M25580" s="277"/>
      <c r="O25580" s="247"/>
      <c r="AC25580" s="247"/>
      <c r="AT25580" s="247"/>
    </row>
    <row r="25581">
      <c r="C25581" s="277"/>
      <c r="M25581" s="277"/>
      <c r="O25581" s="247"/>
      <c r="AC25581" s="247"/>
      <c r="AT25581" s="247"/>
    </row>
    <row r="25582">
      <c r="C25582" s="277"/>
      <c r="M25582" s="277"/>
      <c r="O25582" s="247"/>
      <c r="AC25582" s="247"/>
      <c r="AT25582" s="247"/>
    </row>
    <row r="25583">
      <c r="C25583" s="277"/>
      <c r="M25583" s="277"/>
      <c r="O25583" s="247"/>
      <c r="AC25583" s="247"/>
      <c r="AT25583" s="247"/>
    </row>
    <row r="25584">
      <c r="C25584" s="277"/>
      <c r="M25584" s="277"/>
      <c r="O25584" s="247"/>
      <c r="AC25584" s="247"/>
      <c r="AT25584" s="247"/>
    </row>
    <row r="25585">
      <c r="C25585" s="277"/>
      <c r="M25585" s="277"/>
      <c r="O25585" s="247"/>
      <c r="AC25585" s="247"/>
      <c r="AT25585" s="247"/>
    </row>
    <row r="25586">
      <c r="C25586" s="277"/>
      <c r="M25586" s="277"/>
      <c r="O25586" s="247"/>
      <c r="AC25586" s="247"/>
      <c r="AT25586" s="247"/>
    </row>
    <row r="25587">
      <c r="C25587" s="277"/>
      <c r="M25587" s="277"/>
      <c r="O25587" s="247"/>
      <c r="AC25587" s="247"/>
      <c r="AT25587" s="247"/>
    </row>
    <row r="25588">
      <c r="C25588" s="277"/>
      <c r="M25588" s="277"/>
      <c r="O25588" s="247"/>
      <c r="AC25588" s="247"/>
      <c r="AT25588" s="247"/>
    </row>
    <row r="25589">
      <c r="C25589" s="277"/>
      <c r="M25589" s="277"/>
      <c r="O25589" s="247"/>
      <c r="AC25589" s="247"/>
      <c r="AT25589" s="247"/>
    </row>
    <row r="25590">
      <c r="C25590" s="277"/>
      <c r="M25590" s="277"/>
      <c r="O25590" s="247"/>
      <c r="AC25590" s="247"/>
      <c r="AT25590" s="247"/>
    </row>
    <row r="25591">
      <c r="C25591" s="277"/>
      <c r="M25591" s="277"/>
      <c r="O25591" s="247"/>
      <c r="AC25591" s="247"/>
      <c r="AT25591" s="247"/>
    </row>
    <row r="25592">
      <c r="C25592" s="277"/>
      <c r="M25592" s="277"/>
      <c r="O25592" s="247"/>
      <c r="AC25592" s="247"/>
      <c r="AT25592" s="247"/>
    </row>
    <row r="25593">
      <c r="C25593" s="277"/>
      <c r="M25593" s="277"/>
      <c r="O25593" s="247"/>
      <c r="AC25593" s="247"/>
      <c r="AT25593" s="247"/>
    </row>
    <row r="25594">
      <c r="C25594" s="277"/>
      <c r="M25594" s="277"/>
      <c r="O25594" s="247"/>
      <c r="AC25594" s="247"/>
      <c r="AT25594" s="247"/>
    </row>
    <row r="25595">
      <c r="C25595" s="277"/>
      <c r="M25595" s="277"/>
      <c r="O25595" s="247"/>
      <c r="AC25595" s="247"/>
      <c r="AT25595" s="247"/>
    </row>
    <row r="25596">
      <c r="C25596" s="277"/>
      <c r="M25596" s="277"/>
      <c r="O25596" s="247"/>
      <c r="AC25596" s="247"/>
      <c r="AT25596" s="247"/>
    </row>
    <row r="25597">
      <c r="C25597" s="277"/>
      <c r="M25597" s="277"/>
      <c r="O25597" s="247"/>
      <c r="AC25597" s="247"/>
      <c r="AT25597" s="247"/>
    </row>
    <row r="25598">
      <c r="C25598" s="277"/>
      <c r="M25598" s="277"/>
      <c r="O25598" s="247"/>
      <c r="AC25598" s="247"/>
      <c r="AT25598" s="247"/>
    </row>
    <row r="25599">
      <c r="C25599" s="277"/>
      <c r="M25599" s="277"/>
      <c r="O25599" s="247"/>
      <c r="AC25599" s="247"/>
      <c r="AT25599" s="247"/>
    </row>
    <row r="25600">
      <c r="C25600" s="277"/>
      <c r="M25600" s="277"/>
      <c r="O25600" s="247"/>
      <c r="AC25600" s="247"/>
      <c r="AT25600" s="247"/>
    </row>
    <row r="25601">
      <c r="C25601" s="277"/>
      <c r="M25601" s="277"/>
      <c r="O25601" s="247"/>
      <c r="AC25601" s="247"/>
      <c r="AT25601" s="247"/>
    </row>
    <row r="25602">
      <c r="C25602" s="277"/>
      <c r="M25602" s="277"/>
      <c r="O25602" s="247"/>
      <c r="AC25602" s="247"/>
      <c r="AT25602" s="247"/>
    </row>
    <row r="25603">
      <c r="C25603" s="277"/>
      <c r="M25603" s="277"/>
      <c r="O25603" s="247"/>
      <c r="AC25603" s="247"/>
      <c r="AT25603" s="247"/>
    </row>
    <row r="25604">
      <c r="C25604" s="277"/>
      <c r="M25604" s="277"/>
      <c r="O25604" s="247"/>
      <c r="AC25604" s="247"/>
      <c r="AT25604" s="247"/>
    </row>
    <row r="25605">
      <c r="C25605" s="277"/>
      <c r="M25605" s="277"/>
      <c r="O25605" s="247"/>
      <c r="AC25605" s="247"/>
      <c r="AT25605" s="247"/>
    </row>
    <row r="25606">
      <c r="C25606" s="277"/>
      <c r="M25606" s="277"/>
      <c r="O25606" s="247"/>
      <c r="AC25606" s="247"/>
      <c r="AT25606" s="247"/>
    </row>
    <row r="25607">
      <c r="C25607" s="277"/>
      <c r="M25607" s="277"/>
      <c r="O25607" s="247"/>
      <c r="AC25607" s="247"/>
      <c r="AT25607" s="247"/>
    </row>
    <row r="25608">
      <c r="C25608" s="277"/>
      <c r="M25608" s="277"/>
      <c r="O25608" s="247"/>
      <c r="AC25608" s="247"/>
      <c r="AT25608" s="247"/>
    </row>
    <row r="25609">
      <c r="C25609" s="277"/>
      <c r="M25609" s="277"/>
      <c r="O25609" s="247"/>
      <c r="AC25609" s="247"/>
      <c r="AT25609" s="247"/>
    </row>
    <row r="25610">
      <c r="C25610" s="277"/>
      <c r="M25610" s="277"/>
      <c r="O25610" s="247"/>
      <c r="AC25610" s="247"/>
      <c r="AT25610" s="247"/>
    </row>
    <row r="25611">
      <c r="C25611" s="277"/>
      <c r="M25611" s="277"/>
      <c r="O25611" s="247"/>
      <c r="AC25611" s="247"/>
      <c r="AT25611" s="247"/>
    </row>
    <row r="25612">
      <c r="C25612" s="277"/>
      <c r="M25612" s="277"/>
      <c r="O25612" s="247"/>
      <c r="AC25612" s="247"/>
      <c r="AT25612" s="247"/>
    </row>
    <row r="25613">
      <c r="C25613" s="277"/>
      <c r="M25613" s="277"/>
      <c r="O25613" s="247"/>
      <c r="AC25613" s="247"/>
      <c r="AT25613" s="247"/>
    </row>
    <row r="25614">
      <c r="C25614" s="277"/>
      <c r="M25614" s="277"/>
      <c r="O25614" s="247"/>
      <c r="AC25614" s="247"/>
      <c r="AT25614" s="247"/>
    </row>
    <row r="25615">
      <c r="C25615" s="277"/>
      <c r="M25615" s="277"/>
      <c r="O25615" s="247"/>
      <c r="AC25615" s="247"/>
      <c r="AT25615" s="247"/>
    </row>
    <row r="25616">
      <c r="C25616" s="277"/>
      <c r="M25616" s="277"/>
      <c r="O25616" s="247"/>
      <c r="AC25616" s="247"/>
      <c r="AT25616" s="247"/>
    </row>
    <row r="25617">
      <c r="C25617" s="277"/>
      <c r="M25617" s="277"/>
      <c r="O25617" s="247"/>
      <c r="AC25617" s="247"/>
      <c r="AT25617" s="247"/>
    </row>
    <row r="25618">
      <c r="C25618" s="277"/>
      <c r="M25618" s="277"/>
      <c r="O25618" s="247"/>
      <c r="AC25618" s="247"/>
      <c r="AT25618" s="247"/>
    </row>
    <row r="25619">
      <c r="C25619" s="277"/>
      <c r="M25619" s="277"/>
      <c r="O25619" s="247"/>
      <c r="AC25619" s="247"/>
      <c r="AT25619" s="247"/>
    </row>
    <row r="25620">
      <c r="C25620" s="277"/>
      <c r="M25620" s="277"/>
      <c r="O25620" s="247"/>
      <c r="AC25620" s="247"/>
      <c r="AT25620" s="247"/>
    </row>
    <row r="25621">
      <c r="C25621" s="277"/>
      <c r="M25621" s="277"/>
      <c r="O25621" s="247"/>
      <c r="AC25621" s="247"/>
      <c r="AT25621" s="247"/>
    </row>
    <row r="25622">
      <c r="C25622" s="277"/>
      <c r="M25622" s="277"/>
      <c r="O25622" s="247"/>
      <c r="AC25622" s="247"/>
      <c r="AT25622" s="247"/>
    </row>
    <row r="25623">
      <c r="C25623" s="277"/>
      <c r="M25623" s="277"/>
      <c r="O25623" s="247"/>
      <c r="AC25623" s="247"/>
      <c r="AT25623" s="247"/>
    </row>
    <row r="25624">
      <c r="C25624" s="277"/>
      <c r="M25624" s="277"/>
      <c r="O25624" s="247"/>
      <c r="AC25624" s="247"/>
      <c r="AT25624" s="247"/>
    </row>
    <row r="25625">
      <c r="C25625" s="277"/>
      <c r="M25625" s="277"/>
      <c r="O25625" s="247"/>
      <c r="AC25625" s="247"/>
      <c r="AT25625" s="247"/>
    </row>
    <row r="25626">
      <c r="C25626" s="277"/>
      <c r="M25626" s="277"/>
      <c r="O25626" s="247"/>
      <c r="AC25626" s="247"/>
      <c r="AT25626" s="247"/>
    </row>
    <row r="25627">
      <c r="C25627" s="277"/>
      <c r="M25627" s="277"/>
      <c r="O25627" s="247"/>
      <c r="AC25627" s="247"/>
      <c r="AT25627" s="247"/>
    </row>
    <row r="25628">
      <c r="C25628" s="277"/>
      <c r="M25628" s="277"/>
      <c r="O25628" s="247"/>
      <c r="AC25628" s="247"/>
      <c r="AT25628" s="247"/>
    </row>
    <row r="25629">
      <c r="C25629" s="277"/>
      <c r="M25629" s="277"/>
      <c r="O25629" s="247"/>
      <c r="AC25629" s="247"/>
      <c r="AT25629" s="247"/>
    </row>
    <row r="25630">
      <c r="C25630" s="277"/>
      <c r="M25630" s="277"/>
      <c r="O25630" s="247"/>
      <c r="AC25630" s="247"/>
      <c r="AT25630" s="247"/>
    </row>
    <row r="25631">
      <c r="C25631" s="277"/>
      <c r="M25631" s="277"/>
      <c r="O25631" s="247"/>
      <c r="AC25631" s="247"/>
      <c r="AT25631" s="247"/>
    </row>
    <row r="25632">
      <c r="C25632" s="277"/>
      <c r="M25632" s="277"/>
      <c r="O25632" s="247"/>
      <c r="AC25632" s="247"/>
      <c r="AT25632" s="247"/>
    </row>
    <row r="25633">
      <c r="C25633" s="277"/>
      <c r="M25633" s="277"/>
      <c r="O25633" s="247"/>
      <c r="AC25633" s="247"/>
      <c r="AT25633" s="247"/>
    </row>
    <row r="25634">
      <c r="C25634" s="277"/>
      <c r="M25634" s="277"/>
      <c r="O25634" s="247"/>
      <c r="AC25634" s="247"/>
      <c r="AT25634" s="247"/>
    </row>
    <row r="25635">
      <c r="C25635" s="277"/>
      <c r="M25635" s="277"/>
      <c r="O25635" s="247"/>
      <c r="AC25635" s="247"/>
      <c r="AT25635" s="247"/>
    </row>
    <row r="25636">
      <c r="C25636" s="277"/>
      <c r="M25636" s="277"/>
      <c r="O25636" s="247"/>
      <c r="AC25636" s="247"/>
      <c r="AT25636" s="247"/>
    </row>
    <row r="25637">
      <c r="C25637" s="277"/>
      <c r="M25637" s="277"/>
      <c r="O25637" s="247"/>
      <c r="AC25637" s="247"/>
      <c r="AT25637" s="247"/>
    </row>
    <row r="25638">
      <c r="C25638" s="277"/>
      <c r="M25638" s="277"/>
      <c r="O25638" s="247"/>
      <c r="AC25638" s="247"/>
      <c r="AT25638" s="247"/>
    </row>
    <row r="25639">
      <c r="C25639" s="277"/>
      <c r="M25639" s="277"/>
      <c r="O25639" s="247"/>
      <c r="AC25639" s="247"/>
      <c r="AT25639" s="247"/>
    </row>
    <row r="25640">
      <c r="C25640" s="277"/>
      <c r="M25640" s="277"/>
      <c r="O25640" s="247"/>
      <c r="AC25640" s="247"/>
      <c r="AT25640" s="247"/>
    </row>
    <row r="25641">
      <c r="C25641" s="277"/>
      <c r="M25641" s="277"/>
      <c r="O25641" s="247"/>
      <c r="AC25641" s="247"/>
      <c r="AT25641" s="247"/>
    </row>
    <row r="25642">
      <c r="C25642" s="277"/>
      <c r="M25642" s="277"/>
      <c r="O25642" s="247"/>
      <c r="AC25642" s="247"/>
      <c r="AT25642" s="247"/>
    </row>
    <row r="25643">
      <c r="C25643" s="277"/>
      <c r="M25643" s="277"/>
      <c r="O25643" s="247"/>
      <c r="AC25643" s="247"/>
      <c r="AT25643" s="247"/>
    </row>
    <row r="25644">
      <c r="C25644" s="277"/>
      <c r="M25644" s="277"/>
      <c r="O25644" s="247"/>
      <c r="AC25644" s="247"/>
      <c r="AT25644" s="247"/>
    </row>
    <row r="25645">
      <c r="C25645" s="277"/>
      <c r="M25645" s="277"/>
      <c r="O25645" s="247"/>
      <c r="AC25645" s="247"/>
      <c r="AT25645" s="247"/>
    </row>
    <row r="25646">
      <c r="C25646" s="277"/>
      <c r="M25646" s="277"/>
      <c r="O25646" s="247"/>
      <c r="AC25646" s="247"/>
      <c r="AT25646" s="247"/>
    </row>
    <row r="25647">
      <c r="C25647" s="277"/>
      <c r="M25647" s="277"/>
      <c r="O25647" s="247"/>
      <c r="AC25647" s="247"/>
      <c r="AT25647" s="247"/>
    </row>
    <row r="25648">
      <c r="C25648" s="277"/>
      <c r="M25648" s="277"/>
      <c r="O25648" s="247"/>
      <c r="AC25648" s="247"/>
      <c r="AT25648" s="247"/>
    </row>
    <row r="25649">
      <c r="C25649" s="277"/>
      <c r="M25649" s="277"/>
      <c r="O25649" s="247"/>
      <c r="AC25649" s="247"/>
      <c r="AT25649" s="247"/>
    </row>
    <row r="25650">
      <c r="C25650" s="277"/>
      <c r="M25650" s="277"/>
      <c r="O25650" s="247"/>
      <c r="AC25650" s="247"/>
      <c r="AT25650" s="247"/>
    </row>
    <row r="25651">
      <c r="C25651" s="277"/>
      <c r="M25651" s="277"/>
      <c r="O25651" s="247"/>
      <c r="AC25651" s="247"/>
      <c r="AT25651" s="247"/>
    </row>
    <row r="25652">
      <c r="C25652" s="277"/>
      <c r="M25652" s="277"/>
      <c r="O25652" s="247"/>
      <c r="AC25652" s="247"/>
      <c r="AT25652" s="247"/>
    </row>
    <row r="25653">
      <c r="C25653" s="277"/>
      <c r="M25653" s="277"/>
      <c r="O25653" s="247"/>
      <c r="AC25653" s="247"/>
      <c r="AT25653" s="247"/>
    </row>
    <row r="25654">
      <c r="C25654" s="277"/>
      <c r="M25654" s="277"/>
      <c r="O25654" s="247"/>
      <c r="AC25654" s="247"/>
      <c r="AT25654" s="247"/>
    </row>
    <row r="25655">
      <c r="C25655" s="277"/>
      <c r="M25655" s="277"/>
      <c r="O25655" s="247"/>
      <c r="AC25655" s="247"/>
      <c r="AT25655" s="247"/>
    </row>
    <row r="25656">
      <c r="C25656" s="277"/>
      <c r="M25656" s="277"/>
      <c r="O25656" s="247"/>
      <c r="AC25656" s="247"/>
      <c r="AT25656" s="247"/>
    </row>
    <row r="25657">
      <c r="C25657" s="277"/>
      <c r="M25657" s="277"/>
      <c r="O25657" s="247"/>
      <c r="AC25657" s="247"/>
      <c r="AT25657" s="247"/>
    </row>
    <row r="25658">
      <c r="C25658" s="277"/>
      <c r="M25658" s="277"/>
      <c r="O25658" s="247"/>
      <c r="AC25658" s="247"/>
      <c r="AT25658" s="247"/>
    </row>
    <row r="25659">
      <c r="C25659" s="277"/>
      <c r="M25659" s="277"/>
      <c r="O25659" s="247"/>
      <c r="AC25659" s="247"/>
      <c r="AT25659" s="247"/>
    </row>
    <row r="25660">
      <c r="C25660" s="277"/>
      <c r="M25660" s="277"/>
      <c r="O25660" s="247"/>
      <c r="AC25660" s="247"/>
      <c r="AT25660" s="247"/>
    </row>
    <row r="25661">
      <c r="C25661" s="277"/>
      <c r="M25661" s="277"/>
      <c r="O25661" s="247"/>
      <c r="AC25661" s="247"/>
      <c r="AT25661" s="247"/>
    </row>
    <row r="25662">
      <c r="C25662" s="277"/>
      <c r="M25662" s="277"/>
      <c r="O25662" s="247"/>
      <c r="AC25662" s="247"/>
      <c r="AT25662" s="247"/>
    </row>
    <row r="25663">
      <c r="C25663" s="277"/>
      <c r="M25663" s="277"/>
      <c r="O25663" s="247"/>
      <c r="AC25663" s="247"/>
      <c r="AT25663" s="247"/>
    </row>
    <row r="25664">
      <c r="C25664" s="277"/>
      <c r="M25664" s="277"/>
      <c r="O25664" s="247"/>
      <c r="AC25664" s="247"/>
      <c r="AT25664" s="247"/>
    </row>
    <row r="25665">
      <c r="C25665" s="277"/>
      <c r="M25665" s="277"/>
      <c r="O25665" s="247"/>
      <c r="AC25665" s="247"/>
      <c r="AT25665" s="247"/>
    </row>
    <row r="25666">
      <c r="C25666" s="277"/>
      <c r="M25666" s="277"/>
      <c r="O25666" s="247"/>
      <c r="AC25666" s="247"/>
      <c r="AT25666" s="247"/>
    </row>
    <row r="25667">
      <c r="C25667" s="277"/>
      <c r="M25667" s="277"/>
      <c r="O25667" s="247"/>
      <c r="AC25667" s="247"/>
      <c r="AT25667" s="247"/>
    </row>
    <row r="25668">
      <c r="C25668" s="277"/>
      <c r="M25668" s="277"/>
      <c r="O25668" s="247"/>
      <c r="AC25668" s="247"/>
      <c r="AT25668" s="247"/>
    </row>
    <row r="25669">
      <c r="C25669" s="277"/>
      <c r="M25669" s="277"/>
      <c r="O25669" s="247"/>
      <c r="AC25669" s="247"/>
      <c r="AT25669" s="247"/>
    </row>
    <row r="25670">
      <c r="C25670" s="277"/>
      <c r="M25670" s="277"/>
      <c r="O25670" s="247"/>
      <c r="AC25670" s="247"/>
      <c r="AT25670" s="247"/>
    </row>
    <row r="25671">
      <c r="C25671" s="277"/>
      <c r="M25671" s="277"/>
      <c r="O25671" s="247"/>
      <c r="AC25671" s="247"/>
      <c r="AT25671" s="247"/>
    </row>
    <row r="25672">
      <c r="C25672" s="277"/>
      <c r="M25672" s="277"/>
      <c r="O25672" s="247"/>
      <c r="AC25672" s="247"/>
      <c r="AT25672" s="247"/>
    </row>
    <row r="25673">
      <c r="C25673" s="277"/>
      <c r="M25673" s="277"/>
      <c r="O25673" s="247"/>
      <c r="AC25673" s="247"/>
      <c r="AT25673" s="247"/>
    </row>
    <row r="25674">
      <c r="C25674" s="277"/>
      <c r="M25674" s="277"/>
      <c r="O25674" s="247"/>
      <c r="AC25674" s="247"/>
      <c r="AT25674" s="247"/>
    </row>
    <row r="25675">
      <c r="C25675" s="277"/>
      <c r="M25675" s="277"/>
      <c r="O25675" s="247"/>
      <c r="AC25675" s="247"/>
      <c r="AT25675" s="247"/>
    </row>
    <row r="25676">
      <c r="C25676" s="277"/>
      <c r="M25676" s="277"/>
      <c r="O25676" s="247"/>
      <c r="AC25676" s="247"/>
      <c r="AT25676" s="247"/>
    </row>
    <row r="25677">
      <c r="C25677" s="277"/>
      <c r="M25677" s="277"/>
      <c r="O25677" s="247"/>
      <c r="AC25677" s="247"/>
      <c r="AT25677" s="247"/>
    </row>
    <row r="25678">
      <c r="C25678" s="277"/>
      <c r="M25678" s="277"/>
      <c r="O25678" s="247"/>
      <c r="AC25678" s="247"/>
      <c r="AT25678" s="247"/>
    </row>
    <row r="25679">
      <c r="C25679" s="277"/>
      <c r="M25679" s="277"/>
      <c r="O25679" s="247"/>
      <c r="AC25679" s="247"/>
      <c r="AT25679" s="247"/>
    </row>
    <row r="25680">
      <c r="C25680" s="277"/>
      <c r="M25680" s="277"/>
      <c r="O25680" s="247"/>
      <c r="AC25680" s="247"/>
      <c r="AT25680" s="247"/>
    </row>
    <row r="25681">
      <c r="C25681" s="277"/>
      <c r="M25681" s="277"/>
      <c r="O25681" s="247"/>
      <c r="AC25681" s="247"/>
      <c r="AT25681" s="247"/>
    </row>
    <row r="25682">
      <c r="C25682" s="277"/>
      <c r="M25682" s="277"/>
      <c r="O25682" s="247"/>
      <c r="AC25682" s="247"/>
      <c r="AT25682" s="247"/>
    </row>
    <row r="25683">
      <c r="C25683" s="277"/>
      <c r="M25683" s="277"/>
      <c r="O25683" s="247"/>
      <c r="AC25683" s="247"/>
      <c r="AT25683" s="247"/>
    </row>
    <row r="25684">
      <c r="C25684" s="277"/>
      <c r="M25684" s="277"/>
      <c r="O25684" s="247"/>
      <c r="AC25684" s="247"/>
      <c r="AT25684" s="247"/>
    </row>
    <row r="25685">
      <c r="C25685" s="277"/>
      <c r="M25685" s="277"/>
      <c r="O25685" s="247"/>
      <c r="AC25685" s="247"/>
      <c r="AT25685" s="247"/>
    </row>
    <row r="25686">
      <c r="C25686" s="277"/>
      <c r="M25686" s="277"/>
      <c r="O25686" s="247"/>
      <c r="AC25686" s="247"/>
      <c r="AT25686" s="247"/>
    </row>
    <row r="25687">
      <c r="C25687" s="277"/>
      <c r="M25687" s="277"/>
      <c r="O25687" s="247"/>
      <c r="AC25687" s="247"/>
      <c r="AT25687" s="247"/>
    </row>
    <row r="25688">
      <c r="C25688" s="277"/>
      <c r="M25688" s="277"/>
      <c r="O25688" s="247"/>
      <c r="AC25688" s="247"/>
      <c r="AT25688" s="247"/>
    </row>
    <row r="25689">
      <c r="C25689" s="277"/>
      <c r="M25689" s="277"/>
      <c r="O25689" s="247"/>
      <c r="AC25689" s="247"/>
      <c r="AT25689" s="247"/>
    </row>
    <row r="25690">
      <c r="C25690" s="277"/>
      <c r="M25690" s="277"/>
      <c r="O25690" s="247"/>
      <c r="AC25690" s="247"/>
      <c r="AT25690" s="247"/>
    </row>
    <row r="25691">
      <c r="C25691" s="277"/>
      <c r="M25691" s="277"/>
      <c r="O25691" s="247"/>
      <c r="AC25691" s="247"/>
      <c r="AT25691" s="247"/>
    </row>
    <row r="25692">
      <c r="C25692" s="277"/>
      <c r="M25692" s="277"/>
      <c r="O25692" s="247"/>
      <c r="AC25692" s="247"/>
      <c r="AT25692" s="247"/>
    </row>
    <row r="25693">
      <c r="C25693" s="277"/>
      <c r="M25693" s="277"/>
      <c r="O25693" s="247"/>
      <c r="AC25693" s="247"/>
      <c r="AT25693" s="247"/>
    </row>
    <row r="25694">
      <c r="C25694" s="277"/>
      <c r="M25694" s="277"/>
      <c r="O25694" s="247"/>
      <c r="AC25694" s="247"/>
      <c r="AT25694" s="247"/>
    </row>
    <row r="25695">
      <c r="C25695" s="277"/>
      <c r="M25695" s="277"/>
      <c r="O25695" s="247"/>
      <c r="AC25695" s="247"/>
      <c r="AT25695" s="247"/>
    </row>
    <row r="25696">
      <c r="C25696" s="277"/>
      <c r="M25696" s="277"/>
      <c r="O25696" s="247"/>
      <c r="AC25696" s="247"/>
      <c r="AT25696" s="247"/>
    </row>
    <row r="25697">
      <c r="C25697" s="277"/>
      <c r="M25697" s="277"/>
      <c r="O25697" s="247"/>
      <c r="AC25697" s="247"/>
      <c r="AT25697" s="247"/>
    </row>
    <row r="25698">
      <c r="C25698" s="277"/>
      <c r="M25698" s="277"/>
      <c r="O25698" s="247"/>
      <c r="AC25698" s="247"/>
      <c r="AT25698" s="247"/>
    </row>
    <row r="25699">
      <c r="C25699" s="277"/>
      <c r="M25699" s="277"/>
      <c r="O25699" s="247"/>
      <c r="AC25699" s="247"/>
      <c r="AT25699" s="247"/>
    </row>
    <row r="25700">
      <c r="C25700" s="277"/>
      <c r="M25700" s="277"/>
      <c r="O25700" s="247"/>
      <c r="AC25700" s="247"/>
      <c r="AT25700" s="247"/>
    </row>
    <row r="25701">
      <c r="C25701" s="277"/>
      <c r="M25701" s="277"/>
      <c r="O25701" s="247"/>
      <c r="AC25701" s="247"/>
      <c r="AT25701" s="247"/>
    </row>
    <row r="25702">
      <c r="C25702" s="277"/>
      <c r="M25702" s="277"/>
      <c r="O25702" s="247"/>
      <c r="AC25702" s="247"/>
      <c r="AT25702" s="247"/>
    </row>
    <row r="25703">
      <c r="C25703" s="277"/>
      <c r="M25703" s="277"/>
      <c r="O25703" s="247"/>
      <c r="AC25703" s="247"/>
      <c r="AT25703" s="247"/>
    </row>
    <row r="25704">
      <c r="C25704" s="277"/>
      <c r="M25704" s="277"/>
      <c r="O25704" s="247"/>
      <c r="AC25704" s="247"/>
      <c r="AT25704" s="247"/>
    </row>
    <row r="25705">
      <c r="C25705" s="277"/>
      <c r="M25705" s="277"/>
      <c r="O25705" s="247"/>
      <c r="AC25705" s="247"/>
      <c r="AT25705" s="247"/>
    </row>
    <row r="25706">
      <c r="C25706" s="277"/>
      <c r="M25706" s="277"/>
      <c r="O25706" s="247"/>
      <c r="AC25706" s="247"/>
      <c r="AT25706" s="247"/>
    </row>
    <row r="25707">
      <c r="C25707" s="277"/>
      <c r="M25707" s="277"/>
      <c r="O25707" s="247"/>
      <c r="AC25707" s="247"/>
      <c r="AT25707" s="247"/>
    </row>
    <row r="25708">
      <c r="C25708" s="277"/>
      <c r="M25708" s="277"/>
      <c r="O25708" s="247"/>
      <c r="AC25708" s="247"/>
      <c r="AT25708" s="247"/>
    </row>
    <row r="25709">
      <c r="C25709" s="277"/>
      <c r="M25709" s="277"/>
      <c r="O25709" s="247"/>
      <c r="AC25709" s="247"/>
      <c r="AT25709" s="247"/>
    </row>
    <row r="25710">
      <c r="C25710" s="277"/>
      <c r="M25710" s="277"/>
      <c r="O25710" s="247"/>
      <c r="AC25710" s="247"/>
      <c r="AT25710" s="247"/>
    </row>
    <row r="25711">
      <c r="C25711" s="277"/>
      <c r="M25711" s="277"/>
      <c r="O25711" s="247"/>
      <c r="AC25711" s="247"/>
      <c r="AT25711" s="247"/>
    </row>
    <row r="25712">
      <c r="C25712" s="277"/>
      <c r="M25712" s="277"/>
      <c r="O25712" s="247"/>
      <c r="AC25712" s="247"/>
      <c r="AT25712" s="247"/>
    </row>
    <row r="25713">
      <c r="C25713" s="277"/>
      <c r="M25713" s="277"/>
      <c r="O25713" s="247"/>
      <c r="AC25713" s="247"/>
      <c r="AT25713" s="247"/>
    </row>
    <row r="25714">
      <c r="C25714" s="277"/>
      <c r="M25714" s="277"/>
      <c r="O25714" s="247"/>
      <c r="AC25714" s="247"/>
      <c r="AT25714" s="247"/>
    </row>
    <row r="25715">
      <c r="C25715" s="277"/>
      <c r="M25715" s="277"/>
      <c r="O25715" s="247"/>
      <c r="AC25715" s="247"/>
      <c r="AT25715" s="247"/>
    </row>
    <row r="25716">
      <c r="C25716" s="277"/>
      <c r="M25716" s="277"/>
      <c r="O25716" s="247"/>
      <c r="AC25716" s="247"/>
      <c r="AT25716" s="247"/>
    </row>
    <row r="25717">
      <c r="C25717" s="277"/>
      <c r="M25717" s="277"/>
      <c r="O25717" s="247"/>
      <c r="AC25717" s="247"/>
      <c r="AT25717" s="247"/>
    </row>
    <row r="25718">
      <c r="C25718" s="277"/>
      <c r="M25718" s="277"/>
      <c r="O25718" s="247"/>
      <c r="AC25718" s="247"/>
      <c r="AT25718" s="247"/>
    </row>
    <row r="25719">
      <c r="C25719" s="277"/>
      <c r="M25719" s="277"/>
      <c r="O25719" s="247"/>
      <c r="AC25719" s="247"/>
      <c r="AT25719" s="247"/>
    </row>
    <row r="25720">
      <c r="C25720" s="277"/>
      <c r="M25720" s="277"/>
      <c r="O25720" s="247"/>
      <c r="AC25720" s="247"/>
      <c r="AT25720" s="247"/>
    </row>
    <row r="25721">
      <c r="C25721" s="277"/>
      <c r="M25721" s="277"/>
      <c r="O25721" s="247"/>
      <c r="AC25721" s="247"/>
      <c r="AT25721" s="247"/>
    </row>
    <row r="25722">
      <c r="C25722" s="277"/>
      <c r="M25722" s="277"/>
      <c r="O25722" s="247"/>
      <c r="AC25722" s="247"/>
      <c r="AT25722" s="247"/>
    </row>
    <row r="25723">
      <c r="C25723" s="277"/>
      <c r="M25723" s="277"/>
      <c r="O25723" s="247"/>
      <c r="AC25723" s="247"/>
      <c r="AT25723" s="247"/>
    </row>
    <row r="25724">
      <c r="C25724" s="277"/>
      <c r="M25724" s="277"/>
      <c r="O25724" s="247"/>
      <c r="AC25724" s="247"/>
      <c r="AT25724" s="247"/>
    </row>
    <row r="25725">
      <c r="C25725" s="277"/>
      <c r="M25725" s="277"/>
      <c r="O25725" s="247"/>
      <c r="AC25725" s="247"/>
      <c r="AT25725" s="247"/>
    </row>
    <row r="25726">
      <c r="C25726" s="277"/>
      <c r="M25726" s="277"/>
      <c r="O25726" s="247"/>
      <c r="AC25726" s="247"/>
      <c r="AT25726" s="247"/>
    </row>
    <row r="25727">
      <c r="C25727" s="277"/>
      <c r="M25727" s="277"/>
      <c r="O25727" s="247"/>
      <c r="AC25727" s="247"/>
      <c r="AT25727" s="247"/>
    </row>
    <row r="25728">
      <c r="C25728" s="277"/>
      <c r="M25728" s="277"/>
      <c r="O25728" s="247"/>
      <c r="AC25728" s="247"/>
      <c r="AT25728" s="247"/>
    </row>
    <row r="25729">
      <c r="C25729" s="277"/>
      <c r="M25729" s="277"/>
      <c r="O25729" s="247"/>
      <c r="AC25729" s="247"/>
      <c r="AT25729" s="247"/>
    </row>
    <row r="25730">
      <c r="C25730" s="277"/>
      <c r="M25730" s="277"/>
      <c r="O25730" s="247"/>
      <c r="AC25730" s="247"/>
      <c r="AT25730" s="247"/>
    </row>
    <row r="25731">
      <c r="C25731" s="277"/>
      <c r="M25731" s="277"/>
      <c r="O25731" s="247"/>
      <c r="AC25731" s="247"/>
      <c r="AT25731" s="247"/>
    </row>
    <row r="25732">
      <c r="C25732" s="277"/>
      <c r="M25732" s="277"/>
      <c r="O25732" s="247"/>
      <c r="AC25732" s="247"/>
      <c r="AT25732" s="247"/>
    </row>
    <row r="25733">
      <c r="C25733" s="277"/>
      <c r="M25733" s="277"/>
      <c r="O25733" s="247"/>
      <c r="AC25733" s="247"/>
      <c r="AT25733" s="247"/>
    </row>
    <row r="25734">
      <c r="C25734" s="277"/>
      <c r="M25734" s="277"/>
      <c r="O25734" s="247"/>
      <c r="AC25734" s="247"/>
      <c r="AT25734" s="247"/>
    </row>
    <row r="25735">
      <c r="C25735" s="277"/>
      <c r="M25735" s="277"/>
      <c r="O25735" s="247"/>
      <c r="AC25735" s="247"/>
      <c r="AT25735" s="247"/>
    </row>
    <row r="25736">
      <c r="C25736" s="277"/>
      <c r="M25736" s="277"/>
      <c r="O25736" s="247"/>
      <c r="AC25736" s="247"/>
      <c r="AT25736" s="247"/>
    </row>
    <row r="25737">
      <c r="C25737" s="277"/>
      <c r="M25737" s="277"/>
      <c r="O25737" s="247"/>
      <c r="AC25737" s="247"/>
      <c r="AT25737" s="247"/>
    </row>
    <row r="25738">
      <c r="C25738" s="277"/>
      <c r="M25738" s="277"/>
      <c r="O25738" s="247"/>
      <c r="AC25738" s="247"/>
      <c r="AT25738" s="247"/>
    </row>
    <row r="25739">
      <c r="C25739" s="277"/>
      <c r="M25739" s="277"/>
      <c r="O25739" s="247"/>
      <c r="AC25739" s="247"/>
      <c r="AT25739" s="247"/>
    </row>
    <row r="25740">
      <c r="C25740" s="277"/>
      <c r="M25740" s="277"/>
      <c r="O25740" s="247"/>
      <c r="AC25740" s="247"/>
      <c r="AT25740" s="247"/>
    </row>
    <row r="25741">
      <c r="C25741" s="277"/>
      <c r="M25741" s="277"/>
      <c r="O25741" s="247"/>
      <c r="AC25741" s="247"/>
      <c r="AT25741" s="247"/>
    </row>
    <row r="25742">
      <c r="C25742" s="277"/>
      <c r="M25742" s="277"/>
      <c r="O25742" s="247"/>
      <c r="AC25742" s="247"/>
      <c r="AT25742" s="247"/>
    </row>
    <row r="25743">
      <c r="C25743" s="277"/>
      <c r="M25743" s="277"/>
      <c r="O25743" s="247"/>
      <c r="AC25743" s="247"/>
      <c r="AT25743" s="247"/>
    </row>
    <row r="25744">
      <c r="C25744" s="277"/>
      <c r="M25744" s="277"/>
      <c r="O25744" s="247"/>
      <c r="AC25744" s="247"/>
      <c r="AT25744" s="247"/>
    </row>
    <row r="25745">
      <c r="C25745" s="277"/>
      <c r="M25745" s="277"/>
      <c r="O25745" s="247"/>
      <c r="AC25745" s="247"/>
      <c r="AT25745" s="247"/>
    </row>
    <row r="25746">
      <c r="C25746" s="277"/>
      <c r="M25746" s="277"/>
      <c r="O25746" s="247"/>
      <c r="AC25746" s="247"/>
      <c r="AT25746" s="247"/>
    </row>
    <row r="25747">
      <c r="C25747" s="277"/>
      <c r="M25747" s="277"/>
      <c r="O25747" s="247"/>
      <c r="AC25747" s="247"/>
      <c r="AT25747" s="247"/>
    </row>
    <row r="25748">
      <c r="C25748" s="277"/>
      <c r="M25748" s="277"/>
      <c r="O25748" s="247"/>
      <c r="AC25748" s="247"/>
      <c r="AT25748" s="247"/>
    </row>
    <row r="25749">
      <c r="C25749" s="277"/>
      <c r="M25749" s="277"/>
      <c r="O25749" s="247"/>
      <c r="AC25749" s="247"/>
      <c r="AT25749" s="247"/>
    </row>
    <row r="25750">
      <c r="C25750" s="277"/>
      <c r="M25750" s="277"/>
      <c r="O25750" s="247"/>
      <c r="AC25750" s="247"/>
      <c r="AT25750" s="247"/>
    </row>
    <row r="25751">
      <c r="C25751" s="277"/>
      <c r="M25751" s="277"/>
      <c r="O25751" s="247"/>
      <c r="AC25751" s="247"/>
      <c r="AT25751" s="247"/>
    </row>
    <row r="25752">
      <c r="C25752" s="277"/>
      <c r="M25752" s="277"/>
      <c r="O25752" s="247"/>
      <c r="AC25752" s="247"/>
      <c r="AT25752" s="247"/>
    </row>
    <row r="25753">
      <c r="C25753" s="277"/>
      <c r="M25753" s="277"/>
      <c r="O25753" s="247"/>
      <c r="AC25753" s="247"/>
      <c r="AT25753" s="247"/>
    </row>
    <row r="25754">
      <c r="C25754" s="277"/>
      <c r="M25754" s="277"/>
      <c r="O25754" s="247"/>
      <c r="AC25754" s="247"/>
      <c r="AT25754" s="247"/>
    </row>
    <row r="25755">
      <c r="C25755" s="277"/>
      <c r="M25755" s="277"/>
      <c r="O25755" s="247"/>
      <c r="AC25755" s="247"/>
      <c r="AT25755" s="247"/>
    </row>
    <row r="25756">
      <c r="C25756" s="277"/>
      <c r="M25756" s="277"/>
      <c r="O25756" s="247"/>
      <c r="AC25756" s="247"/>
      <c r="AT25756" s="247"/>
    </row>
    <row r="25757">
      <c r="C25757" s="277"/>
      <c r="M25757" s="277"/>
      <c r="O25757" s="247"/>
      <c r="AC25757" s="247"/>
      <c r="AT25757" s="247"/>
    </row>
    <row r="25758">
      <c r="C25758" s="277"/>
      <c r="M25758" s="277"/>
      <c r="O25758" s="247"/>
      <c r="AC25758" s="247"/>
      <c r="AT25758" s="247"/>
    </row>
    <row r="25759">
      <c r="C25759" s="277"/>
      <c r="M25759" s="277"/>
      <c r="O25759" s="247"/>
      <c r="AC25759" s="247"/>
      <c r="AT25759" s="247"/>
    </row>
    <row r="25760">
      <c r="C25760" s="277"/>
      <c r="M25760" s="277"/>
      <c r="O25760" s="247"/>
      <c r="AC25760" s="247"/>
      <c r="AT25760" s="247"/>
    </row>
    <row r="25761">
      <c r="C25761" s="277"/>
      <c r="M25761" s="277"/>
      <c r="O25761" s="247"/>
      <c r="AC25761" s="247"/>
      <c r="AT25761" s="247"/>
    </row>
    <row r="25762">
      <c r="C25762" s="277"/>
      <c r="M25762" s="277"/>
      <c r="O25762" s="247"/>
      <c r="AC25762" s="247"/>
      <c r="AT25762" s="247"/>
    </row>
    <row r="25763">
      <c r="C25763" s="277"/>
      <c r="M25763" s="277"/>
      <c r="O25763" s="247"/>
      <c r="AC25763" s="247"/>
      <c r="AT25763" s="247"/>
    </row>
    <row r="25764">
      <c r="C25764" s="277"/>
      <c r="M25764" s="277"/>
      <c r="O25764" s="247"/>
      <c r="AC25764" s="247"/>
      <c r="AT25764" s="247"/>
    </row>
    <row r="25765">
      <c r="C25765" s="277"/>
      <c r="M25765" s="277"/>
      <c r="O25765" s="247"/>
      <c r="AC25765" s="247"/>
      <c r="AT25765" s="247"/>
    </row>
    <row r="25766">
      <c r="C25766" s="277"/>
      <c r="M25766" s="277"/>
      <c r="O25766" s="247"/>
      <c r="AC25766" s="247"/>
      <c r="AT25766" s="247"/>
    </row>
    <row r="25767">
      <c r="C25767" s="277"/>
      <c r="M25767" s="277"/>
      <c r="O25767" s="247"/>
      <c r="AC25767" s="247"/>
      <c r="AT25767" s="247"/>
    </row>
    <row r="25768">
      <c r="C25768" s="277"/>
      <c r="M25768" s="277"/>
      <c r="O25768" s="247"/>
      <c r="AC25768" s="247"/>
      <c r="AT25768" s="247"/>
    </row>
    <row r="25769">
      <c r="C25769" s="277"/>
      <c r="M25769" s="277"/>
      <c r="O25769" s="247"/>
      <c r="AC25769" s="247"/>
      <c r="AT25769" s="247"/>
    </row>
    <row r="25770">
      <c r="C25770" s="277"/>
      <c r="M25770" s="277"/>
      <c r="O25770" s="247"/>
      <c r="AC25770" s="247"/>
      <c r="AT25770" s="247"/>
    </row>
    <row r="25771">
      <c r="C25771" s="277"/>
      <c r="M25771" s="277"/>
      <c r="O25771" s="247"/>
      <c r="AC25771" s="247"/>
      <c r="AT25771" s="247"/>
    </row>
    <row r="25772">
      <c r="C25772" s="277"/>
      <c r="M25772" s="277"/>
      <c r="O25772" s="247"/>
      <c r="AC25772" s="247"/>
      <c r="AT25772" s="247"/>
    </row>
    <row r="25773">
      <c r="C25773" s="277"/>
      <c r="M25773" s="277"/>
      <c r="O25773" s="247"/>
      <c r="AC25773" s="247"/>
      <c r="AT25773" s="247"/>
    </row>
    <row r="25774">
      <c r="C25774" s="277"/>
      <c r="M25774" s="277"/>
      <c r="O25774" s="247"/>
      <c r="AC25774" s="247"/>
      <c r="AT25774" s="247"/>
    </row>
    <row r="25775">
      <c r="C25775" s="277"/>
      <c r="M25775" s="277"/>
      <c r="O25775" s="247"/>
      <c r="AC25775" s="247"/>
      <c r="AT25775" s="247"/>
    </row>
    <row r="25776">
      <c r="C25776" s="277"/>
      <c r="M25776" s="277"/>
      <c r="O25776" s="247"/>
      <c r="AC25776" s="247"/>
      <c r="AT25776" s="247"/>
    </row>
    <row r="25777">
      <c r="C25777" s="277"/>
      <c r="M25777" s="277"/>
      <c r="O25777" s="247"/>
      <c r="AC25777" s="247"/>
      <c r="AT25777" s="247"/>
    </row>
    <row r="25778">
      <c r="C25778" s="277"/>
      <c r="M25778" s="277"/>
      <c r="O25778" s="247"/>
      <c r="AC25778" s="247"/>
      <c r="AT25778" s="247"/>
    </row>
    <row r="25779">
      <c r="C25779" s="277"/>
      <c r="M25779" s="277"/>
      <c r="O25779" s="247"/>
      <c r="AC25779" s="247"/>
      <c r="AT25779" s="247"/>
    </row>
    <row r="25780">
      <c r="C25780" s="277"/>
      <c r="M25780" s="277"/>
      <c r="O25780" s="247"/>
      <c r="AC25780" s="247"/>
      <c r="AT25780" s="247"/>
    </row>
    <row r="25781">
      <c r="C25781" s="277"/>
      <c r="M25781" s="277"/>
      <c r="O25781" s="247"/>
      <c r="AC25781" s="247"/>
      <c r="AT25781" s="247"/>
    </row>
    <row r="25782">
      <c r="C25782" s="277"/>
      <c r="M25782" s="277"/>
      <c r="O25782" s="247"/>
      <c r="AC25782" s="247"/>
      <c r="AT25782" s="247"/>
    </row>
    <row r="25783">
      <c r="C25783" s="277"/>
      <c r="M25783" s="277"/>
      <c r="O25783" s="247"/>
      <c r="AC25783" s="247"/>
      <c r="AT25783" s="247"/>
    </row>
    <row r="25784">
      <c r="C25784" s="277"/>
      <c r="M25784" s="277"/>
      <c r="O25784" s="247"/>
      <c r="AC25784" s="247"/>
      <c r="AT25784" s="247"/>
    </row>
    <row r="25785">
      <c r="C25785" s="277"/>
      <c r="M25785" s="277"/>
      <c r="O25785" s="247"/>
      <c r="AC25785" s="247"/>
      <c r="AT25785" s="247"/>
    </row>
    <row r="25786">
      <c r="C25786" s="277"/>
      <c r="M25786" s="277"/>
      <c r="O25786" s="247"/>
      <c r="AC25786" s="247"/>
      <c r="AT25786" s="247"/>
    </row>
    <row r="25787">
      <c r="C25787" s="277"/>
      <c r="M25787" s="277"/>
      <c r="O25787" s="247"/>
      <c r="AC25787" s="247"/>
      <c r="AT25787" s="247"/>
    </row>
    <row r="25788">
      <c r="C25788" s="277"/>
      <c r="M25788" s="277"/>
      <c r="O25788" s="247"/>
      <c r="AC25788" s="247"/>
      <c r="AT25788" s="247"/>
    </row>
    <row r="25789">
      <c r="C25789" s="277"/>
      <c r="M25789" s="277"/>
      <c r="O25789" s="247"/>
      <c r="AC25789" s="247"/>
      <c r="AT25789" s="247"/>
    </row>
    <row r="25790">
      <c r="C25790" s="277"/>
      <c r="M25790" s="277"/>
      <c r="O25790" s="247"/>
      <c r="AC25790" s="247"/>
      <c r="AT25790" s="247"/>
    </row>
    <row r="25791">
      <c r="C25791" s="277"/>
      <c r="M25791" s="277"/>
      <c r="O25791" s="247"/>
      <c r="AC25791" s="247"/>
      <c r="AT25791" s="247"/>
    </row>
    <row r="25792">
      <c r="C25792" s="277"/>
      <c r="M25792" s="277"/>
      <c r="O25792" s="247"/>
      <c r="AC25792" s="247"/>
      <c r="AT25792" s="247"/>
    </row>
    <row r="25793">
      <c r="C25793" s="277"/>
      <c r="M25793" s="277"/>
      <c r="O25793" s="247"/>
      <c r="AC25793" s="247"/>
      <c r="AT25793" s="247"/>
    </row>
    <row r="25794">
      <c r="C25794" s="277"/>
      <c r="M25794" s="277"/>
      <c r="O25794" s="247"/>
      <c r="AC25794" s="247"/>
      <c r="AT25794" s="247"/>
    </row>
    <row r="25795">
      <c r="C25795" s="277"/>
      <c r="M25795" s="277"/>
      <c r="O25795" s="247"/>
      <c r="AC25795" s="247"/>
      <c r="AT25795" s="247"/>
    </row>
    <row r="25796">
      <c r="C25796" s="277"/>
      <c r="M25796" s="277"/>
      <c r="O25796" s="247"/>
      <c r="AC25796" s="247"/>
      <c r="AT25796" s="247"/>
    </row>
    <row r="25797">
      <c r="C25797" s="277"/>
      <c r="M25797" s="277"/>
      <c r="O25797" s="247"/>
      <c r="AC25797" s="247"/>
      <c r="AT25797" s="247"/>
    </row>
    <row r="25798">
      <c r="C25798" s="277"/>
      <c r="M25798" s="277"/>
      <c r="O25798" s="247"/>
      <c r="AC25798" s="247"/>
      <c r="AT25798" s="247"/>
    </row>
    <row r="25799">
      <c r="C25799" s="277"/>
      <c r="M25799" s="277"/>
      <c r="O25799" s="247"/>
      <c r="AC25799" s="247"/>
      <c r="AT25799" s="247"/>
    </row>
    <row r="25800">
      <c r="C25800" s="277"/>
      <c r="J25800" s="279"/>
      <c r="M25800" s="277"/>
      <c r="O25800" s="247"/>
      <c r="AC25800" s="247"/>
      <c r="AT25800" s="247"/>
    </row>
    <row r="25801">
      <c r="C25801" s="277"/>
      <c r="M25801" s="277"/>
      <c r="O25801" s="247"/>
      <c r="AC25801" s="247"/>
      <c r="AT25801" s="247"/>
    </row>
    <row r="25802">
      <c r="C25802" s="277"/>
      <c r="M25802" s="277"/>
      <c r="O25802" s="247"/>
      <c r="AC25802" s="247"/>
      <c r="AT25802" s="247"/>
    </row>
    <row r="25803">
      <c r="C25803" s="277"/>
      <c r="M25803" s="277"/>
      <c r="O25803" s="247"/>
      <c r="AC25803" s="247"/>
      <c r="AT25803" s="247"/>
    </row>
    <row r="25804">
      <c r="C25804" s="277"/>
      <c r="M25804" s="277"/>
      <c r="O25804" s="247"/>
      <c r="AC25804" s="247"/>
      <c r="AT25804" s="247"/>
    </row>
    <row r="25805">
      <c r="C25805" s="277"/>
      <c r="M25805" s="277"/>
      <c r="O25805" s="247"/>
      <c r="AC25805" s="247"/>
      <c r="AT25805" s="247"/>
    </row>
    <row r="25806">
      <c r="C25806" s="277"/>
      <c r="M25806" s="277"/>
      <c r="O25806" s="247"/>
      <c r="AC25806" s="247"/>
      <c r="AT25806" s="247"/>
    </row>
    <row r="25807">
      <c r="C25807" s="277"/>
      <c r="M25807" s="277"/>
      <c r="O25807" s="247"/>
      <c r="AC25807" s="247"/>
      <c r="AT25807" s="247"/>
    </row>
    <row r="25808">
      <c r="C25808" s="277"/>
      <c r="M25808" s="277"/>
      <c r="O25808" s="247"/>
      <c r="AC25808" s="247"/>
      <c r="AT25808" s="247"/>
    </row>
    <row r="25809">
      <c r="C25809" s="277"/>
      <c r="M25809" s="277"/>
      <c r="O25809" s="247"/>
      <c r="AC25809" s="247"/>
      <c r="AT25809" s="247"/>
    </row>
    <row r="25810">
      <c r="C25810" s="277"/>
      <c r="M25810" s="277"/>
      <c r="O25810" s="247"/>
      <c r="AC25810" s="247"/>
      <c r="AT25810" s="247"/>
    </row>
    <row r="25811">
      <c r="C25811" s="277"/>
      <c r="M25811" s="277"/>
      <c r="O25811" s="247"/>
      <c r="AC25811" s="247"/>
      <c r="AT25811" s="247"/>
    </row>
    <row r="25812">
      <c r="C25812" s="277"/>
      <c r="M25812" s="277"/>
      <c r="O25812" s="247"/>
      <c r="AC25812" s="247"/>
      <c r="AT25812" s="247"/>
    </row>
    <row r="25813">
      <c r="C25813" s="277"/>
      <c r="M25813" s="277"/>
      <c r="O25813" s="247"/>
      <c r="AC25813" s="247"/>
      <c r="AT25813" s="247"/>
    </row>
    <row r="25814">
      <c r="C25814" s="277"/>
      <c r="M25814" s="277"/>
      <c r="O25814" s="247"/>
      <c r="AC25814" s="247"/>
      <c r="AT25814" s="247"/>
    </row>
    <row r="25815">
      <c r="C25815" s="277"/>
      <c r="M25815" s="277"/>
      <c r="O25815" s="247"/>
      <c r="AC25815" s="247"/>
      <c r="AT25815" s="247"/>
    </row>
    <row r="25816">
      <c r="C25816" s="277"/>
      <c r="M25816" s="277"/>
      <c r="O25816" s="247"/>
      <c r="AC25816" s="247"/>
      <c r="AT25816" s="247"/>
    </row>
    <row r="25817">
      <c r="C25817" s="277"/>
      <c r="M25817" s="277"/>
      <c r="O25817" s="247"/>
      <c r="AC25817" s="247"/>
      <c r="AT25817" s="247"/>
    </row>
    <row r="25818">
      <c r="C25818" s="277"/>
      <c r="M25818" s="277"/>
      <c r="O25818" s="247"/>
      <c r="AC25818" s="247"/>
      <c r="AT25818" s="247"/>
    </row>
    <row r="25819">
      <c r="C25819" s="277"/>
      <c r="M25819" s="277"/>
      <c r="O25819" s="247"/>
      <c r="AC25819" s="247"/>
      <c r="AT25819" s="247"/>
    </row>
    <row r="25820">
      <c r="C25820" s="277"/>
      <c r="M25820" s="277"/>
      <c r="O25820" s="247"/>
      <c r="AC25820" s="247"/>
      <c r="AT25820" s="247"/>
    </row>
    <row r="25821">
      <c r="C25821" s="277"/>
      <c r="M25821" s="277"/>
      <c r="O25821" s="247"/>
      <c r="AC25821" s="247"/>
      <c r="AT25821" s="247"/>
    </row>
    <row r="25822">
      <c r="C25822" s="277"/>
      <c r="M25822" s="277"/>
      <c r="O25822" s="247"/>
      <c r="AC25822" s="247"/>
      <c r="AT25822" s="247"/>
    </row>
    <row r="25823">
      <c r="C25823" s="277"/>
      <c r="M25823" s="277"/>
      <c r="O25823" s="247"/>
      <c r="AC25823" s="247"/>
      <c r="AT25823" s="247"/>
    </row>
    <row r="25824">
      <c r="C25824" s="277"/>
      <c r="M25824" s="277"/>
      <c r="O25824" s="247"/>
      <c r="AC25824" s="247"/>
      <c r="AT25824" s="247"/>
    </row>
    <row r="25825">
      <c r="C25825" s="277"/>
      <c r="M25825" s="277"/>
      <c r="O25825" s="247"/>
      <c r="AC25825" s="247"/>
      <c r="AT25825" s="247"/>
    </row>
    <row r="25826">
      <c r="C25826" s="277"/>
      <c r="M25826" s="277"/>
      <c r="O25826" s="247"/>
      <c r="AC25826" s="247"/>
      <c r="AT25826" s="247"/>
    </row>
    <row r="25827">
      <c r="C25827" s="277"/>
      <c r="M25827" s="277"/>
      <c r="O25827" s="247"/>
      <c r="AC25827" s="247"/>
      <c r="AT25827" s="247"/>
    </row>
    <row r="25828">
      <c r="C25828" s="277"/>
      <c r="M25828" s="277"/>
      <c r="O25828" s="247"/>
      <c r="AC25828" s="247"/>
      <c r="AT25828" s="247"/>
    </row>
    <row r="25829">
      <c r="C25829" s="277"/>
      <c r="M25829" s="277"/>
      <c r="O25829" s="247"/>
      <c r="AC25829" s="247"/>
      <c r="AT25829" s="247"/>
    </row>
    <row r="25830">
      <c r="C25830" s="277"/>
      <c r="M25830" s="277"/>
      <c r="O25830" s="247"/>
      <c r="AC25830" s="247"/>
      <c r="AT25830" s="247"/>
    </row>
    <row r="25831">
      <c r="C25831" s="277"/>
      <c r="M25831" s="277"/>
      <c r="O25831" s="247"/>
      <c r="AC25831" s="247"/>
      <c r="AT25831" s="247"/>
    </row>
    <row r="25832">
      <c r="C25832" s="277"/>
      <c r="M25832" s="277"/>
      <c r="O25832" s="247"/>
      <c r="AC25832" s="247"/>
      <c r="AT25832" s="247"/>
    </row>
    <row r="25833">
      <c r="C25833" s="277"/>
      <c r="M25833" s="277"/>
      <c r="O25833" s="247"/>
      <c r="AC25833" s="247"/>
      <c r="AT25833" s="247"/>
    </row>
    <row r="25834">
      <c r="C25834" s="277"/>
      <c r="M25834" s="277"/>
      <c r="O25834" s="247"/>
      <c r="AC25834" s="247"/>
      <c r="AT25834" s="247"/>
    </row>
    <row r="25835">
      <c r="C25835" s="277"/>
      <c r="M25835" s="277"/>
      <c r="O25835" s="247"/>
      <c r="AC25835" s="247"/>
      <c r="AT25835" s="247"/>
    </row>
    <row r="25836">
      <c r="C25836" s="277"/>
      <c r="M25836" s="277"/>
      <c r="O25836" s="247"/>
      <c r="AC25836" s="247"/>
      <c r="AT25836" s="247"/>
    </row>
    <row r="25837">
      <c r="C25837" s="277"/>
      <c r="M25837" s="277"/>
      <c r="O25837" s="247"/>
      <c r="AC25837" s="247"/>
      <c r="AT25837" s="247"/>
    </row>
    <row r="25838">
      <c r="C25838" s="277"/>
      <c r="M25838" s="277"/>
      <c r="O25838" s="247"/>
      <c r="AC25838" s="247"/>
      <c r="AT25838" s="247"/>
    </row>
    <row r="25839">
      <c r="C25839" s="277"/>
      <c r="M25839" s="277"/>
      <c r="O25839" s="247"/>
      <c r="AC25839" s="247"/>
      <c r="AT25839" s="247"/>
    </row>
    <row r="25840">
      <c r="C25840" s="277"/>
      <c r="M25840" s="277"/>
      <c r="O25840" s="247"/>
      <c r="AC25840" s="247"/>
      <c r="AT25840" s="247"/>
    </row>
    <row r="25841">
      <c r="C25841" s="277"/>
      <c r="M25841" s="277"/>
      <c r="O25841" s="247"/>
      <c r="AC25841" s="247"/>
      <c r="AT25841" s="247"/>
    </row>
    <row r="25842">
      <c r="C25842" s="277"/>
      <c r="M25842" s="277"/>
      <c r="O25842" s="247"/>
      <c r="AC25842" s="247"/>
      <c r="AT25842" s="247"/>
    </row>
    <row r="25843">
      <c r="C25843" s="277"/>
      <c r="M25843" s="277"/>
      <c r="O25843" s="247"/>
      <c r="AC25843" s="247"/>
      <c r="AT25843" s="247"/>
    </row>
    <row r="25844">
      <c r="C25844" s="277"/>
      <c r="M25844" s="277"/>
      <c r="O25844" s="247"/>
      <c r="AC25844" s="247"/>
      <c r="AT25844" s="247"/>
    </row>
    <row r="25845">
      <c r="C25845" s="277"/>
      <c r="M25845" s="277"/>
      <c r="O25845" s="247"/>
      <c r="AC25845" s="247"/>
      <c r="AT25845" s="247"/>
    </row>
    <row r="25846">
      <c r="C25846" s="277"/>
      <c r="M25846" s="277"/>
      <c r="O25846" s="247"/>
      <c r="AC25846" s="247"/>
      <c r="AT25846" s="247"/>
    </row>
    <row r="25847">
      <c r="C25847" s="277"/>
      <c r="M25847" s="277"/>
      <c r="O25847" s="247"/>
      <c r="AC25847" s="247"/>
      <c r="AT25847" s="247"/>
    </row>
    <row r="25848">
      <c r="C25848" s="277"/>
      <c r="M25848" s="277"/>
      <c r="O25848" s="247"/>
      <c r="AC25848" s="247"/>
      <c r="AT25848" s="247"/>
    </row>
    <row r="25849">
      <c r="C25849" s="277"/>
      <c r="M25849" s="277"/>
      <c r="O25849" s="247"/>
      <c r="AC25849" s="247"/>
      <c r="AT25849" s="247"/>
    </row>
    <row r="25850">
      <c r="C25850" s="277"/>
      <c r="M25850" s="277"/>
      <c r="O25850" s="247"/>
      <c r="AC25850" s="247"/>
      <c r="AT25850" s="247"/>
    </row>
    <row r="25851">
      <c r="C25851" s="277"/>
      <c r="M25851" s="277"/>
      <c r="O25851" s="247"/>
      <c r="AC25851" s="247"/>
      <c r="AT25851" s="247"/>
    </row>
    <row r="25852">
      <c r="C25852" s="277"/>
      <c r="M25852" s="277"/>
      <c r="O25852" s="247"/>
      <c r="AC25852" s="247"/>
      <c r="AT25852" s="247"/>
    </row>
    <row r="25853">
      <c r="C25853" s="277"/>
      <c r="M25853" s="277"/>
      <c r="O25853" s="247"/>
      <c r="AC25853" s="247"/>
      <c r="AT25853" s="247"/>
    </row>
    <row r="25854">
      <c r="C25854" s="277"/>
      <c r="M25854" s="277"/>
      <c r="O25854" s="247"/>
      <c r="AC25854" s="247"/>
      <c r="AT25854" s="247"/>
    </row>
    <row r="25855">
      <c r="C25855" s="277"/>
      <c r="M25855" s="277"/>
      <c r="O25855" s="247"/>
      <c r="AC25855" s="247"/>
      <c r="AT25855" s="247"/>
    </row>
    <row r="25856">
      <c r="C25856" s="277"/>
      <c r="M25856" s="277"/>
      <c r="O25856" s="247"/>
      <c r="AC25856" s="247"/>
      <c r="AT25856" s="247"/>
    </row>
    <row r="25857">
      <c r="C25857" s="277"/>
      <c r="M25857" s="277"/>
      <c r="O25857" s="247"/>
      <c r="AC25857" s="247"/>
      <c r="AT25857" s="247"/>
    </row>
    <row r="25858">
      <c r="C25858" s="277"/>
      <c r="M25858" s="277"/>
      <c r="O25858" s="247"/>
      <c r="AC25858" s="247"/>
      <c r="AT25858" s="247"/>
    </row>
    <row r="25859">
      <c r="C25859" s="277"/>
      <c r="M25859" s="277"/>
      <c r="O25859" s="247"/>
      <c r="AC25859" s="247"/>
      <c r="AT25859" s="247"/>
    </row>
    <row r="25860">
      <c r="C25860" s="277"/>
      <c r="M25860" s="277"/>
      <c r="O25860" s="247"/>
      <c r="AC25860" s="247"/>
      <c r="AT25860" s="247"/>
    </row>
    <row r="25861">
      <c r="C25861" s="277"/>
      <c r="M25861" s="277"/>
      <c r="O25861" s="247"/>
      <c r="AC25861" s="247"/>
      <c r="AT25861" s="247"/>
    </row>
    <row r="25862">
      <c r="C25862" s="277"/>
      <c r="M25862" s="277"/>
      <c r="O25862" s="247"/>
      <c r="AC25862" s="247"/>
      <c r="AT25862" s="247"/>
    </row>
    <row r="25863">
      <c r="C25863" s="277"/>
      <c r="M25863" s="277"/>
      <c r="O25863" s="247"/>
      <c r="AC25863" s="247"/>
      <c r="AT25863" s="247"/>
    </row>
    <row r="25864">
      <c r="C25864" s="277"/>
      <c r="M25864" s="277"/>
      <c r="O25864" s="247"/>
      <c r="AC25864" s="247"/>
      <c r="AT25864" s="247"/>
    </row>
    <row r="25865">
      <c r="C25865" s="277"/>
      <c r="M25865" s="277"/>
      <c r="O25865" s="247"/>
      <c r="AC25865" s="247"/>
      <c r="AT25865" s="247"/>
    </row>
    <row r="25866">
      <c r="C25866" s="277"/>
      <c r="M25866" s="277"/>
      <c r="O25866" s="247"/>
      <c r="AC25866" s="247"/>
      <c r="AT25866" s="247"/>
    </row>
    <row r="25867">
      <c r="C25867" s="277"/>
      <c r="M25867" s="277"/>
      <c r="O25867" s="247"/>
      <c r="AC25867" s="247"/>
      <c r="AT25867" s="247"/>
    </row>
    <row r="25868">
      <c r="C25868" s="277"/>
      <c r="M25868" s="277"/>
      <c r="O25868" s="247"/>
      <c r="AC25868" s="247"/>
      <c r="AT25868" s="247"/>
    </row>
    <row r="25869">
      <c r="C25869" s="277"/>
      <c r="M25869" s="277"/>
      <c r="O25869" s="247"/>
      <c r="AC25869" s="247"/>
      <c r="AT25869" s="247"/>
    </row>
    <row r="25870">
      <c r="C25870" s="277"/>
      <c r="M25870" s="277"/>
      <c r="O25870" s="247"/>
      <c r="AC25870" s="247"/>
      <c r="AT25870" s="247"/>
    </row>
    <row r="25871">
      <c r="C25871" s="277"/>
      <c r="M25871" s="277"/>
      <c r="O25871" s="247"/>
      <c r="AC25871" s="247"/>
      <c r="AT25871" s="247"/>
    </row>
    <row r="25872">
      <c r="C25872" s="277"/>
      <c r="M25872" s="277"/>
      <c r="O25872" s="247"/>
      <c r="AC25872" s="247"/>
      <c r="AT25872" s="247"/>
    </row>
    <row r="25873">
      <c r="C25873" s="277"/>
      <c r="M25873" s="277"/>
      <c r="O25873" s="247"/>
      <c r="AC25873" s="247"/>
      <c r="AT25873" s="247"/>
    </row>
    <row r="25874">
      <c r="C25874" s="277"/>
      <c r="M25874" s="277"/>
      <c r="O25874" s="247"/>
      <c r="AC25874" s="247"/>
      <c r="AT25874" s="247"/>
    </row>
    <row r="25875">
      <c r="C25875" s="277"/>
      <c r="M25875" s="277"/>
      <c r="O25875" s="247"/>
      <c r="AC25875" s="247"/>
      <c r="AT25875" s="247"/>
    </row>
    <row r="25876">
      <c r="C25876" s="277"/>
      <c r="M25876" s="277"/>
      <c r="O25876" s="247"/>
      <c r="AC25876" s="247"/>
      <c r="AT25876" s="247"/>
    </row>
    <row r="25877">
      <c r="C25877" s="277"/>
      <c r="M25877" s="277"/>
      <c r="O25877" s="247"/>
      <c r="AC25877" s="247"/>
      <c r="AT25877" s="247"/>
    </row>
    <row r="25878">
      <c r="C25878" s="277"/>
      <c r="M25878" s="277"/>
      <c r="O25878" s="247"/>
      <c r="AC25878" s="247"/>
      <c r="AT25878" s="247"/>
    </row>
    <row r="25879">
      <c r="C25879" s="277"/>
      <c r="M25879" s="277"/>
      <c r="O25879" s="247"/>
      <c r="AC25879" s="247"/>
      <c r="AT25879" s="247"/>
    </row>
    <row r="25880">
      <c r="C25880" s="277"/>
      <c r="M25880" s="277"/>
      <c r="O25880" s="247"/>
      <c r="AC25880" s="247"/>
      <c r="AT25880" s="247"/>
    </row>
    <row r="25881">
      <c r="C25881" s="277"/>
      <c r="M25881" s="277"/>
      <c r="O25881" s="247"/>
      <c r="AC25881" s="247"/>
      <c r="AT25881" s="247"/>
    </row>
    <row r="25882">
      <c r="C25882" s="277"/>
      <c r="M25882" s="277"/>
      <c r="O25882" s="247"/>
      <c r="AC25882" s="247"/>
      <c r="AT25882" s="247"/>
    </row>
    <row r="25883">
      <c r="C25883" s="277"/>
      <c r="M25883" s="277"/>
      <c r="O25883" s="247"/>
      <c r="AC25883" s="247"/>
      <c r="AT25883" s="247"/>
    </row>
    <row r="25884">
      <c r="C25884" s="277"/>
      <c r="M25884" s="277"/>
      <c r="O25884" s="247"/>
      <c r="AC25884" s="247"/>
      <c r="AT25884" s="247"/>
    </row>
    <row r="25885">
      <c r="C25885" s="277"/>
      <c r="M25885" s="277"/>
      <c r="O25885" s="247"/>
      <c r="AC25885" s="247"/>
      <c r="AT25885" s="247"/>
    </row>
    <row r="25886">
      <c r="C25886" s="277"/>
      <c r="M25886" s="277"/>
      <c r="O25886" s="247"/>
      <c r="AC25886" s="247"/>
      <c r="AT25886" s="247"/>
    </row>
    <row r="25887">
      <c r="C25887" s="277"/>
      <c r="M25887" s="277"/>
      <c r="O25887" s="247"/>
      <c r="AC25887" s="247"/>
      <c r="AT25887" s="247"/>
    </row>
    <row r="25888">
      <c r="C25888" s="277"/>
      <c r="M25888" s="277"/>
      <c r="O25888" s="247"/>
      <c r="AC25888" s="247"/>
      <c r="AT25888" s="247"/>
    </row>
    <row r="25889">
      <c r="C25889" s="277"/>
      <c r="M25889" s="277"/>
      <c r="O25889" s="247"/>
      <c r="AC25889" s="247"/>
      <c r="AT25889" s="247"/>
    </row>
    <row r="25890">
      <c r="C25890" s="277"/>
      <c r="M25890" s="277"/>
      <c r="O25890" s="247"/>
      <c r="AC25890" s="247"/>
      <c r="AT25890" s="247"/>
    </row>
    <row r="25891">
      <c r="C25891" s="277"/>
      <c r="M25891" s="277"/>
      <c r="O25891" s="247"/>
      <c r="AC25891" s="247"/>
      <c r="AT25891" s="247"/>
    </row>
    <row r="25892">
      <c r="C25892" s="277"/>
      <c r="M25892" s="277"/>
      <c r="O25892" s="247"/>
      <c r="AC25892" s="247"/>
      <c r="AT25892" s="247"/>
    </row>
    <row r="25893">
      <c r="C25893" s="277"/>
      <c r="M25893" s="277"/>
      <c r="O25893" s="247"/>
      <c r="AC25893" s="247"/>
      <c r="AT25893" s="247"/>
    </row>
    <row r="25894">
      <c r="C25894" s="277"/>
      <c r="M25894" s="277"/>
      <c r="O25894" s="247"/>
      <c r="AC25894" s="247"/>
      <c r="AT25894" s="247"/>
    </row>
    <row r="25895">
      <c r="C25895" s="277"/>
      <c r="M25895" s="277"/>
      <c r="O25895" s="247"/>
      <c r="AC25895" s="247"/>
      <c r="AT25895" s="247"/>
    </row>
    <row r="25896">
      <c r="C25896" s="277"/>
      <c r="M25896" s="277"/>
      <c r="O25896" s="247"/>
      <c r="AC25896" s="247"/>
      <c r="AT25896" s="247"/>
    </row>
    <row r="25897">
      <c r="C25897" s="277"/>
      <c r="M25897" s="277"/>
      <c r="O25897" s="247"/>
      <c r="AC25897" s="247"/>
      <c r="AT25897" s="247"/>
    </row>
    <row r="25898">
      <c r="C25898" s="277"/>
      <c r="M25898" s="277"/>
      <c r="O25898" s="247"/>
      <c r="AC25898" s="247"/>
      <c r="AT25898" s="247"/>
    </row>
    <row r="25899">
      <c r="C25899" s="277"/>
      <c r="M25899" s="277"/>
      <c r="O25899" s="247"/>
      <c r="AC25899" s="247"/>
      <c r="AT25899" s="247"/>
    </row>
    <row r="25900">
      <c r="C25900" s="277"/>
      <c r="M25900" s="277"/>
      <c r="O25900" s="247"/>
      <c r="AC25900" s="247"/>
      <c r="AT25900" s="247"/>
    </row>
    <row r="25901">
      <c r="C25901" s="277"/>
      <c r="M25901" s="277"/>
      <c r="O25901" s="247"/>
      <c r="AC25901" s="247"/>
      <c r="AT25901" s="247"/>
    </row>
    <row r="25902">
      <c r="C25902" s="277"/>
      <c r="M25902" s="277"/>
      <c r="O25902" s="247"/>
      <c r="AC25902" s="247"/>
      <c r="AT25902" s="247"/>
    </row>
    <row r="25903">
      <c r="C25903" s="277"/>
      <c r="M25903" s="277"/>
      <c r="O25903" s="247"/>
      <c r="AC25903" s="247"/>
      <c r="AT25903" s="247"/>
    </row>
    <row r="25904">
      <c r="C25904" s="277"/>
      <c r="M25904" s="277"/>
      <c r="O25904" s="247"/>
      <c r="AC25904" s="247"/>
      <c r="AT25904" s="247"/>
    </row>
    <row r="25905">
      <c r="C25905" s="277"/>
      <c r="M25905" s="277"/>
      <c r="O25905" s="247"/>
      <c r="AC25905" s="247"/>
      <c r="AT25905" s="247"/>
    </row>
    <row r="25906">
      <c r="C25906" s="277"/>
      <c r="M25906" s="277"/>
      <c r="O25906" s="247"/>
      <c r="AC25906" s="247"/>
      <c r="AT25906" s="247"/>
    </row>
    <row r="25907">
      <c r="C25907" s="277"/>
      <c r="M25907" s="277"/>
      <c r="O25907" s="247"/>
      <c r="AC25907" s="247"/>
      <c r="AT25907" s="247"/>
    </row>
    <row r="25908">
      <c r="C25908" s="277"/>
      <c r="M25908" s="277"/>
      <c r="O25908" s="247"/>
      <c r="AC25908" s="247"/>
      <c r="AT25908" s="247"/>
    </row>
    <row r="25909">
      <c r="C25909" s="277"/>
      <c r="M25909" s="277"/>
      <c r="O25909" s="247"/>
      <c r="AC25909" s="247"/>
      <c r="AT25909" s="247"/>
    </row>
    <row r="25910">
      <c r="C25910" s="277"/>
      <c r="M25910" s="277"/>
      <c r="O25910" s="247"/>
      <c r="AC25910" s="247"/>
      <c r="AT25910" s="247"/>
    </row>
    <row r="25911">
      <c r="C25911" s="277"/>
      <c r="M25911" s="277"/>
      <c r="O25911" s="247"/>
      <c r="AC25911" s="247"/>
      <c r="AT25911" s="247"/>
    </row>
    <row r="25912">
      <c r="C25912" s="277"/>
      <c r="M25912" s="277"/>
      <c r="O25912" s="247"/>
      <c r="AC25912" s="247"/>
      <c r="AT25912" s="247"/>
    </row>
    <row r="25913">
      <c r="C25913" s="277"/>
      <c r="M25913" s="277"/>
      <c r="O25913" s="247"/>
      <c r="AC25913" s="247"/>
      <c r="AT25913" s="247"/>
    </row>
    <row r="25914">
      <c r="C25914" s="277"/>
      <c r="M25914" s="277"/>
      <c r="O25914" s="247"/>
      <c r="AC25914" s="247"/>
      <c r="AT25914" s="247"/>
    </row>
    <row r="25915">
      <c r="C25915" s="277"/>
      <c r="M25915" s="277"/>
      <c r="O25915" s="247"/>
      <c r="AC25915" s="247"/>
      <c r="AT25915" s="247"/>
    </row>
    <row r="25916">
      <c r="C25916" s="277"/>
      <c r="M25916" s="277"/>
      <c r="O25916" s="247"/>
      <c r="AC25916" s="247"/>
      <c r="AT25916" s="247"/>
    </row>
    <row r="25917">
      <c r="C25917" s="277"/>
      <c r="M25917" s="277"/>
      <c r="O25917" s="247"/>
      <c r="AC25917" s="247"/>
      <c r="AT25917" s="247"/>
    </row>
    <row r="25918">
      <c r="C25918" s="277"/>
      <c r="M25918" s="277"/>
      <c r="O25918" s="247"/>
      <c r="AC25918" s="247"/>
      <c r="AT25918" s="247"/>
    </row>
    <row r="25919">
      <c r="C25919" s="277"/>
      <c r="M25919" s="277"/>
      <c r="O25919" s="247"/>
      <c r="AC25919" s="247"/>
      <c r="AT25919" s="247"/>
    </row>
    <row r="25920">
      <c r="C25920" s="277"/>
      <c r="M25920" s="277"/>
      <c r="O25920" s="247"/>
      <c r="AC25920" s="247"/>
      <c r="AT25920" s="247"/>
    </row>
    <row r="25921">
      <c r="C25921" s="277"/>
      <c r="M25921" s="277"/>
      <c r="O25921" s="247"/>
      <c r="AC25921" s="247"/>
      <c r="AT25921" s="247"/>
    </row>
    <row r="25922">
      <c r="C25922" s="277"/>
      <c r="M25922" s="277"/>
      <c r="O25922" s="247"/>
      <c r="AC25922" s="247"/>
      <c r="AT25922" s="247"/>
    </row>
    <row r="25923">
      <c r="C25923" s="277"/>
      <c r="M25923" s="277"/>
      <c r="O25923" s="247"/>
      <c r="AC25923" s="247"/>
      <c r="AT25923" s="247"/>
    </row>
    <row r="25924">
      <c r="C25924" s="277"/>
      <c r="M25924" s="277"/>
      <c r="O25924" s="247"/>
      <c r="AC25924" s="247"/>
      <c r="AT25924" s="247"/>
    </row>
    <row r="25925">
      <c r="C25925" s="277"/>
      <c r="M25925" s="277"/>
      <c r="O25925" s="247"/>
      <c r="AC25925" s="247"/>
      <c r="AT25925" s="247"/>
    </row>
    <row r="25926">
      <c r="C25926" s="277"/>
      <c r="M25926" s="277"/>
      <c r="O25926" s="247"/>
      <c r="AC25926" s="247"/>
      <c r="AT25926" s="247"/>
    </row>
    <row r="25927">
      <c r="C25927" s="277"/>
      <c r="M25927" s="277"/>
      <c r="O25927" s="247"/>
      <c r="AC25927" s="247"/>
      <c r="AT25927" s="247"/>
    </row>
    <row r="25928">
      <c r="C25928" s="277"/>
      <c r="M25928" s="277"/>
      <c r="O25928" s="247"/>
      <c r="AC25928" s="247"/>
      <c r="AT25928" s="247"/>
    </row>
    <row r="25929">
      <c r="C25929" s="277"/>
      <c r="M25929" s="277"/>
      <c r="O25929" s="247"/>
      <c r="AC25929" s="247"/>
      <c r="AT25929" s="247"/>
    </row>
    <row r="25930">
      <c r="C25930" s="277"/>
      <c r="M25930" s="277"/>
      <c r="O25930" s="247"/>
      <c r="AC25930" s="247"/>
      <c r="AT25930" s="247"/>
    </row>
    <row r="25931">
      <c r="C25931" s="277"/>
      <c r="M25931" s="277"/>
      <c r="O25931" s="247"/>
      <c r="AC25931" s="247"/>
      <c r="AT25931" s="247"/>
    </row>
    <row r="25932">
      <c r="C25932" s="277"/>
      <c r="M25932" s="277"/>
      <c r="O25932" s="247"/>
      <c r="AC25932" s="247"/>
      <c r="AT25932" s="247"/>
    </row>
    <row r="25933">
      <c r="C25933" s="277"/>
      <c r="M25933" s="277"/>
      <c r="O25933" s="247"/>
      <c r="AC25933" s="247"/>
      <c r="AT25933" s="247"/>
    </row>
    <row r="25934">
      <c r="C25934" s="277"/>
      <c r="M25934" s="277"/>
      <c r="O25934" s="247"/>
      <c r="AC25934" s="247"/>
      <c r="AT25934" s="247"/>
    </row>
    <row r="25935">
      <c r="C25935" s="277"/>
      <c r="M25935" s="277"/>
      <c r="O25935" s="247"/>
      <c r="AC25935" s="247"/>
      <c r="AT25935" s="247"/>
    </row>
    <row r="25936">
      <c r="C25936" s="277"/>
      <c r="M25936" s="277"/>
      <c r="O25936" s="247"/>
      <c r="AC25936" s="247"/>
      <c r="AT25936" s="247"/>
    </row>
    <row r="25937">
      <c r="C25937" s="277"/>
      <c r="M25937" s="277"/>
      <c r="O25937" s="247"/>
      <c r="AC25937" s="247"/>
      <c r="AT25937" s="247"/>
    </row>
    <row r="25938">
      <c r="C25938" s="277"/>
      <c r="M25938" s="277"/>
      <c r="O25938" s="247"/>
      <c r="AC25938" s="247"/>
      <c r="AT25938" s="247"/>
    </row>
    <row r="25939">
      <c r="C25939" s="277"/>
      <c r="M25939" s="277"/>
      <c r="O25939" s="247"/>
      <c r="AC25939" s="247"/>
      <c r="AT25939" s="247"/>
    </row>
    <row r="25940">
      <c r="C25940" s="277"/>
      <c r="M25940" s="277"/>
      <c r="O25940" s="247"/>
      <c r="AC25940" s="247"/>
      <c r="AT25940" s="247"/>
    </row>
    <row r="25941">
      <c r="C25941" s="277"/>
      <c r="M25941" s="277"/>
      <c r="O25941" s="247"/>
      <c r="AC25941" s="247"/>
      <c r="AT25941" s="247"/>
    </row>
    <row r="25942">
      <c r="C25942" s="277"/>
      <c r="M25942" s="277"/>
      <c r="O25942" s="247"/>
      <c r="AC25942" s="247"/>
      <c r="AT25942" s="247"/>
    </row>
    <row r="25943">
      <c r="C25943" s="277"/>
      <c r="M25943" s="277"/>
      <c r="O25943" s="247"/>
      <c r="AC25943" s="247"/>
      <c r="AT25943" s="247"/>
    </row>
    <row r="25944">
      <c r="C25944" s="277"/>
      <c r="M25944" s="277"/>
      <c r="O25944" s="247"/>
      <c r="AC25944" s="247"/>
      <c r="AT25944" s="247"/>
    </row>
    <row r="25945">
      <c r="C25945" s="277"/>
      <c r="M25945" s="277"/>
      <c r="O25945" s="247"/>
      <c r="AC25945" s="247"/>
      <c r="AT25945" s="247"/>
    </row>
    <row r="25946">
      <c r="C25946" s="277"/>
      <c r="M25946" s="277"/>
      <c r="O25946" s="247"/>
      <c r="AC25946" s="247"/>
      <c r="AT25946" s="247"/>
    </row>
    <row r="25947">
      <c r="C25947" s="277"/>
      <c r="M25947" s="277"/>
      <c r="O25947" s="247"/>
      <c r="AC25947" s="247"/>
      <c r="AT25947" s="247"/>
    </row>
    <row r="25948">
      <c r="C25948" s="277"/>
      <c r="M25948" s="277"/>
      <c r="O25948" s="247"/>
      <c r="AC25948" s="247"/>
      <c r="AT25948" s="247"/>
    </row>
    <row r="25949">
      <c r="C25949" s="277"/>
      <c r="M25949" s="277"/>
      <c r="O25949" s="247"/>
      <c r="AC25949" s="247"/>
      <c r="AT25949" s="247"/>
    </row>
    <row r="25950">
      <c r="C25950" s="277"/>
      <c r="M25950" s="277"/>
      <c r="O25950" s="247"/>
      <c r="AC25950" s="247"/>
      <c r="AT25950" s="247"/>
    </row>
    <row r="25951">
      <c r="C25951" s="277"/>
      <c r="M25951" s="277"/>
      <c r="O25951" s="247"/>
      <c r="AC25951" s="247"/>
      <c r="AT25951" s="247"/>
    </row>
    <row r="25952">
      <c r="C25952" s="277"/>
      <c r="M25952" s="277"/>
      <c r="O25952" s="247"/>
      <c r="AC25952" s="247"/>
      <c r="AT25952" s="247"/>
    </row>
    <row r="25953">
      <c r="C25953" s="277"/>
      <c r="M25953" s="277"/>
      <c r="O25953" s="247"/>
      <c r="AC25953" s="247"/>
      <c r="AT25953" s="247"/>
    </row>
    <row r="25954">
      <c r="C25954" s="277"/>
      <c r="M25954" s="277"/>
      <c r="O25954" s="247"/>
      <c r="AC25954" s="247"/>
      <c r="AT25954" s="247"/>
    </row>
    <row r="25955">
      <c r="C25955" s="277"/>
      <c r="M25955" s="277"/>
      <c r="O25955" s="247"/>
      <c r="AC25955" s="247"/>
      <c r="AT25955" s="247"/>
    </row>
    <row r="25956">
      <c r="C25956" s="277"/>
      <c r="M25956" s="277"/>
      <c r="O25956" s="247"/>
      <c r="AC25956" s="247"/>
      <c r="AT25956" s="247"/>
    </row>
    <row r="25957">
      <c r="C25957" s="277"/>
      <c r="M25957" s="277"/>
      <c r="O25957" s="247"/>
      <c r="AC25957" s="247"/>
      <c r="AT25957" s="247"/>
    </row>
    <row r="25958">
      <c r="C25958" s="277"/>
      <c r="M25958" s="277"/>
      <c r="O25958" s="247"/>
      <c r="AC25958" s="247"/>
      <c r="AT25958" s="247"/>
    </row>
    <row r="25959">
      <c r="C25959" s="277"/>
      <c r="M25959" s="277"/>
      <c r="O25959" s="247"/>
      <c r="AC25959" s="247"/>
      <c r="AT25959" s="247"/>
    </row>
    <row r="25960">
      <c r="C25960" s="277"/>
      <c r="M25960" s="277"/>
      <c r="O25960" s="247"/>
      <c r="AC25960" s="247"/>
      <c r="AT25960" s="247"/>
    </row>
    <row r="25961">
      <c r="C25961" s="277"/>
      <c r="M25961" s="277"/>
      <c r="O25961" s="247"/>
      <c r="AC25961" s="247"/>
      <c r="AT25961" s="247"/>
    </row>
    <row r="25962">
      <c r="C25962" s="277"/>
      <c r="M25962" s="277"/>
      <c r="O25962" s="247"/>
      <c r="AC25962" s="247"/>
      <c r="AT25962" s="247"/>
    </row>
    <row r="25963">
      <c r="C25963" s="277"/>
      <c r="M25963" s="277"/>
      <c r="O25963" s="247"/>
      <c r="AC25963" s="247"/>
      <c r="AT25963" s="247"/>
    </row>
    <row r="25964">
      <c r="C25964" s="277"/>
      <c r="M25964" s="277"/>
      <c r="O25964" s="247"/>
      <c r="AC25964" s="247"/>
      <c r="AT25964" s="247"/>
    </row>
    <row r="25965">
      <c r="C25965" s="277"/>
      <c r="M25965" s="277"/>
      <c r="O25965" s="247"/>
      <c r="AC25965" s="247"/>
      <c r="AT25965" s="247"/>
    </row>
    <row r="25966">
      <c r="C25966" s="277"/>
      <c r="M25966" s="277"/>
      <c r="O25966" s="247"/>
      <c r="AC25966" s="247"/>
      <c r="AT25966" s="247"/>
    </row>
    <row r="25967">
      <c r="C25967" s="277"/>
      <c r="M25967" s="277"/>
      <c r="O25967" s="247"/>
      <c r="AC25967" s="247"/>
      <c r="AT25967" s="247"/>
    </row>
    <row r="25968">
      <c r="C25968" s="277"/>
      <c r="M25968" s="277"/>
      <c r="O25968" s="247"/>
      <c r="AC25968" s="247"/>
      <c r="AT25968" s="247"/>
    </row>
    <row r="25969">
      <c r="C25969" s="277"/>
      <c r="M25969" s="277"/>
      <c r="O25969" s="247"/>
      <c r="AC25969" s="247"/>
      <c r="AT25969" s="247"/>
    </row>
    <row r="25970">
      <c r="C25970" s="277"/>
      <c r="M25970" s="277"/>
      <c r="O25970" s="247"/>
      <c r="AC25970" s="247"/>
      <c r="AT25970" s="247"/>
    </row>
    <row r="25971">
      <c r="C25971" s="277"/>
      <c r="M25971" s="277"/>
      <c r="O25971" s="247"/>
      <c r="AC25971" s="247"/>
      <c r="AT25971" s="247"/>
    </row>
    <row r="25972">
      <c r="C25972" s="277"/>
      <c r="M25972" s="277"/>
      <c r="O25972" s="247"/>
      <c r="AC25972" s="247"/>
      <c r="AT25972" s="247"/>
    </row>
    <row r="25973">
      <c r="C25973" s="277"/>
      <c r="M25973" s="277"/>
      <c r="O25973" s="247"/>
      <c r="AC25973" s="247"/>
      <c r="AT25973" s="247"/>
    </row>
    <row r="25974">
      <c r="C25974" s="277"/>
      <c r="M25974" s="277"/>
      <c r="O25974" s="247"/>
      <c r="AC25974" s="247"/>
      <c r="AT25974" s="247"/>
    </row>
    <row r="25975">
      <c r="C25975" s="277"/>
      <c r="M25975" s="277"/>
      <c r="O25975" s="247"/>
      <c r="AC25975" s="247"/>
      <c r="AT25975" s="247"/>
    </row>
    <row r="25976">
      <c r="C25976" s="277"/>
      <c r="M25976" s="277"/>
      <c r="O25976" s="247"/>
      <c r="AC25976" s="247"/>
      <c r="AT25976" s="247"/>
    </row>
    <row r="25977">
      <c r="C25977" s="277"/>
      <c r="M25977" s="277"/>
      <c r="O25977" s="247"/>
      <c r="AC25977" s="247"/>
      <c r="AT25977" s="247"/>
    </row>
    <row r="25978">
      <c r="C25978" s="277"/>
      <c r="M25978" s="277"/>
      <c r="O25978" s="247"/>
      <c r="AC25978" s="247"/>
      <c r="AT25978" s="247"/>
    </row>
    <row r="25979">
      <c r="C25979" s="277"/>
      <c r="M25979" s="277"/>
      <c r="O25979" s="247"/>
      <c r="AC25979" s="247"/>
      <c r="AT25979" s="247"/>
    </row>
    <row r="25980">
      <c r="C25980" s="277"/>
      <c r="M25980" s="277"/>
      <c r="O25980" s="247"/>
      <c r="AC25980" s="247"/>
      <c r="AT25980" s="247"/>
    </row>
    <row r="25981">
      <c r="C25981" s="277"/>
      <c r="M25981" s="277"/>
      <c r="O25981" s="247"/>
      <c r="AC25981" s="247"/>
      <c r="AT25981" s="247"/>
    </row>
    <row r="25982">
      <c r="C25982" s="277"/>
      <c r="M25982" s="277"/>
      <c r="O25982" s="247"/>
      <c r="AC25982" s="247"/>
      <c r="AT25982" s="247"/>
    </row>
    <row r="25983">
      <c r="C25983" s="277"/>
      <c r="M25983" s="277"/>
      <c r="O25983" s="247"/>
      <c r="AC25983" s="247"/>
      <c r="AT25983" s="247"/>
    </row>
    <row r="25984">
      <c r="C25984" s="277"/>
      <c r="M25984" s="277"/>
      <c r="O25984" s="247"/>
      <c r="AC25984" s="247"/>
      <c r="AT25984" s="247"/>
    </row>
    <row r="25985">
      <c r="C25985" s="277"/>
      <c r="M25985" s="277"/>
      <c r="O25985" s="247"/>
      <c r="AC25985" s="247"/>
      <c r="AT25985" s="247"/>
    </row>
    <row r="25986">
      <c r="C25986" s="277"/>
      <c r="M25986" s="277"/>
      <c r="O25986" s="247"/>
      <c r="AC25986" s="247"/>
      <c r="AT25986" s="247"/>
    </row>
    <row r="25987">
      <c r="C25987" s="277"/>
      <c r="M25987" s="277"/>
      <c r="O25987" s="247"/>
      <c r="AC25987" s="247"/>
      <c r="AT25987" s="247"/>
    </row>
    <row r="25988">
      <c r="C25988" s="277"/>
      <c r="M25988" s="277"/>
      <c r="O25988" s="247"/>
      <c r="AC25988" s="247"/>
      <c r="AT25988" s="247"/>
    </row>
    <row r="25989">
      <c r="C25989" s="277"/>
      <c r="M25989" s="277"/>
      <c r="O25989" s="247"/>
      <c r="AC25989" s="247"/>
      <c r="AT25989" s="247"/>
    </row>
    <row r="25990">
      <c r="C25990" s="277"/>
      <c r="M25990" s="277"/>
      <c r="O25990" s="247"/>
      <c r="AC25990" s="247"/>
      <c r="AT25990" s="247"/>
    </row>
    <row r="25991">
      <c r="C25991" s="277"/>
      <c r="M25991" s="277"/>
      <c r="O25991" s="247"/>
      <c r="AC25991" s="247"/>
      <c r="AT25991" s="247"/>
    </row>
    <row r="25992">
      <c r="C25992" s="277"/>
      <c r="M25992" s="277"/>
      <c r="O25992" s="247"/>
      <c r="AC25992" s="247"/>
      <c r="AT25992" s="247"/>
    </row>
    <row r="25993">
      <c r="C25993" s="277"/>
      <c r="M25993" s="277"/>
      <c r="O25993" s="247"/>
      <c r="AC25993" s="247"/>
      <c r="AT25993" s="247"/>
    </row>
    <row r="25994">
      <c r="C25994" s="277"/>
      <c r="M25994" s="277"/>
      <c r="O25994" s="247"/>
      <c r="AC25994" s="247"/>
      <c r="AT25994" s="247"/>
    </row>
    <row r="25995">
      <c r="C25995" s="277"/>
      <c r="M25995" s="277"/>
      <c r="O25995" s="247"/>
      <c r="AC25995" s="247"/>
      <c r="AT25995" s="247"/>
    </row>
    <row r="25996">
      <c r="C25996" s="277"/>
      <c r="M25996" s="277"/>
      <c r="O25996" s="247"/>
      <c r="AC25996" s="247"/>
      <c r="AT25996" s="247"/>
    </row>
    <row r="25997">
      <c r="C25997" s="277"/>
      <c r="M25997" s="277"/>
      <c r="O25997" s="247"/>
      <c r="AC25997" s="247"/>
      <c r="AT25997" s="247"/>
    </row>
    <row r="25998">
      <c r="C25998" s="277"/>
      <c r="M25998" s="277"/>
      <c r="O25998" s="247"/>
      <c r="AC25998" s="247"/>
      <c r="AT25998" s="247"/>
    </row>
    <row r="25999">
      <c r="C25999" s="277"/>
      <c r="M25999" s="277"/>
      <c r="O25999" s="247"/>
      <c r="AC25999" s="247"/>
      <c r="AT25999" s="247"/>
    </row>
    <row r="26000">
      <c r="C26000" s="277"/>
      <c r="M26000" s="277"/>
      <c r="O26000" s="247"/>
      <c r="AC26000" s="247"/>
      <c r="AT26000" s="247"/>
    </row>
    <row r="26001">
      <c r="C26001" s="277"/>
      <c r="M26001" s="277"/>
      <c r="O26001" s="247"/>
      <c r="AC26001" s="247"/>
      <c r="AT26001" s="247"/>
    </row>
    <row r="26002">
      <c r="C26002" s="277"/>
      <c r="M26002" s="277"/>
      <c r="O26002" s="247"/>
      <c r="AC26002" s="247"/>
      <c r="AT26002" s="247"/>
    </row>
    <row r="26003">
      <c r="C26003" s="277"/>
      <c r="M26003" s="277"/>
      <c r="O26003" s="247"/>
      <c r="AC26003" s="247"/>
      <c r="AT26003" s="247"/>
    </row>
    <row r="26004">
      <c r="C26004" s="277"/>
      <c r="M26004" s="277"/>
      <c r="O26004" s="247"/>
      <c r="AC26004" s="247"/>
      <c r="AT26004" s="247"/>
    </row>
    <row r="26005">
      <c r="C26005" s="277"/>
      <c r="M26005" s="277"/>
      <c r="O26005" s="247"/>
      <c r="AC26005" s="247"/>
      <c r="AT26005" s="247"/>
    </row>
    <row r="26006">
      <c r="C26006" s="277"/>
      <c r="M26006" s="277"/>
      <c r="O26006" s="247"/>
      <c r="AC26006" s="247"/>
      <c r="AT26006" s="247"/>
    </row>
    <row r="26007">
      <c r="C26007" s="277"/>
      <c r="M26007" s="277"/>
      <c r="O26007" s="247"/>
      <c r="AC26007" s="247"/>
      <c r="AT26007" s="247"/>
    </row>
    <row r="26008">
      <c r="C26008" s="277"/>
      <c r="M26008" s="277"/>
      <c r="O26008" s="247"/>
      <c r="AC26008" s="247"/>
      <c r="AT26008" s="247"/>
    </row>
    <row r="26009">
      <c r="C26009" s="277"/>
      <c r="M26009" s="277"/>
      <c r="O26009" s="247"/>
      <c r="AC26009" s="247"/>
      <c r="AT26009" s="247"/>
    </row>
    <row r="26010">
      <c r="C26010" s="277"/>
      <c r="M26010" s="277"/>
      <c r="O26010" s="247"/>
      <c r="AC26010" s="247"/>
      <c r="AT26010" s="247"/>
    </row>
    <row r="26011">
      <c r="C26011" s="277"/>
      <c r="M26011" s="277"/>
      <c r="O26011" s="247"/>
      <c r="AC26011" s="247"/>
      <c r="AT26011" s="247"/>
    </row>
    <row r="26012">
      <c r="C26012" s="277"/>
      <c r="M26012" s="277"/>
      <c r="O26012" s="247"/>
      <c r="AC26012" s="247"/>
      <c r="AT26012" s="247"/>
    </row>
    <row r="26013">
      <c r="C26013" s="277"/>
      <c r="M26013" s="277"/>
      <c r="O26013" s="247"/>
      <c r="AC26013" s="247"/>
      <c r="AT26013" s="247"/>
    </row>
    <row r="26014">
      <c r="C26014" s="277"/>
      <c r="M26014" s="277"/>
      <c r="O26014" s="247"/>
      <c r="AC26014" s="247"/>
      <c r="AT26014" s="247"/>
    </row>
    <row r="26015">
      <c r="C26015" s="277"/>
      <c r="M26015" s="277"/>
      <c r="O26015" s="247"/>
      <c r="AC26015" s="247"/>
      <c r="AT26015" s="247"/>
    </row>
    <row r="26016">
      <c r="C26016" s="277"/>
      <c r="M26016" s="277"/>
      <c r="O26016" s="247"/>
      <c r="AC26016" s="247"/>
      <c r="AT26016" s="247"/>
    </row>
    <row r="26017">
      <c r="C26017" s="277"/>
      <c r="M26017" s="277"/>
      <c r="O26017" s="247"/>
      <c r="AC26017" s="247"/>
      <c r="AT26017" s="247"/>
    </row>
    <row r="26018">
      <c r="C26018" s="277"/>
      <c r="M26018" s="277"/>
      <c r="O26018" s="247"/>
      <c r="AC26018" s="247"/>
      <c r="AT26018" s="247"/>
    </row>
    <row r="26019">
      <c r="C26019" s="277"/>
      <c r="M26019" s="277"/>
      <c r="O26019" s="247"/>
      <c r="AC26019" s="247"/>
      <c r="AT26019" s="247"/>
    </row>
    <row r="26020">
      <c r="C26020" s="277"/>
      <c r="M26020" s="277"/>
      <c r="O26020" s="247"/>
      <c r="AC26020" s="247"/>
      <c r="AT26020" s="247"/>
    </row>
    <row r="26021">
      <c r="C26021" s="277"/>
      <c r="M26021" s="277"/>
      <c r="O26021" s="247"/>
      <c r="AC26021" s="247"/>
      <c r="AT26021" s="247"/>
    </row>
    <row r="26022">
      <c r="C26022" s="277"/>
      <c r="M26022" s="277"/>
      <c r="O26022" s="247"/>
      <c r="AC26022" s="247"/>
      <c r="AT26022" s="247"/>
    </row>
    <row r="26023">
      <c r="C26023" s="277"/>
      <c r="M26023" s="277"/>
      <c r="O26023" s="247"/>
      <c r="AC26023" s="247"/>
      <c r="AT26023" s="247"/>
    </row>
    <row r="26024">
      <c r="C26024" s="277"/>
      <c r="M26024" s="277"/>
      <c r="O26024" s="247"/>
      <c r="AC26024" s="247"/>
      <c r="AT26024" s="247"/>
    </row>
    <row r="26025">
      <c r="C26025" s="277"/>
      <c r="M26025" s="277"/>
      <c r="O26025" s="247"/>
      <c r="AC26025" s="247"/>
      <c r="AT26025" s="247"/>
    </row>
    <row r="26026">
      <c r="C26026" s="277"/>
      <c r="M26026" s="277"/>
      <c r="O26026" s="247"/>
      <c r="AC26026" s="247"/>
      <c r="AT26026" s="247"/>
    </row>
    <row r="26027">
      <c r="C26027" s="277"/>
      <c r="M26027" s="277"/>
      <c r="O26027" s="247"/>
      <c r="AC26027" s="247"/>
      <c r="AT26027" s="247"/>
    </row>
    <row r="26028">
      <c r="C26028" s="277"/>
      <c r="M26028" s="277"/>
      <c r="O26028" s="247"/>
      <c r="AC26028" s="247"/>
      <c r="AT26028" s="247"/>
    </row>
    <row r="26029">
      <c r="C26029" s="277"/>
      <c r="M26029" s="277"/>
      <c r="O26029" s="247"/>
      <c r="AC26029" s="247"/>
      <c r="AT26029" s="247"/>
    </row>
    <row r="26030">
      <c r="C26030" s="277"/>
      <c r="M26030" s="277"/>
      <c r="O26030" s="247"/>
      <c r="AC26030" s="247"/>
      <c r="AT26030" s="247"/>
    </row>
    <row r="26031">
      <c r="C26031" s="277"/>
      <c r="M26031" s="277"/>
      <c r="O26031" s="247"/>
      <c r="AC26031" s="247"/>
      <c r="AT26031" s="247"/>
    </row>
    <row r="26032">
      <c r="C26032" s="277"/>
      <c r="M26032" s="277"/>
      <c r="O26032" s="247"/>
      <c r="AC26032" s="247"/>
      <c r="AT26032" s="247"/>
    </row>
    <row r="26033">
      <c r="C26033" s="277"/>
      <c r="M26033" s="277"/>
      <c r="O26033" s="247"/>
      <c r="AC26033" s="247"/>
      <c r="AT26033" s="247"/>
    </row>
    <row r="26034">
      <c r="C26034" s="277"/>
      <c r="M26034" s="277"/>
      <c r="O26034" s="247"/>
      <c r="AC26034" s="247"/>
      <c r="AT26034" s="247"/>
    </row>
    <row r="26035">
      <c r="C26035" s="277"/>
      <c r="M26035" s="277"/>
      <c r="O26035" s="247"/>
      <c r="AC26035" s="247"/>
      <c r="AT26035" s="247"/>
    </row>
    <row r="26036">
      <c r="C26036" s="277"/>
      <c r="M26036" s="277"/>
      <c r="O26036" s="247"/>
      <c r="AC26036" s="247"/>
      <c r="AT26036" s="247"/>
    </row>
    <row r="26037">
      <c r="C26037" s="277"/>
      <c r="M26037" s="277"/>
      <c r="O26037" s="247"/>
      <c r="AC26037" s="247"/>
      <c r="AT26037" s="247"/>
    </row>
    <row r="26038">
      <c r="C26038" s="277"/>
      <c r="M26038" s="277"/>
      <c r="O26038" s="247"/>
      <c r="AC26038" s="247"/>
      <c r="AT26038" s="247"/>
    </row>
    <row r="26039">
      <c r="C26039" s="277"/>
      <c r="M26039" s="277"/>
      <c r="O26039" s="247"/>
      <c r="AC26039" s="247"/>
      <c r="AT26039" s="247"/>
    </row>
    <row r="26040">
      <c r="C26040" s="277"/>
      <c r="M26040" s="277"/>
      <c r="O26040" s="247"/>
      <c r="AC26040" s="247"/>
      <c r="AT26040" s="247"/>
    </row>
    <row r="26041">
      <c r="C26041" s="277"/>
      <c r="M26041" s="277"/>
      <c r="O26041" s="247"/>
      <c r="AC26041" s="247"/>
      <c r="AT26041" s="247"/>
    </row>
    <row r="26042">
      <c r="C26042" s="277"/>
      <c r="M26042" s="277"/>
      <c r="O26042" s="247"/>
      <c r="AC26042" s="247"/>
      <c r="AT26042" s="247"/>
    </row>
    <row r="26043">
      <c r="C26043" s="277"/>
      <c r="M26043" s="277"/>
      <c r="O26043" s="247"/>
      <c r="AC26043" s="247"/>
      <c r="AT26043" s="247"/>
    </row>
    <row r="26044">
      <c r="C26044" s="277"/>
      <c r="M26044" s="277"/>
      <c r="O26044" s="247"/>
      <c r="AC26044" s="247"/>
      <c r="AT26044" s="247"/>
    </row>
    <row r="26045">
      <c r="C26045" s="277"/>
      <c r="M26045" s="277"/>
      <c r="O26045" s="247"/>
      <c r="AC26045" s="247"/>
      <c r="AT26045" s="247"/>
    </row>
    <row r="26046">
      <c r="C26046" s="277"/>
      <c r="M26046" s="277"/>
      <c r="O26046" s="247"/>
      <c r="AC26046" s="247"/>
      <c r="AT26046" s="247"/>
    </row>
    <row r="26047">
      <c r="C26047" s="277"/>
      <c r="M26047" s="277"/>
      <c r="O26047" s="247"/>
      <c r="AC26047" s="247"/>
      <c r="AT26047" s="247"/>
    </row>
    <row r="26048">
      <c r="C26048" s="277"/>
      <c r="M26048" s="277"/>
      <c r="O26048" s="247"/>
      <c r="AC26048" s="247"/>
      <c r="AT26048" s="247"/>
    </row>
    <row r="26049">
      <c r="C26049" s="277"/>
      <c r="M26049" s="277"/>
      <c r="O26049" s="247"/>
      <c r="AC26049" s="247"/>
      <c r="AT26049" s="247"/>
    </row>
    <row r="26050">
      <c r="C26050" s="277"/>
      <c r="M26050" s="277"/>
      <c r="O26050" s="247"/>
      <c r="AC26050" s="247"/>
      <c r="AT26050" s="247"/>
    </row>
    <row r="26051">
      <c r="C26051" s="277"/>
      <c r="M26051" s="277"/>
      <c r="O26051" s="247"/>
      <c r="AC26051" s="247"/>
      <c r="AT26051" s="247"/>
    </row>
    <row r="26052">
      <c r="C26052" s="277"/>
      <c r="M26052" s="277"/>
      <c r="O26052" s="247"/>
      <c r="AC26052" s="247"/>
      <c r="AT26052" s="247"/>
    </row>
    <row r="26053">
      <c r="C26053" s="277"/>
      <c r="M26053" s="277"/>
      <c r="O26053" s="247"/>
      <c r="AC26053" s="247"/>
      <c r="AT26053" s="247"/>
    </row>
    <row r="26054">
      <c r="C26054" s="277"/>
      <c r="M26054" s="277"/>
      <c r="O26054" s="247"/>
      <c r="AC26054" s="247"/>
      <c r="AT26054" s="247"/>
    </row>
    <row r="26055">
      <c r="C26055" s="277"/>
      <c r="M26055" s="277"/>
      <c r="O26055" s="247"/>
      <c r="AC26055" s="247"/>
      <c r="AT26055" s="247"/>
    </row>
    <row r="26056">
      <c r="C26056" s="277"/>
      <c r="M26056" s="277"/>
      <c r="O26056" s="247"/>
      <c r="AC26056" s="247"/>
      <c r="AT26056" s="247"/>
    </row>
    <row r="26057">
      <c r="C26057" s="277"/>
      <c r="M26057" s="277"/>
      <c r="O26057" s="247"/>
      <c r="AC26057" s="247"/>
      <c r="AT26057" s="247"/>
    </row>
    <row r="26058">
      <c r="C26058" s="277"/>
      <c r="M26058" s="277"/>
      <c r="O26058" s="247"/>
      <c r="AC26058" s="247"/>
      <c r="AT26058" s="247"/>
    </row>
    <row r="26059">
      <c r="C26059" s="277"/>
      <c r="M26059" s="277"/>
      <c r="O26059" s="247"/>
      <c r="AC26059" s="247"/>
      <c r="AT26059" s="247"/>
    </row>
    <row r="26060">
      <c r="C26060" s="277"/>
      <c r="M26060" s="277"/>
      <c r="O26060" s="247"/>
      <c r="AC26060" s="247"/>
      <c r="AT26060" s="247"/>
    </row>
    <row r="26061">
      <c r="C26061" s="277"/>
      <c r="M26061" s="277"/>
      <c r="O26061" s="247"/>
      <c r="AC26061" s="247"/>
      <c r="AT26061" s="247"/>
    </row>
    <row r="26062">
      <c r="C26062" s="277"/>
      <c r="M26062" s="277"/>
      <c r="O26062" s="247"/>
      <c r="AC26062" s="247"/>
      <c r="AT26062" s="247"/>
    </row>
    <row r="26063">
      <c r="C26063" s="277"/>
      <c r="M26063" s="277"/>
      <c r="O26063" s="247"/>
      <c r="AC26063" s="247"/>
      <c r="AT26063" s="247"/>
    </row>
    <row r="26064">
      <c r="C26064" s="277"/>
      <c r="M26064" s="277"/>
      <c r="O26064" s="247"/>
      <c r="AC26064" s="247"/>
      <c r="AT26064" s="247"/>
    </row>
    <row r="26065">
      <c r="C26065" s="277"/>
      <c r="M26065" s="277"/>
      <c r="O26065" s="247"/>
      <c r="AC26065" s="247"/>
      <c r="AT26065" s="247"/>
    </row>
    <row r="26066">
      <c r="C26066" s="277"/>
      <c r="M26066" s="277"/>
      <c r="O26066" s="247"/>
      <c r="AC26066" s="247"/>
      <c r="AT26066" s="247"/>
    </row>
    <row r="26067">
      <c r="C26067" s="277"/>
      <c r="M26067" s="277"/>
      <c r="O26067" s="247"/>
      <c r="AC26067" s="247"/>
      <c r="AT26067" s="247"/>
    </row>
    <row r="26068">
      <c r="C26068" s="277"/>
      <c r="M26068" s="277"/>
      <c r="O26068" s="247"/>
      <c r="AC26068" s="247"/>
      <c r="AT26068" s="247"/>
    </row>
    <row r="26069">
      <c r="C26069" s="277"/>
      <c r="M26069" s="277"/>
      <c r="O26069" s="247"/>
      <c r="AC26069" s="247"/>
      <c r="AT26069" s="247"/>
    </row>
    <row r="26070">
      <c r="C26070" s="277"/>
      <c r="M26070" s="277"/>
      <c r="O26070" s="247"/>
      <c r="AC26070" s="247"/>
      <c r="AT26070" s="247"/>
    </row>
    <row r="26071">
      <c r="C26071" s="277"/>
      <c r="M26071" s="277"/>
      <c r="O26071" s="247"/>
      <c r="AC26071" s="247"/>
      <c r="AT26071" s="247"/>
    </row>
    <row r="26072">
      <c r="C26072" s="277"/>
      <c r="M26072" s="277"/>
      <c r="O26072" s="247"/>
      <c r="AC26072" s="247"/>
      <c r="AT26072" s="247"/>
    </row>
    <row r="26073">
      <c r="C26073" s="277"/>
      <c r="M26073" s="277"/>
      <c r="O26073" s="247"/>
      <c r="AC26073" s="247"/>
      <c r="AT26073" s="247"/>
    </row>
    <row r="26074">
      <c r="C26074" s="277"/>
      <c r="M26074" s="277"/>
      <c r="O26074" s="247"/>
      <c r="AC26074" s="247"/>
      <c r="AT26074" s="247"/>
    </row>
    <row r="26075">
      <c r="C26075" s="277"/>
      <c r="M26075" s="277"/>
      <c r="O26075" s="247"/>
      <c r="AC26075" s="247"/>
      <c r="AT26075" s="247"/>
    </row>
    <row r="26076">
      <c r="C26076" s="277"/>
      <c r="M26076" s="277"/>
      <c r="O26076" s="247"/>
      <c r="AC26076" s="247"/>
      <c r="AT26076" s="247"/>
    </row>
    <row r="26077">
      <c r="C26077" s="277"/>
      <c r="M26077" s="277"/>
      <c r="O26077" s="247"/>
      <c r="AC26077" s="247"/>
      <c r="AT26077" s="247"/>
    </row>
    <row r="26078">
      <c r="C26078" s="277"/>
      <c r="M26078" s="277"/>
      <c r="O26078" s="247"/>
      <c r="AC26078" s="247"/>
      <c r="AT26078" s="247"/>
    </row>
    <row r="26079">
      <c r="C26079" s="277"/>
      <c r="M26079" s="277"/>
      <c r="O26079" s="247"/>
      <c r="AC26079" s="247"/>
      <c r="AT26079" s="247"/>
    </row>
    <row r="26080">
      <c r="C26080" s="277"/>
      <c r="M26080" s="277"/>
      <c r="O26080" s="247"/>
      <c r="AC26080" s="247"/>
      <c r="AT26080" s="247"/>
    </row>
    <row r="26081">
      <c r="C26081" s="277"/>
      <c r="M26081" s="277"/>
      <c r="O26081" s="247"/>
      <c r="AC26081" s="247"/>
      <c r="AT26081" s="247"/>
    </row>
    <row r="26082">
      <c r="C26082" s="277"/>
      <c r="M26082" s="277"/>
      <c r="O26082" s="247"/>
      <c r="AC26082" s="247"/>
      <c r="AT26082" s="247"/>
    </row>
    <row r="26083">
      <c r="C26083" s="277"/>
      <c r="M26083" s="277"/>
      <c r="O26083" s="247"/>
      <c r="AC26083" s="247"/>
      <c r="AT26083" s="247"/>
    </row>
    <row r="26084">
      <c r="C26084" s="277"/>
      <c r="M26084" s="277"/>
      <c r="O26084" s="247"/>
      <c r="AC26084" s="247"/>
      <c r="AT26084" s="247"/>
    </row>
    <row r="26085">
      <c r="C26085" s="277"/>
      <c r="M26085" s="277"/>
      <c r="O26085" s="247"/>
      <c r="AC26085" s="247"/>
      <c r="AT26085" s="247"/>
    </row>
    <row r="26086">
      <c r="C26086" s="277"/>
      <c r="M26086" s="277"/>
      <c r="O26086" s="247"/>
      <c r="AC26086" s="247"/>
      <c r="AT26086" s="247"/>
    </row>
    <row r="26087">
      <c r="C26087" s="277"/>
      <c r="M26087" s="277"/>
      <c r="O26087" s="247"/>
      <c r="AC26087" s="247"/>
      <c r="AT26087" s="247"/>
    </row>
    <row r="26088">
      <c r="C26088" s="277"/>
      <c r="M26088" s="277"/>
      <c r="O26088" s="247"/>
      <c r="AC26088" s="247"/>
      <c r="AT26088" s="247"/>
    </row>
    <row r="26089">
      <c r="C26089" s="277"/>
      <c r="M26089" s="277"/>
      <c r="O26089" s="247"/>
      <c r="AC26089" s="247"/>
      <c r="AT26089" s="247"/>
    </row>
    <row r="26090">
      <c r="C26090" s="277"/>
      <c r="M26090" s="277"/>
      <c r="O26090" s="247"/>
      <c r="AC26090" s="247"/>
      <c r="AT26090" s="247"/>
    </row>
    <row r="26091">
      <c r="C26091" s="277"/>
      <c r="M26091" s="277"/>
      <c r="O26091" s="247"/>
      <c r="AC26091" s="247"/>
      <c r="AT26091" s="247"/>
    </row>
    <row r="26092">
      <c r="C26092" s="277"/>
      <c r="M26092" s="277"/>
      <c r="O26092" s="247"/>
      <c r="AC26092" s="247"/>
      <c r="AT26092" s="247"/>
    </row>
    <row r="26093">
      <c r="C26093" s="277"/>
      <c r="M26093" s="277"/>
      <c r="O26093" s="247"/>
      <c r="AC26093" s="247"/>
      <c r="AT26093" s="247"/>
    </row>
    <row r="26094">
      <c r="C26094" s="277"/>
      <c r="M26094" s="277"/>
      <c r="O26094" s="247"/>
      <c r="AC26094" s="247"/>
      <c r="AT26094" s="247"/>
    </row>
    <row r="26095">
      <c r="C26095" s="277"/>
      <c r="M26095" s="277"/>
      <c r="O26095" s="247"/>
      <c r="AC26095" s="247"/>
      <c r="AT26095" s="247"/>
    </row>
    <row r="26096">
      <c r="C26096" s="277"/>
      <c r="M26096" s="277"/>
      <c r="O26096" s="247"/>
      <c r="AC26096" s="247"/>
      <c r="AT26096" s="247"/>
    </row>
    <row r="26097">
      <c r="C26097" s="277"/>
      <c r="M26097" s="277"/>
      <c r="O26097" s="247"/>
      <c r="AC26097" s="247"/>
      <c r="AT26097" s="247"/>
    </row>
    <row r="26098">
      <c r="C26098" s="277"/>
      <c r="M26098" s="277"/>
      <c r="O26098" s="247"/>
      <c r="AC26098" s="247"/>
      <c r="AT26098" s="247"/>
    </row>
    <row r="26099">
      <c r="C26099" s="277"/>
      <c r="M26099" s="277"/>
      <c r="O26099" s="247"/>
      <c r="AC26099" s="247"/>
      <c r="AT26099" s="247"/>
    </row>
    <row r="26100">
      <c r="C26100" s="277"/>
      <c r="M26100" s="277"/>
      <c r="O26100" s="247"/>
      <c r="AC26100" s="247"/>
      <c r="AT26100" s="247"/>
    </row>
    <row r="26101">
      <c r="C26101" s="277"/>
      <c r="M26101" s="277"/>
      <c r="O26101" s="247"/>
      <c r="AC26101" s="247"/>
      <c r="AT26101" s="247"/>
    </row>
    <row r="26102">
      <c r="C26102" s="277"/>
      <c r="M26102" s="277"/>
      <c r="O26102" s="247"/>
      <c r="AC26102" s="247"/>
      <c r="AT26102" s="247"/>
    </row>
    <row r="26103">
      <c r="C26103" s="277"/>
      <c r="M26103" s="277"/>
      <c r="O26103" s="247"/>
      <c r="AC26103" s="247"/>
      <c r="AT26103" s="247"/>
    </row>
    <row r="26104">
      <c r="C26104" s="277"/>
      <c r="M26104" s="277"/>
      <c r="O26104" s="247"/>
      <c r="AC26104" s="247"/>
      <c r="AT26104" s="247"/>
    </row>
    <row r="26105">
      <c r="C26105" s="277"/>
      <c r="M26105" s="277"/>
      <c r="O26105" s="247"/>
      <c r="AC26105" s="247"/>
      <c r="AT26105" s="247"/>
    </row>
    <row r="26106">
      <c r="C26106" s="277"/>
      <c r="M26106" s="277"/>
      <c r="O26106" s="247"/>
      <c r="AC26106" s="247"/>
      <c r="AT26106" s="247"/>
    </row>
    <row r="26107">
      <c r="C26107" s="277"/>
      <c r="M26107" s="277"/>
      <c r="O26107" s="247"/>
      <c r="AC26107" s="247"/>
      <c r="AT26107" s="247"/>
    </row>
    <row r="26108">
      <c r="C26108" s="277"/>
      <c r="M26108" s="277"/>
      <c r="O26108" s="247"/>
      <c r="AC26108" s="247"/>
      <c r="AT26108" s="247"/>
    </row>
    <row r="26109">
      <c r="C26109" s="277"/>
      <c r="M26109" s="277"/>
      <c r="O26109" s="247"/>
      <c r="AC26109" s="247"/>
      <c r="AT26109" s="247"/>
    </row>
    <row r="26110">
      <c r="C26110" s="277"/>
      <c r="M26110" s="277"/>
      <c r="O26110" s="247"/>
      <c r="AC26110" s="247"/>
      <c r="AT26110" s="247"/>
    </row>
    <row r="26111">
      <c r="C26111" s="277"/>
      <c r="M26111" s="277"/>
      <c r="O26111" s="247"/>
      <c r="AC26111" s="247"/>
      <c r="AT26111" s="247"/>
    </row>
    <row r="26112">
      <c r="C26112" s="277"/>
      <c r="M26112" s="277"/>
      <c r="O26112" s="247"/>
      <c r="AC26112" s="247"/>
      <c r="AT26112" s="247"/>
    </row>
    <row r="26113">
      <c r="C26113" s="277"/>
      <c r="M26113" s="277"/>
      <c r="O26113" s="247"/>
      <c r="AC26113" s="247"/>
      <c r="AT26113" s="247"/>
    </row>
    <row r="26114">
      <c r="C26114" s="277"/>
      <c r="M26114" s="277"/>
      <c r="O26114" s="247"/>
      <c r="AC26114" s="247"/>
      <c r="AT26114" s="247"/>
    </row>
    <row r="26115">
      <c r="C26115" s="277"/>
      <c r="M26115" s="277"/>
      <c r="O26115" s="247"/>
      <c r="AC26115" s="247"/>
      <c r="AT26115" s="247"/>
    </row>
    <row r="26116">
      <c r="C26116" s="277"/>
      <c r="M26116" s="277"/>
      <c r="O26116" s="247"/>
      <c r="AC26116" s="247"/>
      <c r="AT26116" s="247"/>
    </row>
    <row r="26117">
      <c r="C26117" s="277"/>
      <c r="M26117" s="277"/>
      <c r="O26117" s="247"/>
      <c r="AC26117" s="247"/>
      <c r="AT26117" s="247"/>
    </row>
    <row r="26118">
      <c r="C26118" s="277"/>
      <c r="M26118" s="277"/>
      <c r="O26118" s="247"/>
      <c r="AC26118" s="247"/>
      <c r="AT26118" s="247"/>
    </row>
    <row r="26119">
      <c r="C26119" s="277"/>
      <c r="M26119" s="277"/>
      <c r="O26119" s="247"/>
      <c r="AC26119" s="247"/>
      <c r="AT26119" s="247"/>
    </row>
    <row r="26120">
      <c r="C26120" s="277"/>
      <c r="M26120" s="277"/>
      <c r="O26120" s="247"/>
      <c r="AC26120" s="247"/>
      <c r="AT26120" s="247"/>
    </row>
    <row r="26121">
      <c r="C26121" s="277"/>
      <c r="M26121" s="277"/>
      <c r="O26121" s="247"/>
      <c r="AC26121" s="247"/>
      <c r="AT26121" s="247"/>
    </row>
    <row r="26122">
      <c r="C26122" s="277"/>
      <c r="M26122" s="277"/>
      <c r="O26122" s="247"/>
      <c r="AC26122" s="247"/>
      <c r="AT26122" s="247"/>
    </row>
    <row r="26123">
      <c r="C26123" s="277"/>
      <c r="M26123" s="277"/>
      <c r="O26123" s="247"/>
      <c r="AC26123" s="247"/>
      <c r="AT26123" s="247"/>
    </row>
    <row r="26124">
      <c r="C26124" s="277"/>
      <c r="M26124" s="277"/>
      <c r="O26124" s="247"/>
      <c r="AC26124" s="247"/>
      <c r="AT26124" s="247"/>
    </row>
    <row r="26125">
      <c r="C26125" s="277"/>
      <c r="M26125" s="277"/>
      <c r="O26125" s="247"/>
      <c r="AC26125" s="247"/>
      <c r="AT26125" s="247"/>
    </row>
    <row r="26126">
      <c r="C26126" s="277"/>
      <c r="M26126" s="277"/>
      <c r="O26126" s="247"/>
      <c r="AC26126" s="247"/>
      <c r="AT26126" s="247"/>
    </row>
    <row r="26127">
      <c r="C26127" s="277"/>
      <c r="M26127" s="277"/>
      <c r="O26127" s="247"/>
      <c r="AC26127" s="247"/>
      <c r="AT26127" s="247"/>
    </row>
    <row r="26128">
      <c r="C26128" s="277"/>
      <c r="M26128" s="277"/>
      <c r="O26128" s="247"/>
      <c r="AC26128" s="247"/>
      <c r="AT26128" s="247"/>
    </row>
    <row r="26129">
      <c r="C26129" s="277"/>
      <c r="M26129" s="277"/>
      <c r="O26129" s="247"/>
      <c r="AC26129" s="247"/>
      <c r="AT26129" s="247"/>
    </row>
    <row r="26130">
      <c r="C26130" s="277"/>
      <c r="M26130" s="277"/>
      <c r="O26130" s="247"/>
      <c r="AC26130" s="247"/>
      <c r="AT26130" s="247"/>
    </row>
    <row r="26131">
      <c r="C26131" s="277"/>
      <c r="M26131" s="277"/>
      <c r="O26131" s="247"/>
      <c r="AC26131" s="247"/>
      <c r="AT26131" s="247"/>
    </row>
    <row r="26132">
      <c r="C26132" s="277"/>
      <c r="M26132" s="277"/>
      <c r="O26132" s="247"/>
      <c r="AC26132" s="247"/>
      <c r="AT26132" s="247"/>
    </row>
    <row r="26133">
      <c r="C26133" s="277"/>
      <c r="M26133" s="277"/>
      <c r="O26133" s="247"/>
      <c r="AC26133" s="247"/>
      <c r="AT26133" s="247"/>
    </row>
    <row r="26134">
      <c r="C26134" s="277"/>
      <c r="M26134" s="277"/>
      <c r="O26134" s="247"/>
      <c r="AC26134" s="247"/>
      <c r="AT26134" s="247"/>
    </row>
    <row r="26135">
      <c r="C26135" s="277"/>
      <c r="M26135" s="277"/>
      <c r="O26135" s="247"/>
      <c r="AC26135" s="247"/>
      <c r="AT26135" s="247"/>
    </row>
    <row r="26136">
      <c r="C26136" s="277"/>
      <c r="M26136" s="277"/>
      <c r="O26136" s="247"/>
      <c r="AC26136" s="247"/>
      <c r="AT26136" s="247"/>
    </row>
    <row r="26137">
      <c r="C26137" s="277"/>
      <c r="M26137" s="277"/>
      <c r="O26137" s="247"/>
      <c r="AC26137" s="247"/>
      <c r="AT26137" s="247"/>
    </row>
    <row r="26138">
      <c r="C26138" s="277"/>
      <c r="M26138" s="277"/>
      <c r="O26138" s="247"/>
      <c r="AC26138" s="247"/>
      <c r="AT26138" s="247"/>
    </row>
    <row r="26139">
      <c r="C26139" s="277"/>
      <c r="M26139" s="277"/>
      <c r="O26139" s="247"/>
      <c r="AC26139" s="247"/>
      <c r="AT26139" s="247"/>
    </row>
    <row r="26140">
      <c r="C26140" s="277"/>
      <c r="M26140" s="277"/>
      <c r="O26140" s="247"/>
      <c r="AC26140" s="247"/>
      <c r="AT26140" s="247"/>
    </row>
    <row r="26141">
      <c r="C26141" s="277"/>
      <c r="M26141" s="277"/>
      <c r="O26141" s="247"/>
      <c r="AC26141" s="247"/>
      <c r="AT26141" s="247"/>
    </row>
    <row r="26142">
      <c r="C26142" s="277"/>
      <c r="M26142" s="277"/>
      <c r="O26142" s="247"/>
      <c r="AC26142" s="247"/>
      <c r="AT26142" s="247"/>
    </row>
    <row r="26143">
      <c r="C26143" s="277"/>
      <c r="M26143" s="277"/>
      <c r="O26143" s="247"/>
      <c r="AC26143" s="247"/>
      <c r="AT26143" s="247"/>
    </row>
    <row r="26144">
      <c r="C26144" s="277"/>
      <c r="M26144" s="277"/>
      <c r="O26144" s="247"/>
      <c r="AC26144" s="247"/>
      <c r="AT26144" s="247"/>
    </row>
    <row r="26145">
      <c r="C26145" s="277"/>
      <c r="M26145" s="277"/>
      <c r="O26145" s="247"/>
      <c r="AC26145" s="247"/>
      <c r="AT26145" s="247"/>
    </row>
    <row r="26146">
      <c r="C26146" s="277"/>
      <c r="M26146" s="277"/>
      <c r="O26146" s="247"/>
      <c r="AC26146" s="247"/>
      <c r="AT26146" s="247"/>
    </row>
    <row r="26147">
      <c r="C26147" s="277"/>
      <c r="M26147" s="277"/>
      <c r="O26147" s="247"/>
      <c r="AC26147" s="247"/>
      <c r="AT26147" s="247"/>
    </row>
    <row r="26148">
      <c r="C26148" s="277"/>
      <c r="M26148" s="277"/>
      <c r="O26148" s="247"/>
      <c r="AC26148" s="247"/>
      <c r="AT26148" s="247"/>
    </row>
    <row r="26149">
      <c r="C26149" s="277"/>
      <c r="M26149" s="277"/>
      <c r="O26149" s="247"/>
      <c r="AC26149" s="247"/>
      <c r="AT26149" s="247"/>
    </row>
    <row r="26150">
      <c r="C26150" s="277"/>
      <c r="M26150" s="277"/>
      <c r="O26150" s="247"/>
      <c r="AC26150" s="247"/>
      <c r="AT26150" s="247"/>
    </row>
    <row r="26151">
      <c r="C26151" s="277"/>
      <c r="M26151" s="277"/>
      <c r="O26151" s="247"/>
      <c r="AC26151" s="247"/>
      <c r="AT26151" s="247"/>
    </row>
    <row r="26152">
      <c r="C26152" s="277"/>
      <c r="M26152" s="277"/>
      <c r="O26152" s="247"/>
      <c r="AC26152" s="247"/>
      <c r="AT26152" s="247"/>
    </row>
    <row r="26153">
      <c r="C26153" s="277"/>
      <c r="M26153" s="277"/>
      <c r="O26153" s="247"/>
      <c r="AC26153" s="247"/>
      <c r="AT26153" s="247"/>
    </row>
    <row r="26154">
      <c r="C26154" s="277"/>
      <c r="M26154" s="277"/>
      <c r="O26154" s="247"/>
      <c r="AC26154" s="247"/>
      <c r="AT26154" s="247"/>
    </row>
    <row r="26155">
      <c r="C26155" s="277"/>
      <c r="M26155" s="277"/>
      <c r="O26155" s="247"/>
      <c r="AC26155" s="247"/>
      <c r="AT26155" s="247"/>
    </row>
    <row r="26156">
      <c r="C26156" s="277"/>
      <c r="M26156" s="277"/>
      <c r="O26156" s="247"/>
      <c r="AC26156" s="247"/>
      <c r="AT26156" s="247"/>
    </row>
    <row r="26157">
      <c r="C26157" s="277"/>
      <c r="M26157" s="277"/>
      <c r="O26157" s="247"/>
      <c r="AC26157" s="247"/>
      <c r="AT26157" s="247"/>
    </row>
    <row r="26158">
      <c r="C26158" s="277"/>
      <c r="M26158" s="277"/>
      <c r="O26158" s="247"/>
      <c r="AC26158" s="247"/>
      <c r="AT26158" s="247"/>
    </row>
    <row r="26159">
      <c r="C26159" s="277"/>
      <c r="M26159" s="277"/>
      <c r="O26159" s="247"/>
      <c r="AC26159" s="247"/>
      <c r="AT26159" s="247"/>
    </row>
    <row r="26160">
      <c r="C26160" s="277"/>
      <c r="M26160" s="277"/>
      <c r="O26160" s="247"/>
      <c r="AC26160" s="247"/>
      <c r="AT26160" s="247"/>
    </row>
    <row r="26161">
      <c r="C26161" s="277"/>
      <c r="M26161" s="277"/>
      <c r="O26161" s="247"/>
      <c r="AC26161" s="247"/>
      <c r="AT26161" s="247"/>
    </row>
    <row r="26162">
      <c r="C26162" s="277"/>
      <c r="M26162" s="277"/>
      <c r="O26162" s="247"/>
      <c r="AC26162" s="247"/>
      <c r="AT26162" s="247"/>
    </row>
    <row r="26163">
      <c r="C26163" s="277"/>
      <c r="M26163" s="277"/>
      <c r="O26163" s="247"/>
      <c r="AC26163" s="247"/>
      <c r="AT26163" s="247"/>
    </row>
    <row r="26164">
      <c r="C26164" s="277"/>
      <c r="M26164" s="277"/>
      <c r="O26164" s="247"/>
      <c r="AC26164" s="247"/>
      <c r="AT26164" s="247"/>
    </row>
    <row r="26165">
      <c r="C26165" s="277"/>
      <c r="M26165" s="277"/>
      <c r="O26165" s="247"/>
      <c r="AC26165" s="247"/>
      <c r="AT26165" s="247"/>
    </row>
    <row r="26166">
      <c r="C26166" s="277"/>
      <c r="M26166" s="277"/>
      <c r="O26166" s="247"/>
      <c r="AC26166" s="247"/>
      <c r="AT26166" s="247"/>
    </row>
    <row r="26167">
      <c r="C26167" s="277"/>
      <c r="M26167" s="277"/>
      <c r="O26167" s="247"/>
      <c r="AC26167" s="247"/>
      <c r="AT26167" s="247"/>
    </row>
    <row r="26168">
      <c r="C26168" s="277"/>
      <c r="M26168" s="277"/>
      <c r="O26168" s="247"/>
      <c r="AC26168" s="247"/>
      <c r="AT26168" s="247"/>
    </row>
    <row r="26169">
      <c r="C26169" s="277"/>
      <c r="M26169" s="277"/>
      <c r="O26169" s="247"/>
      <c r="AC26169" s="247"/>
      <c r="AT26169" s="247"/>
    </row>
    <row r="26170">
      <c r="C26170" s="277"/>
      <c r="M26170" s="277"/>
      <c r="O26170" s="247"/>
      <c r="AC26170" s="247"/>
      <c r="AT26170" s="247"/>
    </row>
    <row r="26171">
      <c r="C26171" s="277"/>
      <c r="M26171" s="277"/>
      <c r="O26171" s="247"/>
      <c r="AC26171" s="247"/>
      <c r="AT26171" s="247"/>
    </row>
    <row r="26172">
      <c r="C26172" s="277"/>
      <c r="M26172" s="277"/>
      <c r="O26172" s="247"/>
      <c r="AC26172" s="247"/>
      <c r="AT26172" s="247"/>
    </row>
    <row r="26173">
      <c r="C26173" s="277"/>
      <c r="M26173" s="277"/>
      <c r="O26173" s="247"/>
      <c r="AC26173" s="247"/>
      <c r="AT26173" s="247"/>
    </row>
    <row r="26174">
      <c r="C26174" s="277"/>
      <c r="M26174" s="277"/>
      <c r="O26174" s="247"/>
      <c r="AC26174" s="247"/>
      <c r="AT26174" s="247"/>
    </row>
    <row r="26175">
      <c r="C26175" s="277"/>
      <c r="M26175" s="277"/>
      <c r="O26175" s="247"/>
      <c r="AC26175" s="247"/>
      <c r="AT26175" s="247"/>
    </row>
    <row r="26176">
      <c r="C26176" s="277"/>
      <c r="M26176" s="277"/>
      <c r="O26176" s="247"/>
      <c r="AC26176" s="247"/>
      <c r="AT26176" s="247"/>
    </row>
    <row r="26177">
      <c r="C26177" s="277"/>
      <c r="M26177" s="277"/>
      <c r="O26177" s="247"/>
      <c r="AC26177" s="247"/>
      <c r="AT26177" s="247"/>
    </row>
    <row r="26178">
      <c r="C26178" s="277"/>
      <c r="M26178" s="277"/>
      <c r="O26178" s="247"/>
      <c r="AC26178" s="247"/>
      <c r="AT26178" s="247"/>
    </row>
    <row r="26179">
      <c r="C26179" s="277"/>
      <c r="M26179" s="277"/>
      <c r="O26179" s="247"/>
      <c r="AC26179" s="247"/>
      <c r="AT26179" s="247"/>
    </row>
    <row r="26180">
      <c r="C26180" s="277"/>
      <c r="M26180" s="277"/>
      <c r="O26180" s="247"/>
      <c r="AC26180" s="247"/>
      <c r="AT26180" s="247"/>
    </row>
    <row r="26181">
      <c r="C26181" s="277"/>
      <c r="M26181" s="277"/>
      <c r="O26181" s="247"/>
      <c r="AC26181" s="247"/>
      <c r="AT26181" s="247"/>
    </row>
    <row r="26182">
      <c r="C26182" s="277"/>
      <c r="M26182" s="277"/>
      <c r="O26182" s="247"/>
      <c r="AC26182" s="247"/>
      <c r="AT26182" s="247"/>
    </row>
    <row r="26183">
      <c r="C26183" s="277"/>
      <c r="M26183" s="277"/>
      <c r="O26183" s="247"/>
      <c r="AC26183" s="247"/>
      <c r="AT26183" s="247"/>
    </row>
    <row r="26184">
      <c r="C26184" s="277"/>
      <c r="M26184" s="277"/>
      <c r="O26184" s="247"/>
      <c r="AC26184" s="247"/>
      <c r="AT26184" s="247"/>
    </row>
    <row r="26185">
      <c r="C26185" s="277"/>
      <c r="M26185" s="277"/>
      <c r="O26185" s="247"/>
      <c r="AC26185" s="247"/>
      <c r="AT26185" s="247"/>
    </row>
    <row r="26186">
      <c r="C26186" s="277"/>
      <c r="M26186" s="277"/>
      <c r="O26186" s="247"/>
      <c r="AC26186" s="247"/>
      <c r="AT26186" s="247"/>
    </row>
    <row r="26187">
      <c r="C26187" s="277"/>
      <c r="M26187" s="277"/>
      <c r="O26187" s="247"/>
      <c r="AC26187" s="247"/>
      <c r="AT26187" s="247"/>
    </row>
    <row r="26188">
      <c r="C26188" s="277"/>
      <c r="M26188" s="277"/>
      <c r="O26188" s="247"/>
      <c r="AC26188" s="247"/>
      <c r="AT26188" s="247"/>
    </row>
    <row r="26189">
      <c r="C26189" s="277"/>
      <c r="M26189" s="277"/>
      <c r="O26189" s="247"/>
      <c r="AC26189" s="247"/>
      <c r="AT26189" s="247"/>
    </row>
    <row r="26190">
      <c r="C26190" s="277"/>
      <c r="M26190" s="277"/>
      <c r="O26190" s="247"/>
      <c r="AC26190" s="247"/>
      <c r="AT26190" s="247"/>
    </row>
    <row r="26191">
      <c r="C26191" s="277"/>
      <c r="M26191" s="277"/>
      <c r="O26191" s="247"/>
      <c r="AC26191" s="247"/>
      <c r="AT26191" s="247"/>
    </row>
    <row r="26192">
      <c r="C26192" s="277"/>
      <c r="M26192" s="277"/>
      <c r="O26192" s="247"/>
      <c r="AC26192" s="247"/>
      <c r="AT26192" s="247"/>
    </row>
    <row r="26193">
      <c r="C26193" s="277"/>
      <c r="M26193" s="277"/>
      <c r="O26193" s="247"/>
      <c r="AC26193" s="247"/>
      <c r="AT26193" s="247"/>
    </row>
    <row r="26194">
      <c r="C26194" s="277"/>
      <c r="M26194" s="277"/>
      <c r="O26194" s="247"/>
      <c r="AC26194" s="247"/>
      <c r="AT26194" s="247"/>
    </row>
    <row r="26195">
      <c r="C26195" s="277"/>
      <c r="M26195" s="277"/>
      <c r="O26195" s="247"/>
      <c r="AC26195" s="247"/>
      <c r="AT26195" s="247"/>
    </row>
    <row r="26196">
      <c r="C26196" s="277"/>
      <c r="M26196" s="277"/>
      <c r="O26196" s="247"/>
      <c r="AC26196" s="247"/>
      <c r="AT26196" s="247"/>
    </row>
    <row r="26197">
      <c r="C26197" s="277"/>
      <c r="M26197" s="277"/>
      <c r="O26197" s="247"/>
      <c r="AC26197" s="247"/>
      <c r="AT26197" s="247"/>
    </row>
    <row r="26198">
      <c r="C26198" s="277"/>
      <c r="M26198" s="277"/>
      <c r="O26198" s="247"/>
      <c r="AC26198" s="247"/>
      <c r="AT26198" s="247"/>
    </row>
    <row r="26199">
      <c r="C26199" s="277"/>
      <c r="M26199" s="277"/>
      <c r="O26199" s="247"/>
      <c r="AC26199" s="247"/>
      <c r="AT26199" s="247"/>
    </row>
    <row r="26200">
      <c r="C26200" s="277"/>
      <c r="M26200" s="277"/>
      <c r="O26200" s="247"/>
      <c r="AC26200" s="247"/>
      <c r="AT26200" s="247"/>
    </row>
    <row r="26201">
      <c r="C26201" s="277"/>
      <c r="M26201" s="277"/>
      <c r="O26201" s="247"/>
      <c r="AC26201" s="247"/>
      <c r="AT26201" s="247"/>
    </row>
    <row r="26202">
      <c r="C26202" s="277"/>
      <c r="M26202" s="277"/>
      <c r="O26202" s="247"/>
      <c r="AC26202" s="247"/>
      <c r="AT26202" s="247"/>
    </row>
    <row r="26203">
      <c r="C26203" s="277"/>
      <c r="M26203" s="277"/>
      <c r="O26203" s="247"/>
      <c r="AC26203" s="247"/>
      <c r="AT26203" s="247"/>
    </row>
    <row r="26204">
      <c r="C26204" s="277"/>
      <c r="M26204" s="277"/>
      <c r="O26204" s="247"/>
      <c r="AC26204" s="247"/>
      <c r="AT26204" s="247"/>
    </row>
    <row r="26205">
      <c r="C26205" s="277"/>
      <c r="M26205" s="277"/>
      <c r="O26205" s="247"/>
      <c r="AC26205" s="247"/>
      <c r="AT26205" s="247"/>
    </row>
    <row r="26206">
      <c r="C26206" s="277"/>
      <c r="M26206" s="277"/>
      <c r="O26206" s="247"/>
      <c r="AC26206" s="247"/>
      <c r="AT26206" s="247"/>
    </row>
    <row r="26207">
      <c r="C26207" s="277"/>
      <c r="M26207" s="277"/>
      <c r="O26207" s="247"/>
      <c r="AC26207" s="247"/>
      <c r="AT26207" s="247"/>
    </row>
    <row r="26208">
      <c r="C26208" s="277"/>
      <c r="M26208" s="277"/>
      <c r="O26208" s="247"/>
      <c r="AC26208" s="247"/>
      <c r="AT26208" s="247"/>
    </row>
    <row r="26209">
      <c r="C26209" s="277"/>
      <c r="M26209" s="277"/>
      <c r="O26209" s="247"/>
      <c r="AC26209" s="247"/>
      <c r="AT26209" s="247"/>
    </row>
    <row r="26210">
      <c r="C26210" s="277"/>
      <c r="M26210" s="277"/>
      <c r="O26210" s="247"/>
      <c r="AC26210" s="247"/>
      <c r="AT26210" s="247"/>
    </row>
    <row r="26211">
      <c r="C26211" s="277"/>
      <c r="M26211" s="277"/>
      <c r="O26211" s="247"/>
      <c r="AC26211" s="247"/>
      <c r="AT26211" s="247"/>
    </row>
    <row r="26212">
      <c r="C26212" s="277"/>
      <c r="M26212" s="277"/>
      <c r="O26212" s="247"/>
      <c r="AC26212" s="247"/>
      <c r="AT26212" s="247"/>
    </row>
    <row r="26213">
      <c r="C26213" s="277"/>
      <c r="M26213" s="277"/>
      <c r="O26213" s="247"/>
      <c r="AC26213" s="247"/>
      <c r="AT26213" s="247"/>
    </row>
    <row r="26214">
      <c r="C26214" s="277"/>
      <c r="M26214" s="277"/>
      <c r="O26214" s="247"/>
      <c r="AC26214" s="247"/>
      <c r="AT26214" s="247"/>
    </row>
    <row r="26215">
      <c r="C26215" s="277"/>
      <c r="M26215" s="277"/>
      <c r="O26215" s="247"/>
      <c r="AC26215" s="247"/>
      <c r="AT26215" s="247"/>
    </row>
    <row r="26216">
      <c r="C26216" s="277"/>
      <c r="M26216" s="277"/>
      <c r="O26216" s="247"/>
      <c r="AC26216" s="247"/>
      <c r="AT26216" s="247"/>
    </row>
    <row r="26217">
      <c r="C26217" s="277"/>
      <c r="M26217" s="277"/>
      <c r="O26217" s="247"/>
      <c r="AC26217" s="247"/>
      <c r="AT26217" s="247"/>
    </row>
    <row r="26218">
      <c r="C26218" s="277"/>
      <c r="M26218" s="277"/>
      <c r="O26218" s="247"/>
      <c r="AC26218" s="247"/>
      <c r="AT26218" s="247"/>
    </row>
    <row r="26219">
      <c r="C26219" s="277"/>
      <c r="M26219" s="277"/>
      <c r="O26219" s="247"/>
      <c r="AC26219" s="247"/>
      <c r="AT26219" s="247"/>
    </row>
    <row r="26220">
      <c r="C26220" s="277"/>
      <c r="M26220" s="277"/>
      <c r="O26220" s="247"/>
      <c r="AC26220" s="247"/>
      <c r="AT26220" s="247"/>
    </row>
    <row r="26221">
      <c r="C26221" s="277"/>
      <c r="M26221" s="277"/>
      <c r="O26221" s="247"/>
      <c r="AC26221" s="247"/>
      <c r="AT26221" s="247"/>
    </row>
    <row r="26222">
      <c r="C26222" s="277"/>
      <c r="M26222" s="277"/>
      <c r="O26222" s="247"/>
      <c r="AC26222" s="247"/>
      <c r="AT26222" s="247"/>
    </row>
    <row r="26223">
      <c r="C26223" s="277"/>
      <c r="M26223" s="277"/>
      <c r="O26223" s="247"/>
      <c r="AC26223" s="247"/>
      <c r="AT26223" s="247"/>
    </row>
    <row r="26224">
      <c r="C26224" s="277"/>
      <c r="M26224" s="277"/>
      <c r="O26224" s="247"/>
      <c r="AC26224" s="247"/>
      <c r="AT26224" s="247"/>
    </row>
    <row r="26225">
      <c r="C26225" s="277"/>
      <c r="M26225" s="277"/>
      <c r="O26225" s="247"/>
      <c r="AC26225" s="247"/>
      <c r="AT26225" s="247"/>
    </row>
    <row r="26226">
      <c r="C26226" s="277"/>
      <c r="M26226" s="277"/>
      <c r="O26226" s="247"/>
      <c r="AC26226" s="247"/>
      <c r="AT26226" s="247"/>
    </row>
    <row r="26227">
      <c r="C26227" s="277"/>
      <c r="M26227" s="277"/>
      <c r="O26227" s="247"/>
      <c r="AC26227" s="247"/>
      <c r="AT26227" s="247"/>
    </row>
    <row r="26228">
      <c r="C26228" s="277"/>
      <c r="M26228" s="277"/>
      <c r="O26228" s="247"/>
      <c r="AC26228" s="247"/>
      <c r="AT26228" s="247"/>
    </row>
    <row r="26229">
      <c r="C26229" s="277"/>
      <c r="M26229" s="277"/>
      <c r="O26229" s="247"/>
      <c r="AC26229" s="247"/>
      <c r="AT26229" s="247"/>
    </row>
    <row r="26230">
      <c r="C26230" s="277"/>
      <c r="M26230" s="277"/>
      <c r="O26230" s="247"/>
      <c r="AC26230" s="247"/>
      <c r="AT26230" s="247"/>
    </row>
    <row r="26231">
      <c r="C26231" s="277"/>
      <c r="M26231" s="277"/>
      <c r="O26231" s="247"/>
      <c r="AC26231" s="247"/>
      <c r="AT26231" s="247"/>
    </row>
    <row r="26232">
      <c r="C26232" s="277"/>
      <c r="M26232" s="277"/>
      <c r="O26232" s="247"/>
      <c r="AC26232" s="247"/>
      <c r="AT26232" s="247"/>
    </row>
    <row r="26233">
      <c r="C26233" s="277"/>
      <c r="M26233" s="277"/>
      <c r="O26233" s="247"/>
      <c r="AC26233" s="247"/>
      <c r="AT26233" s="247"/>
    </row>
    <row r="26234">
      <c r="C26234" s="277"/>
      <c r="M26234" s="277"/>
      <c r="O26234" s="247"/>
      <c r="AC26234" s="247"/>
      <c r="AT26234" s="247"/>
    </row>
    <row r="26235">
      <c r="C26235" s="277"/>
      <c r="M26235" s="277"/>
      <c r="O26235" s="247"/>
      <c r="AC26235" s="247"/>
      <c r="AT26235" s="247"/>
    </row>
    <row r="26236">
      <c r="C26236" s="277"/>
      <c r="M26236" s="277"/>
      <c r="O26236" s="247"/>
      <c r="AC26236" s="247"/>
      <c r="AT26236" s="247"/>
    </row>
    <row r="26237">
      <c r="C26237" s="277"/>
      <c r="M26237" s="277"/>
      <c r="O26237" s="247"/>
      <c r="AC26237" s="247"/>
      <c r="AT26237" s="247"/>
    </row>
    <row r="26238">
      <c r="C26238" s="277"/>
      <c r="M26238" s="277"/>
      <c r="O26238" s="247"/>
      <c r="AC26238" s="247"/>
      <c r="AT26238" s="247"/>
    </row>
    <row r="26239">
      <c r="C26239" s="277"/>
      <c r="M26239" s="277"/>
      <c r="O26239" s="247"/>
      <c r="AC26239" s="247"/>
      <c r="AT26239" s="247"/>
    </row>
    <row r="26240">
      <c r="C26240" s="277"/>
      <c r="M26240" s="277"/>
      <c r="O26240" s="247"/>
      <c r="AC26240" s="247"/>
      <c r="AT26240" s="247"/>
    </row>
    <row r="26241">
      <c r="C26241" s="277"/>
      <c r="M26241" s="277"/>
      <c r="O26241" s="247"/>
      <c r="AC26241" s="247"/>
      <c r="AT26241" s="247"/>
    </row>
    <row r="26242">
      <c r="C26242" s="277"/>
      <c r="M26242" s="277"/>
      <c r="O26242" s="247"/>
      <c r="AC26242" s="247"/>
      <c r="AT26242" s="247"/>
    </row>
    <row r="26243">
      <c r="C26243" s="277"/>
      <c r="M26243" s="277"/>
      <c r="O26243" s="247"/>
      <c r="AC26243" s="247"/>
      <c r="AT26243" s="247"/>
    </row>
    <row r="26244">
      <c r="C26244" s="277"/>
      <c r="M26244" s="277"/>
      <c r="O26244" s="247"/>
      <c r="AC26244" s="247"/>
      <c r="AT26244" s="247"/>
    </row>
    <row r="26245">
      <c r="C26245" s="277"/>
      <c r="M26245" s="277"/>
      <c r="O26245" s="247"/>
      <c r="AC26245" s="247"/>
      <c r="AT26245" s="247"/>
    </row>
    <row r="26246">
      <c r="C26246" s="277"/>
      <c r="M26246" s="277"/>
      <c r="O26246" s="247"/>
      <c r="AC26246" s="247"/>
      <c r="AT26246" s="247"/>
    </row>
    <row r="26247">
      <c r="C26247" s="277"/>
      <c r="M26247" s="277"/>
      <c r="O26247" s="247"/>
      <c r="AC26247" s="247"/>
      <c r="AT26247" s="247"/>
    </row>
    <row r="26248">
      <c r="C26248" s="277"/>
      <c r="M26248" s="277"/>
      <c r="O26248" s="247"/>
      <c r="AC26248" s="247"/>
      <c r="AT26248" s="247"/>
    </row>
    <row r="26249">
      <c r="C26249" s="277"/>
      <c r="M26249" s="277"/>
      <c r="O26249" s="247"/>
      <c r="AC26249" s="247"/>
      <c r="AT26249" s="247"/>
    </row>
    <row r="26250">
      <c r="C26250" s="277"/>
      <c r="M26250" s="277"/>
      <c r="O26250" s="247"/>
      <c r="AC26250" s="247"/>
      <c r="AT26250" s="247"/>
    </row>
    <row r="26251">
      <c r="C26251" s="277"/>
      <c r="M26251" s="277"/>
      <c r="O26251" s="247"/>
      <c r="AC26251" s="247"/>
      <c r="AT26251" s="247"/>
    </row>
    <row r="26252">
      <c r="C26252" s="277"/>
      <c r="M26252" s="277"/>
      <c r="O26252" s="247"/>
      <c r="AC26252" s="247"/>
      <c r="AT26252" s="247"/>
    </row>
    <row r="26253">
      <c r="C26253" s="277"/>
      <c r="M26253" s="277"/>
      <c r="O26253" s="247"/>
      <c r="AC26253" s="247"/>
      <c r="AT26253" s="247"/>
    </row>
    <row r="26254">
      <c r="C26254" s="277"/>
      <c r="M26254" s="277"/>
      <c r="O26254" s="247"/>
      <c r="AC26254" s="247"/>
      <c r="AT26254" s="247"/>
    </row>
    <row r="26255">
      <c r="C26255" s="277"/>
      <c r="M26255" s="277"/>
      <c r="O26255" s="247"/>
      <c r="AC26255" s="247"/>
      <c r="AT26255" s="247"/>
    </row>
    <row r="26256">
      <c r="C26256" s="277"/>
      <c r="M26256" s="277"/>
      <c r="O26256" s="247"/>
      <c r="AC26256" s="247"/>
      <c r="AT26256" s="247"/>
    </row>
    <row r="26257">
      <c r="C26257" s="277"/>
      <c r="M26257" s="277"/>
      <c r="O26257" s="247"/>
      <c r="AC26257" s="247"/>
      <c r="AT26257" s="247"/>
    </row>
    <row r="26258">
      <c r="C26258" s="277"/>
      <c r="M26258" s="277"/>
      <c r="O26258" s="247"/>
      <c r="AC26258" s="247"/>
      <c r="AT26258" s="247"/>
    </row>
    <row r="26259">
      <c r="C26259" s="277"/>
      <c r="M26259" s="277"/>
      <c r="O26259" s="247"/>
      <c r="AC26259" s="247"/>
      <c r="AT26259" s="247"/>
    </row>
    <row r="26260">
      <c r="C26260" s="277"/>
      <c r="M26260" s="277"/>
      <c r="O26260" s="247"/>
      <c r="AC26260" s="247"/>
      <c r="AT26260" s="247"/>
    </row>
    <row r="26261">
      <c r="C26261" s="277"/>
      <c r="M26261" s="277"/>
      <c r="O26261" s="247"/>
      <c r="AC26261" s="247"/>
      <c r="AT26261" s="247"/>
    </row>
    <row r="26262">
      <c r="C26262" s="277"/>
      <c r="M26262" s="277"/>
      <c r="O26262" s="247"/>
      <c r="AC26262" s="247"/>
      <c r="AT26262" s="247"/>
    </row>
    <row r="26263">
      <c r="C26263" s="277"/>
      <c r="M26263" s="277"/>
      <c r="O26263" s="247"/>
      <c r="AC26263" s="247"/>
      <c r="AT26263" s="247"/>
    </row>
    <row r="26264">
      <c r="C26264" s="277"/>
      <c r="M26264" s="277"/>
      <c r="O26264" s="247"/>
      <c r="AC26264" s="247"/>
      <c r="AT26264" s="247"/>
    </row>
    <row r="26265">
      <c r="C26265" s="277"/>
      <c r="M26265" s="277"/>
      <c r="O26265" s="247"/>
      <c r="AC26265" s="247"/>
      <c r="AT26265" s="247"/>
    </row>
    <row r="26266">
      <c r="C26266" s="277"/>
      <c r="M26266" s="277"/>
      <c r="O26266" s="247"/>
      <c r="AC26266" s="247"/>
      <c r="AT26266" s="247"/>
    </row>
    <row r="26267">
      <c r="C26267" s="277"/>
      <c r="M26267" s="277"/>
      <c r="O26267" s="247"/>
      <c r="AC26267" s="247"/>
      <c r="AT26267" s="247"/>
    </row>
    <row r="26268">
      <c r="C26268" s="277"/>
      <c r="M26268" s="277"/>
      <c r="O26268" s="247"/>
      <c r="AC26268" s="247"/>
      <c r="AT26268" s="247"/>
    </row>
    <row r="26269">
      <c r="C26269" s="277"/>
      <c r="M26269" s="277"/>
      <c r="O26269" s="247"/>
      <c r="AC26269" s="247"/>
      <c r="AT26269" s="247"/>
    </row>
    <row r="26270">
      <c r="C26270" s="277"/>
      <c r="M26270" s="277"/>
      <c r="O26270" s="247"/>
      <c r="AC26270" s="247"/>
      <c r="AT26270" s="247"/>
    </row>
    <row r="26271">
      <c r="C26271" s="277"/>
      <c r="M26271" s="277"/>
      <c r="O26271" s="247"/>
      <c r="AC26271" s="247"/>
      <c r="AT26271" s="247"/>
    </row>
    <row r="26272">
      <c r="C26272" s="277"/>
      <c r="M26272" s="277"/>
      <c r="O26272" s="247"/>
      <c r="AC26272" s="247"/>
      <c r="AT26272" s="247"/>
    </row>
    <row r="26273">
      <c r="C26273" s="277"/>
      <c r="M26273" s="277"/>
      <c r="O26273" s="247"/>
      <c r="AC26273" s="247"/>
      <c r="AT26273" s="247"/>
    </row>
    <row r="26274">
      <c r="C26274" s="277"/>
      <c r="M26274" s="277"/>
      <c r="O26274" s="247"/>
      <c r="AC26274" s="247"/>
      <c r="AT26274" s="247"/>
    </row>
    <row r="26275">
      <c r="C26275" s="277"/>
      <c r="M26275" s="277"/>
      <c r="O26275" s="247"/>
      <c r="AC26275" s="247"/>
      <c r="AT26275" s="247"/>
    </row>
    <row r="26276">
      <c r="C26276" s="277"/>
      <c r="M26276" s="277"/>
      <c r="O26276" s="247"/>
      <c r="AC26276" s="247"/>
      <c r="AT26276" s="247"/>
    </row>
    <row r="26277">
      <c r="C26277" s="277"/>
      <c r="M26277" s="277"/>
      <c r="O26277" s="247"/>
      <c r="AC26277" s="247"/>
      <c r="AT26277" s="247"/>
    </row>
    <row r="26278">
      <c r="C26278" s="277"/>
      <c r="M26278" s="277"/>
      <c r="O26278" s="247"/>
      <c r="AC26278" s="247"/>
      <c r="AT26278" s="247"/>
    </row>
    <row r="26279">
      <c r="C26279" s="277"/>
      <c r="M26279" s="277"/>
      <c r="O26279" s="247"/>
      <c r="AC26279" s="247"/>
      <c r="AT26279" s="247"/>
    </row>
    <row r="26280">
      <c r="C26280" s="277"/>
      <c r="M26280" s="277"/>
      <c r="O26280" s="247"/>
      <c r="AC26280" s="247"/>
      <c r="AT26280" s="247"/>
    </row>
    <row r="26281">
      <c r="C26281" s="277"/>
      <c r="M26281" s="277"/>
      <c r="O26281" s="247"/>
      <c r="AC26281" s="247"/>
      <c r="AT26281" s="247"/>
    </row>
    <row r="26282">
      <c r="C26282" s="277"/>
      <c r="M26282" s="277"/>
      <c r="O26282" s="247"/>
      <c r="AC26282" s="247"/>
      <c r="AT26282" s="247"/>
    </row>
    <row r="26283">
      <c r="C26283" s="277"/>
      <c r="M26283" s="277"/>
      <c r="O26283" s="247"/>
      <c r="AC26283" s="247"/>
      <c r="AT26283" s="247"/>
    </row>
    <row r="26284">
      <c r="C26284" s="277"/>
      <c r="M26284" s="277"/>
      <c r="O26284" s="247"/>
      <c r="AC26284" s="247"/>
      <c r="AT26284" s="247"/>
    </row>
    <row r="26285">
      <c r="C26285" s="277"/>
      <c r="M26285" s="277"/>
      <c r="O26285" s="247"/>
      <c r="AC26285" s="247"/>
      <c r="AT26285" s="247"/>
    </row>
    <row r="26286">
      <c r="C26286" s="277"/>
      <c r="M26286" s="277"/>
      <c r="O26286" s="247"/>
      <c r="AC26286" s="247"/>
      <c r="AT26286" s="247"/>
    </row>
    <row r="26287">
      <c r="C26287" s="277"/>
      <c r="M26287" s="277"/>
      <c r="O26287" s="247"/>
      <c r="AC26287" s="247"/>
      <c r="AT26287" s="247"/>
    </row>
    <row r="26288">
      <c r="C26288" s="277"/>
      <c r="M26288" s="277"/>
      <c r="O26288" s="247"/>
      <c r="AC26288" s="247"/>
      <c r="AT26288" s="247"/>
    </row>
    <row r="26289">
      <c r="C26289" s="277"/>
      <c r="M26289" s="277"/>
      <c r="O26289" s="247"/>
      <c r="AC26289" s="247"/>
      <c r="AT26289" s="247"/>
    </row>
    <row r="26290">
      <c r="C26290" s="277"/>
      <c r="M26290" s="277"/>
      <c r="O26290" s="247"/>
      <c r="AC26290" s="247"/>
      <c r="AT26290" s="247"/>
    </row>
    <row r="26291">
      <c r="C26291" s="277"/>
      <c r="M26291" s="277"/>
      <c r="O26291" s="247"/>
      <c r="AC26291" s="247"/>
      <c r="AT26291" s="247"/>
    </row>
    <row r="26292">
      <c r="C26292" s="277"/>
      <c r="M26292" s="277"/>
      <c r="O26292" s="247"/>
      <c r="AC26292" s="247"/>
      <c r="AT26292" s="247"/>
    </row>
    <row r="26293">
      <c r="C26293" s="277"/>
      <c r="M26293" s="277"/>
      <c r="O26293" s="247"/>
      <c r="AC26293" s="247"/>
      <c r="AT26293" s="247"/>
    </row>
    <row r="26294">
      <c r="C26294" s="277"/>
      <c r="M26294" s="277"/>
      <c r="O26294" s="247"/>
      <c r="AC26294" s="247"/>
      <c r="AT26294" s="247"/>
    </row>
    <row r="26295">
      <c r="C26295" s="277"/>
      <c r="M26295" s="277"/>
      <c r="O26295" s="247"/>
      <c r="AC26295" s="247"/>
      <c r="AT26295" s="247"/>
    </row>
    <row r="26296">
      <c r="C26296" s="277"/>
      <c r="M26296" s="277"/>
      <c r="O26296" s="247"/>
      <c r="AC26296" s="247"/>
      <c r="AT26296" s="247"/>
    </row>
    <row r="26297">
      <c r="C26297" s="277"/>
      <c r="M26297" s="277"/>
      <c r="O26297" s="247"/>
      <c r="AC26297" s="247"/>
      <c r="AT26297" s="247"/>
    </row>
    <row r="26298">
      <c r="C26298" s="277"/>
      <c r="M26298" s="277"/>
      <c r="O26298" s="247"/>
      <c r="AC26298" s="247"/>
      <c r="AT26298" s="247"/>
    </row>
    <row r="26299">
      <c r="C26299" s="277"/>
      <c r="M26299" s="277"/>
      <c r="O26299" s="247"/>
      <c r="AC26299" s="247"/>
      <c r="AT26299" s="247"/>
    </row>
    <row r="26300">
      <c r="C26300" s="277"/>
      <c r="M26300" s="277"/>
      <c r="O26300" s="247"/>
      <c r="AC26300" s="247"/>
      <c r="AT26300" s="247"/>
    </row>
    <row r="26301">
      <c r="C26301" s="277"/>
      <c r="M26301" s="277"/>
      <c r="O26301" s="247"/>
      <c r="AC26301" s="247"/>
      <c r="AT26301" s="247"/>
    </row>
    <row r="26302">
      <c r="C26302" s="277"/>
      <c r="M26302" s="277"/>
      <c r="O26302" s="247"/>
      <c r="AC26302" s="247"/>
      <c r="AT26302" s="247"/>
    </row>
    <row r="26303">
      <c r="C26303" s="277"/>
      <c r="M26303" s="277"/>
      <c r="O26303" s="247"/>
      <c r="AC26303" s="247"/>
      <c r="AT26303" s="247"/>
    </row>
    <row r="26304">
      <c r="C26304" s="277"/>
      <c r="M26304" s="277"/>
      <c r="O26304" s="247"/>
      <c r="AC26304" s="247"/>
      <c r="AT26304" s="247"/>
    </row>
    <row r="26305">
      <c r="C26305" s="277"/>
      <c r="M26305" s="277"/>
      <c r="O26305" s="247"/>
      <c r="AC26305" s="247"/>
      <c r="AT26305" s="247"/>
    </row>
    <row r="26306">
      <c r="C26306" s="277"/>
      <c r="M26306" s="277"/>
      <c r="O26306" s="247"/>
      <c r="AC26306" s="247"/>
      <c r="AT26306" s="247"/>
    </row>
    <row r="26307">
      <c r="C26307" s="277"/>
      <c r="M26307" s="277"/>
      <c r="O26307" s="247"/>
      <c r="AC26307" s="247"/>
      <c r="AT26307" s="247"/>
    </row>
    <row r="26308">
      <c r="C26308" s="277"/>
      <c r="M26308" s="277"/>
      <c r="O26308" s="247"/>
      <c r="AC26308" s="247"/>
      <c r="AT26308" s="247"/>
    </row>
    <row r="26309">
      <c r="C26309" s="277"/>
      <c r="M26309" s="277"/>
      <c r="O26309" s="247"/>
      <c r="AC26309" s="247"/>
      <c r="AT26309" s="247"/>
    </row>
    <row r="26310">
      <c r="C26310" s="277"/>
      <c r="M26310" s="277"/>
      <c r="O26310" s="247"/>
      <c r="AC26310" s="247"/>
      <c r="AT26310" s="247"/>
    </row>
    <row r="26311">
      <c r="C26311" s="277"/>
      <c r="M26311" s="277"/>
      <c r="O26311" s="247"/>
      <c r="AC26311" s="247"/>
      <c r="AT26311" s="247"/>
    </row>
    <row r="26312">
      <c r="C26312" s="277"/>
      <c r="M26312" s="277"/>
      <c r="O26312" s="247"/>
      <c r="AC26312" s="247"/>
      <c r="AT26312" s="247"/>
    </row>
    <row r="26313">
      <c r="C26313" s="277"/>
      <c r="M26313" s="277"/>
      <c r="O26313" s="247"/>
      <c r="AC26313" s="247"/>
      <c r="AT26313" s="247"/>
    </row>
    <row r="26314">
      <c r="C26314" s="277"/>
      <c r="M26314" s="277"/>
      <c r="O26314" s="247"/>
      <c r="AC26314" s="247"/>
      <c r="AT26314" s="247"/>
    </row>
    <row r="26315">
      <c r="C26315" s="277"/>
      <c r="M26315" s="277"/>
      <c r="O26315" s="247"/>
      <c r="AC26315" s="247"/>
      <c r="AT26315" s="247"/>
    </row>
    <row r="26316">
      <c r="C26316" s="277"/>
      <c r="M26316" s="277"/>
      <c r="O26316" s="247"/>
      <c r="AC26316" s="247"/>
      <c r="AT26316" s="247"/>
    </row>
    <row r="26317">
      <c r="C26317" s="277"/>
      <c r="M26317" s="277"/>
      <c r="O26317" s="247"/>
      <c r="AC26317" s="247"/>
      <c r="AT26317" s="247"/>
    </row>
    <row r="26318">
      <c r="C26318" s="277"/>
      <c r="M26318" s="277"/>
      <c r="O26318" s="247"/>
      <c r="AC26318" s="247"/>
      <c r="AT26318" s="247"/>
    </row>
    <row r="26319">
      <c r="C26319" s="277"/>
      <c r="M26319" s="277"/>
      <c r="O26319" s="247"/>
      <c r="AC26319" s="247"/>
      <c r="AT26319" s="247"/>
    </row>
    <row r="26320">
      <c r="C26320" s="277"/>
      <c r="M26320" s="277"/>
      <c r="O26320" s="247"/>
      <c r="AC26320" s="247"/>
      <c r="AT26320" s="247"/>
    </row>
    <row r="26321">
      <c r="C26321" s="277"/>
      <c r="M26321" s="277"/>
      <c r="O26321" s="247"/>
      <c r="AC26321" s="247"/>
      <c r="AT26321" s="247"/>
    </row>
    <row r="26322">
      <c r="C26322" s="277"/>
      <c r="M26322" s="277"/>
      <c r="O26322" s="247"/>
      <c r="AC26322" s="247"/>
      <c r="AT26322" s="247"/>
    </row>
    <row r="26323">
      <c r="C26323" s="277"/>
      <c r="M26323" s="277"/>
      <c r="O26323" s="247"/>
      <c r="AC26323" s="247"/>
      <c r="AT26323" s="247"/>
    </row>
    <row r="26324">
      <c r="C26324" s="277"/>
      <c r="M26324" s="277"/>
      <c r="O26324" s="247"/>
      <c r="AC26324" s="247"/>
      <c r="AT26324" s="247"/>
    </row>
    <row r="26325">
      <c r="C26325" s="277"/>
      <c r="M26325" s="277"/>
      <c r="O26325" s="247"/>
      <c r="AC26325" s="247"/>
      <c r="AT26325" s="247"/>
    </row>
    <row r="26326">
      <c r="C26326" s="277"/>
      <c r="M26326" s="277"/>
      <c r="O26326" s="247"/>
      <c r="AC26326" s="247"/>
      <c r="AT26326" s="247"/>
    </row>
    <row r="26327">
      <c r="C26327" s="277"/>
      <c r="M26327" s="277"/>
      <c r="O26327" s="247"/>
      <c r="AC26327" s="247"/>
      <c r="AT26327" s="247"/>
    </row>
    <row r="26328">
      <c r="C26328" s="277"/>
      <c r="M26328" s="277"/>
      <c r="O26328" s="247"/>
      <c r="AC26328" s="247"/>
      <c r="AT26328" s="247"/>
    </row>
    <row r="26329">
      <c r="C26329" s="277"/>
      <c r="M26329" s="277"/>
      <c r="O26329" s="247"/>
      <c r="AC26329" s="247"/>
      <c r="AT26329" s="247"/>
    </row>
    <row r="26330">
      <c r="C26330" s="277"/>
      <c r="M26330" s="277"/>
      <c r="O26330" s="247"/>
      <c r="AC26330" s="247"/>
      <c r="AT26330" s="247"/>
    </row>
    <row r="26331">
      <c r="C26331" s="277"/>
      <c r="M26331" s="277"/>
      <c r="O26331" s="247"/>
      <c r="AC26331" s="247"/>
      <c r="AT26331" s="247"/>
    </row>
    <row r="26332">
      <c r="C26332" s="277"/>
      <c r="M26332" s="277"/>
      <c r="O26332" s="247"/>
      <c r="AC26332" s="247"/>
      <c r="AT26332" s="247"/>
    </row>
    <row r="26333">
      <c r="C26333" s="277"/>
      <c r="M26333" s="277"/>
      <c r="O26333" s="247"/>
      <c r="AC26333" s="247"/>
      <c r="AT26333" s="247"/>
    </row>
    <row r="26334">
      <c r="C26334" s="277"/>
      <c r="M26334" s="277"/>
      <c r="O26334" s="247"/>
      <c r="AC26334" s="247"/>
      <c r="AT26334" s="247"/>
    </row>
    <row r="26335">
      <c r="C26335" s="277"/>
      <c r="M26335" s="277"/>
      <c r="O26335" s="247"/>
      <c r="AC26335" s="247"/>
      <c r="AT26335" s="247"/>
    </row>
    <row r="26336">
      <c r="C26336" s="277"/>
      <c r="M26336" s="277"/>
      <c r="O26336" s="247"/>
      <c r="AC26336" s="247"/>
      <c r="AT26336" s="247"/>
    </row>
    <row r="26337">
      <c r="C26337" s="277"/>
      <c r="M26337" s="277"/>
      <c r="O26337" s="247"/>
      <c r="AC26337" s="247"/>
      <c r="AT26337" s="247"/>
    </row>
    <row r="26338">
      <c r="C26338" s="277"/>
      <c r="M26338" s="277"/>
      <c r="O26338" s="247"/>
      <c r="AC26338" s="247"/>
      <c r="AT26338" s="247"/>
    </row>
    <row r="26339">
      <c r="C26339" s="277"/>
      <c r="M26339" s="277"/>
      <c r="O26339" s="247"/>
      <c r="AC26339" s="247"/>
      <c r="AT26339" s="247"/>
    </row>
    <row r="26340">
      <c r="C26340" s="277"/>
      <c r="M26340" s="277"/>
      <c r="O26340" s="247"/>
      <c r="AC26340" s="247"/>
      <c r="AT26340" s="247"/>
    </row>
    <row r="26341">
      <c r="C26341" s="277"/>
      <c r="M26341" s="277"/>
      <c r="O26341" s="247"/>
      <c r="AC26341" s="247"/>
      <c r="AT26341" s="247"/>
    </row>
    <row r="26342">
      <c r="C26342" s="277"/>
      <c r="M26342" s="277"/>
      <c r="O26342" s="247"/>
      <c r="AC26342" s="247"/>
      <c r="AT26342" s="247"/>
    </row>
    <row r="26343">
      <c r="C26343" s="277"/>
      <c r="M26343" s="277"/>
      <c r="O26343" s="247"/>
      <c r="AC26343" s="247"/>
      <c r="AT26343" s="247"/>
    </row>
    <row r="26344">
      <c r="C26344" s="277"/>
      <c r="M26344" s="277"/>
      <c r="O26344" s="247"/>
      <c r="AC26344" s="247"/>
      <c r="AT26344" s="247"/>
    </row>
    <row r="26345">
      <c r="C26345" s="277"/>
      <c r="M26345" s="277"/>
      <c r="O26345" s="247"/>
      <c r="AC26345" s="247"/>
      <c r="AT26345" s="247"/>
    </row>
    <row r="26346">
      <c r="C26346" s="277"/>
      <c r="M26346" s="277"/>
      <c r="O26346" s="247"/>
      <c r="AC26346" s="247"/>
      <c r="AT26346" s="247"/>
    </row>
    <row r="26347">
      <c r="C26347" s="277"/>
      <c r="M26347" s="277"/>
      <c r="O26347" s="247"/>
      <c r="AC26347" s="247"/>
      <c r="AT26347" s="247"/>
    </row>
    <row r="26348">
      <c r="C26348" s="277"/>
      <c r="M26348" s="277"/>
      <c r="O26348" s="247"/>
      <c r="AC26348" s="247"/>
      <c r="AT26348" s="247"/>
    </row>
    <row r="26349">
      <c r="C26349" s="277"/>
      <c r="M26349" s="277"/>
      <c r="O26349" s="247"/>
      <c r="AC26349" s="247"/>
      <c r="AT26349" s="247"/>
    </row>
    <row r="26350">
      <c r="C26350" s="277"/>
      <c r="M26350" s="277"/>
      <c r="O26350" s="247"/>
      <c r="AC26350" s="247"/>
      <c r="AT26350" s="247"/>
    </row>
    <row r="26351">
      <c r="C26351" s="277"/>
      <c r="M26351" s="277"/>
      <c r="O26351" s="247"/>
      <c r="AC26351" s="247"/>
      <c r="AT26351" s="247"/>
    </row>
    <row r="26352">
      <c r="C26352" s="277"/>
      <c r="M26352" s="277"/>
      <c r="O26352" s="247"/>
      <c r="AC26352" s="247"/>
      <c r="AT26352" s="247"/>
    </row>
    <row r="26353">
      <c r="C26353" s="277"/>
      <c r="M26353" s="277"/>
      <c r="O26353" s="247"/>
      <c r="AC26353" s="247"/>
      <c r="AT26353" s="247"/>
    </row>
    <row r="26354">
      <c r="C26354" s="277"/>
      <c r="M26354" s="277"/>
      <c r="O26354" s="247"/>
      <c r="AC26354" s="247"/>
      <c r="AT26354" s="247"/>
    </row>
    <row r="26355">
      <c r="C26355" s="277"/>
      <c r="M26355" s="277"/>
      <c r="O26355" s="247"/>
      <c r="AC26355" s="247"/>
      <c r="AT26355" s="247"/>
    </row>
    <row r="26356">
      <c r="C26356" s="277"/>
      <c r="M26356" s="277"/>
      <c r="O26356" s="247"/>
      <c r="AC26356" s="247"/>
      <c r="AT26356" s="247"/>
    </row>
    <row r="26357">
      <c r="C26357" s="277"/>
      <c r="M26357" s="277"/>
      <c r="O26357" s="247"/>
      <c r="AC26357" s="247"/>
      <c r="AT26357" s="247"/>
    </row>
    <row r="26358">
      <c r="C26358" s="277"/>
      <c r="M26358" s="277"/>
      <c r="O26358" s="247"/>
      <c r="AC26358" s="247"/>
      <c r="AT26358" s="247"/>
    </row>
    <row r="26359">
      <c r="C26359" s="277"/>
      <c r="M26359" s="277"/>
      <c r="O26359" s="247"/>
      <c r="AC26359" s="247"/>
      <c r="AT26359" s="247"/>
    </row>
    <row r="26360">
      <c r="C26360" s="277"/>
      <c r="M26360" s="277"/>
      <c r="O26360" s="247"/>
      <c r="AC26360" s="247"/>
      <c r="AT26360" s="247"/>
    </row>
    <row r="26361">
      <c r="C26361" s="277"/>
      <c r="M26361" s="277"/>
      <c r="O26361" s="247"/>
      <c r="AC26361" s="247"/>
      <c r="AT26361" s="247"/>
    </row>
    <row r="26362">
      <c r="C26362" s="277"/>
      <c r="M26362" s="277"/>
      <c r="O26362" s="247"/>
      <c r="AC26362" s="247"/>
      <c r="AT26362" s="247"/>
    </row>
    <row r="26363">
      <c r="C26363" s="277"/>
      <c r="M26363" s="277"/>
      <c r="O26363" s="247"/>
      <c r="AC26363" s="247"/>
      <c r="AT26363" s="247"/>
    </row>
    <row r="26364">
      <c r="C26364" s="277"/>
      <c r="M26364" s="277"/>
      <c r="O26364" s="247"/>
      <c r="AC26364" s="247"/>
      <c r="AT26364" s="247"/>
    </row>
    <row r="26365">
      <c r="C26365" s="277"/>
      <c r="M26365" s="277"/>
      <c r="O26365" s="247"/>
      <c r="AC26365" s="247"/>
      <c r="AT26365" s="247"/>
    </row>
    <row r="26366">
      <c r="C26366" s="277"/>
      <c r="M26366" s="277"/>
      <c r="O26366" s="247"/>
      <c r="AC26366" s="247"/>
      <c r="AT26366" s="247"/>
    </row>
    <row r="26367">
      <c r="C26367" s="277"/>
      <c r="M26367" s="277"/>
      <c r="O26367" s="247"/>
      <c r="AC26367" s="247"/>
      <c r="AT26367" s="247"/>
    </row>
    <row r="26368">
      <c r="C26368" s="277"/>
      <c r="M26368" s="277"/>
      <c r="O26368" s="247"/>
      <c r="AC26368" s="247"/>
      <c r="AT26368" s="247"/>
    </row>
    <row r="26369">
      <c r="C26369" s="277"/>
      <c r="M26369" s="277"/>
      <c r="O26369" s="247"/>
      <c r="AC26369" s="247"/>
      <c r="AT26369" s="247"/>
    </row>
    <row r="26370">
      <c r="C26370" s="277"/>
      <c r="M26370" s="277"/>
      <c r="O26370" s="247"/>
      <c r="AC26370" s="247"/>
      <c r="AT26370" s="247"/>
    </row>
    <row r="26371">
      <c r="C26371" s="277"/>
      <c r="M26371" s="277"/>
      <c r="O26371" s="247"/>
      <c r="AC26371" s="247"/>
      <c r="AT26371" s="247"/>
    </row>
    <row r="26372">
      <c r="C26372" s="277"/>
      <c r="M26372" s="277"/>
      <c r="O26372" s="247"/>
      <c r="AC26372" s="247"/>
      <c r="AT26372" s="247"/>
    </row>
    <row r="26373">
      <c r="C26373" s="277"/>
      <c r="M26373" s="277"/>
      <c r="O26373" s="247"/>
      <c r="AC26373" s="247"/>
      <c r="AT26373" s="247"/>
    </row>
    <row r="26374">
      <c r="C26374" s="277"/>
      <c r="M26374" s="277"/>
      <c r="O26374" s="247"/>
      <c r="AC26374" s="247"/>
      <c r="AT26374" s="247"/>
    </row>
    <row r="26375">
      <c r="C26375" s="277"/>
      <c r="M26375" s="277"/>
      <c r="O26375" s="247"/>
      <c r="AC26375" s="247"/>
      <c r="AT26375" s="247"/>
    </row>
    <row r="26376">
      <c r="C26376" s="277"/>
      <c r="M26376" s="277"/>
      <c r="O26376" s="247"/>
      <c r="AC26376" s="247"/>
      <c r="AT26376" s="247"/>
    </row>
    <row r="26377">
      <c r="C26377" s="277"/>
      <c r="M26377" s="277"/>
      <c r="O26377" s="247"/>
      <c r="AC26377" s="247"/>
      <c r="AT26377" s="247"/>
    </row>
    <row r="26378">
      <c r="C26378" s="277"/>
      <c r="M26378" s="277"/>
      <c r="O26378" s="247"/>
      <c r="AC26378" s="247"/>
      <c r="AT26378" s="247"/>
    </row>
    <row r="26379">
      <c r="C26379" s="277"/>
      <c r="M26379" s="277"/>
      <c r="O26379" s="247"/>
      <c r="AC26379" s="247"/>
      <c r="AT26379" s="247"/>
    </row>
    <row r="26380">
      <c r="C26380" s="277"/>
      <c r="M26380" s="277"/>
      <c r="O26380" s="247"/>
      <c r="AC26380" s="247"/>
      <c r="AT26380" s="247"/>
    </row>
    <row r="26381">
      <c r="C26381" s="277"/>
      <c r="M26381" s="277"/>
      <c r="O26381" s="247"/>
      <c r="AC26381" s="247"/>
      <c r="AT26381" s="247"/>
    </row>
    <row r="26382">
      <c r="C26382" s="277"/>
      <c r="M26382" s="277"/>
      <c r="O26382" s="247"/>
      <c r="AC26382" s="247"/>
      <c r="AT26382" s="247"/>
    </row>
    <row r="26383">
      <c r="C26383" s="277"/>
      <c r="M26383" s="277"/>
      <c r="O26383" s="247"/>
      <c r="AC26383" s="247"/>
      <c r="AT26383" s="247"/>
    </row>
    <row r="26384">
      <c r="C26384" s="277"/>
      <c r="M26384" s="277"/>
      <c r="O26384" s="247"/>
      <c r="AC26384" s="247"/>
      <c r="AT26384" s="247"/>
    </row>
    <row r="26385">
      <c r="C26385" s="277"/>
      <c r="M26385" s="277"/>
      <c r="O26385" s="247"/>
      <c r="AC26385" s="247"/>
      <c r="AT26385" s="247"/>
    </row>
    <row r="26386">
      <c r="C26386" s="277"/>
      <c r="M26386" s="277"/>
      <c r="O26386" s="247"/>
      <c r="AC26386" s="247"/>
      <c r="AT26386" s="247"/>
    </row>
    <row r="26387">
      <c r="C26387" s="277"/>
      <c r="M26387" s="277"/>
      <c r="O26387" s="247"/>
      <c r="AC26387" s="247"/>
      <c r="AT26387" s="247"/>
    </row>
    <row r="26388">
      <c r="C26388" s="277"/>
      <c r="M26388" s="277"/>
      <c r="O26388" s="247"/>
      <c r="AC26388" s="247"/>
      <c r="AT26388" s="247"/>
    </row>
    <row r="26389">
      <c r="C26389" s="277"/>
      <c r="M26389" s="277"/>
      <c r="O26389" s="247"/>
      <c r="AC26389" s="247"/>
      <c r="AT26389" s="247"/>
    </row>
    <row r="26390">
      <c r="C26390" s="277"/>
      <c r="M26390" s="277"/>
      <c r="O26390" s="247"/>
      <c r="AC26390" s="247"/>
      <c r="AT26390" s="247"/>
    </row>
    <row r="26391">
      <c r="C26391" s="277"/>
      <c r="M26391" s="277"/>
      <c r="O26391" s="247"/>
      <c r="AC26391" s="247"/>
      <c r="AT26391" s="247"/>
    </row>
    <row r="26392">
      <c r="C26392" s="277"/>
      <c r="M26392" s="277"/>
      <c r="O26392" s="247"/>
      <c r="AC26392" s="247"/>
      <c r="AT26392" s="247"/>
    </row>
    <row r="26393">
      <c r="C26393" s="277"/>
      <c r="M26393" s="277"/>
      <c r="O26393" s="247"/>
      <c r="AC26393" s="247"/>
      <c r="AT26393" s="247"/>
    </row>
    <row r="26394">
      <c r="C26394" s="277"/>
      <c r="M26394" s="277"/>
      <c r="O26394" s="247"/>
      <c r="AC26394" s="247"/>
      <c r="AT26394" s="247"/>
    </row>
    <row r="26395">
      <c r="C26395" s="277"/>
      <c r="M26395" s="277"/>
      <c r="O26395" s="247"/>
      <c r="AC26395" s="247"/>
      <c r="AT26395" s="247"/>
    </row>
    <row r="26396">
      <c r="C26396" s="277"/>
      <c r="M26396" s="277"/>
      <c r="O26396" s="247"/>
      <c r="AC26396" s="247"/>
      <c r="AT26396" s="247"/>
    </row>
    <row r="26397">
      <c r="C26397" s="277"/>
      <c r="M26397" s="277"/>
      <c r="O26397" s="247"/>
      <c r="AC26397" s="247"/>
      <c r="AT26397" s="247"/>
    </row>
    <row r="26398">
      <c r="C26398" s="277"/>
      <c r="M26398" s="277"/>
      <c r="O26398" s="247"/>
      <c r="AC26398" s="247"/>
      <c r="AT26398" s="247"/>
    </row>
    <row r="26399">
      <c r="C26399" s="277"/>
      <c r="M26399" s="277"/>
      <c r="O26399" s="247"/>
      <c r="AC26399" s="247"/>
      <c r="AT26399" s="247"/>
    </row>
    <row r="26400">
      <c r="C26400" s="277"/>
      <c r="M26400" s="277"/>
      <c r="O26400" s="247"/>
      <c r="AC26400" s="247"/>
      <c r="AT26400" s="247"/>
    </row>
    <row r="26401">
      <c r="C26401" s="277"/>
      <c r="M26401" s="277"/>
      <c r="O26401" s="247"/>
      <c r="AC26401" s="247"/>
      <c r="AT26401" s="247"/>
    </row>
    <row r="26402">
      <c r="C26402" s="277"/>
      <c r="M26402" s="277"/>
      <c r="O26402" s="247"/>
      <c r="AC26402" s="247"/>
      <c r="AT26402" s="247"/>
    </row>
    <row r="26403">
      <c r="C26403" s="277"/>
      <c r="M26403" s="277"/>
      <c r="O26403" s="247"/>
      <c r="AC26403" s="247"/>
      <c r="AT26403" s="247"/>
    </row>
    <row r="26404">
      <c r="C26404" s="277"/>
      <c r="M26404" s="277"/>
      <c r="O26404" s="247"/>
      <c r="AC26404" s="247"/>
      <c r="AT26404" s="247"/>
    </row>
    <row r="26405">
      <c r="C26405" s="277"/>
      <c r="M26405" s="277"/>
      <c r="O26405" s="247"/>
      <c r="AC26405" s="247"/>
      <c r="AT26405" s="247"/>
    </row>
    <row r="26406">
      <c r="C26406" s="277"/>
      <c r="M26406" s="277"/>
      <c r="O26406" s="247"/>
      <c r="AC26406" s="247"/>
      <c r="AT26406" s="247"/>
    </row>
    <row r="26407">
      <c r="C26407" s="277"/>
      <c r="M26407" s="277"/>
      <c r="O26407" s="247"/>
      <c r="AC26407" s="247"/>
      <c r="AT26407" s="247"/>
    </row>
    <row r="26408">
      <c r="C26408" s="277"/>
      <c r="M26408" s="277"/>
      <c r="O26408" s="247"/>
      <c r="AC26408" s="247"/>
      <c r="AT26408" s="247"/>
    </row>
    <row r="26409">
      <c r="C26409" s="277"/>
      <c r="M26409" s="277"/>
      <c r="O26409" s="247"/>
      <c r="AC26409" s="247"/>
      <c r="AT26409" s="247"/>
    </row>
    <row r="26410">
      <c r="C26410" s="277"/>
      <c r="M26410" s="277"/>
      <c r="O26410" s="247"/>
      <c r="AC26410" s="247"/>
      <c r="AT26410" s="247"/>
    </row>
    <row r="26411">
      <c r="C26411" s="277"/>
      <c r="M26411" s="277"/>
      <c r="O26411" s="247"/>
      <c r="AC26411" s="247"/>
      <c r="AT26411" s="247"/>
    </row>
    <row r="26412">
      <c r="C26412" s="277"/>
      <c r="M26412" s="277"/>
      <c r="O26412" s="247"/>
      <c r="AC26412" s="247"/>
      <c r="AT26412" s="247"/>
    </row>
    <row r="26413">
      <c r="C26413" s="277"/>
      <c r="M26413" s="277"/>
      <c r="O26413" s="247"/>
      <c r="AC26413" s="247"/>
      <c r="AT26413" s="247"/>
    </row>
    <row r="26414">
      <c r="C26414" s="277"/>
      <c r="M26414" s="277"/>
      <c r="O26414" s="247"/>
      <c r="AC26414" s="247"/>
      <c r="AT26414" s="247"/>
    </row>
    <row r="26415">
      <c r="C26415" s="277"/>
      <c r="M26415" s="277"/>
      <c r="O26415" s="247"/>
      <c r="AC26415" s="247"/>
      <c r="AT26415" s="247"/>
    </row>
    <row r="26416">
      <c r="C26416" s="277"/>
      <c r="M26416" s="277"/>
      <c r="O26416" s="247"/>
      <c r="AC26416" s="247"/>
      <c r="AT26416" s="247"/>
    </row>
    <row r="26417">
      <c r="C26417" s="277"/>
      <c r="M26417" s="277"/>
      <c r="O26417" s="247"/>
      <c r="AC26417" s="247"/>
      <c r="AT26417" s="247"/>
    </row>
    <row r="26418">
      <c r="C26418" s="277"/>
      <c r="M26418" s="277"/>
      <c r="O26418" s="247"/>
      <c r="AC26418" s="247"/>
      <c r="AT26418" s="247"/>
    </row>
    <row r="26419">
      <c r="C26419" s="277"/>
      <c r="M26419" s="277"/>
      <c r="O26419" s="247"/>
      <c r="AC26419" s="247"/>
      <c r="AT26419" s="247"/>
    </row>
    <row r="26420">
      <c r="C26420" s="277"/>
      <c r="M26420" s="277"/>
      <c r="O26420" s="247"/>
      <c r="AC26420" s="247"/>
      <c r="AT26420" s="247"/>
    </row>
    <row r="26421">
      <c r="C26421" s="277"/>
      <c r="M26421" s="277"/>
      <c r="O26421" s="247"/>
      <c r="AC26421" s="247"/>
      <c r="AT26421" s="247"/>
    </row>
    <row r="26422">
      <c r="C26422" s="277"/>
      <c r="M26422" s="277"/>
      <c r="O26422" s="247"/>
      <c r="AC26422" s="247"/>
      <c r="AT26422" s="247"/>
    </row>
    <row r="26423">
      <c r="C26423" s="277"/>
      <c r="M26423" s="277"/>
      <c r="O26423" s="247"/>
      <c r="AC26423" s="247"/>
      <c r="AT26423" s="247"/>
    </row>
    <row r="26424">
      <c r="C26424" s="277"/>
      <c r="M26424" s="277"/>
      <c r="O26424" s="247"/>
      <c r="AC26424" s="247"/>
      <c r="AT26424" s="247"/>
    </row>
    <row r="26425">
      <c r="C26425" s="277"/>
      <c r="M26425" s="277"/>
      <c r="O26425" s="247"/>
      <c r="AC26425" s="247"/>
      <c r="AT26425" s="247"/>
    </row>
    <row r="26426">
      <c r="C26426" s="277"/>
      <c r="M26426" s="277"/>
      <c r="O26426" s="247"/>
      <c r="AC26426" s="247"/>
      <c r="AT26426" s="247"/>
    </row>
    <row r="26427">
      <c r="C26427" s="277"/>
      <c r="M26427" s="277"/>
      <c r="O26427" s="247"/>
      <c r="AC26427" s="247"/>
      <c r="AT26427" s="247"/>
    </row>
    <row r="26428">
      <c r="C26428" s="277"/>
      <c r="M26428" s="277"/>
      <c r="O26428" s="247"/>
      <c r="AC26428" s="247"/>
      <c r="AT26428" s="247"/>
    </row>
    <row r="26429">
      <c r="C26429" s="277"/>
      <c r="M26429" s="277"/>
      <c r="O26429" s="247"/>
      <c r="AC26429" s="247"/>
      <c r="AT26429" s="247"/>
    </row>
    <row r="26430">
      <c r="C26430" s="277"/>
      <c r="M26430" s="277"/>
      <c r="O26430" s="247"/>
      <c r="AC26430" s="247"/>
      <c r="AT26430" s="247"/>
    </row>
    <row r="26431">
      <c r="C26431" s="277"/>
      <c r="M26431" s="277"/>
      <c r="O26431" s="247"/>
      <c r="AC26431" s="247"/>
      <c r="AT26431" s="247"/>
    </row>
    <row r="26432">
      <c r="C26432" s="277"/>
      <c r="M26432" s="277"/>
      <c r="O26432" s="247"/>
      <c r="AC26432" s="247"/>
      <c r="AT26432" s="247"/>
    </row>
    <row r="26433">
      <c r="C26433" s="277"/>
      <c r="M26433" s="277"/>
      <c r="O26433" s="247"/>
      <c r="AC26433" s="247"/>
      <c r="AT26433" s="247"/>
    </row>
    <row r="26434">
      <c r="C26434" s="277"/>
      <c r="M26434" s="277"/>
      <c r="O26434" s="247"/>
      <c r="AC26434" s="247"/>
      <c r="AT26434" s="247"/>
    </row>
    <row r="26435">
      <c r="C26435" s="277"/>
      <c r="M26435" s="277"/>
      <c r="O26435" s="247"/>
      <c r="AC26435" s="247"/>
      <c r="AT26435" s="247"/>
    </row>
    <row r="26436">
      <c r="C26436" s="277"/>
      <c r="M26436" s="277"/>
      <c r="O26436" s="247"/>
      <c r="AC26436" s="247"/>
      <c r="AT26436" s="247"/>
    </row>
    <row r="26437">
      <c r="C26437" s="277"/>
      <c r="M26437" s="277"/>
      <c r="O26437" s="247"/>
      <c r="AC26437" s="247"/>
      <c r="AT26437" s="247"/>
    </row>
    <row r="26438">
      <c r="C26438" s="277"/>
      <c r="M26438" s="277"/>
      <c r="O26438" s="247"/>
      <c r="AC26438" s="247"/>
      <c r="AT26438" s="247"/>
    </row>
    <row r="26439">
      <c r="C26439" s="277"/>
      <c r="M26439" s="277"/>
      <c r="O26439" s="247"/>
      <c r="AC26439" s="247"/>
      <c r="AT26439" s="247"/>
    </row>
    <row r="26440">
      <c r="C26440" s="277"/>
      <c r="M26440" s="277"/>
      <c r="O26440" s="247"/>
      <c r="AC26440" s="247"/>
      <c r="AT26440" s="247"/>
    </row>
    <row r="26441">
      <c r="C26441" s="277"/>
      <c r="M26441" s="277"/>
      <c r="O26441" s="247"/>
      <c r="AC26441" s="247"/>
      <c r="AT26441" s="247"/>
    </row>
    <row r="26442">
      <c r="C26442" s="277"/>
      <c r="M26442" s="277"/>
      <c r="O26442" s="247"/>
      <c r="AC26442" s="247"/>
      <c r="AT26442" s="247"/>
    </row>
    <row r="26443">
      <c r="C26443" s="277"/>
      <c r="M26443" s="277"/>
      <c r="O26443" s="247"/>
      <c r="AC26443" s="247"/>
      <c r="AT26443" s="247"/>
    </row>
    <row r="26444">
      <c r="C26444" s="277"/>
      <c r="M26444" s="277"/>
      <c r="O26444" s="247"/>
      <c r="AC26444" s="247"/>
      <c r="AT26444" s="247"/>
    </row>
    <row r="26445">
      <c r="C26445" s="277"/>
      <c r="M26445" s="277"/>
      <c r="O26445" s="247"/>
      <c r="AC26445" s="247"/>
      <c r="AT26445" s="247"/>
    </row>
    <row r="26446">
      <c r="C26446" s="277"/>
      <c r="M26446" s="277"/>
      <c r="O26446" s="247"/>
      <c r="AC26446" s="247"/>
      <c r="AT26446" s="247"/>
    </row>
    <row r="26447">
      <c r="C26447" s="277"/>
      <c r="M26447" s="277"/>
      <c r="O26447" s="247"/>
      <c r="AC26447" s="247"/>
      <c r="AT26447" s="247"/>
    </row>
    <row r="26448">
      <c r="C26448" s="277"/>
      <c r="M26448" s="277"/>
      <c r="O26448" s="247"/>
      <c r="AC26448" s="247"/>
      <c r="AT26448" s="247"/>
    </row>
    <row r="26449">
      <c r="C26449" s="277"/>
      <c r="M26449" s="277"/>
      <c r="O26449" s="247"/>
      <c r="AC26449" s="247"/>
      <c r="AT26449" s="247"/>
    </row>
    <row r="26450">
      <c r="C26450" s="277"/>
      <c r="M26450" s="277"/>
      <c r="O26450" s="247"/>
      <c r="AC26450" s="247"/>
      <c r="AT26450" s="247"/>
    </row>
    <row r="26451">
      <c r="C26451" s="277"/>
      <c r="M26451" s="277"/>
      <c r="O26451" s="247"/>
      <c r="AC26451" s="247"/>
      <c r="AT26451" s="247"/>
    </row>
    <row r="26452">
      <c r="C26452" s="277"/>
      <c r="M26452" s="277"/>
      <c r="O26452" s="247"/>
      <c r="AC26452" s="247"/>
      <c r="AT26452" s="247"/>
    </row>
    <row r="26453">
      <c r="C26453" s="277"/>
      <c r="M26453" s="277"/>
      <c r="O26453" s="247"/>
      <c r="AC26453" s="247"/>
      <c r="AT26453" s="247"/>
    </row>
    <row r="26454">
      <c r="C26454" s="277"/>
      <c r="M26454" s="277"/>
      <c r="O26454" s="247"/>
      <c r="AC26454" s="247"/>
      <c r="AT26454" s="247"/>
    </row>
    <row r="26455">
      <c r="C26455" s="277"/>
      <c r="M26455" s="277"/>
      <c r="O26455" s="247"/>
      <c r="AC26455" s="247"/>
      <c r="AT26455" s="247"/>
    </row>
    <row r="26456">
      <c r="C26456" s="277"/>
      <c r="M26456" s="277"/>
      <c r="O26456" s="247"/>
      <c r="AC26456" s="247"/>
      <c r="AT26456" s="247"/>
    </row>
    <row r="26457">
      <c r="C26457" s="277"/>
      <c r="M26457" s="277"/>
      <c r="O26457" s="247"/>
      <c r="AC26457" s="247"/>
      <c r="AT26457" s="247"/>
    </row>
    <row r="26458">
      <c r="C26458" s="277"/>
      <c r="M26458" s="277"/>
      <c r="O26458" s="247"/>
      <c r="AC26458" s="247"/>
      <c r="AT26458" s="247"/>
    </row>
    <row r="26459">
      <c r="C26459" s="277"/>
      <c r="M26459" s="277"/>
      <c r="O26459" s="247"/>
      <c r="AC26459" s="247"/>
      <c r="AT26459" s="247"/>
    </row>
    <row r="26460">
      <c r="C26460" s="277"/>
      <c r="M26460" s="277"/>
      <c r="O26460" s="247"/>
      <c r="AC26460" s="247"/>
      <c r="AT26460" s="247"/>
    </row>
    <row r="26461">
      <c r="C26461" s="277"/>
      <c r="M26461" s="277"/>
      <c r="O26461" s="247"/>
      <c r="AC26461" s="247"/>
      <c r="AT26461" s="247"/>
    </row>
    <row r="26462">
      <c r="C26462" s="277"/>
      <c r="M26462" s="277"/>
      <c r="O26462" s="247"/>
      <c r="AC26462" s="247"/>
      <c r="AT26462" s="247"/>
    </row>
    <row r="26463">
      <c r="C26463" s="277"/>
      <c r="M26463" s="277"/>
      <c r="O26463" s="247"/>
      <c r="AC26463" s="247"/>
      <c r="AT26463" s="247"/>
    </row>
    <row r="26464">
      <c r="C26464" s="277"/>
      <c r="M26464" s="277"/>
      <c r="O26464" s="247"/>
      <c r="AC26464" s="247"/>
      <c r="AT26464" s="247"/>
    </row>
    <row r="26465">
      <c r="C26465" s="277"/>
      <c r="M26465" s="277"/>
      <c r="O26465" s="247"/>
      <c r="AC26465" s="247"/>
      <c r="AT26465" s="247"/>
    </row>
    <row r="26466">
      <c r="C26466" s="277"/>
      <c r="M26466" s="277"/>
      <c r="O26466" s="247"/>
      <c r="AC26466" s="247"/>
      <c r="AT26466" s="247"/>
    </row>
    <row r="26467">
      <c r="C26467" s="277"/>
      <c r="M26467" s="277"/>
      <c r="O26467" s="247"/>
      <c r="AC26467" s="247"/>
      <c r="AT26467" s="247"/>
    </row>
    <row r="26468">
      <c r="C26468" s="277"/>
      <c r="M26468" s="277"/>
      <c r="O26468" s="247"/>
      <c r="AC26468" s="247"/>
      <c r="AT26468" s="247"/>
    </row>
    <row r="26469">
      <c r="C26469" s="277"/>
      <c r="M26469" s="277"/>
      <c r="O26469" s="247"/>
      <c r="AC26469" s="247"/>
      <c r="AT26469" s="247"/>
    </row>
    <row r="26470">
      <c r="C26470" s="277"/>
      <c r="M26470" s="277"/>
      <c r="O26470" s="247"/>
      <c r="AC26470" s="247"/>
      <c r="AT26470" s="247"/>
    </row>
    <row r="26471">
      <c r="C26471" s="277"/>
      <c r="M26471" s="277"/>
      <c r="O26471" s="247"/>
      <c r="AC26471" s="247"/>
      <c r="AT26471" s="247"/>
    </row>
    <row r="26472">
      <c r="C26472" s="277"/>
      <c r="M26472" s="277"/>
      <c r="O26472" s="247"/>
      <c r="AC26472" s="247"/>
      <c r="AT26472" s="247"/>
    </row>
    <row r="26473">
      <c r="C26473" s="277"/>
      <c r="M26473" s="277"/>
      <c r="O26473" s="247"/>
      <c r="AC26473" s="247"/>
      <c r="AT26473" s="247"/>
    </row>
    <row r="26474">
      <c r="C26474" s="277"/>
      <c r="M26474" s="277"/>
      <c r="O26474" s="247"/>
      <c r="AC26474" s="247"/>
      <c r="AT26474" s="247"/>
    </row>
    <row r="26475">
      <c r="C26475" s="277"/>
      <c r="M26475" s="277"/>
      <c r="O26475" s="247"/>
      <c r="AC26475" s="247"/>
      <c r="AT26475" s="247"/>
    </row>
    <row r="26476">
      <c r="C26476" s="277"/>
      <c r="M26476" s="277"/>
      <c r="O26476" s="247"/>
      <c r="AC26476" s="247"/>
      <c r="AT26476" s="247"/>
    </row>
    <row r="26477">
      <c r="C26477" s="277"/>
      <c r="M26477" s="277"/>
      <c r="O26477" s="247"/>
      <c r="AC26477" s="247"/>
      <c r="AT26477" s="247"/>
    </row>
    <row r="26478">
      <c r="C26478" s="277"/>
      <c r="M26478" s="277"/>
      <c r="O26478" s="247"/>
      <c r="AC26478" s="247"/>
      <c r="AT26478" s="247"/>
    </row>
    <row r="26479">
      <c r="C26479" s="277"/>
      <c r="M26479" s="277"/>
      <c r="O26479" s="247"/>
      <c r="AC26479" s="247"/>
      <c r="AT26479" s="247"/>
    </row>
    <row r="26480">
      <c r="C26480" s="277"/>
      <c r="M26480" s="277"/>
      <c r="O26480" s="247"/>
      <c r="AC26480" s="247"/>
      <c r="AT26480" s="247"/>
    </row>
    <row r="26481">
      <c r="C26481" s="277"/>
      <c r="M26481" s="277"/>
      <c r="O26481" s="247"/>
      <c r="AC26481" s="247"/>
      <c r="AT26481" s="247"/>
    </row>
    <row r="26482">
      <c r="C26482" s="277"/>
      <c r="M26482" s="277"/>
      <c r="O26482" s="247"/>
      <c r="AC26482" s="247"/>
      <c r="AT26482" s="247"/>
    </row>
    <row r="26483">
      <c r="C26483" s="277"/>
      <c r="M26483" s="277"/>
      <c r="O26483" s="247"/>
      <c r="AC26483" s="247"/>
      <c r="AT26483" s="247"/>
    </row>
    <row r="26484">
      <c r="C26484" s="277"/>
      <c r="M26484" s="277"/>
      <c r="O26484" s="247"/>
      <c r="AC26484" s="247"/>
      <c r="AT26484" s="247"/>
    </row>
    <row r="26485">
      <c r="C26485" s="277"/>
      <c r="M26485" s="277"/>
      <c r="O26485" s="247"/>
      <c r="AC26485" s="247"/>
      <c r="AT26485" s="247"/>
    </row>
    <row r="26486">
      <c r="C26486" s="277"/>
      <c r="M26486" s="277"/>
      <c r="O26486" s="247"/>
      <c r="AC26486" s="247"/>
      <c r="AT26486" s="247"/>
    </row>
    <row r="26487">
      <c r="C26487" s="277"/>
      <c r="M26487" s="277"/>
      <c r="O26487" s="247"/>
      <c r="AC26487" s="247"/>
      <c r="AT26487" s="247"/>
    </row>
    <row r="26488">
      <c r="C26488" s="277"/>
      <c r="M26488" s="277"/>
      <c r="O26488" s="247"/>
      <c r="AC26488" s="247"/>
      <c r="AT26488" s="247"/>
    </row>
    <row r="26489">
      <c r="C26489" s="277"/>
      <c r="M26489" s="277"/>
      <c r="O26489" s="247"/>
      <c r="AC26489" s="247"/>
      <c r="AT26489" s="247"/>
    </row>
    <row r="26490">
      <c r="C26490" s="277"/>
      <c r="M26490" s="277"/>
      <c r="O26490" s="247"/>
      <c r="AC26490" s="247"/>
      <c r="AT26490" s="247"/>
    </row>
    <row r="26491">
      <c r="C26491" s="277"/>
      <c r="M26491" s="277"/>
      <c r="O26491" s="247"/>
      <c r="AC26491" s="247"/>
      <c r="AT26491" s="247"/>
    </row>
    <row r="26492">
      <c r="C26492" s="277"/>
      <c r="M26492" s="277"/>
      <c r="O26492" s="247"/>
      <c r="AC26492" s="247"/>
      <c r="AT26492" s="247"/>
    </row>
    <row r="26493">
      <c r="C26493" s="277"/>
      <c r="M26493" s="277"/>
      <c r="O26493" s="247"/>
      <c r="AC26493" s="247"/>
      <c r="AT26493" s="247"/>
    </row>
    <row r="26494">
      <c r="C26494" s="277"/>
      <c r="M26494" s="277"/>
      <c r="O26494" s="247"/>
      <c r="AC26494" s="247"/>
      <c r="AT26494" s="247"/>
    </row>
    <row r="26495">
      <c r="C26495" s="277"/>
      <c r="M26495" s="277"/>
      <c r="O26495" s="247"/>
      <c r="AC26495" s="247"/>
      <c r="AT26495" s="247"/>
    </row>
    <row r="26496">
      <c r="C26496" s="277"/>
      <c r="M26496" s="277"/>
      <c r="O26496" s="247"/>
      <c r="AC26496" s="247"/>
      <c r="AT26496" s="247"/>
    </row>
    <row r="26497">
      <c r="C26497" s="277"/>
      <c r="M26497" s="277"/>
      <c r="O26497" s="247"/>
      <c r="AC26497" s="247"/>
      <c r="AT26497" s="247"/>
    </row>
    <row r="26498">
      <c r="C26498" s="277"/>
      <c r="M26498" s="277"/>
      <c r="O26498" s="247"/>
      <c r="AC26498" s="247"/>
      <c r="AT26498" s="247"/>
    </row>
    <row r="26499">
      <c r="C26499" s="277"/>
      <c r="M26499" s="277"/>
      <c r="O26499" s="247"/>
      <c r="AC26499" s="247"/>
      <c r="AT26499" s="247"/>
    </row>
    <row r="26500">
      <c r="C26500" s="277"/>
      <c r="M26500" s="277"/>
      <c r="O26500" s="247"/>
      <c r="AC26500" s="247"/>
      <c r="AT26500" s="247"/>
    </row>
    <row r="26501">
      <c r="C26501" s="277"/>
      <c r="M26501" s="277"/>
      <c r="O26501" s="247"/>
      <c r="AC26501" s="247"/>
      <c r="AT26501" s="247"/>
    </row>
    <row r="26502">
      <c r="C26502" s="277"/>
      <c r="M26502" s="277"/>
      <c r="O26502" s="247"/>
      <c r="AC26502" s="247"/>
      <c r="AT26502" s="247"/>
    </row>
    <row r="26503">
      <c r="C26503" s="277"/>
      <c r="M26503" s="277"/>
      <c r="O26503" s="247"/>
      <c r="AC26503" s="247"/>
      <c r="AT26503" s="247"/>
    </row>
    <row r="26504">
      <c r="C26504" s="277"/>
      <c r="M26504" s="277"/>
      <c r="O26504" s="247"/>
      <c r="AC26504" s="247"/>
      <c r="AT26504" s="247"/>
    </row>
    <row r="26505">
      <c r="C26505" s="277"/>
      <c r="M26505" s="277"/>
      <c r="O26505" s="247"/>
      <c r="AC26505" s="247"/>
      <c r="AT26505" s="247"/>
    </row>
    <row r="26506">
      <c r="C26506" s="277"/>
      <c r="M26506" s="277"/>
      <c r="O26506" s="247"/>
      <c r="AC26506" s="247"/>
      <c r="AT26506" s="247"/>
    </row>
    <row r="26507">
      <c r="C26507" s="277"/>
      <c r="M26507" s="277"/>
      <c r="O26507" s="247"/>
      <c r="AC26507" s="247"/>
      <c r="AT26507" s="247"/>
    </row>
    <row r="26508">
      <c r="C26508" s="277"/>
      <c r="M26508" s="277"/>
      <c r="O26508" s="247"/>
      <c r="AC26508" s="247"/>
      <c r="AT26508" s="247"/>
    </row>
    <row r="26509">
      <c r="C26509" s="277"/>
      <c r="M26509" s="277"/>
      <c r="O26509" s="247"/>
      <c r="AC26509" s="247"/>
      <c r="AT26509" s="247"/>
    </row>
    <row r="26510">
      <c r="C26510" s="277"/>
      <c r="M26510" s="277"/>
      <c r="O26510" s="247"/>
      <c r="AC26510" s="247"/>
      <c r="AT26510" s="247"/>
    </row>
    <row r="26511">
      <c r="C26511" s="277"/>
      <c r="M26511" s="277"/>
      <c r="O26511" s="247"/>
      <c r="AC26511" s="247"/>
      <c r="AT26511" s="247"/>
    </row>
    <row r="26512">
      <c r="C26512" s="277"/>
      <c r="M26512" s="277"/>
      <c r="O26512" s="247"/>
      <c r="AC26512" s="247"/>
      <c r="AT26512" s="247"/>
    </row>
    <row r="26513">
      <c r="C26513" s="277"/>
      <c r="M26513" s="277"/>
      <c r="O26513" s="247"/>
      <c r="AC26513" s="247"/>
      <c r="AT26513" s="247"/>
    </row>
    <row r="26514">
      <c r="C26514" s="277"/>
      <c r="M26514" s="277"/>
      <c r="O26514" s="247"/>
      <c r="AC26514" s="247"/>
      <c r="AT26514" s="247"/>
    </row>
    <row r="26515">
      <c r="C26515" s="277"/>
      <c r="M26515" s="277"/>
      <c r="O26515" s="247"/>
      <c r="AC26515" s="247"/>
      <c r="AT26515" s="247"/>
    </row>
    <row r="26516">
      <c r="C26516" s="277"/>
      <c r="M26516" s="277"/>
      <c r="O26516" s="247"/>
      <c r="AC26516" s="247"/>
      <c r="AT26516" s="247"/>
    </row>
    <row r="26517">
      <c r="C26517" s="277"/>
      <c r="M26517" s="277"/>
      <c r="O26517" s="247"/>
      <c r="AC26517" s="247"/>
      <c r="AT26517" s="247"/>
    </row>
    <row r="26518">
      <c r="C26518" s="277"/>
      <c r="M26518" s="277"/>
      <c r="O26518" s="247"/>
      <c r="AC26518" s="247"/>
      <c r="AT26518" s="247"/>
    </row>
    <row r="26519">
      <c r="C26519" s="277"/>
      <c r="M26519" s="277"/>
      <c r="O26519" s="247"/>
      <c r="AC26519" s="247"/>
      <c r="AT26519" s="247"/>
    </row>
    <row r="26520">
      <c r="C26520" s="277"/>
      <c r="M26520" s="277"/>
      <c r="O26520" s="247"/>
      <c r="AC26520" s="247"/>
      <c r="AT26520" s="247"/>
    </row>
    <row r="26521">
      <c r="C26521" s="277"/>
      <c r="M26521" s="277"/>
      <c r="O26521" s="247"/>
      <c r="AC26521" s="247"/>
      <c r="AT26521" s="247"/>
    </row>
    <row r="26522">
      <c r="C26522" s="277"/>
      <c r="M26522" s="277"/>
      <c r="O26522" s="247"/>
      <c r="AC26522" s="247"/>
      <c r="AT26522" s="247"/>
    </row>
    <row r="26523">
      <c r="C26523" s="277"/>
      <c r="M26523" s="277"/>
      <c r="O26523" s="247"/>
      <c r="AC26523" s="247"/>
      <c r="AT26523" s="247"/>
    </row>
    <row r="26524">
      <c r="C26524" s="277"/>
      <c r="M26524" s="277"/>
      <c r="O26524" s="247"/>
      <c r="AC26524" s="247"/>
      <c r="AT26524" s="247"/>
    </row>
    <row r="26525">
      <c r="C26525" s="277"/>
      <c r="M26525" s="277"/>
      <c r="O26525" s="247"/>
      <c r="AC26525" s="247"/>
      <c r="AT26525" s="247"/>
    </row>
    <row r="26526">
      <c r="C26526" s="277"/>
      <c r="M26526" s="277"/>
      <c r="O26526" s="247"/>
      <c r="AC26526" s="247"/>
      <c r="AT26526" s="247"/>
    </row>
    <row r="26527">
      <c r="C26527" s="277"/>
      <c r="M26527" s="277"/>
      <c r="O26527" s="247"/>
      <c r="AC26527" s="247"/>
      <c r="AT26527" s="247"/>
    </row>
    <row r="26528">
      <c r="C26528" s="277"/>
      <c r="M26528" s="277"/>
      <c r="O26528" s="247"/>
      <c r="AC26528" s="247"/>
      <c r="AT26528" s="247"/>
    </row>
    <row r="26529">
      <c r="C26529" s="277"/>
      <c r="M26529" s="277"/>
      <c r="O26529" s="247"/>
      <c r="AC26529" s="247"/>
      <c r="AT26529" s="247"/>
    </row>
    <row r="26530">
      <c r="C26530" s="277"/>
      <c r="M26530" s="277"/>
      <c r="O26530" s="247"/>
      <c r="AC26530" s="247"/>
      <c r="AT26530" s="247"/>
    </row>
    <row r="26531">
      <c r="C26531" s="277"/>
      <c r="M26531" s="277"/>
      <c r="O26531" s="247"/>
      <c r="AC26531" s="247"/>
      <c r="AT26531" s="247"/>
    </row>
    <row r="26532">
      <c r="C26532" s="277"/>
      <c r="M26532" s="277"/>
      <c r="O26532" s="247"/>
      <c r="AC26532" s="247"/>
      <c r="AT26532" s="247"/>
    </row>
    <row r="26533">
      <c r="C26533" s="277"/>
      <c r="M26533" s="277"/>
      <c r="O26533" s="247"/>
      <c r="AC26533" s="247"/>
      <c r="AT26533" s="247"/>
    </row>
    <row r="26534">
      <c r="C26534" s="277"/>
      <c r="M26534" s="277"/>
      <c r="O26534" s="247"/>
      <c r="AC26534" s="247"/>
      <c r="AT26534" s="247"/>
    </row>
    <row r="26535">
      <c r="C26535" s="277"/>
      <c r="M26535" s="277"/>
      <c r="O26535" s="247"/>
      <c r="AC26535" s="247"/>
      <c r="AT26535" s="247"/>
    </row>
    <row r="26536">
      <c r="C26536" s="277"/>
      <c r="M26536" s="277"/>
      <c r="O26536" s="247"/>
      <c r="AC26536" s="247"/>
      <c r="AT26536" s="247"/>
    </row>
    <row r="26537">
      <c r="C26537" s="277"/>
      <c r="M26537" s="277"/>
      <c r="O26537" s="247"/>
      <c r="AC26537" s="247"/>
      <c r="AT26537" s="247"/>
    </row>
    <row r="26538">
      <c r="C26538" s="277"/>
      <c r="M26538" s="277"/>
      <c r="O26538" s="247"/>
      <c r="AC26538" s="247"/>
      <c r="AT26538" s="247"/>
    </row>
    <row r="26539">
      <c r="C26539" s="277"/>
      <c r="M26539" s="277"/>
      <c r="O26539" s="247"/>
      <c r="AC26539" s="247"/>
      <c r="AT26539" s="247"/>
    </row>
    <row r="26540">
      <c r="C26540" s="277"/>
      <c r="M26540" s="277"/>
      <c r="O26540" s="247"/>
      <c r="AC26540" s="247"/>
      <c r="AT26540" s="247"/>
    </row>
    <row r="26541">
      <c r="C26541" s="277"/>
      <c r="M26541" s="277"/>
      <c r="O26541" s="247"/>
      <c r="AC26541" s="247"/>
      <c r="AT26541" s="247"/>
    </row>
    <row r="26542">
      <c r="C26542" s="277"/>
      <c r="M26542" s="277"/>
      <c r="O26542" s="247"/>
      <c r="AC26542" s="247"/>
      <c r="AT26542" s="247"/>
    </row>
    <row r="26543">
      <c r="C26543" s="277"/>
      <c r="M26543" s="277"/>
      <c r="O26543" s="247"/>
      <c r="AC26543" s="247"/>
      <c r="AT26543" s="247"/>
    </row>
    <row r="26544">
      <c r="C26544" s="277"/>
      <c r="M26544" s="277"/>
      <c r="O26544" s="247"/>
      <c r="AC26544" s="247"/>
      <c r="AT26544" s="247"/>
    </row>
    <row r="26545">
      <c r="C26545" s="277"/>
      <c r="M26545" s="277"/>
      <c r="O26545" s="247"/>
      <c r="AC26545" s="247"/>
      <c r="AT26545" s="247"/>
    </row>
    <row r="26546">
      <c r="C26546" s="277"/>
      <c r="M26546" s="277"/>
      <c r="O26546" s="247"/>
      <c r="AC26546" s="247"/>
      <c r="AT26546" s="247"/>
    </row>
    <row r="26547">
      <c r="C26547" s="277"/>
      <c r="M26547" s="277"/>
      <c r="O26547" s="247"/>
      <c r="AC26547" s="247"/>
      <c r="AT26547" s="247"/>
    </row>
    <row r="26548">
      <c r="C26548" s="277"/>
      <c r="M26548" s="277"/>
      <c r="O26548" s="247"/>
      <c r="AC26548" s="247"/>
      <c r="AT26548" s="247"/>
    </row>
    <row r="26549">
      <c r="C26549" s="277"/>
      <c r="M26549" s="277"/>
      <c r="O26549" s="247"/>
      <c r="AC26549" s="247"/>
      <c r="AT26549" s="247"/>
    </row>
    <row r="26550">
      <c r="C26550" s="277"/>
      <c r="M26550" s="277"/>
      <c r="O26550" s="247"/>
      <c r="AC26550" s="247"/>
      <c r="AT26550" s="247"/>
    </row>
    <row r="26551">
      <c r="C26551" s="277"/>
      <c r="M26551" s="277"/>
      <c r="O26551" s="247"/>
      <c r="AC26551" s="247"/>
      <c r="AT26551" s="247"/>
    </row>
    <row r="26552">
      <c r="C26552" s="277"/>
      <c r="M26552" s="277"/>
      <c r="O26552" s="247"/>
      <c r="AC26552" s="247"/>
      <c r="AT26552" s="247"/>
    </row>
    <row r="26553">
      <c r="C26553" s="277"/>
      <c r="M26553" s="277"/>
      <c r="O26553" s="247"/>
      <c r="AC26553" s="247"/>
      <c r="AT26553" s="247"/>
    </row>
    <row r="26554">
      <c r="C26554" s="277"/>
      <c r="M26554" s="277"/>
      <c r="O26554" s="247"/>
      <c r="AC26554" s="247"/>
      <c r="AT26554" s="247"/>
    </row>
    <row r="26555">
      <c r="C26555" s="277"/>
      <c r="M26555" s="277"/>
      <c r="O26555" s="247"/>
      <c r="AC26555" s="247"/>
      <c r="AT26555" s="247"/>
    </row>
    <row r="26556">
      <c r="C26556" s="277"/>
      <c r="M26556" s="277"/>
      <c r="O26556" s="247"/>
      <c r="AC26556" s="247"/>
      <c r="AT26556" s="247"/>
    </row>
    <row r="26557">
      <c r="C26557" s="277"/>
      <c r="M26557" s="277"/>
      <c r="O26557" s="247"/>
      <c r="AC26557" s="247"/>
      <c r="AT26557" s="247"/>
    </row>
    <row r="26558">
      <c r="C26558" s="277"/>
      <c r="M26558" s="277"/>
      <c r="O26558" s="247"/>
      <c r="AC26558" s="247"/>
      <c r="AT26558" s="247"/>
    </row>
    <row r="26559">
      <c r="C26559" s="277"/>
      <c r="M26559" s="277"/>
      <c r="O26559" s="247"/>
      <c r="AC26559" s="247"/>
      <c r="AT26559" s="247"/>
    </row>
    <row r="26560">
      <c r="C26560" s="277"/>
      <c r="M26560" s="277"/>
      <c r="O26560" s="247"/>
      <c r="AC26560" s="247"/>
      <c r="AT26560" s="247"/>
    </row>
    <row r="26561">
      <c r="C26561" s="277"/>
      <c r="M26561" s="277"/>
      <c r="O26561" s="247"/>
      <c r="AC26561" s="247"/>
      <c r="AT26561" s="247"/>
    </row>
    <row r="26562">
      <c r="C26562" s="277"/>
      <c r="M26562" s="277"/>
      <c r="O26562" s="247"/>
      <c r="AC26562" s="247"/>
      <c r="AT26562" s="247"/>
    </row>
    <row r="26563">
      <c r="C26563" s="277"/>
      <c r="M26563" s="277"/>
      <c r="O26563" s="247"/>
      <c r="AC26563" s="247"/>
      <c r="AT26563" s="247"/>
    </row>
    <row r="26564">
      <c r="C26564" s="277"/>
      <c r="M26564" s="277"/>
      <c r="O26564" s="247"/>
      <c r="AC26564" s="247"/>
      <c r="AT26564" s="247"/>
    </row>
    <row r="26565">
      <c r="C26565" s="277"/>
      <c r="M26565" s="277"/>
      <c r="O26565" s="247"/>
      <c r="AC26565" s="247"/>
      <c r="AT26565" s="247"/>
    </row>
    <row r="26566">
      <c r="C26566" s="277"/>
      <c r="M26566" s="277"/>
      <c r="O26566" s="247"/>
      <c r="AC26566" s="247"/>
      <c r="AT26566" s="247"/>
    </row>
    <row r="26567">
      <c r="C26567" s="277"/>
      <c r="M26567" s="277"/>
      <c r="O26567" s="247"/>
      <c r="AC26567" s="247"/>
      <c r="AT26567" s="247"/>
    </row>
    <row r="26568">
      <c r="C26568" s="277"/>
      <c r="M26568" s="277"/>
      <c r="O26568" s="247"/>
      <c r="AC26568" s="247"/>
      <c r="AT26568" s="247"/>
    </row>
    <row r="26569">
      <c r="C26569" s="277"/>
      <c r="M26569" s="277"/>
      <c r="O26569" s="247"/>
      <c r="AC26569" s="247"/>
      <c r="AT26569" s="247"/>
    </row>
    <row r="26570">
      <c r="C26570" s="277"/>
      <c r="M26570" s="277"/>
      <c r="O26570" s="247"/>
      <c r="AC26570" s="247"/>
      <c r="AT26570" s="247"/>
    </row>
    <row r="26571">
      <c r="C26571" s="277"/>
      <c r="M26571" s="277"/>
      <c r="O26571" s="247"/>
      <c r="AC26571" s="247"/>
      <c r="AT26571" s="247"/>
    </row>
    <row r="26572">
      <c r="C26572" s="277"/>
      <c r="M26572" s="277"/>
      <c r="O26572" s="247"/>
      <c r="AC26572" s="247"/>
      <c r="AT26572" s="247"/>
    </row>
    <row r="26573">
      <c r="C26573" s="277"/>
      <c r="M26573" s="277"/>
      <c r="O26573" s="247"/>
      <c r="AC26573" s="247"/>
      <c r="AT26573" s="247"/>
    </row>
    <row r="26574">
      <c r="C26574" s="277"/>
      <c r="M26574" s="277"/>
      <c r="O26574" s="247"/>
      <c r="AC26574" s="247"/>
      <c r="AT26574" s="247"/>
    </row>
    <row r="26575">
      <c r="C26575" s="277"/>
      <c r="M26575" s="277"/>
      <c r="O26575" s="247"/>
      <c r="AC26575" s="247"/>
      <c r="AT26575" s="247"/>
    </row>
    <row r="26576">
      <c r="C26576" s="277"/>
      <c r="M26576" s="277"/>
      <c r="O26576" s="247"/>
      <c r="AC26576" s="247"/>
      <c r="AT26576" s="247"/>
    </row>
    <row r="26577">
      <c r="C26577" s="277"/>
      <c r="M26577" s="277"/>
      <c r="O26577" s="247"/>
      <c r="AC26577" s="247"/>
      <c r="AT26577" s="247"/>
    </row>
    <row r="26578">
      <c r="C26578" s="277"/>
      <c r="M26578" s="277"/>
      <c r="O26578" s="247"/>
      <c r="AC26578" s="247"/>
      <c r="AT26578" s="247"/>
    </row>
    <row r="26579">
      <c r="C26579" s="277"/>
      <c r="M26579" s="277"/>
      <c r="O26579" s="247"/>
      <c r="AC26579" s="247"/>
      <c r="AT26579" s="247"/>
    </row>
    <row r="26580">
      <c r="C26580" s="277"/>
      <c r="M26580" s="277"/>
      <c r="O26580" s="247"/>
      <c r="AC26580" s="247"/>
      <c r="AT26580" s="247"/>
    </row>
    <row r="26581">
      <c r="C26581" s="277"/>
      <c r="M26581" s="277"/>
      <c r="O26581" s="247"/>
      <c r="AC26581" s="247"/>
      <c r="AT26581" s="247"/>
    </row>
    <row r="26582">
      <c r="C26582" s="277"/>
      <c r="M26582" s="277"/>
      <c r="O26582" s="247"/>
      <c r="AC26582" s="247"/>
      <c r="AT26582" s="247"/>
    </row>
    <row r="26583">
      <c r="C26583" s="277"/>
      <c r="M26583" s="277"/>
      <c r="O26583" s="247"/>
      <c r="AC26583" s="247"/>
      <c r="AT26583" s="247"/>
    </row>
    <row r="26584">
      <c r="C26584" s="277"/>
      <c r="M26584" s="277"/>
      <c r="O26584" s="247"/>
      <c r="AC26584" s="247"/>
      <c r="AT26584" s="247"/>
    </row>
    <row r="26585">
      <c r="C26585" s="277"/>
      <c r="M26585" s="277"/>
      <c r="O26585" s="247"/>
      <c r="AC26585" s="247"/>
      <c r="AT26585" s="247"/>
    </row>
    <row r="26586">
      <c r="C26586" s="277"/>
      <c r="M26586" s="277"/>
      <c r="O26586" s="247"/>
      <c r="AC26586" s="247"/>
      <c r="AT26586" s="247"/>
    </row>
    <row r="26587">
      <c r="C26587" s="277"/>
      <c r="M26587" s="277"/>
      <c r="O26587" s="247"/>
      <c r="AC26587" s="247"/>
      <c r="AT26587" s="247"/>
    </row>
    <row r="26588">
      <c r="C26588" s="277"/>
      <c r="M26588" s="277"/>
      <c r="O26588" s="247"/>
      <c r="AC26588" s="247"/>
      <c r="AT26588" s="247"/>
    </row>
    <row r="26589">
      <c r="C26589" s="277"/>
      <c r="M26589" s="277"/>
      <c r="O26589" s="247"/>
      <c r="AC26589" s="247"/>
      <c r="AT26589" s="247"/>
    </row>
    <row r="26590">
      <c r="C26590" s="277"/>
      <c r="M26590" s="277"/>
      <c r="O26590" s="247"/>
      <c r="AC26590" s="247"/>
      <c r="AT26590" s="247"/>
    </row>
    <row r="26591">
      <c r="C26591" s="277"/>
      <c r="M26591" s="277"/>
      <c r="O26591" s="247"/>
      <c r="AC26591" s="247"/>
      <c r="AT26591" s="247"/>
    </row>
    <row r="26592">
      <c r="C26592" s="277"/>
      <c r="M26592" s="277"/>
      <c r="O26592" s="247"/>
      <c r="AC26592" s="247"/>
      <c r="AT26592" s="247"/>
    </row>
    <row r="26593">
      <c r="C26593" s="277"/>
      <c r="M26593" s="277"/>
      <c r="O26593" s="247"/>
      <c r="AC26593" s="247"/>
      <c r="AT26593" s="247"/>
    </row>
    <row r="26594">
      <c r="C26594" s="277"/>
      <c r="M26594" s="277"/>
      <c r="O26594" s="247"/>
      <c r="AC26594" s="247"/>
      <c r="AT26594" s="247"/>
    </row>
    <row r="26595">
      <c r="C26595" s="277"/>
      <c r="M26595" s="277"/>
      <c r="O26595" s="247"/>
      <c r="AC26595" s="247"/>
      <c r="AT26595" s="247"/>
    </row>
    <row r="26596">
      <c r="C26596" s="277"/>
      <c r="M26596" s="277"/>
      <c r="O26596" s="247"/>
      <c r="AC26596" s="247"/>
      <c r="AT26596" s="247"/>
    </row>
    <row r="26597">
      <c r="C26597" s="277"/>
      <c r="M26597" s="277"/>
      <c r="O26597" s="247"/>
      <c r="AC26597" s="247"/>
      <c r="AT26597" s="247"/>
    </row>
    <row r="26598">
      <c r="C26598" s="277"/>
      <c r="M26598" s="277"/>
      <c r="O26598" s="247"/>
      <c r="AC26598" s="247"/>
      <c r="AT26598" s="247"/>
    </row>
    <row r="26599">
      <c r="C26599" s="277"/>
      <c r="M26599" s="277"/>
      <c r="O26599" s="247"/>
      <c r="AC26599" s="247"/>
      <c r="AT26599" s="247"/>
    </row>
    <row r="26600">
      <c r="C26600" s="277"/>
      <c r="M26600" s="277"/>
      <c r="O26600" s="247"/>
      <c r="AC26600" s="247"/>
      <c r="AT26600" s="247"/>
    </row>
    <row r="26601">
      <c r="C26601" s="277"/>
      <c r="M26601" s="277"/>
      <c r="O26601" s="247"/>
      <c r="AC26601" s="247"/>
      <c r="AT26601" s="247"/>
    </row>
    <row r="26602">
      <c r="C26602" s="277"/>
      <c r="M26602" s="277"/>
      <c r="O26602" s="247"/>
      <c r="AC26602" s="247"/>
      <c r="AT26602" s="247"/>
    </row>
    <row r="26603">
      <c r="C26603" s="277"/>
      <c r="M26603" s="277"/>
      <c r="O26603" s="247"/>
      <c r="AC26603" s="247"/>
      <c r="AT26603" s="247"/>
    </row>
    <row r="26604">
      <c r="C26604" s="277"/>
      <c r="M26604" s="277"/>
      <c r="O26604" s="247"/>
      <c r="AC26604" s="247"/>
      <c r="AT26604" s="247"/>
    </row>
    <row r="26605">
      <c r="C26605" s="277"/>
      <c r="M26605" s="277"/>
      <c r="O26605" s="247"/>
      <c r="AC26605" s="247"/>
      <c r="AT26605" s="247"/>
    </row>
    <row r="26606">
      <c r="C26606" s="277"/>
      <c r="M26606" s="277"/>
      <c r="O26606" s="247"/>
      <c r="AC26606" s="247"/>
      <c r="AT26606" s="247"/>
    </row>
    <row r="26607">
      <c r="C26607" s="277"/>
      <c r="M26607" s="277"/>
      <c r="O26607" s="247"/>
      <c r="AC26607" s="247"/>
      <c r="AT26607" s="247"/>
    </row>
    <row r="26608">
      <c r="C26608" s="277"/>
      <c r="M26608" s="277"/>
      <c r="O26608" s="247"/>
      <c r="AC26608" s="247"/>
      <c r="AT26608" s="247"/>
    </row>
    <row r="26609">
      <c r="C26609" s="277"/>
      <c r="M26609" s="277"/>
      <c r="O26609" s="247"/>
      <c r="AC26609" s="247"/>
      <c r="AT26609" s="247"/>
    </row>
    <row r="26610">
      <c r="C26610" s="277"/>
      <c r="M26610" s="277"/>
      <c r="O26610" s="247"/>
      <c r="AC26610" s="247"/>
      <c r="AT26610" s="247"/>
    </row>
    <row r="26611">
      <c r="C26611" s="277"/>
      <c r="M26611" s="277"/>
      <c r="O26611" s="247"/>
      <c r="AC26611" s="247"/>
      <c r="AT26611" s="247"/>
    </row>
    <row r="26612">
      <c r="C26612" s="277"/>
      <c r="M26612" s="277"/>
      <c r="O26612" s="247"/>
      <c r="AC26612" s="247"/>
      <c r="AT26612" s="247"/>
    </row>
    <row r="26613">
      <c r="C26613" s="277"/>
      <c r="M26613" s="277"/>
      <c r="O26613" s="247"/>
      <c r="AC26613" s="247"/>
      <c r="AT26613" s="247"/>
    </row>
    <row r="26614">
      <c r="C26614" s="277"/>
      <c r="M26614" s="277"/>
      <c r="O26614" s="247"/>
      <c r="AC26614" s="247"/>
      <c r="AT26614" s="247"/>
    </row>
    <row r="26615">
      <c r="C26615" s="277"/>
      <c r="M26615" s="277"/>
      <c r="O26615" s="247"/>
      <c r="AC26615" s="247"/>
      <c r="AT26615" s="247"/>
    </row>
    <row r="26616">
      <c r="C26616" s="277"/>
      <c r="M26616" s="277"/>
      <c r="O26616" s="247"/>
      <c r="AC26616" s="247"/>
      <c r="AT26616" s="247"/>
    </row>
    <row r="26617">
      <c r="C26617" s="277"/>
      <c r="M26617" s="277"/>
      <c r="O26617" s="247"/>
      <c r="AC26617" s="247"/>
      <c r="AT26617" s="247"/>
    </row>
    <row r="26618">
      <c r="C26618" s="277"/>
      <c r="M26618" s="277"/>
      <c r="O26618" s="247"/>
      <c r="AC26618" s="247"/>
      <c r="AT26618" s="247"/>
    </row>
    <row r="26619">
      <c r="C26619" s="277"/>
      <c r="M26619" s="277"/>
      <c r="O26619" s="247"/>
      <c r="AC26619" s="247"/>
      <c r="AT26619" s="247"/>
    </row>
    <row r="26620">
      <c r="C26620" s="277"/>
      <c r="M26620" s="277"/>
      <c r="O26620" s="247"/>
      <c r="AC26620" s="247"/>
      <c r="AT26620" s="247"/>
    </row>
    <row r="26621">
      <c r="C26621" s="277"/>
      <c r="M26621" s="277"/>
      <c r="O26621" s="247"/>
      <c r="AC26621" s="247"/>
      <c r="AT26621" s="247"/>
    </row>
    <row r="26622">
      <c r="C26622" s="277"/>
      <c r="M26622" s="277"/>
      <c r="O26622" s="247"/>
      <c r="AC26622" s="247"/>
      <c r="AT26622" s="247"/>
    </row>
    <row r="26623">
      <c r="C26623" s="277"/>
      <c r="M26623" s="277"/>
      <c r="O26623" s="247"/>
      <c r="AC26623" s="247"/>
      <c r="AT26623" s="247"/>
    </row>
    <row r="26624">
      <c r="C26624" s="277"/>
      <c r="M26624" s="277"/>
      <c r="O26624" s="247"/>
      <c r="AC26624" s="247"/>
      <c r="AT26624" s="247"/>
    </row>
    <row r="26625">
      <c r="C26625" s="277"/>
      <c r="M26625" s="277"/>
      <c r="O26625" s="247"/>
      <c r="AC26625" s="247"/>
      <c r="AT26625" s="247"/>
    </row>
    <row r="26626">
      <c r="C26626" s="277"/>
      <c r="M26626" s="277"/>
      <c r="O26626" s="247"/>
      <c r="AC26626" s="247"/>
      <c r="AT26626" s="247"/>
    </row>
    <row r="26627">
      <c r="C26627" s="277"/>
      <c r="M26627" s="277"/>
      <c r="O26627" s="247"/>
      <c r="AC26627" s="247"/>
      <c r="AT26627" s="247"/>
    </row>
    <row r="26628">
      <c r="C26628" s="277"/>
      <c r="M26628" s="277"/>
      <c r="O26628" s="247"/>
      <c r="AC26628" s="247"/>
      <c r="AT26628" s="247"/>
    </row>
    <row r="26629">
      <c r="C26629" s="277"/>
      <c r="J26629" s="279"/>
      <c r="M26629" s="277"/>
      <c r="O26629" s="247"/>
      <c r="AC26629" s="247"/>
      <c r="AT26629" s="247"/>
    </row>
    <row r="26630">
      <c r="C26630" s="277"/>
      <c r="M26630" s="277"/>
      <c r="O26630" s="247"/>
      <c r="AC26630" s="247"/>
      <c r="AT26630" s="247"/>
    </row>
    <row r="26631">
      <c r="C26631" s="277"/>
      <c r="M26631" s="277"/>
      <c r="O26631" s="247"/>
      <c r="AC26631" s="247"/>
      <c r="AT26631" s="247"/>
    </row>
    <row r="26632">
      <c r="C26632" s="277"/>
      <c r="M26632" s="277"/>
      <c r="O26632" s="247"/>
      <c r="AC26632" s="247"/>
      <c r="AT26632" s="247"/>
    </row>
    <row r="26633">
      <c r="C26633" s="277"/>
      <c r="M26633" s="277"/>
      <c r="O26633" s="247"/>
      <c r="AC26633" s="247"/>
      <c r="AT26633" s="247"/>
    </row>
    <row r="26634">
      <c r="C26634" s="277"/>
      <c r="M26634" s="277"/>
      <c r="O26634" s="247"/>
      <c r="AC26634" s="247"/>
      <c r="AT26634" s="247"/>
    </row>
    <row r="26635">
      <c r="C26635" s="277"/>
      <c r="M26635" s="277"/>
      <c r="O26635" s="247"/>
      <c r="AC26635" s="247"/>
      <c r="AT26635" s="247"/>
    </row>
    <row r="26636">
      <c r="C26636" s="277"/>
      <c r="M26636" s="277"/>
      <c r="O26636" s="247"/>
      <c r="AC26636" s="247"/>
      <c r="AT26636" s="247"/>
    </row>
    <row r="26637">
      <c r="C26637" s="277"/>
      <c r="M26637" s="277"/>
      <c r="O26637" s="247"/>
      <c r="AC26637" s="247"/>
      <c r="AT26637" s="247"/>
    </row>
    <row r="26638">
      <c r="C26638" s="277"/>
      <c r="M26638" s="277"/>
      <c r="O26638" s="247"/>
      <c r="AC26638" s="247"/>
      <c r="AT26638" s="247"/>
    </row>
    <row r="26639">
      <c r="C26639" s="277"/>
      <c r="M26639" s="277"/>
      <c r="O26639" s="247"/>
      <c r="AC26639" s="247"/>
      <c r="AT26639" s="247"/>
    </row>
    <row r="26640">
      <c r="C26640" s="277"/>
      <c r="M26640" s="277"/>
      <c r="O26640" s="247"/>
      <c r="AC26640" s="247"/>
      <c r="AT26640" s="247"/>
    </row>
    <row r="26641">
      <c r="C26641" s="277"/>
      <c r="M26641" s="277"/>
      <c r="O26641" s="247"/>
      <c r="AC26641" s="247"/>
      <c r="AT26641" s="247"/>
    </row>
    <row r="26642">
      <c r="C26642" s="277"/>
      <c r="M26642" s="277"/>
      <c r="O26642" s="247"/>
      <c r="AC26642" s="247"/>
      <c r="AT26642" s="247"/>
    </row>
    <row r="26643">
      <c r="C26643" s="277"/>
      <c r="M26643" s="277"/>
      <c r="O26643" s="247"/>
      <c r="AC26643" s="247"/>
      <c r="AT26643" s="247"/>
    </row>
    <row r="26644">
      <c r="C26644" s="277"/>
      <c r="M26644" s="277"/>
      <c r="O26644" s="247"/>
      <c r="AC26644" s="247"/>
      <c r="AT26644" s="247"/>
    </row>
    <row r="26645">
      <c r="C26645" s="277"/>
      <c r="M26645" s="277"/>
      <c r="O26645" s="247"/>
      <c r="AC26645" s="247"/>
      <c r="AT26645" s="247"/>
    </row>
    <row r="26646">
      <c r="C26646" s="277"/>
      <c r="M26646" s="277"/>
      <c r="O26646" s="247"/>
      <c r="AC26646" s="247"/>
      <c r="AT26646" s="247"/>
    </row>
    <row r="26647">
      <c r="C26647" s="277"/>
      <c r="M26647" s="277"/>
      <c r="O26647" s="247"/>
      <c r="AC26647" s="247"/>
      <c r="AT26647" s="247"/>
    </row>
    <row r="26648">
      <c r="C26648" s="277"/>
      <c r="M26648" s="277"/>
      <c r="O26648" s="247"/>
      <c r="AC26648" s="247"/>
      <c r="AT26648" s="247"/>
    </row>
    <row r="26649">
      <c r="C26649" s="277"/>
      <c r="M26649" s="277"/>
      <c r="O26649" s="247"/>
      <c r="AC26649" s="247"/>
      <c r="AT26649" s="247"/>
    </row>
    <row r="26650">
      <c r="C26650" s="277"/>
      <c r="M26650" s="277"/>
      <c r="O26650" s="247"/>
      <c r="AC26650" s="247"/>
      <c r="AT26650" s="247"/>
    </row>
    <row r="26651">
      <c r="C26651" s="277"/>
      <c r="M26651" s="277"/>
      <c r="O26651" s="247"/>
      <c r="AC26651" s="247"/>
      <c r="AT26651" s="247"/>
    </row>
    <row r="26652">
      <c r="C26652" s="277"/>
      <c r="M26652" s="277"/>
      <c r="O26652" s="247"/>
      <c r="AC26652" s="247"/>
      <c r="AT26652" s="247"/>
    </row>
    <row r="26653">
      <c r="C26653" s="277"/>
      <c r="M26653" s="277"/>
      <c r="O26653" s="247"/>
      <c r="AC26653" s="247"/>
      <c r="AT26653" s="247"/>
    </row>
    <row r="26654">
      <c r="C26654" s="277"/>
      <c r="M26654" s="277"/>
      <c r="O26654" s="247"/>
      <c r="AC26654" s="247"/>
      <c r="AT26654" s="247"/>
    </row>
    <row r="26655">
      <c r="C26655" s="277"/>
      <c r="M26655" s="277"/>
      <c r="O26655" s="247"/>
      <c r="AC26655" s="247"/>
      <c r="AT26655" s="247"/>
    </row>
    <row r="26656">
      <c r="C26656" s="277"/>
      <c r="M26656" s="277"/>
      <c r="O26656" s="247"/>
      <c r="AC26656" s="247"/>
      <c r="AT26656" s="247"/>
    </row>
    <row r="26657">
      <c r="C26657" s="277"/>
      <c r="M26657" s="277"/>
      <c r="O26657" s="247"/>
      <c r="AC26657" s="247"/>
      <c r="AT26657" s="247"/>
    </row>
    <row r="26658">
      <c r="C26658" s="277"/>
      <c r="M26658" s="277"/>
      <c r="O26658" s="247"/>
      <c r="AC26658" s="247"/>
      <c r="AT26658" s="247"/>
    </row>
    <row r="26659">
      <c r="C26659" s="277"/>
      <c r="M26659" s="277"/>
      <c r="O26659" s="247"/>
      <c r="AC26659" s="247"/>
      <c r="AT26659" s="247"/>
    </row>
    <row r="26660">
      <c r="C26660" s="277"/>
      <c r="M26660" s="277"/>
      <c r="O26660" s="247"/>
      <c r="AC26660" s="247"/>
      <c r="AT26660" s="247"/>
    </row>
    <row r="26661">
      <c r="C26661" s="277"/>
      <c r="M26661" s="277"/>
      <c r="O26661" s="247"/>
      <c r="AC26661" s="247"/>
      <c r="AT26661" s="247"/>
    </row>
    <row r="26662">
      <c r="C26662" s="277"/>
      <c r="M26662" s="277"/>
      <c r="O26662" s="247"/>
      <c r="AC26662" s="247"/>
      <c r="AT26662" s="247"/>
    </row>
    <row r="26663">
      <c r="C26663" s="277"/>
      <c r="M26663" s="277"/>
      <c r="O26663" s="247"/>
      <c r="AC26663" s="247"/>
      <c r="AT26663" s="247"/>
    </row>
    <row r="26664">
      <c r="C26664" s="277"/>
      <c r="M26664" s="277"/>
      <c r="O26664" s="247"/>
      <c r="AC26664" s="247"/>
      <c r="AT26664" s="247"/>
    </row>
    <row r="26665">
      <c r="C26665" s="277"/>
      <c r="M26665" s="277"/>
      <c r="O26665" s="247"/>
      <c r="AC26665" s="247"/>
      <c r="AT26665" s="247"/>
    </row>
    <row r="26666">
      <c r="C26666" s="277"/>
      <c r="M26666" s="277"/>
      <c r="O26666" s="247"/>
      <c r="AC26666" s="247"/>
      <c r="AT26666" s="247"/>
    </row>
    <row r="26667">
      <c r="C26667" s="277"/>
      <c r="M26667" s="277"/>
      <c r="O26667" s="247"/>
      <c r="AC26667" s="247"/>
      <c r="AT26667" s="247"/>
    </row>
    <row r="26668">
      <c r="C26668" s="277"/>
      <c r="M26668" s="277"/>
      <c r="O26668" s="247"/>
      <c r="AC26668" s="247"/>
      <c r="AT26668" s="247"/>
    </row>
    <row r="26669">
      <c r="C26669" s="277"/>
      <c r="M26669" s="277"/>
      <c r="O26669" s="247"/>
      <c r="AC26669" s="247"/>
      <c r="AT26669" s="247"/>
    </row>
    <row r="26670">
      <c r="C26670" s="277"/>
      <c r="M26670" s="277"/>
      <c r="O26670" s="247"/>
      <c r="AC26670" s="247"/>
      <c r="AT26670" s="247"/>
    </row>
    <row r="26671">
      <c r="C26671" s="277"/>
      <c r="M26671" s="277"/>
      <c r="O26671" s="247"/>
      <c r="AC26671" s="247"/>
      <c r="AT26671" s="247"/>
    </row>
    <row r="26672">
      <c r="C26672" s="277"/>
      <c r="M26672" s="277"/>
      <c r="O26672" s="247"/>
      <c r="AC26672" s="247"/>
      <c r="AT26672" s="247"/>
    </row>
    <row r="26673">
      <c r="C26673" s="277"/>
      <c r="M26673" s="277"/>
      <c r="O26673" s="247"/>
      <c r="AC26673" s="247"/>
      <c r="AT26673" s="247"/>
    </row>
    <row r="26674">
      <c r="C26674" s="277"/>
      <c r="M26674" s="277"/>
      <c r="O26674" s="247"/>
      <c r="AC26674" s="247"/>
      <c r="AT26674" s="247"/>
    </row>
    <row r="26675">
      <c r="C26675" s="277"/>
      <c r="M26675" s="277"/>
      <c r="O26675" s="247"/>
      <c r="AC26675" s="247"/>
      <c r="AT26675" s="247"/>
    </row>
    <row r="26676">
      <c r="C26676" s="277"/>
      <c r="M26676" s="277"/>
      <c r="O26676" s="247"/>
      <c r="AC26676" s="247"/>
      <c r="AT26676" s="247"/>
    </row>
    <row r="26677">
      <c r="C26677" s="277"/>
      <c r="M26677" s="277"/>
      <c r="O26677" s="247"/>
      <c r="AC26677" s="247"/>
      <c r="AT26677" s="247"/>
    </row>
    <row r="26678">
      <c r="C26678" s="277"/>
      <c r="M26678" s="277"/>
      <c r="O26678" s="247"/>
      <c r="AC26678" s="247"/>
      <c r="AT26678" s="247"/>
    </row>
    <row r="26679">
      <c r="C26679" s="277"/>
      <c r="M26679" s="277"/>
      <c r="O26679" s="247"/>
      <c r="AC26679" s="247"/>
      <c r="AT26679" s="247"/>
    </row>
    <row r="26680">
      <c r="C26680" s="277"/>
      <c r="M26680" s="277"/>
      <c r="O26680" s="247"/>
      <c r="AC26680" s="247"/>
      <c r="AT26680" s="247"/>
    </row>
    <row r="26681">
      <c r="C26681" s="277"/>
      <c r="M26681" s="277"/>
      <c r="O26681" s="247"/>
      <c r="AC26681" s="247"/>
      <c r="AT26681" s="247"/>
    </row>
    <row r="26682">
      <c r="C26682" s="277"/>
      <c r="M26682" s="277"/>
      <c r="O26682" s="247"/>
      <c r="AC26682" s="247"/>
      <c r="AT26682" s="247"/>
    </row>
    <row r="26683">
      <c r="C26683" s="277"/>
      <c r="M26683" s="277"/>
      <c r="O26683" s="247"/>
      <c r="AC26683" s="247"/>
      <c r="AT26683" s="247"/>
    </row>
    <row r="26684">
      <c r="C26684" s="277"/>
      <c r="M26684" s="277"/>
      <c r="O26684" s="247"/>
      <c r="AC26684" s="247"/>
      <c r="AT26684" s="247"/>
    </row>
    <row r="26685">
      <c r="C26685" s="277"/>
      <c r="M26685" s="277"/>
      <c r="O26685" s="247"/>
      <c r="AC26685" s="247"/>
      <c r="AT26685" s="247"/>
    </row>
    <row r="26686">
      <c r="C26686" s="277"/>
      <c r="M26686" s="277"/>
      <c r="O26686" s="247"/>
      <c r="AC26686" s="247"/>
      <c r="AT26686" s="247"/>
    </row>
    <row r="26687">
      <c r="C26687" s="277"/>
      <c r="M26687" s="277"/>
      <c r="O26687" s="247"/>
      <c r="AC26687" s="247"/>
      <c r="AT26687" s="247"/>
    </row>
    <row r="26688">
      <c r="C26688" s="277"/>
      <c r="M26688" s="277"/>
      <c r="O26688" s="247"/>
      <c r="AC26688" s="247"/>
      <c r="AT26688" s="247"/>
    </row>
    <row r="26689">
      <c r="C26689" s="277"/>
      <c r="M26689" s="277"/>
      <c r="O26689" s="247"/>
      <c r="AC26689" s="247"/>
      <c r="AT26689" s="247"/>
    </row>
    <row r="26690">
      <c r="C26690" s="277"/>
      <c r="M26690" s="277"/>
      <c r="O26690" s="247"/>
      <c r="AC26690" s="247"/>
      <c r="AT26690" s="247"/>
    </row>
    <row r="26691">
      <c r="C26691" s="277"/>
      <c r="M26691" s="277"/>
      <c r="O26691" s="247"/>
      <c r="AC26691" s="247"/>
      <c r="AT26691" s="247"/>
    </row>
    <row r="26692">
      <c r="C26692" s="277"/>
      <c r="M26692" s="277"/>
      <c r="O26692" s="247"/>
      <c r="AC26692" s="247"/>
      <c r="AT26692" s="247"/>
    </row>
    <row r="26693">
      <c r="C26693" s="277"/>
      <c r="M26693" s="277"/>
      <c r="O26693" s="247"/>
      <c r="AC26693" s="247"/>
      <c r="AT26693" s="247"/>
    </row>
    <row r="26694">
      <c r="C26694" s="277"/>
      <c r="M26694" s="277"/>
      <c r="O26694" s="247"/>
      <c r="AC26694" s="247"/>
      <c r="AT26694" s="247"/>
    </row>
    <row r="26695">
      <c r="C26695" s="277"/>
      <c r="M26695" s="277"/>
      <c r="O26695" s="247"/>
      <c r="AC26695" s="247"/>
      <c r="AT26695" s="247"/>
    </row>
    <row r="26696">
      <c r="C26696" s="277"/>
      <c r="M26696" s="277"/>
      <c r="O26696" s="247"/>
      <c r="AC26696" s="247"/>
      <c r="AT26696" s="247"/>
    </row>
    <row r="26697">
      <c r="C26697" s="277"/>
      <c r="M26697" s="277"/>
      <c r="O26697" s="247"/>
      <c r="AC26697" s="247"/>
      <c r="AT26697" s="247"/>
    </row>
    <row r="26698">
      <c r="C26698" s="277"/>
      <c r="M26698" s="277"/>
      <c r="O26698" s="247"/>
      <c r="AC26698" s="247"/>
      <c r="AT26698" s="247"/>
    </row>
    <row r="26699">
      <c r="C26699" s="277"/>
      <c r="M26699" s="277"/>
      <c r="O26699" s="247"/>
      <c r="AC26699" s="247"/>
      <c r="AT26699" s="247"/>
    </row>
    <row r="26700">
      <c r="C26700" s="277"/>
      <c r="M26700" s="277"/>
      <c r="O26700" s="247"/>
      <c r="AC26700" s="247"/>
      <c r="AT26700" s="247"/>
    </row>
    <row r="26701">
      <c r="C26701" s="277"/>
      <c r="M26701" s="277"/>
      <c r="O26701" s="247"/>
      <c r="AC26701" s="247"/>
      <c r="AT26701" s="247"/>
    </row>
    <row r="26702">
      <c r="C26702" s="277"/>
      <c r="M26702" s="277"/>
      <c r="O26702" s="247"/>
      <c r="AC26702" s="247"/>
      <c r="AT26702" s="247"/>
    </row>
    <row r="26703">
      <c r="C26703" s="277"/>
      <c r="M26703" s="277"/>
      <c r="O26703" s="247"/>
      <c r="AC26703" s="247"/>
      <c r="AT26703" s="247"/>
    </row>
    <row r="26704">
      <c r="C26704" s="277"/>
      <c r="M26704" s="277"/>
      <c r="O26704" s="247"/>
      <c r="AC26704" s="247"/>
      <c r="AT26704" s="247"/>
    </row>
    <row r="26705">
      <c r="C26705" s="277"/>
      <c r="M26705" s="277"/>
      <c r="O26705" s="247"/>
      <c r="AC26705" s="247"/>
      <c r="AT26705" s="247"/>
    </row>
    <row r="26706">
      <c r="C26706" s="277"/>
      <c r="M26706" s="277"/>
      <c r="O26706" s="247"/>
      <c r="AC26706" s="247"/>
      <c r="AT26706" s="247"/>
    </row>
    <row r="26707">
      <c r="C26707" s="277"/>
      <c r="M26707" s="277"/>
      <c r="O26707" s="247"/>
      <c r="AC26707" s="247"/>
      <c r="AT26707" s="247"/>
    </row>
    <row r="26708">
      <c r="C26708" s="277"/>
      <c r="M26708" s="277"/>
      <c r="O26708" s="247"/>
      <c r="AC26708" s="247"/>
      <c r="AT26708" s="247"/>
    </row>
    <row r="26709">
      <c r="C26709" s="277"/>
      <c r="M26709" s="277"/>
      <c r="O26709" s="247"/>
      <c r="AC26709" s="247"/>
      <c r="AT26709" s="247"/>
    </row>
    <row r="26710">
      <c r="C26710" s="277"/>
      <c r="M26710" s="277"/>
      <c r="O26710" s="247"/>
      <c r="AC26710" s="247"/>
      <c r="AT26710" s="247"/>
    </row>
    <row r="26711">
      <c r="C26711" s="277"/>
      <c r="M26711" s="277"/>
      <c r="O26711" s="247"/>
      <c r="AC26711" s="247"/>
      <c r="AT26711" s="247"/>
    </row>
    <row r="26712">
      <c r="C26712" s="277"/>
      <c r="M26712" s="277"/>
      <c r="O26712" s="247"/>
      <c r="AC26712" s="247"/>
      <c r="AT26712" s="247"/>
    </row>
    <row r="26713">
      <c r="C26713" s="277"/>
      <c r="M26713" s="277"/>
      <c r="O26713" s="247"/>
      <c r="AC26713" s="247"/>
      <c r="AT26713" s="247"/>
    </row>
    <row r="26714">
      <c r="C26714" s="277"/>
      <c r="M26714" s="277"/>
      <c r="O26714" s="247"/>
      <c r="AC26714" s="247"/>
      <c r="AT26714" s="247"/>
    </row>
    <row r="26715">
      <c r="C26715" s="277"/>
      <c r="M26715" s="277"/>
      <c r="O26715" s="247"/>
      <c r="AC26715" s="247"/>
      <c r="AT26715" s="247"/>
    </row>
    <row r="26716">
      <c r="C26716" s="277"/>
      <c r="M26716" s="277"/>
      <c r="O26716" s="247"/>
      <c r="AC26716" s="247"/>
      <c r="AT26716" s="247"/>
    </row>
    <row r="26717">
      <c r="C26717" s="277"/>
      <c r="M26717" s="277"/>
      <c r="O26717" s="247"/>
      <c r="AC26717" s="247"/>
      <c r="AT26717" s="247"/>
    </row>
    <row r="26718">
      <c r="C26718" s="277"/>
      <c r="M26718" s="277"/>
      <c r="O26718" s="247"/>
      <c r="AC26718" s="247"/>
      <c r="AT26718" s="247"/>
    </row>
    <row r="26719">
      <c r="C26719" s="277"/>
      <c r="M26719" s="277"/>
      <c r="O26719" s="247"/>
      <c r="AC26719" s="247"/>
      <c r="AT26719" s="247"/>
    </row>
    <row r="26720">
      <c r="C26720" s="277"/>
      <c r="M26720" s="277"/>
      <c r="O26720" s="247"/>
      <c r="AC26720" s="247"/>
      <c r="AT26720" s="247"/>
    </row>
    <row r="26721">
      <c r="C26721" s="277"/>
      <c r="M26721" s="277"/>
      <c r="O26721" s="247"/>
      <c r="AC26721" s="247"/>
      <c r="AT26721" s="247"/>
    </row>
    <row r="26722">
      <c r="C26722" s="277"/>
      <c r="M26722" s="277"/>
      <c r="O26722" s="247"/>
      <c r="AC26722" s="247"/>
      <c r="AT26722" s="247"/>
    </row>
    <row r="26723">
      <c r="C26723" s="277"/>
      <c r="M26723" s="277"/>
      <c r="O26723" s="247"/>
      <c r="AC26723" s="247"/>
      <c r="AT26723" s="247"/>
    </row>
    <row r="26724">
      <c r="C26724" s="277"/>
      <c r="M26724" s="277"/>
      <c r="O26724" s="247"/>
      <c r="AC26724" s="247"/>
      <c r="AT26724" s="247"/>
    </row>
    <row r="26725">
      <c r="C26725" s="277"/>
      <c r="M26725" s="277"/>
      <c r="O26725" s="247"/>
      <c r="AC26725" s="247"/>
      <c r="AT26725" s="247"/>
    </row>
    <row r="26726">
      <c r="C26726" s="277"/>
      <c r="M26726" s="277"/>
      <c r="O26726" s="247"/>
      <c r="AC26726" s="247"/>
      <c r="AT26726" s="247"/>
    </row>
    <row r="26727">
      <c r="C26727" s="277"/>
      <c r="M26727" s="277"/>
      <c r="O26727" s="247"/>
      <c r="AC26727" s="247"/>
      <c r="AT26727" s="247"/>
    </row>
    <row r="26728">
      <c r="C26728" s="277"/>
      <c r="M26728" s="277"/>
      <c r="O26728" s="247"/>
      <c r="AC26728" s="247"/>
      <c r="AT26728" s="247"/>
    </row>
    <row r="26729">
      <c r="C26729" s="277"/>
      <c r="M26729" s="277"/>
      <c r="O26729" s="247"/>
      <c r="AC26729" s="247"/>
      <c r="AT26729" s="247"/>
    </row>
    <row r="26730">
      <c r="C26730" s="277"/>
      <c r="M26730" s="277"/>
      <c r="O26730" s="247"/>
      <c r="AC26730" s="247"/>
      <c r="AT26730" s="247"/>
    </row>
    <row r="26731">
      <c r="C26731" s="277"/>
      <c r="M26731" s="277"/>
      <c r="O26731" s="247"/>
      <c r="AC26731" s="247"/>
      <c r="AT26731" s="247"/>
    </row>
    <row r="26732">
      <c r="C26732" s="277"/>
      <c r="M26732" s="277"/>
      <c r="O26732" s="247"/>
      <c r="AC26732" s="247"/>
      <c r="AT26732" s="247"/>
    </row>
    <row r="26733">
      <c r="C26733" s="277"/>
      <c r="M26733" s="277"/>
      <c r="O26733" s="247"/>
      <c r="AC26733" s="247"/>
      <c r="AT26733" s="247"/>
    </row>
    <row r="26734">
      <c r="C26734" s="277"/>
      <c r="M26734" s="277"/>
      <c r="O26734" s="247"/>
      <c r="AC26734" s="247"/>
      <c r="AT26734" s="247"/>
    </row>
    <row r="26735">
      <c r="C26735" s="277"/>
      <c r="M26735" s="277"/>
      <c r="O26735" s="247"/>
      <c r="AC26735" s="247"/>
      <c r="AT26735" s="247"/>
    </row>
    <row r="26736">
      <c r="C26736" s="277"/>
      <c r="M26736" s="277"/>
      <c r="O26736" s="247"/>
      <c r="AC26736" s="247"/>
      <c r="AT26736" s="247"/>
    </row>
    <row r="26737">
      <c r="C26737" s="277"/>
      <c r="M26737" s="277"/>
      <c r="O26737" s="247"/>
      <c r="AC26737" s="247"/>
      <c r="AT26737" s="247"/>
    </row>
    <row r="26738">
      <c r="C26738" s="277"/>
      <c r="M26738" s="277"/>
      <c r="O26738" s="247"/>
      <c r="AC26738" s="247"/>
      <c r="AT26738" s="247"/>
    </row>
    <row r="26739">
      <c r="C26739" s="277"/>
      <c r="M26739" s="277"/>
      <c r="O26739" s="247"/>
      <c r="AC26739" s="247"/>
      <c r="AT26739" s="247"/>
    </row>
    <row r="26740">
      <c r="C26740" s="277"/>
      <c r="M26740" s="277"/>
      <c r="O26740" s="247"/>
      <c r="AC26740" s="247"/>
      <c r="AT26740" s="247"/>
    </row>
    <row r="26741">
      <c r="C26741" s="277"/>
      <c r="M26741" s="277"/>
      <c r="O26741" s="247"/>
      <c r="AC26741" s="247"/>
      <c r="AT26741" s="247"/>
    </row>
    <row r="26742">
      <c r="C26742" s="277"/>
      <c r="M26742" s="277"/>
      <c r="O26742" s="247"/>
      <c r="AC26742" s="247"/>
      <c r="AT26742" s="247"/>
    </row>
    <row r="26743">
      <c r="C26743" s="277"/>
      <c r="M26743" s="277"/>
      <c r="O26743" s="247"/>
      <c r="AC26743" s="247"/>
      <c r="AT26743" s="247"/>
    </row>
    <row r="26744">
      <c r="C26744" s="277"/>
      <c r="M26744" s="277"/>
      <c r="O26744" s="247"/>
      <c r="AC26744" s="247"/>
      <c r="AT26744" s="247"/>
    </row>
    <row r="26745">
      <c r="C26745" s="277"/>
      <c r="M26745" s="277"/>
      <c r="O26745" s="247"/>
      <c r="AC26745" s="247"/>
      <c r="AT26745" s="247"/>
    </row>
    <row r="26746">
      <c r="C26746" s="277"/>
      <c r="M26746" s="277"/>
      <c r="O26746" s="247"/>
      <c r="AC26746" s="247"/>
      <c r="AT26746" s="247"/>
    </row>
    <row r="26747">
      <c r="C26747" s="277"/>
      <c r="M26747" s="277"/>
      <c r="O26747" s="247"/>
      <c r="AC26747" s="247"/>
      <c r="AT26747" s="247"/>
    </row>
    <row r="26748">
      <c r="C26748" s="277"/>
      <c r="M26748" s="277"/>
      <c r="O26748" s="247"/>
      <c r="AC26748" s="247"/>
      <c r="AT26748" s="247"/>
    </row>
    <row r="26749">
      <c r="C26749" s="277"/>
      <c r="M26749" s="277"/>
      <c r="O26749" s="247"/>
      <c r="AC26749" s="247"/>
      <c r="AT26749" s="247"/>
    </row>
    <row r="26750">
      <c r="C26750" s="277"/>
      <c r="M26750" s="277"/>
      <c r="O26750" s="247"/>
      <c r="AC26750" s="247"/>
      <c r="AT26750" s="247"/>
    </row>
    <row r="26751">
      <c r="C26751" s="277"/>
      <c r="M26751" s="277"/>
      <c r="O26751" s="247"/>
      <c r="AC26751" s="247"/>
      <c r="AT26751" s="247"/>
    </row>
    <row r="26752">
      <c r="C26752" s="277"/>
      <c r="M26752" s="277"/>
      <c r="O26752" s="247"/>
      <c r="AC26752" s="247"/>
      <c r="AT26752" s="247"/>
    </row>
    <row r="26753">
      <c r="C26753" s="277"/>
      <c r="M26753" s="277"/>
      <c r="O26753" s="247"/>
      <c r="AC26753" s="247"/>
      <c r="AT26753" s="247"/>
    </row>
    <row r="26754">
      <c r="C26754" s="277"/>
      <c r="M26754" s="277"/>
      <c r="O26754" s="247"/>
      <c r="AC26754" s="247"/>
      <c r="AT26754" s="247"/>
    </row>
    <row r="26755">
      <c r="C26755" s="277"/>
      <c r="M26755" s="277"/>
      <c r="O26755" s="247"/>
      <c r="AC26755" s="247"/>
      <c r="AT26755" s="247"/>
    </row>
    <row r="26756">
      <c r="C26756" s="277"/>
      <c r="M26756" s="277"/>
      <c r="O26756" s="247"/>
      <c r="AC26756" s="247"/>
      <c r="AT26756" s="247"/>
    </row>
    <row r="26757">
      <c r="C26757" s="277"/>
      <c r="M26757" s="277"/>
      <c r="O26757" s="247"/>
      <c r="AC26757" s="247"/>
      <c r="AT26757" s="247"/>
    </row>
    <row r="26758">
      <c r="C26758" s="277"/>
      <c r="M26758" s="277"/>
      <c r="O26758" s="247"/>
      <c r="AC26758" s="247"/>
      <c r="AT26758" s="247"/>
    </row>
    <row r="26759">
      <c r="C26759" s="277"/>
      <c r="M26759" s="277"/>
      <c r="O26759" s="247"/>
      <c r="AC26759" s="247"/>
      <c r="AT26759" s="247"/>
    </row>
    <row r="26760">
      <c r="C26760" s="277"/>
      <c r="M26760" s="277"/>
      <c r="O26760" s="247"/>
      <c r="AC26760" s="247"/>
      <c r="AT26760" s="247"/>
    </row>
    <row r="26761">
      <c r="C26761" s="277"/>
      <c r="M26761" s="277"/>
      <c r="O26761" s="247"/>
      <c r="AC26761" s="247"/>
      <c r="AT26761" s="247"/>
    </row>
    <row r="26762">
      <c r="C26762" s="277"/>
      <c r="M26762" s="277"/>
      <c r="O26762" s="247"/>
      <c r="AC26762" s="247"/>
      <c r="AT26762" s="247"/>
    </row>
    <row r="26763">
      <c r="C26763" s="277"/>
      <c r="M26763" s="277"/>
      <c r="O26763" s="247"/>
      <c r="AC26763" s="247"/>
      <c r="AT26763" s="247"/>
    </row>
    <row r="26764">
      <c r="C26764" s="277"/>
      <c r="M26764" s="277"/>
      <c r="O26764" s="247"/>
      <c r="AC26764" s="247"/>
      <c r="AT26764" s="247"/>
    </row>
    <row r="26765">
      <c r="C26765" s="277"/>
      <c r="M26765" s="277"/>
      <c r="O26765" s="247"/>
      <c r="AC26765" s="247"/>
      <c r="AT26765" s="247"/>
    </row>
    <row r="26766">
      <c r="C26766" s="277"/>
      <c r="M26766" s="277"/>
      <c r="O26766" s="247"/>
      <c r="AC26766" s="247"/>
      <c r="AT26766" s="247"/>
    </row>
    <row r="26767">
      <c r="C26767" s="277"/>
      <c r="M26767" s="277"/>
      <c r="O26767" s="247"/>
      <c r="AC26767" s="247"/>
      <c r="AT26767" s="247"/>
    </row>
    <row r="26768">
      <c r="C26768" s="277"/>
      <c r="M26768" s="277"/>
      <c r="O26768" s="247"/>
      <c r="AC26768" s="247"/>
      <c r="AT26768" s="247"/>
    </row>
    <row r="26769">
      <c r="C26769" s="277"/>
      <c r="M26769" s="277"/>
      <c r="O26769" s="247"/>
      <c r="AC26769" s="247"/>
      <c r="AT26769" s="247"/>
    </row>
    <row r="26770">
      <c r="C26770" s="277"/>
      <c r="M26770" s="277"/>
      <c r="O26770" s="247"/>
      <c r="AC26770" s="247"/>
      <c r="AT26770" s="247"/>
    </row>
    <row r="26771">
      <c r="C26771" s="277"/>
      <c r="M26771" s="277"/>
      <c r="O26771" s="247"/>
      <c r="AC26771" s="247"/>
      <c r="AT26771" s="247"/>
    </row>
    <row r="26772">
      <c r="C26772" s="277"/>
      <c r="M26772" s="277"/>
      <c r="O26772" s="247"/>
      <c r="AC26772" s="247"/>
      <c r="AT26772" s="247"/>
    </row>
    <row r="26773">
      <c r="C26773" s="277"/>
      <c r="M26773" s="277"/>
      <c r="O26773" s="247"/>
      <c r="AC26773" s="247"/>
      <c r="AT26773" s="247"/>
    </row>
    <row r="26774">
      <c r="C26774" s="277"/>
      <c r="M26774" s="277"/>
      <c r="O26774" s="247"/>
      <c r="AC26774" s="247"/>
      <c r="AT26774" s="247"/>
    </row>
    <row r="26775">
      <c r="C26775" s="277"/>
      <c r="M26775" s="277"/>
      <c r="O26775" s="247"/>
      <c r="AC26775" s="247"/>
      <c r="AT26775" s="247"/>
    </row>
    <row r="26776">
      <c r="C26776" s="277"/>
      <c r="M26776" s="277"/>
      <c r="O26776" s="247"/>
      <c r="AC26776" s="247"/>
      <c r="AT26776" s="247"/>
    </row>
    <row r="26777">
      <c r="C26777" s="277"/>
      <c r="M26777" s="277"/>
      <c r="O26777" s="247"/>
      <c r="AC26777" s="247"/>
      <c r="AT26777" s="247"/>
    </row>
    <row r="26778">
      <c r="C26778" s="277"/>
      <c r="M26778" s="277"/>
      <c r="O26778" s="247"/>
      <c r="AC26778" s="247"/>
      <c r="AT26778" s="247"/>
    </row>
    <row r="26779">
      <c r="C26779" s="277"/>
      <c r="M26779" s="277"/>
      <c r="O26779" s="247"/>
      <c r="AC26779" s="247"/>
      <c r="AT26779" s="247"/>
    </row>
    <row r="26780">
      <c r="C26780" s="277"/>
      <c r="M26780" s="277"/>
      <c r="O26780" s="247"/>
      <c r="AC26780" s="247"/>
      <c r="AT26780" s="247"/>
    </row>
    <row r="26781">
      <c r="C26781" s="277"/>
      <c r="M26781" s="277"/>
      <c r="O26781" s="247"/>
      <c r="AC26781" s="247"/>
      <c r="AT26781" s="247"/>
    </row>
    <row r="26782">
      <c r="C26782" s="277"/>
      <c r="M26782" s="277"/>
      <c r="O26782" s="247"/>
      <c r="AC26782" s="247"/>
      <c r="AT26782" s="247"/>
    </row>
    <row r="26783">
      <c r="C26783" s="277"/>
      <c r="M26783" s="277"/>
      <c r="O26783" s="247"/>
      <c r="AC26783" s="247"/>
      <c r="AT26783" s="247"/>
    </row>
    <row r="26784">
      <c r="C26784" s="277"/>
      <c r="M26784" s="277"/>
      <c r="O26784" s="247"/>
      <c r="AC26784" s="247"/>
      <c r="AT26784" s="247"/>
    </row>
    <row r="26785">
      <c r="C26785" s="277"/>
      <c r="M26785" s="277"/>
      <c r="O26785" s="247"/>
      <c r="AC26785" s="247"/>
      <c r="AT26785" s="247"/>
    </row>
    <row r="26786">
      <c r="C26786" s="277"/>
      <c r="M26786" s="277"/>
      <c r="O26786" s="247"/>
      <c r="AC26786" s="247"/>
      <c r="AT26786" s="247"/>
    </row>
    <row r="26787">
      <c r="C26787" s="277"/>
      <c r="M26787" s="277"/>
      <c r="O26787" s="247"/>
      <c r="AC26787" s="247"/>
      <c r="AT26787" s="247"/>
    </row>
    <row r="26788">
      <c r="C26788" s="277"/>
      <c r="M26788" s="277"/>
      <c r="O26788" s="247"/>
      <c r="AC26788" s="247"/>
      <c r="AT26788" s="247"/>
    </row>
    <row r="26789">
      <c r="C26789" s="277"/>
      <c r="M26789" s="277"/>
      <c r="O26789" s="247"/>
      <c r="AC26789" s="247"/>
      <c r="AT26789" s="247"/>
    </row>
    <row r="26790">
      <c r="C26790" s="277"/>
      <c r="M26790" s="277"/>
      <c r="O26790" s="247"/>
      <c r="AC26790" s="247"/>
      <c r="AT26790" s="247"/>
    </row>
    <row r="26791">
      <c r="C26791" s="277"/>
      <c r="M26791" s="277"/>
      <c r="O26791" s="247"/>
      <c r="AC26791" s="247"/>
      <c r="AT26791" s="247"/>
    </row>
    <row r="26792">
      <c r="C26792" s="277"/>
      <c r="M26792" s="277"/>
      <c r="O26792" s="247"/>
      <c r="AC26792" s="247"/>
      <c r="AT26792" s="247"/>
    </row>
    <row r="26793">
      <c r="C26793" s="277"/>
      <c r="M26793" s="277"/>
      <c r="O26793" s="247"/>
      <c r="AC26793" s="247"/>
      <c r="AT26793" s="247"/>
    </row>
    <row r="26794">
      <c r="C26794" s="277"/>
      <c r="M26794" s="277"/>
      <c r="O26794" s="247"/>
      <c r="AC26794" s="247"/>
      <c r="AT26794" s="247"/>
    </row>
    <row r="26795">
      <c r="C26795" s="277"/>
      <c r="M26795" s="277"/>
      <c r="O26795" s="247"/>
      <c r="AC26795" s="247"/>
      <c r="AT26795" s="247"/>
    </row>
    <row r="26796">
      <c r="C26796" s="277"/>
      <c r="M26796" s="277"/>
      <c r="O26796" s="247"/>
      <c r="AC26796" s="247"/>
      <c r="AT26796" s="247"/>
    </row>
    <row r="26797">
      <c r="C26797" s="277"/>
      <c r="M26797" s="277"/>
      <c r="O26797" s="247"/>
      <c r="AC26797" s="247"/>
      <c r="AT26797" s="247"/>
    </row>
    <row r="26798">
      <c r="C26798" s="277"/>
      <c r="M26798" s="277"/>
      <c r="O26798" s="247"/>
      <c r="AC26798" s="247"/>
      <c r="AT26798" s="247"/>
    </row>
    <row r="26799">
      <c r="C26799" s="277"/>
      <c r="M26799" s="277"/>
      <c r="O26799" s="247"/>
      <c r="AC26799" s="247"/>
      <c r="AT26799" s="247"/>
    </row>
    <row r="26800">
      <c r="C26800" s="277"/>
      <c r="M26800" s="277"/>
      <c r="O26800" s="247"/>
      <c r="AC26800" s="247"/>
      <c r="AT26800" s="247"/>
    </row>
    <row r="26801">
      <c r="C26801" s="277"/>
      <c r="M26801" s="277"/>
      <c r="O26801" s="247"/>
      <c r="AC26801" s="247"/>
      <c r="AT26801" s="247"/>
    </row>
    <row r="26802">
      <c r="C26802" s="277"/>
      <c r="M26802" s="277"/>
      <c r="O26802" s="247"/>
      <c r="AC26802" s="247"/>
      <c r="AT26802" s="247"/>
    </row>
    <row r="26803">
      <c r="C26803" s="277"/>
      <c r="M26803" s="277"/>
      <c r="O26803" s="247"/>
      <c r="AC26803" s="247"/>
      <c r="AT26803" s="247"/>
    </row>
    <row r="26804">
      <c r="C26804" s="277"/>
      <c r="M26804" s="277"/>
      <c r="O26804" s="247"/>
      <c r="AC26804" s="247"/>
      <c r="AT26804" s="247"/>
    </row>
    <row r="26805">
      <c r="C26805" s="277"/>
      <c r="M26805" s="277"/>
      <c r="O26805" s="247"/>
      <c r="AC26805" s="247"/>
      <c r="AT26805" s="247"/>
    </row>
    <row r="26806">
      <c r="C26806" s="277"/>
      <c r="M26806" s="277"/>
      <c r="O26806" s="247"/>
      <c r="AC26806" s="247"/>
      <c r="AT26806" s="247"/>
    </row>
    <row r="26807">
      <c r="C26807" s="277"/>
      <c r="M26807" s="277"/>
      <c r="O26807" s="247"/>
      <c r="AC26807" s="247"/>
      <c r="AT26807" s="247"/>
    </row>
    <row r="26808">
      <c r="C26808" s="277"/>
      <c r="M26808" s="277"/>
      <c r="O26808" s="247"/>
      <c r="AC26808" s="247"/>
      <c r="AT26808" s="247"/>
    </row>
    <row r="26809">
      <c r="C26809" s="277"/>
      <c r="M26809" s="277"/>
      <c r="O26809" s="247"/>
      <c r="AC26809" s="247"/>
      <c r="AT26809" s="247"/>
    </row>
    <row r="26810">
      <c r="C26810" s="277"/>
      <c r="M26810" s="277"/>
      <c r="O26810" s="247"/>
      <c r="AC26810" s="247"/>
      <c r="AT26810" s="247"/>
    </row>
    <row r="26811">
      <c r="C26811" s="277"/>
      <c r="M26811" s="277"/>
      <c r="O26811" s="247"/>
      <c r="AC26811" s="247"/>
      <c r="AT26811" s="247"/>
    </row>
    <row r="26812">
      <c r="C26812" s="277"/>
      <c r="M26812" s="277"/>
      <c r="O26812" s="247"/>
      <c r="AC26812" s="247"/>
      <c r="AT26812" s="247"/>
    </row>
    <row r="26813">
      <c r="C26813" s="277"/>
      <c r="M26813" s="277"/>
      <c r="O26813" s="247"/>
      <c r="AC26813" s="247"/>
      <c r="AT26813" s="247"/>
    </row>
    <row r="26814">
      <c r="C26814" s="277"/>
      <c r="M26814" s="277"/>
      <c r="O26814" s="247"/>
      <c r="AC26814" s="247"/>
      <c r="AT26814" s="247"/>
    </row>
    <row r="26815">
      <c r="C26815" s="277"/>
      <c r="M26815" s="277"/>
      <c r="O26815" s="247"/>
      <c r="AC26815" s="247"/>
      <c r="AT26815" s="247"/>
    </row>
    <row r="26816">
      <c r="C26816" s="277"/>
      <c r="M26816" s="277"/>
      <c r="O26816" s="247"/>
      <c r="AC26816" s="247"/>
      <c r="AT26816" s="247"/>
    </row>
    <row r="26817">
      <c r="C26817" s="277"/>
      <c r="M26817" s="277"/>
      <c r="O26817" s="247"/>
      <c r="AC26817" s="247"/>
      <c r="AT26817" s="247"/>
    </row>
    <row r="26818">
      <c r="C26818" s="277"/>
      <c r="M26818" s="277"/>
      <c r="O26818" s="247"/>
      <c r="AC26818" s="247"/>
      <c r="AT26818" s="247"/>
    </row>
    <row r="26819">
      <c r="C26819" s="277"/>
      <c r="M26819" s="277"/>
      <c r="O26819" s="247"/>
      <c r="AC26819" s="247"/>
      <c r="AT26819" s="247"/>
    </row>
    <row r="26820">
      <c r="C26820" s="277"/>
      <c r="M26820" s="277"/>
      <c r="O26820" s="247"/>
      <c r="AC26820" s="247"/>
      <c r="AT26820" s="247"/>
    </row>
    <row r="26821">
      <c r="C26821" s="277"/>
      <c r="M26821" s="277"/>
      <c r="O26821" s="247"/>
      <c r="AC26821" s="247"/>
      <c r="AT26821" s="247"/>
    </row>
    <row r="26822">
      <c r="C26822" s="277"/>
      <c r="M26822" s="277"/>
      <c r="O26822" s="247"/>
      <c r="AC26822" s="247"/>
      <c r="AT26822" s="247"/>
    </row>
    <row r="26823">
      <c r="C26823" s="277"/>
      <c r="M26823" s="277"/>
      <c r="O26823" s="247"/>
      <c r="AC26823" s="247"/>
      <c r="AT26823" s="247"/>
    </row>
    <row r="26824">
      <c r="C26824" s="277"/>
      <c r="M26824" s="277"/>
      <c r="O26824" s="247"/>
      <c r="AC26824" s="247"/>
      <c r="AT26824" s="247"/>
    </row>
    <row r="26825">
      <c r="C26825" s="277"/>
      <c r="M26825" s="277"/>
      <c r="O26825" s="247"/>
      <c r="AC26825" s="247"/>
      <c r="AT26825" s="247"/>
    </row>
    <row r="26826">
      <c r="C26826" s="277"/>
      <c r="M26826" s="277"/>
      <c r="O26826" s="247"/>
      <c r="AC26826" s="247"/>
      <c r="AT26826" s="247"/>
    </row>
    <row r="26827">
      <c r="C26827" s="277"/>
      <c r="M26827" s="277"/>
      <c r="O26827" s="247"/>
      <c r="AC26827" s="247"/>
      <c r="AT26827" s="247"/>
    </row>
    <row r="26828">
      <c r="C26828" s="277"/>
      <c r="M26828" s="277"/>
      <c r="O26828" s="247"/>
      <c r="AC26828" s="247"/>
      <c r="AT26828" s="247"/>
    </row>
    <row r="26829">
      <c r="C26829" s="277"/>
      <c r="M26829" s="277"/>
      <c r="O26829" s="247"/>
      <c r="AC26829" s="247"/>
      <c r="AT26829" s="247"/>
    </row>
    <row r="26830">
      <c r="C26830" s="277"/>
      <c r="M26830" s="277"/>
      <c r="O26830" s="247"/>
      <c r="AC26830" s="247"/>
      <c r="AT26830" s="247"/>
    </row>
    <row r="26831">
      <c r="C26831" s="277"/>
      <c r="M26831" s="277"/>
      <c r="O26831" s="247"/>
      <c r="AC26831" s="247"/>
      <c r="AT26831" s="247"/>
    </row>
    <row r="26832">
      <c r="C26832" s="277"/>
      <c r="M26832" s="277"/>
      <c r="O26832" s="247"/>
      <c r="AC26832" s="247"/>
      <c r="AT26832" s="247"/>
    </row>
    <row r="26833">
      <c r="C26833" s="277"/>
      <c r="M26833" s="277"/>
      <c r="O26833" s="247"/>
      <c r="AC26833" s="247"/>
      <c r="AT26833" s="247"/>
    </row>
    <row r="26834">
      <c r="C26834" s="277"/>
      <c r="M26834" s="277"/>
      <c r="O26834" s="247"/>
      <c r="AC26834" s="247"/>
      <c r="AT26834" s="247"/>
    </row>
    <row r="26835">
      <c r="C26835" s="277"/>
      <c r="M26835" s="277"/>
      <c r="O26835" s="247"/>
      <c r="AC26835" s="247"/>
      <c r="AT26835" s="247"/>
    </row>
    <row r="26836">
      <c r="C26836" s="277"/>
      <c r="M26836" s="277"/>
      <c r="O26836" s="247"/>
      <c r="AC26836" s="247"/>
      <c r="AT26836" s="247"/>
    </row>
    <row r="26837">
      <c r="C26837" s="277"/>
      <c r="M26837" s="277"/>
      <c r="O26837" s="247"/>
      <c r="AC26837" s="247"/>
      <c r="AT26837" s="247"/>
    </row>
    <row r="26838">
      <c r="C26838" s="277"/>
      <c r="M26838" s="277"/>
      <c r="O26838" s="247"/>
      <c r="AC26838" s="247"/>
      <c r="AT26838" s="247"/>
    </row>
    <row r="26839">
      <c r="C26839" s="277"/>
      <c r="M26839" s="277"/>
      <c r="O26839" s="247"/>
      <c r="AC26839" s="247"/>
      <c r="AT26839" s="247"/>
    </row>
    <row r="26840">
      <c r="C26840" s="277"/>
      <c r="M26840" s="277"/>
      <c r="O26840" s="247"/>
      <c r="AC26840" s="247"/>
      <c r="AT26840" s="247"/>
    </row>
    <row r="26841">
      <c r="C26841" s="277"/>
      <c r="M26841" s="277"/>
      <c r="O26841" s="247"/>
      <c r="AC26841" s="247"/>
      <c r="AT26841" s="247"/>
    </row>
    <row r="26842">
      <c r="C26842" s="277"/>
      <c r="M26842" s="277"/>
      <c r="O26842" s="247"/>
      <c r="AC26842" s="247"/>
      <c r="AT26842" s="247"/>
    </row>
    <row r="26843">
      <c r="C26843" s="277"/>
      <c r="M26843" s="277"/>
      <c r="O26843" s="247"/>
      <c r="AC26843" s="247"/>
      <c r="AT26843" s="247"/>
    </row>
    <row r="26844">
      <c r="C26844" s="277"/>
      <c r="M26844" s="277"/>
      <c r="O26844" s="247"/>
      <c r="AC26844" s="247"/>
      <c r="AT26844" s="247"/>
    </row>
    <row r="26845">
      <c r="C26845" s="277"/>
      <c r="M26845" s="277"/>
      <c r="O26845" s="247"/>
      <c r="AC26845" s="247"/>
      <c r="AT26845" s="247"/>
    </row>
    <row r="26846">
      <c r="C26846" s="277"/>
      <c r="M26846" s="277"/>
      <c r="O26846" s="247"/>
      <c r="AC26846" s="247"/>
      <c r="AT26846" s="247"/>
    </row>
    <row r="26847">
      <c r="C26847" s="277"/>
      <c r="M26847" s="277"/>
      <c r="O26847" s="247"/>
      <c r="AC26847" s="247"/>
      <c r="AT26847" s="247"/>
    </row>
    <row r="26848">
      <c r="C26848" s="277"/>
      <c r="M26848" s="277"/>
      <c r="O26848" s="247"/>
      <c r="AC26848" s="247"/>
      <c r="AT26848" s="247"/>
    </row>
    <row r="26849">
      <c r="C26849" s="277"/>
      <c r="M26849" s="277"/>
      <c r="O26849" s="247"/>
      <c r="AC26849" s="247"/>
      <c r="AT26849" s="247"/>
    </row>
    <row r="26850">
      <c r="C26850" s="277"/>
      <c r="M26850" s="277"/>
      <c r="O26850" s="247"/>
      <c r="AC26850" s="247"/>
      <c r="AT26850" s="247"/>
    </row>
    <row r="26851">
      <c r="C26851" s="277"/>
      <c r="M26851" s="277"/>
      <c r="O26851" s="247"/>
      <c r="AC26851" s="247"/>
      <c r="AT26851" s="247"/>
    </row>
    <row r="26852">
      <c r="C26852" s="277"/>
      <c r="M26852" s="277"/>
      <c r="O26852" s="247"/>
      <c r="AC26852" s="247"/>
      <c r="AT26852" s="247"/>
    </row>
    <row r="26853">
      <c r="C26853" s="277"/>
      <c r="M26853" s="277"/>
      <c r="O26853" s="247"/>
      <c r="AC26853" s="247"/>
      <c r="AT26853" s="247"/>
    </row>
    <row r="26854">
      <c r="C26854" s="277"/>
      <c r="M26854" s="277"/>
      <c r="O26854" s="247"/>
      <c r="AC26854" s="247"/>
      <c r="AT26854" s="247"/>
    </row>
    <row r="26855">
      <c r="C26855" s="277"/>
      <c r="M26855" s="277"/>
      <c r="O26855" s="247"/>
      <c r="AC26855" s="247"/>
      <c r="AT26855" s="247"/>
    </row>
    <row r="26856">
      <c r="C26856" s="277"/>
      <c r="M26856" s="277"/>
      <c r="O26856" s="247"/>
      <c r="AC26856" s="247"/>
      <c r="AT26856" s="247"/>
    </row>
    <row r="26857">
      <c r="C26857" s="277"/>
      <c r="M26857" s="277"/>
      <c r="O26857" s="247"/>
      <c r="AC26857" s="247"/>
      <c r="AT26857" s="247"/>
    </row>
    <row r="26858">
      <c r="C26858" s="277"/>
      <c r="M26858" s="277"/>
      <c r="O26858" s="247"/>
      <c r="AC26858" s="247"/>
      <c r="AT26858" s="247"/>
    </row>
    <row r="26859">
      <c r="C26859" s="277"/>
      <c r="M26859" s="277"/>
      <c r="O26859" s="247"/>
      <c r="AC26859" s="247"/>
      <c r="AT26859" s="247"/>
    </row>
    <row r="26860">
      <c r="C26860" s="277"/>
      <c r="M26860" s="277"/>
      <c r="O26860" s="247"/>
      <c r="AC26860" s="247"/>
      <c r="AT26860" s="247"/>
    </row>
    <row r="26861">
      <c r="C26861" s="277"/>
      <c r="M26861" s="277"/>
      <c r="O26861" s="247"/>
      <c r="AC26861" s="247"/>
      <c r="AT26861" s="247"/>
    </row>
    <row r="26862">
      <c r="C26862" s="277"/>
      <c r="M26862" s="277"/>
      <c r="O26862" s="247"/>
      <c r="AC26862" s="247"/>
      <c r="AT26862" s="247"/>
    </row>
    <row r="26863">
      <c r="C26863" s="277"/>
      <c r="M26863" s="277"/>
      <c r="O26863" s="247"/>
      <c r="AC26863" s="247"/>
      <c r="AT26863" s="247"/>
    </row>
    <row r="26864">
      <c r="C26864" s="277"/>
      <c r="M26864" s="277"/>
      <c r="O26864" s="247"/>
      <c r="AC26864" s="247"/>
      <c r="AT26864" s="247"/>
    </row>
    <row r="26865">
      <c r="C26865" s="277"/>
      <c r="M26865" s="277"/>
      <c r="O26865" s="247"/>
      <c r="AC26865" s="247"/>
      <c r="AT26865" s="247"/>
    </row>
    <row r="26866">
      <c r="C26866" s="277"/>
      <c r="M26866" s="277"/>
      <c r="O26866" s="247"/>
      <c r="AC26866" s="247"/>
      <c r="AT26866" s="247"/>
    </row>
    <row r="26867">
      <c r="C26867" s="277"/>
      <c r="M26867" s="277"/>
      <c r="O26867" s="247"/>
      <c r="AC26867" s="247"/>
      <c r="AT26867" s="247"/>
    </row>
    <row r="26868">
      <c r="C26868" s="277"/>
      <c r="M26868" s="277"/>
      <c r="O26868" s="247"/>
      <c r="AC26868" s="247"/>
      <c r="AT26868" s="247"/>
    </row>
    <row r="26869">
      <c r="C26869" s="277"/>
      <c r="M26869" s="277"/>
      <c r="O26869" s="247"/>
      <c r="AC26869" s="247"/>
      <c r="AT26869" s="247"/>
    </row>
    <row r="26870">
      <c r="C26870" s="277"/>
      <c r="M26870" s="277"/>
      <c r="O26870" s="247"/>
      <c r="AC26870" s="247"/>
      <c r="AT26870" s="247"/>
    </row>
    <row r="26871">
      <c r="C26871" s="277"/>
      <c r="M26871" s="277"/>
      <c r="O26871" s="247"/>
      <c r="AC26871" s="247"/>
      <c r="AT26871" s="247"/>
    </row>
    <row r="26872">
      <c r="C26872" s="277"/>
      <c r="M26872" s="277"/>
      <c r="O26872" s="247"/>
      <c r="AC26872" s="247"/>
      <c r="AT26872" s="247"/>
    </row>
    <row r="26873">
      <c r="C26873" s="277"/>
      <c r="M26873" s="277"/>
      <c r="O26873" s="247"/>
      <c r="AC26873" s="247"/>
      <c r="AT26873" s="247"/>
    </row>
    <row r="26874">
      <c r="C26874" s="277"/>
      <c r="M26874" s="277"/>
      <c r="O26874" s="247"/>
      <c r="AC26874" s="247"/>
      <c r="AT26874" s="247"/>
    </row>
    <row r="26875">
      <c r="C26875" s="277"/>
      <c r="M26875" s="277"/>
      <c r="O26875" s="247"/>
      <c r="AC26875" s="247"/>
      <c r="AT26875" s="247"/>
    </row>
    <row r="26876">
      <c r="C26876" s="277"/>
      <c r="M26876" s="277"/>
      <c r="O26876" s="247"/>
      <c r="AC26876" s="247"/>
      <c r="AT26876" s="247"/>
    </row>
    <row r="26877">
      <c r="C26877" s="277"/>
      <c r="M26877" s="277"/>
      <c r="O26877" s="247"/>
      <c r="AC26877" s="247"/>
      <c r="AT26877" s="247"/>
    </row>
    <row r="26878">
      <c r="C26878" s="277"/>
      <c r="M26878" s="277"/>
      <c r="O26878" s="247"/>
      <c r="AC26878" s="247"/>
      <c r="AT26878" s="247"/>
    </row>
    <row r="26879">
      <c r="C26879" s="277"/>
      <c r="M26879" s="277"/>
      <c r="O26879" s="247"/>
      <c r="AC26879" s="247"/>
      <c r="AT26879" s="247"/>
    </row>
    <row r="26880">
      <c r="C26880" s="277"/>
      <c r="M26880" s="277"/>
      <c r="O26880" s="247"/>
      <c r="AC26880" s="247"/>
      <c r="AT26880" s="247"/>
    </row>
    <row r="26881">
      <c r="C26881" s="277"/>
      <c r="M26881" s="277"/>
      <c r="O26881" s="247"/>
      <c r="AC26881" s="247"/>
      <c r="AT26881" s="247"/>
    </row>
    <row r="26882">
      <c r="C26882" s="277"/>
      <c r="M26882" s="277"/>
      <c r="O26882" s="247"/>
      <c r="AC26882" s="247"/>
      <c r="AT26882" s="247"/>
    </row>
    <row r="26883">
      <c r="C26883" s="277"/>
      <c r="M26883" s="277"/>
      <c r="O26883" s="247"/>
      <c r="AC26883" s="247"/>
      <c r="AT26883" s="247"/>
    </row>
    <row r="26884">
      <c r="C26884" s="277"/>
      <c r="M26884" s="277"/>
      <c r="O26884" s="247"/>
      <c r="AC26884" s="247"/>
      <c r="AT26884" s="247"/>
    </row>
    <row r="26885">
      <c r="C26885" s="277"/>
      <c r="M26885" s="277"/>
      <c r="O26885" s="247"/>
      <c r="AC26885" s="247"/>
      <c r="AT26885" s="247"/>
    </row>
    <row r="26886">
      <c r="C26886" s="277"/>
      <c r="M26886" s="277"/>
      <c r="O26886" s="247"/>
      <c r="AC26886" s="247"/>
      <c r="AT26886" s="247"/>
    </row>
    <row r="26887">
      <c r="C26887" s="277"/>
      <c r="M26887" s="277"/>
      <c r="O26887" s="247"/>
      <c r="AC26887" s="247"/>
      <c r="AT26887" s="247"/>
    </row>
    <row r="26888">
      <c r="C26888" s="277"/>
      <c r="M26888" s="277"/>
      <c r="O26888" s="247"/>
      <c r="AC26888" s="247"/>
      <c r="AT26888" s="247"/>
    </row>
    <row r="26889">
      <c r="C26889" s="277"/>
      <c r="M26889" s="277"/>
      <c r="O26889" s="247"/>
      <c r="AC26889" s="247"/>
      <c r="AT26889" s="247"/>
    </row>
    <row r="26890">
      <c r="C26890" s="277"/>
      <c r="M26890" s="277"/>
      <c r="O26890" s="247"/>
      <c r="AC26890" s="247"/>
      <c r="AT26890" s="247"/>
    </row>
    <row r="26891">
      <c r="C26891" s="277"/>
      <c r="M26891" s="277"/>
      <c r="O26891" s="247"/>
      <c r="AC26891" s="247"/>
      <c r="AT26891" s="247"/>
    </row>
    <row r="26892">
      <c r="C26892" s="277"/>
      <c r="M26892" s="277"/>
      <c r="O26892" s="247"/>
      <c r="AC26892" s="247"/>
      <c r="AT26892" s="247"/>
    </row>
    <row r="26893">
      <c r="C26893" s="277"/>
      <c r="M26893" s="277"/>
      <c r="O26893" s="247"/>
      <c r="AC26893" s="247"/>
      <c r="AT26893" s="247"/>
    </row>
    <row r="26894">
      <c r="C26894" s="277"/>
      <c r="M26894" s="277"/>
      <c r="O26894" s="247"/>
      <c r="AC26894" s="247"/>
      <c r="AT26894" s="247"/>
    </row>
    <row r="26895">
      <c r="C26895" s="277"/>
      <c r="M26895" s="277"/>
      <c r="O26895" s="247"/>
      <c r="AC26895" s="247"/>
      <c r="AT26895" s="247"/>
    </row>
    <row r="26896">
      <c r="C26896" s="277"/>
      <c r="M26896" s="277"/>
      <c r="O26896" s="247"/>
      <c r="AC26896" s="247"/>
      <c r="AT26896" s="247"/>
    </row>
    <row r="26897">
      <c r="C26897" s="277"/>
      <c r="M26897" s="277"/>
      <c r="O26897" s="247"/>
      <c r="AC26897" s="247"/>
      <c r="AT26897" s="247"/>
    </row>
    <row r="26898">
      <c r="C26898" s="277"/>
      <c r="M26898" s="277"/>
      <c r="O26898" s="247"/>
      <c r="AC26898" s="247"/>
      <c r="AT26898" s="247"/>
    </row>
    <row r="26899">
      <c r="C26899" s="277"/>
      <c r="M26899" s="277"/>
      <c r="O26899" s="247"/>
      <c r="AC26899" s="247"/>
      <c r="AT26899" s="247"/>
    </row>
    <row r="26900">
      <c r="C26900" s="277"/>
      <c r="M26900" s="277"/>
      <c r="O26900" s="247"/>
      <c r="AC26900" s="247"/>
      <c r="AT26900" s="247"/>
    </row>
    <row r="26901">
      <c r="C26901" s="277"/>
      <c r="M26901" s="277"/>
      <c r="O26901" s="247"/>
      <c r="AC26901" s="247"/>
      <c r="AT26901" s="247"/>
    </row>
    <row r="26902">
      <c r="C26902" s="277"/>
      <c r="M26902" s="277"/>
      <c r="O26902" s="247"/>
      <c r="AC26902" s="247"/>
      <c r="AT26902" s="247"/>
    </row>
    <row r="26903">
      <c r="C26903" s="277"/>
      <c r="M26903" s="277"/>
      <c r="O26903" s="247"/>
      <c r="AC26903" s="247"/>
      <c r="AT26903" s="247"/>
    </row>
    <row r="26904">
      <c r="C26904" s="277"/>
      <c r="M26904" s="277"/>
      <c r="O26904" s="247"/>
      <c r="AC26904" s="247"/>
      <c r="AT26904" s="247"/>
    </row>
    <row r="26905">
      <c r="C26905" s="277"/>
      <c r="M26905" s="277"/>
      <c r="O26905" s="247"/>
      <c r="AC26905" s="247"/>
      <c r="AT26905" s="247"/>
    </row>
    <row r="26906">
      <c r="C26906" s="277"/>
      <c r="M26906" s="277"/>
      <c r="O26906" s="247"/>
      <c r="AC26906" s="247"/>
      <c r="AT26906" s="247"/>
    </row>
    <row r="26907">
      <c r="C26907" s="277"/>
      <c r="M26907" s="277"/>
      <c r="O26907" s="247"/>
      <c r="AC26907" s="247"/>
      <c r="AT26907" s="247"/>
    </row>
    <row r="26908">
      <c r="C26908" s="277"/>
      <c r="M26908" s="277"/>
      <c r="O26908" s="247"/>
      <c r="AC26908" s="247"/>
      <c r="AT26908" s="247"/>
    </row>
    <row r="26909">
      <c r="C26909" s="277"/>
      <c r="M26909" s="277"/>
      <c r="O26909" s="247"/>
      <c r="AC26909" s="247"/>
      <c r="AT26909" s="247"/>
    </row>
    <row r="26910">
      <c r="C26910" s="277"/>
      <c r="M26910" s="277"/>
      <c r="O26910" s="247"/>
      <c r="AC26910" s="247"/>
      <c r="AT26910" s="247"/>
    </row>
    <row r="26911">
      <c r="C26911" s="277"/>
      <c r="M26911" s="277"/>
      <c r="O26911" s="247"/>
      <c r="AC26911" s="247"/>
      <c r="AT26911" s="247"/>
    </row>
    <row r="26912">
      <c r="C26912" s="277"/>
      <c r="M26912" s="277"/>
      <c r="O26912" s="247"/>
      <c r="AC26912" s="247"/>
      <c r="AT26912" s="247"/>
    </row>
    <row r="26913">
      <c r="C26913" s="277"/>
      <c r="M26913" s="277"/>
      <c r="O26913" s="247"/>
      <c r="AC26913" s="247"/>
      <c r="AT26913" s="247"/>
    </row>
    <row r="26914">
      <c r="C26914" s="277"/>
      <c r="M26914" s="277"/>
      <c r="O26914" s="247"/>
      <c r="AC26914" s="247"/>
      <c r="AT26914" s="247"/>
    </row>
    <row r="26915">
      <c r="C26915" s="277"/>
      <c r="M26915" s="277"/>
      <c r="O26915" s="247"/>
      <c r="AC26915" s="247"/>
      <c r="AT26915" s="247"/>
    </row>
    <row r="26916">
      <c r="C26916" s="277"/>
      <c r="M26916" s="277"/>
      <c r="O26916" s="247"/>
      <c r="AC26916" s="247"/>
      <c r="AT26916" s="247"/>
    </row>
    <row r="26917">
      <c r="C26917" s="277"/>
      <c r="M26917" s="277"/>
      <c r="O26917" s="247"/>
      <c r="AC26917" s="247"/>
      <c r="AT26917" s="247"/>
    </row>
    <row r="26918">
      <c r="C26918" s="277"/>
      <c r="M26918" s="277"/>
      <c r="O26918" s="247"/>
      <c r="AC26918" s="247"/>
      <c r="AT26918" s="247"/>
    </row>
    <row r="26919">
      <c r="C26919" s="277"/>
      <c r="M26919" s="277"/>
      <c r="O26919" s="247"/>
      <c r="AC26919" s="247"/>
      <c r="AT26919" s="247"/>
    </row>
    <row r="26920">
      <c r="C26920" s="277"/>
      <c r="M26920" s="277"/>
      <c r="O26920" s="247"/>
      <c r="AC26920" s="247"/>
      <c r="AT26920" s="247"/>
    </row>
    <row r="26921">
      <c r="C26921" s="277"/>
      <c r="M26921" s="277"/>
      <c r="O26921" s="247"/>
      <c r="AC26921" s="247"/>
      <c r="AT26921" s="247"/>
    </row>
    <row r="26922">
      <c r="C26922" s="277"/>
      <c r="M26922" s="277"/>
      <c r="O26922" s="247"/>
      <c r="AC26922" s="247"/>
      <c r="AT26922" s="247"/>
    </row>
    <row r="26923">
      <c r="C26923" s="277"/>
      <c r="M26923" s="277"/>
      <c r="O26923" s="247"/>
      <c r="AC26923" s="247"/>
      <c r="AT26923" s="247"/>
    </row>
    <row r="26924">
      <c r="C26924" s="277"/>
      <c r="M26924" s="277"/>
      <c r="O26924" s="247"/>
      <c r="AC26924" s="247"/>
      <c r="AT26924" s="247"/>
    </row>
    <row r="26925">
      <c r="C26925" s="277"/>
      <c r="M26925" s="277"/>
      <c r="O26925" s="247"/>
      <c r="AC26925" s="247"/>
      <c r="AT26925" s="247"/>
    </row>
    <row r="26926">
      <c r="C26926" s="277"/>
      <c r="M26926" s="277"/>
      <c r="O26926" s="247"/>
      <c r="AC26926" s="247"/>
      <c r="AT26926" s="247"/>
    </row>
    <row r="26927">
      <c r="C26927" s="277"/>
      <c r="M26927" s="277"/>
      <c r="O26927" s="247"/>
      <c r="AC26927" s="247"/>
      <c r="AT26927" s="247"/>
    </row>
    <row r="26928">
      <c r="C26928" s="277"/>
      <c r="M26928" s="277"/>
      <c r="O26928" s="247"/>
      <c r="AC26928" s="247"/>
      <c r="AT26928" s="247"/>
    </row>
    <row r="26929">
      <c r="C26929" s="277"/>
      <c r="M26929" s="277"/>
      <c r="O26929" s="247"/>
      <c r="AC26929" s="247"/>
      <c r="AT26929" s="247"/>
    </row>
    <row r="26930">
      <c r="C26930" s="277"/>
      <c r="M26930" s="277"/>
      <c r="O26930" s="247"/>
      <c r="AC26930" s="247"/>
      <c r="AT26930" s="247"/>
    </row>
    <row r="26931">
      <c r="C26931" s="277"/>
      <c r="M26931" s="277"/>
      <c r="O26931" s="247"/>
      <c r="AC26931" s="247"/>
      <c r="AT26931" s="247"/>
    </row>
    <row r="26932">
      <c r="C26932" s="277"/>
      <c r="M26932" s="277"/>
      <c r="O26932" s="247"/>
      <c r="AC26932" s="247"/>
      <c r="AT26932" s="247"/>
    </row>
    <row r="26933">
      <c r="C26933" s="277"/>
      <c r="M26933" s="277"/>
      <c r="O26933" s="247"/>
      <c r="AC26933" s="247"/>
      <c r="AT26933" s="247"/>
    </row>
    <row r="26934">
      <c r="C26934" s="277"/>
      <c r="M26934" s="277"/>
      <c r="O26934" s="247"/>
      <c r="AC26934" s="247"/>
      <c r="AT26934" s="247"/>
    </row>
    <row r="26935">
      <c r="C26935" s="277"/>
      <c r="M26935" s="277"/>
      <c r="O26935" s="247"/>
      <c r="AC26935" s="247"/>
      <c r="AT26935" s="247"/>
    </row>
    <row r="26936">
      <c r="C26936" s="277"/>
      <c r="M26936" s="277"/>
      <c r="O26936" s="247"/>
      <c r="AC26936" s="247"/>
      <c r="AT26936" s="247"/>
    </row>
    <row r="26937">
      <c r="C26937" s="277"/>
      <c r="M26937" s="277"/>
      <c r="O26937" s="247"/>
      <c r="AC26937" s="247"/>
      <c r="AT26937" s="247"/>
    </row>
    <row r="26938">
      <c r="C26938" s="277"/>
      <c r="M26938" s="277"/>
      <c r="O26938" s="247"/>
      <c r="AC26938" s="247"/>
      <c r="AT26938" s="247"/>
    </row>
    <row r="26939">
      <c r="C26939" s="277"/>
      <c r="M26939" s="277"/>
      <c r="O26939" s="247"/>
      <c r="AC26939" s="247"/>
      <c r="AT26939" s="247"/>
    </row>
    <row r="26940">
      <c r="C26940" s="277"/>
      <c r="M26940" s="277"/>
      <c r="O26940" s="247"/>
      <c r="AC26940" s="247"/>
      <c r="AT26940" s="247"/>
    </row>
    <row r="26941">
      <c r="C26941" s="277"/>
      <c r="M26941" s="277"/>
      <c r="O26941" s="247"/>
      <c r="AC26941" s="247"/>
      <c r="AT26941" s="247"/>
    </row>
    <row r="26942">
      <c r="C26942" s="277"/>
      <c r="M26942" s="277"/>
      <c r="O26942" s="247"/>
      <c r="AC26942" s="247"/>
      <c r="AT26942" s="247"/>
    </row>
    <row r="26943">
      <c r="C26943" s="277"/>
      <c r="M26943" s="277"/>
      <c r="O26943" s="247"/>
      <c r="AC26943" s="247"/>
      <c r="AT26943" s="247"/>
    </row>
    <row r="26944">
      <c r="C26944" s="277"/>
      <c r="M26944" s="277"/>
      <c r="O26944" s="247"/>
      <c r="AC26944" s="247"/>
      <c r="AT26944" s="247"/>
    </row>
    <row r="26945">
      <c r="C26945" s="277"/>
      <c r="M26945" s="277"/>
      <c r="O26945" s="247"/>
      <c r="AC26945" s="247"/>
      <c r="AT26945" s="247"/>
    </row>
    <row r="26946">
      <c r="C26946" s="277"/>
      <c r="M26946" s="277"/>
      <c r="O26946" s="247"/>
      <c r="AC26946" s="247"/>
      <c r="AT26946" s="247"/>
    </row>
    <row r="26947">
      <c r="C26947" s="277"/>
      <c r="M26947" s="277"/>
      <c r="O26947" s="247"/>
      <c r="AC26947" s="247"/>
      <c r="AT26947" s="247"/>
    </row>
    <row r="26948">
      <c r="C26948" s="277"/>
      <c r="M26948" s="277"/>
      <c r="O26948" s="247"/>
      <c r="AC26948" s="247"/>
      <c r="AT26948" s="247"/>
    </row>
    <row r="26949">
      <c r="C26949" s="277"/>
      <c r="M26949" s="277"/>
      <c r="O26949" s="247"/>
      <c r="AC26949" s="247"/>
      <c r="AT26949" s="247"/>
    </row>
    <row r="26950">
      <c r="C26950" s="277"/>
      <c r="M26950" s="277"/>
      <c r="O26950" s="247"/>
      <c r="AC26950" s="247"/>
      <c r="AT26950" s="247"/>
    </row>
    <row r="26951">
      <c r="C26951" s="277"/>
      <c r="M26951" s="277"/>
      <c r="O26951" s="247"/>
      <c r="AC26951" s="247"/>
      <c r="AT26951" s="247"/>
    </row>
    <row r="26952">
      <c r="C26952" s="277"/>
      <c r="M26952" s="277"/>
      <c r="O26952" s="247"/>
      <c r="AC26952" s="247"/>
      <c r="AT26952" s="247"/>
    </row>
    <row r="26953">
      <c r="C26953" s="277"/>
      <c r="M26953" s="277"/>
      <c r="O26953" s="247"/>
      <c r="AC26953" s="247"/>
      <c r="AT26953" s="247"/>
    </row>
    <row r="26954">
      <c r="C26954" s="277"/>
      <c r="M26954" s="277"/>
      <c r="O26954" s="247"/>
      <c r="AC26954" s="247"/>
      <c r="AT26954" s="247"/>
    </row>
    <row r="26955">
      <c r="C26955" s="277"/>
      <c r="M26955" s="277"/>
      <c r="O26955" s="247"/>
      <c r="AC26955" s="247"/>
      <c r="AT26955" s="247"/>
    </row>
    <row r="26956">
      <c r="C26956" s="277"/>
      <c r="M26956" s="277"/>
      <c r="O26956" s="247"/>
      <c r="AC26956" s="247"/>
      <c r="AT26956" s="247"/>
    </row>
    <row r="26957">
      <c r="C26957" s="277"/>
      <c r="M26957" s="277"/>
      <c r="O26957" s="247"/>
      <c r="AC26957" s="247"/>
      <c r="AT26957" s="247"/>
    </row>
    <row r="26958">
      <c r="C26958" s="277"/>
      <c r="M26958" s="277"/>
      <c r="O26958" s="247"/>
      <c r="AC26958" s="247"/>
      <c r="AT26958" s="247"/>
    </row>
    <row r="26959">
      <c r="C26959" s="277"/>
      <c r="M26959" s="277"/>
      <c r="O26959" s="247"/>
      <c r="AC26959" s="247"/>
      <c r="AT26959" s="247"/>
    </row>
    <row r="26960">
      <c r="C26960" s="277"/>
      <c r="M26960" s="277"/>
      <c r="O26960" s="247"/>
      <c r="AC26960" s="247"/>
      <c r="AT26960" s="247"/>
    </row>
    <row r="26961">
      <c r="C26961" s="277"/>
      <c r="M26961" s="277"/>
      <c r="O26961" s="247"/>
      <c r="AC26961" s="247"/>
      <c r="AT26961" s="247"/>
    </row>
    <row r="26962">
      <c r="C26962" s="277"/>
      <c r="M26962" s="277"/>
      <c r="O26962" s="247"/>
      <c r="AC26962" s="247"/>
      <c r="AT26962" s="247"/>
    </row>
    <row r="26963">
      <c r="C26963" s="277"/>
      <c r="M26963" s="277"/>
      <c r="O26963" s="247"/>
      <c r="AC26963" s="247"/>
      <c r="AT26963" s="247"/>
    </row>
    <row r="26964">
      <c r="C26964" s="277"/>
      <c r="M26964" s="277"/>
      <c r="O26964" s="247"/>
      <c r="AC26964" s="247"/>
      <c r="AT26964" s="247"/>
    </row>
    <row r="26965">
      <c r="C26965" s="277"/>
      <c r="M26965" s="277"/>
      <c r="O26965" s="247"/>
      <c r="AC26965" s="247"/>
      <c r="AT26965" s="247"/>
    </row>
    <row r="26966">
      <c r="C26966" s="277"/>
      <c r="M26966" s="277"/>
      <c r="O26966" s="247"/>
      <c r="AC26966" s="247"/>
      <c r="AT26966" s="247"/>
    </row>
    <row r="26967">
      <c r="C26967" s="277"/>
      <c r="M26967" s="277"/>
      <c r="O26967" s="247"/>
      <c r="AC26967" s="247"/>
      <c r="AT26967" s="247"/>
    </row>
    <row r="26968">
      <c r="C26968" s="277"/>
      <c r="M26968" s="277"/>
      <c r="O26968" s="247"/>
      <c r="AC26968" s="247"/>
      <c r="AT26968" s="247"/>
    </row>
    <row r="26969">
      <c r="C26969" s="277"/>
      <c r="M26969" s="277"/>
      <c r="O26969" s="247"/>
      <c r="AC26969" s="247"/>
      <c r="AT26969" s="247"/>
    </row>
    <row r="26970">
      <c r="C26970" s="277"/>
      <c r="M26970" s="277"/>
      <c r="O26970" s="247"/>
      <c r="AC26970" s="247"/>
      <c r="AT26970" s="247"/>
    </row>
    <row r="26971">
      <c r="C26971" s="277"/>
      <c r="M26971" s="277"/>
      <c r="O26971" s="247"/>
      <c r="AC26971" s="247"/>
      <c r="AT26971" s="247"/>
    </row>
    <row r="26972">
      <c r="C26972" s="277"/>
      <c r="M26972" s="277"/>
      <c r="O26972" s="247"/>
      <c r="AC26972" s="247"/>
      <c r="AT26972" s="247"/>
    </row>
    <row r="26973">
      <c r="C26973" s="277"/>
      <c r="M26973" s="277"/>
      <c r="O26973" s="247"/>
      <c r="AC26973" s="247"/>
      <c r="AT26973" s="247"/>
    </row>
    <row r="26974">
      <c r="C26974" s="277"/>
      <c r="M26974" s="277"/>
      <c r="O26974" s="247"/>
      <c r="AC26974" s="247"/>
      <c r="AT26974" s="247"/>
    </row>
    <row r="26975">
      <c r="C26975" s="277"/>
      <c r="M26975" s="277"/>
      <c r="O26975" s="247"/>
      <c r="AC26975" s="247"/>
      <c r="AT26975" s="247"/>
    </row>
    <row r="26976">
      <c r="C26976" s="277"/>
      <c r="M26976" s="277"/>
      <c r="O26976" s="247"/>
      <c r="AC26976" s="247"/>
      <c r="AT26976" s="247"/>
    </row>
    <row r="26977">
      <c r="C26977" s="277"/>
      <c r="M26977" s="277"/>
      <c r="O26977" s="247"/>
      <c r="AC26977" s="247"/>
      <c r="AT26977" s="247"/>
    </row>
    <row r="26978">
      <c r="C26978" s="277"/>
      <c r="M26978" s="277"/>
      <c r="O26978" s="247"/>
      <c r="AC26978" s="247"/>
      <c r="AT26978" s="247"/>
    </row>
    <row r="26979">
      <c r="C26979" s="277"/>
      <c r="M26979" s="277"/>
      <c r="O26979" s="247"/>
      <c r="AC26979" s="247"/>
      <c r="AT26979" s="247"/>
    </row>
    <row r="26980">
      <c r="C26980" s="277"/>
      <c r="M26980" s="277"/>
      <c r="O26980" s="247"/>
      <c r="AC26980" s="247"/>
      <c r="AT26980" s="247"/>
    </row>
    <row r="26981">
      <c r="C26981" s="277"/>
      <c r="J26981" s="279"/>
      <c r="M26981" s="277"/>
      <c r="O26981" s="247"/>
      <c r="AC26981" s="247"/>
      <c r="AT26981" s="247"/>
    </row>
    <row r="26982">
      <c r="C26982" s="277"/>
      <c r="M26982" s="277"/>
      <c r="O26982" s="247"/>
      <c r="AC26982" s="247"/>
      <c r="AT26982" s="247"/>
    </row>
    <row r="26983">
      <c r="C26983" s="277"/>
      <c r="M26983" s="277"/>
      <c r="O26983" s="247"/>
      <c r="AC26983" s="247"/>
      <c r="AT26983" s="247"/>
    </row>
    <row r="26984">
      <c r="C26984" s="277"/>
      <c r="M26984" s="277"/>
      <c r="O26984" s="247"/>
      <c r="AC26984" s="247"/>
      <c r="AT26984" s="247"/>
    </row>
    <row r="26985">
      <c r="C26985" s="277"/>
      <c r="M26985" s="277"/>
      <c r="O26985" s="247"/>
      <c r="AC26985" s="247"/>
      <c r="AT26985" s="247"/>
    </row>
    <row r="26986">
      <c r="C26986" s="277"/>
      <c r="M26986" s="277"/>
      <c r="O26986" s="247"/>
      <c r="AC26986" s="247"/>
      <c r="AT26986" s="247"/>
    </row>
    <row r="26987">
      <c r="C26987" s="277"/>
      <c r="M26987" s="277"/>
      <c r="O26987" s="247"/>
      <c r="AC26987" s="247"/>
      <c r="AT26987" s="247"/>
    </row>
    <row r="26988">
      <c r="C26988" s="277"/>
      <c r="M26988" s="277"/>
      <c r="O26988" s="247"/>
      <c r="AC26988" s="247"/>
      <c r="AT26988" s="247"/>
    </row>
    <row r="26989">
      <c r="C26989" s="277"/>
      <c r="M26989" s="277"/>
      <c r="O26989" s="247"/>
      <c r="AC26989" s="247"/>
      <c r="AT26989" s="247"/>
    </row>
    <row r="26990">
      <c r="C26990" s="277"/>
      <c r="M26990" s="277"/>
      <c r="O26990" s="247"/>
      <c r="AC26990" s="247"/>
      <c r="AT26990" s="247"/>
    </row>
    <row r="26991">
      <c r="C26991" s="277"/>
      <c r="M26991" s="277"/>
      <c r="O26991" s="247"/>
      <c r="AC26991" s="247"/>
      <c r="AT26991" s="247"/>
    </row>
    <row r="26992">
      <c r="C26992" s="277"/>
      <c r="M26992" s="277"/>
      <c r="O26992" s="247"/>
      <c r="AC26992" s="247"/>
      <c r="AT26992" s="247"/>
    </row>
    <row r="26993">
      <c r="C26993" s="277"/>
      <c r="M26993" s="277"/>
      <c r="O26993" s="247"/>
      <c r="AC26993" s="247"/>
      <c r="AT26993" s="247"/>
    </row>
    <row r="26994">
      <c r="C26994" s="277"/>
      <c r="M26994" s="277"/>
      <c r="O26994" s="247"/>
      <c r="AC26994" s="247"/>
      <c r="AT26994" s="247"/>
    </row>
    <row r="26995">
      <c r="C26995" s="277"/>
      <c r="M26995" s="277"/>
      <c r="O26995" s="247"/>
      <c r="AC26995" s="247"/>
      <c r="AT26995" s="247"/>
    </row>
    <row r="26996">
      <c r="C26996" s="277"/>
      <c r="M26996" s="277"/>
      <c r="O26996" s="247"/>
      <c r="AC26996" s="247"/>
      <c r="AT26996" s="247"/>
    </row>
    <row r="26997">
      <c r="C26997" s="277"/>
      <c r="M26997" s="277"/>
      <c r="O26997" s="247"/>
      <c r="AC26997" s="247"/>
      <c r="AT26997" s="247"/>
    </row>
    <row r="26998">
      <c r="C26998" s="277"/>
      <c r="M26998" s="277"/>
      <c r="O26998" s="247"/>
      <c r="AC26998" s="247"/>
      <c r="AT26998" s="247"/>
    </row>
    <row r="26999">
      <c r="C26999" s="277"/>
      <c r="M26999" s="277"/>
      <c r="O26999" s="247"/>
      <c r="AC26999" s="247"/>
      <c r="AT26999" s="247"/>
    </row>
    <row r="27000">
      <c r="C27000" s="277"/>
      <c r="M27000" s="277"/>
      <c r="O27000" s="247"/>
      <c r="AC27000" s="247"/>
      <c r="AT27000" s="247"/>
    </row>
    <row r="27001">
      <c r="C27001" s="277"/>
      <c r="M27001" s="277"/>
      <c r="O27001" s="247"/>
      <c r="AC27001" s="247"/>
      <c r="AT27001" s="247"/>
    </row>
    <row r="27002">
      <c r="C27002" s="277"/>
      <c r="M27002" s="277"/>
      <c r="O27002" s="247"/>
      <c r="AC27002" s="247"/>
      <c r="AT27002" s="247"/>
    </row>
    <row r="27003">
      <c r="C27003" s="277"/>
      <c r="M27003" s="277"/>
      <c r="O27003" s="247"/>
      <c r="AC27003" s="247"/>
      <c r="AT27003" s="247"/>
    </row>
    <row r="27004">
      <c r="C27004" s="277"/>
      <c r="M27004" s="277"/>
      <c r="O27004" s="247"/>
      <c r="AC27004" s="247"/>
      <c r="AT27004" s="247"/>
    </row>
    <row r="27005">
      <c r="C27005" s="277"/>
      <c r="M27005" s="277"/>
      <c r="O27005" s="247"/>
      <c r="AC27005" s="247"/>
      <c r="AT27005" s="247"/>
    </row>
    <row r="27006">
      <c r="C27006" s="277"/>
      <c r="M27006" s="277"/>
      <c r="O27006" s="247"/>
      <c r="AC27006" s="247"/>
      <c r="AT27006" s="247"/>
    </row>
    <row r="27007">
      <c r="C27007" s="277"/>
      <c r="M27007" s="277"/>
      <c r="O27007" s="247"/>
      <c r="AC27007" s="247"/>
      <c r="AT27007" s="247"/>
    </row>
    <row r="27008">
      <c r="C27008" s="277"/>
      <c r="M27008" s="277"/>
      <c r="O27008" s="247"/>
      <c r="AC27008" s="247"/>
      <c r="AT27008" s="247"/>
    </row>
    <row r="27009">
      <c r="C27009" s="277"/>
      <c r="M27009" s="277"/>
      <c r="O27009" s="247"/>
      <c r="AC27009" s="247"/>
      <c r="AT27009" s="247"/>
    </row>
    <row r="27010">
      <c r="C27010" s="277"/>
      <c r="M27010" s="277"/>
      <c r="O27010" s="247"/>
      <c r="AC27010" s="247"/>
      <c r="AT27010" s="247"/>
    </row>
    <row r="27011">
      <c r="C27011" s="277"/>
      <c r="M27011" s="277"/>
      <c r="O27011" s="247"/>
      <c r="AC27011" s="247"/>
      <c r="AT27011" s="247"/>
    </row>
    <row r="27012">
      <c r="C27012" s="277"/>
      <c r="M27012" s="277"/>
      <c r="O27012" s="247"/>
      <c r="AC27012" s="247"/>
      <c r="AT27012" s="247"/>
    </row>
    <row r="27013">
      <c r="C27013" s="277"/>
      <c r="M27013" s="277"/>
      <c r="O27013" s="247"/>
      <c r="AC27013" s="247"/>
      <c r="AT27013" s="247"/>
    </row>
    <row r="27014">
      <c r="C27014" s="277"/>
      <c r="M27014" s="277"/>
      <c r="O27014" s="247"/>
      <c r="AC27014" s="247"/>
      <c r="AT27014" s="247"/>
    </row>
    <row r="27015">
      <c r="C27015" s="277"/>
      <c r="M27015" s="277"/>
      <c r="O27015" s="247"/>
      <c r="AC27015" s="247"/>
      <c r="AT27015" s="247"/>
    </row>
    <row r="27016">
      <c r="C27016" s="277"/>
      <c r="M27016" s="277"/>
      <c r="O27016" s="247"/>
      <c r="AC27016" s="247"/>
      <c r="AT27016" s="247"/>
    </row>
    <row r="27017">
      <c r="C27017" s="277"/>
      <c r="M27017" s="277"/>
      <c r="O27017" s="247"/>
      <c r="AC27017" s="247"/>
      <c r="AT27017" s="247"/>
    </row>
    <row r="27018">
      <c r="C27018" s="277"/>
      <c r="M27018" s="277"/>
      <c r="O27018" s="247"/>
      <c r="AC27018" s="247"/>
      <c r="AT27018" s="247"/>
    </row>
    <row r="27019">
      <c r="C27019" s="277"/>
      <c r="M27019" s="277"/>
      <c r="O27019" s="247"/>
      <c r="AC27019" s="247"/>
      <c r="AT27019" s="247"/>
    </row>
    <row r="27020">
      <c r="C27020" s="277"/>
      <c r="M27020" s="277"/>
      <c r="O27020" s="247"/>
      <c r="AC27020" s="247"/>
      <c r="AT27020" s="247"/>
    </row>
    <row r="27021">
      <c r="C27021" s="277"/>
      <c r="M27021" s="277"/>
      <c r="O27021" s="247"/>
      <c r="AC27021" s="247"/>
      <c r="AT27021" s="247"/>
    </row>
    <row r="27022">
      <c r="C27022" s="277"/>
      <c r="M27022" s="277"/>
      <c r="O27022" s="247"/>
      <c r="AC27022" s="247"/>
      <c r="AT27022" s="247"/>
    </row>
    <row r="27023">
      <c r="C27023" s="277"/>
      <c r="M27023" s="277"/>
      <c r="O27023" s="247"/>
      <c r="AC27023" s="247"/>
      <c r="AT27023" s="247"/>
    </row>
    <row r="27024">
      <c r="C27024" s="277"/>
      <c r="M27024" s="277"/>
      <c r="O27024" s="247"/>
      <c r="AC27024" s="247"/>
      <c r="AT27024" s="247"/>
    </row>
    <row r="27025">
      <c r="C27025" s="277"/>
      <c r="M27025" s="277"/>
      <c r="O27025" s="247"/>
      <c r="AC27025" s="247"/>
      <c r="AT27025" s="247"/>
    </row>
    <row r="27026">
      <c r="C27026" s="277"/>
      <c r="M27026" s="277"/>
      <c r="O27026" s="247"/>
      <c r="AC27026" s="247"/>
      <c r="AT27026" s="247"/>
    </row>
    <row r="27027">
      <c r="C27027" s="277"/>
      <c r="M27027" s="277"/>
      <c r="O27027" s="247"/>
      <c r="AC27027" s="247"/>
      <c r="AT27027" s="247"/>
    </row>
    <row r="27028">
      <c r="C27028" s="277"/>
      <c r="M27028" s="277"/>
      <c r="O27028" s="247"/>
      <c r="AC27028" s="247"/>
      <c r="AT27028" s="247"/>
    </row>
    <row r="27029">
      <c r="C27029" s="277"/>
      <c r="M27029" s="277"/>
      <c r="O27029" s="247"/>
      <c r="AC27029" s="247"/>
      <c r="AT27029" s="247"/>
    </row>
    <row r="27030">
      <c r="C27030" s="277"/>
      <c r="M27030" s="277"/>
      <c r="O27030" s="247"/>
      <c r="AC27030" s="247"/>
      <c r="AT27030" s="247"/>
    </row>
    <row r="27031">
      <c r="C27031" s="277"/>
      <c r="M27031" s="277"/>
      <c r="O27031" s="247"/>
      <c r="AC27031" s="247"/>
      <c r="AT27031" s="247"/>
    </row>
    <row r="27032">
      <c r="C27032" s="277"/>
      <c r="M27032" s="277"/>
      <c r="O27032" s="247"/>
      <c r="AC27032" s="247"/>
      <c r="AT27032" s="247"/>
    </row>
    <row r="27033">
      <c r="C27033" s="277"/>
      <c r="M27033" s="277"/>
      <c r="O27033" s="247"/>
      <c r="AC27033" s="247"/>
      <c r="AT27033" s="247"/>
    </row>
    <row r="27034">
      <c r="C27034" s="277"/>
      <c r="M27034" s="277"/>
      <c r="O27034" s="247"/>
      <c r="AC27034" s="247"/>
      <c r="AT27034" s="247"/>
    </row>
    <row r="27035">
      <c r="C27035" s="277"/>
      <c r="M27035" s="277"/>
      <c r="O27035" s="247"/>
      <c r="AC27035" s="247"/>
      <c r="AT27035" s="247"/>
    </row>
    <row r="27036">
      <c r="C27036" s="277"/>
      <c r="M27036" s="277"/>
      <c r="O27036" s="247"/>
      <c r="AC27036" s="247"/>
      <c r="AT27036" s="247"/>
    </row>
    <row r="27037">
      <c r="C27037" s="277"/>
      <c r="M27037" s="277"/>
      <c r="O27037" s="247"/>
      <c r="AC27037" s="247"/>
      <c r="AT27037" s="247"/>
    </row>
    <row r="27038">
      <c r="C27038" s="277"/>
      <c r="M27038" s="277"/>
      <c r="O27038" s="247"/>
      <c r="AC27038" s="247"/>
      <c r="AT27038" s="247"/>
    </row>
    <row r="27039">
      <c r="C27039" s="277"/>
      <c r="M27039" s="277"/>
      <c r="O27039" s="247"/>
      <c r="AC27039" s="247"/>
      <c r="AT27039" s="247"/>
    </row>
    <row r="27040">
      <c r="C27040" s="277"/>
      <c r="M27040" s="277"/>
      <c r="O27040" s="247"/>
      <c r="AC27040" s="247"/>
      <c r="AT27040" s="247"/>
    </row>
    <row r="27041">
      <c r="C27041" s="277"/>
      <c r="M27041" s="277"/>
      <c r="O27041" s="247"/>
      <c r="AC27041" s="247"/>
      <c r="AT27041" s="247"/>
    </row>
    <row r="27042">
      <c r="C27042" s="277"/>
      <c r="M27042" s="277"/>
      <c r="O27042" s="247"/>
      <c r="AC27042" s="247"/>
      <c r="AT27042" s="247"/>
    </row>
    <row r="27043">
      <c r="C27043" s="277"/>
      <c r="M27043" s="277"/>
      <c r="O27043" s="247"/>
      <c r="AC27043" s="247"/>
      <c r="AT27043" s="247"/>
    </row>
    <row r="27044">
      <c r="C27044" s="277"/>
      <c r="M27044" s="277"/>
      <c r="O27044" s="247"/>
      <c r="AC27044" s="247"/>
      <c r="AT27044" s="247"/>
    </row>
    <row r="27045">
      <c r="C27045" s="277"/>
      <c r="M27045" s="277"/>
      <c r="O27045" s="247"/>
      <c r="AC27045" s="247"/>
      <c r="AT27045" s="247"/>
    </row>
    <row r="27046">
      <c r="C27046" s="277"/>
      <c r="M27046" s="277"/>
      <c r="O27046" s="247"/>
      <c r="AC27046" s="247"/>
      <c r="AT27046" s="247"/>
    </row>
    <row r="27047">
      <c r="C27047" s="277"/>
      <c r="M27047" s="277"/>
      <c r="O27047" s="247"/>
      <c r="AC27047" s="247"/>
      <c r="AT27047" s="247"/>
    </row>
    <row r="27048">
      <c r="C27048" s="277"/>
      <c r="M27048" s="277"/>
      <c r="O27048" s="247"/>
      <c r="AC27048" s="247"/>
      <c r="AT27048" s="247"/>
    </row>
    <row r="27049">
      <c r="C27049" s="277"/>
      <c r="M27049" s="277"/>
      <c r="O27049" s="247"/>
      <c r="AC27049" s="247"/>
      <c r="AT27049" s="247"/>
    </row>
    <row r="27050">
      <c r="C27050" s="277"/>
      <c r="M27050" s="277"/>
      <c r="O27050" s="247"/>
      <c r="AC27050" s="247"/>
      <c r="AT27050" s="247"/>
    </row>
    <row r="27051">
      <c r="C27051" s="277"/>
      <c r="M27051" s="277"/>
      <c r="O27051" s="247"/>
      <c r="AC27051" s="247"/>
      <c r="AT27051" s="247"/>
    </row>
    <row r="27052">
      <c r="C27052" s="277"/>
      <c r="M27052" s="277"/>
      <c r="O27052" s="247"/>
      <c r="AC27052" s="247"/>
      <c r="AT27052" s="247"/>
    </row>
    <row r="27053">
      <c r="C27053" s="277"/>
      <c r="M27053" s="277"/>
      <c r="O27053" s="247"/>
      <c r="AC27053" s="247"/>
      <c r="AT27053" s="247"/>
    </row>
    <row r="27054">
      <c r="C27054" s="277"/>
      <c r="M27054" s="277"/>
      <c r="O27054" s="247"/>
      <c r="AC27054" s="247"/>
      <c r="AT27054" s="247"/>
    </row>
    <row r="27055">
      <c r="C27055" s="277"/>
      <c r="M27055" s="277"/>
      <c r="O27055" s="247"/>
      <c r="AC27055" s="247"/>
      <c r="AT27055" s="247"/>
    </row>
    <row r="27056">
      <c r="C27056" s="277"/>
      <c r="M27056" s="277"/>
      <c r="O27056" s="247"/>
      <c r="AC27056" s="247"/>
      <c r="AT27056" s="247"/>
    </row>
    <row r="27057">
      <c r="C27057" s="277"/>
      <c r="M27057" s="277"/>
      <c r="O27057" s="247"/>
      <c r="AC27057" s="247"/>
      <c r="AT27057" s="247"/>
    </row>
    <row r="27058">
      <c r="C27058" s="277"/>
      <c r="M27058" s="277"/>
      <c r="O27058" s="247"/>
      <c r="AC27058" s="247"/>
      <c r="AT27058" s="247"/>
    </row>
    <row r="27059">
      <c r="C27059" s="277"/>
      <c r="M27059" s="277"/>
      <c r="O27059" s="247"/>
      <c r="AC27059" s="247"/>
      <c r="AT27059" s="247"/>
    </row>
    <row r="27060">
      <c r="C27060" s="277"/>
      <c r="M27060" s="277"/>
      <c r="O27060" s="247"/>
      <c r="AC27060" s="247"/>
      <c r="AT27060" s="247"/>
    </row>
    <row r="27061">
      <c r="C27061" s="277"/>
      <c r="M27061" s="277"/>
      <c r="O27061" s="247"/>
      <c r="AC27061" s="247"/>
      <c r="AT27061" s="247"/>
    </row>
    <row r="27062">
      <c r="C27062" s="277"/>
      <c r="M27062" s="277"/>
      <c r="O27062" s="247"/>
      <c r="AC27062" s="247"/>
      <c r="AT27062" s="247"/>
    </row>
    <row r="27063">
      <c r="C27063" s="277"/>
      <c r="M27063" s="277"/>
      <c r="O27063" s="247"/>
      <c r="AC27063" s="247"/>
      <c r="AT27063" s="247"/>
    </row>
    <row r="27064">
      <c r="C27064" s="277"/>
      <c r="M27064" s="277"/>
      <c r="O27064" s="247"/>
      <c r="AC27064" s="247"/>
      <c r="AT27064" s="247"/>
    </row>
    <row r="27065">
      <c r="C27065" s="277"/>
      <c r="M27065" s="277"/>
      <c r="O27065" s="247"/>
      <c r="AC27065" s="247"/>
      <c r="AT27065" s="247"/>
    </row>
    <row r="27066">
      <c r="C27066" s="277"/>
      <c r="M27066" s="277"/>
      <c r="O27066" s="247"/>
      <c r="AC27066" s="247"/>
      <c r="AT27066" s="247"/>
    </row>
    <row r="27067">
      <c r="C27067" s="277"/>
      <c r="M27067" s="277"/>
      <c r="O27067" s="247"/>
      <c r="AC27067" s="247"/>
      <c r="AT27067" s="247"/>
    </row>
    <row r="27068">
      <c r="C27068" s="277"/>
      <c r="M27068" s="277"/>
      <c r="O27068" s="247"/>
      <c r="AC27068" s="247"/>
      <c r="AT27068" s="247"/>
    </row>
    <row r="27069">
      <c r="C27069" s="277"/>
      <c r="M27069" s="277"/>
      <c r="O27069" s="247"/>
      <c r="AC27069" s="247"/>
      <c r="AT27069" s="247"/>
    </row>
    <row r="27070">
      <c r="C27070" s="277"/>
      <c r="M27070" s="277"/>
      <c r="O27070" s="247"/>
      <c r="AC27070" s="247"/>
      <c r="AT27070" s="247"/>
    </row>
    <row r="27071">
      <c r="C27071" s="277"/>
      <c r="M27071" s="277"/>
      <c r="O27071" s="247"/>
      <c r="AC27071" s="247"/>
      <c r="AT27071" s="247"/>
    </row>
    <row r="27072">
      <c r="C27072" s="277"/>
      <c r="M27072" s="277"/>
      <c r="O27072" s="247"/>
      <c r="AC27072" s="247"/>
      <c r="AT27072" s="247"/>
    </row>
    <row r="27073">
      <c r="C27073" s="277"/>
      <c r="M27073" s="277"/>
      <c r="O27073" s="247"/>
      <c r="AC27073" s="247"/>
      <c r="AT27073" s="247"/>
    </row>
    <row r="27074">
      <c r="C27074" s="277"/>
      <c r="M27074" s="277"/>
      <c r="O27074" s="247"/>
      <c r="AC27074" s="247"/>
      <c r="AT27074" s="247"/>
    </row>
    <row r="27075">
      <c r="C27075" s="277"/>
      <c r="M27075" s="277"/>
      <c r="O27075" s="247"/>
      <c r="AC27075" s="247"/>
      <c r="AT27075" s="247"/>
    </row>
    <row r="27076">
      <c r="C27076" s="277"/>
      <c r="M27076" s="277"/>
      <c r="O27076" s="247"/>
      <c r="AC27076" s="247"/>
      <c r="AT27076" s="247"/>
    </row>
    <row r="27077">
      <c r="C27077" s="277"/>
      <c r="M27077" s="277"/>
      <c r="O27077" s="247"/>
      <c r="AC27077" s="247"/>
      <c r="AT27077" s="247"/>
    </row>
    <row r="27078">
      <c r="C27078" s="277"/>
      <c r="M27078" s="277"/>
      <c r="O27078" s="247"/>
      <c r="AC27078" s="247"/>
      <c r="AT27078" s="247"/>
    </row>
    <row r="27079">
      <c r="C27079" s="277"/>
      <c r="M27079" s="277"/>
      <c r="O27079" s="247"/>
      <c r="AC27079" s="247"/>
      <c r="AT27079" s="247"/>
    </row>
    <row r="27080">
      <c r="C27080" s="277"/>
      <c r="M27080" s="277"/>
      <c r="O27080" s="247"/>
      <c r="AC27080" s="247"/>
      <c r="AT27080" s="247"/>
    </row>
    <row r="27081">
      <c r="C27081" s="277"/>
      <c r="M27081" s="277"/>
      <c r="O27081" s="247"/>
      <c r="AC27081" s="247"/>
      <c r="AT27081" s="247"/>
    </row>
    <row r="27082">
      <c r="C27082" s="277"/>
      <c r="M27082" s="277"/>
      <c r="O27082" s="247"/>
      <c r="AC27082" s="247"/>
      <c r="AT27082" s="247"/>
    </row>
    <row r="27083">
      <c r="C27083" s="277"/>
      <c r="M27083" s="277"/>
      <c r="O27083" s="247"/>
      <c r="AC27083" s="247"/>
      <c r="AT27083" s="247"/>
    </row>
    <row r="27084">
      <c r="C27084" s="277"/>
      <c r="M27084" s="277"/>
      <c r="O27084" s="247"/>
      <c r="AC27084" s="247"/>
      <c r="AT27084" s="247"/>
    </row>
    <row r="27085">
      <c r="C27085" s="277"/>
      <c r="M27085" s="277"/>
      <c r="O27085" s="247"/>
      <c r="AC27085" s="247"/>
      <c r="AT27085" s="247"/>
    </row>
    <row r="27086">
      <c r="C27086" s="277"/>
      <c r="M27086" s="277"/>
      <c r="O27086" s="247"/>
      <c r="AC27086" s="247"/>
      <c r="AT27086" s="247"/>
    </row>
    <row r="27087">
      <c r="C27087" s="277"/>
      <c r="M27087" s="277"/>
      <c r="O27087" s="247"/>
      <c r="AC27087" s="247"/>
      <c r="AT27087" s="247"/>
    </row>
    <row r="27088">
      <c r="C27088" s="277"/>
      <c r="M27088" s="277"/>
      <c r="O27088" s="247"/>
      <c r="AC27088" s="247"/>
      <c r="AT27088" s="247"/>
    </row>
    <row r="27089">
      <c r="C27089" s="277"/>
      <c r="M27089" s="277"/>
      <c r="O27089" s="247"/>
      <c r="AC27089" s="247"/>
      <c r="AT27089" s="247"/>
    </row>
    <row r="27090">
      <c r="C27090" s="277"/>
      <c r="M27090" s="277"/>
      <c r="O27090" s="247"/>
      <c r="AC27090" s="247"/>
      <c r="AT27090" s="247"/>
    </row>
    <row r="27091">
      <c r="C27091" s="277"/>
      <c r="M27091" s="277"/>
      <c r="O27091" s="247"/>
      <c r="AC27091" s="247"/>
      <c r="AT27091" s="247"/>
    </row>
    <row r="27092">
      <c r="C27092" s="277"/>
      <c r="M27092" s="277"/>
      <c r="O27092" s="247"/>
      <c r="AC27092" s="247"/>
      <c r="AT27092" s="247"/>
    </row>
    <row r="27093">
      <c r="C27093" s="277"/>
      <c r="M27093" s="277"/>
      <c r="O27093" s="247"/>
      <c r="AC27093" s="247"/>
      <c r="AT27093" s="247"/>
    </row>
    <row r="27094">
      <c r="C27094" s="277"/>
      <c r="M27094" s="277"/>
      <c r="O27094" s="247"/>
      <c r="AC27094" s="247"/>
      <c r="AT27094" s="247"/>
    </row>
    <row r="27095">
      <c r="C27095" s="277"/>
      <c r="M27095" s="277"/>
      <c r="O27095" s="247"/>
      <c r="AC27095" s="247"/>
      <c r="AT27095" s="247"/>
    </row>
    <row r="27096">
      <c r="C27096" s="277"/>
      <c r="M27096" s="277"/>
      <c r="O27096" s="247"/>
      <c r="AC27096" s="247"/>
      <c r="AT27096" s="247"/>
    </row>
    <row r="27097">
      <c r="C27097" s="277"/>
      <c r="M27097" s="277"/>
      <c r="O27097" s="247"/>
      <c r="AC27097" s="247"/>
      <c r="AT27097" s="247"/>
    </row>
    <row r="27098">
      <c r="C27098" s="277"/>
      <c r="M27098" s="277"/>
      <c r="O27098" s="247"/>
      <c r="AC27098" s="247"/>
      <c r="AT27098" s="247"/>
    </row>
    <row r="27099">
      <c r="C27099" s="277"/>
      <c r="M27099" s="277"/>
      <c r="O27099" s="247"/>
      <c r="AC27099" s="247"/>
      <c r="AT27099" s="247"/>
    </row>
    <row r="27100">
      <c r="C27100" s="277"/>
      <c r="M27100" s="277"/>
      <c r="O27100" s="247"/>
      <c r="AC27100" s="247"/>
      <c r="AT27100" s="247"/>
    </row>
    <row r="27101">
      <c r="C27101" s="277"/>
      <c r="M27101" s="277"/>
      <c r="O27101" s="247"/>
      <c r="AC27101" s="247"/>
      <c r="AT27101" s="247"/>
    </row>
    <row r="27102">
      <c r="C27102" s="277"/>
      <c r="M27102" s="277"/>
      <c r="O27102" s="247"/>
      <c r="AC27102" s="247"/>
      <c r="AT27102" s="247"/>
    </row>
    <row r="27103">
      <c r="C27103" s="277"/>
      <c r="M27103" s="277"/>
      <c r="O27103" s="247"/>
      <c r="AC27103" s="247"/>
      <c r="AT27103" s="247"/>
    </row>
    <row r="27104">
      <c r="C27104" s="277"/>
      <c r="M27104" s="277"/>
      <c r="O27104" s="247"/>
      <c r="AC27104" s="247"/>
      <c r="AT27104" s="247"/>
    </row>
    <row r="27105">
      <c r="C27105" s="277"/>
      <c r="M27105" s="277"/>
      <c r="O27105" s="247"/>
      <c r="AC27105" s="247"/>
      <c r="AT27105" s="247"/>
    </row>
    <row r="27106">
      <c r="C27106" s="277"/>
      <c r="M27106" s="277"/>
      <c r="O27106" s="247"/>
      <c r="AC27106" s="247"/>
      <c r="AT27106" s="247"/>
    </row>
    <row r="27107">
      <c r="C27107" s="277"/>
      <c r="M27107" s="277"/>
      <c r="O27107" s="247"/>
      <c r="AC27107" s="247"/>
      <c r="AT27107" s="247"/>
    </row>
    <row r="27108">
      <c r="C27108" s="277"/>
      <c r="M27108" s="277"/>
      <c r="O27108" s="247"/>
      <c r="AC27108" s="247"/>
      <c r="AT27108" s="247"/>
    </row>
    <row r="27109">
      <c r="C27109" s="277"/>
      <c r="M27109" s="277"/>
      <c r="O27109" s="247"/>
      <c r="AC27109" s="247"/>
      <c r="AT27109" s="247"/>
    </row>
    <row r="27110">
      <c r="C27110" s="277"/>
      <c r="M27110" s="277"/>
      <c r="O27110" s="247"/>
      <c r="AC27110" s="247"/>
      <c r="AT27110" s="247"/>
    </row>
    <row r="27111">
      <c r="C27111" s="277"/>
      <c r="M27111" s="277"/>
      <c r="O27111" s="247"/>
      <c r="AC27111" s="247"/>
      <c r="AT27111" s="247"/>
    </row>
    <row r="27112">
      <c r="C27112" s="277"/>
      <c r="M27112" s="277"/>
      <c r="O27112" s="247"/>
      <c r="AC27112" s="247"/>
      <c r="AT27112" s="247"/>
    </row>
    <row r="27113">
      <c r="C27113" s="277"/>
      <c r="M27113" s="277"/>
      <c r="O27113" s="247"/>
      <c r="AC27113" s="247"/>
      <c r="AT27113" s="247"/>
    </row>
    <row r="27114">
      <c r="C27114" s="277"/>
      <c r="M27114" s="277"/>
      <c r="O27114" s="247"/>
      <c r="AC27114" s="247"/>
      <c r="AT27114" s="247"/>
    </row>
    <row r="27115">
      <c r="C27115" s="277"/>
      <c r="M27115" s="277"/>
      <c r="O27115" s="247"/>
      <c r="AC27115" s="247"/>
      <c r="AT27115" s="247"/>
    </row>
    <row r="27116">
      <c r="C27116" s="277"/>
      <c r="M27116" s="277"/>
      <c r="O27116" s="247"/>
      <c r="AC27116" s="247"/>
      <c r="AT27116" s="247"/>
    </row>
    <row r="27117">
      <c r="C27117" s="277"/>
      <c r="M27117" s="277"/>
      <c r="O27117" s="247"/>
      <c r="AC27117" s="247"/>
      <c r="AT27117" s="247"/>
    </row>
    <row r="27118">
      <c r="C27118" s="277"/>
      <c r="M27118" s="277"/>
      <c r="O27118" s="247"/>
      <c r="AC27118" s="247"/>
      <c r="AT27118" s="247"/>
    </row>
    <row r="27119">
      <c r="C27119" s="277"/>
      <c r="M27119" s="277"/>
      <c r="O27119" s="247"/>
      <c r="AC27119" s="247"/>
      <c r="AT27119" s="247"/>
    </row>
    <row r="27120">
      <c r="C27120" s="277"/>
      <c r="M27120" s="277"/>
      <c r="O27120" s="247"/>
      <c r="AC27120" s="247"/>
      <c r="AT27120" s="247"/>
    </row>
    <row r="27121">
      <c r="C27121" s="277"/>
      <c r="M27121" s="277"/>
      <c r="O27121" s="247"/>
      <c r="AC27121" s="247"/>
      <c r="AT27121" s="247"/>
    </row>
    <row r="27122">
      <c r="C27122" s="277"/>
      <c r="M27122" s="277"/>
      <c r="O27122" s="247"/>
      <c r="AC27122" s="247"/>
      <c r="AT27122" s="247"/>
    </row>
    <row r="27123">
      <c r="C27123" s="277"/>
      <c r="M27123" s="277"/>
      <c r="O27123" s="247"/>
      <c r="AC27123" s="247"/>
      <c r="AT27123" s="247"/>
    </row>
    <row r="27124">
      <c r="C27124" s="277"/>
      <c r="M27124" s="277"/>
      <c r="O27124" s="247"/>
      <c r="AC27124" s="247"/>
      <c r="AT27124" s="247"/>
    </row>
    <row r="27125">
      <c r="C27125" s="277"/>
      <c r="M27125" s="277"/>
      <c r="O27125" s="247"/>
      <c r="AC27125" s="247"/>
      <c r="AT27125" s="247"/>
    </row>
    <row r="27126">
      <c r="C27126" s="277"/>
      <c r="M27126" s="277"/>
      <c r="O27126" s="247"/>
      <c r="AC27126" s="247"/>
      <c r="AT27126" s="247"/>
    </row>
    <row r="27127">
      <c r="C27127" s="277"/>
      <c r="M27127" s="277"/>
      <c r="O27127" s="247"/>
      <c r="AC27127" s="247"/>
      <c r="AT27127" s="247"/>
    </row>
    <row r="27128">
      <c r="C27128" s="277"/>
      <c r="M27128" s="277"/>
      <c r="O27128" s="247"/>
      <c r="AC27128" s="247"/>
      <c r="AT27128" s="247"/>
    </row>
    <row r="27129">
      <c r="C27129" s="277"/>
      <c r="M27129" s="277"/>
      <c r="O27129" s="247"/>
      <c r="AC27129" s="247"/>
      <c r="AT27129" s="247"/>
    </row>
    <row r="27130">
      <c r="C27130" s="277"/>
      <c r="M27130" s="277"/>
      <c r="O27130" s="247"/>
      <c r="AC27130" s="247"/>
      <c r="AT27130" s="247"/>
    </row>
    <row r="27131">
      <c r="C27131" s="277"/>
      <c r="M27131" s="277"/>
      <c r="O27131" s="247"/>
      <c r="AC27131" s="247"/>
      <c r="AT27131" s="247"/>
    </row>
    <row r="27132">
      <c r="C27132" s="277"/>
      <c r="M27132" s="277"/>
      <c r="O27132" s="247"/>
      <c r="AC27132" s="247"/>
      <c r="AT27132" s="247"/>
    </row>
    <row r="27133">
      <c r="C27133" s="277"/>
      <c r="M27133" s="277"/>
      <c r="O27133" s="247"/>
      <c r="AC27133" s="247"/>
      <c r="AT27133" s="247"/>
    </row>
    <row r="27134">
      <c r="C27134" s="277"/>
      <c r="M27134" s="277"/>
      <c r="O27134" s="247"/>
      <c r="AC27134" s="247"/>
      <c r="AT27134" s="247"/>
    </row>
    <row r="27135">
      <c r="C27135" s="277"/>
      <c r="M27135" s="277"/>
      <c r="O27135" s="247"/>
      <c r="AC27135" s="247"/>
      <c r="AT27135" s="247"/>
    </row>
    <row r="27136">
      <c r="C27136" s="277"/>
      <c r="M27136" s="277"/>
      <c r="O27136" s="247"/>
      <c r="AC27136" s="247"/>
      <c r="AT27136" s="247"/>
    </row>
    <row r="27137">
      <c r="C27137" s="277"/>
      <c r="M27137" s="277"/>
      <c r="O27137" s="247"/>
      <c r="AC27137" s="247"/>
      <c r="AT27137" s="247"/>
    </row>
    <row r="27138">
      <c r="C27138" s="277"/>
      <c r="M27138" s="277"/>
      <c r="O27138" s="247"/>
      <c r="AC27138" s="247"/>
      <c r="AT27138" s="247"/>
    </row>
    <row r="27139">
      <c r="C27139" s="277"/>
      <c r="M27139" s="277"/>
      <c r="O27139" s="247"/>
      <c r="AC27139" s="247"/>
      <c r="AT27139" s="247"/>
    </row>
    <row r="27140">
      <c r="C27140" s="277"/>
      <c r="M27140" s="277"/>
      <c r="O27140" s="247"/>
      <c r="AC27140" s="247"/>
      <c r="AT27140" s="247"/>
    </row>
    <row r="27141">
      <c r="C27141" s="277"/>
      <c r="M27141" s="277"/>
      <c r="O27141" s="247"/>
      <c r="AC27141" s="247"/>
      <c r="AT27141" s="247"/>
    </row>
    <row r="27142">
      <c r="C27142" s="277"/>
      <c r="M27142" s="277"/>
      <c r="O27142" s="247"/>
      <c r="AC27142" s="247"/>
      <c r="AT27142" s="247"/>
    </row>
    <row r="27143">
      <c r="C27143" s="277"/>
      <c r="M27143" s="277"/>
      <c r="O27143" s="247"/>
      <c r="AC27143" s="247"/>
      <c r="AT27143" s="247"/>
    </row>
    <row r="27144">
      <c r="C27144" s="277"/>
      <c r="M27144" s="277"/>
      <c r="O27144" s="247"/>
      <c r="AC27144" s="247"/>
      <c r="AT27144" s="247"/>
    </row>
    <row r="27145">
      <c r="C27145" s="277"/>
      <c r="M27145" s="277"/>
      <c r="O27145" s="247"/>
      <c r="AC27145" s="247"/>
      <c r="AT27145" s="247"/>
    </row>
    <row r="27146">
      <c r="C27146" s="277"/>
      <c r="M27146" s="277"/>
      <c r="O27146" s="247"/>
      <c r="AC27146" s="247"/>
      <c r="AT27146" s="247"/>
    </row>
    <row r="27147">
      <c r="C27147" s="277"/>
      <c r="M27147" s="277"/>
      <c r="O27147" s="247"/>
      <c r="AC27147" s="247"/>
      <c r="AT27147" s="247"/>
    </row>
    <row r="27148">
      <c r="C27148" s="277"/>
      <c r="M27148" s="277"/>
      <c r="O27148" s="247"/>
      <c r="AC27148" s="247"/>
      <c r="AT27148" s="247"/>
    </row>
    <row r="27149">
      <c r="C27149" s="277"/>
      <c r="M27149" s="277"/>
      <c r="O27149" s="247"/>
      <c r="AC27149" s="247"/>
      <c r="AT27149" s="247"/>
    </row>
    <row r="27150">
      <c r="C27150" s="277"/>
      <c r="M27150" s="277"/>
      <c r="O27150" s="247"/>
      <c r="AC27150" s="247"/>
      <c r="AT27150" s="247"/>
    </row>
    <row r="27151">
      <c r="C27151" s="277"/>
      <c r="M27151" s="277"/>
      <c r="O27151" s="247"/>
      <c r="AC27151" s="247"/>
      <c r="AT27151" s="247"/>
    </row>
    <row r="27152">
      <c r="C27152" s="277"/>
      <c r="M27152" s="277"/>
      <c r="O27152" s="247"/>
      <c r="AC27152" s="247"/>
      <c r="AT27152" s="247"/>
    </row>
    <row r="27153">
      <c r="C27153" s="277"/>
      <c r="M27153" s="277"/>
      <c r="O27153" s="247"/>
      <c r="AC27153" s="247"/>
      <c r="AT27153" s="247"/>
    </row>
    <row r="27154">
      <c r="C27154" s="277"/>
      <c r="M27154" s="277"/>
      <c r="O27154" s="247"/>
      <c r="AC27154" s="247"/>
      <c r="AT27154" s="247"/>
    </row>
    <row r="27155">
      <c r="C27155" s="277"/>
      <c r="M27155" s="277"/>
      <c r="O27155" s="247"/>
      <c r="AC27155" s="247"/>
      <c r="AT27155" s="247"/>
    </row>
    <row r="27156">
      <c r="C27156" s="277"/>
      <c r="M27156" s="277"/>
      <c r="O27156" s="247"/>
      <c r="AC27156" s="247"/>
      <c r="AT27156" s="247"/>
    </row>
    <row r="27157">
      <c r="C27157" s="277"/>
      <c r="M27157" s="277"/>
      <c r="O27157" s="247"/>
      <c r="AC27157" s="247"/>
      <c r="AT27157" s="247"/>
    </row>
    <row r="27158">
      <c r="C27158" s="277"/>
      <c r="M27158" s="277"/>
      <c r="O27158" s="247"/>
      <c r="AC27158" s="247"/>
      <c r="AT27158" s="247"/>
    </row>
    <row r="27159">
      <c r="C27159" s="277"/>
      <c r="M27159" s="277"/>
      <c r="O27159" s="247"/>
      <c r="AC27159" s="247"/>
      <c r="AT27159" s="247"/>
    </row>
    <row r="27160">
      <c r="C27160" s="277"/>
      <c r="M27160" s="277"/>
      <c r="O27160" s="247"/>
      <c r="AC27160" s="247"/>
      <c r="AT27160" s="247"/>
    </row>
    <row r="27161">
      <c r="C27161" s="277"/>
      <c r="M27161" s="277"/>
      <c r="O27161" s="247"/>
      <c r="AC27161" s="247"/>
      <c r="AT27161" s="247"/>
    </row>
    <row r="27162">
      <c r="C27162" s="277"/>
      <c r="M27162" s="277"/>
      <c r="O27162" s="247"/>
      <c r="AC27162" s="247"/>
      <c r="AT27162" s="247"/>
    </row>
    <row r="27163">
      <c r="C27163" s="277"/>
      <c r="M27163" s="277"/>
      <c r="O27163" s="247"/>
      <c r="AC27163" s="247"/>
      <c r="AT27163" s="247"/>
    </row>
    <row r="27164">
      <c r="C27164" s="277"/>
      <c r="M27164" s="277"/>
      <c r="O27164" s="247"/>
      <c r="AC27164" s="247"/>
      <c r="AT27164" s="247"/>
    </row>
    <row r="27165">
      <c r="C27165" s="277"/>
      <c r="M27165" s="277"/>
      <c r="O27165" s="247"/>
      <c r="AC27165" s="247"/>
      <c r="AT27165" s="247"/>
    </row>
    <row r="27166">
      <c r="C27166" s="277"/>
      <c r="M27166" s="277"/>
      <c r="O27166" s="247"/>
      <c r="AC27166" s="247"/>
      <c r="AT27166" s="247"/>
    </row>
    <row r="27167">
      <c r="C27167" s="277"/>
      <c r="M27167" s="277"/>
      <c r="O27167" s="247"/>
      <c r="AC27167" s="247"/>
      <c r="AT27167" s="247"/>
    </row>
    <row r="27168">
      <c r="C27168" s="277"/>
      <c r="M27168" s="277"/>
      <c r="O27168" s="247"/>
      <c r="AC27168" s="247"/>
      <c r="AT27168" s="247"/>
    </row>
    <row r="27169">
      <c r="C27169" s="277"/>
      <c r="M27169" s="277"/>
      <c r="O27169" s="247"/>
      <c r="AC27169" s="247"/>
      <c r="AT27169" s="247"/>
    </row>
    <row r="27170">
      <c r="C27170" s="277"/>
      <c r="M27170" s="277"/>
      <c r="O27170" s="247"/>
      <c r="AC27170" s="247"/>
      <c r="AT27170" s="247"/>
    </row>
    <row r="27171">
      <c r="C27171" s="277"/>
      <c r="M27171" s="277"/>
      <c r="O27171" s="247"/>
      <c r="AC27171" s="247"/>
      <c r="AT27171" s="247"/>
    </row>
    <row r="27172">
      <c r="C27172" s="277"/>
      <c r="M27172" s="277"/>
      <c r="O27172" s="247"/>
      <c r="AC27172" s="247"/>
      <c r="AT27172" s="247"/>
    </row>
    <row r="27173">
      <c r="C27173" s="277"/>
      <c r="M27173" s="277"/>
      <c r="O27173" s="247"/>
      <c r="AC27173" s="247"/>
      <c r="AT27173" s="247"/>
    </row>
    <row r="27174">
      <c r="C27174" s="277"/>
      <c r="M27174" s="277"/>
      <c r="O27174" s="247"/>
      <c r="AC27174" s="247"/>
      <c r="AT27174" s="247"/>
    </row>
    <row r="27175">
      <c r="C27175" s="277"/>
      <c r="M27175" s="277"/>
      <c r="O27175" s="247"/>
      <c r="AC27175" s="247"/>
      <c r="AT27175" s="247"/>
    </row>
    <row r="27176">
      <c r="C27176" s="277"/>
      <c r="M27176" s="277"/>
      <c r="O27176" s="247"/>
      <c r="AC27176" s="247"/>
      <c r="AT27176" s="247"/>
    </row>
    <row r="27177">
      <c r="C27177" s="277"/>
      <c r="M27177" s="277"/>
      <c r="O27177" s="247"/>
      <c r="AC27177" s="247"/>
      <c r="AT27177" s="247"/>
    </row>
    <row r="27178">
      <c r="C27178" s="277"/>
      <c r="M27178" s="277"/>
      <c r="O27178" s="247"/>
      <c r="AC27178" s="247"/>
      <c r="AT27178" s="247"/>
    </row>
    <row r="27179">
      <c r="C27179" s="277"/>
      <c r="M27179" s="277"/>
      <c r="O27179" s="247"/>
      <c r="AC27179" s="247"/>
      <c r="AT27179" s="247"/>
    </row>
    <row r="27180">
      <c r="C27180" s="277"/>
      <c r="M27180" s="277"/>
      <c r="O27180" s="247"/>
      <c r="AC27180" s="247"/>
      <c r="AT27180" s="247"/>
    </row>
    <row r="27181">
      <c r="C27181" s="277"/>
      <c r="M27181" s="277"/>
      <c r="O27181" s="247"/>
      <c r="AC27181" s="247"/>
      <c r="AT27181" s="247"/>
    </row>
    <row r="27182">
      <c r="C27182" s="277"/>
      <c r="M27182" s="277"/>
      <c r="O27182" s="247"/>
      <c r="AC27182" s="247"/>
      <c r="AT27182" s="247"/>
    </row>
    <row r="27183">
      <c r="C27183" s="277"/>
      <c r="M27183" s="277"/>
      <c r="O27183" s="247"/>
      <c r="AC27183" s="247"/>
      <c r="AT27183" s="247"/>
    </row>
    <row r="27184">
      <c r="C27184" s="277"/>
      <c r="M27184" s="277"/>
      <c r="O27184" s="247"/>
      <c r="AC27184" s="247"/>
      <c r="AT27184" s="247"/>
    </row>
    <row r="27185">
      <c r="C27185" s="277"/>
      <c r="M27185" s="277"/>
      <c r="O27185" s="247"/>
      <c r="AC27185" s="247"/>
      <c r="AT27185" s="247"/>
    </row>
    <row r="27186">
      <c r="C27186" s="277"/>
      <c r="M27186" s="277"/>
      <c r="O27186" s="247"/>
      <c r="AC27186" s="247"/>
      <c r="AT27186" s="247"/>
    </row>
    <row r="27187">
      <c r="C27187" s="277"/>
      <c r="M27187" s="277"/>
      <c r="O27187" s="247"/>
      <c r="AC27187" s="247"/>
      <c r="AT27187" s="247"/>
    </row>
    <row r="27188">
      <c r="C27188" s="277"/>
      <c r="M27188" s="277"/>
      <c r="O27188" s="247"/>
      <c r="AC27188" s="247"/>
      <c r="AT27188" s="247"/>
    </row>
    <row r="27189">
      <c r="C27189" s="277"/>
      <c r="M27189" s="277"/>
      <c r="O27189" s="247"/>
      <c r="AC27189" s="247"/>
      <c r="AT27189" s="247"/>
    </row>
    <row r="27190">
      <c r="C27190" s="277"/>
      <c r="M27190" s="277"/>
      <c r="O27190" s="247"/>
      <c r="AC27190" s="247"/>
      <c r="AT27190" s="247"/>
    </row>
    <row r="27191">
      <c r="C27191" s="277"/>
      <c r="M27191" s="277"/>
      <c r="O27191" s="247"/>
      <c r="AC27191" s="247"/>
      <c r="AT27191" s="247"/>
    </row>
    <row r="27192">
      <c r="C27192" s="277"/>
      <c r="M27192" s="277"/>
      <c r="O27192" s="247"/>
      <c r="AC27192" s="247"/>
      <c r="AT27192" s="247"/>
    </row>
    <row r="27193">
      <c r="C27193" s="277"/>
      <c r="M27193" s="277"/>
      <c r="O27193" s="247"/>
      <c r="AC27193" s="247"/>
      <c r="AT27193" s="247"/>
    </row>
    <row r="27194">
      <c r="C27194" s="277"/>
      <c r="M27194" s="277"/>
      <c r="O27194" s="247"/>
      <c r="AC27194" s="247"/>
      <c r="AT27194" s="247"/>
    </row>
    <row r="27195">
      <c r="C27195" s="277"/>
      <c r="M27195" s="277"/>
      <c r="O27195" s="247"/>
      <c r="AC27195" s="247"/>
      <c r="AT27195" s="247"/>
    </row>
    <row r="27196">
      <c r="C27196" s="277"/>
      <c r="M27196" s="277"/>
      <c r="O27196" s="247"/>
      <c r="AC27196" s="247"/>
      <c r="AT27196" s="247"/>
    </row>
    <row r="27197">
      <c r="C27197" s="277"/>
      <c r="M27197" s="277"/>
      <c r="O27197" s="247"/>
      <c r="AC27197" s="247"/>
      <c r="AT27197" s="247"/>
    </row>
    <row r="27198">
      <c r="C27198" s="277"/>
      <c r="M27198" s="277"/>
      <c r="O27198" s="247"/>
      <c r="AC27198" s="247"/>
      <c r="AT27198" s="247"/>
    </row>
    <row r="27199">
      <c r="C27199" s="277"/>
      <c r="M27199" s="277"/>
      <c r="O27199" s="247"/>
      <c r="AC27199" s="247"/>
      <c r="AT27199" s="247"/>
    </row>
    <row r="27200">
      <c r="C27200" s="277"/>
      <c r="M27200" s="277"/>
      <c r="O27200" s="247"/>
      <c r="AC27200" s="247"/>
      <c r="AT27200" s="247"/>
    </row>
    <row r="27201">
      <c r="C27201" s="277"/>
      <c r="M27201" s="277"/>
      <c r="O27201" s="247"/>
      <c r="AC27201" s="247"/>
      <c r="AT27201" s="247"/>
    </row>
    <row r="27202">
      <c r="C27202" s="277"/>
      <c r="M27202" s="277"/>
      <c r="O27202" s="247"/>
      <c r="AC27202" s="247"/>
      <c r="AT27202" s="247"/>
    </row>
    <row r="27203">
      <c r="C27203" s="277"/>
      <c r="M27203" s="277"/>
      <c r="O27203" s="247"/>
      <c r="AC27203" s="247"/>
      <c r="AT27203" s="247"/>
    </row>
    <row r="27204">
      <c r="C27204" s="277"/>
      <c r="M27204" s="277"/>
      <c r="O27204" s="247"/>
      <c r="AC27204" s="247"/>
      <c r="AT27204" s="247"/>
    </row>
    <row r="27205">
      <c r="C27205" s="277"/>
      <c r="M27205" s="277"/>
      <c r="O27205" s="247"/>
      <c r="AC27205" s="247"/>
      <c r="AT27205" s="247"/>
    </row>
    <row r="27206">
      <c r="C27206" s="277"/>
      <c r="M27206" s="277"/>
      <c r="O27206" s="247"/>
      <c r="AC27206" s="247"/>
      <c r="AT27206" s="247"/>
    </row>
    <row r="27207">
      <c r="C27207" s="277"/>
      <c r="M27207" s="277"/>
      <c r="O27207" s="247"/>
      <c r="AC27207" s="247"/>
      <c r="AT27207" s="247"/>
    </row>
    <row r="27208">
      <c r="C27208" s="277"/>
      <c r="M27208" s="277"/>
      <c r="O27208" s="247"/>
      <c r="AC27208" s="247"/>
      <c r="AT27208" s="247"/>
    </row>
    <row r="27209">
      <c r="C27209" s="277"/>
      <c r="M27209" s="277"/>
      <c r="O27209" s="247"/>
      <c r="AC27209" s="247"/>
      <c r="AT27209" s="247"/>
    </row>
    <row r="27210">
      <c r="C27210" s="277"/>
      <c r="M27210" s="277"/>
      <c r="O27210" s="247"/>
      <c r="AC27210" s="247"/>
      <c r="AT27210" s="247"/>
    </row>
    <row r="27211">
      <c r="C27211" s="277"/>
      <c r="M27211" s="277"/>
      <c r="O27211" s="247"/>
      <c r="AC27211" s="247"/>
      <c r="AT27211" s="247"/>
    </row>
    <row r="27212">
      <c r="C27212" s="277"/>
      <c r="M27212" s="277"/>
      <c r="O27212" s="247"/>
      <c r="AC27212" s="247"/>
      <c r="AT27212" s="247"/>
    </row>
    <row r="27213">
      <c r="C27213" s="277"/>
      <c r="M27213" s="277"/>
      <c r="O27213" s="247"/>
      <c r="AC27213" s="247"/>
      <c r="AT27213" s="247"/>
    </row>
    <row r="27214">
      <c r="C27214" s="277"/>
      <c r="M27214" s="277"/>
      <c r="O27214" s="247"/>
      <c r="AC27214" s="247"/>
      <c r="AT27214" s="247"/>
    </row>
    <row r="27215">
      <c r="C27215" s="277"/>
      <c r="M27215" s="277"/>
      <c r="O27215" s="247"/>
      <c r="AC27215" s="247"/>
      <c r="AT27215" s="247"/>
    </row>
    <row r="27216">
      <c r="C27216" s="277"/>
      <c r="M27216" s="277"/>
      <c r="O27216" s="247"/>
      <c r="AC27216" s="247"/>
      <c r="AT27216" s="247"/>
    </row>
    <row r="27217">
      <c r="C27217" s="277"/>
      <c r="M27217" s="277"/>
      <c r="O27217" s="247"/>
      <c r="AC27217" s="247"/>
      <c r="AT27217" s="247"/>
    </row>
    <row r="27218">
      <c r="C27218" s="277"/>
      <c r="M27218" s="277"/>
      <c r="O27218" s="247"/>
      <c r="AC27218" s="247"/>
      <c r="AT27218" s="247"/>
    </row>
    <row r="27219">
      <c r="C27219" s="277"/>
      <c r="M27219" s="277"/>
      <c r="O27219" s="247"/>
      <c r="AC27219" s="247"/>
      <c r="AT27219" s="247"/>
    </row>
    <row r="27220">
      <c r="C27220" s="277"/>
      <c r="M27220" s="277"/>
      <c r="O27220" s="247"/>
      <c r="AC27220" s="247"/>
      <c r="AT27220" s="247"/>
    </row>
    <row r="27221">
      <c r="C27221" s="277"/>
      <c r="M27221" s="277"/>
      <c r="O27221" s="247"/>
      <c r="AC27221" s="247"/>
      <c r="AT27221" s="247"/>
    </row>
    <row r="27222">
      <c r="C27222" s="277"/>
      <c r="M27222" s="277"/>
      <c r="O27222" s="247"/>
      <c r="AC27222" s="247"/>
      <c r="AT27222" s="247"/>
    </row>
    <row r="27223">
      <c r="C27223" s="277"/>
      <c r="M27223" s="277"/>
      <c r="O27223" s="247"/>
      <c r="AC27223" s="247"/>
      <c r="AT27223" s="247"/>
    </row>
    <row r="27224">
      <c r="C27224" s="277"/>
      <c r="M27224" s="277"/>
      <c r="O27224" s="247"/>
      <c r="AC27224" s="247"/>
      <c r="AT27224" s="247"/>
    </row>
    <row r="27225">
      <c r="C27225" s="277"/>
      <c r="M27225" s="277"/>
      <c r="O27225" s="247"/>
      <c r="AC27225" s="247"/>
      <c r="AT27225" s="247"/>
    </row>
    <row r="27226">
      <c r="C27226" s="277"/>
      <c r="M27226" s="277"/>
      <c r="O27226" s="247"/>
      <c r="AC27226" s="247"/>
      <c r="AT27226" s="247"/>
    </row>
    <row r="27227">
      <c r="C27227" s="277"/>
      <c r="M27227" s="277"/>
      <c r="O27227" s="247"/>
      <c r="AC27227" s="247"/>
      <c r="AT27227" s="247"/>
    </row>
    <row r="27228">
      <c r="C27228" s="277"/>
      <c r="M27228" s="277"/>
      <c r="O27228" s="247"/>
      <c r="AC27228" s="247"/>
      <c r="AT27228" s="247"/>
    </row>
    <row r="27229">
      <c r="C27229" s="277"/>
      <c r="M27229" s="277"/>
      <c r="O27229" s="247"/>
      <c r="AC27229" s="247"/>
      <c r="AT27229" s="247"/>
    </row>
    <row r="27230">
      <c r="C27230" s="277"/>
      <c r="M27230" s="277"/>
      <c r="O27230" s="247"/>
      <c r="AC27230" s="247"/>
      <c r="AT27230" s="247"/>
    </row>
    <row r="27231">
      <c r="C27231" s="277"/>
      <c r="M27231" s="277"/>
      <c r="O27231" s="247"/>
      <c r="AC27231" s="247"/>
      <c r="AT27231" s="247"/>
    </row>
    <row r="27232">
      <c r="C27232" s="277"/>
      <c r="M27232" s="277"/>
      <c r="O27232" s="247"/>
      <c r="AC27232" s="247"/>
      <c r="AT27232" s="247"/>
    </row>
    <row r="27233">
      <c r="C27233" s="277"/>
      <c r="M27233" s="277"/>
      <c r="O27233" s="247"/>
      <c r="AC27233" s="247"/>
      <c r="AT27233" s="247"/>
    </row>
    <row r="27234">
      <c r="C27234" s="277"/>
      <c r="M27234" s="277"/>
      <c r="O27234" s="247"/>
      <c r="AC27234" s="247"/>
      <c r="AT27234" s="247"/>
    </row>
    <row r="27235">
      <c r="C27235" s="277"/>
      <c r="M27235" s="277"/>
      <c r="O27235" s="247"/>
      <c r="AC27235" s="247"/>
      <c r="AT27235" s="247"/>
    </row>
    <row r="27236">
      <c r="C27236" s="277"/>
      <c r="M27236" s="277"/>
      <c r="O27236" s="247"/>
      <c r="AC27236" s="247"/>
      <c r="AT27236" s="247"/>
    </row>
    <row r="27237">
      <c r="C27237" s="277"/>
      <c r="M27237" s="277"/>
      <c r="O27237" s="247"/>
      <c r="AC27237" s="247"/>
      <c r="AT27237" s="247"/>
    </row>
    <row r="27238">
      <c r="C27238" s="277"/>
      <c r="M27238" s="277"/>
      <c r="O27238" s="247"/>
      <c r="AC27238" s="247"/>
      <c r="AT27238" s="247"/>
    </row>
    <row r="27239">
      <c r="C27239" s="277"/>
      <c r="M27239" s="277"/>
      <c r="O27239" s="247"/>
      <c r="AC27239" s="247"/>
      <c r="AT27239" s="247"/>
    </row>
    <row r="27240">
      <c r="C27240" s="277"/>
      <c r="M27240" s="277"/>
      <c r="O27240" s="247"/>
      <c r="AC27240" s="247"/>
      <c r="AT27240" s="247"/>
    </row>
    <row r="27241">
      <c r="C27241" s="277"/>
      <c r="M27241" s="277"/>
      <c r="O27241" s="247"/>
      <c r="AC27241" s="247"/>
      <c r="AT27241" s="247"/>
    </row>
    <row r="27242">
      <c r="C27242" s="277"/>
      <c r="M27242" s="277"/>
      <c r="O27242" s="247"/>
      <c r="AC27242" s="247"/>
      <c r="AT27242" s="247"/>
    </row>
    <row r="27243">
      <c r="C27243" s="277"/>
      <c r="M27243" s="277"/>
      <c r="O27243" s="247"/>
      <c r="AC27243" s="247"/>
      <c r="AT27243" s="247"/>
    </row>
    <row r="27244">
      <c r="C27244" s="277"/>
      <c r="M27244" s="277"/>
      <c r="O27244" s="247"/>
      <c r="AC27244" s="247"/>
      <c r="AT27244" s="247"/>
    </row>
    <row r="27245">
      <c r="C27245" s="277"/>
      <c r="M27245" s="277"/>
      <c r="O27245" s="247"/>
      <c r="AC27245" s="247"/>
      <c r="AT27245" s="247"/>
    </row>
    <row r="27246">
      <c r="C27246" s="277"/>
      <c r="M27246" s="277"/>
      <c r="O27246" s="247"/>
      <c r="AC27246" s="247"/>
      <c r="AT27246" s="247"/>
    </row>
    <row r="27247">
      <c r="C27247" s="277"/>
      <c r="M27247" s="277"/>
      <c r="O27247" s="247"/>
      <c r="AC27247" s="247"/>
      <c r="AT27247" s="247"/>
    </row>
    <row r="27248">
      <c r="C27248" s="277"/>
      <c r="M27248" s="277"/>
      <c r="O27248" s="247"/>
      <c r="AC27248" s="247"/>
      <c r="AT27248" s="247"/>
    </row>
    <row r="27249">
      <c r="C27249" s="277"/>
      <c r="M27249" s="277"/>
      <c r="O27249" s="247"/>
      <c r="AC27249" s="247"/>
      <c r="AT27249" s="247"/>
    </row>
    <row r="27250">
      <c r="C27250" s="277"/>
      <c r="M27250" s="277"/>
      <c r="O27250" s="247"/>
      <c r="AC27250" s="247"/>
      <c r="AT27250" s="247"/>
    </row>
    <row r="27251">
      <c r="C27251" s="277"/>
      <c r="M27251" s="277"/>
      <c r="O27251" s="247"/>
      <c r="AC27251" s="247"/>
      <c r="AT27251" s="247"/>
    </row>
    <row r="27252">
      <c r="C27252" s="277"/>
      <c r="M27252" s="277"/>
      <c r="O27252" s="247"/>
      <c r="AC27252" s="247"/>
      <c r="AT27252" s="247"/>
    </row>
    <row r="27253">
      <c r="C27253" s="277"/>
      <c r="M27253" s="277"/>
      <c r="O27253" s="247"/>
      <c r="AC27253" s="247"/>
      <c r="AT27253" s="247"/>
    </row>
    <row r="27254">
      <c r="C27254" s="277"/>
      <c r="M27254" s="277"/>
      <c r="O27254" s="247"/>
      <c r="AC27254" s="247"/>
      <c r="AT27254" s="247"/>
    </row>
    <row r="27255">
      <c r="C27255" s="277"/>
      <c r="M27255" s="277"/>
      <c r="O27255" s="247"/>
      <c r="AC27255" s="247"/>
      <c r="AT27255" s="247"/>
    </row>
    <row r="27256">
      <c r="C27256" s="277"/>
      <c r="M27256" s="277"/>
      <c r="O27256" s="247"/>
      <c r="AC27256" s="247"/>
      <c r="AT27256" s="247"/>
    </row>
    <row r="27257">
      <c r="C27257" s="277"/>
      <c r="M27257" s="277"/>
      <c r="O27257" s="247"/>
      <c r="AC27257" s="247"/>
      <c r="AT27257" s="247"/>
    </row>
    <row r="27258">
      <c r="C27258" s="277"/>
      <c r="M27258" s="277"/>
      <c r="O27258" s="247"/>
      <c r="AC27258" s="247"/>
      <c r="AT27258" s="247"/>
    </row>
    <row r="27259">
      <c r="C27259" s="277"/>
      <c r="M27259" s="277"/>
      <c r="O27259" s="247"/>
      <c r="AC27259" s="247"/>
      <c r="AT27259" s="247"/>
    </row>
    <row r="27260">
      <c r="C27260" s="277"/>
      <c r="M27260" s="277"/>
      <c r="O27260" s="247"/>
      <c r="AC27260" s="247"/>
      <c r="AT27260" s="247"/>
    </row>
    <row r="27261">
      <c r="C27261" s="277"/>
      <c r="M27261" s="277"/>
      <c r="O27261" s="247"/>
      <c r="AC27261" s="247"/>
      <c r="AT27261" s="247"/>
    </row>
    <row r="27262">
      <c r="C27262" s="277"/>
      <c r="M27262" s="277"/>
      <c r="O27262" s="247"/>
      <c r="AC27262" s="247"/>
      <c r="AT27262" s="247"/>
    </row>
    <row r="27263">
      <c r="C27263" s="277"/>
      <c r="M27263" s="277"/>
      <c r="O27263" s="247"/>
      <c r="AC27263" s="247"/>
      <c r="AT27263" s="247"/>
    </row>
    <row r="27264">
      <c r="C27264" s="277"/>
      <c r="M27264" s="277"/>
      <c r="O27264" s="247"/>
      <c r="AC27264" s="247"/>
      <c r="AT27264" s="247"/>
    </row>
    <row r="27265">
      <c r="C27265" s="277"/>
      <c r="M27265" s="277"/>
      <c r="O27265" s="247"/>
      <c r="AC27265" s="247"/>
      <c r="AT27265" s="247"/>
    </row>
    <row r="27266">
      <c r="C27266" s="277"/>
      <c r="M27266" s="277"/>
      <c r="O27266" s="247"/>
      <c r="AC27266" s="247"/>
      <c r="AT27266" s="247"/>
    </row>
    <row r="27267">
      <c r="C27267" s="277"/>
      <c r="M27267" s="277"/>
      <c r="O27267" s="247"/>
      <c r="AC27267" s="247"/>
      <c r="AT27267" s="247"/>
    </row>
    <row r="27268">
      <c r="C27268" s="277"/>
      <c r="J27268" s="279"/>
      <c r="M27268" s="277"/>
      <c r="O27268" s="247"/>
      <c r="AC27268" s="247"/>
      <c r="AT27268" s="247"/>
    </row>
    <row r="27269">
      <c r="C27269" s="277"/>
      <c r="M27269" s="277"/>
      <c r="O27269" s="247"/>
      <c r="AC27269" s="247"/>
      <c r="AT27269" s="247"/>
    </row>
    <row r="27270">
      <c r="C27270" s="277"/>
      <c r="M27270" s="277"/>
      <c r="O27270" s="247"/>
      <c r="AC27270" s="247"/>
      <c r="AT27270" s="247"/>
    </row>
    <row r="27271">
      <c r="C27271" s="277"/>
      <c r="M27271" s="277"/>
      <c r="O27271" s="247"/>
      <c r="AC27271" s="247"/>
      <c r="AT27271" s="247"/>
    </row>
    <row r="27272">
      <c r="C27272" s="277"/>
      <c r="M27272" s="277"/>
      <c r="O27272" s="247"/>
      <c r="AC27272" s="247"/>
      <c r="AT27272" s="247"/>
    </row>
    <row r="27273">
      <c r="C27273" s="277"/>
      <c r="M27273" s="277"/>
      <c r="O27273" s="247"/>
      <c r="AC27273" s="247"/>
      <c r="AT27273" s="247"/>
    </row>
    <row r="27274">
      <c r="C27274" s="277"/>
      <c r="M27274" s="277"/>
      <c r="O27274" s="247"/>
      <c r="AC27274" s="247"/>
      <c r="AT27274" s="247"/>
    </row>
    <row r="27275">
      <c r="C27275" s="277"/>
      <c r="M27275" s="277"/>
      <c r="O27275" s="247"/>
      <c r="AC27275" s="247"/>
      <c r="AT27275" s="247"/>
    </row>
    <row r="27276">
      <c r="C27276" s="277"/>
      <c r="M27276" s="277"/>
      <c r="O27276" s="247"/>
      <c r="AC27276" s="247"/>
      <c r="AT27276" s="247"/>
    </row>
    <row r="27277">
      <c r="C27277" s="277"/>
      <c r="M27277" s="277"/>
      <c r="O27277" s="247"/>
      <c r="AC27277" s="247"/>
      <c r="AT27277" s="247"/>
    </row>
    <row r="27278">
      <c r="C27278" s="277"/>
      <c r="M27278" s="277"/>
      <c r="O27278" s="247"/>
      <c r="AC27278" s="247"/>
      <c r="AT27278" s="247"/>
    </row>
    <row r="27279">
      <c r="C27279" s="277"/>
      <c r="M27279" s="277"/>
      <c r="O27279" s="247"/>
      <c r="AC27279" s="247"/>
      <c r="AT27279" s="247"/>
    </row>
    <row r="27280">
      <c r="C27280" s="277"/>
      <c r="M27280" s="277"/>
      <c r="O27280" s="247"/>
      <c r="AC27280" s="247"/>
      <c r="AT27280" s="247"/>
    </row>
    <row r="27281">
      <c r="C27281" s="277"/>
      <c r="M27281" s="277"/>
      <c r="O27281" s="247"/>
      <c r="AC27281" s="247"/>
      <c r="AT27281" s="247"/>
    </row>
    <row r="27282">
      <c r="C27282" s="277"/>
      <c r="M27282" s="277"/>
      <c r="O27282" s="247"/>
      <c r="AC27282" s="247"/>
      <c r="AT27282" s="247"/>
    </row>
    <row r="27283">
      <c r="C27283" s="277"/>
      <c r="M27283" s="277"/>
      <c r="O27283" s="247"/>
      <c r="AC27283" s="247"/>
      <c r="AT27283" s="247"/>
    </row>
    <row r="27284">
      <c r="C27284" s="277"/>
      <c r="M27284" s="277"/>
      <c r="O27284" s="247"/>
      <c r="AC27284" s="247"/>
      <c r="AT27284" s="247"/>
    </row>
    <row r="27285">
      <c r="C27285" s="277"/>
      <c r="M27285" s="277"/>
      <c r="O27285" s="247"/>
      <c r="AC27285" s="247"/>
      <c r="AT27285" s="247"/>
    </row>
    <row r="27286">
      <c r="C27286" s="277"/>
      <c r="M27286" s="277"/>
      <c r="O27286" s="247"/>
      <c r="AC27286" s="247"/>
      <c r="AT27286" s="247"/>
    </row>
    <row r="27287">
      <c r="C27287" s="277"/>
      <c r="M27287" s="277"/>
      <c r="O27287" s="247"/>
      <c r="AC27287" s="247"/>
      <c r="AT27287" s="247"/>
    </row>
    <row r="27288">
      <c r="C27288" s="277"/>
      <c r="M27288" s="277"/>
      <c r="O27288" s="247"/>
      <c r="AC27288" s="247"/>
      <c r="AT27288" s="247"/>
    </row>
    <row r="27289">
      <c r="C27289" s="277"/>
      <c r="M27289" s="277"/>
      <c r="O27289" s="247"/>
      <c r="AC27289" s="247"/>
      <c r="AT27289" s="247"/>
    </row>
    <row r="27290">
      <c r="C27290" s="277"/>
      <c r="M27290" s="277"/>
      <c r="O27290" s="247"/>
      <c r="AC27290" s="247"/>
      <c r="AT27290" s="247"/>
    </row>
    <row r="27291">
      <c r="C27291" s="277"/>
      <c r="M27291" s="277"/>
      <c r="O27291" s="247"/>
      <c r="AC27291" s="247"/>
      <c r="AT27291" s="247"/>
    </row>
    <row r="27292">
      <c r="C27292" s="277"/>
      <c r="M27292" s="277"/>
      <c r="O27292" s="247"/>
      <c r="AC27292" s="247"/>
      <c r="AT27292" s="247"/>
    </row>
    <row r="27293">
      <c r="C27293" s="277"/>
      <c r="M27293" s="277"/>
      <c r="O27293" s="247"/>
      <c r="AC27293" s="247"/>
      <c r="AT27293" s="247"/>
    </row>
    <row r="27294">
      <c r="C27294" s="277"/>
      <c r="M27294" s="277"/>
      <c r="O27294" s="247"/>
      <c r="AC27294" s="247"/>
      <c r="AT27294" s="247"/>
    </row>
    <row r="27295">
      <c r="C27295" s="277"/>
      <c r="M27295" s="277"/>
      <c r="O27295" s="247"/>
      <c r="AC27295" s="247"/>
      <c r="AT27295" s="247"/>
    </row>
    <row r="27296">
      <c r="C27296" s="277"/>
      <c r="M27296" s="277"/>
      <c r="O27296" s="247"/>
      <c r="AC27296" s="247"/>
      <c r="AT27296" s="247"/>
    </row>
    <row r="27297">
      <c r="C27297" s="277"/>
      <c r="M27297" s="277"/>
      <c r="O27297" s="247"/>
      <c r="AC27297" s="247"/>
      <c r="AT27297" s="247"/>
    </row>
    <row r="27298">
      <c r="C27298" s="277"/>
      <c r="M27298" s="277"/>
      <c r="O27298" s="247"/>
      <c r="AC27298" s="247"/>
      <c r="AT27298" s="247"/>
    </row>
    <row r="27299">
      <c r="C27299" s="277"/>
      <c r="M27299" s="277"/>
      <c r="O27299" s="247"/>
      <c r="AC27299" s="247"/>
      <c r="AT27299" s="247"/>
    </row>
    <row r="27300">
      <c r="C27300" s="277"/>
      <c r="M27300" s="277"/>
      <c r="O27300" s="247"/>
      <c r="AC27300" s="247"/>
      <c r="AT27300" s="247"/>
    </row>
    <row r="27301">
      <c r="C27301" s="277"/>
      <c r="M27301" s="277"/>
      <c r="O27301" s="247"/>
      <c r="AC27301" s="247"/>
      <c r="AT27301" s="247"/>
    </row>
    <row r="27302">
      <c r="C27302" s="277"/>
      <c r="M27302" s="277"/>
      <c r="O27302" s="247"/>
      <c r="AC27302" s="247"/>
      <c r="AT27302" s="247"/>
    </row>
    <row r="27303">
      <c r="C27303" s="277"/>
      <c r="M27303" s="277"/>
      <c r="O27303" s="247"/>
      <c r="AC27303" s="247"/>
      <c r="AT27303" s="247"/>
    </row>
    <row r="27304">
      <c r="C27304" s="277"/>
      <c r="M27304" s="277"/>
      <c r="O27304" s="247"/>
      <c r="AC27304" s="247"/>
      <c r="AT27304" s="247"/>
    </row>
    <row r="27305">
      <c r="C27305" s="277"/>
      <c r="M27305" s="277"/>
      <c r="O27305" s="247"/>
      <c r="AC27305" s="247"/>
      <c r="AT27305" s="247"/>
    </row>
    <row r="27306">
      <c r="C27306" s="277"/>
      <c r="M27306" s="277"/>
      <c r="O27306" s="247"/>
      <c r="AC27306" s="247"/>
      <c r="AT27306" s="247"/>
    </row>
    <row r="27307">
      <c r="C27307" s="277"/>
      <c r="M27307" s="277"/>
      <c r="O27307" s="247"/>
      <c r="AC27307" s="247"/>
      <c r="AT27307" s="247"/>
    </row>
    <row r="27308">
      <c r="C27308" s="277"/>
      <c r="M27308" s="277"/>
      <c r="O27308" s="247"/>
      <c r="AC27308" s="247"/>
      <c r="AT27308" s="247"/>
    </row>
    <row r="27309">
      <c r="C27309" s="277"/>
      <c r="M27309" s="277"/>
      <c r="O27309" s="247"/>
      <c r="AC27309" s="247"/>
      <c r="AT27309" s="247"/>
    </row>
    <row r="27310">
      <c r="C27310" s="277"/>
      <c r="M27310" s="277"/>
      <c r="O27310" s="247"/>
      <c r="AC27310" s="247"/>
      <c r="AT27310" s="247"/>
    </row>
    <row r="27311">
      <c r="C27311" s="277"/>
      <c r="M27311" s="277"/>
      <c r="O27311" s="247"/>
      <c r="AC27311" s="247"/>
      <c r="AT27311" s="247"/>
    </row>
    <row r="27312">
      <c r="C27312" s="277"/>
      <c r="M27312" s="277"/>
      <c r="O27312" s="247"/>
      <c r="AC27312" s="247"/>
      <c r="AT27312" s="247"/>
    </row>
    <row r="27313">
      <c r="C27313" s="277"/>
      <c r="M27313" s="277"/>
      <c r="O27313" s="247"/>
      <c r="AC27313" s="247"/>
      <c r="AT27313" s="247"/>
    </row>
    <row r="27314">
      <c r="C27314" s="277"/>
      <c r="M27314" s="277"/>
      <c r="O27314" s="247"/>
      <c r="AC27314" s="247"/>
      <c r="AT27314" s="247"/>
    </row>
    <row r="27315">
      <c r="C27315" s="277"/>
      <c r="M27315" s="277"/>
      <c r="O27315" s="247"/>
      <c r="AC27315" s="247"/>
      <c r="AT27315" s="247"/>
    </row>
    <row r="27316">
      <c r="C27316" s="277"/>
      <c r="M27316" s="277"/>
      <c r="O27316" s="247"/>
      <c r="AC27316" s="247"/>
      <c r="AT27316" s="247"/>
    </row>
    <row r="27317">
      <c r="C27317" s="277"/>
      <c r="M27317" s="277"/>
      <c r="O27317" s="247"/>
      <c r="AC27317" s="247"/>
      <c r="AT27317" s="247"/>
    </row>
    <row r="27318">
      <c r="C27318" s="277"/>
      <c r="M27318" s="277"/>
      <c r="O27318" s="247"/>
      <c r="AC27318" s="247"/>
      <c r="AT27318" s="247"/>
    </row>
    <row r="27319">
      <c r="C27319" s="277"/>
      <c r="M27319" s="277"/>
      <c r="O27319" s="247"/>
      <c r="AC27319" s="247"/>
      <c r="AT27319" s="247"/>
    </row>
    <row r="27320">
      <c r="C27320" s="277"/>
      <c r="M27320" s="277"/>
      <c r="O27320" s="247"/>
      <c r="AC27320" s="247"/>
      <c r="AT27320" s="247"/>
    </row>
    <row r="27321">
      <c r="C27321" s="277"/>
      <c r="M27321" s="277"/>
      <c r="O27321" s="247"/>
      <c r="AC27321" s="247"/>
      <c r="AT27321" s="247"/>
    </row>
    <row r="27322">
      <c r="C27322" s="277"/>
      <c r="M27322" s="277"/>
      <c r="O27322" s="247"/>
      <c r="AC27322" s="247"/>
      <c r="AT27322" s="247"/>
    </row>
    <row r="27323">
      <c r="C27323" s="277"/>
      <c r="M27323" s="277"/>
      <c r="O27323" s="247"/>
      <c r="AC27323" s="247"/>
      <c r="AT27323" s="247"/>
    </row>
    <row r="27324">
      <c r="C27324" s="277"/>
      <c r="M27324" s="277"/>
      <c r="O27324" s="247"/>
      <c r="AC27324" s="247"/>
      <c r="AT27324" s="247"/>
    </row>
    <row r="27325">
      <c r="C27325" s="277"/>
      <c r="M27325" s="277"/>
      <c r="O27325" s="247"/>
      <c r="AC27325" s="247"/>
      <c r="AT27325" s="247"/>
    </row>
    <row r="27326">
      <c r="C27326" s="277"/>
      <c r="M27326" s="277"/>
      <c r="O27326" s="247"/>
      <c r="AC27326" s="247"/>
      <c r="AT27326" s="247"/>
    </row>
    <row r="27327">
      <c r="C27327" s="277"/>
      <c r="M27327" s="277"/>
      <c r="O27327" s="247"/>
      <c r="AC27327" s="247"/>
      <c r="AT27327" s="247"/>
    </row>
    <row r="27328">
      <c r="C27328" s="277"/>
      <c r="M27328" s="277"/>
      <c r="O27328" s="247"/>
      <c r="AC27328" s="247"/>
      <c r="AT27328" s="247"/>
    </row>
    <row r="27329">
      <c r="C27329" s="277"/>
      <c r="M27329" s="277"/>
      <c r="O27329" s="247"/>
      <c r="AC27329" s="247"/>
      <c r="AT27329" s="247"/>
    </row>
    <row r="27330">
      <c r="C27330" s="277"/>
      <c r="M27330" s="277"/>
      <c r="O27330" s="247"/>
      <c r="AC27330" s="247"/>
      <c r="AT27330" s="247"/>
    </row>
    <row r="27331">
      <c r="C27331" s="277"/>
      <c r="M27331" s="277"/>
      <c r="O27331" s="247"/>
      <c r="AC27331" s="247"/>
      <c r="AT27331" s="247"/>
    </row>
    <row r="27332">
      <c r="C27332" s="277"/>
      <c r="M27332" s="277"/>
      <c r="O27332" s="247"/>
      <c r="AC27332" s="247"/>
      <c r="AT27332" s="247"/>
    </row>
    <row r="27333">
      <c r="C27333" s="277"/>
      <c r="M27333" s="277"/>
      <c r="O27333" s="247"/>
      <c r="AC27333" s="247"/>
      <c r="AT27333" s="247"/>
    </row>
    <row r="27334">
      <c r="C27334" s="277"/>
      <c r="M27334" s="277"/>
      <c r="O27334" s="247"/>
      <c r="AC27334" s="247"/>
      <c r="AT27334" s="247"/>
    </row>
    <row r="27335">
      <c r="C27335" s="277"/>
      <c r="M27335" s="277"/>
      <c r="O27335" s="247"/>
      <c r="AC27335" s="247"/>
      <c r="AT27335" s="247"/>
    </row>
    <row r="27336">
      <c r="C27336" s="277"/>
      <c r="M27336" s="277"/>
      <c r="O27336" s="247"/>
      <c r="AC27336" s="247"/>
      <c r="AT27336" s="247"/>
    </row>
    <row r="27337">
      <c r="C27337" s="277"/>
      <c r="M27337" s="277"/>
      <c r="O27337" s="247"/>
      <c r="AC27337" s="247"/>
      <c r="AT27337" s="247"/>
    </row>
    <row r="27338">
      <c r="C27338" s="277"/>
      <c r="M27338" s="277"/>
      <c r="O27338" s="247"/>
      <c r="AC27338" s="247"/>
      <c r="AT27338" s="247"/>
    </row>
    <row r="27339">
      <c r="C27339" s="277"/>
      <c r="M27339" s="277"/>
      <c r="O27339" s="247"/>
      <c r="AC27339" s="247"/>
      <c r="AT27339" s="247"/>
    </row>
    <row r="27340">
      <c r="C27340" s="277"/>
      <c r="M27340" s="277"/>
      <c r="O27340" s="247"/>
      <c r="AC27340" s="247"/>
      <c r="AT27340" s="247"/>
    </row>
    <row r="27341">
      <c r="C27341" s="277"/>
      <c r="M27341" s="277"/>
      <c r="O27341" s="247"/>
      <c r="AC27341" s="247"/>
      <c r="AT27341" s="247"/>
    </row>
    <row r="27342">
      <c r="C27342" s="277"/>
      <c r="M27342" s="277"/>
      <c r="O27342" s="247"/>
      <c r="AC27342" s="247"/>
      <c r="AT27342" s="247"/>
    </row>
    <row r="27343">
      <c r="C27343" s="277"/>
      <c r="M27343" s="277"/>
      <c r="O27343" s="247"/>
      <c r="AC27343" s="247"/>
      <c r="AT27343" s="247"/>
    </row>
    <row r="27344">
      <c r="C27344" s="277"/>
      <c r="M27344" s="277"/>
      <c r="O27344" s="247"/>
      <c r="AC27344" s="247"/>
      <c r="AT27344" s="247"/>
    </row>
    <row r="27345">
      <c r="C27345" s="277"/>
      <c r="M27345" s="277"/>
      <c r="O27345" s="247"/>
      <c r="AC27345" s="247"/>
      <c r="AT27345" s="247"/>
    </row>
    <row r="27346">
      <c r="C27346" s="277"/>
      <c r="M27346" s="277"/>
      <c r="O27346" s="247"/>
      <c r="AC27346" s="247"/>
      <c r="AT27346" s="247"/>
    </row>
    <row r="27347">
      <c r="C27347" s="277"/>
      <c r="M27347" s="277"/>
      <c r="O27347" s="247"/>
      <c r="AC27347" s="247"/>
      <c r="AT27347" s="247"/>
    </row>
    <row r="27348">
      <c r="C27348" s="277"/>
      <c r="M27348" s="277"/>
      <c r="O27348" s="247"/>
      <c r="AC27348" s="247"/>
      <c r="AT27348" s="247"/>
    </row>
    <row r="27349">
      <c r="C27349" s="277"/>
      <c r="M27349" s="277"/>
      <c r="O27349" s="247"/>
      <c r="AC27349" s="247"/>
      <c r="AT27349" s="247"/>
    </row>
    <row r="27350">
      <c r="C27350" s="277"/>
      <c r="M27350" s="277"/>
      <c r="O27350" s="247"/>
      <c r="AC27350" s="247"/>
      <c r="AT27350" s="247"/>
    </row>
    <row r="27351">
      <c r="C27351" s="277"/>
      <c r="M27351" s="277"/>
      <c r="O27351" s="247"/>
      <c r="AC27351" s="247"/>
      <c r="AT27351" s="247"/>
    </row>
    <row r="27352">
      <c r="C27352" s="277"/>
      <c r="M27352" s="277"/>
      <c r="O27352" s="247"/>
      <c r="AC27352" s="247"/>
      <c r="AT27352" s="247"/>
    </row>
    <row r="27353">
      <c r="C27353" s="277"/>
      <c r="M27353" s="277"/>
      <c r="O27353" s="247"/>
      <c r="AC27353" s="247"/>
      <c r="AT27353" s="247"/>
    </row>
    <row r="27354">
      <c r="C27354" s="277"/>
      <c r="M27354" s="277"/>
      <c r="O27354" s="247"/>
      <c r="AC27354" s="247"/>
      <c r="AT27354" s="247"/>
    </row>
    <row r="27355">
      <c r="C27355" s="277"/>
      <c r="M27355" s="277"/>
      <c r="O27355" s="247"/>
      <c r="AC27355" s="247"/>
      <c r="AT27355" s="247"/>
    </row>
    <row r="27356">
      <c r="C27356" s="277"/>
      <c r="M27356" s="277"/>
      <c r="O27356" s="247"/>
      <c r="AC27356" s="247"/>
      <c r="AT27356" s="247"/>
    </row>
    <row r="27357">
      <c r="C27357" s="277"/>
      <c r="M27357" s="277"/>
      <c r="O27357" s="247"/>
      <c r="AC27357" s="247"/>
      <c r="AT27357" s="247"/>
    </row>
    <row r="27358">
      <c r="C27358" s="277"/>
      <c r="M27358" s="277"/>
      <c r="O27358" s="247"/>
      <c r="AC27358" s="247"/>
      <c r="AT27358" s="247"/>
    </row>
    <row r="27359">
      <c r="C27359" s="277"/>
      <c r="M27359" s="277"/>
      <c r="O27359" s="247"/>
      <c r="AC27359" s="247"/>
      <c r="AT27359" s="247"/>
    </row>
    <row r="27360">
      <c r="C27360" s="277"/>
      <c r="M27360" s="277"/>
      <c r="O27360" s="247"/>
      <c r="AC27360" s="247"/>
      <c r="AT27360" s="247"/>
    </row>
    <row r="27361">
      <c r="C27361" s="277"/>
      <c r="M27361" s="277"/>
      <c r="O27361" s="247"/>
      <c r="AC27361" s="247"/>
      <c r="AT27361" s="247"/>
    </row>
    <row r="27362">
      <c r="C27362" s="277"/>
      <c r="M27362" s="277"/>
      <c r="O27362" s="247"/>
      <c r="AC27362" s="247"/>
      <c r="AT27362" s="247"/>
    </row>
    <row r="27363">
      <c r="C27363" s="277"/>
      <c r="M27363" s="277"/>
      <c r="O27363" s="247"/>
      <c r="AC27363" s="247"/>
      <c r="AT27363" s="247"/>
    </row>
    <row r="27364">
      <c r="C27364" s="277"/>
      <c r="M27364" s="277"/>
      <c r="O27364" s="247"/>
      <c r="AC27364" s="247"/>
      <c r="AT27364" s="247"/>
    </row>
    <row r="27365">
      <c r="C27365" s="277"/>
      <c r="M27365" s="277"/>
      <c r="O27365" s="247"/>
      <c r="AC27365" s="247"/>
      <c r="AT27365" s="247"/>
    </row>
    <row r="27366">
      <c r="C27366" s="277"/>
      <c r="M27366" s="277"/>
      <c r="O27366" s="247"/>
      <c r="AC27366" s="247"/>
      <c r="AT27366" s="247"/>
    </row>
    <row r="27367">
      <c r="C27367" s="277"/>
      <c r="M27367" s="277"/>
      <c r="O27367" s="247"/>
      <c r="AC27367" s="247"/>
      <c r="AT27367" s="247"/>
    </row>
    <row r="27368">
      <c r="C27368" s="277"/>
      <c r="M27368" s="277"/>
      <c r="O27368" s="247"/>
      <c r="AC27368" s="247"/>
      <c r="AT27368" s="247"/>
    </row>
    <row r="27369">
      <c r="C27369" s="277"/>
      <c r="M27369" s="277"/>
      <c r="O27369" s="247"/>
      <c r="AC27369" s="247"/>
      <c r="AT27369" s="247"/>
    </row>
    <row r="27370">
      <c r="C27370" s="277"/>
      <c r="M27370" s="277"/>
      <c r="O27370" s="247"/>
      <c r="AC27370" s="247"/>
      <c r="AT27370" s="247"/>
    </row>
    <row r="27371">
      <c r="C27371" s="277"/>
      <c r="M27371" s="277"/>
      <c r="O27371" s="247"/>
      <c r="AC27371" s="247"/>
      <c r="AT27371" s="247"/>
    </row>
    <row r="27372">
      <c r="C27372" s="277"/>
      <c r="M27372" s="277"/>
      <c r="O27372" s="247"/>
      <c r="AC27372" s="247"/>
      <c r="AT27372" s="247"/>
    </row>
    <row r="27373">
      <c r="C27373" s="277"/>
      <c r="M27373" s="277"/>
      <c r="O27373" s="247"/>
      <c r="AC27373" s="247"/>
      <c r="AT27373" s="247"/>
    </row>
    <row r="27374">
      <c r="C27374" s="277"/>
      <c r="M27374" s="277"/>
      <c r="O27374" s="247"/>
      <c r="AC27374" s="247"/>
      <c r="AT27374" s="247"/>
    </row>
    <row r="27375">
      <c r="C27375" s="277"/>
      <c r="M27375" s="277"/>
      <c r="O27375" s="247"/>
      <c r="AC27375" s="247"/>
      <c r="AT27375" s="247"/>
    </row>
    <row r="27376">
      <c r="C27376" s="277"/>
      <c r="M27376" s="277"/>
      <c r="O27376" s="247"/>
      <c r="AC27376" s="247"/>
      <c r="AT27376" s="247"/>
    </row>
    <row r="27377">
      <c r="C27377" s="277"/>
      <c r="M27377" s="277"/>
      <c r="O27377" s="247"/>
      <c r="AC27377" s="247"/>
      <c r="AT27377" s="247"/>
    </row>
    <row r="27378">
      <c r="C27378" s="277"/>
      <c r="M27378" s="277"/>
      <c r="O27378" s="247"/>
      <c r="AC27378" s="247"/>
      <c r="AT27378" s="247"/>
    </row>
    <row r="27379">
      <c r="C27379" s="277"/>
      <c r="M27379" s="277"/>
      <c r="O27379" s="247"/>
      <c r="AC27379" s="247"/>
      <c r="AT27379" s="247"/>
    </row>
    <row r="27380">
      <c r="C27380" s="277"/>
      <c r="M27380" s="277"/>
      <c r="O27380" s="247"/>
      <c r="AC27380" s="247"/>
      <c r="AT27380" s="247"/>
    </row>
    <row r="27381">
      <c r="C27381" s="277"/>
      <c r="M27381" s="277"/>
      <c r="O27381" s="247"/>
      <c r="AC27381" s="247"/>
      <c r="AT27381" s="247"/>
    </row>
    <row r="27382">
      <c r="C27382" s="277"/>
      <c r="M27382" s="277"/>
      <c r="O27382" s="247"/>
      <c r="AC27382" s="247"/>
      <c r="AT27382" s="247"/>
    </row>
    <row r="27383">
      <c r="C27383" s="277"/>
      <c r="M27383" s="277"/>
      <c r="O27383" s="247"/>
      <c r="AC27383" s="247"/>
      <c r="AT27383" s="247"/>
    </row>
    <row r="27384">
      <c r="C27384" s="277"/>
      <c r="M27384" s="277"/>
      <c r="O27384" s="247"/>
      <c r="AC27384" s="247"/>
      <c r="AT27384" s="247"/>
    </row>
    <row r="27385">
      <c r="C27385" s="277"/>
      <c r="M27385" s="277"/>
      <c r="O27385" s="247"/>
      <c r="AC27385" s="247"/>
      <c r="AT27385" s="247"/>
    </row>
    <row r="27386">
      <c r="C27386" s="277"/>
      <c r="M27386" s="277"/>
      <c r="O27386" s="247"/>
      <c r="AC27386" s="247"/>
      <c r="AT27386" s="247"/>
    </row>
    <row r="27387">
      <c r="C27387" s="277"/>
      <c r="M27387" s="277"/>
      <c r="O27387" s="247"/>
      <c r="AC27387" s="247"/>
      <c r="AT27387" s="247"/>
    </row>
    <row r="27388">
      <c r="C27388" s="277"/>
      <c r="M27388" s="277"/>
      <c r="O27388" s="247"/>
      <c r="AC27388" s="247"/>
      <c r="AT27388" s="247"/>
    </row>
    <row r="27389">
      <c r="C27389" s="277"/>
      <c r="M27389" s="277"/>
      <c r="O27389" s="247"/>
      <c r="AC27389" s="247"/>
      <c r="AT27389" s="247"/>
    </row>
    <row r="27390">
      <c r="C27390" s="277"/>
      <c r="M27390" s="277"/>
      <c r="O27390" s="247"/>
      <c r="AC27390" s="247"/>
      <c r="AT27390" s="247"/>
    </row>
    <row r="27391">
      <c r="C27391" s="277"/>
      <c r="M27391" s="277"/>
      <c r="O27391" s="247"/>
      <c r="AC27391" s="247"/>
      <c r="AT27391" s="247"/>
    </row>
    <row r="27392">
      <c r="C27392" s="277"/>
      <c r="M27392" s="277"/>
      <c r="O27392" s="247"/>
      <c r="AC27392" s="247"/>
      <c r="AT27392" s="247"/>
    </row>
    <row r="27393">
      <c r="C27393" s="277"/>
      <c r="M27393" s="277"/>
      <c r="O27393" s="247"/>
      <c r="AC27393" s="247"/>
      <c r="AT27393" s="247"/>
    </row>
    <row r="27394">
      <c r="C27394" s="277"/>
      <c r="M27394" s="277"/>
      <c r="O27394" s="247"/>
      <c r="AC27394" s="247"/>
      <c r="AT27394" s="247"/>
    </row>
    <row r="27395">
      <c r="C27395" s="277"/>
      <c r="M27395" s="277"/>
      <c r="O27395" s="247"/>
      <c r="AC27395" s="247"/>
      <c r="AT27395" s="247"/>
    </row>
    <row r="27396">
      <c r="C27396" s="277"/>
      <c r="M27396" s="277"/>
      <c r="O27396" s="247"/>
      <c r="AC27396" s="247"/>
      <c r="AT27396" s="247"/>
    </row>
    <row r="27397">
      <c r="C27397" s="277"/>
      <c r="M27397" s="277"/>
      <c r="O27397" s="247"/>
      <c r="AC27397" s="247"/>
      <c r="AT27397" s="247"/>
    </row>
    <row r="27398">
      <c r="C27398" s="277"/>
      <c r="M27398" s="277"/>
      <c r="O27398" s="247"/>
      <c r="AC27398" s="247"/>
      <c r="AT27398" s="247"/>
    </row>
    <row r="27399">
      <c r="C27399" s="277"/>
      <c r="M27399" s="277"/>
      <c r="O27399" s="247"/>
      <c r="AC27399" s="247"/>
      <c r="AT27399" s="247"/>
    </row>
    <row r="27400">
      <c r="C27400" s="277"/>
      <c r="M27400" s="277"/>
      <c r="O27400" s="247"/>
      <c r="AC27400" s="247"/>
      <c r="AT27400" s="247"/>
    </row>
    <row r="27401">
      <c r="C27401" s="277"/>
      <c r="M27401" s="277"/>
      <c r="O27401" s="247"/>
      <c r="AC27401" s="247"/>
      <c r="AT27401" s="247"/>
    </row>
    <row r="27402">
      <c r="C27402" s="277"/>
      <c r="M27402" s="277"/>
      <c r="O27402" s="247"/>
      <c r="AC27402" s="247"/>
      <c r="AT27402" s="247"/>
    </row>
    <row r="27403">
      <c r="C27403" s="277"/>
      <c r="M27403" s="277"/>
      <c r="O27403" s="247"/>
      <c r="AC27403" s="247"/>
      <c r="AT27403" s="247"/>
    </row>
    <row r="27404">
      <c r="C27404" s="277"/>
      <c r="M27404" s="277"/>
      <c r="O27404" s="247"/>
      <c r="AC27404" s="247"/>
      <c r="AT27404" s="247"/>
    </row>
    <row r="27405">
      <c r="C27405" s="277"/>
      <c r="M27405" s="277"/>
      <c r="O27405" s="247"/>
      <c r="AC27405" s="247"/>
      <c r="AT27405" s="247"/>
    </row>
    <row r="27406">
      <c r="C27406" s="277"/>
      <c r="M27406" s="277"/>
      <c r="O27406" s="247"/>
      <c r="AC27406" s="247"/>
      <c r="AT27406" s="247"/>
    </row>
    <row r="27407">
      <c r="C27407" s="277"/>
      <c r="M27407" s="277"/>
      <c r="O27407" s="247"/>
      <c r="AC27407" s="247"/>
      <c r="AT27407" s="247"/>
    </row>
    <row r="27408">
      <c r="C27408" s="277"/>
      <c r="M27408" s="277"/>
      <c r="O27408" s="247"/>
      <c r="AC27408" s="247"/>
      <c r="AT27408" s="247"/>
    </row>
    <row r="27409">
      <c r="C27409" s="277"/>
      <c r="M27409" s="277"/>
      <c r="O27409" s="247"/>
      <c r="AC27409" s="247"/>
      <c r="AT27409" s="247"/>
    </row>
    <row r="27410">
      <c r="C27410" s="277"/>
      <c r="M27410" s="277"/>
      <c r="O27410" s="247"/>
      <c r="AC27410" s="247"/>
      <c r="AT27410" s="247"/>
    </row>
    <row r="27411">
      <c r="C27411" s="277"/>
      <c r="M27411" s="277"/>
      <c r="O27411" s="247"/>
      <c r="AC27411" s="247"/>
      <c r="AT27411" s="247"/>
    </row>
    <row r="27412">
      <c r="C27412" s="277"/>
      <c r="M27412" s="277"/>
      <c r="O27412" s="247"/>
      <c r="AC27412" s="247"/>
      <c r="AT27412" s="247"/>
    </row>
    <row r="27413">
      <c r="C27413" s="277"/>
      <c r="M27413" s="277"/>
      <c r="O27413" s="247"/>
      <c r="AC27413" s="247"/>
      <c r="AT27413" s="247"/>
    </row>
    <row r="27414">
      <c r="C27414" s="277"/>
      <c r="M27414" s="277"/>
      <c r="O27414" s="247"/>
      <c r="AC27414" s="247"/>
      <c r="AT27414" s="247"/>
    </row>
    <row r="27415">
      <c r="C27415" s="277"/>
      <c r="M27415" s="277"/>
      <c r="O27415" s="247"/>
      <c r="AC27415" s="247"/>
      <c r="AT27415" s="247"/>
    </row>
    <row r="27416">
      <c r="C27416" s="277"/>
      <c r="M27416" s="277"/>
      <c r="O27416" s="247"/>
      <c r="AC27416" s="247"/>
      <c r="AT27416" s="247"/>
    </row>
    <row r="27417">
      <c r="C27417" s="277"/>
      <c r="M27417" s="277"/>
      <c r="O27417" s="247"/>
      <c r="AC27417" s="247"/>
      <c r="AT27417" s="247"/>
    </row>
    <row r="27418">
      <c r="C27418" s="277"/>
      <c r="M27418" s="277"/>
      <c r="O27418" s="247"/>
      <c r="AC27418" s="247"/>
      <c r="AT27418" s="247"/>
    </row>
    <row r="27419">
      <c r="C27419" s="277"/>
      <c r="M27419" s="277"/>
      <c r="O27419" s="247"/>
      <c r="AC27419" s="247"/>
      <c r="AT27419" s="247"/>
    </row>
    <row r="27420">
      <c r="C27420" s="277"/>
      <c r="M27420" s="277"/>
      <c r="O27420" s="247"/>
      <c r="AC27420" s="247"/>
      <c r="AT27420" s="247"/>
    </row>
    <row r="27421">
      <c r="C27421" s="277"/>
      <c r="M27421" s="277"/>
      <c r="O27421" s="247"/>
      <c r="AC27421" s="247"/>
      <c r="AT27421" s="247"/>
    </row>
    <row r="27422">
      <c r="C27422" s="277"/>
      <c r="M27422" s="277"/>
      <c r="O27422" s="247"/>
      <c r="AC27422" s="247"/>
      <c r="AT27422" s="247"/>
    </row>
    <row r="27423">
      <c r="C27423" s="277"/>
      <c r="M27423" s="277"/>
      <c r="O27423" s="247"/>
      <c r="AC27423" s="247"/>
      <c r="AT27423" s="247"/>
    </row>
    <row r="27424">
      <c r="C27424" s="277"/>
      <c r="M27424" s="277"/>
      <c r="O27424" s="247"/>
      <c r="AC27424" s="247"/>
      <c r="AT27424" s="247"/>
    </row>
    <row r="27425">
      <c r="C27425" s="277"/>
      <c r="M27425" s="277"/>
      <c r="O27425" s="247"/>
      <c r="AC27425" s="247"/>
      <c r="AT27425" s="247"/>
    </row>
    <row r="27426">
      <c r="C27426" s="277"/>
      <c r="M27426" s="277"/>
      <c r="O27426" s="247"/>
      <c r="AC27426" s="247"/>
      <c r="AT27426" s="247"/>
    </row>
    <row r="27427">
      <c r="C27427" s="277"/>
      <c r="M27427" s="277"/>
      <c r="O27427" s="247"/>
      <c r="AC27427" s="247"/>
      <c r="AT27427" s="247"/>
    </row>
    <row r="27428">
      <c r="C27428" s="277"/>
      <c r="M27428" s="277"/>
      <c r="O27428" s="247"/>
      <c r="AC27428" s="247"/>
      <c r="AT27428" s="247"/>
    </row>
    <row r="27429">
      <c r="C27429" s="277"/>
      <c r="M27429" s="277"/>
      <c r="O27429" s="247"/>
      <c r="AC27429" s="247"/>
      <c r="AT27429" s="247"/>
    </row>
    <row r="27430">
      <c r="C27430" s="277"/>
      <c r="M27430" s="277"/>
      <c r="O27430" s="247"/>
      <c r="AC27430" s="247"/>
      <c r="AT27430" s="247"/>
    </row>
    <row r="27431">
      <c r="C27431" s="277"/>
      <c r="M27431" s="277"/>
      <c r="O27431" s="247"/>
      <c r="AC27431" s="247"/>
      <c r="AT27431" s="247"/>
    </row>
    <row r="27432">
      <c r="C27432" s="277"/>
      <c r="M27432" s="277"/>
      <c r="O27432" s="247"/>
      <c r="AC27432" s="247"/>
      <c r="AT27432" s="247"/>
    </row>
    <row r="27433">
      <c r="C27433" s="277"/>
      <c r="M27433" s="277"/>
      <c r="O27433" s="247"/>
      <c r="AC27433" s="247"/>
      <c r="AT27433" s="247"/>
    </row>
    <row r="27434">
      <c r="C27434" s="277"/>
      <c r="M27434" s="277"/>
      <c r="O27434" s="247"/>
      <c r="AC27434" s="247"/>
      <c r="AT27434" s="247"/>
    </row>
    <row r="27435">
      <c r="C27435" s="277"/>
      <c r="M27435" s="277"/>
      <c r="O27435" s="247"/>
      <c r="AC27435" s="247"/>
      <c r="AT27435" s="247"/>
    </row>
    <row r="27436">
      <c r="C27436" s="277"/>
      <c r="M27436" s="277"/>
      <c r="O27436" s="247"/>
      <c r="AC27436" s="247"/>
      <c r="AT27436" s="247"/>
    </row>
    <row r="27437">
      <c r="C27437" s="277"/>
      <c r="M27437" s="277"/>
      <c r="O27437" s="247"/>
      <c r="AC27437" s="247"/>
      <c r="AT27437" s="247"/>
    </row>
    <row r="27438">
      <c r="C27438" s="277"/>
      <c r="M27438" s="277"/>
      <c r="O27438" s="247"/>
      <c r="AC27438" s="247"/>
      <c r="AT27438" s="247"/>
    </row>
    <row r="27439">
      <c r="C27439" s="277"/>
      <c r="M27439" s="277"/>
      <c r="O27439" s="247"/>
      <c r="AC27439" s="247"/>
      <c r="AT27439" s="247"/>
    </row>
    <row r="27440">
      <c r="C27440" s="277"/>
      <c r="M27440" s="277"/>
      <c r="O27440" s="247"/>
      <c r="AC27440" s="247"/>
      <c r="AT27440" s="247"/>
    </row>
    <row r="27441">
      <c r="C27441" s="277"/>
      <c r="M27441" s="277"/>
      <c r="O27441" s="247"/>
      <c r="AC27441" s="247"/>
      <c r="AT27441" s="247"/>
    </row>
    <row r="27442">
      <c r="C27442" s="277"/>
      <c r="M27442" s="277"/>
      <c r="O27442" s="247"/>
      <c r="AC27442" s="247"/>
      <c r="AT27442" s="247"/>
    </row>
    <row r="27443">
      <c r="C27443" s="277"/>
      <c r="M27443" s="277"/>
      <c r="O27443" s="247"/>
      <c r="AC27443" s="247"/>
      <c r="AT27443" s="247"/>
    </row>
    <row r="27444">
      <c r="C27444" s="277"/>
      <c r="M27444" s="277"/>
      <c r="O27444" s="247"/>
      <c r="AC27444" s="247"/>
      <c r="AT27444" s="247"/>
    </row>
    <row r="27445">
      <c r="C27445" s="277"/>
      <c r="M27445" s="277"/>
      <c r="O27445" s="247"/>
      <c r="AC27445" s="247"/>
      <c r="AT27445" s="247"/>
    </row>
    <row r="27446">
      <c r="C27446" s="277"/>
      <c r="M27446" s="277"/>
      <c r="O27446" s="247"/>
      <c r="AC27446" s="247"/>
      <c r="AT27446" s="247"/>
    </row>
    <row r="27447">
      <c r="C27447" s="277"/>
      <c r="M27447" s="277"/>
      <c r="O27447" s="247"/>
      <c r="AC27447" s="247"/>
      <c r="AT27447" s="247"/>
    </row>
    <row r="27448">
      <c r="C27448" s="277"/>
      <c r="M27448" s="277"/>
      <c r="O27448" s="247"/>
      <c r="AC27448" s="247"/>
      <c r="AT27448" s="247"/>
    </row>
    <row r="27449">
      <c r="C27449" s="277"/>
      <c r="M27449" s="277"/>
      <c r="O27449" s="247"/>
      <c r="AC27449" s="247"/>
      <c r="AT27449" s="247"/>
    </row>
    <row r="27450">
      <c r="C27450" s="277"/>
      <c r="M27450" s="277"/>
      <c r="O27450" s="247"/>
      <c r="AC27450" s="247"/>
      <c r="AT27450" s="247"/>
    </row>
    <row r="27451">
      <c r="C27451" s="277"/>
      <c r="M27451" s="277"/>
      <c r="O27451" s="247"/>
      <c r="AC27451" s="247"/>
      <c r="AT27451" s="247"/>
    </row>
    <row r="27452">
      <c r="C27452" s="277"/>
      <c r="M27452" s="277"/>
      <c r="O27452" s="247"/>
      <c r="AC27452" s="247"/>
      <c r="AT27452" s="247"/>
    </row>
    <row r="27453">
      <c r="C27453" s="277"/>
      <c r="M27453" s="277"/>
      <c r="O27453" s="247"/>
      <c r="AC27453" s="247"/>
      <c r="AT27453" s="247"/>
    </row>
    <row r="27454">
      <c r="C27454" s="277"/>
      <c r="M27454" s="277"/>
      <c r="O27454" s="247"/>
      <c r="AC27454" s="247"/>
      <c r="AT27454" s="247"/>
    </row>
    <row r="27455">
      <c r="C27455" s="277"/>
      <c r="M27455" s="277"/>
      <c r="O27455" s="247"/>
      <c r="AC27455" s="247"/>
      <c r="AT27455" s="247"/>
    </row>
    <row r="27456">
      <c r="C27456" s="277"/>
      <c r="M27456" s="277"/>
      <c r="O27456" s="247"/>
      <c r="AC27456" s="247"/>
      <c r="AT27456" s="247"/>
    </row>
    <row r="27457">
      <c r="C27457" s="277"/>
      <c r="M27457" s="277"/>
      <c r="O27457" s="247"/>
      <c r="AC27457" s="247"/>
      <c r="AT27457" s="247"/>
    </row>
    <row r="27458">
      <c r="C27458" s="277"/>
      <c r="M27458" s="277"/>
      <c r="O27458" s="247"/>
      <c r="AC27458" s="247"/>
      <c r="AT27458" s="247"/>
    </row>
    <row r="27459">
      <c r="C27459" s="277"/>
      <c r="M27459" s="277"/>
      <c r="O27459" s="247"/>
      <c r="AC27459" s="247"/>
      <c r="AT27459" s="247"/>
    </row>
    <row r="27460">
      <c r="C27460" s="277"/>
      <c r="M27460" s="277"/>
      <c r="O27460" s="247"/>
      <c r="AC27460" s="247"/>
      <c r="AT27460" s="247"/>
    </row>
    <row r="27461">
      <c r="C27461" s="277"/>
      <c r="M27461" s="277"/>
      <c r="O27461" s="247"/>
      <c r="AC27461" s="247"/>
      <c r="AT27461" s="247"/>
    </row>
    <row r="27462">
      <c r="C27462" s="277"/>
      <c r="M27462" s="277"/>
      <c r="O27462" s="247"/>
      <c r="AC27462" s="247"/>
      <c r="AT27462" s="247"/>
    </row>
    <row r="27463">
      <c r="C27463" s="277"/>
      <c r="M27463" s="277"/>
      <c r="O27463" s="247"/>
      <c r="AC27463" s="247"/>
      <c r="AT27463" s="247"/>
    </row>
    <row r="27464">
      <c r="C27464" s="277"/>
      <c r="M27464" s="277"/>
      <c r="O27464" s="247"/>
      <c r="AC27464" s="247"/>
      <c r="AT27464" s="247"/>
    </row>
    <row r="27465">
      <c r="C27465" s="277"/>
      <c r="M27465" s="277"/>
      <c r="O27465" s="247"/>
      <c r="AC27465" s="247"/>
      <c r="AT27465" s="247"/>
    </row>
    <row r="27466">
      <c r="C27466" s="277"/>
      <c r="M27466" s="277"/>
      <c r="O27466" s="247"/>
      <c r="AC27466" s="247"/>
      <c r="AT27466" s="247"/>
    </row>
    <row r="27467">
      <c r="C27467" s="277"/>
      <c r="M27467" s="277"/>
      <c r="O27467" s="247"/>
      <c r="AC27467" s="247"/>
      <c r="AT27467" s="247"/>
    </row>
    <row r="27468">
      <c r="C27468" s="277"/>
      <c r="M27468" s="277"/>
      <c r="O27468" s="247"/>
      <c r="AC27468" s="247"/>
      <c r="AT27468" s="247"/>
    </row>
    <row r="27469">
      <c r="C27469" s="277"/>
      <c r="M27469" s="277"/>
      <c r="O27469" s="247"/>
      <c r="AC27469" s="247"/>
      <c r="AT27469" s="247"/>
    </row>
    <row r="27470">
      <c r="C27470" s="277"/>
      <c r="M27470" s="277"/>
      <c r="O27470" s="247"/>
      <c r="AC27470" s="247"/>
      <c r="AT27470" s="247"/>
    </row>
    <row r="27471">
      <c r="C27471" s="277"/>
      <c r="M27471" s="277"/>
      <c r="O27471" s="247"/>
      <c r="AC27471" s="247"/>
      <c r="AT27471" s="247"/>
    </row>
    <row r="27472">
      <c r="C27472" s="277"/>
      <c r="M27472" s="277"/>
      <c r="O27472" s="247"/>
      <c r="AC27472" s="247"/>
      <c r="AT27472" s="247"/>
    </row>
    <row r="27473">
      <c r="C27473" s="277"/>
      <c r="M27473" s="277"/>
      <c r="O27473" s="247"/>
      <c r="AC27473" s="247"/>
      <c r="AT27473" s="247"/>
    </row>
    <row r="27474">
      <c r="C27474" s="277"/>
      <c r="M27474" s="277"/>
      <c r="O27474" s="247"/>
      <c r="AC27474" s="247"/>
      <c r="AT27474" s="247"/>
    </row>
    <row r="27475">
      <c r="C27475" s="277"/>
      <c r="M27475" s="277"/>
      <c r="O27475" s="247"/>
      <c r="AC27475" s="247"/>
      <c r="AT27475" s="247"/>
    </row>
    <row r="27476">
      <c r="C27476" s="277"/>
      <c r="M27476" s="277"/>
      <c r="O27476" s="247"/>
      <c r="AC27476" s="247"/>
      <c r="AT27476" s="247"/>
    </row>
    <row r="27477">
      <c r="C27477" s="277"/>
      <c r="M27477" s="277"/>
      <c r="O27477" s="247"/>
      <c r="AC27477" s="247"/>
      <c r="AT27477" s="247"/>
    </row>
    <row r="27478">
      <c r="C27478" s="277"/>
      <c r="M27478" s="277"/>
      <c r="O27478" s="247"/>
      <c r="AC27478" s="247"/>
      <c r="AT27478" s="247"/>
    </row>
    <row r="27479">
      <c r="C27479" s="277"/>
      <c r="M27479" s="277"/>
      <c r="O27479" s="247"/>
      <c r="AC27479" s="247"/>
      <c r="AT27479" s="247"/>
    </row>
    <row r="27480">
      <c r="C27480" s="277"/>
      <c r="M27480" s="277"/>
      <c r="O27480" s="247"/>
      <c r="AC27480" s="247"/>
      <c r="AT27480" s="247"/>
    </row>
    <row r="27481">
      <c r="C27481" s="277"/>
      <c r="M27481" s="277"/>
      <c r="O27481" s="247"/>
      <c r="AC27481" s="247"/>
      <c r="AT27481" s="247"/>
    </row>
    <row r="27482">
      <c r="C27482" s="277"/>
      <c r="M27482" s="277"/>
      <c r="O27482" s="247"/>
      <c r="AC27482" s="247"/>
      <c r="AT27482" s="247"/>
    </row>
    <row r="27483">
      <c r="C27483" s="277"/>
      <c r="M27483" s="277"/>
      <c r="O27483" s="247"/>
      <c r="AC27483" s="247"/>
      <c r="AT27483" s="247"/>
    </row>
    <row r="27484">
      <c r="C27484" s="277"/>
      <c r="M27484" s="277"/>
      <c r="O27484" s="247"/>
      <c r="AC27484" s="247"/>
      <c r="AT27484" s="247"/>
    </row>
    <row r="27485">
      <c r="C27485" s="277"/>
      <c r="M27485" s="277"/>
      <c r="O27485" s="247"/>
      <c r="AC27485" s="247"/>
      <c r="AT27485" s="247"/>
    </row>
    <row r="27486">
      <c r="C27486" s="277"/>
      <c r="M27486" s="277"/>
      <c r="O27486" s="247"/>
      <c r="AC27486" s="247"/>
      <c r="AT27486" s="247"/>
    </row>
    <row r="27487">
      <c r="C27487" s="277"/>
      <c r="M27487" s="277"/>
      <c r="O27487" s="247"/>
      <c r="AC27487" s="247"/>
      <c r="AT27487" s="247"/>
    </row>
    <row r="27488">
      <c r="C27488" s="277"/>
      <c r="M27488" s="277"/>
      <c r="O27488" s="247"/>
      <c r="AC27488" s="247"/>
      <c r="AT27488" s="247"/>
    </row>
    <row r="27489">
      <c r="C27489" s="277"/>
      <c r="M27489" s="277"/>
      <c r="O27489" s="247"/>
      <c r="AC27489" s="247"/>
      <c r="AT27489" s="247"/>
    </row>
    <row r="27490">
      <c r="C27490" s="277"/>
      <c r="M27490" s="277"/>
      <c r="O27490" s="247"/>
      <c r="AC27490" s="247"/>
      <c r="AT27490" s="247"/>
    </row>
    <row r="27491">
      <c r="C27491" s="277"/>
      <c r="M27491" s="277"/>
      <c r="O27491" s="247"/>
      <c r="AC27491" s="247"/>
      <c r="AT27491" s="247"/>
    </row>
    <row r="27492">
      <c r="C27492" s="277"/>
      <c r="M27492" s="277"/>
      <c r="O27492" s="247"/>
      <c r="AC27492" s="247"/>
      <c r="AT27492" s="247"/>
    </row>
    <row r="27493">
      <c r="C27493" s="277"/>
      <c r="M27493" s="277"/>
      <c r="O27493" s="247"/>
      <c r="AC27493" s="247"/>
      <c r="AT27493" s="247"/>
    </row>
    <row r="27494">
      <c r="C27494" s="277"/>
      <c r="M27494" s="277"/>
      <c r="O27494" s="247"/>
      <c r="AC27494" s="247"/>
      <c r="AT27494" s="247"/>
    </row>
    <row r="27495">
      <c r="C27495" s="277"/>
      <c r="M27495" s="277"/>
      <c r="O27495" s="247"/>
      <c r="AC27495" s="247"/>
      <c r="AT27495" s="247"/>
    </row>
    <row r="27496">
      <c r="C27496" s="277"/>
      <c r="M27496" s="277"/>
      <c r="O27496" s="247"/>
      <c r="AC27496" s="247"/>
      <c r="AT27496" s="247"/>
    </row>
    <row r="27497">
      <c r="C27497" s="277"/>
      <c r="M27497" s="277"/>
      <c r="O27497" s="247"/>
      <c r="AC27497" s="247"/>
      <c r="AT27497" s="247"/>
    </row>
    <row r="27498">
      <c r="C27498" s="277"/>
      <c r="M27498" s="277"/>
      <c r="O27498" s="247"/>
      <c r="AC27498" s="247"/>
      <c r="AT27498" s="247"/>
    </row>
    <row r="27499">
      <c r="C27499" s="277"/>
      <c r="M27499" s="277"/>
      <c r="O27499" s="247"/>
      <c r="AC27499" s="247"/>
      <c r="AT27499" s="247"/>
    </row>
    <row r="27500">
      <c r="C27500" s="277"/>
      <c r="M27500" s="277"/>
      <c r="O27500" s="247"/>
      <c r="AC27500" s="247"/>
      <c r="AT27500" s="247"/>
    </row>
    <row r="27501">
      <c r="C27501" s="277"/>
      <c r="M27501" s="277"/>
      <c r="O27501" s="247"/>
      <c r="AC27501" s="247"/>
      <c r="AT27501" s="247"/>
    </row>
    <row r="27502">
      <c r="C27502" s="277"/>
      <c r="M27502" s="277"/>
      <c r="O27502" s="247"/>
      <c r="AC27502" s="247"/>
      <c r="AT27502" s="247"/>
    </row>
    <row r="27503">
      <c r="C27503" s="277"/>
      <c r="M27503" s="277"/>
      <c r="O27503" s="247"/>
      <c r="AC27503" s="247"/>
      <c r="AT27503" s="247"/>
    </row>
    <row r="27504">
      <c r="C27504" s="277"/>
      <c r="M27504" s="277"/>
      <c r="O27504" s="247"/>
      <c r="AC27504" s="247"/>
      <c r="AT27504" s="247"/>
    </row>
    <row r="27505">
      <c r="C27505" s="277"/>
      <c r="M27505" s="277"/>
      <c r="O27505" s="247"/>
      <c r="AC27505" s="247"/>
      <c r="AT27505" s="247"/>
    </row>
    <row r="27506">
      <c r="C27506" s="277"/>
      <c r="M27506" s="277"/>
      <c r="O27506" s="247"/>
      <c r="AC27506" s="247"/>
      <c r="AT27506" s="247"/>
    </row>
    <row r="27507">
      <c r="C27507" s="277"/>
      <c r="M27507" s="277"/>
      <c r="O27507" s="247"/>
      <c r="AC27507" s="247"/>
      <c r="AT27507" s="247"/>
    </row>
    <row r="27508">
      <c r="C27508" s="277"/>
      <c r="M27508" s="277"/>
      <c r="O27508" s="247"/>
      <c r="AC27508" s="247"/>
      <c r="AT27508" s="247"/>
    </row>
    <row r="27509">
      <c r="C27509" s="277"/>
      <c r="M27509" s="277"/>
      <c r="O27509" s="247"/>
      <c r="AC27509" s="247"/>
      <c r="AT27509" s="247"/>
    </row>
    <row r="27510">
      <c r="C27510" s="277"/>
      <c r="M27510" s="277"/>
      <c r="O27510" s="247"/>
      <c r="AC27510" s="247"/>
      <c r="AT27510" s="247"/>
    </row>
    <row r="27511">
      <c r="C27511" s="277"/>
      <c r="M27511" s="277"/>
      <c r="O27511" s="247"/>
      <c r="AC27511" s="247"/>
      <c r="AT27511" s="247"/>
    </row>
    <row r="27512">
      <c r="C27512" s="277"/>
      <c r="M27512" s="277"/>
      <c r="O27512" s="247"/>
      <c r="AC27512" s="247"/>
      <c r="AT27512" s="247"/>
    </row>
    <row r="27513">
      <c r="C27513" s="277"/>
      <c r="M27513" s="277"/>
      <c r="O27513" s="247"/>
      <c r="AC27513" s="247"/>
      <c r="AT27513" s="247"/>
    </row>
    <row r="27514">
      <c r="C27514" s="277"/>
      <c r="M27514" s="277"/>
      <c r="O27514" s="247"/>
      <c r="AC27514" s="247"/>
      <c r="AT27514" s="247"/>
    </row>
    <row r="27515">
      <c r="C27515" s="277"/>
      <c r="M27515" s="277"/>
      <c r="O27515" s="247"/>
      <c r="AC27515" s="247"/>
      <c r="AT27515" s="247"/>
    </row>
    <row r="27516">
      <c r="C27516" s="277"/>
      <c r="M27516" s="277"/>
      <c r="O27516" s="247"/>
      <c r="AC27516" s="247"/>
      <c r="AT27516" s="247"/>
    </row>
    <row r="27517">
      <c r="C27517" s="277"/>
      <c r="M27517" s="277"/>
      <c r="O27517" s="247"/>
      <c r="AC27517" s="247"/>
      <c r="AT27517" s="247"/>
    </row>
    <row r="27518">
      <c r="C27518" s="277"/>
      <c r="M27518" s="277"/>
      <c r="O27518" s="247"/>
      <c r="AC27518" s="247"/>
      <c r="AT27518" s="247"/>
    </row>
    <row r="27519">
      <c r="C27519" s="277"/>
      <c r="M27519" s="277"/>
      <c r="O27519" s="247"/>
      <c r="AC27519" s="247"/>
      <c r="AT27519" s="247"/>
    </row>
    <row r="27520">
      <c r="C27520" s="277"/>
      <c r="M27520" s="277"/>
      <c r="O27520" s="247"/>
      <c r="AC27520" s="247"/>
      <c r="AT27520" s="247"/>
    </row>
    <row r="27521">
      <c r="C27521" s="277"/>
      <c r="M27521" s="277"/>
      <c r="O27521" s="247"/>
      <c r="AC27521" s="247"/>
      <c r="AT27521" s="247"/>
    </row>
    <row r="27522">
      <c r="C27522" s="277"/>
      <c r="M27522" s="277"/>
      <c r="O27522" s="247"/>
      <c r="AC27522" s="247"/>
      <c r="AT27522" s="247"/>
    </row>
    <row r="27523">
      <c r="C27523" s="277"/>
      <c r="M27523" s="277"/>
      <c r="O27523" s="247"/>
      <c r="AC27523" s="247"/>
      <c r="AT27523" s="247"/>
    </row>
    <row r="27524">
      <c r="C27524" s="277"/>
      <c r="M27524" s="277"/>
      <c r="O27524" s="247"/>
      <c r="AC27524" s="247"/>
      <c r="AT27524" s="247"/>
    </row>
    <row r="27525">
      <c r="C27525" s="277"/>
      <c r="M27525" s="277"/>
      <c r="O27525" s="247"/>
      <c r="AC27525" s="247"/>
      <c r="AT27525" s="247"/>
    </row>
    <row r="27526">
      <c r="C27526" s="277"/>
      <c r="M27526" s="277"/>
      <c r="O27526" s="247"/>
      <c r="AC27526" s="247"/>
      <c r="AT27526" s="247"/>
    </row>
    <row r="27527">
      <c r="C27527" s="277"/>
      <c r="M27527" s="277"/>
      <c r="O27527" s="247"/>
      <c r="AC27527" s="247"/>
      <c r="AT27527" s="247"/>
    </row>
    <row r="27528">
      <c r="C27528" s="277"/>
      <c r="M27528" s="277"/>
      <c r="O27528" s="247"/>
      <c r="AC27528" s="247"/>
      <c r="AT27528" s="247"/>
    </row>
    <row r="27529">
      <c r="C27529" s="277"/>
      <c r="M27529" s="277"/>
      <c r="O27529" s="247"/>
      <c r="AC27529" s="247"/>
      <c r="AT27529" s="247"/>
    </row>
    <row r="27530">
      <c r="C27530" s="277"/>
      <c r="M27530" s="277"/>
      <c r="O27530" s="247"/>
      <c r="AC27530" s="247"/>
      <c r="AT27530" s="247"/>
    </row>
    <row r="27531">
      <c r="C27531" s="277"/>
      <c r="M27531" s="277"/>
      <c r="O27531" s="247"/>
      <c r="AC27531" s="247"/>
      <c r="AT27531" s="247"/>
    </row>
    <row r="27532">
      <c r="C27532" s="277"/>
      <c r="M27532" s="277"/>
      <c r="O27532" s="247"/>
      <c r="AC27532" s="247"/>
      <c r="AT27532" s="247"/>
    </row>
    <row r="27533">
      <c r="C27533" s="277"/>
      <c r="M27533" s="277"/>
      <c r="O27533" s="247"/>
      <c r="AC27533" s="247"/>
      <c r="AT27533" s="247"/>
    </row>
    <row r="27534">
      <c r="C27534" s="277"/>
      <c r="M27534" s="277"/>
      <c r="O27534" s="247"/>
      <c r="AC27534" s="247"/>
      <c r="AT27534" s="247"/>
    </row>
    <row r="27535">
      <c r="C27535" s="277"/>
      <c r="M27535" s="277"/>
      <c r="O27535" s="247"/>
      <c r="AC27535" s="247"/>
      <c r="AT27535" s="247"/>
    </row>
    <row r="27536">
      <c r="C27536" s="277"/>
      <c r="M27536" s="277"/>
      <c r="O27536" s="247"/>
      <c r="AC27536" s="247"/>
      <c r="AT27536" s="247"/>
    </row>
    <row r="27537">
      <c r="C27537" s="277"/>
      <c r="M27537" s="277"/>
      <c r="O27537" s="247"/>
      <c r="AC27537" s="247"/>
      <c r="AT27537" s="247"/>
    </row>
    <row r="27538">
      <c r="C27538" s="277"/>
      <c r="M27538" s="277"/>
      <c r="O27538" s="247"/>
      <c r="AC27538" s="247"/>
      <c r="AT27538" s="247"/>
    </row>
    <row r="27539">
      <c r="C27539" s="277"/>
      <c r="M27539" s="277"/>
      <c r="O27539" s="247"/>
      <c r="AC27539" s="247"/>
      <c r="AT27539" s="247"/>
    </row>
    <row r="27540">
      <c r="C27540" s="277"/>
      <c r="M27540" s="277"/>
      <c r="O27540" s="247"/>
      <c r="AC27540" s="247"/>
      <c r="AT27540" s="247"/>
    </row>
    <row r="27541">
      <c r="C27541" s="277"/>
      <c r="M27541" s="277"/>
      <c r="O27541" s="247"/>
      <c r="AC27541" s="247"/>
      <c r="AT27541" s="247"/>
    </row>
    <row r="27542">
      <c r="C27542" s="277"/>
      <c r="M27542" s="277"/>
      <c r="O27542" s="247"/>
      <c r="AC27542" s="247"/>
      <c r="AT27542" s="247"/>
    </row>
    <row r="27543">
      <c r="C27543" s="277"/>
      <c r="M27543" s="277"/>
      <c r="O27543" s="247"/>
      <c r="AC27543" s="247"/>
      <c r="AT27543" s="247"/>
    </row>
    <row r="27544">
      <c r="C27544" s="277"/>
      <c r="M27544" s="277"/>
      <c r="O27544" s="247"/>
      <c r="AC27544" s="247"/>
      <c r="AT27544" s="247"/>
    </row>
    <row r="27545">
      <c r="C27545" s="277"/>
      <c r="M27545" s="277"/>
      <c r="O27545" s="247"/>
      <c r="AC27545" s="247"/>
      <c r="AT27545" s="247"/>
    </row>
    <row r="27546">
      <c r="C27546" s="277"/>
      <c r="M27546" s="277"/>
      <c r="O27546" s="247"/>
      <c r="AC27546" s="247"/>
      <c r="AT27546" s="247"/>
    </row>
    <row r="27547">
      <c r="C27547" s="277"/>
      <c r="M27547" s="277"/>
      <c r="O27547" s="247"/>
      <c r="AC27547" s="247"/>
      <c r="AT27547" s="247"/>
    </row>
    <row r="27548">
      <c r="C27548" s="277"/>
      <c r="M27548" s="277"/>
      <c r="O27548" s="247"/>
      <c r="AC27548" s="247"/>
      <c r="AT27548" s="247"/>
    </row>
    <row r="27549">
      <c r="C27549" s="277"/>
      <c r="M27549" s="277"/>
      <c r="O27549" s="247"/>
      <c r="AC27549" s="247"/>
      <c r="AT27549" s="247"/>
    </row>
    <row r="27550">
      <c r="C27550" s="277"/>
      <c r="M27550" s="277"/>
      <c r="O27550" s="247"/>
      <c r="AC27550" s="247"/>
      <c r="AT27550" s="247"/>
    </row>
    <row r="27551">
      <c r="C27551" s="277"/>
      <c r="M27551" s="277"/>
      <c r="O27551" s="247"/>
      <c r="AC27551" s="247"/>
      <c r="AT27551" s="247"/>
    </row>
    <row r="27552">
      <c r="C27552" s="277"/>
      <c r="M27552" s="277"/>
      <c r="O27552" s="247"/>
      <c r="AC27552" s="247"/>
      <c r="AT27552" s="247"/>
    </row>
    <row r="27553">
      <c r="C27553" s="277"/>
      <c r="M27553" s="277"/>
      <c r="O27553" s="247"/>
      <c r="AC27553" s="247"/>
      <c r="AT27553" s="247"/>
    </row>
    <row r="27554">
      <c r="C27554" s="277"/>
      <c r="M27554" s="277"/>
      <c r="O27554" s="247"/>
      <c r="AC27554" s="247"/>
      <c r="AT27554" s="247"/>
    </row>
    <row r="27555">
      <c r="C27555" s="277"/>
      <c r="M27555" s="277"/>
      <c r="O27555" s="247"/>
      <c r="AC27555" s="247"/>
      <c r="AT27555" s="247"/>
    </row>
    <row r="27556">
      <c r="C27556" s="277"/>
      <c r="M27556" s="277"/>
      <c r="O27556" s="247"/>
      <c r="AC27556" s="247"/>
      <c r="AT27556" s="247"/>
    </row>
    <row r="27557">
      <c r="C27557" s="277"/>
      <c r="M27557" s="277"/>
      <c r="O27557" s="247"/>
      <c r="AC27557" s="247"/>
      <c r="AT27557" s="247"/>
    </row>
    <row r="27558">
      <c r="C27558" s="277"/>
      <c r="M27558" s="277"/>
      <c r="O27558" s="247"/>
      <c r="AC27558" s="247"/>
      <c r="AT27558" s="247"/>
    </row>
    <row r="27559">
      <c r="C27559" s="277"/>
      <c r="M27559" s="277"/>
      <c r="O27559" s="247"/>
      <c r="AC27559" s="247"/>
      <c r="AT27559" s="247"/>
    </row>
    <row r="27560">
      <c r="C27560" s="277"/>
      <c r="M27560" s="277"/>
      <c r="O27560" s="247"/>
      <c r="AC27560" s="247"/>
      <c r="AT27560" s="247"/>
    </row>
    <row r="27561">
      <c r="C27561" s="277"/>
      <c r="M27561" s="277"/>
      <c r="O27561" s="247"/>
      <c r="AC27561" s="247"/>
      <c r="AT27561" s="247"/>
    </row>
    <row r="27562">
      <c r="C27562" s="277"/>
      <c r="M27562" s="277"/>
      <c r="O27562" s="247"/>
      <c r="AC27562" s="247"/>
      <c r="AT27562" s="247"/>
    </row>
    <row r="27563">
      <c r="C27563" s="277"/>
      <c r="M27563" s="277"/>
      <c r="O27563" s="247"/>
      <c r="AC27563" s="247"/>
      <c r="AT27563" s="247"/>
    </row>
    <row r="27564">
      <c r="C27564" s="277"/>
      <c r="M27564" s="277"/>
      <c r="O27564" s="247"/>
      <c r="AC27564" s="247"/>
      <c r="AT27564" s="247"/>
    </row>
    <row r="27565">
      <c r="C27565" s="277"/>
      <c r="M27565" s="277"/>
      <c r="O27565" s="247"/>
      <c r="AC27565" s="247"/>
      <c r="AT27565" s="247"/>
    </row>
    <row r="27566">
      <c r="C27566" s="277"/>
      <c r="M27566" s="277"/>
      <c r="O27566" s="247"/>
      <c r="AC27566" s="247"/>
      <c r="AT27566" s="247"/>
    </row>
    <row r="27567">
      <c r="C27567" s="277"/>
      <c r="M27567" s="277"/>
      <c r="O27567" s="247"/>
      <c r="AC27567" s="247"/>
      <c r="AT27567" s="247"/>
    </row>
    <row r="27568">
      <c r="C27568" s="277"/>
      <c r="M27568" s="277"/>
      <c r="O27568" s="247"/>
      <c r="AC27568" s="247"/>
      <c r="AT27568" s="247"/>
    </row>
    <row r="27569">
      <c r="C27569" s="277"/>
      <c r="M27569" s="277"/>
      <c r="O27569" s="247"/>
      <c r="AC27569" s="247"/>
      <c r="AT27569" s="247"/>
    </row>
    <row r="27570">
      <c r="C27570" s="277"/>
      <c r="M27570" s="277"/>
      <c r="O27570" s="247"/>
      <c r="AC27570" s="247"/>
      <c r="AT27570" s="247"/>
    </row>
    <row r="27571">
      <c r="C27571" s="277"/>
      <c r="M27571" s="277"/>
      <c r="O27571" s="247"/>
      <c r="AC27571" s="247"/>
      <c r="AT27571" s="247"/>
    </row>
    <row r="27572">
      <c r="C27572" s="277"/>
      <c r="M27572" s="277"/>
      <c r="O27572" s="247"/>
      <c r="AC27572" s="247"/>
      <c r="AT27572" s="247"/>
    </row>
    <row r="27573">
      <c r="C27573" s="277"/>
      <c r="M27573" s="277"/>
      <c r="O27573" s="247"/>
      <c r="AC27573" s="247"/>
      <c r="AT27573" s="247"/>
    </row>
    <row r="27574">
      <c r="C27574" s="277"/>
      <c r="M27574" s="277"/>
      <c r="O27574" s="247"/>
      <c r="AC27574" s="247"/>
      <c r="AT27574" s="247"/>
    </row>
    <row r="27575">
      <c r="C27575" s="277"/>
      <c r="M27575" s="277"/>
      <c r="O27575" s="247"/>
      <c r="AC27575" s="247"/>
      <c r="AT27575" s="247"/>
    </row>
    <row r="27576">
      <c r="C27576" s="277"/>
      <c r="M27576" s="277"/>
      <c r="O27576" s="247"/>
      <c r="AC27576" s="247"/>
      <c r="AT27576" s="247"/>
    </row>
    <row r="27577">
      <c r="C27577" s="277"/>
      <c r="M27577" s="277"/>
      <c r="O27577" s="247"/>
      <c r="AC27577" s="247"/>
      <c r="AT27577" s="247"/>
    </row>
    <row r="27578">
      <c r="C27578" s="277"/>
      <c r="M27578" s="277"/>
      <c r="O27578" s="247"/>
      <c r="AC27578" s="247"/>
      <c r="AT27578" s="247"/>
    </row>
    <row r="27579">
      <c r="C27579" s="277"/>
      <c r="M27579" s="277"/>
      <c r="O27579" s="247"/>
      <c r="AC27579" s="247"/>
      <c r="AT27579" s="247"/>
    </row>
    <row r="27580">
      <c r="C27580" s="277"/>
      <c r="M27580" s="277"/>
      <c r="O27580" s="247"/>
      <c r="AC27580" s="247"/>
      <c r="AT27580" s="247"/>
    </row>
    <row r="27581">
      <c r="C27581" s="277"/>
      <c r="M27581" s="277"/>
      <c r="O27581" s="247"/>
      <c r="AC27581" s="247"/>
      <c r="AT27581" s="247"/>
    </row>
    <row r="27582">
      <c r="C27582" s="277"/>
      <c r="M27582" s="277"/>
      <c r="O27582" s="247"/>
      <c r="AC27582" s="247"/>
      <c r="AT27582" s="247"/>
    </row>
    <row r="27583">
      <c r="C27583" s="277"/>
      <c r="M27583" s="277"/>
      <c r="O27583" s="247"/>
      <c r="AC27583" s="247"/>
      <c r="AT27583" s="247"/>
    </row>
    <row r="27584">
      <c r="C27584" s="277"/>
      <c r="M27584" s="277"/>
      <c r="O27584" s="247"/>
      <c r="AC27584" s="247"/>
      <c r="AT27584" s="247"/>
    </row>
    <row r="27585">
      <c r="C27585" s="277"/>
      <c r="M27585" s="277"/>
      <c r="O27585" s="247"/>
      <c r="AC27585" s="247"/>
      <c r="AT27585" s="247"/>
    </row>
    <row r="27586">
      <c r="C27586" s="277"/>
      <c r="M27586" s="277"/>
      <c r="O27586" s="247"/>
      <c r="AC27586" s="247"/>
      <c r="AT27586" s="247"/>
    </row>
    <row r="27587">
      <c r="C27587" s="277"/>
      <c r="M27587" s="277"/>
      <c r="O27587" s="247"/>
      <c r="AC27587" s="247"/>
      <c r="AT27587" s="247"/>
    </row>
    <row r="27588">
      <c r="C27588" s="277"/>
      <c r="M27588" s="277"/>
      <c r="O27588" s="247"/>
      <c r="AC27588" s="247"/>
      <c r="AT27588" s="247"/>
    </row>
    <row r="27589">
      <c r="C27589" s="277"/>
      <c r="M27589" s="277"/>
      <c r="O27589" s="247"/>
      <c r="AC27589" s="247"/>
      <c r="AT27589" s="247"/>
    </row>
    <row r="27590">
      <c r="C27590" s="277"/>
      <c r="M27590" s="277"/>
      <c r="O27590" s="247"/>
      <c r="AC27590" s="247"/>
      <c r="AT27590" s="247"/>
    </row>
    <row r="27591">
      <c r="C27591" s="277"/>
      <c r="M27591" s="277"/>
      <c r="O27591" s="247"/>
      <c r="AC27591" s="247"/>
      <c r="AT27591" s="247"/>
    </row>
    <row r="27592">
      <c r="C27592" s="277"/>
      <c r="M27592" s="277"/>
      <c r="O27592" s="247"/>
      <c r="AC27592" s="247"/>
      <c r="AT27592" s="247"/>
    </row>
    <row r="27593">
      <c r="C27593" s="277"/>
      <c r="M27593" s="277"/>
      <c r="O27593" s="247"/>
      <c r="AC27593" s="247"/>
      <c r="AT27593" s="247"/>
    </row>
    <row r="27594">
      <c r="C27594" s="277"/>
      <c r="M27594" s="277"/>
      <c r="O27594" s="247"/>
      <c r="AC27594" s="247"/>
      <c r="AT27594" s="247"/>
    </row>
    <row r="27595">
      <c r="C27595" s="277"/>
      <c r="M27595" s="277"/>
      <c r="O27595" s="247"/>
      <c r="AC27595" s="247"/>
      <c r="AT27595" s="247"/>
    </row>
    <row r="27596">
      <c r="C27596" s="277"/>
      <c r="M27596" s="277"/>
      <c r="O27596" s="247"/>
      <c r="AC27596" s="247"/>
      <c r="AT27596" s="247"/>
    </row>
    <row r="27597">
      <c r="C27597" s="277"/>
      <c r="M27597" s="277"/>
      <c r="O27597" s="247"/>
      <c r="AC27597" s="247"/>
      <c r="AT27597" s="247"/>
    </row>
    <row r="27598">
      <c r="C27598" s="277"/>
      <c r="M27598" s="277"/>
      <c r="O27598" s="247"/>
      <c r="AC27598" s="247"/>
      <c r="AT27598" s="247"/>
    </row>
    <row r="27599">
      <c r="C27599" s="277"/>
      <c r="M27599" s="277"/>
      <c r="O27599" s="247"/>
      <c r="AC27599" s="247"/>
      <c r="AT27599" s="247"/>
    </row>
    <row r="27600">
      <c r="C27600" s="277"/>
      <c r="M27600" s="277"/>
      <c r="O27600" s="247"/>
      <c r="AC27600" s="247"/>
      <c r="AT27600" s="247"/>
    </row>
    <row r="27601">
      <c r="C27601" s="277"/>
      <c r="M27601" s="277"/>
      <c r="O27601" s="247"/>
      <c r="AC27601" s="247"/>
      <c r="AT27601" s="247"/>
    </row>
    <row r="27602">
      <c r="C27602" s="277"/>
      <c r="M27602" s="277"/>
      <c r="O27602" s="247"/>
      <c r="AC27602" s="247"/>
      <c r="AT27602" s="247"/>
    </row>
    <row r="27603">
      <c r="C27603" s="277"/>
      <c r="M27603" s="277"/>
      <c r="O27603" s="247"/>
      <c r="AC27603" s="247"/>
      <c r="AT27603" s="247"/>
    </row>
    <row r="27604">
      <c r="C27604" s="277"/>
      <c r="M27604" s="277"/>
      <c r="O27604" s="247"/>
      <c r="AC27604" s="247"/>
      <c r="AT27604" s="247"/>
    </row>
    <row r="27605">
      <c r="C27605" s="277"/>
      <c r="M27605" s="277"/>
      <c r="O27605" s="247"/>
      <c r="AC27605" s="247"/>
      <c r="AT27605" s="247"/>
    </row>
    <row r="27606">
      <c r="C27606" s="277"/>
      <c r="M27606" s="277"/>
      <c r="O27606" s="247"/>
      <c r="AC27606" s="247"/>
      <c r="AT27606" s="247"/>
    </row>
    <row r="27607">
      <c r="C27607" s="277"/>
      <c r="M27607" s="277"/>
      <c r="O27607" s="247"/>
      <c r="AC27607" s="247"/>
      <c r="AT27607" s="247"/>
    </row>
    <row r="27608">
      <c r="C27608" s="277"/>
      <c r="M27608" s="277"/>
      <c r="O27608" s="247"/>
      <c r="AC27608" s="247"/>
      <c r="AT27608" s="247"/>
    </row>
    <row r="27609">
      <c r="C27609" s="277"/>
      <c r="M27609" s="277"/>
      <c r="O27609" s="247"/>
      <c r="AC27609" s="247"/>
      <c r="AT27609" s="247"/>
    </row>
    <row r="27610">
      <c r="C27610" s="277"/>
      <c r="M27610" s="277"/>
      <c r="O27610" s="247"/>
      <c r="AC27610" s="247"/>
      <c r="AT27610" s="247"/>
    </row>
    <row r="27611">
      <c r="C27611" s="277"/>
      <c r="M27611" s="277"/>
      <c r="O27611" s="247"/>
      <c r="AC27611" s="247"/>
      <c r="AT27611" s="247"/>
    </row>
    <row r="27612">
      <c r="C27612" s="277"/>
      <c r="M27612" s="277"/>
      <c r="O27612" s="247"/>
      <c r="AC27612" s="247"/>
      <c r="AT27612" s="247"/>
    </row>
    <row r="27613">
      <c r="C27613" s="277"/>
      <c r="M27613" s="277"/>
      <c r="O27613" s="247"/>
      <c r="AC27613" s="247"/>
      <c r="AT27613" s="247"/>
    </row>
    <row r="27614">
      <c r="C27614" s="277"/>
      <c r="M27614" s="277"/>
      <c r="O27614" s="247"/>
      <c r="AC27614" s="247"/>
      <c r="AT27614" s="247"/>
    </row>
    <row r="27615">
      <c r="C27615" s="277"/>
      <c r="M27615" s="277"/>
      <c r="O27615" s="247"/>
      <c r="AC27615" s="247"/>
      <c r="AT27615" s="247"/>
    </row>
    <row r="27616">
      <c r="C27616" s="277"/>
      <c r="M27616" s="277"/>
      <c r="O27616" s="247"/>
      <c r="AC27616" s="247"/>
      <c r="AT27616" s="247"/>
    </row>
    <row r="27617">
      <c r="C27617" s="277"/>
      <c r="M27617" s="277"/>
      <c r="O27617" s="247"/>
      <c r="AC27617" s="247"/>
      <c r="AT27617" s="247"/>
    </row>
    <row r="27618">
      <c r="C27618" s="277"/>
      <c r="M27618" s="277"/>
      <c r="O27618" s="247"/>
      <c r="AC27618" s="247"/>
      <c r="AT27618" s="247"/>
    </row>
    <row r="27619">
      <c r="C27619" s="277"/>
      <c r="M27619" s="277"/>
      <c r="O27619" s="247"/>
      <c r="AC27619" s="247"/>
      <c r="AT27619" s="247"/>
    </row>
    <row r="27620">
      <c r="C27620" s="277"/>
      <c r="M27620" s="277"/>
      <c r="O27620" s="247"/>
      <c r="AC27620" s="247"/>
      <c r="AT27620" s="247"/>
    </row>
    <row r="27621">
      <c r="C27621" s="277"/>
      <c r="M27621" s="277"/>
      <c r="O27621" s="247"/>
      <c r="AC27621" s="247"/>
      <c r="AT27621" s="247"/>
    </row>
    <row r="27622">
      <c r="C27622" s="277"/>
      <c r="M27622" s="277"/>
      <c r="O27622" s="247"/>
      <c r="AC27622" s="247"/>
      <c r="AT27622" s="247"/>
    </row>
    <row r="27623">
      <c r="C27623" s="277"/>
      <c r="M27623" s="277"/>
      <c r="O27623" s="247"/>
      <c r="AC27623" s="247"/>
      <c r="AT27623" s="247"/>
    </row>
    <row r="27624">
      <c r="C27624" s="277"/>
      <c r="M27624" s="277"/>
      <c r="O27624" s="247"/>
      <c r="AC27624" s="247"/>
      <c r="AT27624" s="247"/>
    </row>
    <row r="27625">
      <c r="C27625" s="277"/>
      <c r="M27625" s="277"/>
      <c r="O27625" s="247"/>
      <c r="AC27625" s="247"/>
      <c r="AT27625" s="247"/>
    </row>
    <row r="27626">
      <c r="C27626" s="277"/>
      <c r="M27626" s="277"/>
      <c r="O27626" s="247"/>
      <c r="AC27626" s="247"/>
      <c r="AT27626" s="247"/>
    </row>
    <row r="27627">
      <c r="C27627" s="277"/>
      <c r="M27627" s="277"/>
      <c r="O27627" s="247"/>
      <c r="AC27627" s="247"/>
      <c r="AT27627" s="247"/>
    </row>
    <row r="27628">
      <c r="C27628" s="277"/>
      <c r="M27628" s="277"/>
      <c r="O27628" s="247"/>
      <c r="AC27628" s="247"/>
      <c r="AT27628" s="247"/>
    </row>
    <row r="27629">
      <c r="C27629" s="277"/>
      <c r="M27629" s="277"/>
      <c r="O27629" s="247"/>
      <c r="AC27629" s="247"/>
      <c r="AT27629" s="247"/>
    </row>
    <row r="27630">
      <c r="C27630" s="277"/>
      <c r="M27630" s="277"/>
      <c r="O27630" s="247"/>
      <c r="AC27630" s="247"/>
      <c r="AT27630" s="247"/>
    </row>
    <row r="27631">
      <c r="C27631" s="277"/>
      <c r="M27631" s="277"/>
      <c r="O27631" s="247"/>
      <c r="AC27631" s="247"/>
      <c r="AT27631" s="247"/>
    </row>
    <row r="27632">
      <c r="C27632" s="277"/>
      <c r="M27632" s="277"/>
      <c r="O27632" s="247"/>
      <c r="AC27632" s="247"/>
      <c r="AT27632" s="247"/>
    </row>
    <row r="27633">
      <c r="C27633" s="277"/>
      <c r="M27633" s="277"/>
      <c r="O27633" s="247"/>
      <c r="AC27633" s="247"/>
      <c r="AT27633" s="247"/>
    </row>
    <row r="27634">
      <c r="C27634" s="277"/>
      <c r="M27634" s="277"/>
      <c r="O27634" s="247"/>
      <c r="AC27634" s="247"/>
      <c r="AT27634" s="247"/>
    </row>
    <row r="27635">
      <c r="C27635" s="277"/>
      <c r="M27635" s="277"/>
      <c r="O27635" s="247"/>
      <c r="AC27635" s="247"/>
      <c r="AT27635" s="247"/>
    </row>
    <row r="27636">
      <c r="C27636" s="277"/>
      <c r="M27636" s="277"/>
      <c r="O27636" s="247"/>
      <c r="AC27636" s="247"/>
      <c r="AT27636" s="247"/>
    </row>
    <row r="27637">
      <c r="C27637" s="277"/>
      <c r="M27637" s="277"/>
      <c r="O27637" s="247"/>
      <c r="AC27637" s="247"/>
      <c r="AT27637" s="247"/>
    </row>
    <row r="27638">
      <c r="C27638" s="277"/>
      <c r="M27638" s="277"/>
      <c r="O27638" s="247"/>
      <c r="AC27638" s="247"/>
      <c r="AT27638" s="247"/>
    </row>
    <row r="27639">
      <c r="C27639" s="277"/>
      <c r="M27639" s="277"/>
      <c r="O27639" s="247"/>
      <c r="AC27639" s="247"/>
      <c r="AT27639" s="247"/>
    </row>
    <row r="27640">
      <c r="C27640" s="277"/>
      <c r="M27640" s="277"/>
      <c r="O27640" s="247"/>
      <c r="AC27640" s="247"/>
      <c r="AT27640" s="247"/>
    </row>
    <row r="27641">
      <c r="C27641" s="277"/>
      <c r="M27641" s="277"/>
      <c r="O27641" s="247"/>
      <c r="AC27641" s="247"/>
      <c r="AT27641" s="247"/>
    </row>
    <row r="27642">
      <c r="C27642" s="277"/>
      <c r="M27642" s="277"/>
      <c r="O27642" s="247"/>
      <c r="AC27642" s="247"/>
      <c r="AT27642" s="247"/>
    </row>
    <row r="27643">
      <c r="C27643" s="277"/>
      <c r="M27643" s="277"/>
      <c r="O27643" s="247"/>
      <c r="AC27643" s="247"/>
      <c r="AT27643" s="247"/>
    </row>
    <row r="27644">
      <c r="C27644" s="277"/>
      <c r="M27644" s="277"/>
      <c r="O27644" s="247"/>
      <c r="AC27644" s="247"/>
      <c r="AT27644" s="247"/>
    </row>
    <row r="27645">
      <c r="C27645" s="277"/>
      <c r="M27645" s="277"/>
      <c r="O27645" s="247"/>
      <c r="AC27645" s="247"/>
      <c r="AT27645" s="247"/>
    </row>
    <row r="27646">
      <c r="C27646" s="277"/>
      <c r="M27646" s="277"/>
      <c r="O27646" s="247"/>
      <c r="AC27646" s="247"/>
      <c r="AT27646" s="247"/>
    </row>
    <row r="27647">
      <c r="C27647" s="277"/>
      <c r="M27647" s="277"/>
      <c r="O27647" s="247"/>
      <c r="AC27647" s="247"/>
      <c r="AT27647" s="247"/>
    </row>
    <row r="27648">
      <c r="C27648" s="277"/>
      <c r="M27648" s="277"/>
      <c r="O27648" s="247"/>
      <c r="AC27648" s="247"/>
      <c r="AT27648" s="247"/>
    </row>
    <row r="27649">
      <c r="C27649" s="277"/>
      <c r="M27649" s="277"/>
      <c r="O27649" s="247"/>
      <c r="AC27649" s="247"/>
      <c r="AT27649" s="247"/>
    </row>
    <row r="27650">
      <c r="C27650" s="277"/>
      <c r="M27650" s="277"/>
      <c r="O27650" s="247"/>
      <c r="AC27650" s="247"/>
      <c r="AT27650" s="247"/>
    </row>
    <row r="27651">
      <c r="C27651" s="277"/>
      <c r="M27651" s="277"/>
      <c r="O27651" s="247"/>
      <c r="AC27651" s="247"/>
      <c r="AT27651" s="247"/>
    </row>
    <row r="27652">
      <c r="C27652" s="277"/>
      <c r="M27652" s="277"/>
      <c r="O27652" s="247"/>
      <c r="AC27652" s="247"/>
      <c r="AT27652" s="247"/>
    </row>
    <row r="27653">
      <c r="C27653" s="277"/>
      <c r="M27653" s="277"/>
      <c r="O27653" s="247"/>
      <c r="AC27653" s="247"/>
      <c r="AT27653" s="247"/>
    </row>
    <row r="27654">
      <c r="C27654" s="277"/>
      <c r="M27654" s="277"/>
      <c r="O27654" s="247"/>
      <c r="AC27654" s="247"/>
      <c r="AT27654" s="247"/>
    </row>
    <row r="27655">
      <c r="C27655" s="277"/>
      <c r="M27655" s="277"/>
      <c r="O27655" s="247"/>
      <c r="AC27655" s="247"/>
      <c r="AT27655" s="247"/>
    </row>
    <row r="27656">
      <c r="C27656" s="277"/>
      <c r="M27656" s="277"/>
      <c r="O27656" s="247"/>
      <c r="AC27656" s="247"/>
      <c r="AT27656" s="247"/>
    </row>
    <row r="27657">
      <c r="C27657" s="277"/>
      <c r="M27657" s="277"/>
      <c r="O27657" s="247"/>
      <c r="AC27657" s="247"/>
      <c r="AT27657" s="247"/>
    </row>
    <row r="27658">
      <c r="C27658" s="277"/>
      <c r="M27658" s="277"/>
      <c r="O27658" s="247"/>
      <c r="AC27658" s="247"/>
      <c r="AT27658" s="247"/>
    </row>
    <row r="27659">
      <c r="C27659" s="277"/>
      <c r="M27659" s="277"/>
      <c r="O27659" s="247"/>
      <c r="AC27659" s="247"/>
      <c r="AT27659" s="247"/>
    </row>
    <row r="27660">
      <c r="C27660" s="277"/>
      <c r="M27660" s="277"/>
      <c r="O27660" s="247"/>
      <c r="AC27660" s="247"/>
      <c r="AT27660" s="247"/>
    </row>
    <row r="27661">
      <c r="C27661" s="277"/>
      <c r="M27661" s="277"/>
      <c r="O27661" s="247"/>
      <c r="AC27661" s="247"/>
      <c r="AT27661" s="247"/>
    </row>
    <row r="27662">
      <c r="C27662" s="277"/>
      <c r="M27662" s="277"/>
      <c r="O27662" s="247"/>
      <c r="AC27662" s="247"/>
      <c r="AT27662" s="247"/>
    </row>
    <row r="27663">
      <c r="C27663" s="277"/>
      <c r="M27663" s="277"/>
      <c r="O27663" s="247"/>
      <c r="AC27663" s="247"/>
      <c r="AT27663" s="247"/>
    </row>
    <row r="27664">
      <c r="C27664" s="277"/>
      <c r="M27664" s="277"/>
      <c r="O27664" s="247"/>
      <c r="AC27664" s="247"/>
      <c r="AT27664" s="247"/>
    </row>
    <row r="27665">
      <c r="C27665" s="277"/>
      <c r="M27665" s="277"/>
      <c r="O27665" s="247"/>
      <c r="AC27665" s="247"/>
      <c r="AT27665" s="247"/>
    </row>
    <row r="27666">
      <c r="C27666" s="277"/>
      <c r="M27666" s="277"/>
      <c r="O27666" s="247"/>
      <c r="AC27666" s="247"/>
      <c r="AT27666" s="247"/>
    </row>
    <row r="27667">
      <c r="C27667" s="277"/>
      <c r="M27667" s="277"/>
      <c r="O27667" s="247"/>
      <c r="AC27667" s="247"/>
      <c r="AT27667" s="247"/>
    </row>
    <row r="27668">
      <c r="C27668" s="277"/>
      <c r="M27668" s="277"/>
      <c r="O27668" s="247"/>
      <c r="AC27668" s="247"/>
      <c r="AT27668" s="247"/>
    </row>
    <row r="27669">
      <c r="C27669" s="277"/>
      <c r="M27669" s="277"/>
      <c r="O27669" s="247"/>
      <c r="AC27669" s="247"/>
      <c r="AT27669" s="247"/>
    </row>
    <row r="27670">
      <c r="C27670" s="277"/>
      <c r="M27670" s="277"/>
      <c r="O27670" s="247"/>
      <c r="AC27670" s="247"/>
      <c r="AT27670" s="247"/>
    </row>
    <row r="27671">
      <c r="C27671" s="277"/>
      <c r="M27671" s="277"/>
      <c r="O27671" s="247"/>
      <c r="AC27671" s="247"/>
      <c r="AT27671" s="247"/>
    </row>
    <row r="27672">
      <c r="C27672" s="277"/>
      <c r="M27672" s="277"/>
      <c r="O27672" s="247"/>
      <c r="AC27672" s="247"/>
      <c r="AT27672" s="247"/>
    </row>
    <row r="27673">
      <c r="C27673" s="277"/>
      <c r="M27673" s="277"/>
      <c r="O27673" s="247"/>
      <c r="AC27673" s="247"/>
      <c r="AT27673" s="247"/>
    </row>
    <row r="27674">
      <c r="C27674" s="277"/>
      <c r="M27674" s="277"/>
      <c r="O27674" s="247"/>
      <c r="AC27674" s="247"/>
      <c r="AT27674" s="247"/>
    </row>
    <row r="27675">
      <c r="C27675" s="277"/>
      <c r="M27675" s="277"/>
      <c r="O27675" s="247"/>
      <c r="AC27675" s="247"/>
      <c r="AT27675" s="247"/>
    </row>
    <row r="27676">
      <c r="C27676" s="277"/>
      <c r="M27676" s="277"/>
      <c r="O27676" s="247"/>
      <c r="AC27676" s="247"/>
      <c r="AT27676" s="247"/>
    </row>
    <row r="27677">
      <c r="C27677" s="277"/>
      <c r="M27677" s="277"/>
      <c r="O27677" s="247"/>
      <c r="AC27677" s="247"/>
      <c r="AT27677" s="247"/>
    </row>
    <row r="27678">
      <c r="C27678" s="277"/>
      <c r="M27678" s="277"/>
      <c r="O27678" s="247"/>
      <c r="AC27678" s="247"/>
      <c r="AT27678" s="247"/>
    </row>
    <row r="27679">
      <c r="C27679" s="277"/>
      <c r="M27679" s="277"/>
      <c r="O27679" s="247"/>
      <c r="AC27679" s="247"/>
      <c r="AT27679" s="247"/>
    </row>
    <row r="27680">
      <c r="C27680" s="277"/>
      <c r="M27680" s="277"/>
      <c r="O27680" s="247"/>
      <c r="AC27680" s="247"/>
      <c r="AT27680" s="247"/>
    </row>
    <row r="27681">
      <c r="C27681" s="277"/>
      <c r="M27681" s="277"/>
      <c r="O27681" s="247"/>
      <c r="AC27681" s="247"/>
      <c r="AT27681" s="247"/>
    </row>
    <row r="27682">
      <c r="C27682" s="277"/>
      <c r="M27682" s="277"/>
      <c r="O27682" s="247"/>
      <c r="AC27682" s="247"/>
      <c r="AT27682" s="247"/>
    </row>
    <row r="27683">
      <c r="C27683" s="277"/>
      <c r="M27683" s="277"/>
      <c r="O27683" s="247"/>
      <c r="AC27683" s="247"/>
      <c r="AT27683" s="247"/>
    </row>
    <row r="27684">
      <c r="C27684" s="277"/>
      <c r="M27684" s="277"/>
      <c r="O27684" s="247"/>
      <c r="AC27684" s="247"/>
      <c r="AT27684" s="247"/>
    </row>
    <row r="27685">
      <c r="C27685" s="277"/>
      <c r="M27685" s="277"/>
      <c r="O27685" s="247"/>
      <c r="AC27685" s="247"/>
      <c r="AT27685" s="247"/>
    </row>
    <row r="27686">
      <c r="C27686" s="277"/>
      <c r="M27686" s="277"/>
      <c r="O27686" s="247"/>
      <c r="AC27686" s="247"/>
      <c r="AT27686" s="247"/>
    </row>
    <row r="27687">
      <c r="C27687" s="277"/>
      <c r="M27687" s="277"/>
      <c r="O27687" s="247"/>
      <c r="AC27687" s="247"/>
      <c r="AT27687" s="247"/>
    </row>
    <row r="27688">
      <c r="C27688" s="277"/>
      <c r="M27688" s="277"/>
      <c r="O27688" s="247"/>
      <c r="AC27688" s="247"/>
      <c r="AT27688" s="247"/>
    </row>
    <row r="27689">
      <c r="C27689" s="277"/>
      <c r="M27689" s="277"/>
      <c r="O27689" s="247"/>
      <c r="AC27689" s="247"/>
      <c r="AT27689" s="247"/>
    </row>
    <row r="27690">
      <c r="C27690" s="277"/>
      <c r="M27690" s="277"/>
      <c r="O27690" s="247"/>
      <c r="AC27690" s="247"/>
      <c r="AT27690" s="247"/>
    </row>
    <row r="27691">
      <c r="C27691" s="277"/>
      <c r="M27691" s="277"/>
      <c r="O27691" s="247"/>
      <c r="AC27691" s="247"/>
      <c r="AT27691" s="247"/>
    </row>
    <row r="27692">
      <c r="C27692" s="277"/>
      <c r="M27692" s="277"/>
      <c r="O27692" s="247"/>
      <c r="AC27692" s="247"/>
      <c r="AT27692" s="247"/>
    </row>
    <row r="27693">
      <c r="C27693" s="277"/>
      <c r="M27693" s="277"/>
      <c r="O27693" s="247"/>
      <c r="AC27693" s="247"/>
      <c r="AT27693" s="247"/>
    </row>
    <row r="27694">
      <c r="C27694" s="277"/>
      <c r="M27694" s="277"/>
      <c r="O27694" s="247"/>
      <c r="AC27694" s="247"/>
      <c r="AT27694" s="247"/>
    </row>
    <row r="27695">
      <c r="C27695" s="277"/>
      <c r="M27695" s="277"/>
      <c r="O27695" s="247"/>
      <c r="AC27695" s="247"/>
      <c r="AT27695" s="247"/>
    </row>
    <row r="27696">
      <c r="C27696" s="277"/>
      <c r="M27696" s="277"/>
      <c r="O27696" s="247"/>
      <c r="AC27696" s="247"/>
      <c r="AT27696" s="247"/>
    </row>
    <row r="27697">
      <c r="C27697" s="277"/>
      <c r="M27697" s="277"/>
      <c r="O27697" s="247"/>
      <c r="AC27697" s="247"/>
      <c r="AT27697" s="247"/>
    </row>
    <row r="27698">
      <c r="C27698" s="277"/>
      <c r="M27698" s="277"/>
      <c r="O27698" s="247"/>
      <c r="AC27698" s="247"/>
      <c r="AT27698" s="247"/>
    </row>
    <row r="27699">
      <c r="C27699" s="277"/>
      <c r="M27699" s="277"/>
      <c r="O27699" s="247"/>
      <c r="AC27699" s="247"/>
      <c r="AT27699" s="247"/>
    </row>
    <row r="27700">
      <c r="C27700" s="277"/>
      <c r="M27700" s="277"/>
      <c r="O27700" s="247"/>
      <c r="AC27700" s="247"/>
      <c r="AT27700" s="247"/>
    </row>
    <row r="27701">
      <c r="C27701" s="277"/>
      <c r="M27701" s="277"/>
      <c r="O27701" s="247"/>
      <c r="AC27701" s="247"/>
      <c r="AT27701" s="247"/>
    </row>
    <row r="27702">
      <c r="C27702" s="277"/>
      <c r="M27702" s="277"/>
      <c r="O27702" s="247"/>
      <c r="AC27702" s="247"/>
      <c r="AT27702" s="247"/>
    </row>
    <row r="27703">
      <c r="C27703" s="277"/>
      <c r="M27703" s="277"/>
      <c r="O27703" s="247"/>
      <c r="AC27703" s="247"/>
      <c r="AT27703" s="247"/>
    </row>
    <row r="27704">
      <c r="C27704" s="277"/>
      <c r="M27704" s="277"/>
      <c r="O27704" s="247"/>
      <c r="AC27704" s="247"/>
      <c r="AT27704" s="247"/>
    </row>
    <row r="27705">
      <c r="C27705" s="277"/>
      <c r="M27705" s="277"/>
      <c r="O27705" s="247"/>
      <c r="AC27705" s="247"/>
      <c r="AT27705" s="247"/>
    </row>
    <row r="27706">
      <c r="C27706" s="277"/>
      <c r="M27706" s="277"/>
      <c r="O27706" s="247"/>
      <c r="AC27706" s="247"/>
      <c r="AT27706" s="247"/>
    </row>
    <row r="27707">
      <c r="C27707" s="277"/>
      <c r="M27707" s="277"/>
      <c r="O27707" s="247"/>
      <c r="AC27707" s="247"/>
      <c r="AT27707" s="247"/>
    </row>
    <row r="27708">
      <c r="C27708" s="277"/>
      <c r="M27708" s="277"/>
      <c r="O27708" s="247"/>
      <c r="AC27708" s="247"/>
      <c r="AT27708" s="247"/>
    </row>
    <row r="27709">
      <c r="C27709" s="277"/>
      <c r="M27709" s="277"/>
      <c r="O27709" s="247"/>
      <c r="AC27709" s="247"/>
      <c r="AT27709" s="247"/>
    </row>
    <row r="27710">
      <c r="C27710" s="277"/>
      <c r="M27710" s="277"/>
      <c r="O27710" s="247"/>
      <c r="AC27710" s="247"/>
      <c r="AT27710" s="247"/>
    </row>
    <row r="27711">
      <c r="C27711" s="277"/>
      <c r="M27711" s="277"/>
      <c r="O27711" s="247"/>
      <c r="AC27711" s="247"/>
      <c r="AT27711" s="247"/>
    </row>
    <row r="27712">
      <c r="C27712" s="277"/>
      <c r="M27712" s="277"/>
      <c r="O27712" s="247"/>
      <c r="AC27712" s="247"/>
      <c r="AT27712" s="247"/>
    </row>
    <row r="27713">
      <c r="C27713" s="277"/>
      <c r="M27713" s="277"/>
      <c r="O27713" s="247"/>
      <c r="AC27713" s="247"/>
      <c r="AT27713" s="247"/>
    </row>
    <row r="27714">
      <c r="C27714" s="277"/>
      <c r="M27714" s="277"/>
      <c r="O27714" s="247"/>
      <c r="AC27714" s="247"/>
      <c r="AT27714" s="247"/>
    </row>
    <row r="27715">
      <c r="C27715" s="277"/>
      <c r="M27715" s="277"/>
      <c r="O27715" s="247"/>
      <c r="AC27715" s="247"/>
      <c r="AT27715" s="247"/>
    </row>
    <row r="27716">
      <c r="C27716" s="277"/>
      <c r="M27716" s="277"/>
      <c r="O27716" s="247"/>
      <c r="AC27716" s="247"/>
      <c r="AT27716" s="247"/>
    </row>
    <row r="27717">
      <c r="C27717" s="277"/>
      <c r="M27717" s="277"/>
      <c r="O27717" s="247"/>
      <c r="AC27717" s="247"/>
      <c r="AT27717" s="247"/>
    </row>
    <row r="27718">
      <c r="C27718" s="277"/>
      <c r="M27718" s="277"/>
      <c r="O27718" s="247"/>
      <c r="AC27718" s="247"/>
      <c r="AT27718" s="247"/>
    </row>
    <row r="27719">
      <c r="C27719" s="277"/>
      <c r="M27719" s="277"/>
      <c r="O27719" s="247"/>
      <c r="AC27719" s="247"/>
      <c r="AT27719" s="247"/>
    </row>
    <row r="27720">
      <c r="C27720" s="277"/>
      <c r="M27720" s="277"/>
      <c r="O27720" s="247"/>
      <c r="AC27720" s="247"/>
      <c r="AT27720" s="247"/>
    </row>
    <row r="27721">
      <c r="C27721" s="277"/>
      <c r="M27721" s="277"/>
      <c r="O27721" s="247"/>
      <c r="AC27721" s="247"/>
      <c r="AT27721" s="247"/>
    </row>
    <row r="27722">
      <c r="C27722" s="277"/>
      <c r="M27722" s="277"/>
      <c r="O27722" s="247"/>
      <c r="AC27722" s="247"/>
      <c r="AT27722" s="247"/>
    </row>
    <row r="27723">
      <c r="C27723" s="277"/>
      <c r="M27723" s="277"/>
      <c r="O27723" s="247"/>
      <c r="AC27723" s="247"/>
      <c r="AT27723" s="247"/>
    </row>
    <row r="27724">
      <c r="C27724" s="277"/>
      <c r="M27724" s="277"/>
      <c r="O27724" s="247"/>
      <c r="AC27724" s="247"/>
      <c r="AT27724" s="247"/>
    </row>
    <row r="27725">
      <c r="C27725" s="277"/>
      <c r="M27725" s="277"/>
      <c r="O27725" s="247"/>
      <c r="AC27725" s="247"/>
      <c r="AT27725" s="247"/>
    </row>
    <row r="27726">
      <c r="C27726" s="277"/>
      <c r="M27726" s="277"/>
      <c r="O27726" s="247"/>
      <c r="AC27726" s="247"/>
      <c r="AT27726" s="247"/>
    </row>
    <row r="27727">
      <c r="C27727" s="277"/>
      <c r="M27727" s="277"/>
      <c r="O27727" s="247"/>
      <c r="AC27727" s="247"/>
      <c r="AT27727" s="247"/>
    </row>
    <row r="27728">
      <c r="C27728" s="277"/>
      <c r="M27728" s="277"/>
      <c r="O27728" s="247"/>
      <c r="AC27728" s="247"/>
      <c r="AT27728" s="247"/>
    </row>
    <row r="27729">
      <c r="C27729" s="277"/>
      <c r="M27729" s="277"/>
      <c r="O27729" s="247"/>
      <c r="AC27729" s="247"/>
      <c r="AT27729" s="247"/>
    </row>
    <row r="27730">
      <c r="C27730" s="277"/>
      <c r="M27730" s="277"/>
      <c r="O27730" s="247"/>
      <c r="AC27730" s="247"/>
      <c r="AT27730" s="247"/>
    </row>
    <row r="27731">
      <c r="C27731" s="277"/>
      <c r="M27731" s="277"/>
      <c r="O27731" s="247"/>
      <c r="AC27731" s="247"/>
      <c r="AT27731" s="247"/>
    </row>
    <row r="27732">
      <c r="C27732" s="277"/>
      <c r="M27732" s="277"/>
      <c r="O27732" s="247"/>
      <c r="AC27732" s="247"/>
      <c r="AT27732" s="247"/>
    </row>
    <row r="27733">
      <c r="C27733" s="277"/>
      <c r="M27733" s="277"/>
      <c r="O27733" s="247"/>
      <c r="AC27733" s="247"/>
      <c r="AT27733" s="247"/>
    </row>
    <row r="27734">
      <c r="C27734" s="277"/>
      <c r="M27734" s="277"/>
      <c r="O27734" s="247"/>
      <c r="AC27734" s="247"/>
      <c r="AT27734" s="247"/>
    </row>
    <row r="27735">
      <c r="C27735" s="277"/>
      <c r="M27735" s="277"/>
      <c r="O27735" s="247"/>
      <c r="AC27735" s="247"/>
      <c r="AT27735" s="247"/>
    </row>
    <row r="27736">
      <c r="C27736" s="277"/>
      <c r="M27736" s="277"/>
      <c r="O27736" s="247"/>
      <c r="AC27736" s="247"/>
      <c r="AT27736" s="247"/>
    </row>
    <row r="27737">
      <c r="C27737" s="277"/>
      <c r="M27737" s="277"/>
      <c r="O27737" s="247"/>
      <c r="AC27737" s="247"/>
      <c r="AT27737" s="247"/>
    </row>
    <row r="27738">
      <c r="C27738" s="277"/>
      <c r="M27738" s="277"/>
      <c r="O27738" s="247"/>
      <c r="AC27738" s="247"/>
      <c r="AT27738" s="247"/>
    </row>
    <row r="27739">
      <c r="C27739" s="277"/>
      <c r="M27739" s="277"/>
      <c r="O27739" s="247"/>
      <c r="AC27739" s="247"/>
      <c r="AT27739" s="247"/>
    </row>
    <row r="27740">
      <c r="C27740" s="277"/>
      <c r="M27740" s="277"/>
      <c r="O27740" s="247"/>
      <c r="AC27740" s="247"/>
      <c r="AT27740" s="247"/>
    </row>
    <row r="27741">
      <c r="C27741" s="277"/>
      <c r="M27741" s="277"/>
      <c r="O27741" s="247"/>
      <c r="AC27741" s="247"/>
      <c r="AT27741" s="247"/>
    </row>
    <row r="27742">
      <c r="C27742" s="277"/>
      <c r="M27742" s="277"/>
      <c r="O27742" s="247"/>
      <c r="AC27742" s="247"/>
      <c r="AT27742" s="247"/>
    </row>
    <row r="27743">
      <c r="C27743" s="277"/>
      <c r="M27743" s="277"/>
      <c r="O27743" s="247"/>
      <c r="AC27743" s="247"/>
      <c r="AT27743" s="247"/>
    </row>
    <row r="27744">
      <c r="C27744" s="277"/>
      <c r="M27744" s="277"/>
      <c r="O27744" s="247"/>
      <c r="AC27744" s="247"/>
      <c r="AT27744" s="247"/>
    </row>
    <row r="27745">
      <c r="C27745" s="277"/>
      <c r="M27745" s="277"/>
      <c r="O27745" s="247"/>
      <c r="AC27745" s="247"/>
      <c r="AT27745" s="247"/>
    </row>
    <row r="27746">
      <c r="C27746" s="277"/>
      <c r="M27746" s="277"/>
      <c r="O27746" s="247"/>
      <c r="AC27746" s="247"/>
      <c r="AT27746" s="247"/>
    </row>
    <row r="27747">
      <c r="C27747" s="277"/>
      <c r="M27747" s="277"/>
      <c r="O27747" s="247"/>
      <c r="AC27747" s="247"/>
      <c r="AT27747" s="247"/>
    </row>
    <row r="27748">
      <c r="C27748" s="277"/>
      <c r="M27748" s="277"/>
      <c r="O27748" s="247"/>
      <c r="AC27748" s="247"/>
      <c r="AT27748" s="247"/>
    </row>
    <row r="27749">
      <c r="C27749" s="277"/>
      <c r="M27749" s="277"/>
      <c r="O27749" s="247"/>
      <c r="AC27749" s="247"/>
      <c r="AT27749" s="247"/>
    </row>
    <row r="27750">
      <c r="C27750" s="277"/>
      <c r="M27750" s="277"/>
      <c r="O27750" s="247"/>
      <c r="AC27750" s="247"/>
      <c r="AT27750" s="247"/>
    </row>
    <row r="27751">
      <c r="C27751" s="277"/>
      <c r="M27751" s="277"/>
      <c r="O27751" s="247"/>
      <c r="AC27751" s="247"/>
      <c r="AT27751" s="247"/>
    </row>
    <row r="27752">
      <c r="C27752" s="277"/>
      <c r="M27752" s="277"/>
      <c r="O27752" s="247"/>
      <c r="AC27752" s="247"/>
      <c r="AT27752" s="247"/>
    </row>
    <row r="27753">
      <c r="C27753" s="277"/>
      <c r="M27753" s="277"/>
      <c r="O27753" s="247"/>
      <c r="AC27753" s="247"/>
      <c r="AT27753" s="247"/>
    </row>
    <row r="27754">
      <c r="C27754" s="277"/>
      <c r="M27754" s="277"/>
      <c r="O27754" s="247"/>
      <c r="AC27754" s="247"/>
      <c r="AT27754" s="247"/>
    </row>
    <row r="27755">
      <c r="C27755" s="277"/>
      <c r="M27755" s="277"/>
      <c r="O27755" s="247"/>
      <c r="AC27755" s="247"/>
      <c r="AT27755" s="247"/>
    </row>
    <row r="27756">
      <c r="C27756" s="277"/>
      <c r="M27756" s="277"/>
      <c r="O27756" s="247"/>
      <c r="AC27756" s="247"/>
      <c r="AT27756" s="247"/>
    </row>
    <row r="27757">
      <c r="C27757" s="277"/>
      <c r="M27757" s="277"/>
      <c r="O27757" s="247"/>
      <c r="AC27757" s="247"/>
      <c r="AT27757" s="247"/>
    </row>
    <row r="27758">
      <c r="C27758" s="277"/>
      <c r="M27758" s="277"/>
      <c r="O27758" s="247"/>
      <c r="AC27758" s="247"/>
      <c r="AT27758" s="247"/>
    </row>
    <row r="27759">
      <c r="C27759" s="277"/>
      <c r="M27759" s="277"/>
      <c r="O27759" s="247"/>
      <c r="AC27759" s="247"/>
      <c r="AT27759" s="247"/>
    </row>
    <row r="27760">
      <c r="C27760" s="277"/>
      <c r="M27760" s="277"/>
      <c r="O27760" s="247"/>
      <c r="AC27760" s="247"/>
      <c r="AT27760" s="247"/>
    </row>
    <row r="27761">
      <c r="C27761" s="277"/>
      <c r="M27761" s="277"/>
      <c r="O27761" s="247"/>
      <c r="AC27761" s="247"/>
      <c r="AT27761" s="247"/>
    </row>
    <row r="27762">
      <c r="C27762" s="277"/>
      <c r="M27762" s="277"/>
      <c r="O27762" s="247"/>
      <c r="AC27762" s="247"/>
      <c r="AT27762" s="247"/>
    </row>
    <row r="27763">
      <c r="C27763" s="277"/>
      <c r="M27763" s="277"/>
      <c r="O27763" s="247"/>
      <c r="AC27763" s="247"/>
      <c r="AT27763" s="247"/>
    </row>
    <row r="27764">
      <c r="C27764" s="277"/>
      <c r="M27764" s="277"/>
      <c r="O27764" s="247"/>
      <c r="AC27764" s="247"/>
      <c r="AT27764" s="247"/>
    </row>
    <row r="27765">
      <c r="C27765" s="277"/>
      <c r="M27765" s="277"/>
      <c r="O27765" s="247"/>
      <c r="AC27765" s="247"/>
      <c r="AT27765" s="247"/>
    </row>
    <row r="27766">
      <c r="C27766" s="277"/>
      <c r="M27766" s="277"/>
      <c r="O27766" s="247"/>
      <c r="AC27766" s="247"/>
      <c r="AT27766" s="247"/>
    </row>
    <row r="27767">
      <c r="C27767" s="277"/>
      <c r="M27767" s="277"/>
      <c r="O27767" s="247"/>
      <c r="AC27767" s="247"/>
      <c r="AT27767" s="247"/>
    </row>
    <row r="27768">
      <c r="C27768" s="277"/>
      <c r="M27768" s="277"/>
      <c r="O27768" s="247"/>
      <c r="AC27768" s="247"/>
      <c r="AT27768" s="247"/>
    </row>
    <row r="27769">
      <c r="C27769" s="277"/>
      <c r="M27769" s="277"/>
      <c r="O27769" s="247"/>
      <c r="AC27769" s="247"/>
      <c r="AT27769" s="247"/>
    </row>
    <row r="27770">
      <c r="C27770" s="277"/>
      <c r="M27770" s="277"/>
      <c r="O27770" s="247"/>
      <c r="AC27770" s="247"/>
      <c r="AT27770" s="247"/>
    </row>
    <row r="27771">
      <c r="C27771" s="277"/>
      <c r="M27771" s="277"/>
      <c r="O27771" s="247"/>
      <c r="AC27771" s="247"/>
      <c r="AT27771" s="247"/>
    </row>
    <row r="27772">
      <c r="C27772" s="277"/>
      <c r="M27772" s="277"/>
      <c r="O27772" s="247"/>
      <c r="AC27772" s="247"/>
      <c r="AT27772" s="247"/>
    </row>
    <row r="27773">
      <c r="C27773" s="277"/>
      <c r="M27773" s="277"/>
      <c r="O27773" s="247"/>
      <c r="AC27773" s="247"/>
      <c r="AT27773" s="247"/>
    </row>
    <row r="27774">
      <c r="C27774" s="277"/>
      <c r="M27774" s="277"/>
      <c r="O27774" s="247"/>
      <c r="AC27774" s="247"/>
      <c r="AT27774" s="247"/>
    </row>
    <row r="27775">
      <c r="C27775" s="277"/>
      <c r="M27775" s="277"/>
      <c r="O27775" s="247"/>
      <c r="AC27775" s="247"/>
      <c r="AT27775" s="247"/>
    </row>
    <row r="27776">
      <c r="C27776" s="277"/>
      <c r="M27776" s="277"/>
      <c r="O27776" s="247"/>
      <c r="AC27776" s="247"/>
      <c r="AT27776" s="247"/>
    </row>
    <row r="27777">
      <c r="C27777" s="277"/>
      <c r="M27777" s="277"/>
      <c r="O27777" s="247"/>
      <c r="AC27777" s="247"/>
      <c r="AT27777" s="247"/>
    </row>
    <row r="27778">
      <c r="C27778" s="277"/>
      <c r="M27778" s="277"/>
      <c r="O27778" s="247"/>
      <c r="AC27778" s="247"/>
      <c r="AT27778" s="247"/>
    </row>
    <row r="27779">
      <c r="C27779" s="277"/>
      <c r="M27779" s="277"/>
      <c r="O27779" s="247"/>
      <c r="AC27779" s="247"/>
      <c r="AT27779" s="247"/>
    </row>
    <row r="27780">
      <c r="C27780" s="277"/>
      <c r="M27780" s="277"/>
      <c r="O27780" s="247"/>
      <c r="AC27780" s="247"/>
      <c r="AT27780" s="247"/>
    </row>
    <row r="27781">
      <c r="C27781" s="277"/>
      <c r="M27781" s="277"/>
      <c r="O27781" s="247"/>
      <c r="AC27781" s="247"/>
      <c r="AT27781" s="247"/>
    </row>
    <row r="27782">
      <c r="C27782" s="277"/>
      <c r="M27782" s="277"/>
      <c r="O27782" s="247"/>
      <c r="AC27782" s="247"/>
      <c r="AT27782" s="247"/>
    </row>
    <row r="27783">
      <c r="C27783" s="277"/>
      <c r="M27783" s="277"/>
      <c r="O27783" s="247"/>
      <c r="AC27783" s="247"/>
      <c r="AT27783" s="247"/>
    </row>
    <row r="27784">
      <c r="C27784" s="277"/>
      <c r="M27784" s="277"/>
      <c r="O27784" s="247"/>
      <c r="AC27784" s="247"/>
      <c r="AT27784" s="247"/>
    </row>
    <row r="27785">
      <c r="C27785" s="277"/>
      <c r="M27785" s="277"/>
      <c r="O27785" s="247"/>
      <c r="AC27785" s="247"/>
      <c r="AT27785" s="247"/>
    </row>
    <row r="27786">
      <c r="C27786" s="277"/>
      <c r="M27786" s="277"/>
      <c r="O27786" s="247"/>
      <c r="AC27786" s="247"/>
      <c r="AT27786" s="247"/>
    </row>
    <row r="27787">
      <c r="C27787" s="277"/>
      <c r="M27787" s="277"/>
      <c r="O27787" s="247"/>
      <c r="AC27787" s="247"/>
      <c r="AT27787" s="247"/>
    </row>
    <row r="27788">
      <c r="C27788" s="277"/>
      <c r="M27788" s="277"/>
      <c r="O27788" s="247"/>
      <c r="AC27788" s="247"/>
      <c r="AT27788" s="247"/>
    </row>
    <row r="27789">
      <c r="C27789" s="277"/>
      <c r="M27789" s="277"/>
      <c r="O27789" s="247"/>
      <c r="AC27789" s="247"/>
      <c r="AT27789" s="247"/>
    </row>
    <row r="27790">
      <c r="C27790" s="277"/>
      <c r="M27790" s="277"/>
      <c r="O27790" s="247"/>
      <c r="AC27790" s="247"/>
      <c r="AT27790" s="247"/>
    </row>
    <row r="27791">
      <c r="C27791" s="277"/>
      <c r="M27791" s="277"/>
      <c r="O27791" s="247"/>
      <c r="AC27791" s="247"/>
      <c r="AT27791" s="247"/>
    </row>
    <row r="27792">
      <c r="C27792" s="277"/>
      <c r="M27792" s="277"/>
      <c r="O27792" s="247"/>
      <c r="AC27792" s="247"/>
      <c r="AT27792" s="247"/>
    </row>
    <row r="27793">
      <c r="C27793" s="277"/>
      <c r="M27793" s="277"/>
      <c r="O27793" s="247"/>
      <c r="AC27793" s="247"/>
      <c r="AT27793" s="247"/>
    </row>
    <row r="27794">
      <c r="C27794" s="277"/>
      <c r="M27794" s="277"/>
      <c r="O27794" s="247"/>
      <c r="AC27794" s="247"/>
      <c r="AT27794" s="247"/>
    </row>
    <row r="27795">
      <c r="C27795" s="277"/>
      <c r="M27795" s="277"/>
      <c r="O27795" s="247"/>
      <c r="AC27795" s="247"/>
      <c r="AT27795" s="247"/>
    </row>
    <row r="27796">
      <c r="C27796" s="277"/>
      <c r="M27796" s="277"/>
      <c r="O27796" s="247"/>
      <c r="AC27796" s="247"/>
      <c r="AT27796" s="247"/>
    </row>
    <row r="27797">
      <c r="C27797" s="277"/>
      <c r="M27797" s="277"/>
      <c r="O27797" s="247"/>
      <c r="AC27797" s="247"/>
      <c r="AT27797" s="247"/>
    </row>
    <row r="27798">
      <c r="C27798" s="277"/>
      <c r="M27798" s="277"/>
      <c r="O27798" s="247"/>
      <c r="AC27798" s="247"/>
      <c r="AT27798" s="247"/>
    </row>
    <row r="27799">
      <c r="C27799" s="277"/>
      <c r="M27799" s="277"/>
      <c r="O27799" s="247"/>
      <c r="AC27799" s="247"/>
      <c r="AT27799" s="247"/>
    </row>
    <row r="27800">
      <c r="C27800" s="277"/>
      <c r="M27800" s="277"/>
      <c r="O27800" s="247"/>
      <c r="AC27800" s="247"/>
      <c r="AT27800" s="247"/>
    </row>
    <row r="27801">
      <c r="C27801" s="277"/>
      <c r="M27801" s="277"/>
      <c r="O27801" s="247"/>
      <c r="AC27801" s="247"/>
      <c r="AT27801" s="247"/>
    </row>
    <row r="27802">
      <c r="C27802" s="277"/>
      <c r="M27802" s="277"/>
      <c r="O27802" s="247"/>
      <c r="AC27802" s="247"/>
      <c r="AT27802" s="247"/>
    </row>
    <row r="27803">
      <c r="C27803" s="277"/>
      <c r="M27803" s="277"/>
      <c r="O27803" s="247"/>
      <c r="AC27803" s="247"/>
      <c r="AT27803" s="247"/>
    </row>
    <row r="27804">
      <c r="C27804" s="277"/>
      <c r="M27804" s="277"/>
      <c r="O27804" s="247"/>
      <c r="AC27804" s="247"/>
      <c r="AT27804" s="247"/>
    </row>
    <row r="27805">
      <c r="C27805" s="277"/>
      <c r="M27805" s="277"/>
      <c r="O27805" s="247"/>
      <c r="AC27805" s="247"/>
      <c r="AT27805" s="247"/>
    </row>
    <row r="27806">
      <c r="C27806" s="277"/>
      <c r="M27806" s="277"/>
      <c r="O27806" s="247"/>
      <c r="AC27806" s="247"/>
      <c r="AT27806" s="247"/>
    </row>
    <row r="27807">
      <c r="C27807" s="277"/>
      <c r="M27807" s="277"/>
      <c r="O27807" s="247"/>
      <c r="AC27807" s="247"/>
      <c r="AT27807" s="247"/>
    </row>
    <row r="27808">
      <c r="C27808" s="277"/>
      <c r="M27808" s="277"/>
      <c r="O27808" s="247"/>
      <c r="AC27808" s="247"/>
      <c r="AT27808" s="247"/>
    </row>
    <row r="27809">
      <c r="C27809" s="277"/>
      <c r="M27809" s="277"/>
      <c r="O27809" s="247"/>
      <c r="AC27809" s="247"/>
      <c r="AT27809" s="247"/>
    </row>
    <row r="27810">
      <c r="C27810" s="277"/>
      <c r="M27810" s="277"/>
      <c r="O27810" s="247"/>
      <c r="AC27810" s="247"/>
      <c r="AT27810" s="247"/>
    </row>
    <row r="27811">
      <c r="C27811" s="277"/>
      <c r="M27811" s="277"/>
      <c r="O27811" s="247"/>
      <c r="AC27811" s="247"/>
      <c r="AT27811" s="247"/>
    </row>
    <row r="27812">
      <c r="C27812" s="277"/>
      <c r="M27812" s="277"/>
      <c r="O27812" s="247"/>
      <c r="AC27812" s="247"/>
      <c r="AT27812" s="247"/>
    </row>
    <row r="27813">
      <c r="C27813" s="277"/>
      <c r="M27813" s="277"/>
      <c r="O27813" s="247"/>
      <c r="AC27813" s="247"/>
      <c r="AT27813" s="247"/>
    </row>
    <row r="27814">
      <c r="C27814" s="277"/>
      <c r="M27814" s="277"/>
      <c r="O27814" s="247"/>
      <c r="AC27814" s="247"/>
      <c r="AT27814" s="247"/>
    </row>
    <row r="27815">
      <c r="C27815" s="277"/>
      <c r="M27815" s="277"/>
      <c r="O27815" s="247"/>
      <c r="AC27815" s="247"/>
      <c r="AT27815" s="247"/>
    </row>
    <row r="27816">
      <c r="C27816" s="277"/>
      <c r="M27816" s="277"/>
      <c r="O27816" s="247"/>
      <c r="AC27816" s="247"/>
      <c r="AT27816" s="247"/>
    </row>
    <row r="27817">
      <c r="C27817" s="277"/>
      <c r="M27817" s="277"/>
      <c r="O27817" s="247"/>
      <c r="AC27817" s="247"/>
      <c r="AT27817" s="247"/>
    </row>
    <row r="27818">
      <c r="C27818" s="277"/>
      <c r="M27818" s="277"/>
      <c r="O27818" s="247"/>
      <c r="AC27818" s="247"/>
      <c r="AT27818" s="247"/>
    </row>
    <row r="27819">
      <c r="C27819" s="277"/>
      <c r="M27819" s="277"/>
      <c r="O27819" s="247"/>
      <c r="AC27819" s="247"/>
      <c r="AT27819" s="247"/>
    </row>
    <row r="27820">
      <c r="C27820" s="277"/>
      <c r="M27820" s="277"/>
      <c r="O27820" s="247"/>
      <c r="AC27820" s="247"/>
      <c r="AT27820" s="247"/>
    </row>
    <row r="27821">
      <c r="C27821" s="277"/>
      <c r="M27821" s="277"/>
      <c r="O27821" s="247"/>
      <c r="AC27821" s="247"/>
      <c r="AT27821" s="247"/>
    </row>
    <row r="27822">
      <c r="C27822" s="277"/>
      <c r="M27822" s="277"/>
      <c r="O27822" s="247"/>
      <c r="AC27822" s="247"/>
      <c r="AT27822" s="247"/>
    </row>
    <row r="27823">
      <c r="C27823" s="277"/>
      <c r="M27823" s="277"/>
      <c r="O27823" s="247"/>
      <c r="AC27823" s="247"/>
      <c r="AT27823" s="247"/>
    </row>
    <row r="27824">
      <c r="C27824" s="277"/>
      <c r="M27824" s="277"/>
      <c r="O27824" s="247"/>
      <c r="AC27824" s="247"/>
      <c r="AT27824" s="247"/>
    </row>
    <row r="27825">
      <c r="C27825" s="277"/>
      <c r="M27825" s="277"/>
      <c r="O27825" s="247"/>
      <c r="AC27825" s="247"/>
      <c r="AT27825" s="247"/>
    </row>
    <row r="27826">
      <c r="C27826" s="277"/>
      <c r="M27826" s="277"/>
      <c r="O27826" s="247"/>
      <c r="AC27826" s="247"/>
      <c r="AT27826" s="247"/>
    </row>
    <row r="27827">
      <c r="C27827" s="277"/>
      <c r="M27827" s="277"/>
      <c r="O27827" s="247"/>
      <c r="AC27827" s="247"/>
      <c r="AT27827" s="247"/>
    </row>
    <row r="27828">
      <c r="C27828" s="277"/>
      <c r="M27828" s="277"/>
      <c r="O27828" s="247"/>
      <c r="AC27828" s="247"/>
      <c r="AT27828" s="247"/>
    </row>
    <row r="27829">
      <c r="C27829" s="277"/>
      <c r="M27829" s="277"/>
      <c r="O27829" s="247"/>
      <c r="AC27829" s="247"/>
      <c r="AT27829" s="247"/>
    </row>
    <row r="27830">
      <c r="C27830" s="277"/>
      <c r="M27830" s="277"/>
      <c r="O27830" s="247"/>
      <c r="AC27830" s="247"/>
      <c r="AT27830" s="247"/>
    </row>
    <row r="27831">
      <c r="C27831" s="277"/>
      <c r="M27831" s="277"/>
      <c r="O27831" s="247"/>
      <c r="AC27831" s="247"/>
      <c r="AT27831" s="247"/>
    </row>
    <row r="27832">
      <c r="C27832" s="277"/>
      <c r="M27832" s="277"/>
      <c r="O27832" s="247"/>
      <c r="AC27832" s="247"/>
      <c r="AT27832" s="247"/>
    </row>
    <row r="27833">
      <c r="C27833" s="277"/>
      <c r="M27833" s="277"/>
      <c r="O27833" s="247"/>
      <c r="AC27833" s="247"/>
      <c r="AT27833" s="247"/>
    </row>
    <row r="27834">
      <c r="C27834" s="277"/>
      <c r="M27834" s="277"/>
      <c r="O27834" s="247"/>
      <c r="AC27834" s="247"/>
      <c r="AT27834" s="247"/>
    </row>
    <row r="27835">
      <c r="C27835" s="277"/>
      <c r="M27835" s="277"/>
      <c r="O27835" s="247"/>
      <c r="AC27835" s="247"/>
      <c r="AT27835" s="247"/>
    </row>
    <row r="27836">
      <c r="C27836" s="277"/>
      <c r="M27836" s="277"/>
      <c r="O27836" s="247"/>
      <c r="AC27836" s="247"/>
      <c r="AT27836" s="247"/>
    </row>
    <row r="27837">
      <c r="C27837" s="277"/>
      <c r="M27837" s="277"/>
      <c r="O27837" s="247"/>
      <c r="AC27837" s="247"/>
      <c r="AT27837" s="247"/>
    </row>
    <row r="27838">
      <c r="C27838" s="277"/>
      <c r="M27838" s="277"/>
      <c r="O27838" s="247"/>
      <c r="AC27838" s="247"/>
      <c r="AT27838" s="247"/>
    </row>
    <row r="27839">
      <c r="C27839" s="277"/>
      <c r="M27839" s="277"/>
      <c r="O27839" s="247"/>
      <c r="AC27839" s="247"/>
      <c r="AT27839" s="247"/>
    </row>
    <row r="27840">
      <c r="C27840" s="277"/>
      <c r="M27840" s="277"/>
      <c r="O27840" s="247"/>
      <c r="AC27840" s="247"/>
      <c r="AT27840" s="247"/>
    </row>
    <row r="27841">
      <c r="C27841" s="277"/>
      <c r="M27841" s="277"/>
      <c r="O27841" s="247"/>
      <c r="AC27841" s="247"/>
      <c r="AT27841" s="247"/>
    </row>
    <row r="27842">
      <c r="C27842" s="277"/>
      <c r="M27842" s="277"/>
      <c r="O27842" s="247"/>
      <c r="AC27842" s="247"/>
      <c r="AT27842" s="247"/>
    </row>
    <row r="27843">
      <c r="C27843" s="277"/>
      <c r="M27843" s="277"/>
      <c r="O27843" s="247"/>
      <c r="AC27843" s="247"/>
      <c r="AT27843" s="247"/>
    </row>
    <row r="27844">
      <c r="C27844" s="277"/>
      <c r="M27844" s="277"/>
      <c r="O27844" s="247"/>
      <c r="AC27844" s="247"/>
      <c r="AT27844" s="247"/>
    </row>
    <row r="27845">
      <c r="C27845" s="277"/>
      <c r="M27845" s="277"/>
      <c r="O27845" s="247"/>
      <c r="AC27845" s="247"/>
      <c r="AT27845" s="247"/>
    </row>
    <row r="27846">
      <c r="C27846" s="277"/>
      <c r="M27846" s="277"/>
      <c r="O27846" s="247"/>
      <c r="AC27846" s="247"/>
      <c r="AT27846" s="247"/>
    </row>
    <row r="27847">
      <c r="C27847" s="277"/>
      <c r="M27847" s="277"/>
      <c r="O27847" s="247"/>
      <c r="AC27847" s="247"/>
      <c r="AT27847" s="247"/>
    </row>
    <row r="27848">
      <c r="C27848" s="277"/>
      <c r="M27848" s="277"/>
      <c r="O27848" s="247"/>
      <c r="AC27848" s="247"/>
      <c r="AT27848" s="247"/>
    </row>
    <row r="27849">
      <c r="C27849" s="277"/>
      <c r="M27849" s="277"/>
      <c r="O27849" s="247"/>
      <c r="AC27849" s="247"/>
      <c r="AT27849" s="247"/>
    </row>
    <row r="27850">
      <c r="C27850" s="277"/>
      <c r="M27850" s="277"/>
      <c r="O27850" s="247"/>
      <c r="AC27850" s="247"/>
      <c r="AT27850" s="247"/>
    </row>
    <row r="27851">
      <c r="C27851" s="277"/>
      <c r="M27851" s="277"/>
      <c r="O27851" s="247"/>
      <c r="AC27851" s="247"/>
      <c r="AT27851" s="247"/>
    </row>
    <row r="27852">
      <c r="C27852" s="277"/>
      <c r="M27852" s="277"/>
      <c r="O27852" s="247"/>
      <c r="AC27852" s="247"/>
      <c r="AT27852" s="247"/>
    </row>
    <row r="27853">
      <c r="C27853" s="277"/>
      <c r="M27853" s="277"/>
      <c r="O27853" s="247"/>
      <c r="AC27853" s="247"/>
      <c r="AT27853" s="247"/>
    </row>
    <row r="27854">
      <c r="C27854" s="277"/>
      <c r="M27854" s="277"/>
      <c r="O27854" s="247"/>
      <c r="AC27854" s="247"/>
      <c r="AT27854" s="247"/>
    </row>
    <row r="27855">
      <c r="C27855" s="277"/>
      <c r="M27855" s="277"/>
      <c r="O27855" s="247"/>
      <c r="AC27855" s="247"/>
      <c r="AT27855" s="247"/>
    </row>
    <row r="27856">
      <c r="C27856" s="277"/>
      <c r="M27856" s="277"/>
      <c r="O27856" s="247"/>
      <c r="AC27856" s="247"/>
      <c r="AT27856" s="247"/>
    </row>
    <row r="27857">
      <c r="C27857" s="277"/>
      <c r="M27857" s="277"/>
      <c r="O27857" s="247"/>
      <c r="AC27857" s="247"/>
      <c r="AT27857" s="247"/>
    </row>
    <row r="27858">
      <c r="C27858" s="277"/>
      <c r="M27858" s="277"/>
      <c r="O27858" s="247"/>
      <c r="AC27858" s="247"/>
      <c r="AT27858" s="247"/>
    </row>
    <row r="27859">
      <c r="C27859" s="277"/>
      <c r="M27859" s="277"/>
      <c r="O27859" s="247"/>
      <c r="AC27859" s="247"/>
      <c r="AT27859" s="247"/>
    </row>
    <row r="27860">
      <c r="C27860" s="277"/>
      <c r="M27860" s="277"/>
      <c r="O27860" s="247"/>
      <c r="AC27860" s="247"/>
      <c r="AT27860" s="247"/>
    </row>
    <row r="27861">
      <c r="C27861" s="277"/>
      <c r="M27861" s="277"/>
      <c r="O27861" s="247"/>
      <c r="AC27861" s="247"/>
      <c r="AT27861" s="247"/>
    </row>
    <row r="27862">
      <c r="C27862" s="277"/>
      <c r="M27862" s="277"/>
      <c r="O27862" s="247"/>
      <c r="AC27862" s="247"/>
      <c r="AT27862" s="247"/>
    </row>
    <row r="27863">
      <c r="C27863" s="277"/>
      <c r="M27863" s="277"/>
      <c r="O27863" s="247"/>
      <c r="AC27863" s="247"/>
      <c r="AT27863" s="247"/>
    </row>
    <row r="27864">
      <c r="C27864" s="277"/>
      <c r="J27864" s="279"/>
      <c r="M27864" s="277"/>
      <c r="O27864" s="247"/>
      <c r="AC27864" s="247"/>
      <c r="AT27864" s="247"/>
    </row>
    <row r="27865">
      <c r="C27865" s="277"/>
      <c r="M27865" s="277"/>
      <c r="O27865" s="247"/>
      <c r="AC27865" s="247"/>
      <c r="AT27865" s="247"/>
    </row>
    <row r="27866">
      <c r="C27866" s="277"/>
      <c r="M27866" s="277"/>
      <c r="O27866" s="247"/>
      <c r="AC27866" s="247"/>
      <c r="AT27866" s="247"/>
    </row>
    <row r="27867">
      <c r="C27867" s="277"/>
      <c r="M27867" s="277"/>
      <c r="O27867" s="247"/>
      <c r="AC27867" s="247"/>
      <c r="AT27867" s="247"/>
    </row>
    <row r="27868">
      <c r="C27868" s="277"/>
      <c r="M27868" s="277"/>
      <c r="O27868" s="247"/>
      <c r="AC27868" s="247"/>
      <c r="AT27868" s="247"/>
    </row>
    <row r="27869">
      <c r="C27869" s="277"/>
      <c r="M27869" s="277"/>
      <c r="O27869" s="247"/>
      <c r="AC27869" s="247"/>
      <c r="AT27869" s="247"/>
    </row>
    <row r="27870">
      <c r="C27870" s="277"/>
      <c r="M27870" s="277"/>
      <c r="O27870" s="247"/>
      <c r="AC27870" s="247"/>
      <c r="AT27870" s="247"/>
    </row>
    <row r="27871">
      <c r="C27871" s="277"/>
      <c r="M27871" s="277"/>
      <c r="O27871" s="247"/>
      <c r="AC27871" s="247"/>
      <c r="AT27871" s="247"/>
    </row>
    <row r="27872">
      <c r="C27872" s="277"/>
      <c r="M27872" s="277"/>
      <c r="O27872" s="247"/>
      <c r="AC27872" s="247"/>
      <c r="AT27872" s="247"/>
    </row>
    <row r="27873">
      <c r="C27873" s="277"/>
      <c r="M27873" s="277"/>
      <c r="O27873" s="247"/>
      <c r="AC27873" s="247"/>
      <c r="AT27873" s="247"/>
    </row>
    <row r="27874">
      <c r="C27874" s="277"/>
      <c r="M27874" s="277"/>
      <c r="O27874" s="247"/>
      <c r="AC27874" s="247"/>
      <c r="AT27874" s="247"/>
    </row>
    <row r="27875">
      <c r="C27875" s="277"/>
      <c r="M27875" s="277"/>
      <c r="O27875" s="247"/>
      <c r="AC27875" s="247"/>
      <c r="AT27875" s="247"/>
    </row>
    <row r="27876">
      <c r="C27876" s="277"/>
      <c r="M27876" s="277"/>
      <c r="O27876" s="247"/>
      <c r="AC27876" s="247"/>
      <c r="AT27876" s="247"/>
    </row>
    <row r="27877">
      <c r="C27877" s="277"/>
      <c r="M27877" s="277"/>
      <c r="O27877" s="247"/>
      <c r="AC27877" s="247"/>
      <c r="AT27877" s="247"/>
    </row>
    <row r="27878">
      <c r="C27878" s="277"/>
      <c r="M27878" s="277"/>
      <c r="O27878" s="247"/>
      <c r="AC27878" s="247"/>
      <c r="AT27878" s="247"/>
    </row>
    <row r="27879">
      <c r="C27879" s="277"/>
      <c r="M27879" s="277"/>
      <c r="O27879" s="247"/>
      <c r="AC27879" s="247"/>
      <c r="AT27879" s="247"/>
    </row>
    <row r="27880">
      <c r="C27880" s="277"/>
      <c r="M27880" s="277"/>
      <c r="O27880" s="247"/>
      <c r="AC27880" s="247"/>
      <c r="AT27880" s="247"/>
    </row>
    <row r="27881">
      <c r="C27881" s="277"/>
      <c r="M27881" s="277"/>
      <c r="O27881" s="247"/>
      <c r="AC27881" s="247"/>
      <c r="AT27881" s="247"/>
    </row>
    <row r="27882">
      <c r="C27882" s="277"/>
      <c r="M27882" s="277"/>
      <c r="O27882" s="247"/>
      <c r="AC27882" s="247"/>
      <c r="AT27882" s="247"/>
    </row>
    <row r="27883">
      <c r="C27883" s="277"/>
      <c r="M27883" s="277"/>
      <c r="O27883" s="247"/>
      <c r="AC27883" s="247"/>
      <c r="AT27883" s="247"/>
    </row>
    <row r="27884">
      <c r="C27884" s="277"/>
      <c r="M27884" s="277"/>
      <c r="O27884" s="247"/>
      <c r="AC27884" s="247"/>
      <c r="AT27884" s="247"/>
    </row>
    <row r="27885">
      <c r="C27885" s="277"/>
      <c r="M27885" s="277"/>
      <c r="O27885" s="247"/>
      <c r="AC27885" s="247"/>
      <c r="AT27885" s="247"/>
    </row>
    <row r="27886">
      <c r="C27886" s="277"/>
      <c r="M27886" s="277"/>
      <c r="O27886" s="247"/>
      <c r="AC27886" s="247"/>
      <c r="AT27886" s="247"/>
    </row>
    <row r="27887">
      <c r="C27887" s="277"/>
      <c r="M27887" s="277"/>
      <c r="O27887" s="247"/>
      <c r="AC27887" s="247"/>
      <c r="AT27887" s="247"/>
    </row>
    <row r="27888">
      <c r="C27888" s="277"/>
      <c r="M27888" s="277"/>
      <c r="O27888" s="247"/>
      <c r="AC27888" s="247"/>
      <c r="AT27888" s="247"/>
    </row>
    <row r="27889">
      <c r="C27889" s="277"/>
      <c r="M27889" s="277"/>
      <c r="O27889" s="247"/>
      <c r="AC27889" s="247"/>
      <c r="AT27889" s="247"/>
    </row>
    <row r="27890">
      <c r="C27890" s="277"/>
      <c r="M27890" s="277"/>
      <c r="O27890" s="247"/>
      <c r="AC27890" s="247"/>
      <c r="AT27890" s="247"/>
    </row>
    <row r="27891">
      <c r="C27891" s="277"/>
      <c r="M27891" s="277"/>
      <c r="O27891" s="247"/>
      <c r="AC27891" s="247"/>
      <c r="AT27891" s="247"/>
    </row>
    <row r="27892">
      <c r="C27892" s="277"/>
      <c r="M27892" s="277"/>
      <c r="O27892" s="247"/>
      <c r="AC27892" s="247"/>
      <c r="AT27892" s="247"/>
    </row>
    <row r="27893">
      <c r="C27893" s="277"/>
      <c r="M27893" s="277"/>
      <c r="O27893" s="247"/>
      <c r="AC27893" s="247"/>
      <c r="AT27893" s="247"/>
    </row>
    <row r="27894">
      <c r="C27894" s="277"/>
      <c r="M27894" s="277"/>
      <c r="O27894" s="247"/>
      <c r="AC27894" s="247"/>
      <c r="AT27894" s="247"/>
    </row>
    <row r="27895">
      <c r="C27895" s="277"/>
      <c r="M27895" s="277"/>
      <c r="O27895" s="247"/>
      <c r="AC27895" s="247"/>
      <c r="AT27895" s="247"/>
    </row>
    <row r="27896">
      <c r="C27896" s="277"/>
      <c r="M27896" s="277"/>
      <c r="O27896" s="247"/>
      <c r="AC27896" s="247"/>
      <c r="AT27896" s="247"/>
    </row>
    <row r="27897">
      <c r="C27897" s="277"/>
      <c r="M27897" s="277"/>
      <c r="O27897" s="247"/>
      <c r="AC27897" s="247"/>
      <c r="AT27897" s="247"/>
    </row>
    <row r="27898">
      <c r="C27898" s="277"/>
      <c r="M27898" s="277"/>
      <c r="O27898" s="247"/>
      <c r="AC27898" s="247"/>
      <c r="AT27898" s="247"/>
    </row>
    <row r="27899">
      <c r="C27899" s="277"/>
      <c r="M27899" s="277"/>
      <c r="O27899" s="247"/>
      <c r="AC27899" s="247"/>
      <c r="AT27899" s="247"/>
    </row>
    <row r="27900">
      <c r="C27900" s="277"/>
      <c r="M27900" s="277"/>
      <c r="O27900" s="247"/>
      <c r="AC27900" s="247"/>
      <c r="AT27900" s="247"/>
    </row>
    <row r="27901">
      <c r="C27901" s="277"/>
      <c r="M27901" s="277"/>
      <c r="O27901" s="247"/>
      <c r="AC27901" s="247"/>
      <c r="AT27901" s="247"/>
    </row>
    <row r="27902">
      <c r="C27902" s="277"/>
      <c r="M27902" s="277"/>
      <c r="O27902" s="247"/>
      <c r="AC27902" s="247"/>
      <c r="AT27902" s="247"/>
    </row>
    <row r="27903">
      <c r="C27903" s="277"/>
      <c r="M27903" s="277"/>
      <c r="O27903" s="247"/>
      <c r="AC27903" s="247"/>
      <c r="AT27903" s="247"/>
    </row>
    <row r="27904">
      <c r="C27904" s="277"/>
      <c r="M27904" s="277"/>
      <c r="O27904" s="247"/>
      <c r="AC27904" s="247"/>
      <c r="AT27904" s="247"/>
    </row>
    <row r="27905">
      <c r="C27905" s="277"/>
      <c r="M27905" s="277"/>
      <c r="O27905" s="247"/>
      <c r="AC27905" s="247"/>
      <c r="AT27905" s="247"/>
    </row>
    <row r="27906">
      <c r="C27906" s="277"/>
      <c r="M27906" s="277"/>
      <c r="O27906" s="247"/>
      <c r="AC27906" s="247"/>
      <c r="AT27906" s="247"/>
    </row>
    <row r="27907">
      <c r="C27907" s="277"/>
      <c r="M27907" s="277"/>
      <c r="O27907" s="247"/>
      <c r="AC27907" s="247"/>
      <c r="AT27907" s="247"/>
    </row>
    <row r="27908">
      <c r="C27908" s="277"/>
      <c r="M27908" s="277"/>
      <c r="O27908" s="247"/>
      <c r="AC27908" s="247"/>
      <c r="AT27908" s="247"/>
    </row>
    <row r="27909">
      <c r="C27909" s="277"/>
      <c r="M27909" s="277"/>
      <c r="O27909" s="247"/>
      <c r="AC27909" s="247"/>
      <c r="AT27909" s="247"/>
    </row>
    <row r="27910">
      <c r="C27910" s="277"/>
      <c r="M27910" s="277"/>
      <c r="O27910" s="247"/>
      <c r="AC27910" s="247"/>
      <c r="AT27910" s="247"/>
    </row>
    <row r="27911">
      <c r="C27911" s="277"/>
      <c r="M27911" s="277"/>
      <c r="O27911" s="247"/>
      <c r="AC27911" s="247"/>
      <c r="AT27911" s="247"/>
    </row>
    <row r="27912">
      <c r="C27912" s="277"/>
      <c r="M27912" s="277"/>
      <c r="O27912" s="247"/>
      <c r="AC27912" s="247"/>
      <c r="AT27912" s="247"/>
    </row>
    <row r="27913">
      <c r="C27913" s="277"/>
      <c r="M27913" s="277"/>
      <c r="O27913" s="247"/>
      <c r="AC27913" s="247"/>
      <c r="AT27913" s="247"/>
    </row>
    <row r="27914">
      <c r="C27914" s="277"/>
      <c r="M27914" s="277"/>
      <c r="O27914" s="247"/>
      <c r="AC27914" s="247"/>
      <c r="AT27914" s="247"/>
    </row>
    <row r="27915">
      <c r="C27915" s="277"/>
      <c r="M27915" s="277"/>
      <c r="O27915" s="247"/>
      <c r="AC27915" s="247"/>
      <c r="AT27915" s="247"/>
    </row>
    <row r="27916">
      <c r="C27916" s="277"/>
      <c r="M27916" s="277"/>
      <c r="O27916" s="247"/>
      <c r="AC27916" s="247"/>
      <c r="AT27916" s="247"/>
    </row>
    <row r="27917">
      <c r="C27917" s="277"/>
      <c r="M27917" s="277"/>
      <c r="O27917" s="247"/>
      <c r="AC27917" s="247"/>
      <c r="AT27917" s="247"/>
    </row>
    <row r="27918">
      <c r="C27918" s="277"/>
      <c r="M27918" s="277"/>
      <c r="O27918" s="247"/>
      <c r="AC27918" s="247"/>
      <c r="AT27918" s="247"/>
    </row>
    <row r="27919">
      <c r="C27919" s="277"/>
      <c r="M27919" s="277"/>
      <c r="O27919" s="247"/>
      <c r="AC27919" s="247"/>
      <c r="AT27919" s="247"/>
    </row>
    <row r="27920">
      <c r="C27920" s="277"/>
      <c r="M27920" s="277"/>
      <c r="O27920" s="247"/>
      <c r="AC27920" s="247"/>
      <c r="AT27920" s="247"/>
    </row>
    <row r="27921">
      <c r="C27921" s="277"/>
      <c r="M27921" s="277"/>
      <c r="O27921" s="247"/>
      <c r="AC27921" s="247"/>
      <c r="AT27921" s="247"/>
    </row>
    <row r="27922">
      <c r="C27922" s="277"/>
      <c r="M27922" s="277"/>
      <c r="O27922" s="247"/>
      <c r="AC27922" s="247"/>
      <c r="AT27922" s="247"/>
    </row>
    <row r="27923">
      <c r="C27923" s="277"/>
      <c r="M27923" s="277"/>
      <c r="O27923" s="247"/>
      <c r="AC27923" s="247"/>
      <c r="AT27923" s="247"/>
    </row>
    <row r="27924">
      <c r="C27924" s="277"/>
      <c r="M27924" s="277"/>
      <c r="O27924" s="247"/>
      <c r="AC27924" s="247"/>
      <c r="AT27924" s="247"/>
    </row>
    <row r="27925">
      <c r="C27925" s="277"/>
      <c r="M27925" s="277"/>
      <c r="O27925" s="247"/>
      <c r="AC27925" s="247"/>
      <c r="AT27925" s="247"/>
    </row>
    <row r="27926">
      <c r="C27926" s="277"/>
      <c r="M27926" s="277"/>
      <c r="O27926" s="247"/>
      <c r="AC27926" s="247"/>
      <c r="AT27926" s="247"/>
    </row>
    <row r="27927">
      <c r="C27927" s="277"/>
      <c r="M27927" s="277"/>
      <c r="O27927" s="247"/>
      <c r="AC27927" s="247"/>
      <c r="AT27927" s="247"/>
    </row>
    <row r="27928">
      <c r="C27928" s="277"/>
      <c r="M27928" s="277"/>
      <c r="O27928" s="247"/>
      <c r="AC27928" s="247"/>
      <c r="AT27928" s="247"/>
    </row>
    <row r="27929">
      <c r="C27929" s="277"/>
      <c r="M27929" s="277"/>
      <c r="O27929" s="247"/>
      <c r="AC27929" s="247"/>
      <c r="AT27929" s="247"/>
    </row>
    <row r="27930">
      <c r="C27930" s="277"/>
      <c r="M27930" s="277"/>
      <c r="O27930" s="247"/>
      <c r="AC27930" s="247"/>
      <c r="AT27930" s="247"/>
    </row>
    <row r="27931">
      <c r="C27931" s="277"/>
      <c r="M27931" s="277"/>
      <c r="O27931" s="247"/>
      <c r="AC27931" s="247"/>
      <c r="AT27931" s="247"/>
    </row>
    <row r="27932">
      <c r="C27932" s="277"/>
      <c r="M27932" s="277"/>
      <c r="O27932" s="247"/>
      <c r="AC27932" s="247"/>
      <c r="AT27932" s="247"/>
    </row>
    <row r="27933">
      <c r="C27933" s="277"/>
      <c r="M27933" s="277"/>
      <c r="O27933" s="247"/>
      <c r="AC27933" s="247"/>
      <c r="AT27933" s="247"/>
    </row>
    <row r="27934">
      <c r="C27934" s="277"/>
      <c r="M27934" s="277"/>
      <c r="O27934" s="247"/>
      <c r="AC27934" s="247"/>
      <c r="AT27934" s="247"/>
    </row>
    <row r="27935">
      <c r="C27935" s="277"/>
      <c r="M27935" s="277"/>
      <c r="O27935" s="247"/>
      <c r="AC27935" s="247"/>
      <c r="AT27935" s="247"/>
    </row>
    <row r="27936">
      <c r="C27936" s="277"/>
      <c r="M27936" s="277"/>
      <c r="O27936" s="247"/>
      <c r="AC27936" s="247"/>
      <c r="AT27936" s="247"/>
    </row>
    <row r="27937">
      <c r="C27937" s="277"/>
      <c r="M27937" s="277"/>
      <c r="O27937" s="247"/>
      <c r="AC27937" s="247"/>
      <c r="AT27937" s="247"/>
    </row>
    <row r="27938">
      <c r="C27938" s="277"/>
      <c r="M27938" s="277"/>
      <c r="O27938" s="247"/>
      <c r="AC27938" s="247"/>
      <c r="AT27938" s="247"/>
    </row>
    <row r="27939">
      <c r="C27939" s="277"/>
      <c r="M27939" s="277"/>
      <c r="O27939" s="247"/>
      <c r="AC27939" s="247"/>
      <c r="AT27939" s="247"/>
    </row>
    <row r="27940">
      <c r="C27940" s="277"/>
      <c r="M27940" s="277"/>
      <c r="O27940" s="247"/>
      <c r="AC27940" s="247"/>
      <c r="AT27940" s="247"/>
    </row>
    <row r="27941">
      <c r="C27941" s="277"/>
      <c r="M27941" s="277"/>
      <c r="O27941" s="247"/>
      <c r="AC27941" s="247"/>
      <c r="AT27941" s="247"/>
    </row>
    <row r="27942">
      <c r="C27942" s="277"/>
      <c r="M27942" s="277"/>
      <c r="O27942" s="247"/>
      <c r="AC27942" s="247"/>
      <c r="AT27942" s="247"/>
    </row>
    <row r="27943">
      <c r="C27943" s="277"/>
      <c r="M27943" s="277"/>
      <c r="O27943" s="247"/>
      <c r="AC27943" s="247"/>
      <c r="AT27943" s="247"/>
    </row>
    <row r="27944">
      <c r="C27944" s="277"/>
      <c r="M27944" s="277"/>
      <c r="O27944" s="247"/>
      <c r="AC27944" s="247"/>
      <c r="AT27944" s="247"/>
    </row>
    <row r="27945">
      <c r="C27945" s="277"/>
      <c r="M27945" s="277"/>
      <c r="O27945" s="247"/>
      <c r="AC27945" s="247"/>
      <c r="AT27945" s="247"/>
    </row>
    <row r="27946">
      <c r="C27946" s="277"/>
      <c r="M27946" s="277"/>
      <c r="O27946" s="247"/>
      <c r="AC27946" s="247"/>
      <c r="AT27946" s="247"/>
    </row>
    <row r="27947">
      <c r="C27947" s="277"/>
      <c r="M27947" s="277"/>
      <c r="O27947" s="247"/>
      <c r="AC27947" s="247"/>
      <c r="AT27947" s="247"/>
    </row>
    <row r="27948">
      <c r="C27948" s="277"/>
      <c r="M27948" s="277"/>
      <c r="O27948" s="247"/>
      <c r="AC27948" s="247"/>
      <c r="AT27948" s="247"/>
    </row>
    <row r="27949">
      <c r="C27949" s="277"/>
      <c r="M27949" s="277"/>
      <c r="O27949" s="247"/>
      <c r="AC27949" s="247"/>
      <c r="AT27949" s="247"/>
    </row>
    <row r="27950">
      <c r="C27950" s="277"/>
      <c r="M27950" s="277"/>
      <c r="O27950" s="247"/>
      <c r="AC27950" s="247"/>
      <c r="AT27950" s="247"/>
    </row>
    <row r="27951">
      <c r="C27951" s="277"/>
      <c r="M27951" s="277"/>
      <c r="O27951" s="247"/>
      <c r="AC27951" s="247"/>
      <c r="AT27951" s="247"/>
    </row>
    <row r="27952">
      <c r="C27952" s="277"/>
      <c r="M27952" s="277"/>
      <c r="O27952" s="247"/>
      <c r="AC27952" s="247"/>
      <c r="AT27952" s="247"/>
    </row>
    <row r="27953">
      <c r="C27953" s="277"/>
      <c r="M27953" s="277"/>
      <c r="O27953" s="247"/>
      <c r="AC27953" s="247"/>
      <c r="AT27953" s="247"/>
    </row>
    <row r="27954">
      <c r="C27954" s="277"/>
      <c r="M27954" s="277"/>
      <c r="O27954" s="247"/>
      <c r="AC27954" s="247"/>
      <c r="AT27954" s="247"/>
    </row>
    <row r="27955">
      <c r="C27955" s="277"/>
      <c r="M27955" s="277"/>
      <c r="O27955" s="247"/>
      <c r="AC27955" s="247"/>
      <c r="AT27955" s="247"/>
    </row>
    <row r="27956">
      <c r="C27956" s="277"/>
      <c r="M27956" s="277"/>
      <c r="O27956" s="247"/>
      <c r="AC27956" s="247"/>
      <c r="AT27956" s="247"/>
    </row>
    <row r="27957">
      <c r="C27957" s="277"/>
      <c r="M27957" s="277"/>
      <c r="O27957" s="247"/>
      <c r="AC27957" s="247"/>
      <c r="AT27957" s="247"/>
    </row>
    <row r="27958">
      <c r="C27958" s="277"/>
      <c r="M27958" s="277"/>
      <c r="O27958" s="247"/>
      <c r="AC27958" s="247"/>
      <c r="AT27958" s="247"/>
    </row>
    <row r="27959">
      <c r="C27959" s="277"/>
      <c r="M27959" s="277"/>
      <c r="O27959" s="247"/>
      <c r="AC27959" s="247"/>
      <c r="AT27959" s="247"/>
    </row>
    <row r="27960">
      <c r="C27960" s="277"/>
      <c r="M27960" s="277"/>
      <c r="O27960" s="247"/>
      <c r="AC27960" s="247"/>
      <c r="AT27960" s="247"/>
    </row>
    <row r="27961">
      <c r="C27961" s="277"/>
      <c r="M27961" s="277"/>
      <c r="O27961" s="247"/>
      <c r="AC27961" s="247"/>
      <c r="AT27961" s="247"/>
    </row>
    <row r="27962">
      <c r="C27962" s="277"/>
      <c r="M27962" s="277"/>
      <c r="O27962" s="247"/>
      <c r="AC27962" s="247"/>
      <c r="AT27962" s="247"/>
    </row>
    <row r="27963">
      <c r="C27963" s="277"/>
      <c r="M27963" s="277"/>
      <c r="O27963" s="247"/>
      <c r="AC27963" s="247"/>
      <c r="AT27963" s="247"/>
    </row>
    <row r="27964">
      <c r="C27964" s="277"/>
      <c r="M27964" s="277"/>
      <c r="O27964" s="247"/>
      <c r="AC27964" s="247"/>
      <c r="AT27964" s="247"/>
    </row>
    <row r="27965">
      <c r="C27965" s="277"/>
      <c r="M27965" s="277"/>
      <c r="O27965" s="247"/>
      <c r="AC27965" s="247"/>
      <c r="AT27965" s="247"/>
    </row>
    <row r="27966">
      <c r="C27966" s="277"/>
      <c r="M27966" s="277"/>
      <c r="O27966" s="247"/>
      <c r="AC27966" s="247"/>
      <c r="AT27966" s="247"/>
    </row>
    <row r="27967">
      <c r="C27967" s="277"/>
      <c r="M27967" s="277"/>
      <c r="O27967" s="247"/>
      <c r="AC27967" s="247"/>
      <c r="AT27967" s="247"/>
    </row>
    <row r="27968">
      <c r="C27968" s="277"/>
      <c r="M27968" s="277"/>
      <c r="O27968" s="247"/>
      <c r="AC27968" s="247"/>
      <c r="AT27968" s="247"/>
    </row>
    <row r="27969">
      <c r="C27969" s="277"/>
      <c r="M27969" s="277"/>
      <c r="O27969" s="247"/>
      <c r="AC27969" s="247"/>
      <c r="AT27969" s="247"/>
    </row>
    <row r="27970">
      <c r="C27970" s="277"/>
      <c r="M27970" s="277"/>
      <c r="O27970" s="247"/>
      <c r="AC27970" s="247"/>
      <c r="AT27970" s="247"/>
    </row>
    <row r="27971">
      <c r="C27971" s="277"/>
      <c r="M27971" s="277"/>
      <c r="O27971" s="247"/>
      <c r="AC27971" s="247"/>
      <c r="AT27971" s="247"/>
    </row>
    <row r="27972">
      <c r="C27972" s="277"/>
      <c r="M27972" s="277"/>
      <c r="O27972" s="247"/>
      <c r="AC27972" s="247"/>
      <c r="AT27972" s="247"/>
    </row>
    <row r="27973">
      <c r="C27973" s="277"/>
      <c r="M27973" s="277"/>
      <c r="O27973" s="247"/>
      <c r="AC27973" s="247"/>
      <c r="AT27973" s="247"/>
    </row>
    <row r="27974">
      <c r="C27974" s="277"/>
      <c r="M27974" s="277"/>
      <c r="O27974" s="247"/>
      <c r="AC27974" s="247"/>
      <c r="AT27974" s="247"/>
    </row>
    <row r="27975">
      <c r="C27975" s="277"/>
      <c r="M27975" s="277"/>
      <c r="O27975" s="247"/>
      <c r="AC27975" s="247"/>
      <c r="AT27975" s="247"/>
    </row>
    <row r="27976">
      <c r="C27976" s="277"/>
      <c r="M27976" s="277"/>
      <c r="O27976" s="247"/>
      <c r="AC27976" s="247"/>
      <c r="AT27976" s="247"/>
    </row>
    <row r="27977">
      <c r="C27977" s="277"/>
      <c r="M27977" s="277"/>
      <c r="O27977" s="247"/>
      <c r="AC27977" s="247"/>
      <c r="AT27977" s="247"/>
    </row>
    <row r="27978">
      <c r="C27978" s="277"/>
      <c r="M27978" s="277"/>
      <c r="O27978" s="247"/>
      <c r="AC27978" s="247"/>
      <c r="AT27978" s="247"/>
    </row>
    <row r="27979">
      <c r="C27979" s="277"/>
      <c r="M27979" s="277"/>
      <c r="O27979" s="247"/>
      <c r="AC27979" s="247"/>
      <c r="AT27979" s="247"/>
    </row>
    <row r="27980">
      <c r="C27980" s="277"/>
      <c r="M27980" s="277"/>
      <c r="O27980" s="247"/>
      <c r="AC27980" s="247"/>
      <c r="AT27980" s="247"/>
    </row>
    <row r="27981">
      <c r="C27981" s="277"/>
      <c r="M27981" s="277"/>
      <c r="O27981" s="247"/>
      <c r="AC27981" s="247"/>
      <c r="AT27981" s="247"/>
    </row>
    <row r="27982">
      <c r="C27982" s="277"/>
      <c r="M27982" s="277"/>
      <c r="O27982" s="247"/>
      <c r="AC27982" s="247"/>
      <c r="AT27982" s="247"/>
    </row>
    <row r="27983">
      <c r="C27983" s="277"/>
      <c r="M27983" s="277"/>
      <c r="O27983" s="247"/>
      <c r="AC27983" s="247"/>
      <c r="AT27983" s="247"/>
    </row>
    <row r="27984">
      <c r="C27984" s="277"/>
      <c r="M27984" s="277"/>
      <c r="O27984" s="247"/>
      <c r="AC27984" s="247"/>
      <c r="AT27984" s="247"/>
    </row>
    <row r="27985">
      <c r="C27985" s="277"/>
      <c r="M27985" s="277"/>
      <c r="O27985" s="247"/>
      <c r="AC27985" s="247"/>
      <c r="AT27985" s="247"/>
    </row>
    <row r="27986">
      <c r="C27986" s="277"/>
      <c r="M27986" s="277"/>
      <c r="O27986" s="247"/>
      <c r="AC27986" s="247"/>
      <c r="AT27986" s="247"/>
    </row>
    <row r="27987">
      <c r="C27987" s="277"/>
      <c r="M27987" s="277"/>
      <c r="O27987" s="247"/>
      <c r="AC27987" s="247"/>
      <c r="AT27987" s="247"/>
    </row>
    <row r="27988">
      <c r="C27988" s="277"/>
      <c r="M27988" s="277"/>
      <c r="O27988" s="247"/>
      <c r="AC27988" s="247"/>
      <c r="AT27988" s="247"/>
    </row>
    <row r="27989">
      <c r="C27989" s="277"/>
      <c r="M27989" s="277"/>
      <c r="O27989" s="247"/>
      <c r="AC27989" s="247"/>
      <c r="AT27989" s="247"/>
    </row>
    <row r="27990">
      <c r="C27990" s="277"/>
      <c r="M27990" s="277"/>
      <c r="O27990" s="247"/>
      <c r="AC27990" s="247"/>
      <c r="AT27990" s="247"/>
    </row>
    <row r="27991">
      <c r="C27991" s="277"/>
      <c r="M27991" s="277"/>
      <c r="O27991" s="247"/>
      <c r="AC27991" s="247"/>
      <c r="AT27991" s="247"/>
    </row>
    <row r="27992">
      <c r="C27992" s="277"/>
      <c r="M27992" s="277"/>
      <c r="O27992" s="247"/>
      <c r="AC27992" s="247"/>
      <c r="AT27992" s="247"/>
    </row>
    <row r="27993">
      <c r="C27993" s="277"/>
      <c r="M27993" s="277"/>
      <c r="O27993" s="247"/>
      <c r="AC27993" s="247"/>
      <c r="AT27993" s="247"/>
    </row>
    <row r="27994">
      <c r="C27994" s="277"/>
      <c r="M27994" s="277"/>
      <c r="O27994" s="247"/>
      <c r="AC27994" s="247"/>
      <c r="AT27994" s="247"/>
    </row>
    <row r="27995">
      <c r="C27995" s="277"/>
      <c r="M27995" s="277"/>
      <c r="O27995" s="247"/>
      <c r="AC27995" s="247"/>
      <c r="AT27995" s="247"/>
    </row>
    <row r="27996">
      <c r="C27996" s="277"/>
      <c r="M27996" s="277"/>
      <c r="O27996" s="247"/>
      <c r="AC27996" s="247"/>
      <c r="AT27996" s="247"/>
    </row>
    <row r="27997">
      <c r="C27997" s="277"/>
      <c r="M27997" s="277"/>
      <c r="O27997" s="247"/>
      <c r="AC27997" s="247"/>
      <c r="AT27997" s="247"/>
    </row>
    <row r="27998">
      <c r="C27998" s="277"/>
      <c r="M27998" s="277"/>
      <c r="O27998" s="247"/>
      <c r="AC27998" s="247"/>
      <c r="AT27998" s="247"/>
    </row>
    <row r="27999">
      <c r="C27999" s="277"/>
      <c r="M27999" s="277"/>
      <c r="O27999" s="247"/>
      <c r="AC27999" s="247"/>
      <c r="AT27999" s="247"/>
    </row>
    <row r="28000">
      <c r="C28000" s="277"/>
      <c r="M28000" s="277"/>
      <c r="O28000" s="247"/>
      <c r="AC28000" s="247"/>
      <c r="AT28000" s="247"/>
    </row>
    <row r="28001">
      <c r="C28001" s="277"/>
      <c r="M28001" s="277"/>
      <c r="O28001" s="247"/>
      <c r="AC28001" s="247"/>
      <c r="AT28001" s="247"/>
    </row>
    <row r="28002">
      <c r="C28002" s="277"/>
      <c r="M28002" s="277"/>
      <c r="O28002" s="247"/>
      <c r="AC28002" s="247"/>
      <c r="AT28002" s="247"/>
    </row>
    <row r="28003">
      <c r="C28003" s="277"/>
      <c r="M28003" s="277"/>
      <c r="O28003" s="247"/>
      <c r="AC28003" s="247"/>
      <c r="AT28003" s="247"/>
    </row>
    <row r="28004">
      <c r="C28004" s="277"/>
      <c r="M28004" s="277"/>
      <c r="O28004" s="247"/>
      <c r="AC28004" s="247"/>
      <c r="AT28004" s="247"/>
    </row>
    <row r="28005">
      <c r="C28005" s="277"/>
      <c r="M28005" s="277"/>
      <c r="O28005" s="247"/>
      <c r="AC28005" s="247"/>
      <c r="AT28005" s="247"/>
    </row>
    <row r="28006">
      <c r="C28006" s="277"/>
      <c r="M28006" s="277"/>
      <c r="O28006" s="247"/>
      <c r="AC28006" s="247"/>
      <c r="AT28006" s="247"/>
    </row>
    <row r="28007">
      <c r="C28007" s="277"/>
      <c r="M28007" s="277"/>
      <c r="O28007" s="247"/>
      <c r="AC28007" s="247"/>
      <c r="AT28007" s="247"/>
    </row>
    <row r="28008">
      <c r="C28008" s="277"/>
      <c r="M28008" s="277"/>
      <c r="O28008" s="247"/>
      <c r="AC28008" s="247"/>
      <c r="AT28008" s="247"/>
    </row>
    <row r="28009">
      <c r="C28009" s="277"/>
      <c r="M28009" s="277"/>
      <c r="O28009" s="247"/>
      <c r="AC28009" s="247"/>
      <c r="AT28009" s="247"/>
    </row>
    <row r="28010">
      <c r="C28010" s="277"/>
      <c r="M28010" s="277"/>
      <c r="O28010" s="247"/>
      <c r="AC28010" s="247"/>
      <c r="AT28010" s="247"/>
    </row>
    <row r="28011">
      <c r="C28011" s="277"/>
      <c r="M28011" s="277"/>
      <c r="O28011" s="247"/>
      <c r="AC28011" s="247"/>
      <c r="AT28011" s="247"/>
    </row>
    <row r="28012">
      <c r="C28012" s="277"/>
      <c r="M28012" s="277"/>
      <c r="O28012" s="247"/>
      <c r="AC28012" s="247"/>
      <c r="AT28012" s="247"/>
    </row>
    <row r="28013">
      <c r="C28013" s="277"/>
      <c r="M28013" s="277"/>
      <c r="O28013" s="247"/>
      <c r="AC28013" s="247"/>
      <c r="AT28013" s="247"/>
    </row>
    <row r="28014">
      <c r="C28014" s="277"/>
      <c r="M28014" s="277"/>
      <c r="O28014" s="247"/>
      <c r="AC28014" s="247"/>
      <c r="AT28014" s="247"/>
    </row>
    <row r="28015">
      <c r="C28015" s="277"/>
      <c r="M28015" s="277"/>
      <c r="O28015" s="247"/>
      <c r="AC28015" s="247"/>
      <c r="AT28015" s="247"/>
    </row>
    <row r="28016">
      <c r="C28016" s="277"/>
      <c r="M28016" s="277"/>
      <c r="O28016" s="247"/>
      <c r="AC28016" s="247"/>
      <c r="AT28016" s="247"/>
    </row>
    <row r="28017">
      <c r="C28017" s="277"/>
      <c r="M28017" s="277"/>
      <c r="O28017" s="247"/>
      <c r="AC28017" s="247"/>
      <c r="AT28017" s="247"/>
    </row>
    <row r="28018">
      <c r="C28018" s="277"/>
      <c r="M28018" s="277"/>
      <c r="O28018" s="247"/>
      <c r="AC28018" s="247"/>
      <c r="AT28018" s="247"/>
    </row>
    <row r="28019">
      <c r="C28019" s="277"/>
      <c r="M28019" s="277"/>
      <c r="O28019" s="247"/>
      <c r="AC28019" s="247"/>
      <c r="AT28019" s="247"/>
    </row>
    <row r="28020">
      <c r="C28020" s="277"/>
      <c r="M28020" s="277"/>
      <c r="O28020" s="247"/>
      <c r="AC28020" s="247"/>
      <c r="AT28020" s="247"/>
    </row>
    <row r="28021">
      <c r="C28021" s="277"/>
      <c r="M28021" s="277"/>
      <c r="O28021" s="247"/>
      <c r="AC28021" s="247"/>
      <c r="AT28021" s="247"/>
    </row>
    <row r="28022">
      <c r="C28022" s="277"/>
      <c r="M28022" s="277"/>
      <c r="O28022" s="247"/>
      <c r="AC28022" s="247"/>
      <c r="AT28022" s="247"/>
    </row>
    <row r="28023">
      <c r="C28023" s="277"/>
      <c r="M28023" s="277"/>
      <c r="O28023" s="247"/>
      <c r="AC28023" s="247"/>
      <c r="AT28023" s="247"/>
    </row>
    <row r="28024">
      <c r="C28024" s="277"/>
      <c r="M28024" s="277"/>
      <c r="O28024" s="247"/>
      <c r="AC28024" s="247"/>
      <c r="AT28024" s="247"/>
    </row>
    <row r="28025">
      <c r="C28025" s="277"/>
      <c r="M28025" s="277"/>
      <c r="O28025" s="247"/>
      <c r="AC28025" s="247"/>
      <c r="AT28025" s="247"/>
    </row>
    <row r="28026">
      <c r="C28026" s="277"/>
      <c r="M28026" s="277"/>
      <c r="O28026" s="247"/>
      <c r="AC28026" s="247"/>
      <c r="AT28026" s="247"/>
    </row>
    <row r="28027">
      <c r="C28027" s="277"/>
      <c r="M28027" s="277"/>
      <c r="O28027" s="247"/>
      <c r="AC28027" s="247"/>
      <c r="AT28027" s="247"/>
    </row>
    <row r="28028">
      <c r="C28028" s="277"/>
      <c r="M28028" s="277"/>
      <c r="O28028" s="247"/>
      <c r="AC28028" s="247"/>
      <c r="AT28028" s="247"/>
    </row>
    <row r="28029">
      <c r="C28029" s="277"/>
      <c r="M28029" s="277"/>
      <c r="O28029" s="247"/>
      <c r="AC28029" s="247"/>
      <c r="AT28029" s="247"/>
    </row>
    <row r="28030">
      <c r="C28030" s="277"/>
      <c r="M28030" s="277"/>
      <c r="O28030" s="247"/>
      <c r="AC28030" s="247"/>
      <c r="AT28030" s="247"/>
    </row>
    <row r="28031">
      <c r="C28031" s="277"/>
      <c r="M28031" s="277"/>
      <c r="O28031" s="247"/>
      <c r="AC28031" s="247"/>
      <c r="AT28031" s="247"/>
    </row>
    <row r="28032">
      <c r="C28032" s="277"/>
      <c r="M28032" s="277"/>
      <c r="O28032" s="247"/>
      <c r="AC28032" s="247"/>
      <c r="AT28032" s="247"/>
    </row>
    <row r="28033">
      <c r="C28033" s="277"/>
      <c r="M28033" s="277"/>
      <c r="O28033" s="247"/>
      <c r="AC28033" s="247"/>
      <c r="AT28033" s="247"/>
    </row>
    <row r="28034">
      <c r="C28034" s="277"/>
      <c r="M28034" s="277"/>
      <c r="O28034" s="247"/>
      <c r="AC28034" s="247"/>
      <c r="AT28034" s="247"/>
    </row>
    <row r="28035">
      <c r="C28035" s="277"/>
      <c r="M28035" s="277"/>
      <c r="O28035" s="247"/>
      <c r="AC28035" s="247"/>
      <c r="AT28035" s="247"/>
    </row>
    <row r="28036">
      <c r="C28036" s="277"/>
      <c r="M28036" s="277"/>
      <c r="O28036" s="247"/>
      <c r="AC28036" s="247"/>
      <c r="AT28036" s="247"/>
    </row>
    <row r="28037">
      <c r="C28037" s="277"/>
      <c r="M28037" s="277"/>
      <c r="O28037" s="247"/>
      <c r="AC28037" s="247"/>
      <c r="AT28037" s="247"/>
    </row>
    <row r="28038">
      <c r="C28038" s="277"/>
      <c r="M28038" s="277"/>
      <c r="O28038" s="247"/>
      <c r="AC28038" s="247"/>
      <c r="AT28038" s="247"/>
    </row>
    <row r="28039">
      <c r="C28039" s="277"/>
      <c r="M28039" s="277"/>
      <c r="O28039" s="247"/>
      <c r="AC28039" s="247"/>
      <c r="AT28039" s="247"/>
    </row>
    <row r="28040">
      <c r="C28040" s="277"/>
      <c r="M28040" s="277"/>
      <c r="O28040" s="247"/>
      <c r="AC28040" s="247"/>
      <c r="AT28040" s="247"/>
    </row>
    <row r="28041">
      <c r="C28041" s="277"/>
      <c r="M28041" s="277"/>
      <c r="O28041" s="247"/>
      <c r="AC28041" s="247"/>
      <c r="AT28041" s="247"/>
    </row>
    <row r="28042">
      <c r="C28042" s="277"/>
      <c r="M28042" s="277"/>
      <c r="O28042" s="247"/>
      <c r="AC28042" s="247"/>
      <c r="AT28042" s="247"/>
    </row>
    <row r="28043">
      <c r="C28043" s="277"/>
      <c r="M28043" s="277"/>
      <c r="O28043" s="247"/>
      <c r="AC28043" s="247"/>
      <c r="AT28043" s="247"/>
    </row>
    <row r="28044">
      <c r="C28044" s="277"/>
      <c r="M28044" s="277"/>
      <c r="O28044" s="247"/>
      <c r="AC28044" s="247"/>
      <c r="AT28044" s="247"/>
    </row>
    <row r="28045">
      <c r="C28045" s="277"/>
      <c r="M28045" s="277"/>
      <c r="O28045" s="247"/>
      <c r="AC28045" s="247"/>
      <c r="AT28045" s="247"/>
    </row>
    <row r="28046">
      <c r="C28046" s="277"/>
      <c r="M28046" s="277"/>
      <c r="O28046" s="247"/>
      <c r="AC28046" s="247"/>
      <c r="AT28046" s="247"/>
    </row>
    <row r="28047">
      <c r="C28047" s="277"/>
      <c r="M28047" s="277"/>
      <c r="O28047" s="247"/>
      <c r="AC28047" s="247"/>
      <c r="AT28047" s="247"/>
    </row>
    <row r="28048">
      <c r="C28048" s="277"/>
      <c r="M28048" s="277"/>
      <c r="O28048" s="247"/>
      <c r="AC28048" s="247"/>
      <c r="AT28048" s="247"/>
    </row>
    <row r="28049">
      <c r="C28049" s="277"/>
      <c r="M28049" s="277"/>
      <c r="O28049" s="247"/>
      <c r="AC28049" s="247"/>
      <c r="AT28049" s="247"/>
    </row>
    <row r="28050">
      <c r="C28050" s="277"/>
      <c r="M28050" s="277"/>
      <c r="O28050" s="247"/>
      <c r="AC28050" s="247"/>
      <c r="AT28050" s="247"/>
    </row>
    <row r="28051">
      <c r="C28051" s="277"/>
      <c r="M28051" s="277"/>
      <c r="O28051" s="247"/>
      <c r="AC28051" s="247"/>
      <c r="AT28051" s="247"/>
    </row>
    <row r="28052">
      <c r="C28052" s="277"/>
      <c r="M28052" s="277"/>
      <c r="O28052" s="247"/>
      <c r="AC28052" s="247"/>
      <c r="AT28052" s="247"/>
    </row>
    <row r="28053">
      <c r="C28053" s="277"/>
      <c r="M28053" s="277"/>
      <c r="O28053" s="247"/>
      <c r="AC28053" s="247"/>
      <c r="AT28053" s="247"/>
    </row>
    <row r="28054">
      <c r="C28054" s="277"/>
      <c r="M28054" s="277"/>
      <c r="O28054" s="247"/>
      <c r="AC28054" s="247"/>
      <c r="AT28054" s="247"/>
    </row>
    <row r="28055">
      <c r="C28055" s="277"/>
      <c r="M28055" s="277"/>
      <c r="O28055" s="247"/>
      <c r="AC28055" s="247"/>
      <c r="AT28055" s="247"/>
    </row>
    <row r="28056">
      <c r="C28056" s="277"/>
      <c r="M28056" s="277"/>
      <c r="O28056" s="247"/>
      <c r="AC28056" s="247"/>
      <c r="AT28056" s="247"/>
    </row>
    <row r="28057">
      <c r="C28057" s="277"/>
      <c r="M28057" s="277"/>
      <c r="O28057" s="247"/>
      <c r="AC28057" s="247"/>
      <c r="AT28057" s="247"/>
    </row>
    <row r="28058">
      <c r="C28058" s="277"/>
      <c r="M28058" s="277"/>
      <c r="O28058" s="247"/>
      <c r="AC28058" s="247"/>
      <c r="AT28058" s="247"/>
    </row>
    <row r="28059">
      <c r="C28059" s="277"/>
      <c r="M28059" s="277"/>
      <c r="O28059" s="247"/>
      <c r="AC28059" s="247"/>
      <c r="AT28059" s="247"/>
    </row>
    <row r="28060">
      <c r="C28060" s="277"/>
      <c r="M28060" s="277"/>
      <c r="O28060" s="247"/>
      <c r="AC28060" s="247"/>
      <c r="AT28060" s="247"/>
    </row>
    <row r="28061">
      <c r="C28061" s="277"/>
      <c r="M28061" s="277"/>
      <c r="O28061" s="247"/>
      <c r="AC28061" s="247"/>
      <c r="AT28061" s="247"/>
    </row>
    <row r="28062">
      <c r="C28062" s="277"/>
      <c r="M28062" s="277"/>
      <c r="O28062" s="247"/>
      <c r="AC28062" s="247"/>
      <c r="AT28062" s="247"/>
    </row>
    <row r="28063">
      <c r="C28063" s="277"/>
      <c r="M28063" s="277"/>
      <c r="O28063" s="247"/>
      <c r="AC28063" s="247"/>
      <c r="AT28063" s="247"/>
    </row>
    <row r="28064">
      <c r="C28064" s="277"/>
      <c r="M28064" s="277"/>
      <c r="O28064" s="247"/>
      <c r="AC28064" s="247"/>
      <c r="AT28064" s="247"/>
    </row>
    <row r="28065">
      <c r="C28065" s="277"/>
      <c r="M28065" s="277"/>
      <c r="O28065" s="247"/>
      <c r="AC28065" s="247"/>
      <c r="AT28065" s="247"/>
    </row>
    <row r="28066">
      <c r="C28066" s="277"/>
      <c r="M28066" s="277"/>
      <c r="O28066" s="247"/>
      <c r="AC28066" s="247"/>
      <c r="AT28066" s="247"/>
    </row>
    <row r="28067">
      <c r="C28067" s="277"/>
      <c r="M28067" s="277"/>
      <c r="O28067" s="247"/>
      <c r="AC28067" s="247"/>
      <c r="AT28067" s="247"/>
    </row>
    <row r="28068">
      <c r="C28068" s="277"/>
      <c r="M28068" s="277"/>
      <c r="O28068" s="247"/>
      <c r="AC28068" s="247"/>
      <c r="AT28068" s="247"/>
    </row>
    <row r="28069">
      <c r="C28069" s="277"/>
      <c r="M28069" s="277"/>
      <c r="O28069" s="247"/>
      <c r="AC28069" s="247"/>
      <c r="AT28069" s="247"/>
    </row>
    <row r="28070">
      <c r="C28070" s="277"/>
      <c r="M28070" s="277"/>
      <c r="O28070" s="247"/>
      <c r="AC28070" s="247"/>
      <c r="AT28070" s="247"/>
    </row>
    <row r="28071">
      <c r="C28071" s="277"/>
      <c r="M28071" s="277"/>
      <c r="O28071" s="247"/>
      <c r="AC28071" s="247"/>
      <c r="AT28071" s="247"/>
    </row>
    <row r="28072">
      <c r="C28072" s="277"/>
      <c r="M28072" s="277"/>
      <c r="O28072" s="247"/>
      <c r="AC28072" s="247"/>
      <c r="AT28072" s="247"/>
    </row>
    <row r="28073">
      <c r="C28073" s="277"/>
      <c r="M28073" s="277"/>
      <c r="O28073" s="247"/>
      <c r="AC28073" s="247"/>
      <c r="AT28073" s="247"/>
    </row>
    <row r="28074">
      <c r="C28074" s="277"/>
      <c r="M28074" s="277"/>
      <c r="O28074" s="247"/>
      <c r="AC28074" s="247"/>
      <c r="AT28074" s="247"/>
    </row>
    <row r="28075">
      <c r="C28075" s="277"/>
      <c r="M28075" s="277"/>
      <c r="O28075" s="247"/>
      <c r="AC28075" s="247"/>
      <c r="AT28075" s="247"/>
    </row>
    <row r="28076">
      <c r="C28076" s="277"/>
      <c r="M28076" s="277"/>
      <c r="O28076" s="247"/>
      <c r="AC28076" s="247"/>
      <c r="AT28076" s="247"/>
    </row>
    <row r="28077">
      <c r="C28077" s="277"/>
      <c r="M28077" s="277"/>
      <c r="O28077" s="247"/>
      <c r="AC28077" s="247"/>
      <c r="AT28077" s="247"/>
    </row>
    <row r="28078">
      <c r="C28078" s="277"/>
      <c r="M28078" s="277"/>
      <c r="O28078" s="247"/>
      <c r="AC28078" s="247"/>
      <c r="AT28078" s="247"/>
    </row>
    <row r="28079">
      <c r="C28079" s="277"/>
      <c r="M28079" s="277"/>
      <c r="O28079" s="247"/>
      <c r="AC28079" s="247"/>
      <c r="AT28079" s="247"/>
    </row>
    <row r="28080">
      <c r="C28080" s="277"/>
      <c r="M28080" s="277"/>
      <c r="O28080" s="247"/>
      <c r="AC28080" s="247"/>
      <c r="AT28080" s="247"/>
    </row>
    <row r="28081">
      <c r="C28081" s="277"/>
      <c r="M28081" s="277"/>
      <c r="O28081" s="247"/>
      <c r="AC28081" s="247"/>
      <c r="AT28081" s="247"/>
    </row>
    <row r="28082">
      <c r="C28082" s="277"/>
      <c r="M28082" s="277"/>
      <c r="O28082" s="247"/>
      <c r="AC28082" s="247"/>
      <c r="AT28082" s="247"/>
    </row>
    <row r="28083">
      <c r="C28083" s="277"/>
      <c r="M28083" s="277"/>
      <c r="O28083" s="247"/>
      <c r="AC28083" s="247"/>
      <c r="AT28083" s="247"/>
    </row>
    <row r="28084">
      <c r="C28084" s="277"/>
      <c r="M28084" s="277"/>
      <c r="O28084" s="247"/>
      <c r="AC28084" s="247"/>
      <c r="AT28084" s="247"/>
    </row>
    <row r="28085">
      <c r="C28085" s="277"/>
      <c r="M28085" s="277"/>
      <c r="O28085" s="247"/>
      <c r="AC28085" s="247"/>
      <c r="AT28085" s="247"/>
    </row>
    <row r="28086">
      <c r="C28086" s="277"/>
      <c r="M28086" s="277"/>
      <c r="O28086" s="247"/>
      <c r="AC28086" s="247"/>
      <c r="AT28086" s="247"/>
    </row>
    <row r="28087">
      <c r="C28087" s="277"/>
      <c r="M28087" s="277"/>
      <c r="O28087" s="247"/>
      <c r="AC28087" s="247"/>
      <c r="AT28087" s="247"/>
    </row>
    <row r="28088">
      <c r="C28088" s="277"/>
      <c r="M28088" s="277"/>
      <c r="O28088" s="247"/>
      <c r="AC28088" s="247"/>
      <c r="AT28088" s="247"/>
    </row>
    <row r="28089">
      <c r="C28089" s="277"/>
      <c r="M28089" s="277"/>
      <c r="O28089" s="247"/>
      <c r="AC28089" s="247"/>
      <c r="AT28089" s="247"/>
    </row>
    <row r="28090">
      <c r="C28090" s="277"/>
      <c r="M28090" s="277"/>
      <c r="O28090" s="247"/>
      <c r="AC28090" s="247"/>
      <c r="AT28090" s="247"/>
    </row>
    <row r="28091">
      <c r="C28091" s="277"/>
      <c r="M28091" s="277"/>
      <c r="O28091" s="247"/>
      <c r="AC28091" s="247"/>
      <c r="AT28091" s="247"/>
    </row>
    <row r="28092">
      <c r="C28092" s="277"/>
      <c r="M28092" s="277"/>
      <c r="O28092" s="247"/>
      <c r="AC28092" s="247"/>
      <c r="AT28092" s="247"/>
    </row>
    <row r="28093">
      <c r="C28093" s="277"/>
      <c r="M28093" s="277"/>
      <c r="O28093" s="247"/>
      <c r="AC28093" s="247"/>
      <c r="AT28093" s="247"/>
    </row>
    <row r="28094">
      <c r="C28094" s="277"/>
      <c r="M28094" s="277"/>
      <c r="O28094" s="247"/>
      <c r="AC28094" s="247"/>
      <c r="AT28094" s="247"/>
    </row>
    <row r="28095">
      <c r="C28095" s="277"/>
      <c r="M28095" s="277"/>
      <c r="O28095" s="247"/>
      <c r="AC28095" s="247"/>
      <c r="AT28095" s="247"/>
    </row>
    <row r="28096">
      <c r="C28096" s="277"/>
      <c r="M28096" s="277"/>
      <c r="O28096" s="247"/>
      <c r="AC28096" s="247"/>
      <c r="AT28096" s="247"/>
    </row>
    <row r="28097">
      <c r="C28097" s="277"/>
      <c r="M28097" s="277"/>
      <c r="O28097" s="247"/>
      <c r="AC28097" s="247"/>
      <c r="AT28097" s="247"/>
    </row>
    <row r="28098">
      <c r="C28098" s="277"/>
      <c r="M28098" s="277"/>
      <c r="O28098" s="247"/>
      <c r="AC28098" s="247"/>
      <c r="AT28098" s="247"/>
    </row>
    <row r="28099">
      <c r="C28099" s="277"/>
      <c r="M28099" s="277"/>
      <c r="O28099" s="247"/>
      <c r="AC28099" s="247"/>
      <c r="AT28099" s="247"/>
    </row>
    <row r="28100">
      <c r="C28100" s="277"/>
      <c r="M28100" s="277"/>
      <c r="O28100" s="247"/>
      <c r="AC28100" s="247"/>
      <c r="AT28100" s="247"/>
    </row>
    <row r="28101">
      <c r="C28101" s="277"/>
      <c r="M28101" s="277"/>
      <c r="O28101" s="247"/>
      <c r="AC28101" s="247"/>
      <c r="AT28101" s="247"/>
    </row>
    <row r="28102">
      <c r="C28102" s="277"/>
      <c r="M28102" s="277"/>
      <c r="O28102" s="247"/>
      <c r="AC28102" s="247"/>
      <c r="AT28102" s="247"/>
    </row>
    <row r="28103">
      <c r="C28103" s="277"/>
      <c r="M28103" s="277"/>
      <c r="O28103" s="247"/>
      <c r="AC28103" s="247"/>
      <c r="AT28103" s="247"/>
    </row>
    <row r="28104">
      <c r="C28104" s="277"/>
      <c r="M28104" s="277"/>
      <c r="O28104" s="247"/>
      <c r="AC28104" s="247"/>
      <c r="AT28104" s="247"/>
    </row>
    <row r="28105">
      <c r="C28105" s="277"/>
      <c r="M28105" s="277"/>
      <c r="O28105" s="247"/>
      <c r="AC28105" s="247"/>
      <c r="AT28105" s="247"/>
    </row>
    <row r="28106">
      <c r="C28106" s="277"/>
      <c r="M28106" s="277"/>
      <c r="O28106" s="247"/>
      <c r="AC28106" s="247"/>
      <c r="AT28106" s="247"/>
    </row>
    <row r="28107">
      <c r="C28107" s="277"/>
      <c r="M28107" s="277"/>
      <c r="O28107" s="247"/>
      <c r="AC28107" s="247"/>
      <c r="AT28107" s="247"/>
    </row>
    <row r="28108">
      <c r="C28108" s="277"/>
      <c r="M28108" s="277"/>
      <c r="O28108" s="247"/>
      <c r="AC28108" s="247"/>
      <c r="AT28108" s="247"/>
    </row>
    <row r="28109">
      <c r="C28109" s="277"/>
      <c r="M28109" s="277"/>
      <c r="O28109" s="247"/>
      <c r="AC28109" s="247"/>
      <c r="AT28109" s="247"/>
    </row>
    <row r="28110">
      <c r="C28110" s="277"/>
      <c r="M28110" s="277"/>
      <c r="O28110" s="247"/>
      <c r="AC28110" s="247"/>
      <c r="AT28110" s="247"/>
    </row>
    <row r="28111">
      <c r="C28111" s="277"/>
      <c r="M28111" s="277"/>
      <c r="O28111" s="247"/>
      <c r="AC28111" s="247"/>
      <c r="AT28111" s="247"/>
    </row>
    <row r="28112">
      <c r="C28112" s="277"/>
      <c r="M28112" s="277"/>
      <c r="O28112" s="247"/>
      <c r="AC28112" s="247"/>
      <c r="AT28112" s="247"/>
    </row>
    <row r="28113">
      <c r="C28113" s="277"/>
      <c r="M28113" s="277"/>
      <c r="O28113" s="247"/>
      <c r="AC28113" s="247"/>
      <c r="AT28113" s="247"/>
    </row>
    <row r="28114">
      <c r="C28114" s="277"/>
      <c r="M28114" s="277"/>
      <c r="O28114" s="247"/>
      <c r="AC28114" s="247"/>
      <c r="AT28114" s="247"/>
    </row>
    <row r="28115">
      <c r="C28115" s="277"/>
      <c r="M28115" s="277"/>
      <c r="O28115" s="247"/>
      <c r="AC28115" s="247"/>
      <c r="AT28115" s="247"/>
    </row>
    <row r="28116">
      <c r="C28116" s="277"/>
      <c r="M28116" s="277"/>
      <c r="O28116" s="247"/>
      <c r="AC28116" s="247"/>
      <c r="AT28116" s="247"/>
    </row>
    <row r="28117">
      <c r="C28117" s="277"/>
      <c r="M28117" s="277"/>
      <c r="O28117" s="247"/>
      <c r="AC28117" s="247"/>
      <c r="AT28117" s="247"/>
    </row>
    <row r="28118">
      <c r="C28118" s="277"/>
      <c r="M28118" s="277"/>
      <c r="O28118" s="247"/>
      <c r="AC28118" s="247"/>
      <c r="AT28118" s="247"/>
    </row>
    <row r="28119">
      <c r="C28119" s="277"/>
      <c r="M28119" s="277"/>
      <c r="O28119" s="247"/>
      <c r="AC28119" s="247"/>
      <c r="AT28119" s="247"/>
    </row>
    <row r="28120">
      <c r="C28120" s="277"/>
      <c r="M28120" s="277"/>
      <c r="O28120" s="247"/>
      <c r="AC28120" s="247"/>
      <c r="AT28120" s="247"/>
    </row>
    <row r="28121">
      <c r="C28121" s="277"/>
      <c r="M28121" s="277"/>
      <c r="O28121" s="247"/>
      <c r="AC28121" s="247"/>
      <c r="AT28121" s="247"/>
    </row>
    <row r="28122">
      <c r="C28122" s="277"/>
      <c r="M28122" s="277"/>
      <c r="O28122" s="247"/>
      <c r="AC28122" s="247"/>
      <c r="AT28122" s="247"/>
    </row>
    <row r="28123">
      <c r="C28123" s="277"/>
      <c r="M28123" s="277"/>
      <c r="O28123" s="247"/>
      <c r="AC28123" s="247"/>
      <c r="AT28123" s="247"/>
    </row>
    <row r="28124">
      <c r="C28124" s="277"/>
      <c r="M28124" s="277"/>
      <c r="O28124" s="247"/>
      <c r="AC28124" s="247"/>
      <c r="AT28124" s="247"/>
    </row>
    <row r="28125">
      <c r="C28125" s="277"/>
      <c r="M28125" s="277"/>
      <c r="O28125" s="247"/>
      <c r="AC28125" s="247"/>
      <c r="AT28125" s="247"/>
    </row>
    <row r="28126">
      <c r="C28126" s="277"/>
      <c r="M28126" s="277"/>
      <c r="O28126" s="247"/>
      <c r="AC28126" s="247"/>
      <c r="AT28126" s="247"/>
    </row>
    <row r="28127">
      <c r="C28127" s="277"/>
      <c r="M28127" s="277"/>
      <c r="O28127" s="247"/>
      <c r="AC28127" s="247"/>
      <c r="AT28127" s="247"/>
    </row>
    <row r="28128">
      <c r="C28128" s="277"/>
      <c r="M28128" s="277"/>
      <c r="O28128" s="247"/>
      <c r="AC28128" s="247"/>
      <c r="AT28128" s="247"/>
    </row>
    <row r="28129">
      <c r="C28129" s="277"/>
      <c r="M28129" s="277"/>
      <c r="O28129" s="247"/>
      <c r="AC28129" s="247"/>
      <c r="AT28129" s="247"/>
    </row>
    <row r="28130">
      <c r="C28130" s="277"/>
      <c r="M28130" s="277"/>
      <c r="O28130" s="247"/>
      <c r="AC28130" s="247"/>
      <c r="AT28130" s="247"/>
    </row>
    <row r="28131">
      <c r="C28131" s="277"/>
      <c r="M28131" s="277"/>
      <c r="O28131" s="247"/>
      <c r="AC28131" s="247"/>
      <c r="AT28131" s="247"/>
    </row>
    <row r="28132">
      <c r="C28132" s="277"/>
      <c r="M28132" s="277"/>
      <c r="O28132" s="247"/>
      <c r="AC28132" s="247"/>
      <c r="AT28132" s="247"/>
    </row>
    <row r="28133">
      <c r="C28133" s="277"/>
      <c r="M28133" s="277"/>
      <c r="O28133" s="247"/>
      <c r="AC28133" s="247"/>
      <c r="AT28133" s="247"/>
    </row>
    <row r="28134">
      <c r="C28134" s="277"/>
      <c r="M28134" s="277"/>
      <c r="O28134" s="247"/>
      <c r="AC28134" s="247"/>
      <c r="AT28134" s="247"/>
    </row>
    <row r="28135">
      <c r="C28135" s="277"/>
      <c r="M28135" s="277"/>
      <c r="O28135" s="247"/>
      <c r="AC28135" s="247"/>
      <c r="AT28135" s="247"/>
    </row>
    <row r="28136">
      <c r="C28136" s="277"/>
      <c r="M28136" s="277"/>
      <c r="O28136" s="247"/>
      <c r="AC28136" s="247"/>
      <c r="AT28136" s="247"/>
    </row>
    <row r="28137">
      <c r="C28137" s="277"/>
      <c r="M28137" s="277"/>
      <c r="O28137" s="247"/>
      <c r="AC28137" s="247"/>
      <c r="AT28137" s="247"/>
    </row>
    <row r="28138">
      <c r="C28138" s="277"/>
      <c r="M28138" s="277"/>
      <c r="O28138" s="247"/>
      <c r="AC28138" s="247"/>
      <c r="AT28138" s="247"/>
    </row>
    <row r="28139">
      <c r="C28139" s="277"/>
      <c r="M28139" s="277"/>
      <c r="O28139" s="247"/>
      <c r="AC28139" s="247"/>
      <c r="AT28139" s="247"/>
    </row>
    <row r="28140">
      <c r="C28140" s="277"/>
      <c r="M28140" s="277"/>
      <c r="O28140" s="247"/>
      <c r="AC28140" s="247"/>
      <c r="AT28140" s="247"/>
    </row>
    <row r="28141">
      <c r="C28141" s="277"/>
      <c r="M28141" s="277"/>
      <c r="O28141" s="247"/>
      <c r="AC28141" s="247"/>
      <c r="AT28141" s="247"/>
    </row>
    <row r="28142">
      <c r="C28142" s="277"/>
      <c r="M28142" s="277"/>
      <c r="O28142" s="247"/>
      <c r="AC28142" s="247"/>
      <c r="AT28142" s="247"/>
    </row>
    <row r="28143">
      <c r="C28143" s="277"/>
      <c r="M28143" s="277"/>
      <c r="O28143" s="247"/>
      <c r="AC28143" s="247"/>
      <c r="AT28143" s="247"/>
    </row>
    <row r="28144">
      <c r="C28144" s="277"/>
      <c r="M28144" s="277"/>
      <c r="O28144" s="247"/>
      <c r="AC28144" s="247"/>
      <c r="AT28144" s="247"/>
    </row>
    <row r="28145">
      <c r="C28145" s="277"/>
      <c r="M28145" s="277"/>
      <c r="O28145" s="247"/>
      <c r="AC28145" s="247"/>
      <c r="AT28145" s="247"/>
    </row>
    <row r="28146">
      <c r="C28146" s="277"/>
      <c r="M28146" s="277"/>
      <c r="O28146" s="247"/>
      <c r="AC28146" s="247"/>
      <c r="AT28146" s="247"/>
    </row>
    <row r="28147">
      <c r="C28147" s="277"/>
      <c r="M28147" s="277"/>
      <c r="O28147" s="247"/>
      <c r="AC28147" s="247"/>
      <c r="AT28147" s="247"/>
    </row>
    <row r="28148">
      <c r="C28148" s="277"/>
      <c r="M28148" s="277"/>
      <c r="O28148" s="247"/>
      <c r="AC28148" s="247"/>
      <c r="AT28148" s="247"/>
    </row>
    <row r="28149">
      <c r="C28149" s="277"/>
      <c r="M28149" s="277"/>
      <c r="O28149" s="247"/>
      <c r="AC28149" s="247"/>
      <c r="AT28149" s="247"/>
    </row>
    <row r="28150">
      <c r="C28150" s="277"/>
      <c r="M28150" s="277"/>
      <c r="O28150" s="247"/>
      <c r="AC28150" s="247"/>
      <c r="AT28150" s="247"/>
    </row>
    <row r="28151">
      <c r="C28151" s="277"/>
      <c r="M28151" s="277"/>
      <c r="O28151" s="247"/>
      <c r="AC28151" s="247"/>
      <c r="AT28151" s="247"/>
    </row>
    <row r="28152">
      <c r="C28152" s="277"/>
      <c r="M28152" s="277"/>
      <c r="O28152" s="247"/>
      <c r="AC28152" s="247"/>
      <c r="AT28152" s="247"/>
    </row>
    <row r="28153">
      <c r="C28153" s="277"/>
      <c r="M28153" s="277"/>
      <c r="O28153" s="247"/>
      <c r="AC28153" s="247"/>
      <c r="AT28153" s="247"/>
    </row>
    <row r="28154">
      <c r="C28154" s="277"/>
      <c r="M28154" s="277"/>
      <c r="O28154" s="247"/>
      <c r="AC28154" s="247"/>
      <c r="AT28154" s="247"/>
    </row>
    <row r="28155">
      <c r="C28155" s="277"/>
      <c r="M28155" s="277"/>
      <c r="O28155" s="247"/>
      <c r="AC28155" s="247"/>
      <c r="AT28155" s="247"/>
    </row>
    <row r="28156">
      <c r="C28156" s="277"/>
      <c r="M28156" s="277"/>
      <c r="O28156" s="247"/>
      <c r="AC28156" s="247"/>
      <c r="AT28156" s="247"/>
    </row>
    <row r="28157">
      <c r="C28157" s="277"/>
      <c r="M28157" s="277"/>
      <c r="O28157" s="247"/>
      <c r="AC28157" s="247"/>
      <c r="AT28157" s="247"/>
    </row>
    <row r="28158">
      <c r="C28158" s="277"/>
      <c r="M28158" s="277"/>
      <c r="O28158" s="247"/>
      <c r="AC28158" s="247"/>
      <c r="AT28158" s="247"/>
    </row>
    <row r="28159">
      <c r="C28159" s="277"/>
      <c r="M28159" s="277"/>
      <c r="O28159" s="247"/>
      <c r="AC28159" s="247"/>
      <c r="AT28159" s="247"/>
    </row>
    <row r="28160">
      <c r="C28160" s="277"/>
      <c r="M28160" s="277"/>
      <c r="O28160" s="247"/>
      <c r="AC28160" s="247"/>
      <c r="AT28160" s="247"/>
    </row>
    <row r="28161">
      <c r="C28161" s="277"/>
      <c r="M28161" s="277"/>
      <c r="O28161" s="247"/>
      <c r="AC28161" s="247"/>
      <c r="AT28161" s="247"/>
    </row>
    <row r="28162">
      <c r="C28162" s="277"/>
      <c r="M28162" s="277"/>
      <c r="O28162" s="247"/>
      <c r="AC28162" s="247"/>
      <c r="AT28162" s="247"/>
    </row>
    <row r="28163">
      <c r="C28163" s="277"/>
      <c r="M28163" s="277"/>
      <c r="O28163" s="247"/>
      <c r="AC28163" s="247"/>
      <c r="AT28163" s="247"/>
    </row>
    <row r="28164">
      <c r="C28164" s="277"/>
      <c r="M28164" s="277"/>
      <c r="O28164" s="247"/>
      <c r="AC28164" s="247"/>
      <c r="AT28164" s="247"/>
    </row>
    <row r="28165">
      <c r="C28165" s="277"/>
      <c r="M28165" s="277"/>
      <c r="O28165" s="247"/>
      <c r="AC28165" s="247"/>
      <c r="AT28165" s="247"/>
    </row>
    <row r="28166">
      <c r="C28166" s="277"/>
      <c r="M28166" s="277"/>
      <c r="O28166" s="247"/>
      <c r="AC28166" s="247"/>
      <c r="AT28166" s="247"/>
    </row>
    <row r="28167">
      <c r="C28167" s="277"/>
      <c r="M28167" s="277"/>
      <c r="O28167" s="247"/>
      <c r="AC28167" s="247"/>
      <c r="AT28167" s="247"/>
    </row>
    <row r="28168">
      <c r="C28168" s="277"/>
      <c r="M28168" s="277"/>
      <c r="O28168" s="247"/>
      <c r="AC28168" s="247"/>
      <c r="AT28168" s="247"/>
    </row>
    <row r="28169">
      <c r="C28169" s="277"/>
      <c r="M28169" s="277"/>
      <c r="O28169" s="247"/>
      <c r="AC28169" s="247"/>
      <c r="AT28169" s="247"/>
    </row>
    <row r="28170">
      <c r="C28170" s="277"/>
      <c r="M28170" s="277"/>
      <c r="O28170" s="247"/>
      <c r="AC28170" s="247"/>
      <c r="AT28170" s="247"/>
    </row>
    <row r="28171">
      <c r="C28171" s="277"/>
      <c r="M28171" s="277"/>
      <c r="O28171" s="247"/>
      <c r="AC28171" s="247"/>
      <c r="AT28171" s="247"/>
    </row>
    <row r="28172">
      <c r="C28172" s="277"/>
      <c r="M28172" s="277"/>
      <c r="O28172" s="247"/>
      <c r="AC28172" s="247"/>
      <c r="AT28172" s="247"/>
    </row>
    <row r="28173">
      <c r="C28173" s="277"/>
      <c r="M28173" s="277"/>
      <c r="O28173" s="247"/>
      <c r="AC28173" s="247"/>
      <c r="AT28173" s="247"/>
    </row>
    <row r="28174">
      <c r="C28174" s="277"/>
      <c r="M28174" s="277"/>
      <c r="O28174" s="247"/>
      <c r="AC28174" s="247"/>
      <c r="AT28174" s="247"/>
    </row>
    <row r="28175">
      <c r="C28175" s="277"/>
      <c r="M28175" s="277"/>
      <c r="O28175" s="247"/>
      <c r="AC28175" s="247"/>
      <c r="AT28175" s="247"/>
    </row>
    <row r="28176">
      <c r="C28176" s="277"/>
      <c r="M28176" s="277"/>
      <c r="O28176" s="247"/>
      <c r="AC28176" s="247"/>
      <c r="AT28176" s="247"/>
    </row>
    <row r="28177">
      <c r="C28177" s="277"/>
      <c r="M28177" s="277"/>
      <c r="O28177" s="247"/>
      <c r="AC28177" s="247"/>
      <c r="AT28177" s="247"/>
    </row>
    <row r="28178">
      <c r="C28178" s="277"/>
      <c r="M28178" s="277"/>
      <c r="O28178" s="247"/>
      <c r="AC28178" s="247"/>
      <c r="AT28178" s="247"/>
    </row>
    <row r="28179">
      <c r="C28179" s="277"/>
      <c r="M28179" s="277"/>
      <c r="O28179" s="247"/>
      <c r="AC28179" s="247"/>
      <c r="AT28179" s="247"/>
    </row>
    <row r="28180">
      <c r="C28180" s="277"/>
      <c r="M28180" s="277"/>
      <c r="O28180" s="247"/>
      <c r="AC28180" s="247"/>
      <c r="AT28180" s="247"/>
    </row>
    <row r="28181">
      <c r="C28181" s="277"/>
      <c r="M28181" s="277"/>
      <c r="O28181" s="247"/>
      <c r="AC28181" s="247"/>
      <c r="AT28181" s="247"/>
    </row>
    <row r="28182">
      <c r="C28182" s="277"/>
      <c r="M28182" s="277"/>
      <c r="O28182" s="247"/>
      <c r="AC28182" s="247"/>
      <c r="AT28182" s="247"/>
    </row>
    <row r="28183">
      <c r="C28183" s="277"/>
      <c r="M28183" s="277"/>
      <c r="O28183" s="247"/>
      <c r="AC28183" s="247"/>
      <c r="AT28183" s="247"/>
    </row>
    <row r="28184">
      <c r="C28184" s="277"/>
      <c r="M28184" s="277"/>
      <c r="O28184" s="247"/>
      <c r="AC28184" s="247"/>
      <c r="AT28184" s="247"/>
    </row>
    <row r="28185">
      <c r="C28185" s="277"/>
      <c r="M28185" s="277"/>
      <c r="O28185" s="247"/>
      <c r="AC28185" s="247"/>
      <c r="AT28185" s="247"/>
    </row>
    <row r="28186">
      <c r="C28186" s="277"/>
      <c r="M28186" s="277"/>
      <c r="O28186" s="247"/>
      <c r="AC28186" s="247"/>
      <c r="AT28186" s="247"/>
    </row>
    <row r="28187">
      <c r="C28187" s="277"/>
      <c r="M28187" s="277"/>
      <c r="O28187" s="247"/>
      <c r="AC28187" s="247"/>
      <c r="AT28187" s="247"/>
    </row>
    <row r="28188">
      <c r="C28188" s="277"/>
      <c r="M28188" s="277"/>
      <c r="O28188" s="247"/>
      <c r="AC28188" s="247"/>
      <c r="AT28188" s="247"/>
    </row>
    <row r="28189">
      <c r="C28189" s="277"/>
      <c r="M28189" s="277"/>
      <c r="O28189" s="247"/>
      <c r="AC28189" s="247"/>
      <c r="AT28189" s="247"/>
    </row>
    <row r="28190">
      <c r="C28190" s="277"/>
      <c r="M28190" s="277"/>
      <c r="O28190" s="247"/>
      <c r="AC28190" s="247"/>
      <c r="AT28190" s="247"/>
    </row>
    <row r="28191">
      <c r="C28191" s="277"/>
      <c r="M28191" s="277"/>
      <c r="O28191" s="247"/>
      <c r="AC28191" s="247"/>
      <c r="AT28191" s="247"/>
    </row>
    <row r="28192">
      <c r="C28192" s="277"/>
      <c r="M28192" s="277"/>
      <c r="O28192" s="247"/>
      <c r="AC28192" s="247"/>
      <c r="AT28192" s="247"/>
    </row>
    <row r="28193">
      <c r="C28193" s="277"/>
      <c r="M28193" s="277"/>
      <c r="O28193" s="247"/>
      <c r="AC28193" s="247"/>
      <c r="AT28193" s="247"/>
    </row>
    <row r="28194">
      <c r="C28194" s="277"/>
      <c r="M28194" s="277"/>
      <c r="O28194" s="247"/>
      <c r="AC28194" s="247"/>
      <c r="AT28194" s="247"/>
    </row>
    <row r="28195">
      <c r="C28195" s="277"/>
      <c r="M28195" s="277"/>
      <c r="O28195" s="247"/>
      <c r="AC28195" s="247"/>
      <c r="AT28195" s="247"/>
    </row>
    <row r="28196">
      <c r="C28196" s="277"/>
      <c r="M28196" s="277"/>
      <c r="O28196" s="247"/>
      <c r="AC28196" s="247"/>
      <c r="AT28196" s="247"/>
    </row>
    <row r="28197">
      <c r="C28197" s="277"/>
      <c r="M28197" s="277"/>
      <c r="O28197" s="247"/>
      <c r="AC28197" s="247"/>
      <c r="AT28197" s="247"/>
    </row>
    <row r="28198">
      <c r="C28198" s="277"/>
      <c r="M28198" s="277"/>
      <c r="O28198" s="247"/>
      <c r="AC28198" s="247"/>
      <c r="AT28198" s="247"/>
    </row>
    <row r="28199">
      <c r="C28199" s="277"/>
      <c r="M28199" s="277"/>
      <c r="O28199" s="247"/>
      <c r="AC28199" s="247"/>
      <c r="AT28199" s="247"/>
    </row>
    <row r="28200">
      <c r="C28200" s="277"/>
      <c r="M28200" s="277"/>
      <c r="O28200" s="247"/>
      <c r="AC28200" s="247"/>
      <c r="AT28200" s="247"/>
    </row>
    <row r="28201">
      <c r="C28201" s="277"/>
      <c r="M28201" s="277"/>
      <c r="O28201" s="247"/>
      <c r="AC28201" s="247"/>
      <c r="AT28201" s="247"/>
    </row>
    <row r="28202">
      <c r="C28202" s="277"/>
      <c r="M28202" s="277"/>
      <c r="O28202" s="247"/>
      <c r="AC28202" s="247"/>
      <c r="AT28202" s="247"/>
    </row>
    <row r="28203">
      <c r="C28203" s="277"/>
      <c r="M28203" s="277"/>
      <c r="O28203" s="247"/>
      <c r="AC28203" s="247"/>
      <c r="AT28203" s="247"/>
    </row>
    <row r="28204">
      <c r="C28204" s="277"/>
      <c r="M28204" s="277"/>
      <c r="O28204" s="247"/>
      <c r="AC28204" s="247"/>
      <c r="AT28204" s="247"/>
    </row>
    <row r="28205">
      <c r="C28205" s="277"/>
      <c r="M28205" s="277"/>
      <c r="O28205" s="247"/>
      <c r="AC28205" s="247"/>
      <c r="AT28205" s="247"/>
    </row>
    <row r="28206">
      <c r="C28206" s="277"/>
      <c r="M28206" s="277"/>
      <c r="O28206" s="247"/>
      <c r="AC28206" s="247"/>
      <c r="AT28206" s="247"/>
    </row>
    <row r="28207">
      <c r="C28207" s="277"/>
      <c r="M28207" s="277"/>
      <c r="O28207" s="247"/>
      <c r="AC28207" s="247"/>
      <c r="AT28207" s="247"/>
    </row>
    <row r="28208">
      <c r="C28208" s="277"/>
      <c r="M28208" s="277"/>
      <c r="O28208" s="247"/>
      <c r="AC28208" s="247"/>
      <c r="AT28208" s="247"/>
    </row>
    <row r="28209">
      <c r="C28209" s="277"/>
      <c r="M28209" s="277"/>
      <c r="O28209" s="247"/>
      <c r="AC28209" s="247"/>
      <c r="AT28209" s="247"/>
    </row>
    <row r="28210">
      <c r="C28210" s="277"/>
      <c r="M28210" s="277"/>
      <c r="O28210" s="247"/>
      <c r="AC28210" s="247"/>
      <c r="AT28210" s="247"/>
    </row>
    <row r="28211">
      <c r="C28211" s="277"/>
      <c r="M28211" s="277"/>
      <c r="O28211" s="247"/>
      <c r="AC28211" s="247"/>
      <c r="AT28211" s="247"/>
    </row>
    <row r="28212">
      <c r="C28212" s="277"/>
      <c r="M28212" s="277"/>
      <c r="O28212" s="247"/>
      <c r="AC28212" s="247"/>
      <c r="AT28212" s="247"/>
    </row>
    <row r="28213">
      <c r="C28213" s="277"/>
      <c r="M28213" s="277"/>
      <c r="O28213" s="247"/>
      <c r="AC28213" s="247"/>
      <c r="AT28213" s="247"/>
    </row>
    <row r="28214">
      <c r="C28214" s="277"/>
      <c r="M28214" s="277"/>
      <c r="O28214" s="247"/>
      <c r="AC28214" s="247"/>
      <c r="AT28214" s="247"/>
    </row>
    <row r="28215">
      <c r="C28215" s="277"/>
      <c r="M28215" s="277"/>
      <c r="O28215" s="247"/>
      <c r="AC28215" s="247"/>
      <c r="AT28215" s="247"/>
    </row>
    <row r="28216">
      <c r="C28216" s="277"/>
      <c r="M28216" s="277"/>
      <c r="O28216" s="247"/>
      <c r="AC28216" s="247"/>
      <c r="AT28216" s="247"/>
    </row>
    <row r="28217">
      <c r="C28217" s="277"/>
      <c r="M28217" s="277"/>
      <c r="O28217" s="247"/>
      <c r="AC28217" s="247"/>
      <c r="AT28217" s="247"/>
    </row>
    <row r="28218">
      <c r="C28218" s="277"/>
      <c r="M28218" s="277"/>
      <c r="O28218" s="247"/>
      <c r="AC28218" s="247"/>
      <c r="AT28218" s="247"/>
    </row>
    <row r="28219">
      <c r="C28219" s="277"/>
      <c r="M28219" s="277"/>
      <c r="O28219" s="247"/>
      <c r="AC28219" s="247"/>
      <c r="AT28219" s="247"/>
    </row>
    <row r="28220">
      <c r="C28220" s="277"/>
      <c r="M28220" s="277"/>
      <c r="O28220" s="247"/>
      <c r="AC28220" s="247"/>
      <c r="AT28220" s="247"/>
    </row>
    <row r="28221">
      <c r="C28221" s="277"/>
      <c r="M28221" s="277"/>
      <c r="O28221" s="247"/>
      <c r="AC28221" s="247"/>
      <c r="AT28221" s="247"/>
    </row>
    <row r="28222">
      <c r="C28222" s="277"/>
      <c r="M28222" s="277"/>
      <c r="O28222" s="247"/>
      <c r="AC28222" s="247"/>
      <c r="AT28222" s="247"/>
    </row>
    <row r="28223">
      <c r="C28223" s="277"/>
      <c r="M28223" s="277"/>
      <c r="O28223" s="247"/>
      <c r="AC28223" s="247"/>
      <c r="AT28223" s="247"/>
    </row>
    <row r="28224">
      <c r="C28224" s="277"/>
      <c r="M28224" s="277"/>
      <c r="O28224" s="247"/>
      <c r="AC28224" s="247"/>
      <c r="AT28224" s="247"/>
    </row>
    <row r="28225">
      <c r="C28225" s="277"/>
      <c r="M28225" s="277"/>
      <c r="O28225" s="247"/>
      <c r="AC28225" s="247"/>
      <c r="AT28225" s="247"/>
    </row>
    <row r="28226">
      <c r="C28226" s="277"/>
      <c r="M28226" s="277"/>
      <c r="O28226" s="247"/>
      <c r="AC28226" s="247"/>
      <c r="AT28226" s="247"/>
    </row>
    <row r="28227">
      <c r="C28227" s="277"/>
      <c r="M28227" s="277"/>
      <c r="O28227" s="247"/>
      <c r="AC28227" s="247"/>
      <c r="AT28227" s="247"/>
    </row>
    <row r="28228">
      <c r="C28228" s="277"/>
      <c r="M28228" s="277"/>
      <c r="O28228" s="247"/>
      <c r="AC28228" s="247"/>
      <c r="AT28228" s="247"/>
    </row>
    <row r="28229">
      <c r="C28229" s="277"/>
      <c r="M28229" s="277"/>
      <c r="O28229" s="247"/>
      <c r="AC28229" s="247"/>
      <c r="AT28229" s="247"/>
    </row>
    <row r="28230">
      <c r="C28230" s="277"/>
      <c r="M28230" s="277"/>
      <c r="O28230" s="247"/>
      <c r="AC28230" s="247"/>
      <c r="AT28230" s="247"/>
    </row>
    <row r="28231">
      <c r="C28231" s="277"/>
      <c r="M28231" s="277"/>
      <c r="O28231" s="247"/>
      <c r="AC28231" s="247"/>
      <c r="AT28231" s="247"/>
    </row>
    <row r="28232">
      <c r="C28232" s="277"/>
      <c r="M28232" s="277"/>
      <c r="O28232" s="247"/>
      <c r="AC28232" s="247"/>
      <c r="AT28232" s="247"/>
    </row>
    <row r="28233">
      <c r="C28233" s="277"/>
      <c r="M28233" s="277"/>
      <c r="O28233" s="247"/>
      <c r="AC28233" s="247"/>
      <c r="AT28233" s="247"/>
    </row>
    <row r="28234">
      <c r="C28234" s="277"/>
      <c r="M28234" s="277"/>
      <c r="O28234" s="247"/>
      <c r="AC28234" s="247"/>
      <c r="AT28234" s="247"/>
    </row>
    <row r="28235">
      <c r="C28235" s="277"/>
      <c r="M28235" s="277"/>
      <c r="O28235" s="247"/>
      <c r="AC28235" s="247"/>
      <c r="AT28235" s="247"/>
    </row>
    <row r="28236">
      <c r="C28236" s="277"/>
      <c r="M28236" s="277"/>
      <c r="O28236" s="247"/>
      <c r="AC28236" s="247"/>
      <c r="AT28236" s="247"/>
    </row>
    <row r="28237">
      <c r="C28237" s="277"/>
      <c r="M28237" s="277"/>
      <c r="O28237" s="247"/>
      <c r="AC28237" s="247"/>
      <c r="AT28237" s="247"/>
    </row>
    <row r="28238">
      <c r="C28238" s="277"/>
      <c r="M28238" s="277"/>
      <c r="O28238" s="247"/>
      <c r="AC28238" s="247"/>
      <c r="AT28238" s="247"/>
    </row>
    <row r="28239">
      <c r="C28239" s="277"/>
      <c r="M28239" s="277"/>
      <c r="O28239" s="247"/>
      <c r="AC28239" s="247"/>
      <c r="AT28239" s="247"/>
    </row>
    <row r="28240">
      <c r="C28240" s="277"/>
      <c r="M28240" s="277"/>
      <c r="O28240" s="247"/>
      <c r="AC28240" s="247"/>
      <c r="AT28240" s="247"/>
    </row>
    <row r="28241">
      <c r="C28241" s="277"/>
      <c r="M28241" s="277"/>
      <c r="O28241" s="247"/>
      <c r="AC28241" s="247"/>
      <c r="AT28241" s="247"/>
    </row>
    <row r="28242">
      <c r="C28242" s="277"/>
      <c r="M28242" s="277"/>
      <c r="O28242" s="247"/>
      <c r="AC28242" s="247"/>
      <c r="AT28242" s="247"/>
    </row>
    <row r="28243">
      <c r="C28243" s="277"/>
      <c r="M28243" s="277"/>
      <c r="O28243" s="247"/>
      <c r="AC28243" s="247"/>
      <c r="AT28243" s="247"/>
    </row>
    <row r="28244">
      <c r="C28244" s="277"/>
      <c r="M28244" s="277"/>
      <c r="O28244" s="247"/>
      <c r="AC28244" s="247"/>
      <c r="AT28244" s="247"/>
    </row>
    <row r="28245">
      <c r="C28245" s="277"/>
      <c r="M28245" s="277"/>
      <c r="O28245" s="247"/>
      <c r="AC28245" s="247"/>
      <c r="AT28245" s="247"/>
    </row>
    <row r="28246">
      <c r="C28246" s="277"/>
      <c r="M28246" s="277"/>
      <c r="O28246" s="247"/>
      <c r="AC28246" s="247"/>
      <c r="AT28246" s="247"/>
    </row>
    <row r="28247">
      <c r="C28247" s="277"/>
      <c r="M28247" s="277"/>
      <c r="O28247" s="247"/>
      <c r="AC28247" s="247"/>
      <c r="AT28247" s="247"/>
    </row>
    <row r="28248">
      <c r="C28248" s="277"/>
      <c r="M28248" s="277"/>
      <c r="O28248" s="247"/>
      <c r="AC28248" s="247"/>
      <c r="AT28248" s="247"/>
    </row>
    <row r="28249">
      <c r="C28249" s="277"/>
      <c r="M28249" s="277"/>
      <c r="O28249" s="247"/>
      <c r="AC28249" s="247"/>
      <c r="AT28249" s="247"/>
    </row>
    <row r="28250">
      <c r="C28250" s="277"/>
      <c r="M28250" s="277"/>
      <c r="O28250" s="247"/>
      <c r="AC28250" s="247"/>
      <c r="AT28250" s="247"/>
    </row>
    <row r="28251">
      <c r="C28251" s="277"/>
      <c r="M28251" s="277"/>
      <c r="O28251" s="247"/>
      <c r="AC28251" s="247"/>
      <c r="AT28251" s="247"/>
    </row>
    <row r="28252">
      <c r="C28252" s="277"/>
      <c r="M28252" s="277"/>
      <c r="O28252" s="247"/>
      <c r="AC28252" s="247"/>
      <c r="AT28252" s="247"/>
    </row>
    <row r="28253">
      <c r="C28253" s="277"/>
      <c r="M28253" s="277"/>
      <c r="O28253" s="247"/>
      <c r="AC28253" s="247"/>
      <c r="AT28253" s="247"/>
    </row>
    <row r="28254">
      <c r="C28254" s="277"/>
      <c r="M28254" s="277"/>
      <c r="O28254" s="247"/>
      <c r="AC28254" s="247"/>
      <c r="AT28254" s="247"/>
    </row>
    <row r="28255">
      <c r="C28255" s="277"/>
      <c r="M28255" s="277"/>
      <c r="O28255" s="247"/>
      <c r="AC28255" s="247"/>
      <c r="AT28255" s="247"/>
    </row>
    <row r="28256">
      <c r="C28256" s="277"/>
      <c r="M28256" s="277"/>
      <c r="O28256" s="247"/>
      <c r="AC28256" s="247"/>
      <c r="AT28256" s="247"/>
    </row>
    <row r="28257">
      <c r="C28257" s="277"/>
      <c r="M28257" s="277"/>
      <c r="O28257" s="247"/>
      <c r="AC28257" s="247"/>
      <c r="AT28257" s="247"/>
    </row>
    <row r="28258">
      <c r="C28258" s="277"/>
      <c r="M28258" s="277"/>
      <c r="O28258" s="247"/>
      <c r="AC28258" s="247"/>
      <c r="AT28258" s="247"/>
    </row>
    <row r="28259">
      <c r="C28259" s="277"/>
      <c r="M28259" s="277"/>
      <c r="O28259" s="247"/>
      <c r="AC28259" s="247"/>
      <c r="AT28259" s="247"/>
    </row>
    <row r="28260">
      <c r="C28260" s="277"/>
      <c r="M28260" s="277"/>
      <c r="O28260" s="247"/>
      <c r="AC28260" s="247"/>
      <c r="AT28260" s="247"/>
    </row>
    <row r="28261">
      <c r="C28261" s="277"/>
      <c r="M28261" s="277"/>
      <c r="O28261" s="247"/>
      <c r="AC28261" s="247"/>
      <c r="AT28261" s="247"/>
    </row>
    <row r="28262">
      <c r="C28262" s="277"/>
      <c r="M28262" s="277"/>
      <c r="O28262" s="247"/>
      <c r="AC28262" s="247"/>
      <c r="AT28262" s="247"/>
    </row>
    <row r="28263">
      <c r="C28263" s="277"/>
      <c r="M28263" s="277"/>
      <c r="O28263" s="247"/>
      <c r="AC28263" s="247"/>
      <c r="AT28263" s="247"/>
    </row>
    <row r="28264">
      <c r="C28264" s="277"/>
      <c r="M28264" s="277"/>
      <c r="O28264" s="247"/>
      <c r="AC28264" s="247"/>
      <c r="AT28264" s="247"/>
    </row>
    <row r="28265">
      <c r="C28265" s="277"/>
      <c r="M28265" s="277"/>
      <c r="O28265" s="247"/>
      <c r="AC28265" s="247"/>
      <c r="AT28265" s="247"/>
    </row>
    <row r="28266">
      <c r="C28266" s="277"/>
      <c r="M28266" s="277"/>
      <c r="O28266" s="247"/>
      <c r="AC28266" s="247"/>
      <c r="AT28266" s="247"/>
    </row>
    <row r="28267">
      <c r="C28267" s="277"/>
      <c r="M28267" s="277"/>
      <c r="O28267" s="247"/>
      <c r="AC28267" s="247"/>
      <c r="AT28267" s="247"/>
    </row>
    <row r="28268">
      <c r="C28268" s="277"/>
      <c r="M28268" s="277"/>
      <c r="O28268" s="247"/>
      <c r="AC28268" s="247"/>
      <c r="AT28268" s="247"/>
    </row>
    <row r="28269">
      <c r="C28269" s="277"/>
      <c r="M28269" s="277"/>
      <c r="O28269" s="247"/>
      <c r="AC28269" s="247"/>
      <c r="AT28269" s="247"/>
    </row>
    <row r="28270">
      <c r="C28270" s="277"/>
      <c r="M28270" s="277"/>
      <c r="O28270" s="247"/>
      <c r="AC28270" s="247"/>
      <c r="AT28270" s="247"/>
    </row>
    <row r="28271">
      <c r="C28271" s="277"/>
      <c r="M28271" s="277"/>
      <c r="O28271" s="247"/>
      <c r="AC28271" s="247"/>
      <c r="AT28271" s="247"/>
    </row>
    <row r="28272">
      <c r="C28272" s="277"/>
      <c r="M28272" s="277"/>
      <c r="O28272" s="247"/>
      <c r="AC28272" s="247"/>
      <c r="AT28272" s="247"/>
    </row>
    <row r="28273">
      <c r="C28273" s="277"/>
      <c r="M28273" s="277"/>
      <c r="O28273" s="247"/>
      <c r="AC28273" s="247"/>
      <c r="AT28273" s="247"/>
    </row>
    <row r="28274">
      <c r="C28274" s="277"/>
      <c r="M28274" s="277"/>
      <c r="O28274" s="247"/>
      <c r="AC28274" s="247"/>
      <c r="AT28274" s="247"/>
    </row>
    <row r="28275">
      <c r="C28275" s="277"/>
      <c r="M28275" s="277"/>
      <c r="O28275" s="247"/>
      <c r="AC28275" s="247"/>
      <c r="AT28275" s="247"/>
    </row>
    <row r="28276">
      <c r="C28276" s="277"/>
      <c r="M28276" s="277"/>
      <c r="O28276" s="247"/>
      <c r="AC28276" s="247"/>
      <c r="AT28276" s="247"/>
    </row>
    <row r="28277">
      <c r="C28277" s="277"/>
      <c r="M28277" s="277"/>
      <c r="O28277" s="247"/>
      <c r="AC28277" s="247"/>
      <c r="AT28277" s="247"/>
    </row>
    <row r="28278">
      <c r="C28278" s="277"/>
      <c r="M28278" s="277"/>
      <c r="O28278" s="247"/>
      <c r="AC28278" s="247"/>
      <c r="AT28278" s="247"/>
    </row>
    <row r="28279">
      <c r="C28279" s="277"/>
      <c r="M28279" s="277"/>
      <c r="O28279" s="247"/>
      <c r="AC28279" s="247"/>
      <c r="AT28279" s="247"/>
    </row>
    <row r="28280">
      <c r="C28280" s="277"/>
      <c r="M28280" s="277"/>
      <c r="O28280" s="247"/>
      <c r="AC28280" s="247"/>
      <c r="AT28280" s="247"/>
    </row>
    <row r="28281">
      <c r="C28281" s="277"/>
      <c r="M28281" s="277"/>
      <c r="O28281" s="247"/>
      <c r="AC28281" s="247"/>
      <c r="AT28281" s="247"/>
    </row>
    <row r="28282">
      <c r="C28282" s="277"/>
      <c r="M28282" s="277"/>
      <c r="O28282" s="247"/>
      <c r="AC28282" s="247"/>
      <c r="AT28282" s="247"/>
    </row>
    <row r="28283">
      <c r="C28283" s="277"/>
      <c r="M28283" s="277"/>
      <c r="O28283" s="247"/>
      <c r="AC28283" s="247"/>
      <c r="AT28283" s="247"/>
    </row>
    <row r="28284">
      <c r="C28284" s="277"/>
      <c r="M28284" s="277"/>
      <c r="O28284" s="247"/>
      <c r="AC28284" s="247"/>
      <c r="AT28284" s="247"/>
    </row>
    <row r="28285">
      <c r="C28285" s="277"/>
      <c r="M28285" s="277"/>
      <c r="O28285" s="247"/>
      <c r="AC28285" s="247"/>
      <c r="AT28285" s="247"/>
    </row>
    <row r="28286">
      <c r="C28286" s="277"/>
      <c r="M28286" s="277"/>
      <c r="O28286" s="247"/>
      <c r="AC28286" s="247"/>
      <c r="AT28286" s="247"/>
    </row>
    <row r="28287">
      <c r="C28287" s="277"/>
      <c r="M28287" s="277"/>
      <c r="O28287" s="247"/>
      <c r="AC28287" s="247"/>
      <c r="AT28287" s="247"/>
    </row>
    <row r="28288">
      <c r="C28288" s="277"/>
      <c r="M28288" s="277"/>
      <c r="O28288" s="247"/>
      <c r="AC28288" s="247"/>
      <c r="AT28288" s="247"/>
    </row>
    <row r="28289">
      <c r="C28289" s="277"/>
      <c r="M28289" s="277"/>
      <c r="O28289" s="247"/>
      <c r="AC28289" s="247"/>
      <c r="AT28289" s="247"/>
    </row>
    <row r="28290">
      <c r="C28290" s="277"/>
      <c r="M28290" s="277"/>
      <c r="O28290" s="247"/>
      <c r="AC28290" s="247"/>
      <c r="AT28290" s="247"/>
    </row>
    <row r="28291">
      <c r="C28291" s="277"/>
      <c r="M28291" s="277"/>
      <c r="O28291" s="247"/>
      <c r="AC28291" s="247"/>
      <c r="AT28291" s="247"/>
    </row>
    <row r="28292">
      <c r="C28292" s="277"/>
      <c r="M28292" s="277"/>
      <c r="O28292" s="247"/>
      <c r="AC28292" s="247"/>
      <c r="AT28292" s="247"/>
    </row>
    <row r="28293">
      <c r="C28293" s="277"/>
      <c r="M28293" s="277"/>
      <c r="O28293" s="247"/>
      <c r="AC28293" s="247"/>
      <c r="AT28293" s="247"/>
    </row>
    <row r="28294">
      <c r="C28294" s="277"/>
      <c r="M28294" s="277"/>
      <c r="O28294" s="247"/>
      <c r="AC28294" s="247"/>
      <c r="AT28294" s="247"/>
    </row>
    <row r="28295">
      <c r="C28295" s="277"/>
      <c r="M28295" s="277"/>
      <c r="O28295" s="247"/>
      <c r="AC28295" s="247"/>
      <c r="AT28295" s="247"/>
    </row>
    <row r="28296">
      <c r="C28296" s="278"/>
      <c r="M28296" s="277"/>
      <c r="O28296" s="247"/>
      <c r="AC28296" s="247"/>
      <c r="AT28296" s="247"/>
    </row>
    <row r="28297">
      <c r="C28297" s="277"/>
      <c r="M28297" s="277"/>
      <c r="O28297" s="247"/>
      <c r="AC28297" s="247"/>
      <c r="AT28297" s="247"/>
    </row>
    <row r="28298">
      <c r="C28298" s="277"/>
      <c r="M28298" s="277"/>
      <c r="O28298" s="247"/>
      <c r="AC28298" s="247"/>
      <c r="AT28298" s="247"/>
    </row>
    <row r="28299">
      <c r="C28299" s="277"/>
      <c r="M28299" s="277"/>
      <c r="O28299" s="247"/>
      <c r="AC28299" s="247"/>
      <c r="AT28299" s="247"/>
    </row>
    <row r="28300">
      <c r="C28300" s="277"/>
      <c r="M28300" s="277"/>
      <c r="O28300" s="247"/>
      <c r="AC28300" s="247"/>
      <c r="AT28300" s="247"/>
    </row>
    <row r="28301">
      <c r="C28301" s="277"/>
      <c r="M28301" s="277"/>
      <c r="O28301" s="247"/>
      <c r="AC28301" s="247"/>
      <c r="AT28301" s="247"/>
    </row>
    <row r="28302">
      <c r="C28302" s="277"/>
      <c r="M28302" s="277"/>
      <c r="O28302" s="247"/>
      <c r="AC28302" s="247"/>
      <c r="AT28302" s="247"/>
    </row>
    <row r="28303">
      <c r="C28303" s="278"/>
      <c r="M28303" s="277"/>
      <c r="O28303" s="247"/>
      <c r="AC28303" s="247"/>
      <c r="AT28303" s="247"/>
    </row>
    <row r="28304">
      <c r="C28304" s="278"/>
      <c r="M28304" s="277"/>
      <c r="O28304" s="247"/>
      <c r="AC28304" s="247"/>
      <c r="AT28304" s="247"/>
    </row>
    <row r="28305">
      <c r="C28305" s="278"/>
      <c r="M28305" s="277"/>
      <c r="O28305" s="247"/>
      <c r="AC28305" s="247"/>
      <c r="AT28305" s="247"/>
    </row>
    <row r="28306">
      <c r="C28306" s="278"/>
      <c r="M28306" s="277"/>
      <c r="O28306" s="247"/>
      <c r="AC28306" s="247"/>
      <c r="AT28306" s="247"/>
    </row>
    <row r="28307">
      <c r="C28307" s="278"/>
      <c r="M28307" s="277"/>
      <c r="O28307" s="247"/>
      <c r="AC28307" s="247"/>
      <c r="AT28307" s="247"/>
    </row>
    <row r="28308">
      <c r="C28308" s="277"/>
      <c r="M28308" s="277"/>
      <c r="O28308" s="247"/>
      <c r="AC28308" s="247"/>
      <c r="AT28308" s="247"/>
    </row>
    <row r="28309">
      <c r="C28309" s="277"/>
      <c r="M28309" s="277"/>
      <c r="O28309" s="247"/>
      <c r="AC28309" s="247"/>
      <c r="AT28309" s="247"/>
    </row>
    <row r="28310">
      <c r="C28310" s="277"/>
      <c r="M28310" s="277"/>
      <c r="O28310" s="247"/>
      <c r="AC28310" s="247"/>
      <c r="AT28310" s="247"/>
    </row>
    <row r="28311">
      <c r="C28311" s="277"/>
      <c r="M28311" s="277"/>
      <c r="O28311" s="247"/>
      <c r="AC28311" s="247"/>
      <c r="AT28311" s="247"/>
    </row>
    <row r="28312">
      <c r="C28312" s="277"/>
      <c r="M28312" s="277"/>
      <c r="O28312" s="247"/>
      <c r="AC28312" s="247"/>
      <c r="AT28312" s="247"/>
    </row>
    <row r="28313">
      <c r="C28313" s="277"/>
      <c r="M28313" s="277"/>
      <c r="O28313" s="247"/>
      <c r="AC28313" s="247"/>
      <c r="AT28313" s="247"/>
    </row>
    <row r="28314">
      <c r="C28314" s="278"/>
      <c r="M28314" s="277"/>
      <c r="O28314" s="247"/>
      <c r="AC28314" s="247"/>
      <c r="AT28314" s="247"/>
    </row>
    <row r="28315">
      <c r="C28315" s="277"/>
      <c r="M28315" s="277"/>
      <c r="O28315" s="247"/>
      <c r="AC28315" s="247"/>
      <c r="AT28315" s="247"/>
    </row>
    <row r="28316">
      <c r="C28316" s="278"/>
      <c r="M28316" s="277"/>
      <c r="O28316" s="247"/>
      <c r="AC28316" s="247"/>
      <c r="AT28316" s="247"/>
    </row>
    <row r="28317">
      <c r="C28317" s="277"/>
      <c r="M28317" s="277"/>
      <c r="O28317" s="247"/>
      <c r="AC28317" s="247"/>
      <c r="AT28317" s="247"/>
    </row>
    <row r="28318">
      <c r="C28318" s="277"/>
      <c r="M28318" s="277"/>
      <c r="O28318" s="247"/>
      <c r="AC28318" s="247"/>
      <c r="AT28318" s="247"/>
    </row>
    <row r="28319">
      <c r="C28319" s="277"/>
      <c r="M28319" s="277"/>
      <c r="O28319" s="247"/>
      <c r="AC28319" s="247"/>
      <c r="AT28319" s="247"/>
    </row>
    <row r="28320">
      <c r="C28320" s="277"/>
      <c r="M28320" s="277"/>
      <c r="O28320" s="247"/>
      <c r="AC28320" s="247"/>
      <c r="AT28320" s="247"/>
    </row>
    <row r="28321">
      <c r="C28321" s="277"/>
      <c r="M28321" s="277"/>
      <c r="O28321" s="247"/>
      <c r="AC28321" s="247"/>
      <c r="AT28321" s="247"/>
    </row>
    <row r="28322">
      <c r="C28322" s="277"/>
      <c r="M28322" s="277"/>
      <c r="O28322" s="247"/>
      <c r="AC28322" s="247"/>
      <c r="AT28322" s="247"/>
    </row>
    <row r="28323">
      <c r="C28323" s="278"/>
      <c r="M28323" s="277"/>
      <c r="O28323" s="247"/>
      <c r="AC28323" s="247"/>
      <c r="AT28323" s="247"/>
    </row>
    <row r="28324">
      <c r="C28324" s="277"/>
      <c r="M28324" s="277"/>
      <c r="O28324" s="247"/>
      <c r="AC28324" s="247"/>
      <c r="AT28324" s="247"/>
    </row>
    <row r="28325">
      <c r="C28325" s="278"/>
      <c r="M28325" s="277"/>
      <c r="O28325" s="247"/>
      <c r="AC28325" s="247"/>
      <c r="AT28325" s="247"/>
    </row>
    <row r="28326">
      <c r="C28326" s="278"/>
      <c r="M28326" s="277"/>
      <c r="O28326" s="247"/>
      <c r="AC28326" s="247"/>
      <c r="AT28326" s="247"/>
    </row>
    <row r="28327">
      <c r="C28327" s="278"/>
      <c r="M28327" s="277"/>
      <c r="O28327" s="247"/>
      <c r="AC28327" s="247"/>
      <c r="AT28327" s="247"/>
    </row>
    <row r="28328">
      <c r="C28328" s="278"/>
      <c r="M28328" s="278"/>
      <c r="O28328" s="247"/>
      <c r="AC28328" s="247"/>
      <c r="AT28328" s="247"/>
    </row>
    <row r="28329">
      <c r="C28329" s="278"/>
      <c r="M28329" s="278"/>
      <c r="O28329" s="247"/>
      <c r="AC28329" s="247"/>
      <c r="AT28329" s="247"/>
    </row>
    <row r="28330">
      <c r="C28330" s="278"/>
      <c r="M28330" s="278"/>
      <c r="O28330" s="247"/>
      <c r="AC28330" s="247"/>
      <c r="AT28330" s="247"/>
    </row>
    <row r="28331">
      <c r="C28331" s="278"/>
      <c r="M28331" s="278"/>
      <c r="O28331" s="247"/>
      <c r="AC28331" s="247"/>
      <c r="AT28331" s="247"/>
    </row>
    <row r="28332">
      <c r="C28332" s="278"/>
      <c r="M28332" s="278"/>
      <c r="O28332" s="247"/>
      <c r="AC28332" s="247"/>
      <c r="AT28332" s="247"/>
    </row>
    <row r="28333">
      <c r="C28333" s="278"/>
      <c r="M28333" s="278"/>
      <c r="O28333" s="247"/>
      <c r="AC28333" s="247"/>
      <c r="AT28333" s="247"/>
    </row>
    <row r="28334">
      <c r="C28334" s="278"/>
      <c r="M28334" s="278"/>
      <c r="O28334" s="247"/>
      <c r="AC28334" s="247"/>
      <c r="AT28334" s="247"/>
    </row>
    <row r="28335">
      <c r="C28335" s="278"/>
      <c r="M28335" s="278"/>
      <c r="O28335" s="247"/>
      <c r="AC28335" s="247"/>
      <c r="AT28335" s="247"/>
    </row>
    <row r="28336">
      <c r="C28336" s="278"/>
      <c r="M28336" s="278"/>
      <c r="O28336" s="247"/>
      <c r="AC28336" s="247"/>
      <c r="AT28336" s="247"/>
    </row>
    <row r="28337">
      <c r="C28337" s="278"/>
      <c r="M28337" s="278"/>
      <c r="O28337" s="247"/>
      <c r="AC28337" s="247"/>
      <c r="AT28337" s="247"/>
    </row>
    <row r="28338">
      <c r="C28338" s="278"/>
      <c r="M28338" s="278"/>
      <c r="O28338" s="247"/>
      <c r="AC28338" s="247"/>
      <c r="AT28338" s="247"/>
    </row>
    <row r="28339">
      <c r="C28339" s="278"/>
      <c r="M28339" s="278"/>
      <c r="O28339" s="247"/>
      <c r="AC28339" s="247"/>
      <c r="AT28339" s="247"/>
    </row>
    <row r="28340">
      <c r="C28340" s="278"/>
      <c r="M28340" s="278"/>
      <c r="O28340" s="247"/>
      <c r="AC28340" s="247"/>
      <c r="AT28340" s="247"/>
    </row>
    <row r="28341">
      <c r="C28341" s="278"/>
      <c r="M28341" s="278"/>
      <c r="O28341" s="247"/>
      <c r="AC28341" s="247"/>
      <c r="AT28341" s="247"/>
    </row>
    <row r="28342">
      <c r="C28342" s="278"/>
      <c r="M28342" s="278"/>
      <c r="O28342" s="247"/>
      <c r="AC28342" s="247"/>
      <c r="AT28342" s="247"/>
    </row>
    <row r="28343">
      <c r="C28343" s="278"/>
      <c r="M28343" s="278"/>
      <c r="O28343" s="247"/>
      <c r="AC28343" s="247"/>
      <c r="AT28343" s="247"/>
    </row>
    <row r="28344">
      <c r="C28344" s="278"/>
      <c r="M28344" s="278"/>
      <c r="O28344" s="247"/>
      <c r="AC28344" s="247"/>
      <c r="AT28344" s="247"/>
    </row>
    <row r="28345">
      <c r="C28345" s="278"/>
      <c r="M28345" s="278"/>
      <c r="O28345" s="247"/>
      <c r="AC28345" s="247"/>
      <c r="AT28345" s="247"/>
    </row>
    <row r="28346">
      <c r="C28346" s="278"/>
      <c r="M28346" s="278"/>
      <c r="O28346" s="247"/>
      <c r="AC28346" s="247"/>
      <c r="AT28346" s="247"/>
    </row>
    <row r="28347">
      <c r="C28347" s="278"/>
      <c r="M28347" s="278"/>
      <c r="O28347" s="247"/>
      <c r="AC28347" s="247"/>
      <c r="AT28347" s="247"/>
    </row>
    <row r="28348">
      <c r="C28348" s="278"/>
      <c r="M28348" s="278"/>
      <c r="O28348" s="247"/>
      <c r="AC28348" s="247"/>
      <c r="AT28348" s="247"/>
    </row>
    <row r="28349">
      <c r="C28349" s="278"/>
      <c r="M28349" s="278"/>
      <c r="O28349" s="247"/>
      <c r="AC28349" s="247"/>
      <c r="AT28349" s="247"/>
    </row>
    <row r="28350">
      <c r="C28350" s="278"/>
      <c r="M28350" s="278"/>
      <c r="O28350" s="247"/>
      <c r="AC28350" s="247"/>
      <c r="AT28350" s="247"/>
    </row>
    <row r="28351">
      <c r="C28351" s="278"/>
      <c r="M28351" s="278"/>
      <c r="O28351" s="247"/>
      <c r="AC28351" s="247"/>
      <c r="AT28351" s="247"/>
    </row>
    <row r="28352">
      <c r="C28352" s="278"/>
      <c r="M28352" s="278"/>
      <c r="O28352" s="247"/>
      <c r="AC28352" s="247"/>
      <c r="AT28352" s="247"/>
    </row>
    <row r="28353">
      <c r="C28353" s="278"/>
      <c r="M28353" s="278"/>
      <c r="O28353" s="247"/>
      <c r="AC28353" s="247"/>
      <c r="AT28353" s="247"/>
    </row>
    <row r="28354">
      <c r="C28354" s="278"/>
      <c r="M28354" s="278"/>
      <c r="O28354" s="247"/>
      <c r="AC28354" s="247"/>
      <c r="AT28354" s="247"/>
    </row>
    <row r="28355">
      <c r="C28355" s="278"/>
      <c r="M28355" s="278"/>
      <c r="O28355" s="247"/>
      <c r="AC28355" s="247"/>
      <c r="AT28355" s="247"/>
    </row>
    <row r="28356">
      <c r="C28356" s="278"/>
      <c r="M28356" s="278"/>
      <c r="O28356" s="247"/>
      <c r="AC28356" s="247"/>
      <c r="AT28356" s="247"/>
    </row>
    <row r="28357">
      <c r="C28357" s="278"/>
      <c r="M28357" s="278"/>
      <c r="O28357" s="247"/>
      <c r="AC28357" s="247"/>
      <c r="AT28357" s="247"/>
    </row>
    <row r="28358">
      <c r="C28358" s="278"/>
      <c r="M28358" s="278"/>
      <c r="O28358" s="247"/>
      <c r="AC28358" s="247"/>
      <c r="AT28358" s="247"/>
    </row>
    <row r="28359">
      <c r="C28359" s="278"/>
      <c r="M28359" s="278"/>
      <c r="O28359" s="247"/>
      <c r="AC28359" s="247"/>
      <c r="AT28359" s="247"/>
    </row>
    <row r="28360">
      <c r="C28360" s="278"/>
      <c r="M28360" s="278"/>
      <c r="O28360" s="247"/>
      <c r="AC28360" s="247"/>
      <c r="AT28360" s="247"/>
    </row>
    <row r="28361">
      <c r="C28361" s="278"/>
      <c r="M28361" s="278"/>
      <c r="O28361" s="247"/>
      <c r="AC28361" s="247"/>
      <c r="AT28361" s="247"/>
    </row>
    <row r="28362">
      <c r="C28362" s="278"/>
      <c r="M28362" s="278"/>
      <c r="O28362" s="247"/>
      <c r="AC28362" s="247"/>
      <c r="AT28362" s="247"/>
    </row>
    <row r="28363">
      <c r="C28363" s="278"/>
      <c r="M28363" s="278"/>
      <c r="O28363" s="247"/>
      <c r="AC28363" s="247"/>
      <c r="AT28363" s="247"/>
    </row>
    <row r="28364">
      <c r="C28364" s="278"/>
      <c r="M28364" s="278"/>
      <c r="O28364" s="247"/>
      <c r="AC28364" s="247"/>
      <c r="AT28364" s="247"/>
    </row>
    <row r="28365">
      <c r="C28365" s="278"/>
      <c r="M28365" s="278"/>
      <c r="O28365" s="247"/>
      <c r="AC28365" s="247"/>
      <c r="AT28365" s="247"/>
    </row>
    <row r="28366">
      <c r="C28366" s="278"/>
      <c r="M28366" s="278"/>
      <c r="O28366" s="247"/>
      <c r="AC28366" s="247"/>
      <c r="AT28366" s="247"/>
    </row>
    <row r="28367">
      <c r="C28367" s="278"/>
      <c r="M28367" s="278"/>
      <c r="O28367" s="247"/>
      <c r="AC28367" s="247"/>
      <c r="AT28367" s="247"/>
    </row>
    <row r="28368">
      <c r="C28368" s="278"/>
      <c r="M28368" s="278"/>
      <c r="O28368" s="247"/>
      <c r="AC28368" s="247"/>
      <c r="AT28368" s="247"/>
    </row>
    <row r="28369">
      <c r="C28369" s="278"/>
      <c r="M28369" s="278"/>
      <c r="O28369" s="247"/>
      <c r="AC28369" s="247"/>
      <c r="AT28369" s="247"/>
    </row>
    <row r="28370">
      <c r="C28370" s="278"/>
      <c r="M28370" s="278"/>
      <c r="O28370" s="247"/>
      <c r="AC28370" s="247"/>
      <c r="AT28370" s="247"/>
    </row>
    <row r="28371">
      <c r="C28371" s="278"/>
      <c r="M28371" s="278"/>
      <c r="O28371" s="247"/>
      <c r="AC28371" s="247"/>
      <c r="AT28371" s="247"/>
    </row>
    <row r="28372">
      <c r="C28372" s="278"/>
      <c r="M28372" s="278"/>
      <c r="O28372" s="247"/>
      <c r="AC28372" s="247"/>
      <c r="AT28372" s="247"/>
    </row>
    <row r="28373">
      <c r="C28373" s="278"/>
      <c r="M28373" s="278"/>
      <c r="O28373" s="247"/>
      <c r="AC28373" s="247"/>
      <c r="AT28373" s="247"/>
    </row>
    <row r="28374">
      <c r="C28374" s="278"/>
      <c r="M28374" s="278"/>
      <c r="O28374" s="247"/>
      <c r="AC28374" s="247"/>
      <c r="AT28374" s="247"/>
    </row>
    <row r="28375">
      <c r="C28375" s="278"/>
      <c r="M28375" s="278"/>
      <c r="O28375" s="247"/>
      <c r="AC28375" s="247"/>
      <c r="AT28375" s="247"/>
    </row>
    <row r="28376">
      <c r="C28376" s="278"/>
      <c r="M28376" s="278"/>
      <c r="O28376" s="247"/>
      <c r="AC28376" s="247"/>
      <c r="AT28376" s="247"/>
    </row>
    <row r="28377">
      <c r="C28377" s="278"/>
      <c r="M28377" s="278"/>
      <c r="O28377" s="247"/>
      <c r="AC28377" s="247"/>
      <c r="AT28377" s="247"/>
    </row>
    <row r="28378">
      <c r="C28378" s="278"/>
      <c r="M28378" s="278"/>
      <c r="O28378" s="247"/>
      <c r="AC28378" s="247"/>
      <c r="AT28378" s="247"/>
    </row>
    <row r="28379">
      <c r="C28379" s="278"/>
      <c r="M28379" s="278"/>
      <c r="O28379" s="247"/>
      <c r="AC28379" s="247"/>
      <c r="AT28379" s="247"/>
    </row>
    <row r="28380">
      <c r="C28380" s="278"/>
      <c r="M28380" s="278"/>
      <c r="O28380" s="247"/>
      <c r="AC28380" s="247"/>
      <c r="AT28380" s="247"/>
    </row>
    <row r="28381">
      <c r="C28381" s="278"/>
      <c r="M28381" s="278"/>
      <c r="O28381" s="247"/>
      <c r="AC28381" s="247"/>
      <c r="AT28381" s="247"/>
    </row>
    <row r="28382">
      <c r="C28382" s="278"/>
      <c r="M28382" s="278"/>
      <c r="O28382" s="247"/>
      <c r="AC28382" s="247"/>
      <c r="AT28382" s="247"/>
    </row>
    <row r="28383">
      <c r="C28383" s="278"/>
      <c r="M28383" s="278"/>
      <c r="O28383" s="247"/>
      <c r="AC28383" s="247"/>
      <c r="AT28383" s="247"/>
    </row>
    <row r="28384">
      <c r="C28384" s="278"/>
      <c r="M28384" s="278"/>
      <c r="O28384" s="247"/>
      <c r="AC28384" s="247"/>
      <c r="AT28384" s="247"/>
    </row>
    <row r="28385">
      <c r="C28385" s="278"/>
      <c r="M28385" s="278"/>
      <c r="O28385" s="247"/>
      <c r="AC28385" s="247"/>
      <c r="AT28385" s="247"/>
    </row>
    <row r="28386">
      <c r="C28386" s="278"/>
      <c r="M28386" s="278"/>
      <c r="O28386" s="247"/>
      <c r="AC28386" s="247"/>
      <c r="AT28386" s="247"/>
    </row>
    <row r="28387">
      <c r="C28387" s="278"/>
      <c r="M28387" s="278"/>
      <c r="O28387" s="247"/>
      <c r="AC28387" s="247"/>
      <c r="AT28387" s="247"/>
    </row>
    <row r="28388">
      <c r="C28388" s="278"/>
      <c r="M28388" s="278"/>
      <c r="O28388" s="247"/>
      <c r="AC28388" s="247"/>
      <c r="AT28388" s="247"/>
    </row>
    <row r="28389">
      <c r="C28389" s="278"/>
      <c r="M28389" s="278"/>
      <c r="O28389" s="247"/>
      <c r="AC28389" s="247"/>
      <c r="AT28389" s="247"/>
    </row>
    <row r="28390">
      <c r="C28390" s="278"/>
      <c r="M28390" s="278"/>
      <c r="O28390" s="247"/>
      <c r="AC28390" s="247"/>
      <c r="AT28390" s="247"/>
    </row>
    <row r="28391">
      <c r="C28391" s="278"/>
      <c r="M28391" s="278"/>
      <c r="O28391" s="247"/>
      <c r="AC28391" s="247"/>
      <c r="AT28391" s="247"/>
    </row>
    <row r="28392">
      <c r="C28392" s="278"/>
      <c r="M28392" s="278"/>
      <c r="O28392" s="247"/>
      <c r="AC28392" s="247"/>
      <c r="AT28392" s="247"/>
    </row>
    <row r="28393">
      <c r="C28393" s="278"/>
      <c r="M28393" s="278"/>
      <c r="O28393" s="247"/>
      <c r="AC28393" s="247"/>
      <c r="AT28393" s="247"/>
    </row>
    <row r="28394">
      <c r="C28394" s="278"/>
      <c r="M28394" s="278"/>
      <c r="O28394" s="247"/>
      <c r="AC28394" s="247"/>
      <c r="AT28394" s="247"/>
    </row>
    <row r="28395">
      <c r="C28395" s="278"/>
      <c r="M28395" s="278"/>
      <c r="O28395" s="247"/>
      <c r="AC28395" s="247"/>
      <c r="AT28395" s="247"/>
    </row>
    <row r="28396">
      <c r="C28396" s="278"/>
      <c r="M28396" s="278"/>
      <c r="O28396" s="247"/>
      <c r="AC28396" s="247"/>
      <c r="AT28396" s="247"/>
    </row>
    <row r="28397">
      <c r="C28397" s="278"/>
      <c r="M28397" s="278"/>
      <c r="O28397" s="247"/>
      <c r="AC28397" s="247"/>
      <c r="AT28397" s="247"/>
    </row>
    <row r="28398">
      <c r="C28398" s="278"/>
      <c r="M28398" s="278"/>
      <c r="O28398" s="247"/>
      <c r="AC28398" s="247"/>
      <c r="AT28398" s="247"/>
    </row>
    <row r="28399">
      <c r="C28399" s="278"/>
      <c r="M28399" s="278"/>
      <c r="O28399" s="247"/>
      <c r="AC28399" s="247"/>
      <c r="AT28399" s="247"/>
    </row>
    <row r="28400">
      <c r="C28400" s="278"/>
      <c r="M28400" s="278"/>
      <c r="O28400" s="247"/>
      <c r="AC28400" s="247"/>
      <c r="AT28400" s="247"/>
    </row>
    <row r="28401">
      <c r="C28401" s="278"/>
      <c r="M28401" s="278"/>
      <c r="O28401" s="247"/>
      <c r="AC28401" s="247"/>
      <c r="AT28401" s="247"/>
    </row>
    <row r="28402">
      <c r="C28402" s="278"/>
      <c r="M28402" s="278"/>
      <c r="O28402" s="247"/>
      <c r="AC28402" s="247"/>
      <c r="AT28402" s="247"/>
    </row>
    <row r="28403">
      <c r="C28403" s="278"/>
      <c r="M28403" s="278"/>
      <c r="O28403" s="247"/>
      <c r="AC28403" s="247"/>
      <c r="AT28403" s="247"/>
    </row>
    <row r="28404">
      <c r="C28404" s="278"/>
      <c r="M28404" s="278"/>
      <c r="O28404" s="247"/>
      <c r="AC28404" s="247"/>
      <c r="AT28404" s="247"/>
    </row>
    <row r="28405">
      <c r="C28405" s="278"/>
      <c r="M28405" s="278"/>
      <c r="O28405" s="247"/>
      <c r="AC28405" s="247"/>
      <c r="AT28405" s="247"/>
    </row>
    <row r="28406">
      <c r="C28406" s="278"/>
      <c r="M28406" s="278"/>
      <c r="O28406" s="247"/>
      <c r="AC28406" s="247"/>
      <c r="AT28406" s="247"/>
    </row>
    <row r="28407">
      <c r="C28407" s="278"/>
      <c r="M28407" s="278"/>
      <c r="O28407" s="247"/>
      <c r="AC28407" s="247"/>
      <c r="AT28407" s="247"/>
    </row>
    <row r="28408">
      <c r="C28408" s="278"/>
      <c r="M28408" s="278"/>
      <c r="O28408" s="247"/>
      <c r="AC28408" s="247"/>
      <c r="AT28408" s="247"/>
    </row>
    <row r="28409">
      <c r="C28409" s="278"/>
      <c r="M28409" s="278"/>
      <c r="O28409" s="247"/>
      <c r="AC28409" s="247"/>
      <c r="AT28409" s="247"/>
    </row>
    <row r="28410">
      <c r="C28410" s="278"/>
      <c r="M28410" s="278"/>
      <c r="O28410" s="247"/>
      <c r="AC28410" s="247"/>
      <c r="AT28410" s="247"/>
    </row>
    <row r="28411">
      <c r="C28411" s="278"/>
      <c r="M28411" s="278"/>
      <c r="O28411" s="247"/>
      <c r="AC28411" s="247"/>
      <c r="AT28411" s="247"/>
    </row>
    <row r="28412">
      <c r="C28412" s="278"/>
      <c r="M28412" s="278"/>
      <c r="O28412" s="247"/>
      <c r="AC28412" s="247"/>
      <c r="AT28412" s="247"/>
    </row>
    <row r="28413">
      <c r="C28413" s="278"/>
      <c r="M28413" s="278"/>
      <c r="O28413" s="247"/>
      <c r="AC28413" s="247"/>
      <c r="AT28413" s="247"/>
    </row>
    <row r="28414">
      <c r="C28414" s="278"/>
      <c r="M28414" s="278"/>
      <c r="O28414" s="247"/>
      <c r="AC28414" s="247"/>
      <c r="AT28414" s="247"/>
    </row>
    <row r="28415">
      <c r="C28415" s="278"/>
      <c r="M28415" s="278"/>
      <c r="O28415" s="247"/>
      <c r="AC28415" s="247"/>
      <c r="AT28415" s="247"/>
    </row>
    <row r="28416">
      <c r="C28416" s="278"/>
      <c r="M28416" s="278"/>
      <c r="O28416" s="247"/>
      <c r="AC28416" s="247"/>
      <c r="AT28416" s="247"/>
    </row>
    <row r="28417">
      <c r="C28417" s="278"/>
      <c r="M28417" s="278"/>
      <c r="O28417" s="247"/>
      <c r="AC28417" s="247"/>
      <c r="AT28417" s="247"/>
    </row>
    <row r="28418">
      <c r="C28418" s="278"/>
      <c r="M28418" s="278"/>
      <c r="O28418" s="247"/>
      <c r="AC28418" s="247"/>
      <c r="AT28418" s="247"/>
    </row>
    <row r="28419">
      <c r="C28419" s="278"/>
      <c r="M28419" s="278"/>
      <c r="O28419" s="247"/>
      <c r="AC28419" s="247"/>
      <c r="AT28419" s="247"/>
    </row>
    <row r="28420">
      <c r="C28420" s="278"/>
      <c r="M28420" s="278"/>
      <c r="O28420" s="247"/>
      <c r="AC28420" s="247"/>
      <c r="AT28420" s="247"/>
    </row>
    <row r="28421">
      <c r="C28421" s="278"/>
      <c r="M28421" s="278"/>
      <c r="O28421" s="247"/>
      <c r="AC28421" s="247"/>
      <c r="AT28421" s="247"/>
    </row>
    <row r="28422">
      <c r="C28422" s="278"/>
      <c r="M28422" s="278"/>
      <c r="O28422" s="247"/>
      <c r="AC28422" s="247"/>
      <c r="AT28422" s="247"/>
    </row>
    <row r="28423">
      <c r="C28423" s="278"/>
      <c r="M28423" s="278"/>
      <c r="O28423" s="247"/>
      <c r="AC28423" s="247"/>
      <c r="AT28423" s="247"/>
    </row>
    <row r="28424">
      <c r="C28424" s="278"/>
      <c r="M28424" s="278"/>
      <c r="O28424" s="247"/>
      <c r="AC28424" s="247"/>
      <c r="AT28424" s="247"/>
    </row>
    <row r="28425">
      <c r="C28425" s="278"/>
      <c r="M28425" s="278"/>
      <c r="O28425" s="247"/>
      <c r="AC28425" s="247"/>
      <c r="AT28425" s="247"/>
    </row>
    <row r="28426">
      <c r="C28426" s="278"/>
      <c r="M28426" s="278"/>
      <c r="O28426" s="247"/>
      <c r="AC28426" s="247"/>
      <c r="AT28426" s="247"/>
    </row>
    <row r="28427">
      <c r="C28427" s="278"/>
      <c r="M28427" s="278"/>
      <c r="O28427" s="247"/>
      <c r="AC28427" s="247"/>
      <c r="AT28427" s="247"/>
    </row>
    <row r="28428">
      <c r="C28428" s="278"/>
      <c r="M28428" s="278"/>
      <c r="O28428" s="247"/>
      <c r="AC28428" s="247"/>
      <c r="AT28428" s="247"/>
    </row>
    <row r="28429">
      <c r="C28429" s="278"/>
      <c r="M28429" s="278"/>
      <c r="O28429" s="247"/>
      <c r="AC28429" s="247"/>
      <c r="AT28429" s="247"/>
    </row>
    <row r="28430">
      <c r="C28430" s="278"/>
      <c r="M28430" s="278"/>
      <c r="O28430" s="247"/>
      <c r="AC28430" s="247"/>
      <c r="AT28430" s="247"/>
    </row>
    <row r="28431">
      <c r="C28431" s="278"/>
      <c r="M28431" s="278"/>
      <c r="O28431" s="247"/>
      <c r="AC28431" s="247"/>
      <c r="AT28431" s="247"/>
    </row>
    <row r="28432">
      <c r="C28432" s="278"/>
      <c r="M28432" s="278"/>
      <c r="O28432" s="247"/>
      <c r="AC28432" s="247"/>
      <c r="AT28432" s="247"/>
    </row>
    <row r="28433">
      <c r="C28433" s="278"/>
      <c r="M28433" s="278"/>
      <c r="O28433" s="247"/>
      <c r="AC28433" s="247"/>
      <c r="AT28433" s="247"/>
    </row>
    <row r="28434">
      <c r="C28434" s="278"/>
      <c r="M28434" s="278"/>
      <c r="O28434" s="247"/>
      <c r="AC28434" s="247"/>
      <c r="AT28434" s="247"/>
    </row>
    <row r="28435">
      <c r="C28435" s="278"/>
      <c r="M28435" s="278"/>
      <c r="O28435" s="247"/>
      <c r="AC28435" s="247"/>
      <c r="AT28435" s="247"/>
    </row>
    <row r="28436">
      <c r="C28436" s="278"/>
      <c r="M28436" s="278"/>
      <c r="O28436" s="247"/>
      <c r="AC28436" s="247"/>
      <c r="AT28436" s="247"/>
    </row>
    <row r="28437">
      <c r="C28437" s="278"/>
      <c r="M28437" s="278"/>
      <c r="O28437" s="247"/>
      <c r="AC28437" s="247"/>
      <c r="AT28437" s="247"/>
    </row>
    <row r="28438">
      <c r="C28438" s="278"/>
      <c r="M28438" s="278"/>
      <c r="O28438" s="247"/>
      <c r="AC28438" s="247"/>
      <c r="AT28438" s="247"/>
    </row>
    <row r="28439">
      <c r="C28439" s="278"/>
      <c r="M28439" s="278"/>
      <c r="O28439" s="247"/>
      <c r="AC28439" s="247"/>
      <c r="AT28439" s="247"/>
    </row>
    <row r="28440">
      <c r="C28440" s="278"/>
      <c r="M28440" s="278"/>
      <c r="O28440" s="247"/>
      <c r="AC28440" s="247"/>
      <c r="AT28440" s="247"/>
    </row>
    <row r="28441">
      <c r="C28441" s="278"/>
      <c r="M28441" s="278"/>
      <c r="O28441" s="247"/>
      <c r="AC28441" s="247"/>
      <c r="AT28441" s="247"/>
    </row>
    <row r="28442">
      <c r="C28442" s="278"/>
      <c r="M28442" s="278"/>
      <c r="O28442" s="247"/>
      <c r="AC28442" s="247"/>
      <c r="AT28442" s="247"/>
    </row>
    <row r="28443">
      <c r="C28443" s="278"/>
      <c r="M28443" s="278"/>
      <c r="O28443" s="247"/>
      <c r="AC28443" s="247"/>
      <c r="AT28443" s="247"/>
    </row>
    <row r="28444">
      <c r="C28444" s="278"/>
      <c r="M28444" s="278"/>
      <c r="O28444" s="247"/>
      <c r="AC28444" s="247"/>
      <c r="AT28444" s="247"/>
    </row>
    <row r="28445">
      <c r="C28445" s="278"/>
      <c r="M28445" s="278"/>
      <c r="O28445" s="247"/>
      <c r="AC28445" s="247"/>
      <c r="AT28445" s="247"/>
    </row>
    <row r="28446">
      <c r="C28446" s="278"/>
      <c r="M28446" s="278"/>
      <c r="O28446" s="247"/>
      <c r="AC28446" s="247"/>
      <c r="AT28446" s="247"/>
    </row>
    <row r="28447">
      <c r="C28447" s="278"/>
      <c r="M28447" s="278"/>
      <c r="O28447" s="247"/>
      <c r="AC28447" s="247"/>
      <c r="AT28447" s="247"/>
    </row>
    <row r="28448">
      <c r="C28448" s="278"/>
      <c r="M28448" s="278"/>
      <c r="O28448" s="247"/>
      <c r="AC28448" s="247"/>
      <c r="AT28448" s="247"/>
    </row>
    <row r="28449">
      <c r="C28449" s="278"/>
      <c r="M28449" s="278"/>
      <c r="O28449" s="247"/>
      <c r="AC28449" s="247"/>
      <c r="AT28449" s="247"/>
    </row>
    <row r="28450">
      <c r="C28450" s="278"/>
      <c r="M28450" s="278"/>
      <c r="O28450" s="247"/>
      <c r="AC28450" s="247"/>
      <c r="AT28450" s="247"/>
    </row>
    <row r="28451">
      <c r="C28451" s="278"/>
      <c r="M28451" s="278"/>
      <c r="O28451" s="247"/>
      <c r="AC28451" s="247"/>
      <c r="AT28451" s="247"/>
    </row>
    <row r="28452">
      <c r="C28452" s="278"/>
      <c r="M28452" s="278"/>
      <c r="O28452" s="247"/>
      <c r="AC28452" s="247"/>
      <c r="AT28452" s="247"/>
    </row>
    <row r="28453">
      <c r="C28453" s="278"/>
      <c r="M28453" s="278"/>
      <c r="O28453" s="247"/>
      <c r="AC28453" s="247"/>
      <c r="AT28453" s="247"/>
    </row>
    <row r="28454">
      <c r="C28454" s="278"/>
      <c r="M28454" s="278"/>
      <c r="O28454" s="247"/>
      <c r="AC28454" s="247"/>
      <c r="AT28454" s="247"/>
    </row>
    <row r="28455">
      <c r="C28455" s="278"/>
      <c r="M28455" s="278"/>
      <c r="O28455" s="247"/>
      <c r="AC28455" s="247"/>
      <c r="AT28455" s="247"/>
    </row>
    <row r="28456">
      <c r="C28456" s="278"/>
      <c r="M28456" s="278"/>
      <c r="O28456" s="247"/>
      <c r="AC28456" s="247"/>
      <c r="AT28456" s="247"/>
    </row>
    <row r="28457">
      <c r="C28457" s="278"/>
      <c r="M28457" s="278"/>
      <c r="O28457" s="247"/>
      <c r="AC28457" s="247"/>
      <c r="AT28457" s="247"/>
    </row>
    <row r="28458">
      <c r="C28458" s="278"/>
      <c r="M28458" s="278"/>
      <c r="O28458" s="247"/>
      <c r="AC28458" s="247"/>
      <c r="AT28458" s="247"/>
    </row>
    <row r="28459">
      <c r="C28459" s="278"/>
      <c r="M28459" s="278"/>
      <c r="O28459" s="247"/>
      <c r="AC28459" s="247"/>
      <c r="AT28459" s="247"/>
    </row>
    <row r="28460">
      <c r="C28460" s="278"/>
      <c r="M28460" s="278"/>
      <c r="O28460" s="247"/>
      <c r="AC28460" s="247"/>
      <c r="AT28460" s="247"/>
    </row>
    <row r="28461">
      <c r="C28461" s="278"/>
      <c r="M28461" s="278"/>
      <c r="O28461" s="247"/>
      <c r="AC28461" s="247"/>
      <c r="AT28461" s="247"/>
    </row>
    <row r="28462">
      <c r="C28462" s="278"/>
      <c r="M28462" s="278"/>
      <c r="O28462" s="247"/>
      <c r="AC28462" s="247"/>
      <c r="AT28462" s="247"/>
    </row>
    <row r="28463">
      <c r="C28463" s="278"/>
      <c r="M28463" s="278"/>
      <c r="O28463" s="247"/>
      <c r="AC28463" s="247"/>
      <c r="AT28463" s="247"/>
    </row>
    <row r="28464">
      <c r="C28464" s="278"/>
      <c r="M28464" s="278"/>
      <c r="O28464" s="247"/>
      <c r="AC28464" s="247"/>
      <c r="AT28464" s="247"/>
    </row>
    <row r="28465">
      <c r="C28465" s="278"/>
      <c r="M28465" s="278"/>
      <c r="O28465" s="247"/>
      <c r="AC28465" s="247"/>
      <c r="AT28465" s="247"/>
    </row>
    <row r="28466">
      <c r="C28466" s="277"/>
      <c r="M28466" s="278"/>
      <c r="O28466" s="247"/>
      <c r="AC28466" s="247"/>
      <c r="AT28466" s="247"/>
    </row>
    <row r="28467">
      <c r="C28467" s="278"/>
      <c r="M28467" s="278"/>
      <c r="O28467" s="247"/>
      <c r="AC28467" s="247"/>
      <c r="AT28467" s="247"/>
    </row>
    <row r="28468">
      <c r="C28468" s="278"/>
      <c r="M28468" s="278"/>
      <c r="O28468" s="247"/>
      <c r="AC28468" s="247"/>
      <c r="AT28468" s="247"/>
    </row>
    <row r="28469">
      <c r="C28469" s="278"/>
      <c r="M28469" s="278"/>
      <c r="O28469" s="247"/>
      <c r="AC28469" s="247"/>
      <c r="AT28469" s="247"/>
    </row>
    <row r="28470">
      <c r="C28470" s="278"/>
      <c r="M28470" s="278"/>
      <c r="O28470" s="247"/>
      <c r="AC28470" s="247"/>
      <c r="AT28470" s="247"/>
    </row>
    <row r="28471">
      <c r="C28471" s="278"/>
      <c r="M28471" s="278"/>
      <c r="O28471" s="247"/>
      <c r="AC28471" s="247"/>
      <c r="AT28471" s="247"/>
    </row>
    <row r="28472">
      <c r="C28472" s="278"/>
      <c r="M28472" s="278"/>
      <c r="O28472" s="247"/>
      <c r="AC28472" s="247"/>
      <c r="AT28472" s="247"/>
    </row>
    <row r="28473">
      <c r="C28473" s="278"/>
      <c r="M28473" s="278"/>
      <c r="O28473" s="247"/>
      <c r="AC28473" s="247"/>
      <c r="AT28473" s="247"/>
    </row>
    <row r="28474">
      <c r="C28474" s="278"/>
      <c r="M28474" s="278"/>
      <c r="O28474" s="247"/>
      <c r="AC28474" s="247"/>
      <c r="AT28474" s="247"/>
    </row>
    <row r="28475">
      <c r="C28475" s="278"/>
      <c r="M28475" s="278"/>
      <c r="O28475" s="247"/>
      <c r="AC28475" s="247"/>
      <c r="AT28475" s="247"/>
    </row>
    <row r="28476">
      <c r="C28476" s="278"/>
      <c r="M28476" s="278"/>
      <c r="O28476" s="247"/>
      <c r="AC28476" s="247"/>
      <c r="AT28476" s="247"/>
    </row>
    <row r="28477">
      <c r="C28477" s="278"/>
      <c r="M28477" s="278"/>
      <c r="O28477" s="247"/>
      <c r="AC28477" s="247"/>
      <c r="AT28477" s="247"/>
    </row>
    <row r="28478">
      <c r="C28478" s="278"/>
      <c r="M28478" s="278"/>
      <c r="O28478" s="247"/>
      <c r="AC28478" s="247"/>
      <c r="AT28478" s="247"/>
    </row>
    <row r="28479">
      <c r="C28479" s="278"/>
      <c r="M28479" s="278"/>
      <c r="O28479" s="247"/>
      <c r="AC28479" s="247"/>
      <c r="AT28479" s="247"/>
    </row>
    <row r="28480">
      <c r="C28480" s="277"/>
      <c r="M28480" s="278"/>
      <c r="O28480" s="247"/>
      <c r="AC28480" s="247"/>
      <c r="AT28480" s="247"/>
    </row>
    <row r="28481">
      <c r="C28481" s="277"/>
      <c r="M28481" s="278"/>
      <c r="O28481" s="247"/>
      <c r="AC28481" s="247"/>
      <c r="AT28481" s="247"/>
    </row>
    <row r="28482">
      <c r="C28482" s="277"/>
      <c r="M28482" s="278"/>
      <c r="O28482" s="247"/>
      <c r="AC28482" s="247"/>
      <c r="AT28482" s="247"/>
    </row>
    <row r="28483">
      <c r="C28483" s="277"/>
      <c r="M28483" s="278"/>
      <c r="O28483" s="247"/>
      <c r="AC28483" s="247"/>
      <c r="AT28483" s="247"/>
    </row>
    <row r="28484">
      <c r="C28484" s="277"/>
      <c r="M28484" s="278"/>
      <c r="O28484" s="247"/>
      <c r="AC28484" s="247"/>
      <c r="AT28484" s="247"/>
    </row>
    <row r="28485">
      <c r="C28485" s="277"/>
      <c r="M28485" s="278"/>
      <c r="O28485" s="247"/>
      <c r="AC28485" s="247"/>
      <c r="AT28485" s="247"/>
    </row>
    <row r="28486">
      <c r="C28486" s="277"/>
      <c r="M28486" s="278"/>
      <c r="O28486" s="247"/>
      <c r="AC28486" s="247"/>
      <c r="AT28486" s="247"/>
    </row>
    <row r="28487">
      <c r="C28487" s="277"/>
      <c r="M28487" s="278"/>
      <c r="O28487" s="247"/>
      <c r="AC28487" s="247"/>
      <c r="AT28487" s="247"/>
    </row>
    <row r="28488">
      <c r="C28488" s="277"/>
      <c r="M28488" s="278"/>
      <c r="O28488" s="247"/>
      <c r="AC28488" s="247"/>
      <c r="AT28488" s="247"/>
    </row>
    <row r="28489">
      <c r="C28489" s="277"/>
      <c r="M28489" s="278"/>
      <c r="O28489" s="247"/>
      <c r="AC28489" s="247"/>
      <c r="AT28489" s="247"/>
    </row>
    <row r="28490">
      <c r="C28490" s="277"/>
      <c r="M28490" s="278"/>
      <c r="O28490" s="247"/>
      <c r="AC28490" s="247"/>
      <c r="AT28490" s="247"/>
    </row>
    <row r="28491">
      <c r="C28491" s="277"/>
      <c r="M28491" s="278"/>
      <c r="O28491" s="247"/>
      <c r="AC28491" s="247"/>
      <c r="AT28491" s="247"/>
    </row>
    <row r="28492">
      <c r="C28492" s="277"/>
      <c r="M28492" s="278"/>
      <c r="O28492" s="247"/>
      <c r="AC28492" s="247"/>
      <c r="AT28492" s="247"/>
    </row>
    <row r="28493">
      <c r="C28493" s="277"/>
      <c r="M28493" s="278"/>
      <c r="O28493" s="247"/>
      <c r="AC28493" s="247"/>
      <c r="AT28493" s="247"/>
    </row>
    <row r="28494">
      <c r="C28494" s="277"/>
      <c r="M28494" s="277"/>
      <c r="O28494" s="247"/>
      <c r="AC28494" s="247"/>
      <c r="AT28494" s="247"/>
    </row>
    <row r="28495">
      <c r="C28495" s="277"/>
      <c r="M28495" s="277"/>
      <c r="O28495" s="247"/>
      <c r="AC28495" s="247"/>
      <c r="AT28495" s="247"/>
    </row>
    <row r="28496">
      <c r="C28496" s="277"/>
      <c r="M28496" s="277"/>
      <c r="O28496" s="247"/>
      <c r="AC28496" s="247"/>
      <c r="AT28496" s="247"/>
    </row>
    <row r="28497">
      <c r="C28497" s="277"/>
      <c r="M28497" s="277"/>
      <c r="O28497" s="247"/>
      <c r="AC28497" s="247"/>
      <c r="AT28497" s="247"/>
    </row>
    <row r="28498">
      <c r="C28498" s="277"/>
      <c r="M28498" s="277"/>
      <c r="O28498" s="247"/>
      <c r="AC28498" s="247"/>
      <c r="AT28498" s="247"/>
    </row>
    <row r="28499">
      <c r="C28499" s="277"/>
      <c r="M28499" s="277"/>
      <c r="O28499" s="247"/>
      <c r="AC28499" s="247"/>
      <c r="AT28499" s="247"/>
    </row>
    <row r="28500">
      <c r="C28500" s="277"/>
      <c r="M28500" s="277"/>
      <c r="O28500" s="247"/>
      <c r="AC28500" s="247"/>
      <c r="AT28500" s="247"/>
    </row>
    <row r="28501">
      <c r="C28501" s="277"/>
      <c r="M28501" s="277"/>
      <c r="O28501" s="247"/>
      <c r="AC28501" s="247"/>
      <c r="AT28501" s="247"/>
    </row>
    <row r="28502">
      <c r="C28502" s="277"/>
      <c r="M28502" s="277"/>
      <c r="O28502" s="247"/>
      <c r="AC28502" s="247"/>
      <c r="AT28502" s="247"/>
    </row>
    <row r="28503">
      <c r="C28503" s="277"/>
      <c r="M28503" s="277"/>
      <c r="O28503" s="247"/>
      <c r="AC28503" s="247"/>
      <c r="AT28503" s="247"/>
    </row>
    <row r="28504">
      <c r="C28504" s="277"/>
      <c r="M28504" s="277"/>
      <c r="O28504" s="247"/>
      <c r="AC28504" s="247"/>
      <c r="AT28504" s="247"/>
    </row>
    <row r="28505">
      <c r="C28505" s="277"/>
      <c r="M28505" s="277"/>
      <c r="O28505" s="247"/>
      <c r="AC28505" s="247"/>
      <c r="AT28505" s="247"/>
    </row>
    <row r="28506">
      <c r="C28506" s="277"/>
      <c r="M28506" s="277"/>
      <c r="O28506" s="247"/>
      <c r="AC28506" s="247"/>
      <c r="AT28506" s="247"/>
    </row>
    <row r="28507">
      <c r="C28507" s="277"/>
      <c r="M28507" s="277"/>
      <c r="O28507" s="247"/>
      <c r="AC28507" s="247"/>
      <c r="AT28507" s="247"/>
    </row>
    <row r="28508">
      <c r="C28508" s="277"/>
      <c r="M28508" s="277"/>
      <c r="O28508" s="247"/>
      <c r="AC28508" s="247"/>
      <c r="AT28508" s="247"/>
    </row>
    <row r="28509">
      <c r="C28509" s="277"/>
      <c r="M28509" s="277"/>
      <c r="O28509" s="247"/>
      <c r="AC28509" s="247"/>
      <c r="AT28509" s="247"/>
    </row>
    <row r="28510">
      <c r="C28510" s="277"/>
      <c r="M28510" s="277"/>
      <c r="O28510" s="247"/>
      <c r="AC28510" s="247"/>
      <c r="AT28510" s="247"/>
    </row>
    <row r="28511">
      <c r="C28511" s="277"/>
      <c r="M28511" s="277"/>
      <c r="O28511" s="247"/>
      <c r="AC28511" s="247"/>
      <c r="AT28511" s="247"/>
    </row>
    <row r="28512">
      <c r="C28512" s="277"/>
      <c r="M28512" s="277"/>
      <c r="O28512" s="247"/>
      <c r="AC28512" s="247"/>
      <c r="AT28512" s="247"/>
    </row>
    <row r="28513">
      <c r="C28513" s="277"/>
      <c r="M28513" s="277"/>
      <c r="O28513" s="247"/>
      <c r="AC28513" s="247"/>
      <c r="AT28513" s="247"/>
    </row>
    <row r="28514">
      <c r="C28514" s="277"/>
      <c r="M28514" s="277"/>
      <c r="O28514" s="247"/>
      <c r="AC28514" s="247"/>
      <c r="AT28514" s="247"/>
    </row>
    <row r="28515">
      <c r="C28515" s="277"/>
      <c r="M28515" s="277"/>
      <c r="O28515" s="247"/>
      <c r="AC28515" s="247"/>
      <c r="AT28515" s="247"/>
    </row>
    <row r="28516">
      <c r="C28516" s="277"/>
      <c r="M28516" s="277"/>
      <c r="O28516" s="247"/>
      <c r="AC28516" s="247"/>
      <c r="AT28516" s="247"/>
    </row>
    <row r="28517">
      <c r="C28517" s="277"/>
      <c r="M28517" s="277"/>
      <c r="O28517" s="247"/>
      <c r="AC28517" s="247"/>
      <c r="AT28517" s="247"/>
    </row>
    <row r="28518">
      <c r="C28518" s="277"/>
      <c r="M28518" s="277"/>
      <c r="O28518" s="247"/>
      <c r="AC28518" s="247"/>
      <c r="AT28518" s="247"/>
    </row>
    <row r="28519">
      <c r="C28519" s="277"/>
      <c r="M28519" s="277"/>
      <c r="O28519" s="247"/>
      <c r="AC28519" s="247"/>
      <c r="AT28519" s="247"/>
    </row>
    <row r="28520">
      <c r="C28520" s="277"/>
      <c r="M28520" s="277"/>
      <c r="O28520" s="247"/>
      <c r="AC28520" s="247"/>
      <c r="AT28520" s="247"/>
    </row>
    <row r="28521">
      <c r="C28521" s="277"/>
      <c r="M28521" s="277"/>
      <c r="O28521" s="247"/>
      <c r="AC28521" s="247"/>
      <c r="AT28521" s="247"/>
    </row>
    <row r="28522">
      <c r="C28522" s="277"/>
      <c r="M28522" s="277"/>
      <c r="O28522" s="247"/>
      <c r="AC28522" s="247"/>
      <c r="AT28522" s="247"/>
    </row>
    <row r="28523">
      <c r="C28523" s="277"/>
      <c r="M28523" s="277"/>
      <c r="O28523" s="247"/>
      <c r="AC28523" s="247"/>
      <c r="AT28523" s="247"/>
    </row>
    <row r="28524">
      <c r="C28524" s="277"/>
      <c r="M28524" s="277"/>
      <c r="O28524" s="247"/>
      <c r="AC28524" s="247"/>
      <c r="AT28524" s="247"/>
    </row>
    <row r="28525">
      <c r="C28525" s="277"/>
      <c r="M28525" s="277"/>
      <c r="O28525" s="247"/>
      <c r="AC28525" s="247"/>
      <c r="AT28525" s="247"/>
    </row>
    <row r="28526">
      <c r="C28526" s="277"/>
      <c r="M28526" s="277"/>
      <c r="O28526" s="247"/>
      <c r="AC28526" s="247"/>
      <c r="AT28526" s="247"/>
    </row>
    <row r="28527">
      <c r="C28527" s="278"/>
      <c r="M28527" s="277"/>
      <c r="O28527" s="247"/>
      <c r="AC28527" s="247"/>
      <c r="AT28527" s="247"/>
    </row>
    <row r="28528">
      <c r="C28528" s="277"/>
      <c r="M28528" s="277"/>
      <c r="O28528" s="247"/>
      <c r="AC28528" s="247"/>
      <c r="AT28528" s="247"/>
    </row>
    <row r="28529">
      <c r="C28529" s="277"/>
      <c r="M28529" s="277"/>
      <c r="O28529" s="247"/>
      <c r="AC28529" s="247"/>
      <c r="AT28529" s="247"/>
    </row>
    <row r="28530">
      <c r="C28530" s="277"/>
      <c r="M28530" s="277"/>
      <c r="O28530" s="247"/>
      <c r="AC28530" s="247"/>
      <c r="AT28530" s="247"/>
    </row>
    <row r="28531">
      <c r="C28531" s="277"/>
      <c r="M28531" s="277"/>
      <c r="O28531" s="247"/>
      <c r="AC28531" s="247"/>
      <c r="AT28531" s="247"/>
    </row>
    <row r="28532">
      <c r="C28532" s="277"/>
      <c r="M28532" s="277"/>
      <c r="O28532" s="247"/>
      <c r="AC28532" s="247"/>
      <c r="AT28532" s="247"/>
    </row>
    <row r="28533">
      <c r="C28533" s="277"/>
      <c r="M28533" s="277"/>
      <c r="O28533" s="247"/>
      <c r="AC28533" s="247"/>
      <c r="AT28533" s="247"/>
    </row>
    <row r="28534">
      <c r="C28534" s="278"/>
      <c r="M28534" s="277"/>
      <c r="O28534" s="247"/>
      <c r="AC28534" s="247"/>
      <c r="AT28534" s="247"/>
    </row>
    <row r="28535">
      <c r="C28535" s="277"/>
      <c r="M28535" s="277"/>
      <c r="O28535" s="247"/>
      <c r="AC28535" s="247"/>
      <c r="AT28535" s="247"/>
    </row>
    <row r="28536">
      <c r="C28536" s="277"/>
      <c r="M28536" s="277"/>
      <c r="O28536" s="247"/>
      <c r="AC28536" s="247"/>
      <c r="AT28536" s="247"/>
    </row>
    <row r="28537">
      <c r="C28537" s="277"/>
      <c r="M28537" s="277"/>
      <c r="O28537" s="247"/>
      <c r="AC28537" s="247"/>
      <c r="AT28537" s="247"/>
    </row>
    <row r="28538">
      <c r="C28538" s="278"/>
      <c r="M28538" s="277"/>
      <c r="O28538" s="247"/>
      <c r="AC28538" s="247"/>
      <c r="AT28538" s="247"/>
    </row>
    <row r="28539">
      <c r="C28539" s="277"/>
      <c r="M28539" s="277"/>
      <c r="O28539" s="247"/>
      <c r="AC28539" s="247"/>
      <c r="AT28539" s="247"/>
    </row>
    <row r="28540">
      <c r="C28540" s="278"/>
      <c r="M28540" s="277"/>
      <c r="O28540" s="247"/>
      <c r="AC28540" s="247"/>
      <c r="AT28540" s="247"/>
    </row>
    <row r="28541">
      <c r="C28541" s="278"/>
      <c r="M28541" s="277"/>
      <c r="O28541" s="247"/>
      <c r="AC28541" s="247"/>
      <c r="AT28541" s="247"/>
    </row>
    <row r="28542">
      <c r="C28542" s="278"/>
      <c r="M28542" s="277"/>
      <c r="O28542" s="247"/>
      <c r="AC28542" s="247"/>
      <c r="AT28542" s="247"/>
    </row>
    <row r="28543">
      <c r="C28543" s="278"/>
      <c r="M28543" s="277"/>
      <c r="O28543" s="247"/>
      <c r="AC28543" s="247"/>
      <c r="AT28543" s="247"/>
    </row>
    <row r="28544">
      <c r="C28544" s="278"/>
      <c r="M28544" s="277"/>
      <c r="O28544" s="247"/>
      <c r="AC28544" s="247"/>
      <c r="AT28544" s="247"/>
    </row>
    <row r="28545">
      <c r="C28545" s="278"/>
      <c r="M28545" s="277"/>
      <c r="O28545" s="247"/>
      <c r="AC28545" s="247"/>
      <c r="AT28545" s="247"/>
    </row>
    <row r="28546">
      <c r="C28546" s="278"/>
      <c r="M28546" s="277"/>
      <c r="O28546" s="247"/>
      <c r="AC28546" s="247"/>
      <c r="AT28546" s="247"/>
    </row>
    <row r="28547">
      <c r="C28547" s="278"/>
      <c r="M28547" s="277"/>
      <c r="O28547" s="247"/>
      <c r="AC28547" s="247"/>
      <c r="AT28547" s="247"/>
    </row>
    <row r="28548">
      <c r="C28548" s="278"/>
      <c r="M28548" s="277"/>
      <c r="O28548" s="247"/>
      <c r="AC28548" s="247"/>
      <c r="AT28548" s="247"/>
    </row>
    <row r="28549">
      <c r="C28549" s="278"/>
      <c r="M28549" s="278"/>
      <c r="O28549" s="247"/>
      <c r="AC28549" s="247"/>
      <c r="AT28549" s="247"/>
    </row>
    <row r="28550">
      <c r="C28550" s="278"/>
      <c r="M28550" s="278"/>
      <c r="O28550" s="247"/>
      <c r="AC28550" s="247"/>
      <c r="AT28550" s="247"/>
    </row>
    <row r="28551">
      <c r="C28551" s="278"/>
      <c r="M28551" s="278"/>
      <c r="O28551" s="247"/>
      <c r="AC28551" s="247"/>
      <c r="AT28551" s="247"/>
    </row>
    <row r="28552">
      <c r="C28552" s="278"/>
      <c r="M28552" s="278"/>
      <c r="O28552" s="247"/>
      <c r="AC28552" s="247"/>
      <c r="AT28552" s="247"/>
    </row>
    <row r="28553">
      <c r="C28553" s="278"/>
      <c r="M28553" s="278"/>
      <c r="O28553" s="247"/>
      <c r="AC28553" s="247"/>
      <c r="AT28553" s="247"/>
    </row>
    <row r="28554">
      <c r="C28554" s="278"/>
      <c r="M28554" s="278"/>
      <c r="O28554" s="247"/>
      <c r="AC28554" s="247"/>
      <c r="AT28554" s="247"/>
    </row>
    <row r="28555">
      <c r="C28555" s="278"/>
      <c r="M28555" s="278"/>
      <c r="O28555" s="247"/>
      <c r="AC28555" s="247"/>
      <c r="AT28555" s="247"/>
    </row>
    <row r="28556">
      <c r="C28556" s="278"/>
      <c r="M28556" s="278"/>
      <c r="O28556" s="247"/>
      <c r="AC28556" s="247"/>
      <c r="AT28556" s="247"/>
    </row>
    <row r="28557">
      <c r="C28557" s="278"/>
      <c r="M28557" s="278"/>
      <c r="O28557" s="247"/>
      <c r="AC28557" s="247"/>
      <c r="AT28557" s="247"/>
    </row>
    <row r="28558">
      <c r="C28558" s="278"/>
      <c r="M28558" s="278"/>
      <c r="O28558" s="247"/>
      <c r="AC28558" s="247"/>
      <c r="AT28558" s="247"/>
    </row>
    <row r="28559">
      <c r="C28559" s="278"/>
      <c r="M28559" s="278"/>
      <c r="O28559" s="247"/>
      <c r="AC28559" s="247"/>
      <c r="AT28559" s="247"/>
    </row>
    <row r="28560">
      <c r="C28560" s="278"/>
      <c r="M28560" s="278"/>
      <c r="O28560" s="247"/>
      <c r="AC28560" s="247"/>
      <c r="AT28560" s="247"/>
    </row>
    <row r="28561">
      <c r="C28561" s="278"/>
      <c r="M28561" s="278"/>
      <c r="O28561" s="247"/>
      <c r="AC28561" s="247"/>
      <c r="AT28561" s="247"/>
    </row>
    <row r="28562">
      <c r="C28562" s="278"/>
      <c r="M28562" s="278"/>
      <c r="O28562" s="247"/>
      <c r="AC28562" s="247"/>
      <c r="AT28562" s="247"/>
    </row>
    <row r="28563">
      <c r="C28563" s="278"/>
      <c r="M28563" s="278"/>
      <c r="O28563" s="247"/>
      <c r="AC28563" s="247"/>
      <c r="AT28563" s="247"/>
    </row>
    <row r="28564">
      <c r="C28564" s="278"/>
      <c r="M28564" s="278"/>
      <c r="O28564" s="247"/>
      <c r="AC28564" s="247"/>
      <c r="AT28564" s="247"/>
    </row>
    <row r="28565">
      <c r="C28565" s="278"/>
      <c r="M28565" s="278"/>
      <c r="O28565" s="247"/>
      <c r="AC28565" s="247"/>
      <c r="AT28565" s="247"/>
    </row>
    <row r="28566">
      <c r="C28566" s="278"/>
      <c r="M28566" s="278"/>
      <c r="O28566" s="247"/>
      <c r="AC28566" s="247"/>
      <c r="AT28566" s="247"/>
    </row>
    <row r="28567">
      <c r="C28567" s="278"/>
      <c r="M28567" s="278"/>
      <c r="O28567" s="247"/>
      <c r="AC28567" s="247"/>
      <c r="AT28567" s="247"/>
    </row>
    <row r="28568">
      <c r="C28568" s="278"/>
      <c r="M28568" s="278"/>
      <c r="O28568" s="247"/>
      <c r="AC28568" s="247"/>
      <c r="AT28568" s="247"/>
    </row>
    <row r="28569">
      <c r="C28569" s="278"/>
      <c r="M28569" s="278"/>
      <c r="O28569" s="247"/>
      <c r="AC28569" s="247"/>
      <c r="AT28569" s="247"/>
    </row>
    <row r="28570">
      <c r="C28570" s="278"/>
      <c r="M28570" s="278"/>
      <c r="O28570" s="247"/>
      <c r="AC28570" s="247"/>
      <c r="AT28570" s="247"/>
    </row>
    <row r="28571">
      <c r="C28571" s="278"/>
      <c r="M28571" s="278"/>
      <c r="O28571" s="247"/>
      <c r="AC28571" s="247"/>
      <c r="AT28571" s="247"/>
    </row>
    <row r="28572">
      <c r="C28572" s="278"/>
      <c r="M28572" s="278"/>
      <c r="O28572" s="247"/>
      <c r="AC28572" s="247"/>
      <c r="AT28572" s="247"/>
    </row>
    <row r="28573">
      <c r="C28573" s="278"/>
      <c r="M28573" s="278"/>
      <c r="O28573" s="247"/>
      <c r="AC28573" s="247"/>
      <c r="AT28573" s="247"/>
    </row>
    <row r="28574">
      <c r="C28574" s="278"/>
      <c r="M28574" s="278"/>
      <c r="O28574" s="247"/>
      <c r="AC28574" s="247"/>
      <c r="AT28574" s="247"/>
    </row>
    <row r="28575">
      <c r="C28575" s="278"/>
      <c r="M28575" s="278"/>
      <c r="O28575" s="247"/>
      <c r="AC28575" s="247"/>
      <c r="AT28575" s="247"/>
    </row>
    <row r="28576">
      <c r="C28576" s="278"/>
      <c r="M28576" s="278"/>
      <c r="O28576" s="247"/>
      <c r="AC28576" s="247"/>
      <c r="AT28576" s="247"/>
    </row>
    <row r="28577">
      <c r="C28577" s="278"/>
      <c r="M28577" s="278"/>
      <c r="O28577" s="247"/>
      <c r="AC28577" s="247"/>
      <c r="AT28577" s="247"/>
    </row>
    <row r="28578">
      <c r="C28578" s="278"/>
      <c r="M28578" s="278"/>
      <c r="O28578" s="247"/>
      <c r="AC28578" s="247"/>
      <c r="AT28578" s="247"/>
    </row>
    <row r="28579">
      <c r="C28579" s="278"/>
      <c r="M28579" s="278"/>
      <c r="O28579" s="247"/>
      <c r="AC28579" s="247"/>
      <c r="AT28579" s="247"/>
    </row>
    <row r="28580">
      <c r="C28580" s="278"/>
      <c r="M28580" s="278"/>
      <c r="O28580" s="247"/>
      <c r="AC28580" s="247"/>
      <c r="AT28580" s="247"/>
    </row>
    <row r="28581">
      <c r="C28581" s="278"/>
      <c r="M28581" s="278"/>
      <c r="O28581" s="247"/>
      <c r="AC28581" s="247"/>
      <c r="AT28581" s="247"/>
    </row>
    <row r="28582">
      <c r="C28582" s="278"/>
      <c r="M28582" s="278"/>
      <c r="O28582" s="247"/>
      <c r="AC28582" s="247"/>
      <c r="AT28582" s="247"/>
    </row>
    <row r="28583">
      <c r="C28583" s="278"/>
      <c r="M28583" s="278"/>
      <c r="O28583" s="247"/>
      <c r="AC28583" s="247"/>
      <c r="AT28583" s="247"/>
    </row>
    <row r="28584">
      <c r="C28584" s="278"/>
      <c r="M28584" s="278"/>
      <c r="O28584" s="247"/>
      <c r="AC28584" s="247"/>
      <c r="AT28584" s="247"/>
    </row>
    <row r="28585">
      <c r="C28585" s="278"/>
      <c r="M28585" s="278"/>
      <c r="O28585" s="247"/>
      <c r="AC28585" s="247"/>
      <c r="AT28585" s="247"/>
    </row>
    <row r="28586">
      <c r="C28586" s="278"/>
      <c r="M28586" s="278"/>
      <c r="O28586" s="247"/>
      <c r="AC28586" s="247"/>
      <c r="AT28586" s="247"/>
    </row>
    <row r="28587">
      <c r="C28587" s="278"/>
      <c r="M28587" s="278"/>
      <c r="O28587" s="247"/>
      <c r="AC28587" s="247"/>
      <c r="AT28587" s="247"/>
    </row>
    <row r="28588">
      <c r="C28588" s="278"/>
      <c r="M28588" s="278"/>
      <c r="O28588" s="247"/>
      <c r="AC28588" s="247"/>
      <c r="AT28588" s="247"/>
    </row>
    <row r="28589">
      <c r="C28589" s="278"/>
      <c r="M28589" s="278"/>
      <c r="O28589" s="247"/>
      <c r="AC28589" s="247"/>
      <c r="AT28589" s="247"/>
    </row>
    <row r="28590">
      <c r="C28590" s="278"/>
      <c r="M28590" s="278"/>
      <c r="O28590" s="247"/>
      <c r="AC28590" s="247"/>
      <c r="AT28590" s="247"/>
    </row>
    <row r="28591">
      <c r="C28591" s="278"/>
      <c r="M28591" s="278"/>
      <c r="O28591" s="247"/>
      <c r="AC28591" s="247"/>
      <c r="AT28591" s="247"/>
    </row>
    <row r="28592">
      <c r="C28592" s="278"/>
      <c r="M28592" s="278"/>
      <c r="O28592" s="247"/>
      <c r="AC28592" s="247"/>
      <c r="AT28592" s="247"/>
    </row>
    <row r="28593">
      <c r="C28593" s="278"/>
      <c r="M28593" s="278"/>
      <c r="O28593" s="247"/>
      <c r="AC28593" s="247"/>
      <c r="AT28593" s="247"/>
    </row>
    <row r="28594">
      <c r="C28594" s="278"/>
      <c r="M28594" s="278"/>
      <c r="O28594" s="247"/>
      <c r="AC28594" s="247"/>
      <c r="AT28594" s="247"/>
    </row>
    <row r="28595">
      <c r="C28595" s="278"/>
      <c r="M28595" s="278"/>
      <c r="O28595" s="247"/>
      <c r="AC28595" s="247"/>
      <c r="AT28595" s="247"/>
    </row>
    <row r="28596">
      <c r="C28596" s="278"/>
      <c r="M28596" s="278"/>
      <c r="O28596" s="247"/>
      <c r="AC28596" s="247"/>
      <c r="AT28596" s="247"/>
    </row>
    <row r="28597">
      <c r="C28597" s="278"/>
      <c r="M28597" s="278"/>
      <c r="O28597" s="247"/>
      <c r="AC28597" s="247"/>
      <c r="AT28597" s="247"/>
    </row>
    <row r="28598">
      <c r="C28598" s="278"/>
      <c r="M28598" s="278"/>
      <c r="O28598" s="247"/>
      <c r="AC28598" s="247"/>
      <c r="AT28598" s="247"/>
    </row>
    <row r="28599">
      <c r="C28599" s="278"/>
      <c r="M28599" s="278"/>
      <c r="O28599" s="247"/>
      <c r="AC28599" s="247"/>
      <c r="AT28599" s="247"/>
    </row>
    <row r="28600">
      <c r="C28600" s="278"/>
      <c r="M28600" s="278"/>
      <c r="O28600" s="247"/>
      <c r="AC28600" s="247"/>
      <c r="AT28600" s="247"/>
    </row>
    <row r="28601">
      <c r="C28601" s="278"/>
      <c r="M28601" s="278"/>
      <c r="O28601" s="247"/>
      <c r="AC28601" s="247"/>
      <c r="AT28601" s="247"/>
    </row>
    <row r="28602">
      <c r="C28602" s="278"/>
      <c r="M28602" s="278"/>
      <c r="O28602" s="247"/>
      <c r="AC28602" s="247"/>
      <c r="AT28602" s="247"/>
    </row>
    <row r="28603">
      <c r="C28603" s="278"/>
      <c r="M28603" s="278"/>
      <c r="O28603" s="247"/>
      <c r="AC28603" s="247"/>
      <c r="AT28603" s="247"/>
    </row>
    <row r="28604">
      <c r="C28604" s="278"/>
      <c r="M28604" s="278"/>
      <c r="O28604" s="247"/>
      <c r="AC28604" s="247"/>
      <c r="AT28604" s="247"/>
    </row>
    <row r="28605">
      <c r="C28605" s="278"/>
      <c r="M28605" s="278"/>
      <c r="O28605" s="247"/>
      <c r="AC28605" s="247"/>
      <c r="AT28605" s="247"/>
    </row>
    <row r="28606">
      <c r="C28606" s="278"/>
      <c r="M28606" s="278"/>
      <c r="O28606" s="247"/>
      <c r="AC28606" s="247"/>
      <c r="AT28606" s="247"/>
    </row>
    <row r="28607">
      <c r="C28607" s="278"/>
      <c r="M28607" s="278"/>
      <c r="O28607" s="247"/>
      <c r="AC28607" s="247"/>
      <c r="AT28607" s="247"/>
    </row>
    <row r="28608">
      <c r="C28608" s="278"/>
      <c r="M28608" s="278"/>
      <c r="O28608" s="247"/>
      <c r="AC28608" s="247"/>
      <c r="AT28608" s="247"/>
    </row>
    <row r="28609">
      <c r="C28609" s="278"/>
      <c r="M28609" s="278"/>
      <c r="O28609" s="247"/>
      <c r="AC28609" s="247"/>
      <c r="AT28609" s="247"/>
    </row>
    <row r="28610">
      <c r="C28610" s="278"/>
      <c r="M28610" s="278"/>
      <c r="O28610" s="247"/>
      <c r="AC28610" s="247"/>
      <c r="AT28610" s="247"/>
    </row>
    <row r="28611">
      <c r="C28611" s="278"/>
      <c r="M28611" s="278"/>
      <c r="O28611" s="247"/>
      <c r="AC28611" s="247"/>
      <c r="AT28611" s="247"/>
    </row>
    <row r="28612">
      <c r="C28612" s="278"/>
      <c r="M28612" s="278"/>
      <c r="O28612" s="247"/>
      <c r="AC28612" s="247"/>
      <c r="AT28612" s="247"/>
    </row>
    <row r="28613">
      <c r="C28613" s="278"/>
      <c r="M28613" s="278"/>
      <c r="O28613" s="247"/>
      <c r="AC28613" s="247"/>
      <c r="AT28613" s="247"/>
    </row>
    <row r="28614">
      <c r="C28614" s="278"/>
      <c r="M28614" s="278"/>
      <c r="O28614" s="247"/>
      <c r="AC28614" s="247"/>
      <c r="AT28614" s="247"/>
    </row>
    <row r="28615">
      <c r="C28615" s="278"/>
      <c r="M28615" s="278"/>
      <c r="O28615" s="247"/>
      <c r="AC28615" s="247"/>
      <c r="AT28615" s="247"/>
    </row>
    <row r="28616">
      <c r="C28616" s="278"/>
      <c r="M28616" s="278"/>
      <c r="O28616" s="247"/>
      <c r="AC28616" s="247"/>
      <c r="AT28616" s="247"/>
    </row>
    <row r="28617">
      <c r="C28617" s="278"/>
      <c r="M28617" s="278"/>
      <c r="O28617" s="247"/>
      <c r="AC28617" s="247"/>
      <c r="AT28617" s="247"/>
    </row>
    <row r="28618">
      <c r="C28618" s="278"/>
      <c r="M28618" s="278"/>
      <c r="O28618" s="247"/>
      <c r="AC28618" s="247"/>
      <c r="AT28618" s="247"/>
    </row>
    <row r="28619">
      <c r="C28619" s="278"/>
      <c r="M28619" s="278"/>
      <c r="O28619" s="247"/>
      <c r="AC28619" s="247"/>
      <c r="AT28619" s="247"/>
    </row>
    <row r="28620">
      <c r="C28620" s="278"/>
      <c r="M28620" s="278"/>
      <c r="O28620" s="247"/>
      <c r="AC28620" s="247"/>
      <c r="AT28620" s="247"/>
    </row>
    <row r="28621">
      <c r="C28621" s="278"/>
      <c r="M28621" s="278"/>
      <c r="O28621" s="247"/>
      <c r="AC28621" s="247"/>
      <c r="AT28621" s="247"/>
    </row>
    <row r="28622">
      <c r="C28622" s="278"/>
      <c r="M28622" s="278"/>
      <c r="O28622" s="247"/>
      <c r="AC28622" s="247"/>
      <c r="AT28622" s="247"/>
    </row>
    <row r="28623">
      <c r="C28623" s="278"/>
      <c r="M28623" s="278"/>
      <c r="O28623" s="247"/>
      <c r="AC28623" s="247"/>
      <c r="AT28623" s="247"/>
    </row>
    <row r="28624">
      <c r="C28624" s="278"/>
      <c r="M28624" s="278"/>
      <c r="O28624" s="247"/>
      <c r="AC28624" s="247"/>
      <c r="AT28624" s="247"/>
    </row>
    <row r="28625">
      <c r="C28625" s="278"/>
      <c r="M28625" s="278"/>
      <c r="O28625" s="247"/>
      <c r="AC28625" s="247"/>
      <c r="AT28625" s="247"/>
    </row>
    <row r="28626">
      <c r="C28626" s="278"/>
      <c r="M28626" s="278"/>
      <c r="O28626" s="247"/>
      <c r="AC28626" s="247"/>
      <c r="AT28626" s="247"/>
    </row>
    <row r="28627">
      <c r="C28627" s="278"/>
      <c r="M28627" s="278"/>
      <c r="O28627" s="247"/>
      <c r="AC28627" s="247"/>
      <c r="AT28627" s="247"/>
    </row>
    <row r="28628">
      <c r="C28628" s="278"/>
      <c r="M28628" s="278"/>
      <c r="O28628" s="247"/>
      <c r="AC28628" s="247"/>
      <c r="AT28628" s="247"/>
    </row>
    <row r="28629">
      <c r="C28629" s="278"/>
      <c r="M28629" s="278"/>
      <c r="O28629" s="247"/>
      <c r="AC28629" s="247"/>
      <c r="AT28629" s="247"/>
    </row>
    <row r="28630">
      <c r="C28630" s="278"/>
      <c r="M28630" s="278"/>
      <c r="O28630" s="247"/>
      <c r="AC28630" s="247"/>
      <c r="AT28630" s="247"/>
    </row>
    <row r="28631">
      <c r="C28631" s="278"/>
      <c r="M28631" s="278"/>
      <c r="O28631" s="247"/>
      <c r="AC28631" s="247"/>
      <c r="AT28631" s="247"/>
    </row>
    <row r="28632">
      <c r="C28632" s="278"/>
      <c r="M28632" s="278"/>
      <c r="O28632" s="247"/>
      <c r="AC28632" s="247"/>
      <c r="AT28632" s="247"/>
    </row>
    <row r="28633">
      <c r="C28633" s="278"/>
      <c r="M28633" s="278"/>
      <c r="O28633" s="247"/>
      <c r="AC28633" s="247"/>
      <c r="AT28633" s="247"/>
    </row>
    <row r="28634">
      <c r="C28634" s="278"/>
      <c r="M28634" s="278"/>
      <c r="O28634" s="247"/>
      <c r="AC28634" s="247"/>
      <c r="AT28634" s="247"/>
    </row>
    <row r="28635">
      <c r="C28635" s="278"/>
      <c r="M28635" s="278"/>
      <c r="O28635" s="247"/>
      <c r="AC28635" s="247"/>
      <c r="AT28635" s="247"/>
    </row>
    <row r="28636">
      <c r="C28636" s="278"/>
      <c r="M28636" s="278"/>
      <c r="O28636" s="247"/>
      <c r="AC28636" s="247"/>
      <c r="AT28636" s="247"/>
    </row>
    <row r="28637">
      <c r="C28637" s="278"/>
      <c r="M28637" s="278"/>
      <c r="O28637" s="247"/>
      <c r="AC28637" s="247"/>
      <c r="AT28637" s="247"/>
    </row>
    <row r="28638">
      <c r="C28638" s="278"/>
      <c r="M28638" s="278"/>
      <c r="O28638" s="247"/>
      <c r="AC28638" s="247"/>
      <c r="AT28638" s="247"/>
    </row>
    <row r="28639">
      <c r="C28639" s="278"/>
      <c r="M28639" s="278"/>
      <c r="O28639" s="247"/>
      <c r="AC28639" s="247"/>
      <c r="AT28639" s="247"/>
    </row>
    <row r="28640">
      <c r="C28640" s="278"/>
      <c r="M28640" s="278"/>
      <c r="O28640" s="247"/>
      <c r="AC28640" s="247"/>
      <c r="AT28640" s="247"/>
    </row>
    <row r="28641">
      <c r="C28641" s="278"/>
      <c r="M28641" s="278"/>
      <c r="O28641" s="247"/>
      <c r="AC28641" s="247"/>
      <c r="AT28641" s="247"/>
    </row>
    <row r="28642">
      <c r="C28642" s="278"/>
      <c r="M28642" s="278"/>
      <c r="O28642" s="247"/>
      <c r="AC28642" s="247"/>
      <c r="AT28642" s="247"/>
    </row>
    <row r="28643">
      <c r="C28643" s="278"/>
      <c r="M28643" s="278"/>
      <c r="O28643" s="247"/>
      <c r="AC28643" s="247"/>
      <c r="AT28643" s="247"/>
    </row>
    <row r="28644">
      <c r="C28644" s="278"/>
      <c r="M28644" s="278"/>
      <c r="O28644" s="247"/>
      <c r="AC28644" s="247"/>
      <c r="AT28644" s="247"/>
    </row>
    <row r="28645">
      <c r="C28645" s="278"/>
      <c r="M28645" s="278"/>
      <c r="O28645" s="247"/>
      <c r="AC28645" s="247"/>
      <c r="AT28645" s="247"/>
    </row>
    <row r="28646">
      <c r="C28646" s="278"/>
      <c r="M28646" s="278"/>
      <c r="O28646" s="247"/>
      <c r="AC28646" s="247"/>
      <c r="AT28646" s="247"/>
    </row>
    <row r="28647">
      <c r="C28647" s="278"/>
      <c r="M28647" s="278"/>
      <c r="O28647" s="247"/>
      <c r="AC28647" s="247"/>
      <c r="AT28647" s="247"/>
    </row>
    <row r="28648">
      <c r="C28648" s="278"/>
      <c r="M28648" s="278"/>
      <c r="O28648" s="247"/>
      <c r="AC28648" s="247"/>
      <c r="AT28648" s="247"/>
    </row>
    <row r="28649">
      <c r="C28649" s="278"/>
      <c r="M28649" s="278"/>
      <c r="O28649" s="247"/>
      <c r="AC28649" s="247"/>
      <c r="AT28649" s="247"/>
    </row>
    <row r="28650">
      <c r="C28650" s="278"/>
      <c r="M28650" s="278"/>
      <c r="O28650" s="247"/>
      <c r="AC28650" s="247"/>
      <c r="AT28650" s="247"/>
    </row>
    <row r="28651">
      <c r="C28651" s="278"/>
      <c r="M28651" s="278"/>
      <c r="O28651" s="247"/>
      <c r="AC28651" s="247"/>
      <c r="AT28651" s="247"/>
    </row>
    <row r="28652">
      <c r="C28652" s="278"/>
      <c r="M28652" s="278"/>
      <c r="O28652" s="247"/>
      <c r="AC28652" s="247"/>
      <c r="AT28652" s="247"/>
    </row>
    <row r="28653">
      <c r="C28653" s="278"/>
      <c r="M28653" s="278"/>
      <c r="O28653" s="247"/>
      <c r="AC28653" s="247"/>
      <c r="AT28653" s="247"/>
    </row>
    <row r="28654">
      <c r="C28654" s="278"/>
      <c r="M28654" s="278"/>
      <c r="O28654" s="247"/>
      <c r="AC28654" s="247"/>
      <c r="AT28654" s="247"/>
    </row>
    <row r="28655">
      <c r="C28655" s="278"/>
      <c r="M28655" s="278"/>
      <c r="O28655" s="247"/>
      <c r="AC28655" s="247"/>
      <c r="AT28655" s="247"/>
    </row>
    <row r="28656">
      <c r="C28656" s="278"/>
      <c r="M28656" s="278"/>
      <c r="O28656" s="247"/>
      <c r="AC28656" s="247"/>
      <c r="AT28656" s="247"/>
    </row>
    <row r="28657">
      <c r="C28657" s="278"/>
      <c r="M28657" s="278"/>
      <c r="O28657" s="247"/>
      <c r="AC28657" s="247"/>
      <c r="AT28657" s="247"/>
    </row>
    <row r="28658">
      <c r="C28658" s="278"/>
      <c r="M28658" s="278"/>
      <c r="O28658" s="247"/>
      <c r="AC28658" s="247"/>
      <c r="AT28658" s="247"/>
    </row>
    <row r="28659">
      <c r="C28659" s="278"/>
      <c r="M28659" s="278"/>
      <c r="O28659" s="247"/>
      <c r="AC28659" s="247"/>
      <c r="AT28659" s="247"/>
    </row>
    <row r="28660">
      <c r="C28660" s="278"/>
      <c r="M28660" s="278"/>
      <c r="O28660" s="247"/>
      <c r="AC28660" s="247"/>
      <c r="AT28660" s="247"/>
    </row>
    <row r="28661">
      <c r="C28661" s="278"/>
      <c r="M28661" s="278"/>
      <c r="O28661" s="247"/>
      <c r="AC28661" s="247"/>
      <c r="AT28661" s="247"/>
    </row>
    <row r="28662">
      <c r="C28662" s="277"/>
      <c r="M28662" s="278"/>
      <c r="O28662" s="247"/>
      <c r="AC28662" s="247"/>
      <c r="AT28662" s="247"/>
    </row>
    <row r="28663">
      <c r="C28663" s="278"/>
      <c r="M28663" s="278"/>
      <c r="O28663" s="247"/>
      <c r="AC28663" s="247"/>
      <c r="AT28663" s="247"/>
    </row>
    <row r="28664">
      <c r="C28664" s="278"/>
      <c r="M28664" s="278"/>
      <c r="O28664" s="247"/>
      <c r="AC28664" s="247"/>
      <c r="AT28664" s="247"/>
    </row>
    <row r="28665">
      <c r="C28665" s="277"/>
      <c r="M28665" s="278"/>
      <c r="O28665" s="247"/>
      <c r="AC28665" s="247"/>
      <c r="AT28665" s="247"/>
    </row>
    <row r="28666">
      <c r="C28666" s="278"/>
      <c r="M28666" s="278"/>
      <c r="O28666" s="247"/>
      <c r="AC28666" s="247"/>
      <c r="AT28666" s="247"/>
    </row>
    <row r="28667">
      <c r="C28667" s="277"/>
      <c r="M28667" s="278"/>
      <c r="O28667" s="247"/>
      <c r="AC28667" s="247"/>
      <c r="AT28667" s="247"/>
    </row>
    <row r="28668">
      <c r="C28668" s="278"/>
      <c r="M28668" s="278"/>
      <c r="O28668" s="247"/>
      <c r="AC28668" s="247"/>
      <c r="AT28668" s="247"/>
    </row>
    <row r="28669">
      <c r="C28669" s="277"/>
      <c r="M28669" s="278"/>
      <c r="O28669" s="247"/>
      <c r="AC28669" s="247"/>
      <c r="AT28669" s="247"/>
    </row>
    <row r="28670">
      <c r="C28670" s="278"/>
      <c r="M28670" s="278"/>
      <c r="O28670" s="247"/>
      <c r="AC28670" s="247"/>
      <c r="AT28670" s="247"/>
    </row>
    <row r="28671">
      <c r="C28671" s="277"/>
      <c r="M28671" s="278"/>
      <c r="O28671" s="247"/>
      <c r="AC28671" s="247"/>
      <c r="AT28671" s="247"/>
    </row>
    <row r="28672">
      <c r="C28672" s="278"/>
      <c r="M28672" s="278"/>
      <c r="O28672" s="247"/>
      <c r="AC28672" s="247"/>
      <c r="AT28672" s="247"/>
    </row>
    <row r="28673">
      <c r="C28673" s="277"/>
      <c r="M28673" s="278"/>
      <c r="O28673" s="247"/>
      <c r="AC28673" s="247"/>
      <c r="AT28673" s="247"/>
    </row>
    <row r="28674">
      <c r="C28674" s="278"/>
      <c r="M28674" s="278"/>
      <c r="O28674" s="247"/>
      <c r="AC28674" s="247"/>
      <c r="AT28674" s="247"/>
    </row>
    <row r="28675">
      <c r="C28675" s="277"/>
      <c r="M28675" s="278"/>
      <c r="O28675" s="247"/>
      <c r="AC28675" s="247"/>
      <c r="AT28675" s="247"/>
    </row>
    <row r="28676">
      <c r="C28676" s="278"/>
      <c r="M28676" s="278"/>
      <c r="O28676" s="247"/>
      <c r="AC28676" s="247"/>
      <c r="AT28676" s="247"/>
    </row>
    <row r="28677">
      <c r="C28677" s="277"/>
      <c r="M28677" s="278"/>
      <c r="O28677" s="247"/>
      <c r="AC28677" s="247"/>
      <c r="AT28677" s="247"/>
    </row>
    <row r="28678">
      <c r="C28678" s="278"/>
      <c r="M28678" s="278"/>
      <c r="O28678" s="247"/>
      <c r="AC28678" s="247"/>
      <c r="AT28678" s="247"/>
    </row>
    <row r="28679">
      <c r="C28679" s="277"/>
      <c r="M28679" s="278"/>
      <c r="O28679" s="247"/>
      <c r="AC28679" s="247"/>
      <c r="AT28679" s="247"/>
    </row>
    <row r="28680">
      <c r="C28680" s="278"/>
      <c r="M28680" s="278"/>
      <c r="O28680" s="247"/>
      <c r="AC28680" s="247"/>
      <c r="AT28680" s="247"/>
    </row>
    <row r="28681">
      <c r="C28681" s="277"/>
      <c r="M28681" s="278"/>
      <c r="O28681" s="247"/>
      <c r="AC28681" s="247"/>
      <c r="AT28681" s="247"/>
    </row>
    <row r="28682">
      <c r="C28682" s="278"/>
      <c r="M28682" s="278"/>
      <c r="O28682" s="247"/>
      <c r="AC28682" s="247"/>
      <c r="AT28682" s="247"/>
    </row>
    <row r="28683">
      <c r="C28683" s="277"/>
      <c r="M28683" s="278"/>
      <c r="O28683" s="247"/>
      <c r="AC28683" s="247"/>
      <c r="AT28683" s="247"/>
    </row>
    <row r="28684">
      <c r="C28684" s="278"/>
      <c r="M28684" s="278"/>
      <c r="O28684" s="247"/>
      <c r="AC28684" s="247"/>
      <c r="AT28684" s="247"/>
    </row>
    <row r="28685">
      <c r="C28685" s="277"/>
      <c r="M28685" s="278"/>
      <c r="O28685" s="247"/>
      <c r="AC28685" s="247"/>
      <c r="AT28685" s="247"/>
    </row>
    <row r="28686">
      <c r="C28686" s="278"/>
      <c r="M28686" s="278"/>
      <c r="O28686" s="247"/>
      <c r="AC28686" s="247"/>
      <c r="AT28686" s="247"/>
    </row>
    <row r="28687">
      <c r="C28687" s="277"/>
      <c r="M28687" s="278"/>
      <c r="O28687" s="247"/>
      <c r="AC28687" s="247"/>
      <c r="AT28687" s="247"/>
    </row>
    <row r="28688">
      <c r="C28688" s="278"/>
      <c r="M28688" s="278"/>
      <c r="O28688" s="247"/>
      <c r="AC28688" s="247"/>
      <c r="AT28688" s="247"/>
    </row>
    <row r="28689">
      <c r="C28689" s="277"/>
      <c r="M28689" s="278"/>
      <c r="O28689" s="247"/>
      <c r="AC28689" s="247"/>
      <c r="AT28689" s="247"/>
    </row>
    <row r="28690">
      <c r="C28690" s="278"/>
      <c r="M28690" s="278"/>
      <c r="O28690" s="247"/>
      <c r="AC28690" s="247"/>
      <c r="AT28690" s="247"/>
    </row>
    <row r="28691">
      <c r="C28691" s="277"/>
      <c r="M28691" s="278"/>
      <c r="O28691" s="247"/>
      <c r="AC28691" s="247"/>
      <c r="AT28691" s="247"/>
    </row>
    <row r="28692">
      <c r="C28692" s="278"/>
      <c r="M28692" s="278"/>
      <c r="O28692" s="247"/>
      <c r="AC28692" s="247"/>
      <c r="AT28692" s="247"/>
    </row>
    <row r="28693">
      <c r="C28693" s="277"/>
      <c r="M28693" s="278"/>
      <c r="O28693" s="247"/>
      <c r="AC28693" s="247"/>
      <c r="AT28693" s="247"/>
    </row>
    <row r="28694">
      <c r="C28694" s="278"/>
      <c r="M28694" s="278"/>
      <c r="O28694" s="247"/>
      <c r="AC28694" s="247"/>
      <c r="AT28694" s="247"/>
    </row>
    <row r="28695">
      <c r="C28695" s="277"/>
      <c r="M28695" s="278"/>
      <c r="O28695" s="247"/>
      <c r="AC28695" s="247"/>
      <c r="AT28695" s="247"/>
    </row>
    <row r="28696">
      <c r="C28696" s="278"/>
      <c r="M28696" s="278"/>
      <c r="O28696" s="247"/>
      <c r="AC28696" s="247"/>
      <c r="AT28696" s="247"/>
    </row>
    <row r="28697">
      <c r="C28697" s="277"/>
      <c r="M28697" s="278"/>
      <c r="O28697" s="247"/>
      <c r="AC28697" s="247"/>
      <c r="AT28697" s="247"/>
    </row>
    <row r="28698">
      <c r="C28698" s="278"/>
      <c r="M28698" s="278"/>
      <c r="O28698" s="247"/>
      <c r="AC28698" s="247"/>
      <c r="AT28698" s="247"/>
    </row>
    <row r="28699">
      <c r="C28699" s="277"/>
      <c r="M28699" s="278"/>
      <c r="O28699" s="247"/>
      <c r="AC28699" s="247"/>
      <c r="AT28699" s="247"/>
    </row>
    <row r="28700">
      <c r="C28700" s="278"/>
      <c r="M28700" s="278"/>
      <c r="O28700" s="247"/>
      <c r="AC28700" s="247"/>
      <c r="AT28700" s="247"/>
    </row>
    <row r="28701">
      <c r="C28701" s="277"/>
      <c r="M28701" s="278"/>
      <c r="O28701" s="247"/>
      <c r="AC28701" s="247"/>
      <c r="AT28701" s="247"/>
    </row>
    <row r="28702">
      <c r="C28702" s="278"/>
      <c r="M28702" s="278"/>
      <c r="O28702" s="247"/>
      <c r="AC28702" s="247"/>
      <c r="AT28702" s="247"/>
    </row>
    <row r="28703">
      <c r="C28703" s="277"/>
      <c r="M28703" s="278"/>
      <c r="O28703" s="247"/>
      <c r="AC28703" s="247"/>
      <c r="AT28703" s="247"/>
    </row>
    <row r="28704">
      <c r="C28704" s="278"/>
      <c r="M28704" s="278"/>
      <c r="O28704" s="247"/>
      <c r="AC28704" s="247"/>
      <c r="AT28704" s="247"/>
    </row>
    <row r="28705">
      <c r="C28705" s="277"/>
      <c r="M28705" s="278"/>
      <c r="O28705" s="247"/>
      <c r="AC28705" s="247"/>
      <c r="AT28705" s="247"/>
    </row>
    <row r="28706">
      <c r="C28706" s="278"/>
      <c r="M28706" s="278"/>
      <c r="O28706" s="247"/>
      <c r="AC28706" s="247"/>
      <c r="AT28706" s="247"/>
    </row>
    <row r="28707">
      <c r="C28707" s="277"/>
      <c r="M28707" s="278"/>
      <c r="O28707" s="247"/>
      <c r="AC28707" s="247"/>
      <c r="AT28707" s="247"/>
    </row>
    <row r="28708">
      <c r="C28708" s="278"/>
      <c r="M28708" s="278"/>
      <c r="O28708" s="247"/>
      <c r="AC28708" s="247"/>
      <c r="AT28708" s="247"/>
    </row>
    <row r="28709">
      <c r="C28709" s="277"/>
      <c r="M28709" s="278"/>
      <c r="O28709" s="247"/>
      <c r="AC28709" s="247"/>
      <c r="AT28709" s="247"/>
    </row>
    <row r="28710">
      <c r="C28710" s="278"/>
      <c r="M28710" s="278"/>
      <c r="O28710" s="247"/>
      <c r="AC28710" s="247"/>
      <c r="AT28710" s="247"/>
    </row>
    <row r="28711">
      <c r="C28711" s="277"/>
      <c r="M28711" s="278"/>
      <c r="O28711" s="247"/>
      <c r="AC28711" s="247"/>
      <c r="AT28711" s="247"/>
    </row>
    <row r="28712">
      <c r="C28712" s="278"/>
      <c r="M28712" s="278"/>
      <c r="O28712" s="247"/>
      <c r="AC28712" s="247"/>
      <c r="AT28712" s="247"/>
    </row>
    <row r="28713">
      <c r="C28713" s="277"/>
      <c r="M28713" s="278"/>
      <c r="O28713" s="247"/>
      <c r="AC28713" s="247"/>
      <c r="AT28713" s="247"/>
    </row>
    <row r="28714">
      <c r="C28714" s="278"/>
      <c r="M28714" s="278"/>
      <c r="O28714" s="247"/>
      <c r="AC28714" s="247"/>
      <c r="AT28714" s="247"/>
    </row>
    <row r="28715">
      <c r="C28715" s="277"/>
      <c r="M28715" s="278"/>
      <c r="O28715" s="247"/>
      <c r="AC28715" s="247"/>
      <c r="AT28715" s="247"/>
    </row>
    <row r="28716">
      <c r="C28716" s="278"/>
      <c r="M28716" s="278"/>
      <c r="O28716" s="247"/>
      <c r="AC28716" s="247"/>
      <c r="AT28716" s="247"/>
    </row>
    <row r="28717">
      <c r="C28717" s="277"/>
      <c r="M28717" s="278"/>
      <c r="O28717" s="247"/>
      <c r="AC28717" s="247"/>
      <c r="AT28717" s="247"/>
    </row>
    <row r="28718">
      <c r="C28718" s="278"/>
      <c r="M28718" s="278"/>
      <c r="O28718" s="247"/>
      <c r="AC28718" s="247"/>
      <c r="AT28718" s="247"/>
    </row>
    <row r="28719">
      <c r="C28719" s="277"/>
      <c r="M28719" s="278"/>
      <c r="O28719" s="247"/>
      <c r="AC28719" s="247"/>
      <c r="AT28719" s="247"/>
    </row>
    <row r="28720">
      <c r="C28720" s="278"/>
      <c r="M28720" s="278"/>
      <c r="O28720" s="247"/>
      <c r="AC28720" s="247"/>
      <c r="AT28720" s="247"/>
    </row>
    <row r="28721">
      <c r="C28721" s="277"/>
      <c r="M28721" s="278"/>
      <c r="O28721" s="247"/>
      <c r="AC28721" s="247"/>
      <c r="AT28721" s="247"/>
    </row>
    <row r="28722">
      <c r="C28722" s="278"/>
      <c r="M28722" s="278"/>
      <c r="O28722" s="247"/>
      <c r="AC28722" s="247"/>
      <c r="AT28722" s="247"/>
    </row>
    <row r="28723">
      <c r="C28723" s="277"/>
      <c r="M28723" s="278"/>
      <c r="O28723" s="247"/>
      <c r="AC28723" s="247"/>
      <c r="AT28723" s="247"/>
    </row>
    <row r="28724">
      <c r="C28724" s="278"/>
      <c r="M28724" s="278"/>
      <c r="O28724" s="247"/>
      <c r="AC28724" s="247"/>
      <c r="AT28724" s="247"/>
    </row>
    <row r="28725">
      <c r="C28725" s="277"/>
      <c r="M28725" s="278"/>
      <c r="O28725" s="247"/>
      <c r="AC28725" s="247"/>
      <c r="AT28725" s="247"/>
    </row>
    <row r="28726">
      <c r="C28726" s="278"/>
      <c r="M28726" s="278"/>
      <c r="O28726" s="247"/>
      <c r="AC28726" s="247"/>
      <c r="AT28726" s="247"/>
    </row>
    <row r="28727">
      <c r="C28727" s="277"/>
      <c r="M28727" s="278"/>
      <c r="O28727" s="247"/>
      <c r="AC28727" s="247"/>
      <c r="AT28727" s="247"/>
    </row>
    <row r="28728">
      <c r="C28728" s="278"/>
      <c r="M28728" s="278"/>
      <c r="O28728" s="247"/>
      <c r="AC28728" s="247"/>
      <c r="AT28728" s="247"/>
    </row>
    <row r="28729">
      <c r="C28729" s="277"/>
      <c r="M28729" s="278"/>
      <c r="O28729" s="247"/>
      <c r="AC28729" s="247"/>
      <c r="AT28729" s="247"/>
    </row>
    <row r="28730">
      <c r="C28730" s="278"/>
      <c r="M28730" s="278"/>
      <c r="O28730" s="247"/>
      <c r="AC28730" s="247"/>
      <c r="AT28730" s="247"/>
    </row>
    <row r="28731">
      <c r="C28731" s="277"/>
      <c r="M28731" s="278"/>
      <c r="O28731" s="247"/>
      <c r="AC28731" s="247"/>
      <c r="AT28731" s="247"/>
    </row>
    <row r="28732">
      <c r="C28732" s="278"/>
      <c r="M28732" s="278"/>
      <c r="O28732" s="247"/>
      <c r="AC28732" s="247"/>
      <c r="AT28732" s="247"/>
    </row>
    <row r="28733">
      <c r="C28733" s="277"/>
      <c r="M28733" s="278"/>
      <c r="O28733" s="247"/>
      <c r="AC28733" s="247"/>
      <c r="AT28733" s="247"/>
    </row>
    <row r="28734">
      <c r="C28734" s="278"/>
      <c r="M28734" s="278"/>
      <c r="O28734" s="247"/>
      <c r="AC28734" s="247"/>
      <c r="AT28734" s="247"/>
    </row>
    <row r="28735">
      <c r="C28735" s="277"/>
      <c r="M28735" s="278"/>
      <c r="O28735" s="247"/>
      <c r="AC28735" s="247"/>
      <c r="AT28735" s="247"/>
    </row>
    <row r="28736">
      <c r="C28736" s="278"/>
      <c r="M28736" s="278"/>
      <c r="O28736" s="247"/>
      <c r="AC28736" s="247"/>
      <c r="AT28736" s="247"/>
    </row>
    <row r="28737">
      <c r="C28737" s="277"/>
      <c r="M28737" s="278"/>
      <c r="O28737" s="247"/>
      <c r="AC28737" s="247"/>
      <c r="AT28737" s="247"/>
    </row>
    <row r="28738">
      <c r="C28738" s="278"/>
      <c r="M28738" s="278"/>
      <c r="O28738" s="247"/>
      <c r="AC28738" s="247"/>
      <c r="AT28738" s="247"/>
    </row>
    <row r="28739">
      <c r="C28739" s="277"/>
      <c r="M28739" s="278"/>
      <c r="O28739" s="247"/>
      <c r="AC28739" s="247"/>
      <c r="AT28739" s="247"/>
    </row>
    <row r="28740">
      <c r="C28740" s="278"/>
      <c r="M28740" s="278"/>
      <c r="O28740" s="247"/>
      <c r="AC28740" s="247"/>
      <c r="AT28740" s="247"/>
    </row>
    <row r="28741">
      <c r="C28741" s="277"/>
      <c r="M28741" s="278"/>
      <c r="O28741" s="247"/>
      <c r="AC28741" s="247"/>
      <c r="AT28741" s="247"/>
    </row>
    <row r="28742">
      <c r="C28742" s="278"/>
      <c r="M28742" s="278"/>
      <c r="O28742" s="247"/>
      <c r="AC28742" s="247"/>
      <c r="AT28742" s="247"/>
    </row>
    <row r="28743">
      <c r="C28743" s="277"/>
      <c r="M28743" s="278"/>
      <c r="O28743" s="247"/>
      <c r="AC28743" s="247"/>
      <c r="AT28743" s="247"/>
    </row>
    <row r="28744">
      <c r="C28744" s="278"/>
      <c r="M28744" s="278"/>
      <c r="O28744" s="247"/>
      <c r="AC28744" s="247"/>
      <c r="AT28744" s="247"/>
    </row>
    <row r="28745">
      <c r="C28745" s="277"/>
      <c r="M28745" s="278"/>
      <c r="O28745" s="247"/>
      <c r="AC28745" s="247"/>
      <c r="AT28745" s="247"/>
    </row>
    <row r="28746">
      <c r="C28746" s="278"/>
      <c r="M28746" s="278"/>
      <c r="O28746" s="247"/>
      <c r="AC28746" s="247"/>
      <c r="AT28746" s="247"/>
    </row>
    <row r="28747">
      <c r="C28747" s="277"/>
      <c r="M28747" s="278"/>
      <c r="O28747" s="247"/>
      <c r="AC28747" s="247"/>
      <c r="AT28747" s="247"/>
    </row>
    <row r="28748">
      <c r="C28748" s="278"/>
      <c r="M28748" s="278"/>
      <c r="O28748" s="247"/>
      <c r="AC28748" s="247"/>
      <c r="AT28748" s="247"/>
    </row>
    <row r="28749">
      <c r="C28749" s="277"/>
      <c r="M28749" s="278"/>
      <c r="O28749" s="247"/>
      <c r="AC28749" s="247"/>
      <c r="AT28749" s="247"/>
    </row>
    <row r="28750">
      <c r="C28750" s="278"/>
      <c r="M28750" s="278"/>
      <c r="O28750" s="247"/>
      <c r="AC28750" s="247"/>
      <c r="AT28750" s="247"/>
    </row>
    <row r="28751">
      <c r="C28751" s="277"/>
      <c r="M28751" s="278"/>
      <c r="O28751" s="247"/>
      <c r="AC28751" s="247"/>
      <c r="AT28751" s="247"/>
    </row>
    <row r="28752">
      <c r="C28752" s="278"/>
      <c r="M28752" s="278"/>
      <c r="O28752" s="247"/>
      <c r="AC28752" s="247"/>
      <c r="AT28752" s="247"/>
    </row>
    <row r="28753">
      <c r="C28753" s="277"/>
      <c r="M28753" s="278"/>
      <c r="O28753" s="247"/>
      <c r="AC28753" s="247"/>
      <c r="AT28753" s="247"/>
    </row>
    <row r="28754">
      <c r="C28754" s="278"/>
      <c r="M28754" s="278"/>
      <c r="O28754" s="247"/>
      <c r="AC28754" s="247"/>
      <c r="AT28754" s="247"/>
    </row>
    <row r="28755">
      <c r="C28755" s="277"/>
      <c r="M28755" s="278"/>
      <c r="O28755" s="247"/>
      <c r="AC28755" s="247"/>
      <c r="AT28755" s="247"/>
    </row>
    <row r="28756">
      <c r="C28756" s="278"/>
      <c r="M28756" s="278"/>
      <c r="O28756" s="247"/>
      <c r="AC28756" s="247"/>
      <c r="AT28756" s="247"/>
    </row>
    <row r="28757">
      <c r="C28757" s="277"/>
      <c r="M28757" s="278"/>
      <c r="O28757" s="247"/>
      <c r="AC28757" s="247"/>
      <c r="AT28757" s="247"/>
    </row>
    <row r="28758">
      <c r="C28758" s="278"/>
      <c r="M28758" s="278"/>
      <c r="O28758" s="247"/>
      <c r="AC28758" s="247"/>
      <c r="AT28758" s="247"/>
    </row>
    <row r="28759">
      <c r="C28759" s="277"/>
      <c r="M28759" s="278"/>
      <c r="O28759" s="247"/>
      <c r="AC28759" s="247"/>
      <c r="AT28759" s="247"/>
    </row>
    <row r="28760">
      <c r="C28760" s="278"/>
      <c r="M28760" s="278"/>
      <c r="O28760" s="247"/>
      <c r="AC28760" s="247"/>
      <c r="AT28760" s="247"/>
    </row>
    <row r="28761">
      <c r="C28761" s="277"/>
      <c r="M28761" s="278"/>
      <c r="O28761" s="247"/>
      <c r="AC28761" s="247"/>
      <c r="AT28761" s="247"/>
    </row>
    <row r="28762">
      <c r="C28762" s="278"/>
      <c r="M28762" s="278"/>
      <c r="O28762" s="247"/>
      <c r="AC28762" s="247"/>
      <c r="AT28762" s="247"/>
    </row>
    <row r="28763">
      <c r="C28763" s="278"/>
      <c r="M28763" s="278"/>
      <c r="O28763" s="247"/>
      <c r="AC28763" s="247"/>
      <c r="AT28763" s="247"/>
    </row>
    <row r="28764">
      <c r="C28764" s="277"/>
      <c r="M28764" s="278"/>
      <c r="O28764" s="247"/>
      <c r="AC28764" s="247"/>
      <c r="AT28764" s="247"/>
    </row>
    <row r="28765">
      <c r="C28765" s="277"/>
      <c r="M28765" s="278"/>
      <c r="O28765" s="247"/>
      <c r="AC28765" s="247"/>
      <c r="AT28765" s="247"/>
    </row>
    <row r="28766">
      <c r="C28766" s="277"/>
      <c r="M28766" s="278"/>
      <c r="O28766" s="247"/>
      <c r="AC28766" s="247"/>
      <c r="AT28766" s="247"/>
    </row>
    <row r="28767">
      <c r="C28767" s="277"/>
      <c r="M28767" s="278"/>
      <c r="O28767" s="247"/>
      <c r="AC28767" s="247"/>
      <c r="AT28767" s="247"/>
    </row>
    <row r="28768">
      <c r="C28768" s="277"/>
      <c r="M28768" s="278"/>
      <c r="O28768" s="247"/>
      <c r="AC28768" s="247"/>
      <c r="AT28768" s="247"/>
    </row>
    <row r="28769">
      <c r="C28769" s="277"/>
      <c r="M28769" s="278"/>
      <c r="O28769" s="247"/>
      <c r="AC28769" s="247"/>
      <c r="AT28769" s="247"/>
    </row>
    <row r="28770">
      <c r="C28770" s="277"/>
      <c r="M28770" s="278"/>
      <c r="O28770" s="247"/>
      <c r="AC28770" s="247"/>
      <c r="AT28770" s="247"/>
    </row>
    <row r="28771">
      <c r="C28771" s="278"/>
      <c r="M28771" s="278"/>
      <c r="O28771" s="247"/>
      <c r="AC28771" s="247"/>
      <c r="AT28771" s="247"/>
    </row>
    <row r="28772">
      <c r="C28772" s="277"/>
      <c r="M28772" s="278"/>
      <c r="O28772" s="247"/>
      <c r="AC28772" s="247"/>
      <c r="AT28772" s="247"/>
    </row>
    <row r="28773">
      <c r="C28773" s="278"/>
      <c r="M28773" s="278"/>
      <c r="O28773" s="247"/>
      <c r="AC28773" s="247"/>
      <c r="AT28773" s="247"/>
    </row>
    <row r="28774">
      <c r="C28774" s="277"/>
      <c r="M28774" s="278"/>
      <c r="O28774" s="247"/>
      <c r="AC28774" s="247"/>
      <c r="AT28774" s="247"/>
    </row>
    <row r="28775">
      <c r="C28775" s="277"/>
      <c r="M28775" s="278"/>
      <c r="O28775" s="247"/>
      <c r="AC28775" s="247"/>
      <c r="AT28775" s="247"/>
    </row>
    <row r="28776">
      <c r="C28776" s="277"/>
      <c r="M28776" s="278"/>
      <c r="O28776" s="247"/>
      <c r="AC28776" s="247"/>
      <c r="AT28776" s="247"/>
    </row>
    <row r="28777">
      <c r="C28777" s="277"/>
      <c r="M28777" s="278"/>
      <c r="O28777" s="247"/>
      <c r="AC28777" s="247"/>
      <c r="AT28777" s="247"/>
    </row>
    <row r="28778">
      <c r="C28778" s="277"/>
      <c r="M28778" s="277"/>
      <c r="O28778" s="247"/>
      <c r="AC28778" s="247"/>
      <c r="AT28778" s="247"/>
    </row>
    <row r="28779">
      <c r="C28779" s="277"/>
      <c r="M28779" s="277"/>
      <c r="O28779" s="247"/>
      <c r="AC28779" s="247"/>
      <c r="AT28779" s="247"/>
    </row>
    <row r="28780">
      <c r="C28780" s="277"/>
      <c r="M28780" s="277"/>
      <c r="O28780" s="247"/>
      <c r="AC28780" s="247"/>
      <c r="AT28780" s="247"/>
    </row>
    <row r="28781">
      <c r="C28781" s="277"/>
      <c r="M28781" s="277"/>
      <c r="O28781" s="247"/>
      <c r="AC28781" s="247"/>
      <c r="AT28781" s="247"/>
    </row>
    <row r="28782">
      <c r="C28782" s="277"/>
      <c r="M28782" s="277"/>
      <c r="O28782" s="247"/>
      <c r="AC28782" s="247"/>
      <c r="AT28782" s="247"/>
    </row>
    <row r="28783">
      <c r="C28783" s="277"/>
      <c r="M28783" s="277"/>
      <c r="O28783" s="247"/>
      <c r="AC28783" s="247"/>
      <c r="AT28783" s="247"/>
    </row>
    <row r="28784">
      <c r="C28784" s="277"/>
      <c r="M28784" s="277"/>
      <c r="O28784" s="247"/>
      <c r="AC28784" s="247"/>
      <c r="AT28784" s="247"/>
    </row>
    <row r="28785">
      <c r="C28785" s="277"/>
      <c r="M28785" s="277"/>
      <c r="O28785" s="247"/>
      <c r="AC28785" s="247"/>
      <c r="AT28785" s="247"/>
    </row>
    <row r="28786">
      <c r="C28786" s="277"/>
      <c r="M28786" s="277"/>
      <c r="O28786" s="247"/>
      <c r="AC28786" s="247"/>
      <c r="AT28786" s="247"/>
    </row>
    <row r="28787">
      <c r="C28787" s="277"/>
      <c r="M28787" s="277"/>
      <c r="O28787" s="247"/>
      <c r="AC28787" s="247"/>
      <c r="AT28787" s="247"/>
    </row>
    <row r="28788">
      <c r="C28788" s="277"/>
      <c r="M28788" s="277"/>
      <c r="O28788" s="247"/>
      <c r="AC28788" s="247"/>
      <c r="AT28788" s="247"/>
    </row>
    <row r="28789">
      <c r="C28789" s="277"/>
      <c r="M28789" s="277"/>
      <c r="O28789" s="247"/>
      <c r="AC28789" s="247"/>
      <c r="AT28789" s="247"/>
    </row>
    <row r="28790">
      <c r="C28790" s="277"/>
      <c r="M28790" s="277"/>
      <c r="O28790" s="247"/>
      <c r="AC28790" s="247"/>
      <c r="AT28790" s="247"/>
    </row>
    <row r="28791">
      <c r="C28791" s="277"/>
      <c r="M28791" s="277"/>
      <c r="O28791" s="247"/>
      <c r="AC28791" s="247"/>
      <c r="AT28791" s="247"/>
    </row>
    <row r="28792">
      <c r="C28792" s="277"/>
      <c r="M28792" s="277"/>
      <c r="O28792" s="247"/>
      <c r="AC28792" s="247"/>
      <c r="AT28792" s="247"/>
    </row>
    <row r="28793">
      <c r="C28793" s="277"/>
      <c r="M28793" s="277"/>
      <c r="O28793" s="247"/>
      <c r="AC28793" s="247"/>
      <c r="AT28793" s="247"/>
    </row>
    <row r="28794">
      <c r="C28794" s="277"/>
      <c r="M28794" s="277"/>
      <c r="O28794" s="247"/>
      <c r="AC28794" s="247"/>
      <c r="AT28794" s="247"/>
    </row>
    <row r="28795">
      <c r="C28795" s="277"/>
      <c r="M28795" s="277"/>
      <c r="O28795" s="247"/>
      <c r="AC28795" s="247"/>
      <c r="AT28795" s="247"/>
    </row>
    <row r="28796">
      <c r="C28796" s="277"/>
      <c r="M28796" s="277"/>
      <c r="O28796" s="247"/>
      <c r="AC28796" s="247"/>
      <c r="AT28796" s="247"/>
    </row>
    <row r="28797">
      <c r="C28797" s="277"/>
      <c r="M28797" s="277"/>
      <c r="O28797" s="247"/>
      <c r="AC28797" s="247"/>
      <c r="AT28797" s="247"/>
    </row>
    <row r="28798">
      <c r="C28798" s="277"/>
      <c r="M28798" s="277"/>
      <c r="O28798" s="247"/>
      <c r="AC28798" s="247"/>
      <c r="AT28798" s="247"/>
    </row>
    <row r="28799">
      <c r="C28799" s="277"/>
      <c r="M28799" s="277"/>
      <c r="O28799" s="247"/>
      <c r="AC28799" s="247"/>
      <c r="AT28799" s="247"/>
    </row>
    <row r="28800">
      <c r="C28800" s="277"/>
      <c r="M28800" s="277"/>
      <c r="O28800" s="247"/>
      <c r="AC28800" s="247"/>
      <c r="AT28800" s="247"/>
    </row>
    <row r="28801">
      <c r="C28801" s="277"/>
      <c r="M28801" s="277"/>
      <c r="O28801" s="247"/>
      <c r="AC28801" s="247"/>
      <c r="AT28801" s="247"/>
    </row>
    <row r="28802">
      <c r="C28802" s="277"/>
      <c r="M28802" s="277"/>
      <c r="O28802" s="247"/>
      <c r="AC28802" s="247"/>
      <c r="AT28802" s="247"/>
    </row>
    <row r="28803">
      <c r="C28803" s="277"/>
      <c r="M28803" s="277"/>
      <c r="O28803" s="247"/>
      <c r="AC28803" s="247"/>
      <c r="AT28803" s="247"/>
    </row>
    <row r="28804">
      <c r="C28804" s="277"/>
      <c r="M28804" s="277"/>
      <c r="O28804" s="247"/>
      <c r="AC28804" s="247"/>
      <c r="AT28804" s="247"/>
    </row>
    <row r="28805">
      <c r="C28805" s="278"/>
      <c r="M28805" s="277"/>
      <c r="O28805" s="247"/>
      <c r="AC28805" s="247"/>
      <c r="AT28805" s="247"/>
    </row>
    <row r="28806">
      <c r="C28806" s="277"/>
      <c r="M28806" s="277"/>
      <c r="O28806" s="247"/>
      <c r="AC28806" s="247"/>
      <c r="AT28806" s="247"/>
    </row>
    <row r="28807">
      <c r="C28807" s="277"/>
      <c r="M28807" s="277"/>
      <c r="O28807" s="247"/>
      <c r="AC28807" s="247"/>
      <c r="AT28807" s="247"/>
    </row>
    <row r="28808">
      <c r="C28808" s="277"/>
      <c r="M28808" s="277"/>
      <c r="O28808" s="247"/>
      <c r="AC28808" s="247"/>
      <c r="AT28808" s="247"/>
    </row>
    <row r="28809">
      <c r="C28809" s="277"/>
      <c r="M28809" s="277"/>
      <c r="O28809" s="247"/>
      <c r="AC28809" s="247"/>
      <c r="AT28809" s="247"/>
    </row>
    <row r="28810">
      <c r="C28810" s="277"/>
      <c r="M28810" s="277"/>
      <c r="O28810" s="247"/>
      <c r="AC28810" s="247"/>
      <c r="AT28810" s="247"/>
    </row>
    <row r="28811">
      <c r="C28811" s="277"/>
      <c r="M28811" s="277"/>
      <c r="O28811" s="247"/>
      <c r="AC28811" s="247"/>
      <c r="AT28811" s="247"/>
    </row>
    <row r="28812">
      <c r="C28812" s="277"/>
      <c r="M28812" s="277"/>
      <c r="O28812" s="247"/>
      <c r="AC28812" s="247"/>
      <c r="AT28812" s="247"/>
    </row>
    <row r="28813">
      <c r="C28813" s="277"/>
      <c r="M28813" s="277"/>
      <c r="O28813" s="247"/>
      <c r="AC28813" s="247"/>
      <c r="AT28813" s="247"/>
    </row>
    <row r="28814">
      <c r="C28814" s="277"/>
      <c r="M28814" s="277"/>
      <c r="O28814" s="247"/>
      <c r="AC28814" s="247"/>
      <c r="AT28814" s="247"/>
    </row>
    <row r="28815">
      <c r="C28815" s="277"/>
      <c r="M28815" s="277"/>
      <c r="O28815" s="247"/>
      <c r="AC28815" s="247"/>
      <c r="AT28815" s="247"/>
    </row>
    <row r="28816">
      <c r="C28816" s="277"/>
      <c r="M28816" s="277"/>
      <c r="O28816" s="247"/>
      <c r="AC28816" s="247"/>
      <c r="AT28816" s="247"/>
    </row>
    <row r="28817">
      <c r="C28817" s="277"/>
      <c r="M28817" s="277"/>
      <c r="O28817" s="247"/>
      <c r="AC28817" s="247"/>
      <c r="AT28817" s="247"/>
    </row>
    <row r="28818">
      <c r="C28818" s="277"/>
      <c r="M28818" s="277"/>
      <c r="O28818" s="247"/>
      <c r="AC28818" s="247"/>
      <c r="AT28818" s="247"/>
    </row>
    <row r="28819">
      <c r="C28819" s="277"/>
      <c r="M28819" s="277"/>
      <c r="O28819" s="247"/>
      <c r="AC28819" s="247"/>
      <c r="AT28819" s="247"/>
    </row>
    <row r="28820">
      <c r="C28820" s="277"/>
      <c r="M28820" s="277"/>
      <c r="O28820" s="247"/>
      <c r="AC28820" s="247"/>
      <c r="AT28820" s="247"/>
    </row>
    <row r="28821">
      <c r="C28821" s="277"/>
      <c r="M28821" s="277"/>
      <c r="O28821" s="247"/>
      <c r="AC28821" s="247"/>
      <c r="AT28821" s="247"/>
    </row>
    <row r="28822">
      <c r="C28822" s="277"/>
      <c r="M28822" s="277"/>
      <c r="O28822" s="247"/>
      <c r="AC28822" s="247"/>
      <c r="AT28822" s="247"/>
    </row>
    <row r="28823">
      <c r="C28823" s="278"/>
      <c r="M28823" s="277"/>
      <c r="O28823" s="247"/>
      <c r="AC28823" s="247"/>
      <c r="AT28823" s="247"/>
    </row>
    <row r="28824">
      <c r="C28824" s="277"/>
      <c r="M28824" s="277"/>
      <c r="O28824" s="247"/>
      <c r="AC28824" s="247"/>
      <c r="AT28824" s="247"/>
    </row>
    <row r="28825">
      <c r="C28825" s="277"/>
      <c r="M28825" s="277"/>
      <c r="O28825" s="247"/>
      <c r="AC28825" s="247"/>
      <c r="AT28825" s="247"/>
    </row>
    <row r="28826">
      <c r="C28826" s="277"/>
      <c r="M28826" s="277"/>
      <c r="O28826" s="247"/>
      <c r="AC28826" s="247"/>
      <c r="AT28826" s="247"/>
    </row>
    <row r="28827">
      <c r="C28827" s="277"/>
      <c r="M28827" s="277"/>
      <c r="O28827" s="247"/>
      <c r="AC28827" s="247"/>
      <c r="AT28827" s="247"/>
    </row>
    <row r="28828">
      <c r="C28828" s="277"/>
      <c r="M28828" s="277"/>
      <c r="O28828" s="247"/>
      <c r="AC28828" s="247"/>
      <c r="AT28828" s="247"/>
    </row>
    <row r="28829">
      <c r="C28829" s="278"/>
      <c r="M28829" s="277"/>
      <c r="O28829" s="247"/>
      <c r="AC28829" s="247"/>
      <c r="AT28829" s="247"/>
    </row>
    <row r="28830">
      <c r="C28830" s="277"/>
      <c r="M28830" s="277"/>
      <c r="O28830" s="247"/>
      <c r="AC28830" s="247"/>
      <c r="AT28830" s="247"/>
    </row>
    <row r="28831">
      <c r="C28831" s="278"/>
      <c r="M28831" s="277"/>
      <c r="O28831" s="247"/>
      <c r="AC28831" s="247"/>
      <c r="AT28831" s="247"/>
    </row>
    <row r="28832">
      <c r="C28832" s="277"/>
      <c r="M28832" s="277"/>
      <c r="O28832" s="247"/>
      <c r="AC28832" s="247"/>
      <c r="AT28832" s="247"/>
    </row>
    <row r="28833">
      <c r="C28833" s="278"/>
      <c r="M28833" s="277"/>
      <c r="O28833" s="247"/>
      <c r="AC28833" s="247"/>
      <c r="AT28833" s="247"/>
    </row>
    <row r="28834">
      <c r="C28834" s="277"/>
      <c r="M28834" s="277"/>
      <c r="O28834" s="247"/>
      <c r="AC28834" s="247"/>
      <c r="AT28834" s="247"/>
    </row>
    <row r="28835">
      <c r="C28835" s="277"/>
      <c r="M28835" s="277"/>
      <c r="O28835" s="247"/>
      <c r="AC28835" s="247"/>
      <c r="AT28835" s="247"/>
    </row>
    <row r="28836">
      <c r="C28836" s="278"/>
      <c r="M28836" s="277"/>
      <c r="O28836" s="247"/>
      <c r="AC28836" s="247"/>
      <c r="AT28836" s="247"/>
    </row>
    <row r="28837">
      <c r="C28837" s="277"/>
      <c r="M28837" s="277"/>
      <c r="O28837" s="247"/>
      <c r="AC28837" s="247"/>
      <c r="AT28837" s="247"/>
    </row>
    <row r="28838">
      <c r="C28838" s="277"/>
      <c r="M28838" s="277"/>
      <c r="O28838" s="247"/>
      <c r="AC28838" s="247"/>
      <c r="AT28838" s="247"/>
    </row>
    <row r="28839">
      <c r="C28839" s="277"/>
      <c r="M28839" s="277"/>
      <c r="O28839" s="247"/>
      <c r="AC28839" s="247"/>
      <c r="AT28839" s="247"/>
    </row>
    <row r="28840">
      <c r="C28840" s="277"/>
      <c r="M28840" s="277"/>
      <c r="O28840" s="247"/>
      <c r="AC28840" s="247"/>
      <c r="AT28840" s="247"/>
    </row>
    <row r="28841">
      <c r="C28841" s="277"/>
      <c r="M28841" s="277"/>
      <c r="O28841" s="247"/>
      <c r="AC28841" s="247"/>
      <c r="AT28841" s="247"/>
    </row>
    <row r="28842">
      <c r="C28842" s="277"/>
      <c r="M28842" s="277"/>
      <c r="O28842" s="247"/>
      <c r="AC28842" s="247"/>
      <c r="AT28842" s="247"/>
    </row>
    <row r="28843">
      <c r="C28843" s="277"/>
      <c r="M28843" s="277"/>
      <c r="O28843" s="247"/>
      <c r="AC28843" s="247"/>
      <c r="AT28843" s="247"/>
    </row>
    <row r="28844">
      <c r="C28844" s="277"/>
      <c r="M28844" s="277"/>
      <c r="O28844" s="247"/>
      <c r="AC28844" s="247"/>
      <c r="AT28844" s="247"/>
    </row>
    <row r="28845">
      <c r="C28845" s="277"/>
      <c r="M28845" s="277"/>
      <c r="O28845" s="247"/>
      <c r="AC28845" s="247"/>
      <c r="AT28845" s="247"/>
    </row>
    <row r="28846">
      <c r="C28846" s="278"/>
      <c r="M28846" s="277"/>
      <c r="O28846" s="247"/>
      <c r="AC28846" s="247"/>
      <c r="AT28846" s="247"/>
    </row>
    <row r="28847">
      <c r="C28847" s="278"/>
      <c r="M28847" s="277"/>
      <c r="O28847" s="247"/>
      <c r="AC28847" s="247"/>
      <c r="AT28847" s="247"/>
    </row>
    <row r="28848">
      <c r="C28848" s="278"/>
      <c r="M28848" s="277"/>
      <c r="O28848" s="247"/>
      <c r="AC28848" s="247"/>
      <c r="AT28848" s="247"/>
    </row>
    <row r="28849">
      <c r="C28849" s="278"/>
      <c r="M28849" s="277"/>
      <c r="O28849" s="247"/>
      <c r="AC28849" s="247"/>
      <c r="AT28849" s="247"/>
    </row>
    <row r="28850">
      <c r="C28850" s="278"/>
      <c r="M28850" s="277"/>
      <c r="O28850" s="247"/>
      <c r="AC28850" s="247"/>
      <c r="AT28850" s="247"/>
    </row>
    <row r="28851">
      <c r="C28851" s="278"/>
      <c r="M28851" s="277"/>
      <c r="O28851" s="247"/>
      <c r="AC28851" s="247"/>
      <c r="AT28851" s="247"/>
    </row>
    <row r="28852">
      <c r="C28852" s="278"/>
      <c r="M28852" s="277"/>
      <c r="O28852" s="247"/>
      <c r="AC28852" s="247"/>
      <c r="AT28852" s="247"/>
    </row>
    <row r="28853">
      <c r="C28853" s="278"/>
      <c r="M28853" s="277"/>
      <c r="O28853" s="247"/>
      <c r="AC28853" s="247"/>
      <c r="AT28853" s="247"/>
    </row>
    <row r="28854">
      <c r="C28854" s="277"/>
      <c r="M28854" s="277"/>
      <c r="O28854" s="247"/>
      <c r="AC28854" s="247"/>
      <c r="AT28854" s="247"/>
    </row>
    <row r="28855">
      <c r="C28855" s="278"/>
      <c r="M28855" s="278"/>
      <c r="O28855" s="247"/>
      <c r="AC28855" s="247"/>
      <c r="AT28855" s="247"/>
    </row>
    <row r="28856">
      <c r="C28856" s="278"/>
      <c r="M28856" s="278"/>
      <c r="O28856" s="247"/>
      <c r="AC28856" s="247"/>
      <c r="AT28856" s="247"/>
    </row>
    <row r="28857">
      <c r="C28857" s="278"/>
      <c r="M28857" s="278"/>
      <c r="O28857" s="247"/>
      <c r="AC28857" s="247"/>
      <c r="AT28857" s="247"/>
    </row>
    <row r="28858">
      <c r="C28858" s="278"/>
      <c r="M28858" s="278"/>
      <c r="O28858" s="247"/>
      <c r="AC28858" s="247"/>
      <c r="AT28858" s="247"/>
    </row>
    <row r="28859">
      <c r="C28859" s="278"/>
      <c r="M28859" s="278"/>
      <c r="O28859" s="247"/>
      <c r="AC28859" s="247"/>
      <c r="AT28859" s="247"/>
    </row>
    <row r="28860">
      <c r="C28860" s="278"/>
      <c r="M28860" s="278"/>
      <c r="O28860" s="247"/>
      <c r="AC28860" s="247"/>
      <c r="AT28860" s="247"/>
    </row>
    <row r="28861">
      <c r="C28861" s="278"/>
      <c r="M28861" s="278"/>
      <c r="O28861" s="247"/>
      <c r="AC28861" s="247"/>
      <c r="AT28861" s="247"/>
    </row>
    <row r="28862">
      <c r="C28862" s="278"/>
      <c r="M28862" s="278"/>
      <c r="O28862" s="247"/>
      <c r="AC28862" s="247"/>
      <c r="AT28862" s="247"/>
    </row>
    <row r="28863">
      <c r="C28863" s="278"/>
      <c r="M28863" s="278"/>
      <c r="O28863" s="247"/>
      <c r="AC28863" s="247"/>
      <c r="AT28863" s="247"/>
    </row>
    <row r="28864">
      <c r="C28864" s="278"/>
      <c r="M28864" s="278"/>
      <c r="O28864" s="247"/>
      <c r="AC28864" s="247"/>
      <c r="AT28864" s="247"/>
    </row>
    <row r="28865">
      <c r="C28865" s="278"/>
      <c r="M28865" s="278"/>
      <c r="O28865" s="247"/>
      <c r="AC28865" s="247"/>
      <c r="AT28865" s="247"/>
    </row>
    <row r="28866">
      <c r="C28866" s="278"/>
      <c r="M28866" s="278"/>
      <c r="O28866" s="247"/>
      <c r="AC28866" s="247"/>
      <c r="AT28866" s="247"/>
    </row>
    <row r="28867">
      <c r="C28867" s="278"/>
      <c r="M28867" s="278"/>
      <c r="O28867" s="247"/>
      <c r="AC28867" s="247"/>
      <c r="AT28867" s="247"/>
    </row>
    <row r="28868">
      <c r="C28868" s="278"/>
      <c r="M28868" s="278"/>
      <c r="O28868" s="247"/>
      <c r="AC28868" s="247"/>
      <c r="AT28868" s="247"/>
    </row>
    <row r="28869">
      <c r="C28869" s="278"/>
      <c r="M28869" s="278"/>
      <c r="O28869" s="247"/>
      <c r="AC28869" s="247"/>
      <c r="AT28869" s="247"/>
    </row>
    <row r="28870">
      <c r="C28870" s="278"/>
      <c r="M28870" s="278"/>
      <c r="O28870" s="247"/>
      <c r="AC28870" s="247"/>
      <c r="AT28870" s="247"/>
    </row>
    <row r="28871">
      <c r="C28871" s="278"/>
      <c r="M28871" s="278"/>
      <c r="O28871" s="247"/>
      <c r="AC28871" s="247"/>
      <c r="AT28871" s="247"/>
    </row>
    <row r="28872">
      <c r="C28872" s="278"/>
      <c r="M28872" s="278"/>
      <c r="O28872" s="247"/>
      <c r="AC28872" s="247"/>
      <c r="AT28872" s="247"/>
    </row>
    <row r="28873">
      <c r="C28873" s="278"/>
      <c r="M28873" s="278"/>
      <c r="O28873" s="247"/>
      <c r="AC28873" s="247"/>
      <c r="AT28873" s="247"/>
    </row>
    <row r="28874">
      <c r="C28874" s="278"/>
      <c r="M28874" s="278"/>
      <c r="O28874" s="247"/>
      <c r="AC28874" s="247"/>
      <c r="AT28874" s="247"/>
    </row>
    <row r="28875">
      <c r="C28875" s="278"/>
      <c r="M28875" s="278"/>
      <c r="O28875" s="247"/>
      <c r="AC28875" s="247"/>
      <c r="AT28875" s="247"/>
    </row>
    <row r="28876">
      <c r="C28876" s="278"/>
      <c r="M28876" s="278"/>
      <c r="O28876" s="247"/>
      <c r="AC28876" s="247"/>
      <c r="AT28876" s="247"/>
    </row>
    <row r="28877">
      <c r="C28877" s="278"/>
      <c r="M28877" s="278"/>
      <c r="O28877" s="247"/>
      <c r="AC28877" s="247"/>
      <c r="AT28877" s="247"/>
    </row>
    <row r="28878">
      <c r="C28878" s="278"/>
      <c r="M28878" s="278"/>
      <c r="O28878" s="247"/>
      <c r="AC28878" s="247"/>
      <c r="AT28878" s="247"/>
    </row>
    <row r="28879">
      <c r="C28879" s="278"/>
      <c r="M28879" s="278"/>
      <c r="O28879" s="247"/>
      <c r="AC28879" s="247"/>
      <c r="AT28879" s="247"/>
    </row>
    <row r="28880">
      <c r="C28880" s="278"/>
      <c r="M28880" s="278"/>
      <c r="O28880" s="247"/>
      <c r="AC28880" s="247"/>
      <c r="AT28880" s="247"/>
    </row>
    <row r="28881">
      <c r="C28881" s="278"/>
      <c r="M28881" s="278"/>
      <c r="O28881" s="247"/>
      <c r="AC28881" s="247"/>
      <c r="AT28881" s="247"/>
    </row>
    <row r="28882">
      <c r="C28882" s="278"/>
      <c r="M28882" s="278"/>
      <c r="O28882" s="247"/>
      <c r="AC28882" s="247"/>
      <c r="AT28882" s="247"/>
    </row>
    <row r="28883">
      <c r="C28883" s="278"/>
      <c r="M28883" s="278"/>
      <c r="O28883" s="247"/>
      <c r="AC28883" s="247"/>
      <c r="AT28883" s="247"/>
    </row>
    <row r="28884">
      <c r="C28884" s="278"/>
      <c r="M28884" s="278"/>
      <c r="O28884" s="247"/>
      <c r="AC28884" s="247"/>
      <c r="AT28884" s="247"/>
    </row>
    <row r="28885">
      <c r="C28885" s="278"/>
      <c r="M28885" s="278"/>
      <c r="O28885" s="247"/>
      <c r="AC28885" s="247"/>
      <c r="AT28885" s="247"/>
    </row>
    <row r="28886">
      <c r="C28886" s="278"/>
      <c r="M28886" s="278"/>
      <c r="O28886" s="247"/>
      <c r="AC28886" s="247"/>
      <c r="AT28886" s="247"/>
    </row>
    <row r="28887">
      <c r="C28887" s="278"/>
      <c r="M28887" s="278"/>
      <c r="O28887" s="247"/>
      <c r="AC28887" s="247"/>
      <c r="AT28887" s="247"/>
    </row>
    <row r="28888">
      <c r="C28888" s="278"/>
      <c r="M28888" s="278"/>
      <c r="O28888" s="247"/>
      <c r="AC28888" s="247"/>
      <c r="AT28888" s="247"/>
    </row>
    <row r="28889">
      <c r="C28889" s="278"/>
      <c r="M28889" s="278"/>
      <c r="O28889" s="247"/>
      <c r="AC28889" s="247"/>
      <c r="AT28889" s="247"/>
    </row>
    <row r="28890">
      <c r="C28890" s="278"/>
      <c r="M28890" s="278"/>
      <c r="O28890" s="247"/>
      <c r="AC28890" s="247"/>
      <c r="AT28890" s="247"/>
    </row>
    <row r="28891">
      <c r="C28891" s="278"/>
      <c r="M28891" s="278"/>
      <c r="O28891" s="247"/>
      <c r="AC28891" s="247"/>
      <c r="AT28891" s="247"/>
    </row>
    <row r="28892">
      <c r="C28892" s="278"/>
      <c r="M28892" s="278"/>
      <c r="O28892" s="247"/>
      <c r="AC28892" s="247"/>
      <c r="AT28892" s="247"/>
    </row>
    <row r="28893">
      <c r="C28893" s="278"/>
      <c r="M28893" s="278"/>
      <c r="O28893" s="247"/>
      <c r="AC28893" s="247"/>
      <c r="AT28893" s="247"/>
    </row>
    <row r="28894">
      <c r="C28894" s="278"/>
      <c r="M28894" s="278"/>
      <c r="O28894" s="247"/>
      <c r="AC28894" s="247"/>
      <c r="AT28894" s="247"/>
    </row>
    <row r="28895">
      <c r="C28895" s="278"/>
      <c r="M28895" s="278"/>
      <c r="O28895" s="247"/>
      <c r="AC28895" s="247"/>
      <c r="AT28895" s="247"/>
    </row>
    <row r="28896">
      <c r="C28896" s="278"/>
      <c r="M28896" s="278"/>
      <c r="O28896" s="247"/>
      <c r="AC28896" s="247"/>
      <c r="AT28896" s="247"/>
    </row>
    <row r="28897">
      <c r="C28897" s="278"/>
      <c r="M28897" s="278"/>
      <c r="O28897" s="247"/>
      <c r="AC28897" s="247"/>
      <c r="AT28897" s="247"/>
    </row>
    <row r="28898">
      <c r="C28898" s="278"/>
      <c r="M28898" s="278"/>
      <c r="O28898" s="247"/>
      <c r="AC28898" s="247"/>
      <c r="AT28898" s="247"/>
    </row>
    <row r="28899">
      <c r="C28899" s="278"/>
      <c r="M28899" s="278"/>
      <c r="O28899" s="247"/>
      <c r="AC28899" s="247"/>
      <c r="AT28899" s="247"/>
    </row>
    <row r="28900">
      <c r="C28900" s="278"/>
      <c r="M28900" s="278"/>
      <c r="O28900" s="247"/>
      <c r="AC28900" s="247"/>
      <c r="AT28900" s="247"/>
    </row>
    <row r="28901">
      <c r="C28901" s="278"/>
      <c r="M28901" s="278"/>
      <c r="O28901" s="247"/>
      <c r="AC28901" s="247"/>
      <c r="AT28901" s="247"/>
    </row>
    <row r="28902">
      <c r="C28902" s="278"/>
      <c r="M28902" s="278"/>
      <c r="O28902" s="247"/>
      <c r="AC28902" s="247"/>
      <c r="AT28902" s="247"/>
    </row>
    <row r="28903">
      <c r="C28903" s="278"/>
      <c r="M28903" s="278"/>
      <c r="O28903" s="247"/>
      <c r="AC28903" s="247"/>
      <c r="AT28903" s="247"/>
    </row>
    <row r="28904">
      <c r="C28904" s="278"/>
      <c r="M28904" s="278"/>
      <c r="O28904" s="247"/>
      <c r="AC28904" s="247"/>
      <c r="AT28904" s="247"/>
    </row>
    <row r="28905">
      <c r="C28905" s="278"/>
      <c r="M28905" s="278"/>
      <c r="O28905" s="247"/>
      <c r="AC28905" s="247"/>
      <c r="AT28905" s="247"/>
    </row>
    <row r="28906">
      <c r="C28906" s="278"/>
      <c r="M28906" s="278"/>
      <c r="O28906" s="247"/>
      <c r="AC28906" s="247"/>
      <c r="AT28906" s="247"/>
    </row>
    <row r="28907">
      <c r="C28907" s="278"/>
      <c r="M28907" s="278"/>
      <c r="O28907" s="247"/>
      <c r="AC28907" s="247"/>
      <c r="AT28907" s="247"/>
    </row>
    <row r="28908">
      <c r="C28908" s="278"/>
      <c r="M28908" s="278"/>
      <c r="O28908" s="247"/>
      <c r="AC28908" s="247"/>
      <c r="AT28908" s="247"/>
    </row>
    <row r="28909">
      <c r="C28909" s="278"/>
      <c r="M28909" s="278"/>
      <c r="O28909" s="247"/>
      <c r="AC28909" s="247"/>
      <c r="AT28909" s="247"/>
    </row>
    <row r="28910">
      <c r="C28910" s="278"/>
      <c r="M28910" s="278"/>
      <c r="O28910" s="247"/>
      <c r="AC28910" s="247"/>
      <c r="AT28910" s="247"/>
    </row>
    <row r="28911">
      <c r="C28911" s="278"/>
      <c r="M28911" s="278"/>
      <c r="O28911" s="247"/>
      <c r="AC28911" s="247"/>
      <c r="AT28911" s="247"/>
    </row>
    <row r="28912">
      <c r="C28912" s="278"/>
      <c r="M28912" s="278"/>
      <c r="O28912" s="247"/>
      <c r="AC28912" s="247"/>
      <c r="AT28912" s="247"/>
    </row>
    <row r="28913">
      <c r="C28913" s="278"/>
      <c r="M28913" s="278"/>
      <c r="O28913" s="247"/>
      <c r="AC28913" s="247"/>
      <c r="AT28913" s="247"/>
    </row>
    <row r="28914">
      <c r="C28914" s="278"/>
      <c r="M28914" s="278"/>
      <c r="O28914" s="247"/>
      <c r="AC28914" s="247"/>
      <c r="AT28914" s="247"/>
    </row>
    <row r="28915">
      <c r="C28915" s="278"/>
      <c r="M28915" s="278"/>
      <c r="O28915" s="247"/>
      <c r="AC28915" s="247"/>
      <c r="AT28915" s="247"/>
    </row>
    <row r="28916">
      <c r="C28916" s="278"/>
      <c r="M28916" s="278"/>
      <c r="O28916" s="247"/>
      <c r="AC28916" s="247"/>
      <c r="AT28916" s="247"/>
    </row>
    <row r="28917">
      <c r="C28917" s="278"/>
      <c r="M28917" s="278"/>
      <c r="O28917" s="247"/>
      <c r="AC28917" s="247"/>
      <c r="AT28917" s="247"/>
    </row>
    <row r="28918">
      <c r="C28918" s="278"/>
      <c r="M28918" s="278"/>
      <c r="O28918" s="247"/>
      <c r="AC28918" s="247"/>
      <c r="AT28918" s="247"/>
    </row>
    <row r="28919">
      <c r="C28919" s="278"/>
      <c r="M28919" s="278"/>
      <c r="O28919" s="247"/>
      <c r="AC28919" s="247"/>
      <c r="AT28919" s="247"/>
    </row>
    <row r="28920">
      <c r="C28920" s="278"/>
      <c r="M28920" s="278"/>
      <c r="O28920" s="247"/>
      <c r="AC28920" s="247"/>
      <c r="AT28920" s="247"/>
    </row>
    <row r="28921">
      <c r="C28921" s="277"/>
      <c r="M28921" s="278"/>
      <c r="O28921" s="247"/>
      <c r="AC28921" s="247"/>
      <c r="AT28921" s="247"/>
    </row>
    <row r="28922">
      <c r="C28922" s="278"/>
      <c r="M28922" s="278"/>
      <c r="O28922" s="247"/>
      <c r="AC28922" s="247"/>
      <c r="AT28922" s="247"/>
    </row>
    <row r="28923">
      <c r="C28923" s="277"/>
      <c r="M28923" s="278"/>
      <c r="O28923" s="247"/>
      <c r="AC28923" s="247"/>
      <c r="AT28923" s="247"/>
    </row>
    <row r="28924">
      <c r="C28924" s="278"/>
      <c r="M28924" s="278"/>
      <c r="O28924" s="247"/>
      <c r="AC28924" s="247"/>
      <c r="AT28924" s="247"/>
    </row>
    <row r="28925">
      <c r="C28925" s="277"/>
      <c r="M28925" s="278"/>
      <c r="O28925" s="247"/>
      <c r="AC28925" s="247"/>
      <c r="AT28925" s="247"/>
    </row>
    <row r="28926">
      <c r="C28926" s="278"/>
      <c r="M28926" s="278"/>
      <c r="O28926" s="247"/>
      <c r="AC28926" s="247"/>
      <c r="AT28926" s="247"/>
    </row>
    <row r="28927">
      <c r="C28927" s="278"/>
      <c r="M28927" s="278"/>
      <c r="O28927" s="247"/>
      <c r="AC28927" s="247"/>
      <c r="AT28927" s="247"/>
    </row>
    <row r="28928">
      <c r="C28928" s="277"/>
      <c r="M28928" s="278"/>
      <c r="O28928" s="247"/>
      <c r="AC28928" s="247"/>
      <c r="AT28928" s="247"/>
    </row>
    <row r="28929">
      <c r="C28929" s="278"/>
      <c r="M28929" s="278"/>
      <c r="O28929" s="247"/>
      <c r="AC28929" s="247"/>
      <c r="AT28929" s="247"/>
    </row>
    <row r="28930">
      <c r="C28930" s="278"/>
      <c r="M28930" s="278"/>
      <c r="O28930" s="247"/>
      <c r="AC28930" s="247"/>
      <c r="AT28930" s="247"/>
    </row>
    <row r="28931">
      <c r="C28931" s="278"/>
      <c r="M28931" s="278"/>
      <c r="O28931" s="247"/>
      <c r="AC28931" s="247"/>
      <c r="AT28931" s="247"/>
    </row>
    <row r="28932">
      <c r="C28932" s="278"/>
      <c r="M28932" s="278"/>
      <c r="O28932" s="247"/>
      <c r="AC28932" s="247"/>
      <c r="AT28932" s="247"/>
    </row>
    <row r="28933">
      <c r="C28933" s="278"/>
      <c r="M28933" s="278"/>
      <c r="O28933" s="247"/>
      <c r="AC28933" s="247"/>
      <c r="AT28933" s="247"/>
    </row>
    <row r="28934">
      <c r="C28934" s="278"/>
      <c r="M28934" s="278"/>
      <c r="O28934" s="247"/>
      <c r="AC28934" s="247"/>
      <c r="AT28934" s="247"/>
    </row>
    <row r="28935">
      <c r="C28935" s="278"/>
      <c r="M28935" s="278"/>
      <c r="O28935" s="247"/>
      <c r="AC28935" s="247"/>
      <c r="AT28935" s="247"/>
    </row>
    <row r="28936">
      <c r="C28936" s="278"/>
      <c r="M28936" s="278"/>
      <c r="O28936" s="247"/>
      <c r="AC28936" s="247"/>
      <c r="AT28936" s="247"/>
    </row>
    <row r="28937">
      <c r="C28937" s="278"/>
      <c r="M28937" s="278"/>
      <c r="O28937" s="247"/>
      <c r="AC28937" s="247"/>
      <c r="AT28937" s="247"/>
    </row>
    <row r="28938">
      <c r="C28938" s="278"/>
      <c r="M28938" s="278"/>
      <c r="O28938" s="247"/>
      <c r="AC28938" s="247"/>
      <c r="AT28938" s="247"/>
    </row>
    <row r="28939">
      <c r="C28939" s="278"/>
      <c r="M28939" s="278"/>
      <c r="O28939" s="247"/>
      <c r="AC28939" s="247"/>
      <c r="AT28939" s="247"/>
    </row>
    <row r="28940">
      <c r="C28940" s="278"/>
      <c r="M28940" s="278"/>
      <c r="O28940" s="247"/>
      <c r="AC28940" s="247"/>
      <c r="AT28940" s="247"/>
    </row>
    <row r="28941">
      <c r="C28941" s="278"/>
      <c r="M28941" s="278"/>
      <c r="O28941" s="247"/>
      <c r="AC28941" s="247"/>
      <c r="AT28941" s="247"/>
    </row>
    <row r="28942">
      <c r="C28942" s="278"/>
      <c r="M28942" s="278"/>
      <c r="O28942" s="247"/>
      <c r="AC28942" s="247"/>
      <c r="AT28942" s="247"/>
    </row>
    <row r="28943">
      <c r="C28943" s="278"/>
      <c r="M28943" s="278"/>
      <c r="O28943" s="247"/>
      <c r="AC28943" s="247"/>
      <c r="AT28943" s="247"/>
    </row>
    <row r="28944">
      <c r="C28944" s="278"/>
      <c r="M28944" s="278"/>
      <c r="O28944" s="247"/>
      <c r="AC28944" s="247"/>
      <c r="AT28944" s="247"/>
    </row>
    <row r="28945">
      <c r="C28945" s="278"/>
      <c r="M28945" s="278"/>
      <c r="O28945" s="247"/>
      <c r="AC28945" s="247"/>
      <c r="AT28945" s="247"/>
    </row>
    <row r="28946">
      <c r="C28946" s="278"/>
      <c r="M28946" s="278"/>
      <c r="O28946" s="247"/>
      <c r="AC28946" s="247"/>
      <c r="AT28946" s="247"/>
    </row>
    <row r="28947">
      <c r="C28947" s="278"/>
      <c r="M28947" s="278"/>
      <c r="O28947" s="247"/>
      <c r="AC28947" s="247"/>
      <c r="AT28947" s="247"/>
    </row>
    <row r="28948">
      <c r="C28948" s="278"/>
      <c r="M28948" s="278"/>
      <c r="O28948" s="247"/>
      <c r="AC28948" s="247"/>
      <c r="AT28948" s="247"/>
    </row>
    <row r="28949">
      <c r="C28949" s="278"/>
      <c r="M28949" s="278"/>
      <c r="O28949" s="247"/>
      <c r="AC28949" s="247"/>
      <c r="AT28949" s="247"/>
    </row>
    <row r="28950">
      <c r="C28950" s="278"/>
      <c r="M28950" s="278"/>
      <c r="O28950" s="247"/>
      <c r="AC28950" s="247"/>
      <c r="AT28950" s="247"/>
    </row>
    <row r="28951">
      <c r="C28951" s="277"/>
      <c r="M28951" s="278"/>
      <c r="O28951" s="247"/>
      <c r="AC28951" s="247"/>
      <c r="AT28951" s="247"/>
    </row>
    <row r="28952">
      <c r="C28952" s="278"/>
      <c r="M28952" s="278"/>
      <c r="O28952" s="247"/>
      <c r="AC28952" s="247"/>
      <c r="AT28952" s="247"/>
    </row>
    <row r="28953">
      <c r="C28953" s="277"/>
      <c r="M28953" s="278"/>
      <c r="O28953" s="247"/>
      <c r="AC28953" s="247"/>
      <c r="AT28953" s="247"/>
    </row>
    <row r="28954">
      <c r="C28954" s="278"/>
      <c r="M28954" s="278"/>
      <c r="O28954" s="247"/>
      <c r="AC28954" s="247"/>
      <c r="AT28954" s="247"/>
    </row>
    <row r="28955">
      <c r="C28955" s="277"/>
      <c r="M28955" s="278"/>
      <c r="O28955" s="247"/>
      <c r="AC28955" s="247"/>
      <c r="AT28955" s="247"/>
    </row>
    <row r="28956">
      <c r="C28956" s="278"/>
      <c r="M28956" s="278"/>
      <c r="O28956" s="247"/>
      <c r="AC28956" s="247"/>
      <c r="AT28956" s="247"/>
    </row>
    <row r="28957">
      <c r="C28957" s="278"/>
      <c r="M28957" s="278"/>
      <c r="O28957" s="247"/>
      <c r="AC28957" s="247"/>
      <c r="AT28957" s="247"/>
    </row>
    <row r="28958">
      <c r="C28958" s="278"/>
      <c r="M28958" s="278"/>
      <c r="O28958" s="247"/>
      <c r="AC28958" s="247"/>
      <c r="AT28958" s="247"/>
    </row>
    <row r="28959">
      <c r="C28959" s="278"/>
      <c r="M28959" s="278"/>
      <c r="O28959" s="247"/>
      <c r="AC28959" s="247"/>
      <c r="AT28959" s="247"/>
    </row>
    <row r="28960">
      <c r="C28960" s="278"/>
      <c r="M28960" s="278"/>
      <c r="O28960" s="247"/>
      <c r="AC28960" s="247"/>
      <c r="AT28960" s="247"/>
    </row>
    <row r="28961">
      <c r="C28961" s="277"/>
      <c r="M28961" s="278"/>
      <c r="O28961" s="247"/>
      <c r="AC28961" s="247"/>
      <c r="AT28961" s="247"/>
    </row>
    <row r="28962">
      <c r="C28962" s="278"/>
      <c r="M28962" s="278"/>
      <c r="O28962" s="247"/>
      <c r="AC28962" s="247"/>
      <c r="AT28962" s="247"/>
    </row>
    <row r="28963">
      <c r="C28963" s="278"/>
      <c r="M28963" s="278"/>
      <c r="O28963" s="247"/>
      <c r="AC28963" s="247"/>
      <c r="AT28963" s="247"/>
    </row>
    <row r="28964">
      <c r="C28964" s="277"/>
      <c r="M28964" s="278"/>
      <c r="O28964" s="247"/>
      <c r="AC28964" s="247"/>
      <c r="AT28964" s="247"/>
    </row>
    <row r="28965">
      <c r="C28965" s="278"/>
      <c r="M28965" s="278"/>
      <c r="O28965" s="247"/>
      <c r="AC28965" s="247"/>
      <c r="AT28965" s="247"/>
    </row>
    <row r="28966">
      <c r="C28966" s="278"/>
      <c r="M28966" s="278"/>
      <c r="O28966" s="247"/>
      <c r="AC28966" s="247"/>
      <c r="AT28966" s="247"/>
    </row>
    <row r="28967">
      <c r="C28967" s="278"/>
      <c r="M28967" s="278"/>
      <c r="O28967" s="247"/>
      <c r="AC28967" s="247"/>
      <c r="AT28967" s="247"/>
    </row>
    <row r="28968">
      <c r="C28968" s="278"/>
      <c r="M28968" s="278"/>
      <c r="O28968" s="247"/>
      <c r="AC28968" s="247"/>
      <c r="AT28968" s="247"/>
    </row>
    <row r="28969">
      <c r="C28969" s="278"/>
      <c r="M28969" s="278"/>
      <c r="O28969" s="247"/>
      <c r="AC28969" s="247"/>
      <c r="AT28969" s="247"/>
    </row>
    <row r="28970">
      <c r="C28970" s="278"/>
      <c r="M28970" s="278"/>
      <c r="O28970" s="247"/>
      <c r="AC28970" s="247"/>
      <c r="AT28970" s="247"/>
    </row>
    <row r="28971">
      <c r="C28971" s="278"/>
      <c r="M28971" s="278"/>
      <c r="O28971" s="247"/>
      <c r="AC28971" s="247"/>
      <c r="AT28971" s="247"/>
    </row>
    <row r="28972">
      <c r="C28972" s="278"/>
      <c r="M28972" s="278"/>
      <c r="O28972" s="247"/>
      <c r="AC28972" s="247"/>
      <c r="AT28972" s="247"/>
    </row>
    <row r="28973">
      <c r="C28973" s="278"/>
      <c r="M28973" s="278"/>
      <c r="O28973" s="247"/>
      <c r="AC28973" s="247"/>
      <c r="AT28973" s="247"/>
    </row>
    <row r="28974">
      <c r="C28974" s="278"/>
      <c r="M28974" s="278"/>
      <c r="O28974" s="247"/>
      <c r="AC28974" s="247"/>
      <c r="AT28974" s="247"/>
    </row>
    <row r="28975">
      <c r="C28975" s="278"/>
      <c r="M28975" s="278"/>
      <c r="O28975" s="247"/>
      <c r="AC28975" s="247"/>
      <c r="AT28975" s="247"/>
    </row>
    <row r="28976">
      <c r="C28976" s="278"/>
      <c r="M28976" s="278"/>
      <c r="O28976" s="247"/>
      <c r="AC28976" s="247"/>
      <c r="AT28976" s="247"/>
    </row>
    <row r="28977">
      <c r="C28977" s="278"/>
      <c r="M28977" s="278"/>
      <c r="O28977" s="247"/>
      <c r="AC28977" s="247"/>
      <c r="AT28977" s="247"/>
    </row>
    <row r="28978">
      <c r="C28978" s="278"/>
      <c r="M28978" s="278"/>
      <c r="O28978" s="247"/>
      <c r="AC28978" s="247"/>
      <c r="AT28978" s="247"/>
    </row>
    <row r="28979">
      <c r="C28979" s="278"/>
      <c r="M28979" s="278"/>
      <c r="O28979" s="247"/>
      <c r="AC28979" s="247"/>
      <c r="AT28979" s="247"/>
    </row>
    <row r="28980">
      <c r="C28980" s="277"/>
      <c r="M28980" s="278"/>
      <c r="O28980" s="247"/>
      <c r="AC28980" s="247"/>
      <c r="AT28980" s="247"/>
    </row>
    <row r="28981">
      <c r="C28981" s="277"/>
      <c r="M28981" s="278"/>
      <c r="O28981" s="247"/>
      <c r="AC28981" s="247"/>
      <c r="AT28981" s="247"/>
    </row>
    <row r="28982">
      <c r="C28982" s="277"/>
      <c r="M28982" s="278"/>
      <c r="O28982" s="247"/>
      <c r="AC28982" s="247"/>
      <c r="AT28982" s="247"/>
    </row>
    <row r="28983">
      <c r="C28983" s="277"/>
      <c r="M28983" s="278"/>
      <c r="O28983" s="247"/>
      <c r="AC28983" s="247"/>
      <c r="AT28983" s="247"/>
    </row>
    <row r="28984">
      <c r="C28984" s="277"/>
      <c r="M28984" s="278"/>
      <c r="O28984" s="247"/>
      <c r="AC28984" s="247"/>
      <c r="AT28984" s="247"/>
    </row>
    <row r="28985">
      <c r="C28985" s="277"/>
      <c r="M28985" s="278"/>
      <c r="O28985" s="247"/>
      <c r="AC28985" s="247"/>
      <c r="AT28985" s="247"/>
    </row>
    <row r="28986">
      <c r="C28986" s="277"/>
      <c r="M28986" s="278"/>
      <c r="O28986" s="247"/>
      <c r="AC28986" s="247"/>
      <c r="AT28986" s="247"/>
    </row>
    <row r="28987">
      <c r="C28987" s="277"/>
      <c r="M28987" s="278"/>
      <c r="O28987" s="247"/>
      <c r="AC28987" s="247"/>
      <c r="AT28987" s="247"/>
    </row>
    <row r="28988">
      <c r="C28988" s="277"/>
      <c r="M28988" s="278"/>
      <c r="O28988" s="247"/>
      <c r="AC28988" s="247"/>
      <c r="AT28988" s="247"/>
    </row>
    <row r="28989">
      <c r="C28989" s="277"/>
      <c r="M28989" s="278"/>
      <c r="O28989" s="247"/>
      <c r="AC28989" s="247"/>
      <c r="AT28989" s="247"/>
    </row>
    <row r="28990">
      <c r="C28990" s="277"/>
      <c r="M28990" s="278"/>
      <c r="O28990" s="247"/>
      <c r="AC28990" s="247"/>
      <c r="AT28990" s="247"/>
    </row>
    <row r="28991">
      <c r="C28991" s="277"/>
      <c r="M28991" s="278"/>
      <c r="O28991" s="247"/>
      <c r="AC28991" s="247"/>
      <c r="AT28991" s="247"/>
    </row>
    <row r="28992">
      <c r="C28992" s="277"/>
      <c r="M28992" s="278"/>
      <c r="O28992" s="247"/>
      <c r="AC28992" s="247"/>
      <c r="AT28992" s="247"/>
    </row>
    <row r="28993">
      <c r="C28993" s="277"/>
      <c r="M28993" s="278"/>
      <c r="O28993" s="247"/>
      <c r="AC28993" s="247"/>
      <c r="AT28993" s="247"/>
    </row>
    <row r="28994">
      <c r="C28994" s="277"/>
      <c r="M28994" s="278"/>
      <c r="O28994" s="247"/>
      <c r="AC28994" s="247"/>
      <c r="AT28994" s="247"/>
    </row>
    <row r="28995">
      <c r="C28995" s="277"/>
      <c r="M28995" s="278"/>
      <c r="O28995" s="247"/>
      <c r="AC28995" s="247"/>
      <c r="AT28995" s="247"/>
    </row>
    <row r="28996">
      <c r="C28996" s="277"/>
      <c r="M28996" s="278"/>
      <c r="O28996" s="247"/>
      <c r="AC28996" s="247"/>
      <c r="AT28996" s="247"/>
    </row>
    <row r="28997">
      <c r="C28997" s="277"/>
      <c r="M28997" s="278"/>
      <c r="O28997" s="247"/>
      <c r="AC28997" s="247"/>
      <c r="AT28997" s="247"/>
    </row>
    <row r="28998">
      <c r="C28998" s="277"/>
      <c r="M28998" s="278"/>
      <c r="O28998" s="247"/>
      <c r="AC28998" s="247"/>
      <c r="AT28998" s="247"/>
    </row>
    <row r="28999">
      <c r="C28999" s="277"/>
      <c r="M28999" s="278"/>
      <c r="O28999" s="247"/>
      <c r="AC28999" s="247"/>
      <c r="AT28999" s="247"/>
    </row>
    <row r="29000">
      <c r="C29000" s="277"/>
      <c r="M29000" s="278"/>
      <c r="O29000" s="247"/>
      <c r="AC29000" s="247"/>
      <c r="AT29000" s="247"/>
    </row>
    <row r="29001">
      <c r="C29001" s="277"/>
      <c r="M29001" s="278"/>
      <c r="O29001" s="247"/>
      <c r="AC29001" s="247"/>
      <c r="AT29001" s="247"/>
    </row>
    <row r="29002">
      <c r="C29002" s="277"/>
      <c r="M29002" s="278"/>
      <c r="O29002" s="247"/>
      <c r="AC29002" s="247"/>
      <c r="AT29002" s="247"/>
    </row>
    <row r="29003">
      <c r="C29003" s="277"/>
      <c r="M29003" s="278"/>
      <c r="O29003" s="247"/>
      <c r="AC29003" s="247"/>
      <c r="AT29003" s="247"/>
    </row>
    <row r="29004">
      <c r="C29004" s="277"/>
      <c r="M29004" s="278"/>
      <c r="O29004" s="247"/>
      <c r="AC29004" s="247"/>
      <c r="AT29004" s="247"/>
    </row>
    <row r="29005">
      <c r="C29005" s="277"/>
      <c r="M29005" s="278"/>
      <c r="O29005" s="247"/>
      <c r="AC29005" s="247"/>
      <c r="AT29005" s="247"/>
    </row>
    <row r="29006">
      <c r="C29006" s="277"/>
      <c r="M29006" s="278"/>
      <c r="O29006" s="247"/>
      <c r="AC29006" s="247"/>
      <c r="AT29006" s="247"/>
    </row>
    <row r="29007">
      <c r="C29007" s="277"/>
      <c r="M29007" s="278"/>
      <c r="O29007" s="247"/>
      <c r="AC29007" s="247"/>
      <c r="AT29007" s="247"/>
    </row>
    <row r="29008">
      <c r="C29008" s="277"/>
      <c r="M29008" s="278"/>
      <c r="O29008" s="247"/>
      <c r="AC29008" s="247"/>
      <c r="AT29008" s="247"/>
    </row>
    <row r="29009">
      <c r="C29009" s="277"/>
      <c r="M29009" s="278"/>
      <c r="O29009" s="247"/>
      <c r="AC29009" s="247"/>
      <c r="AT29009" s="247"/>
    </row>
    <row r="29010">
      <c r="C29010" s="277"/>
      <c r="M29010" s="278"/>
      <c r="O29010" s="247"/>
      <c r="AC29010" s="247"/>
      <c r="AT29010" s="247"/>
    </row>
    <row r="29011">
      <c r="C29011" s="277"/>
      <c r="M29011" s="278"/>
      <c r="O29011" s="247"/>
      <c r="AC29011" s="247"/>
      <c r="AT29011" s="247"/>
    </row>
    <row r="29012">
      <c r="C29012" s="277"/>
      <c r="M29012" s="278"/>
      <c r="O29012" s="247"/>
      <c r="AC29012" s="247"/>
      <c r="AT29012" s="247"/>
    </row>
    <row r="29013">
      <c r="C29013" s="277"/>
      <c r="M29013" s="278"/>
      <c r="O29013" s="247"/>
      <c r="AC29013" s="247"/>
      <c r="AT29013" s="247"/>
    </row>
    <row r="29014">
      <c r="C29014" s="277"/>
      <c r="M29014" s="278"/>
      <c r="O29014" s="247"/>
      <c r="AC29014" s="247"/>
      <c r="AT29014" s="247"/>
    </row>
    <row r="29015">
      <c r="C29015" s="277"/>
      <c r="M29015" s="278"/>
      <c r="O29015" s="247"/>
      <c r="AC29015" s="247"/>
      <c r="AT29015" s="247"/>
    </row>
    <row r="29016">
      <c r="C29016" s="277"/>
      <c r="M29016" s="278"/>
      <c r="O29016" s="247"/>
      <c r="AC29016" s="247"/>
      <c r="AT29016" s="247"/>
    </row>
    <row r="29017">
      <c r="C29017" s="277"/>
      <c r="M29017" s="278"/>
      <c r="O29017" s="247"/>
      <c r="AC29017" s="247"/>
      <c r="AT29017" s="247"/>
    </row>
    <row r="29018">
      <c r="C29018" s="277"/>
      <c r="M29018" s="278"/>
      <c r="O29018" s="247"/>
      <c r="AC29018" s="247"/>
      <c r="AT29018" s="247"/>
    </row>
    <row r="29019">
      <c r="C29019" s="277"/>
      <c r="M29019" s="278"/>
      <c r="O29019" s="247"/>
      <c r="AC29019" s="247"/>
      <c r="AT29019" s="247"/>
    </row>
    <row r="29020">
      <c r="C29020" s="277"/>
      <c r="M29020" s="278"/>
      <c r="O29020" s="247"/>
      <c r="AC29020" s="247"/>
      <c r="AT29020" s="247"/>
    </row>
    <row r="29021">
      <c r="C29021" s="277"/>
      <c r="M29021" s="278"/>
      <c r="O29021" s="247"/>
      <c r="AC29021" s="247"/>
      <c r="AT29021" s="247"/>
    </row>
    <row r="29022">
      <c r="C29022" s="277"/>
      <c r="M29022" s="278"/>
      <c r="O29022" s="247"/>
      <c r="AC29022" s="247"/>
      <c r="AT29022" s="247"/>
    </row>
    <row r="29023">
      <c r="C29023" s="277"/>
      <c r="M29023" s="278"/>
      <c r="O29023" s="247"/>
      <c r="AC29023" s="247"/>
      <c r="AT29023" s="247"/>
    </row>
    <row r="29024">
      <c r="C29024" s="277"/>
      <c r="M29024" s="278"/>
      <c r="O29024" s="247"/>
      <c r="AC29024" s="247"/>
      <c r="AT29024" s="247"/>
    </row>
    <row r="29025">
      <c r="C29025" s="277"/>
      <c r="M29025" s="278"/>
      <c r="O29025" s="247"/>
      <c r="AC29025" s="247"/>
      <c r="AT29025" s="247"/>
    </row>
    <row r="29026">
      <c r="C29026" s="277"/>
      <c r="M29026" s="278"/>
      <c r="O29026" s="247"/>
      <c r="AC29026" s="247"/>
      <c r="AT29026" s="247"/>
    </row>
    <row r="29027">
      <c r="C29027" s="277"/>
      <c r="M29027" s="278"/>
      <c r="O29027" s="247"/>
      <c r="AC29027" s="247"/>
      <c r="AT29027" s="247"/>
    </row>
    <row r="29028">
      <c r="C29028" s="277"/>
      <c r="M29028" s="278"/>
      <c r="O29028" s="247"/>
      <c r="AC29028" s="247"/>
      <c r="AT29028" s="247"/>
    </row>
    <row r="29029">
      <c r="C29029" s="277"/>
      <c r="M29029" s="278"/>
      <c r="O29029" s="247"/>
      <c r="AC29029" s="247"/>
      <c r="AT29029" s="247"/>
    </row>
    <row r="29030">
      <c r="C29030" s="277"/>
      <c r="M29030" s="278"/>
      <c r="O29030" s="247"/>
      <c r="AC29030" s="247"/>
      <c r="AT29030" s="247"/>
    </row>
    <row r="29031">
      <c r="C29031" s="277"/>
      <c r="M29031" s="278"/>
      <c r="O29031" s="247"/>
      <c r="AC29031" s="247"/>
      <c r="AT29031" s="247"/>
    </row>
    <row r="29032">
      <c r="C29032" s="277"/>
      <c r="M29032" s="278"/>
      <c r="O29032" s="247"/>
      <c r="AC29032" s="247"/>
      <c r="AT29032" s="247"/>
    </row>
    <row r="29033">
      <c r="C29033" s="277"/>
      <c r="M29033" s="278"/>
      <c r="O29033" s="247"/>
      <c r="AC29033" s="247"/>
      <c r="AT29033" s="247"/>
    </row>
    <row r="29034">
      <c r="C29034" s="277"/>
      <c r="M29034" s="278"/>
      <c r="O29034" s="247"/>
      <c r="AC29034" s="247"/>
      <c r="AT29034" s="247"/>
    </row>
    <row r="29035">
      <c r="C29035" s="277"/>
      <c r="M29035" s="278"/>
      <c r="O29035" s="247"/>
      <c r="AC29035" s="247"/>
      <c r="AT29035" s="247"/>
    </row>
    <row r="29036">
      <c r="C29036" s="277"/>
      <c r="M29036" s="278"/>
      <c r="O29036" s="247"/>
      <c r="AC29036" s="247"/>
      <c r="AT29036" s="247"/>
    </row>
    <row r="29037">
      <c r="C29037" s="277"/>
      <c r="M29037" s="278"/>
      <c r="O29037" s="247"/>
      <c r="AC29037" s="247"/>
      <c r="AT29037" s="247"/>
    </row>
    <row r="29038">
      <c r="C29038" s="277"/>
      <c r="M29038" s="278"/>
      <c r="O29038" s="247"/>
      <c r="AC29038" s="247"/>
      <c r="AT29038" s="247"/>
    </row>
    <row r="29039">
      <c r="C29039" s="277"/>
      <c r="M29039" s="278"/>
      <c r="O29039" s="247"/>
      <c r="AC29039" s="247"/>
      <c r="AT29039" s="247"/>
    </row>
    <row r="29040">
      <c r="C29040" s="277"/>
      <c r="M29040" s="278"/>
      <c r="O29040" s="247"/>
      <c r="AC29040" s="247"/>
      <c r="AT29040" s="247"/>
    </row>
    <row r="29041">
      <c r="C29041" s="277"/>
      <c r="M29041" s="278"/>
      <c r="O29041" s="247"/>
      <c r="AC29041" s="247"/>
      <c r="AT29041" s="247"/>
    </row>
    <row r="29042">
      <c r="C29042" s="277"/>
      <c r="M29042" s="278"/>
      <c r="O29042" s="247"/>
      <c r="AC29042" s="247"/>
      <c r="AT29042" s="247"/>
    </row>
    <row r="29043">
      <c r="C29043" s="277"/>
      <c r="M29043" s="278"/>
      <c r="O29043" s="247"/>
      <c r="AC29043" s="247"/>
      <c r="AT29043" s="247"/>
    </row>
    <row r="29044">
      <c r="C29044" s="277"/>
      <c r="M29044" s="278"/>
      <c r="O29044" s="247"/>
      <c r="AC29044" s="247"/>
      <c r="AT29044" s="247"/>
    </row>
    <row r="29045">
      <c r="C29045" s="277"/>
      <c r="M29045" s="278"/>
      <c r="O29045" s="247"/>
      <c r="AC29045" s="247"/>
      <c r="AT29045" s="247"/>
    </row>
    <row r="29046">
      <c r="C29046" s="277"/>
      <c r="M29046" s="278"/>
      <c r="O29046" s="247"/>
      <c r="AC29046" s="247"/>
      <c r="AT29046" s="247"/>
    </row>
    <row r="29047">
      <c r="C29047" s="277"/>
      <c r="M29047" s="278"/>
      <c r="O29047" s="247"/>
      <c r="AC29047" s="247"/>
      <c r="AT29047" s="247"/>
    </row>
    <row r="29048">
      <c r="C29048" s="277"/>
      <c r="M29048" s="278"/>
      <c r="O29048" s="247"/>
      <c r="AC29048" s="247"/>
      <c r="AT29048" s="247"/>
    </row>
    <row r="29049">
      <c r="C29049" s="277"/>
      <c r="M29049" s="278"/>
      <c r="O29049" s="247"/>
      <c r="AC29049" s="247"/>
      <c r="AT29049" s="247"/>
    </row>
    <row r="29050">
      <c r="C29050" s="277"/>
      <c r="M29050" s="278"/>
      <c r="O29050" s="247"/>
      <c r="AC29050" s="247"/>
      <c r="AT29050" s="247"/>
    </row>
    <row r="29051">
      <c r="C29051" s="277"/>
      <c r="M29051" s="278"/>
      <c r="O29051" s="247"/>
      <c r="AC29051" s="247"/>
      <c r="AT29051" s="247"/>
    </row>
    <row r="29052">
      <c r="C29052" s="277"/>
      <c r="M29052" s="278"/>
      <c r="O29052" s="247"/>
      <c r="AC29052" s="247"/>
      <c r="AT29052" s="247"/>
    </row>
    <row r="29053">
      <c r="C29053" s="277"/>
      <c r="M29053" s="278"/>
      <c r="O29053" s="247"/>
      <c r="AC29053" s="247"/>
      <c r="AT29053" s="247"/>
    </row>
    <row r="29054">
      <c r="C29054" s="277"/>
      <c r="M29054" s="278"/>
      <c r="O29054" s="247"/>
      <c r="AC29054" s="247"/>
      <c r="AT29054" s="247"/>
    </row>
    <row r="29055">
      <c r="C29055" s="277"/>
      <c r="M29055" s="278"/>
      <c r="O29055" s="247"/>
      <c r="AC29055" s="247"/>
      <c r="AT29055" s="247"/>
    </row>
    <row r="29056">
      <c r="C29056" s="277"/>
      <c r="M29056" s="278"/>
      <c r="O29056" s="247"/>
      <c r="AC29056" s="247"/>
      <c r="AT29056" s="247"/>
    </row>
    <row r="29057">
      <c r="C29057" s="277"/>
      <c r="M29057" s="278"/>
      <c r="O29057" s="247"/>
      <c r="AC29057" s="247"/>
      <c r="AT29057" s="247"/>
    </row>
    <row r="29058">
      <c r="C29058" s="277"/>
      <c r="M29058" s="278"/>
      <c r="O29058" s="247"/>
      <c r="AC29058" s="247"/>
      <c r="AT29058" s="247"/>
    </row>
    <row r="29059">
      <c r="C29059" s="277"/>
      <c r="M29059" s="278"/>
      <c r="O29059" s="247"/>
      <c r="AC29059" s="247"/>
      <c r="AT29059" s="247"/>
    </row>
    <row r="29060">
      <c r="C29060" s="277"/>
      <c r="M29060" s="278"/>
      <c r="O29060" s="247"/>
      <c r="AC29060" s="247"/>
      <c r="AT29060" s="247"/>
    </row>
    <row r="29061">
      <c r="C29061" s="277"/>
      <c r="M29061" s="278"/>
      <c r="O29061" s="247"/>
      <c r="AC29061" s="247"/>
      <c r="AT29061" s="247"/>
    </row>
    <row r="29062">
      <c r="C29062" s="277"/>
      <c r="M29062" s="278"/>
      <c r="O29062" s="247"/>
      <c r="AC29062" s="247"/>
      <c r="AT29062" s="247"/>
    </row>
    <row r="29063">
      <c r="C29063" s="277"/>
      <c r="M29063" s="278"/>
      <c r="O29063" s="247"/>
      <c r="AC29063" s="247"/>
      <c r="AT29063" s="247"/>
    </row>
    <row r="29064">
      <c r="C29064" s="277"/>
      <c r="M29064" s="278"/>
      <c r="O29064" s="247"/>
      <c r="AC29064" s="247"/>
      <c r="AT29064" s="247"/>
    </row>
    <row r="29065">
      <c r="C29065" s="277"/>
      <c r="M29065" s="278"/>
      <c r="O29065" s="247"/>
      <c r="AC29065" s="247"/>
      <c r="AT29065" s="247"/>
    </row>
    <row r="29066">
      <c r="C29066" s="277"/>
      <c r="M29066" s="278"/>
      <c r="O29066" s="247"/>
      <c r="AC29066" s="247"/>
      <c r="AT29066" s="247"/>
    </row>
    <row r="29067">
      <c r="C29067" s="277"/>
      <c r="M29067" s="278"/>
      <c r="O29067" s="247"/>
      <c r="AC29067" s="247"/>
      <c r="AT29067" s="247"/>
    </row>
    <row r="29068">
      <c r="C29068" s="277"/>
      <c r="M29068" s="278"/>
      <c r="O29068" s="247"/>
      <c r="AC29068" s="247"/>
      <c r="AT29068" s="247"/>
    </row>
    <row r="29069">
      <c r="C29069" s="277"/>
      <c r="M29069" s="278"/>
      <c r="O29069" s="247"/>
      <c r="AC29069" s="247"/>
      <c r="AT29069" s="247"/>
    </row>
    <row r="29070">
      <c r="C29070" s="277"/>
      <c r="M29070" s="278"/>
      <c r="O29070" s="247"/>
      <c r="AC29070" s="247"/>
      <c r="AT29070" s="247"/>
    </row>
    <row r="29071">
      <c r="C29071" s="277"/>
      <c r="M29071" s="278"/>
      <c r="O29071" s="247"/>
      <c r="AC29071" s="247"/>
      <c r="AT29071" s="247"/>
    </row>
    <row r="29072">
      <c r="C29072" s="277"/>
      <c r="M29072" s="278"/>
      <c r="O29072" s="247"/>
      <c r="AC29072" s="247"/>
      <c r="AT29072" s="247"/>
    </row>
    <row r="29073">
      <c r="C29073" s="277"/>
      <c r="M29073" s="278"/>
      <c r="O29073" s="247"/>
      <c r="AC29073" s="247"/>
      <c r="AT29073" s="247"/>
    </row>
    <row r="29074">
      <c r="C29074" s="277"/>
      <c r="M29074" s="278"/>
      <c r="O29074" s="247"/>
      <c r="AC29074" s="247"/>
      <c r="AT29074" s="247"/>
    </row>
    <row r="29075">
      <c r="C29075" s="277"/>
      <c r="M29075" s="278"/>
      <c r="O29075" s="247"/>
      <c r="AC29075" s="247"/>
      <c r="AT29075" s="247"/>
    </row>
    <row r="29076">
      <c r="C29076" s="277"/>
      <c r="M29076" s="278"/>
      <c r="O29076" s="247"/>
      <c r="AC29076" s="247"/>
      <c r="AT29076" s="247"/>
    </row>
    <row r="29077">
      <c r="C29077" s="277"/>
      <c r="M29077" s="278"/>
      <c r="O29077" s="247"/>
      <c r="AC29077" s="247"/>
      <c r="AT29077" s="247"/>
    </row>
    <row r="29078">
      <c r="C29078" s="277"/>
      <c r="M29078" s="278"/>
      <c r="O29078" s="247"/>
      <c r="AC29078" s="247"/>
      <c r="AT29078" s="247"/>
    </row>
    <row r="29079">
      <c r="C29079" s="277"/>
      <c r="M29079" s="278"/>
      <c r="O29079" s="247"/>
      <c r="AC29079" s="247"/>
      <c r="AT29079" s="247"/>
    </row>
    <row r="29080">
      <c r="C29080" s="277"/>
      <c r="M29080" s="278"/>
      <c r="O29080" s="247"/>
      <c r="AC29080" s="247"/>
      <c r="AT29080" s="247"/>
    </row>
    <row r="29081">
      <c r="C29081" s="277"/>
      <c r="M29081" s="278"/>
      <c r="O29081" s="247"/>
      <c r="AC29081" s="247"/>
      <c r="AT29081" s="247"/>
    </row>
    <row r="29082">
      <c r="C29082" s="277"/>
      <c r="M29082" s="278"/>
      <c r="O29082" s="247"/>
      <c r="AC29082" s="247"/>
      <c r="AT29082" s="247"/>
    </row>
    <row r="29083">
      <c r="C29083" s="277"/>
      <c r="M29083" s="278"/>
      <c r="O29083" s="247"/>
      <c r="AC29083" s="247"/>
      <c r="AT29083" s="247"/>
    </row>
    <row r="29084">
      <c r="C29084" s="277"/>
      <c r="M29084" s="278"/>
      <c r="O29084" s="247"/>
      <c r="AC29084" s="247"/>
      <c r="AT29084" s="247"/>
    </row>
    <row r="29085">
      <c r="C29085" s="277"/>
      <c r="M29085" s="278"/>
      <c r="O29085" s="247"/>
      <c r="AC29085" s="247"/>
      <c r="AT29085" s="247"/>
    </row>
    <row r="29086">
      <c r="C29086" s="277"/>
      <c r="M29086" s="278"/>
      <c r="O29086" s="247"/>
      <c r="AC29086" s="247"/>
      <c r="AT29086" s="247"/>
    </row>
    <row r="29087">
      <c r="C29087" s="277"/>
      <c r="M29087" s="278"/>
      <c r="O29087" s="247"/>
      <c r="AC29087" s="247"/>
      <c r="AT29087" s="247"/>
    </row>
    <row r="29088">
      <c r="C29088" s="277"/>
      <c r="M29088" s="278"/>
      <c r="O29088" s="247"/>
      <c r="AC29088" s="247"/>
      <c r="AT29088" s="247"/>
    </row>
    <row r="29089">
      <c r="C29089" s="277"/>
      <c r="M29089" s="278"/>
      <c r="O29089" s="247"/>
      <c r="AC29089" s="247"/>
      <c r="AT29089" s="247"/>
    </row>
    <row r="29090">
      <c r="C29090" s="277"/>
      <c r="M29090" s="278"/>
      <c r="O29090" s="247"/>
      <c r="AC29090" s="247"/>
      <c r="AT29090" s="247"/>
    </row>
    <row r="29091">
      <c r="C29091" s="277"/>
      <c r="M29091" s="278"/>
      <c r="O29091" s="247"/>
      <c r="AC29091" s="247"/>
      <c r="AT29091" s="247"/>
    </row>
    <row r="29092">
      <c r="C29092" s="277"/>
      <c r="M29092" s="278"/>
      <c r="O29092" s="247"/>
      <c r="AC29092" s="247"/>
      <c r="AT29092" s="247"/>
    </row>
    <row r="29093">
      <c r="C29093" s="277"/>
      <c r="M29093" s="278"/>
      <c r="O29093" s="247"/>
      <c r="AC29093" s="247"/>
      <c r="AT29093" s="247"/>
    </row>
    <row r="29094">
      <c r="C29094" s="277"/>
      <c r="M29094" s="278"/>
      <c r="O29094" s="247"/>
      <c r="AC29094" s="247"/>
      <c r="AT29094" s="247"/>
    </row>
    <row r="29095">
      <c r="C29095" s="277"/>
      <c r="M29095" s="278"/>
      <c r="O29095" s="247"/>
      <c r="AC29095" s="247"/>
      <c r="AT29095" s="247"/>
    </row>
    <row r="29096">
      <c r="C29096" s="277"/>
      <c r="M29096" s="278"/>
      <c r="O29096" s="247"/>
      <c r="AC29096" s="247"/>
      <c r="AT29096" s="247"/>
    </row>
    <row r="29097">
      <c r="C29097" s="277"/>
      <c r="M29097" s="278"/>
      <c r="O29097" s="247"/>
      <c r="AC29097" s="247"/>
      <c r="AT29097" s="247"/>
    </row>
    <row r="29098">
      <c r="C29098" s="277"/>
      <c r="M29098" s="278"/>
      <c r="O29098" s="247"/>
      <c r="AC29098" s="247"/>
      <c r="AT29098" s="247"/>
    </row>
    <row r="29099">
      <c r="C29099" s="277"/>
      <c r="M29099" s="278"/>
      <c r="O29099" s="247"/>
      <c r="AC29099" s="247"/>
      <c r="AT29099" s="247"/>
    </row>
    <row r="29100">
      <c r="C29100" s="277"/>
      <c r="M29100" s="278"/>
      <c r="O29100" s="247"/>
      <c r="AC29100" s="247"/>
      <c r="AT29100" s="247"/>
    </row>
    <row r="29101">
      <c r="C29101" s="277"/>
      <c r="M29101" s="278"/>
      <c r="O29101" s="247"/>
      <c r="AC29101" s="247"/>
      <c r="AT29101" s="247"/>
    </row>
    <row r="29102">
      <c r="C29102" s="277"/>
      <c r="M29102" s="278"/>
      <c r="O29102" s="247"/>
      <c r="AC29102" s="247"/>
      <c r="AT29102" s="247"/>
    </row>
    <row r="29103">
      <c r="C29103" s="277"/>
      <c r="M29103" s="278"/>
      <c r="O29103" s="247"/>
      <c r="AC29103" s="247"/>
      <c r="AT29103" s="247"/>
    </row>
    <row r="29104">
      <c r="C29104" s="277"/>
      <c r="M29104" s="278"/>
      <c r="O29104" s="247"/>
      <c r="AC29104" s="247"/>
      <c r="AT29104" s="247"/>
    </row>
    <row r="29105">
      <c r="C29105" s="277"/>
      <c r="M29105" s="278"/>
      <c r="O29105" s="247"/>
      <c r="AC29105" s="247"/>
      <c r="AT29105" s="247"/>
    </row>
    <row r="29106">
      <c r="C29106" s="277"/>
      <c r="M29106" s="278"/>
      <c r="O29106" s="247"/>
      <c r="AC29106" s="247"/>
      <c r="AT29106" s="247"/>
    </row>
    <row r="29107">
      <c r="C29107" s="277"/>
      <c r="M29107" s="278"/>
      <c r="O29107" s="247"/>
      <c r="AC29107" s="247"/>
      <c r="AT29107" s="247"/>
    </row>
    <row r="29108">
      <c r="C29108" s="277"/>
      <c r="M29108" s="278"/>
      <c r="O29108" s="247"/>
      <c r="AC29108" s="247"/>
      <c r="AT29108" s="247"/>
    </row>
    <row r="29109">
      <c r="C29109" s="277"/>
      <c r="M29109" s="278"/>
      <c r="O29109" s="247"/>
      <c r="AC29109" s="247"/>
      <c r="AT29109" s="247"/>
    </row>
    <row r="29110">
      <c r="C29110" s="277"/>
      <c r="M29110" s="278"/>
      <c r="O29110" s="247"/>
      <c r="AC29110" s="247"/>
      <c r="AT29110" s="247"/>
    </row>
    <row r="29111">
      <c r="C29111" s="277"/>
      <c r="M29111" s="278"/>
      <c r="O29111" s="247"/>
      <c r="AC29111" s="247"/>
      <c r="AT29111" s="247"/>
    </row>
    <row r="29112">
      <c r="C29112" s="277"/>
      <c r="M29112" s="278"/>
      <c r="O29112" s="247"/>
      <c r="AC29112" s="247"/>
      <c r="AT29112" s="247"/>
    </row>
    <row r="29113">
      <c r="C29113" s="277"/>
      <c r="M29113" s="278"/>
      <c r="O29113" s="247"/>
      <c r="AC29113" s="247"/>
      <c r="AT29113" s="247"/>
    </row>
    <row r="29114">
      <c r="C29114" s="277"/>
      <c r="M29114" s="278"/>
      <c r="O29114" s="247"/>
      <c r="AC29114" s="247"/>
      <c r="AT29114" s="247"/>
    </row>
    <row r="29115">
      <c r="C29115" s="277"/>
      <c r="M29115" s="278"/>
      <c r="O29115" s="247"/>
      <c r="AC29115" s="247"/>
      <c r="AT29115" s="247"/>
    </row>
    <row r="29116">
      <c r="C29116" s="277"/>
      <c r="M29116" s="278"/>
      <c r="O29116" s="247"/>
      <c r="AC29116" s="247"/>
      <c r="AT29116" s="247"/>
    </row>
    <row r="29117">
      <c r="C29117" s="277"/>
      <c r="M29117" s="278"/>
      <c r="O29117" s="247"/>
      <c r="AC29117" s="247"/>
      <c r="AT29117" s="247"/>
    </row>
    <row r="29118">
      <c r="C29118" s="277"/>
      <c r="M29118" s="278"/>
      <c r="O29118" s="247"/>
      <c r="AC29118" s="247"/>
      <c r="AT29118" s="247"/>
    </row>
    <row r="29119">
      <c r="C29119" s="277"/>
      <c r="M29119" s="278"/>
      <c r="O29119" s="247"/>
      <c r="AC29119" s="247"/>
      <c r="AT29119" s="247"/>
    </row>
    <row r="29120">
      <c r="C29120" s="277"/>
      <c r="M29120" s="278"/>
      <c r="O29120" s="247"/>
      <c r="AC29120" s="247"/>
      <c r="AT29120" s="247"/>
    </row>
    <row r="29121">
      <c r="C29121" s="277"/>
      <c r="M29121" s="278"/>
      <c r="O29121" s="247"/>
      <c r="AC29121" s="247"/>
      <c r="AT29121" s="247"/>
    </row>
    <row r="29122">
      <c r="C29122" s="277"/>
      <c r="M29122" s="278"/>
      <c r="O29122" s="247"/>
      <c r="AC29122" s="247"/>
      <c r="AT29122" s="247"/>
    </row>
    <row r="29123">
      <c r="C29123" s="277"/>
      <c r="M29123" s="278"/>
      <c r="O29123" s="247"/>
      <c r="AC29123" s="247"/>
      <c r="AT29123" s="247"/>
    </row>
    <row r="29124">
      <c r="C29124" s="277"/>
      <c r="M29124" s="278"/>
      <c r="O29124" s="247"/>
      <c r="AC29124" s="247"/>
      <c r="AT29124" s="247"/>
    </row>
    <row r="29125">
      <c r="C29125" s="277"/>
      <c r="M29125" s="278"/>
      <c r="O29125" s="247"/>
      <c r="AC29125" s="247"/>
      <c r="AT29125" s="247"/>
    </row>
    <row r="29126">
      <c r="C29126" s="277"/>
      <c r="M29126" s="278"/>
      <c r="O29126" s="247"/>
      <c r="AC29126" s="247"/>
      <c r="AT29126" s="247"/>
    </row>
    <row r="29127">
      <c r="C29127" s="277"/>
      <c r="M29127" s="278"/>
      <c r="O29127" s="247"/>
      <c r="AC29127" s="247"/>
      <c r="AT29127" s="247"/>
    </row>
    <row r="29128">
      <c r="C29128" s="277"/>
      <c r="M29128" s="278"/>
      <c r="O29128" s="247"/>
      <c r="AC29128" s="247"/>
      <c r="AT29128" s="247"/>
    </row>
    <row r="29129">
      <c r="C29129" s="277"/>
      <c r="M29129" s="277"/>
      <c r="O29129" s="247"/>
      <c r="AC29129" s="247"/>
      <c r="AT29129" s="247"/>
    </row>
    <row r="29130">
      <c r="C29130" s="277"/>
      <c r="M29130" s="277"/>
      <c r="O29130" s="247"/>
      <c r="AC29130" s="247"/>
      <c r="AT29130" s="247"/>
    </row>
    <row r="29131">
      <c r="C29131" s="277"/>
      <c r="M29131" s="277"/>
      <c r="O29131" s="247"/>
      <c r="AC29131" s="247"/>
      <c r="AT29131" s="247"/>
    </row>
    <row r="29132">
      <c r="C29132" s="277"/>
      <c r="M29132" s="277"/>
      <c r="O29132" s="247"/>
      <c r="AC29132" s="247"/>
      <c r="AT29132" s="247"/>
    </row>
    <row r="29133">
      <c r="C29133" s="277"/>
      <c r="M29133" s="277"/>
      <c r="O29133" s="247"/>
      <c r="AC29133" s="247"/>
      <c r="AT29133" s="247"/>
    </row>
    <row r="29134">
      <c r="C29134" s="277"/>
      <c r="M29134" s="277"/>
      <c r="O29134" s="247"/>
      <c r="AC29134" s="247"/>
      <c r="AT29134" s="247"/>
    </row>
    <row r="29135">
      <c r="C29135" s="277"/>
      <c r="M29135" s="277"/>
      <c r="O29135" s="247"/>
      <c r="AC29135" s="247"/>
      <c r="AT29135" s="247"/>
    </row>
    <row r="29136">
      <c r="C29136" s="277"/>
      <c r="M29136" s="277"/>
      <c r="O29136" s="247"/>
      <c r="AC29136" s="247"/>
      <c r="AT29136" s="247"/>
    </row>
    <row r="29137">
      <c r="C29137" s="277"/>
      <c r="M29137" s="277"/>
      <c r="O29137" s="247"/>
      <c r="AC29137" s="247"/>
      <c r="AT29137" s="247"/>
    </row>
    <row r="29138">
      <c r="C29138" s="277"/>
      <c r="M29138" s="277"/>
      <c r="O29138" s="247"/>
      <c r="AC29138" s="247"/>
      <c r="AT29138" s="247"/>
    </row>
    <row r="29139">
      <c r="C29139" s="277"/>
      <c r="M29139" s="277"/>
      <c r="O29139" s="247"/>
      <c r="AC29139" s="247"/>
      <c r="AT29139" s="247"/>
    </row>
    <row r="29140">
      <c r="C29140" s="277"/>
      <c r="M29140" s="277"/>
      <c r="O29140" s="247"/>
      <c r="AC29140" s="247"/>
      <c r="AT29140" s="247"/>
    </row>
    <row r="29141">
      <c r="C29141" s="277"/>
      <c r="M29141" s="277"/>
      <c r="O29141" s="247"/>
      <c r="AC29141" s="247"/>
      <c r="AT29141" s="247"/>
    </row>
    <row r="29142">
      <c r="C29142" s="277"/>
      <c r="M29142" s="277"/>
      <c r="O29142" s="247"/>
      <c r="AC29142" s="247"/>
      <c r="AT29142" s="247"/>
    </row>
    <row r="29143">
      <c r="C29143" s="277"/>
      <c r="M29143" s="277"/>
      <c r="O29143" s="247"/>
      <c r="AC29143" s="247"/>
      <c r="AT29143" s="247"/>
    </row>
    <row r="29144">
      <c r="C29144" s="277"/>
      <c r="M29144" s="277"/>
      <c r="O29144" s="247"/>
      <c r="AC29144" s="247"/>
      <c r="AT29144" s="247"/>
    </row>
    <row r="29145">
      <c r="C29145" s="277"/>
      <c r="M29145" s="277"/>
      <c r="O29145" s="247"/>
      <c r="AC29145" s="247"/>
      <c r="AT29145" s="247"/>
    </row>
    <row r="29146">
      <c r="C29146" s="277"/>
      <c r="M29146" s="277"/>
      <c r="O29146" s="247"/>
      <c r="AC29146" s="247"/>
      <c r="AT29146" s="247"/>
    </row>
    <row r="29147">
      <c r="C29147" s="277"/>
      <c r="M29147" s="277"/>
      <c r="O29147" s="247"/>
      <c r="AC29147" s="247"/>
      <c r="AT29147" s="247"/>
    </row>
    <row r="29148">
      <c r="C29148" s="277"/>
      <c r="M29148" s="277"/>
      <c r="O29148" s="247"/>
      <c r="AC29148" s="247"/>
      <c r="AT29148" s="247"/>
    </row>
    <row r="29149">
      <c r="C29149" s="277"/>
      <c r="M29149" s="277"/>
      <c r="O29149" s="247"/>
      <c r="AC29149" s="247"/>
      <c r="AT29149" s="247"/>
    </row>
    <row r="29150">
      <c r="C29150" s="277"/>
      <c r="M29150" s="277"/>
      <c r="O29150" s="247"/>
      <c r="AC29150" s="247"/>
      <c r="AT29150" s="247"/>
    </row>
    <row r="29151">
      <c r="C29151" s="277"/>
      <c r="M29151" s="277"/>
      <c r="O29151" s="247"/>
      <c r="AC29151" s="247"/>
      <c r="AT29151" s="247"/>
    </row>
    <row r="29152">
      <c r="C29152" s="277"/>
      <c r="M29152" s="277"/>
      <c r="O29152" s="247"/>
      <c r="AC29152" s="247"/>
      <c r="AT29152" s="247"/>
    </row>
    <row r="29153">
      <c r="C29153" s="277"/>
      <c r="M29153" s="277"/>
      <c r="O29153" s="247"/>
      <c r="AC29153" s="247"/>
      <c r="AT29153" s="247"/>
    </row>
    <row r="29154">
      <c r="C29154" s="277"/>
      <c r="M29154" s="277"/>
      <c r="O29154" s="247"/>
      <c r="AC29154" s="247"/>
      <c r="AT29154" s="247"/>
    </row>
    <row r="29155">
      <c r="C29155" s="277"/>
      <c r="M29155" s="277"/>
      <c r="O29155" s="247"/>
      <c r="AC29155" s="247"/>
      <c r="AT29155" s="247"/>
    </row>
    <row r="29156">
      <c r="C29156" s="277"/>
      <c r="M29156" s="277"/>
      <c r="O29156" s="247"/>
      <c r="AC29156" s="247"/>
      <c r="AT29156" s="247"/>
    </row>
    <row r="29157">
      <c r="C29157" s="277"/>
      <c r="M29157" s="277"/>
      <c r="O29157" s="247"/>
      <c r="AC29157" s="247"/>
      <c r="AT29157" s="247"/>
    </row>
    <row r="29158">
      <c r="C29158" s="277"/>
      <c r="M29158" s="277"/>
      <c r="O29158" s="247"/>
      <c r="AC29158" s="247"/>
      <c r="AT29158" s="247"/>
    </row>
    <row r="29159">
      <c r="C29159" s="277"/>
      <c r="M29159" s="277"/>
      <c r="O29159" s="247"/>
      <c r="AC29159" s="247"/>
      <c r="AT29159" s="247"/>
    </row>
    <row r="29160">
      <c r="C29160" s="277"/>
      <c r="M29160" s="277"/>
      <c r="O29160" s="247"/>
      <c r="AC29160" s="247"/>
      <c r="AT29160" s="247"/>
    </row>
    <row r="29161">
      <c r="C29161" s="277"/>
      <c r="M29161" s="277"/>
      <c r="O29161" s="247"/>
      <c r="AC29161" s="247"/>
      <c r="AT29161" s="247"/>
    </row>
    <row r="29162">
      <c r="C29162" s="277"/>
      <c r="M29162" s="277"/>
      <c r="O29162" s="247"/>
      <c r="AC29162" s="247"/>
      <c r="AT29162" s="247"/>
    </row>
    <row r="29163">
      <c r="C29163" s="277"/>
      <c r="M29163" s="277"/>
      <c r="O29163" s="247"/>
      <c r="AC29163" s="247"/>
      <c r="AT29163" s="247"/>
    </row>
    <row r="29164">
      <c r="C29164" s="277"/>
      <c r="M29164" s="277"/>
      <c r="O29164" s="247"/>
      <c r="AC29164" s="247"/>
      <c r="AT29164" s="247"/>
    </row>
    <row r="29165">
      <c r="C29165" s="277"/>
      <c r="M29165" s="277"/>
      <c r="O29165" s="247"/>
      <c r="AC29165" s="247"/>
      <c r="AT29165" s="247"/>
    </row>
    <row r="29166">
      <c r="C29166" s="277"/>
      <c r="M29166" s="277"/>
      <c r="O29166" s="247"/>
      <c r="AC29166" s="247"/>
      <c r="AT29166" s="247"/>
    </row>
    <row r="29167">
      <c r="C29167" s="277"/>
      <c r="M29167" s="277"/>
      <c r="O29167" s="247"/>
      <c r="AC29167" s="247"/>
      <c r="AT29167" s="247"/>
    </row>
    <row r="29168">
      <c r="C29168" s="277"/>
      <c r="M29168" s="277"/>
      <c r="O29168" s="247"/>
      <c r="AC29168" s="247"/>
      <c r="AT29168" s="247"/>
    </row>
    <row r="29169">
      <c r="C29169" s="277"/>
      <c r="M29169" s="277"/>
      <c r="O29169" s="247"/>
      <c r="AC29169" s="247"/>
      <c r="AT29169" s="247"/>
    </row>
    <row r="29170">
      <c r="C29170" s="277"/>
      <c r="M29170" s="277"/>
      <c r="O29170" s="247"/>
      <c r="AC29170" s="247"/>
      <c r="AT29170" s="247"/>
    </row>
    <row r="29171">
      <c r="C29171" s="277"/>
      <c r="M29171" s="277"/>
      <c r="O29171" s="247"/>
      <c r="AC29171" s="247"/>
      <c r="AT29171" s="247"/>
    </row>
    <row r="29172">
      <c r="C29172" s="277"/>
      <c r="M29172" s="277"/>
      <c r="O29172" s="247"/>
      <c r="AC29172" s="247"/>
      <c r="AT29172" s="247"/>
    </row>
    <row r="29173">
      <c r="C29173" s="277"/>
      <c r="M29173" s="277"/>
      <c r="O29173" s="247"/>
      <c r="AC29173" s="247"/>
      <c r="AT29173" s="247"/>
    </row>
    <row r="29174">
      <c r="C29174" s="277"/>
      <c r="M29174" s="277"/>
      <c r="O29174" s="247"/>
      <c r="AC29174" s="247"/>
      <c r="AT29174" s="247"/>
    </row>
    <row r="29175">
      <c r="C29175" s="277"/>
      <c r="M29175" s="277"/>
      <c r="O29175" s="247"/>
      <c r="AC29175" s="247"/>
      <c r="AT29175" s="247"/>
    </row>
    <row r="29176">
      <c r="C29176" s="277"/>
      <c r="M29176" s="277"/>
      <c r="O29176" s="247"/>
      <c r="AC29176" s="247"/>
      <c r="AT29176" s="247"/>
    </row>
    <row r="29177">
      <c r="C29177" s="277"/>
      <c r="M29177" s="277"/>
      <c r="O29177" s="247"/>
      <c r="AC29177" s="247"/>
      <c r="AT29177" s="247"/>
    </row>
    <row r="29178">
      <c r="C29178" s="277"/>
      <c r="M29178" s="277"/>
      <c r="O29178" s="247"/>
      <c r="AC29178" s="247"/>
      <c r="AT29178" s="247"/>
    </row>
    <row r="29179">
      <c r="C29179" s="277"/>
      <c r="M29179" s="277"/>
      <c r="O29179" s="247"/>
      <c r="AC29179" s="247"/>
      <c r="AT29179" s="247"/>
    </row>
    <row r="29180">
      <c r="C29180" s="277"/>
      <c r="M29180" s="277"/>
      <c r="O29180" s="247"/>
      <c r="AC29180" s="247"/>
      <c r="AT29180" s="247"/>
    </row>
    <row r="29181">
      <c r="C29181" s="277"/>
      <c r="M29181" s="277"/>
      <c r="O29181" s="247"/>
      <c r="AC29181" s="247"/>
      <c r="AT29181" s="247"/>
    </row>
    <row r="29182">
      <c r="C29182" s="277"/>
      <c r="M29182" s="277"/>
      <c r="O29182" s="247"/>
      <c r="AC29182" s="247"/>
      <c r="AT29182" s="247"/>
    </row>
    <row r="29183">
      <c r="C29183" s="277"/>
      <c r="M29183" s="277"/>
      <c r="O29183" s="247"/>
      <c r="AC29183" s="247"/>
      <c r="AT29183" s="247"/>
    </row>
    <row r="29184">
      <c r="C29184" s="277"/>
      <c r="M29184" s="277"/>
      <c r="O29184" s="247"/>
      <c r="AC29184" s="247"/>
      <c r="AT29184" s="247"/>
    </row>
    <row r="29185">
      <c r="C29185" s="277"/>
      <c r="M29185" s="277"/>
      <c r="O29185" s="247"/>
      <c r="AC29185" s="247"/>
      <c r="AT29185" s="247"/>
    </row>
    <row r="29186">
      <c r="C29186" s="277"/>
      <c r="M29186" s="277"/>
      <c r="O29186" s="247"/>
      <c r="AC29186" s="247"/>
      <c r="AT29186" s="247"/>
    </row>
    <row r="29187">
      <c r="C29187" s="277"/>
      <c r="M29187" s="277"/>
      <c r="O29187" s="247"/>
      <c r="AC29187" s="247"/>
      <c r="AT29187" s="247"/>
    </row>
    <row r="29188">
      <c r="C29188" s="277"/>
      <c r="M29188" s="277"/>
      <c r="O29188" s="247"/>
      <c r="AC29188" s="247"/>
      <c r="AT29188" s="247"/>
    </row>
    <row r="29189">
      <c r="C29189" s="277"/>
      <c r="M29189" s="277"/>
      <c r="O29189" s="247"/>
      <c r="AC29189" s="247"/>
      <c r="AT29189" s="247"/>
    </row>
    <row r="29190">
      <c r="C29190" s="277"/>
      <c r="M29190" s="277"/>
      <c r="O29190" s="247"/>
      <c r="AC29190" s="247"/>
      <c r="AT29190" s="247"/>
    </row>
    <row r="29191">
      <c r="C29191" s="277"/>
      <c r="M29191" s="277"/>
      <c r="O29191" s="247"/>
      <c r="AC29191" s="247"/>
      <c r="AT29191" s="247"/>
    </row>
    <row r="29192">
      <c r="C29192" s="277"/>
      <c r="M29192" s="277"/>
      <c r="O29192" s="247"/>
      <c r="AC29192" s="247"/>
      <c r="AT29192" s="247"/>
    </row>
    <row r="29193">
      <c r="C29193" s="277"/>
      <c r="M29193" s="277"/>
      <c r="O29193" s="247"/>
      <c r="AC29193" s="247"/>
      <c r="AT29193" s="247"/>
    </row>
    <row r="29194">
      <c r="C29194" s="277"/>
      <c r="M29194" s="277"/>
      <c r="O29194" s="247"/>
      <c r="AC29194" s="247"/>
      <c r="AT29194" s="247"/>
    </row>
    <row r="29195">
      <c r="C29195" s="277"/>
      <c r="M29195" s="277"/>
      <c r="O29195" s="247"/>
      <c r="AC29195" s="247"/>
      <c r="AT29195" s="247"/>
    </row>
    <row r="29196">
      <c r="C29196" s="277"/>
      <c r="M29196" s="277"/>
      <c r="O29196" s="247"/>
      <c r="AC29196" s="247"/>
      <c r="AT29196" s="247"/>
    </row>
    <row r="29197">
      <c r="C29197" s="277"/>
      <c r="M29197" s="277"/>
      <c r="O29197" s="247"/>
      <c r="AC29197" s="247"/>
      <c r="AT29197" s="247"/>
    </row>
    <row r="29198">
      <c r="C29198" s="277"/>
      <c r="M29198" s="277"/>
      <c r="O29198" s="247"/>
      <c r="AC29198" s="247"/>
      <c r="AT29198" s="247"/>
    </row>
    <row r="29199">
      <c r="C29199" s="277"/>
      <c r="M29199" s="277"/>
      <c r="O29199" s="247"/>
      <c r="AC29199" s="247"/>
      <c r="AT29199" s="247"/>
    </row>
    <row r="29200">
      <c r="C29200" s="277"/>
      <c r="M29200" s="277"/>
      <c r="O29200" s="247"/>
      <c r="AC29200" s="247"/>
      <c r="AT29200" s="247"/>
    </row>
    <row r="29201">
      <c r="C29201" s="277"/>
      <c r="M29201" s="277"/>
      <c r="O29201" s="247"/>
      <c r="AC29201" s="247"/>
      <c r="AT29201" s="247"/>
    </row>
    <row r="29202">
      <c r="C29202" s="277"/>
      <c r="M29202" s="277"/>
      <c r="O29202" s="247"/>
      <c r="AC29202" s="247"/>
      <c r="AT29202" s="247"/>
    </row>
    <row r="29203">
      <c r="C29203" s="277"/>
      <c r="M29203" s="277"/>
      <c r="O29203" s="247"/>
      <c r="AC29203" s="247"/>
      <c r="AT29203" s="247"/>
    </row>
    <row r="29204">
      <c r="C29204" s="277"/>
      <c r="M29204" s="277"/>
      <c r="O29204" s="247"/>
      <c r="AC29204" s="247"/>
      <c r="AT29204" s="247"/>
    </row>
    <row r="29205">
      <c r="C29205" s="277"/>
      <c r="M29205" s="277"/>
      <c r="O29205" s="247"/>
      <c r="AC29205" s="247"/>
      <c r="AT29205" s="247"/>
    </row>
    <row r="29206">
      <c r="C29206" s="277"/>
      <c r="M29206" s="277"/>
      <c r="O29206" s="247"/>
      <c r="AC29206" s="247"/>
      <c r="AT29206" s="247"/>
    </row>
    <row r="29207">
      <c r="C29207" s="277"/>
      <c r="M29207" s="277"/>
      <c r="O29207" s="247"/>
      <c r="AC29207" s="247"/>
      <c r="AT29207" s="247"/>
    </row>
    <row r="29208">
      <c r="C29208" s="277"/>
      <c r="M29208" s="277"/>
      <c r="O29208" s="247"/>
      <c r="AC29208" s="247"/>
      <c r="AT29208" s="247"/>
    </row>
    <row r="29209">
      <c r="C29209" s="277"/>
      <c r="M29209" s="277"/>
      <c r="O29209" s="247"/>
      <c r="AC29209" s="247"/>
      <c r="AT29209" s="247"/>
    </row>
    <row r="29210">
      <c r="C29210" s="277"/>
      <c r="M29210" s="277"/>
      <c r="O29210" s="247"/>
      <c r="AC29210" s="247"/>
      <c r="AT29210" s="247"/>
    </row>
    <row r="29211">
      <c r="C29211" s="277"/>
      <c r="M29211" s="277"/>
      <c r="O29211" s="247"/>
      <c r="AC29211" s="247"/>
      <c r="AT29211" s="247"/>
    </row>
    <row r="29212">
      <c r="C29212" s="277"/>
      <c r="M29212" s="277"/>
      <c r="O29212" s="247"/>
      <c r="AC29212" s="247"/>
      <c r="AT29212" s="247"/>
    </row>
    <row r="29213">
      <c r="C29213" s="277"/>
      <c r="M29213" s="277"/>
      <c r="O29213" s="247"/>
      <c r="AC29213" s="247"/>
      <c r="AT29213" s="247"/>
    </row>
    <row r="29214">
      <c r="C29214" s="277"/>
      <c r="M29214" s="277"/>
      <c r="O29214" s="247"/>
      <c r="AC29214" s="247"/>
      <c r="AT29214" s="247"/>
    </row>
    <row r="29215">
      <c r="C29215" s="277"/>
      <c r="M29215" s="277"/>
      <c r="O29215" s="247"/>
      <c r="AC29215" s="247"/>
      <c r="AT29215" s="247"/>
    </row>
    <row r="29216">
      <c r="C29216" s="277"/>
      <c r="M29216" s="277"/>
      <c r="O29216" s="247"/>
      <c r="AC29216" s="247"/>
      <c r="AT29216" s="247"/>
    </row>
    <row r="29217">
      <c r="C29217" s="277"/>
      <c r="M29217" s="277"/>
      <c r="O29217" s="247"/>
      <c r="AC29217" s="247"/>
      <c r="AT29217" s="247"/>
    </row>
    <row r="29218">
      <c r="C29218" s="277"/>
      <c r="M29218" s="277"/>
      <c r="O29218" s="247"/>
      <c r="AC29218" s="247"/>
      <c r="AT29218" s="247"/>
    </row>
    <row r="29219">
      <c r="C29219" s="277"/>
      <c r="M29219" s="277"/>
      <c r="O29219" s="247"/>
      <c r="AC29219" s="247"/>
      <c r="AT29219" s="247"/>
    </row>
    <row r="29220">
      <c r="C29220" s="277"/>
      <c r="M29220" s="277"/>
      <c r="O29220" s="247"/>
      <c r="AC29220" s="247"/>
      <c r="AT29220" s="247"/>
    </row>
    <row r="29221">
      <c r="C29221" s="277"/>
      <c r="M29221" s="277"/>
      <c r="O29221" s="247"/>
      <c r="AC29221" s="247"/>
      <c r="AT29221" s="247"/>
    </row>
    <row r="29222">
      <c r="C29222" s="277"/>
      <c r="M29222" s="277"/>
      <c r="O29222" s="247"/>
      <c r="AC29222" s="247"/>
      <c r="AT29222" s="247"/>
    </row>
    <row r="29223">
      <c r="C29223" s="277"/>
      <c r="M29223" s="277"/>
      <c r="O29223" s="247"/>
      <c r="AC29223" s="247"/>
      <c r="AT29223" s="247"/>
    </row>
    <row r="29224">
      <c r="C29224" s="277"/>
      <c r="M29224" s="277"/>
      <c r="O29224" s="247"/>
      <c r="AC29224" s="247"/>
      <c r="AT29224" s="247"/>
    </row>
    <row r="29225">
      <c r="C29225" s="277"/>
      <c r="M29225" s="277"/>
      <c r="O29225" s="247"/>
      <c r="AC29225" s="247"/>
      <c r="AT29225" s="247"/>
    </row>
    <row r="29226">
      <c r="C29226" s="277"/>
      <c r="M29226" s="277"/>
      <c r="O29226" s="247"/>
      <c r="AC29226" s="247"/>
      <c r="AT29226" s="247"/>
    </row>
    <row r="29227">
      <c r="C29227" s="277"/>
      <c r="M29227" s="277"/>
      <c r="O29227" s="247"/>
      <c r="AC29227" s="247"/>
      <c r="AT29227" s="247"/>
    </row>
    <row r="29228">
      <c r="C29228" s="277"/>
      <c r="M29228" s="277"/>
      <c r="O29228" s="247"/>
      <c r="AC29228" s="247"/>
      <c r="AT29228" s="247"/>
    </row>
    <row r="29229">
      <c r="C29229" s="277"/>
      <c r="M29229" s="277"/>
      <c r="O29229" s="247"/>
      <c r="AC29229" s="247"/>
      <c r="AT29229" s="247"/>
    </row>
    <row r="29230">
      <c r="C29230" s="277"/>
      <c r="M29230" s="277"/>
      <c r="O29230" s="247"/>
      <c r="AC29230" s="247"/>
      <c r="AT29230" s="247"/>
    </row>
    <row r="29231">
      <c r="C29231" s="277"/>
      <c r="M29231" s="277"/>
      <c r="O29231" s="247"/>
      <c r="AC29231" s="247"/>
      <c r="AT29231" s="247"/>
    </row>
    <row r="29232">
      <c r="C29232" s="277"/>
      <c r="M29232" s="277"/>
      <c r="O29232" s="247"/>
      <c r="AC29232" s="247"/>
      <c r="AT29232" s="247"/>
    </row>
    <row r="29233">
      <c r="C29233" s="277"/>
      <c r="M29233" s="277"/>
      <c r="O29233" s="247"/>
      <c r="AC29233" s="247"/>
      <c r="AT29233" s="247"/>
    </row>
    <row r="29234">
      <c r="C29234" s="277"/>
      <c r="M29234" s="277"/>
      <c r="O29234" s="247"/>
      <c r="AC29234" s="247"/>
      <c r="AT29234" s="247"/>
    </row>
    <row r="29235">
      <c r="C29235" s="277"/>
      <c r="M29235" s="277"/>
      <c r="O29235" s="247"/>
      <c r="AC29235" s="247"/>
      <c r="AT29235" s="247"/>
    </row>
    <row r="29236">
      <c r="C29236" s="277"/>
      <c r="M29236" s="277"/>
      <c r="O29236" s="247"/>
      <c r="AC29236" s="247"/>
      <c r="AT29236" s="247"/>
    </row>
    <row r="29237">
      <c r="C29237" s="277"/>
      <c r="M29237" s="277"/>
      <c r="O29237" s="247"/>
      <c r="AC29237" s="247"/>
      <c r="AT29237" s="247"/>
    </row>
    <row r="29238">
      <c r="C29238" s="277"/>
      <c r="M29238" s="277"/>
      <c r="O29238" s="247"/>
      <c r="AC29238" s="247"/>
      <c r="AT29238" s="247"/>
    </row>
    <row r="29239">
      <c r="C29239" s="277"/>
      <c r="M29239" s="277"/>
      <c r="O29239" s="247"/>
      <c r="AC29239" s="247"/>
      <c r="AT29239" s="247"/>
    </row>
    <row r="29240">
      <c r="C29240" s="277"/>
      <c r="M29240" s="277"/>
      <c r="O29240" s="247"/>
      <c r="AC29240" s="247"/>
      <c r="AT29240" s="247"/>
    </row>
    <row r="29241">
      <c r="C29241" s="277"/>
      <c r="M29241" s="277"/>
      <c r="O29241" s="247"/>
      <c r="AC29241" s="247"/>
      <c r="AT29241" s="247"/>
    </row>
    <row r="29242">
      <c r="C29242" s="277"/>
      <c r="M29242" s="277"/>
      <c r="O29242" s="247"/>
      <c r="AC29242" s="247"/>
      <c r="AT29242" s="247"/>
    </row>
    <row r="29243">
      <c r="C29243" s="277"/>
      <c r="M29243" s="277"/>
      <c r="O29243" s="247"/>
      <c r="AC29243" s="247"/>
      <c r="AT29243" s="247"/>
    </row>
    <row r="29244">
      <c r="C29244" s="277"/>
      <c r="M29244" s="277"/>
      <c r="O29244" s="247"/>
      <c r="AC29244" s="247"/>
      <c r="AT29244" s="247"/>
    </row>
    <row r="29245">
      <c r="C29245" s="277"/>
      <c r="M29245" s="277"/>
      <c r="O29245" s="247"/>
      <c r="AC29245" s="247"/>
      <c r="AT29245" s="247"/>
    </row>
    <row r="29246">
      <c r="C29246" s="277"/>
      <c r="M29246" s="277"/>
      <c r="O29246" s="247"/>
      <c r="AC29246" s="247"/>
      <c r="AT29246" s="247"/>
    </row>
    <row r="29247">
      <c r="C29247" s="277"/>
      <c r="M29247" s="277"/>
      <c r="O29247" s="247"/>
      <c r="AC29247" s="247"/>
      <c r="AT29247" s="247"/>
    </row>
    <row r="29248">
      <c r="C29248" s="277"/>
      <c r="M29248" s="277"/>
      <c r="O29248" s="247"/>
      <c r="AC29248" s="247"/>
      <c r="AT29248" s="247"/>
    </row>
    <row r="29249">
      <c r="C29249" s="277"/>
      <c r="M29249" s="277"/>
      <c r="O29249" s="247"/>
      <c r="AC29249" s="247"/>
      <c r="AT29249" s="247"/>
    </row>
    <row r="29250">
      <c r="C29250" s="277"/>
      <c r="M29250" s="277"/>
      <c r="O29250" s="247"/>
      <c r="AC29250" s="247"/>
      <c r="AT29250" s="247"/>
    </row>
    <row r="29251">
      <c r="C29251" s="277"/>
      <c r="M29251" s="277"/>
      <c r="O29251" s="247"/>
      <c r="AC29251" s="247"/>
      <c r="AT29251" s="247"/>
    </row>
    <row r="29252">
      <c r="C29252" s="277"/>
      <c r="M29252" s="277"/>
      <c r="O29252" s="247"/>
      <c r="AC29252" s="247"/>
      <c r="AT29252" s="247"/>
    </row>
    <row r="29253">
      <c r="C29253" s="277"/>
      <c r="M29253" s="277"/>
      <c r="O29253" s="247"/>
      <c r="AC29253" s="247"/>
      <c r="AT29253" s="247"/>
    </row>
    <row r="29254">
      <c r="C29254" s="277"/>
      <c r="M29254" s="277"/>
      <c r="O29254" s="247"/>
      <c r="AC29254" s="247"/>
      <c r="AT29254" s="247"/>
    </row>
    <row r="29255">
      <c r="C29255" s="277"/>
      <c r="M29255" s="277"/>
      <c r="O29255" s="247"/>
      <c r="AC29255" s="247"/>
      <c r="AT29255" s="247"/>
    </row>
    <row r="29256">
      <c r="C29256" s="277"/>
      <c r="M29256" s="277"/>
      <c r="O29256" s="247"/>
      <c r="AC29256" s="247"/>
      <c r="AT29256" s="247"/>
    </row>
    <row r="29257">
      <c r="C29257" s="277"/>
      <c r="M29257" s="277"/>
      <c r="O29257" s="247"/>
      <c r="AC29257" s="247"/>
      <c r="AT29257" s="247"/>
    </row>
    <row r="29258">
      <c r="C29258" s="277"/>
      <c r="M29258" s="277"/>
      <c r="O29258" s="247"/>
      <c r="AC29258" s="247"/>
      <c r="AT29258" s="247"/>
    </row>
    <row r="29259">
      <c r="C29259" s="277"/>
      <c r="M29259" s="277"/>
      <c r="O29259" s="247"/>
      <c r="AC29259" s="247"/>
      <c r="AT29259" s="247"/>
    </row>
    <row r="29260">
      <c r="C29260" s="277"/>
      <c r="M29260" s="277"/>
      <c r="O29260" s="247"/>
      <c r="AC29260" s="247"/>
      <c r="AT29260" s="247"/>
    </row>
    <row r="29261">
      <c r="C29261" s="277"/>
      <c r="M29261" s="277"/>
      <c r="O29261" s="247"/>
      <c r="AC29261" s="247"/>
      <c r="AT29261" s="247"/>
    </row>
    <row r="29262">
      <c r="C29262" s="277"/>
      <c r="M29262" s="277"/>
      <c r="O29262" s="247"/>
      <c r="AC29262" s="247"/>
      <c r="AT29262" s="247"/>
    </row>
    <row r="29263">
      <c r="C29263" s="277"/>
      <c r="M29263" s="277"/>
      <c r="O29263" s="247"/>
      <c r="AC29263" s="247"/>
      <c r="AT29263" s="247"/>
    </row>
    <row r="29264">
      <c r="C29264" s="277"/>
      <c r="M29264" s="277"/>
      <c r="O29264" s="247"/>
      <c r="AC29264" s="247"/>
      <c r="AT29264" s="247"/>
    </row>
    <row r="29265">
      <c r="C29265" s="277"/>
      <c r="M29265" s="277"/>
      <c r="O29265" s="247"/>
      <c r="AC29265" s="247"/>
      <c r="AT29265" s="247"/>
    </row>
    <row r="29266">
      <c r="C29266" s="277"/>
      <c r="M29266" s="277"/>
      <c r="O29266" s="247"/>
      <c r="AC29266" s="247"/>
      <c r="AT29266" s="247"/>
    </row>
    <row r="29267">
      <c r="C29267" s="277"/>
      <c r="M29267" s="277"/>
      <c r="O29267" s="247"/>
      <c r="AC29267" s="247"/>
      <c r="AT29267" s="247"/>
    </row>
    <row r="29268">
      <c r="C29268" s="277"/>
      <c r="M29268" s="277"/>
      <c r="O29268" s="247"/>
      <c r="AC29268" s="247"/>
      <c r="AT29268" s="247"/>
    </row>
    <row r="29269">
      <c r="C29269" s="277"/>
      <c r="M29269" s="277"/>
      <c r="O29269" s="247"/>
      <c r="AC29269" s="247"/>
      <c r="AT29269" s="247"/>
    </row>
    <row r="29270">
      <c r="C29270" s="277"/>
      <c r="M29270" s="277"/>
      <c r="O29270" s="247"/>
      <c r="AC29270" s="247"/>
      <c r="AT29270" s="247"/>
    </row>
    <row r="29271">
      <c r="C29271" s="277"/>
      <c r="M29271" s="277"/>
      <c r="O29271" s="247"/>
      <c r="AC29271" s="247"/>
      <c r="AT29271" s="247"/>
    </row>
    <row r="29272">
      <c r="C29272" s="277"/>
      <c r="M29272" s="277"/>
      <c r="O29272" s="247"/>
      <c r="AC29272" s="247"/>
      <c r="AT29272" s="247"/>
    </row>
    <row r="29273">
      <c r="C29273" s="277"/>
      <c r="M29273" s="277"/>
      <c r="O29273" s="247"/>
      <c r="AC29273" s="247"/>
      <c r="AT29273" s="247"/>
    </row>
    <row r="29274">
      <c r="C29274" s="277"/>
      <c r="M29274" s="277"/>
      <c r="O29274" s="247"/>
      <c r="AC29274" s="247"/>
      <c r="AT29274" s="247"/>
    </row>
    <row r="29275">
      <c r="C29275" s="277"/>
      <c r="M29275" s="277"/>
      <c r="O29275" s="247"/>
      <c r="AC29275" s="247"/>
      <c r="AT29275" s="247"/>
    </row>
    <row r="29276">
      <c r="C29276" s="277"/>
      <c r="M29276" s="277"/>
      <c r="O29276" s="247"/>
      <c r="AC29276" s="247"/>
      <c r="AT29276" s="247"/>
    </row>
    <row r="29277">
      <c r="C29277" s="277"/>
      <c r="M29277" s="277"/>
      <c r="O29277" s="247"/>
      <c r="AC29277" s="247"/>
      <c r="AT29277" s="247"/>
    </row>
    <row r="29278">
      <c r="C29278" s="277"/>
      <c r="M29278" s="277"/>
      <c r="O29278" s="247"/>
      <c r="AC29278" s="247"/>
      <c r="AT29278" s="247"/>
    </row>
    <row r="29279">
      <c r="C29279" s="277"/>
      <c r="M29279" s="277"/>
      <c r="O29279" s="247"/>
      <c r="AC29279" s="247"/>
      <c r="AT29279" s="247"/>
    </row>
    <row r="29280">
      <c r="C29280" s="277"/>
      <c r="M29280" s="277"/>
      <c r="O29280" s="247"/>
      <c r="AC29280" s="247"/>
      <c r="AT29280" s="247"/>
    </row>
    <row r="29281">
      <c r="C29281" s="277"/>
      <c r="M29281" s="277"/>
      <c r="O29281" s="247"/>
      <c r="AC29281" s="247"/>
      <c r="AT29281" s="247"/>
    </row>
    <row r="29282">
      <c r="C29282" s="277"/>
      <c r="M29282" s="277"/>
      <c r="O29282" s="247"/>
      <c r="AC29282" s="247"/>
      <c r="AT29282" s="247"/>
    </row>
    <row r="29283">
      <c r="C29283" s="277"/>
      <c r="M29283" s="277"/>
      <c r="O29283" s="247"/>
      <c r="AC29283" s="247"/>
      <c r="AT29283" s="247"/>
    </row>
    <row r="29284">
      <c r="C29284" s="277"/>
      <c r="M29284" s="277"/>
      <c r="O29284" s="247"/>
      <c r="AC29284" s="247"/>
      <c r="AT29284" s="247"/>
    </row>
    <row r="29285">
      <c r="C29285" s="277"/>
      <c r="M29285" s="277"/>
      <c r="O29285" s="247"/>
      <c r="AC29285" s="247"/>
      <c r="AT29285" s="247"/>
    </row>
    <row r="29286">
      <c r="C29286" s="277"/>
      <c r="M29286" s="277"/>
      <c r="O29286" s="247"/>
      <c r="AC29286" s="247"/>
      <c r="AT29286" s="247"/>
    </row>
    <row r="29287">
      <c r="C29287" s="277"/>
      <c r="M29287" s="277"/>
      <c r="O29287" s="247"/>
      <c r="AC29287" s="247"/>
      <c r="AT29287" s="247"/>
    </row>
    <row r="29288">
      <c r="C29288" s="277"/>
      <c r="M29288" s="277"/>
      <c r="O29288" s="247"/>
      <c r="AC29288" s="247"/>
      <c r="AT29288" s="247"/>
    </row>
    <row r="29289">
      <c r="C29289" s="277"/>
      <c r="M29289" s="277"/>
      <c r="O29289" s="247"/>
      <c r="AC29289" s="247"/>
      <c r="AT29289" s="247"/>
    </row>
    <row r="29290">
      <c r="C29290" s="277"/>
      <c r="M29290" s="277"/>
      <c r="O29290" s="247"/>
      <c r="AC29290" s="247"/>
      <c r="AT29290" s="247"/>
    </row>
    <row r="29291">
      <c r="C29291" s="277"/>
      <c r="M29291" s="277"/>
      <c r="O29291" s="247"/>
      <c r="AC29291" s="247"/>
      <c r="AT29291" s="247"/>
    </row>
    <row r="29292">
      <c r="C29292" s="277"/>
      <c r="M29292" s="277"/>
      <c r="O29292" s="247"/>
      <c r="AC29292" s="247"/>
      <c r="AT29292" s="247"/>
    </row>
    <row r="29293">
      <c r="C29293" s="277"/>
      <c r="M29293" s="277"/>
      <c r="O29293" s="247"/>
      <c r="AC29293" s="247"/>
      <c r="AT29293" s="247"/>
    </row>
    <row r="29294">
      <c r="C29294" s="277"/>
      <c r="M29294" s="277"/>
      <c r="O29294" s="247"/>
      <c r="AC29294" s="247"/>
      <c r="AT29294" s="247"/>
    </row>
    <row r="29295">
      <c r="C29295" s="277"/>
      <c r="M29295" s="277"/>
      <c r="O29295" s="247"/>
      <c r="AC29295" s="247"/>
      <c r="AT29295" s="247"/>
    </row>
    <row r="29296">
      <c r="C29296" s="277"/>
      <c r="M29296" s="277"/>
      <c r="O29296" s="247"/>
      <c r="AC29296" s="247"/>
      <c r="AT29296" s="247"/>
    </row>
    <row r="29297">
      <c r="C29297" s="277"/>
      <c r="M29297" s="277"/>
      <c r="O29297" s="247"/>
      <c r="AC29297" s="247"/>
      <c r="AT29297" s="247"/>
    </row>
    <row r="29298">
      <c r="C29298" s="277"/>
      <c r="M29298" s="277"/>
      <c r="O29298" s="247"/>
      <c r="AC29298" s="247"/>
      <c r="AT29298" s="247"/>
    </row>
    <row r="29299">
      <c r="C29299" s="277"/>
      <c r="M29299" s="277"/>
      <c r="O29299" s="247"/>
      <c r="AC29299" s="247"/>
      <c r="AT29299" s="247"/>
    </row>
    <row r="29300">
      <c r="C29300" s="277"/>
      <c r="M29300" s="277"/>
      <c r="O29300" s="247"/>
      <c r="AC29300" s="247"/>
      <c r="AT29300" s="247"/>
    </row>
    <row r="29301">
      <c r="C29301" s="277"/>
      <c r="M29301" s="277"/>
      <c r="O29301" s="247"/>
      <c r="AC29301" s="247"/>
      <c r="AT29301" s="247"/>
    </row>
    <row r="29302">
      <c r="C29302" s="277"/>
      <c r="M29302" s="277"/>
      <c r="O29302" s="247"/>
      <c r="AC29302" s="247"/>
      <c r="AT29302" s="247"/>
    </row>
    <row r="29303">
      <c r="C29303" s="277"/>
      <c r="M29303" s="277"/>
      <c r="O29303" s="247"/>
      <c r="AC29303" s="247"/>
      <c r="AT29303" s="247"/>
    </row>
    <row r="29304">
      <c r="C29304" s="277"/>
      <c r="M29304" s="277"/>
      <c r="O29304" s="247"/>
      <c r="AC29304" s="247"/>
      <c r="AT29304" s="247"/>
    </row>
    <row r="29305">
      <c r="C29305" s="277"/>
      <c r="M29305" s="277"/>
      <c r="O29305" s="247"/>
      <c r="AC29305" s="247"/>
      <c r="AT29305" s="247"/>
    </row>
    <row r="29306">
      <c r="C29306" s="277"/>
      <c r="M29306" s="277"/>
      <c r="O29306" s="247"/>
      <c r="AC29306" s="247"/>
      <c r="AT29306" s="247"/>
    </row>
    <row r="29307">
      <c r="C29307" s="277"/>
      <c r="M29307" s="277"/>
      <c r="O29307" s="247"/>
      <c r="AC29307" s="247"/>
      <c r="AT29307" s="247"/>
    </row>
    <row r="29308">
      <c r="C29308" s="277"/>
      <c r="M29308" s="277"/>
      <c r="O29308" s="247"/>
      <c r="AC29308" s="247"/>
      <c r="AT29308" s="247"/>
    </row>
    <row r="29309">
      <c r="C29309" s="277"/>
      <c r="M29309" s="277"/>
      <c r="O29309" s="247"/>
      <c r="AC29309" s="247"/>
      <c r="AT29309" s="247"/>
    </row>
    <row r="29310">
      <c r="C29310" s="277"/>
      <c r="M29310" s="277"/>
      <c r="O29310" s="247"/>
      <c r="AC29310" s="247"/>
      <c r="AT29310" s="247"/>
    </row>
    <row r="29311">
      <c r="C29311" s="277"/>
      <c r="M29311" s="277"/>
      <c r="O29311" s="247"/>
      <c r="AC29311" s="247"/>
      <c r="AT29311" s="247"/>
    </row>
    <row r="29312">
      <c r="C29312" s="277"/>
      <c r="M29312" s="277"/>
      <c r="O29312" s="247"/>
      <c r="AC29312" s="247"/>
      <c r="AT29312" s="247"/>
    </row>
    <row r="29313">
      <c r="C29313" s="277"/>
      <c r="M29313" s="277"/>
      <c r="O29313" s="247"/>
      <c r="AC29313" s="247"/>
      <c r="AT29313" s="247"/>
    </row>
    <row r="29314">
      <c r="C29314" s="277"/>
      <c r="M29314" s="277"/>
      <c r="O29314" s="247"/>
      <c r="AC29314" s="247"/>
      <c r="AT29314" s="247"/>
    </row>
    <row r="29315">
      <c r="C29315" s="277"/>
      <c r="M29315" s="277"/>
      <c r="O29315" s="247"/>
      <c r="AC29315" s="247"/>
      <c r="AT29315" s="247"/>
    </row>
    <row r="29316">
      <c r="C29316" s="277"/>
      <c r="M29316" s="277"/>
      <c r="O29316" s="247"/>
      <c r="AC29316" s="247"/>
      <c r="AT29316" s="247"/>
    </row>
    <row r="29317">
      <c r="C29317" s="277"/>
      <c r="M29317" s="277"/>
      <c r="O29317" s="247"/>
      <c r="AC29317" s="247"/>
      <c r="AT29317" s="247"/>
    </row>
    <row r="29318">
      <c r="C29318" s="277"/>
      <c r="M29318" s="277"/>
      <c r="O29318" s="247"/>
      <c r="AC29318" s="247"/>
      <c r="AT29318" s="247"/>
    </row>
    <row r="29319">
      <c r="C29319" s="277"/>
      <c r="M29319" s="277"/>
      <c r="O29319" s="247"/>
      <c r="AC29319" s="247"/>
      <c r="AT29319" s="247"/>
    </row>
    <row r="29320">
      <c r="C29320" s="277"/>
      <c r="M29320" s="277"/>
      <c r="O29320" s="247"/>
      <c r="AC29320" s="247"/>
      <c r="AT29320" s="247"/>
    </row>
    <row r="29321">
      <c r="C29321" s="277"/>
      <c r="M29321" s="277"/>
      <c r="O29321" s="247"/>
      <c r="AC29321" s="247"/>
      <c r="AT29321" s="247"/>
    </row>
    <row r="29322">
      <c r="C29322" s="277"/>
      <c r="M29322" s="277"/>
      <c r="O29322" s="247"/>
      <c r="AC29322" s="247"/>
      <c r="AT29322" s="247"/>
    </row>
    <row r="29323">
      <c r="C29323" s="277"/>
      <c r="M29323" s="277"/>
      <c r="O29323" s="247"/>
      <c r="AC29323" s="247"/>
      <c r="AT29323" s="247"/>
    </row>
    <row r="29324">
      <c r="C29324" s="277"/>
      <c r="M29324" s="277"/>
      <c r="O29324" s="247"/>
      <c r="AC29324" s="247"/>
      <c r="AT29324" s="247"/>
    </row>
    <row r="29325">
      <c r="C29325" s="277"/>
      <c r="M29325" s="277"/>
      <c r="O29325" s="247"/>
      <c r="AC29325" s="247"/>
      <c r="AT29325" s="247"/>
    </row>
    <row r="29326">
      <c r="C29326" s="277"/>
      <c r="M29326" s="277"/>
      <c r="O29326" s="247"/>
      <c r="AC29326" s="247"/>
      <c r="AT29326" s="247"/>
    </row>
    <row r="29327">
      <c r="C29327" s="277"/>
      <c r="M29327" s="277"/>
      <c r="O29327" s="247"/>
      <c r="AC29327" s="247"/>
      <c r="AT29327" s="247"/>
    </row>
    <row r="29328">
      <c r="C29328" s="277"/>
      <c r="M29328" s="277"/>
      <c r="O29328" s="247"/>
      <c r="AC29328" s="247"/>
      <c r="AT29328" s="247"/>
    </row>
    <row r="29329">
      <c r="C29329" s="277"/>
      <c r="M29329" s="277"/>
      <c r="O29329" s="247"/>
      <c r="AC29329" s="247"/>
      <c r="AT29329" s="247"/>
    </row>
    <row r="29330">
      <c r="C29330" s="277"/>
      <c r="M29330" s="277"/>
      <c r="O29330" s="247"/>
      <c r="AC29330" s="247"/>
      <c r="AT29330" s="247"/>
    </row>
    <row r="29331">
      <c r="C29331" s="277"/>
      <c r="M29331" s="277"/>
      <c r="O29331" s="247"/>
      <c r="AC29331" s="247"/>
      <c r="AT29331" s="247"/>
    </row>
    <row r="29332">
      <c r="C29332" s="277"/>
      <c r="M29332" s="277"/>
      <c r="O29332" s="247"/>
      <c r="AC29332" s="247"/>
      <c r="AT29332" s="247"/>
    </row>
    <row r="29333">
      <c r="C29333" s="277"/>
      <c r="M29333" s="277"/>
      <c r="O29333" s="247"/>
      <c r="AC29333" s="247"/>
      <c r="AT29333" s="247"/>
    </row>
    <row r="29334">
      <c r="C29334" s="277"/>
      <c r="M29334" s="277"/>
      <c r="O29334" s="247"/>
      <c r="AC29334" s="247"/>
      <c r="AT29334" s="247"/>
    </row>
    <row r="29335">
      <c r="C29335" s="277"/>
      <c r="M29335" s="277"/>
      <c r="O29335" s="247"/>
      <c r="AC29335" s="247"/>
      <c r="AT29335" s="247"/>
    </row>
    <row r="29336">
      <c r="C29336" s="277"/>
      <c r="M29336" s="277"/>
      <c r="O29336" s="247"/>
      <c r="AC29336" s="247"/>
      <c r="AT29336" s="247"/>
    </row>
    <row r="29337">
      <c r="C29337" s="277"/>
      <c r="M29337" s="277"/>
      <c r="O29337" s="247"/>
      <c r="AC29337" s="247"/>
      <c r="AT29337" s="247"/>
    </row>
    <row r="29338">
      <c r="C29338" s="277"/>
      <c r="M29338" s="277"/>
      <c r="O29338" s="247"/>
      <c r="AC29338" s="247"/>
      <c r="AT29338" s="247"/>
    </row>
    <row r="29339">
      <c r="C29339" s="277"/>
      <c r="M29339" s="277"/>
      <c r="O29339" s="247"/>
      <c r="AC29339" s="247"/>
      <c r="AT29339" s="247"/>
    </row>
    <row r="29340">
      <c r="C29340" s="277"/>
      <c r="M29340" s="277"/>
      <c r="O29340" s="247"/>
      <c r="AC29340" s="247"/>
      <c r="AT29340" s="247"/>
    </row>
    <row r="29341">
      <c r="C29341" s="277"/>
      <c r="M29341" s="277"/>
      <c r="O29341" s="247"/>
      <c r="AC29341" s="247"/>
      <c r="AT29341" s="247"/>
    </row>
    <row r="29342">
      <c r="C29342" s="277"/>
      <c r="M29342" s="277"/>
      <c r="O29342" s="247"/>
      <c r="AC29342" s="247"/>
      <c r="AT29342" s="247"/>
    </row>
    <row r="29343">
      <c r="C29343" s="277"/>
      <c r="M29343" s="277"/>
      <c r="O29343" s="247"/>
      <c r="AC29343" s="247"/>
      <c r="AT29343" s="247"/>
    </row>
    <row r="29344">
      <c r="C29344" s="277"/>
      <c r="M29344" s="277"/>
      <c r="O29344" s="247"/>
      <c r="AC29344" s="247"/>
      <c r="AT29344" s="247"/>
    </row>
    <row r="29345">
      <c r="C29345" s="277"/>
      <c r="M29345" s="277"/>
      <c r="O29345" s="247"/>
      <c r="AC29345" s="247"/>
      <c r="AT29345" s="247"/>
    </row>
    <row r="29346">
      <c r="C29346" s="277"/>
      <c r="M29346" s="277"/>
      <c r="O29346" s="247"/>
      <c r="AC29346" s="247"/>
      <c r="AT29346" s="247"/>
    </row>
    <row r="29347">
      <c r="C29347" s="277"/>
      <c r="M29347" s="277"/>
      <c r="O29347" s="247"/>
      <c r="AC29347" s="247"/>
      <c r="AT29347" s="247"/>
    </row>
    <row r="29348">
      <c r="C29348" s="277"/>
      <c r="M29348" s="277"/>
      <c r="O29348" s="247"/>
      <c r="AC29348" s="247"/>
      <c r="AT29348" s="247"/>
    </row>
    <row r="29349">
      <c r="C29349" s="277"/>
      <c r="M29349" s="277"/>
      <c r="O29349" s="247"/>
      <c r="AC29349" s="247"/>
      <c r="AT29349" s="247"/>
    </row>
    <row r="29350">
      <c r="C29350" s="277"/>
      <c r="M29350" s="277"/>
      <c r="O29350" s="247"/>
      <c r="AC29350" s="247"/>
      <c r="AT29350" s="247"/>
    </row>
    <row r="29351">
      <c r="C29351" s="277"/>
      <c r="M29351" s="277"/>
      <c r="O29351" s="247"/>
      <c r="AC29351" s="247"/>
      <c r="AT29351" s="247"/>
    </row>
    <row r="29352">
      <c r="C29352" s="277"/>
      <c r="M29352" s="277"/>
      <c r="O29352" s="247"/>
      <c r="AC29352" s="247"/>
      <c r="AT29352" s="247"/>
    </row>
    <row r="29353">
      <c r="C29353" s="277"/>
      <c r="M29353" s="277"/>
      <c r="O29353" s="247"/>
      <c r="AC29353" s="247"/>
      <c r="AT29353" s="247"/>
    </row>
    <row r="29354">
      <c r="C29354" s="277"/>
      <c r="M29354" s="277"/>
      <c r="O29354" s="247"/>
      <c r="AC29354" s="247"/>
      <c r="AT29354" s="247"/>
    </row>
    <row r="29355">
      <c r="C29355" s="277"/>
      <c r="M29355" s="277"/>
      <c r="O29355" s="247"/>
      <c r="AC29355" s="247"/>
      <c r="AT29355" s="247"/>
    </row>
    <row r="29356">
      <c r="C29356" s="277"/>
      <c r="M29356" s="277"/>
      <c r="O29356" s="247"/>
      <c r="AC29356" s="247"/>
      <c r="AT29356" s="247"/>
    </row>
    <row r="29357">
      <c r="C29357" s="277"/>
      <c r="M29357" s="277"/>
      <c r="O29357" s="247"/>
      <c r="AC29357" s="247"/>
      <c r="AT29357" s="247"/>
    </row>
    <row r="29358">
      <c r="C29358" s="277"/>
      <c r="M29358" s="277"/>
      <c r="O29358" s="247"/>
      <c r="AC29358" s="247"/>
      <c r="AT29358" s="247"/>
    </row>
    <row r="29359">
      <c r="C29359" s="277"/>
      <c r="M29359" s="277"/>
      <c r="O29359" s="247"/>
      <c r="AC29359" s="247"/>
      <c r="AT29359" s="247"/>
    </row>
    <row r="29360">
      <c r="C29360" s="277"/>
      <c r="M29360" s="277"/>
      <c r="O29360" s="247"/>
      <c r="AC29360" s="247"/>
      <c r="AT29360" s="247"/>
    </row>
    <row r="29361">
      <c r="C29361" s="277"/>
      <c r="M29361" s="277"/>
      <c r="O29361" s="247"/>
      <c r="AC29361" s="247"/>
      <c r="AT29361" s="247"/>
    </row>
    <row r="29362">
      <c r="C29362" s="277"/>
      <c r="M29362" s="277"/>
      <c r="O29362" s="247"/>
      <c r="AC29362" s="247"/>
      <c r="AT29362" s="247"/>
    </row>
    <row r="29363">
      <c r="C29363" s="277"/>
      <c r="M29363" s="277"/>
      <c r="O29363" s="247"/>
      <c r="AC29363" s="247"/>
      <c r="AT29363" s="247"/>
    </row>
    <row r="29364">
      <c r="C29364" s="277"/>
      <c r="M29364" s="277"/>
      <c r="O29364" s="247"/>
      <c r="AC29364" s="247"/>
      <c r="AT29364" s="247"/>
    </row>
    <row r="29365">
      <c r="C29365" s="277"/>
      <c r="M29365" s="277"/>
      <c r="O29365" s="247"/>
      <c r="AC29365" s="247"/>
      <c r="AT29365" s="247"/>
    </row>
    <row r="29366">
      <c r="C29366" s="277"/>
      <c r="M29366" s="277"/>
      <c r="O29366" s="247"/>
      <c r="AC29366" s="247"/>
      <c r="AT29366" s="247"/>
    </row>
    <row r="29367">
      <c r="C29367" s="277"/>
      <c r="M29367" s="277"/>
      <c r="O29367" s="247"/>
      <c r="AC29367" s="247"/>
      <c r="AT29367" s="247"/>
    </row>
    <row r="29368">
      <c r="C29368" s="277"/>
      <c r="M29368" s="277"/>
      <c r="O29368" s="247"/>
      <c r="AC29368" s="247"/>
      <c r="AT29368" s="247"/>
    </row>
    <row r="29369">
      <c r="C29369" s="277"/>
      <c r="M29369" s="277"/>
      <c r="O29369" s="247"/>
      <c r="AC29369" s="247"/>
      <c r="AT29369" s="247"/>
    </row>
    <row r="29370">
      <c r="C29370" s="277"/>
      <c r="M29370" s="277"/>
      <c r="O29370" s="247"/>
      <c r="AC29370" s="247"/>
      <c r="AT29370" s="247"/>
    </row>
    <row r="29371">
      <c r="C29371" s="277"/>
      <c r="M29371" s="277"/>
      <c r="O29371" s="247"/>
      <c r="AC29371" s="247"/>
      <c r="AT29371" s="247"/>
    </row>
    <row r="29372">
      <c r="C29372" s="277"/>
      <c r="M29372" s="277"/>
      <c r="O29372" s="247"/>
      <c r="AC29372" s="247"/>
      <c r="AT29372" s="247"/>
    </row>
    <row r="29373">
      <c r="C29373" s="277"/>
      <c r="M29373" s="277"/>
      <c r="O29373" s="247"/>
      <c r="AC29373" s="247"/>
      <c r="AT29373" s="247"/>
    </row>
    <row r="29374">
      <c r="C29374" s="277"/>
      <c r="M29374" s="277"/>
      <c r="O29374" s="247"/>
      <c r="AC29374" s="247"/>
      <c r="AT29374" s="247"/>
    </row>
    <row r="29375">
      <c r="C29375" s="277"/>
      <c r="M29375" s="277"/>
      <c r="O29375" s="247"/>
      <c r="AC29375" s="247"/>
      <c r="AT29375" s="247"/>
    </row>
    <row r="29376">
      <c r="C29376" s="277"/>
      <c r="M29376" s="277"/>
      <c r="O29376" s="247"/>
      <c r="AC29376" s="247"/>
      <c r="AT29376" s="247"/>
    </row>
    <row r="29377">
      <c r="C29377" s="277"/>
      <c r="M29377" s="277"/>
      <c r="O29377" s="247"/>
      <c r="AC29377" s="247"/>
      <c r="AT29377" s="247"/>
    </row>
    <row r="29378">
      <c r="C29378" s="277"/>
      <c r="M29378" s="277"/>
      <c r="O29378" s="247"/>
      <c r="AC29378" s="247"/>
      <c r="AT29378" s="247"/>
    </row>
    <row r="29379">
      <c r="C29379" s="277"/>
      <c r="M29379" s="277"/>
      <c r="O29379" s="247"/>
      <c r="AC29379" s="247"/>
      <c r="AT29379" s="247"/>
    </row>
    <row r="29380">
      <c r="C29380" s="277"/>
      <c r="M29380" s="277"/>
      <c r="O29380" s="247"/>
      <c r="AC29380" s="247"/>
      <c r="AT29380" s="247"/>
    </row>
    <row r="29381">
      <c r="C29381" s="277"/>
      <c r="M29381" s="277"/>
      <c r="O29381" s="247"/>
      <c r="AC29381" s="247"/>
      <c r="AT29381" s="247"/>
    </row>
    <row r="29382">
      <c r="C29382" s="277"/>
      <c r="M29382" s="277"/>
      <c r="O29382" s="247"/>
      <c r="AC29382" s="247"/>
      <c r="AT29382" s="247"/>
    </row>
    <row r="29383">
      <c r="C29383" s="277"/>
      <c r="M29383" s="277"/>
      <c r="O29383" s="247"/>
      <c r="AC29383" s="247"/>
      <c r="AT29383" s="247"/>
    </row>
    <row r="29384">
      <c r="C29384" s="277"/>
      <c r="M29384" s="277"/>
      <c r="O29384" s="247"/>
      <c r="AC29384" s="247"/>
      <c r="AT29384" s="247"/>
    </row>
    <row r="29385">
      <c r="C29385" s="277"/>
      <c r="M29385" s="277"/>
      <c r="O29385" s="247"/>
      <c r="AC29385" s="247"/>
      <c r="AT29385" s="247"/>
    </row>
    <row r="29386">
      <c r="C29386" s="277"/>
      <c r="M29386" s="277"/>
      <c r="O29386" s="247"/>
      <c r="AC29386" s="247"/>
      <c r="AT29386" s="247"/>
    </row>
    <row r="29387">
      <c r="C29387" s="277"/>
      <c r="M29387" s="277"/>
      <c r="O29387" s="247"/>
      <c r="AC29387" s="247"/>
      <c r="AT29387" s="247"/>
    </row>
    <row r="29388">
      <c r="C29388" s="277"/>
      <c r="M29388" s="277"/>
      <c r="O29388" s="247"/>
      <c r="AC29388" s="247"/>
      <c r="AT29388" s="247"/>
    </row>
    <row r="29389">
      <c r="C29389" s="277"/>
      <c r="M29389" s="277"/>
      <c r="O29389" s="247"/>
      <c r="AC29389" s="247"/>
      <c r="AT29389" s="247"/>
    </row>
    <row r="29390">
      <c r="C29390" s="277"/>
      <c r="J29390" s="279"/>
      <c r="M29390" s="277"/>
      <c r="O29390" s="247"/>
      <c r="AC29390" s="247"/>
      <c r="AT29390" s="247"/>
    </row>
    <row r="29391">
      <c r="C29391" s="277"/>
      <c r="M29391" s="277"/>
      <c r="O29391" s="247"/>
      <c r="AC29391" s="247"/>
      <c r="AT29391" s="247"/>
    </row>
    <row r="29392">
      <c r="C29392" s="277"/>
      <c r="M29392" s="277"/>
      <c r="O29392" s="247"/>
      <c r="AC29392" s="247"/>
      <c r="AT29392" s="247"/>
    </row>
    <row r="29393">
      <c r="C29393" s="277"/>
      <c r="M29393" s="277"/>
      <c r="O29393" s="247"/>
      <c r="AC29393" s="247"/>
      <c r="AT29393" s="247"/>
    </row>
    <row r="29394">
      <c r="C29394" s="277"/>
      <c r="M29394" s="277"/>
      <c r="O29394" s="247"/>
      <c r="AC29394" s="247"/>
      <c r="AT29394" s="247"/>
    </row>
    <row r="29395">
      <c r="C29395" s="277"/>
      <c r="M29395" s="277"/>
      <c r="O29395" s="247"/>
      <c r="AC29395" s="247"/>
      <c r="AT29395" s="247"/>
    </row>
    <row r="29396">
      <c r="C29396" s="277"/>
      <c r="M29396" s="277"/>
      <c r="O29396" s="247"/>
      <c r="AC29396" s="247"/>
      <c r="AT29396" s="247"/>
    </row>
    <row r="29397">
      <c r="C29397" s="277"/>
      <c r="M29397" s="277"/>
      <c r="O29397" s="247"/>
      <c r="AC29397" s="247"/>
      <c r="AT29397" s="247"/>
    </row>
    <row r="29398">
      <c r="C29398" s="277"/>
      <c r="M29398" s="277"/>
      <c r="O29398" s="247"/>
      <c r="AC29398" s="247"/>
      <c r="AT29398" s="247"/>
    </row>
    <row r="29399">
      <c r="C29399" s="277"/>
      <c r="M29399" s="277"/>
      <c r="O29399" s="247"/>
      <c r="AC29399" s="247"/>
      <c r="AT29399" s="247"/>
    </row>
    <row r="29400">
      <c r="C29400" s="277"/>
      <c r="M29400" s="277"/>
      <c r="O29400" s="247"/>
      <c r="AC29400" s="247"/>
      <c r="AT29400" s="247"/>
    </row>
    <row r="29401">
      <c r="C29401" s="277"/>
      <c r="M29401" s="277"/>
      <c r="O29401" s="247"/>
      <c r="AC29401" s="247"/>
      <c r="AT29401" s="247"/>
    </row>
    <row r="29402">
      <c r="C29402" s="277"/>
      <c r="M29402" s="277"/>
      <c r="O29402" s="247"/>
      <c r="AC29402" s="247"/>
      <c r="AT29402" s="247"/>
    </row>
    <row r="29403">
      <c r="C29403" s="277"/>
      <c r="M29403" s="277"/>
      <c r="O29403" s="247"/>
      <c r="AC29403" s="247"/>
      <c r="AT29403" s="247"/>
    </row>
    <row r="29404">
      <c r="C29404" s="277"/>
      <c r="M29404" s="277"/>
      <c r="O29404" s="247"/>
      <c r="AC29404" s="247"/>
      <c r="AT29404" s="247"/>
    </row>
    <row r="29405">
      <c r="C29405" s="277"/>
      <c r="M29405" s="277"/>
      <c r="O29405" s="247"/>
      <c r="AC29405" s="247"/>
      <c r="AT29405" s="247"/>
    </row>
    <row r="29406">
      <c r="C29406" s="277"/>
      <c r="M29406" s="277"/>
      <c r="O29406" s="247"/>
      <c r="AC29406" s="247"/>
      <c r="AT29406" s="247"/>
    </row>
    <row r="29407">
      <c r="C29407" s="277"/>
      <c r="M29407" s="277"/>
      <c r="O29407" s="247"/>
      <c r="AC29407" s="247"/>
      <c r="AT29407" s="247"/>
    </row>
    <row r="29408">
      <c r="C29408" s="277"/>
      <c r="J29408" s="279"/>
      <c r="M29408" s="277"/>
      <c r="O29408" s="247"/>
      <c r="AC29408" s="247"/>
      <c r="AT29408" s="247"/>
    </row>
    <row r="29409">
      <c r="C29409" s="277"/>
      <c r="M29409" s="277"/>
      <c r="O29409" s="247"/>
      <c r="AC29409" s="247"/>
      <c r="AT29409" s="247"/>
    </row>
    <row r="29410">
      <c r="C29410" s="277"/>
      <c r="M29410" s="277"/>
      <c r="O29410" s="247"/>
      <c r="AC29410" s="247"/>
      <c r="AT29410" s="247"/>
    </row>
    <row r="29411">
      <c r="C29411" s="277"/>
      <c r="M29411" s="277"/>
      <c r="O29411" s="247"/>
      <c r="AC29411" s="247"/>
      <c r="AT29411" s="247"/>
    </row>
    <row r="29412">
      <c r="C29412" s="277"/>
      <c r="M29412" s="277"/>
      <c r="O29412" s="247"/>
      <c r="AC29412" s="247"/>
      <c r="AT29412" s="247"/>
    </row>
    <row r="29413">
      <c r="C29413" s="277"/>
      <c r="M29413" s="277"/>
      <c r="O29413" s="247"/>
      <c r="AC29413" s="247"/>
      <c r="AT29413" s="247"/>
    </row>
    <row r="29414">
      <c r="C29414" s="277"/>
      <c r="M29414" s="277"/>
      <c r="O29414" s="247"/>
      <c r="AC29414" s="247"/>
      <c r="AT29414" s="247"/>
    </row>
    <row r="29415">
      <c r="C29415" s="277"/>
      <c r="M29415" s="277"/>
      <c r="O29415" s="247"/>
      <c r="AC29415" s="247"/>
      <c r="AT29415" s="247"/>
    </row>
    <row r="29416">
      <c r="C29416" s="277"/>
      <c r="M29416" s="277"/>
      <c r="O29416" s="247"/>
      <c r="AC29416" s="247"/>
      <c r="AT29416" s="247"/>
    </row>
    <row r="29417">
      <c r="C29417" s="277"/>
      <c r="M29417" s="277"/>
      <c r="O29417" s="247"/>
      <c r="AC29417" s="247"/>
      <c r="AT29417" s="247"/>
    </row>
    <row r="29418">
      <c r="C29418" s="277"/>
      <c r="M29418" s="277"/>
      <c r="O29418" s="247"/>
      <c r="AC29418" s="247"/>
      <c r="AT29418" s="247"/>
    </row>
    <row r="29419">
      <c r="C29419" s="277"/>
      <c r="M29419" s="277"/>
      <c r="O29419" s="247"/>
      <c r="AC29419" s="247"/>
      <c r="AT29419" s="247"/>
    </row>
    <row r="29420">
      <c r="C29420" s="277"/>
      <c r="M29420" s="277"/>
      <c r="O29420" s="247"/>
      <c r="AC29420" s="247"/>
      <c r="AT29420" s="247"/>
    </row>
    <row r="29421">
      <c r="C29421" s="277"/>
      <c r="M29421" s="277"/>
      <c r="O29421" s="247"/>
      <c r="AC29421" s="247"/>
      <c r="AT29421" s="247"/>
    </row>
    <row r="29422">
      <c r="C29422" s="277"/>
      <c r="M29422" s="277"/>
      <c r="O29422" s="247"/>
      <c r="AC29422" s="247"/>
      <c r="AT29422" s="247"/>
    </row>
    <row r="29423">
      <c r="C29423" s="277"/>
      <c r="M29423" s="277"/>
      <c r="O29423" s="247"/>
      <c r="AC29423" s="247"/>
      <c r="AT29423" s="247"/>
    </row>
    <row r="29424">
      <c r="C29424" s="277"/>
      <c r="M29424" s="277"/>
      <c r="O29424" s="247"/>
      <c r="AC29424" s="247"/>
      <c r="AT29424" s="247"/>
    </row>
    <row r="29425">
      <c r="C29425" s="277"/>
      <c r="M29425" s="277"/>
      <c r="O29425" s="247"/>
      <c r="AC29425" s="247"/>
      <c r="AT29425" s="247"/>
    </row>
    <row r="29426">
      <c r="C29426" s="277"/>
      <c r="M29426" s="277"/>
      <c r="O29426" s="247"/>
      <c r="AC29426" s="247"/>
      <c r="AT29426" s="247"/>
    </row>
    <row r="29427">
      <c r="C29427" s="277"/>
      <c r="M29427" s="277"/>
      <c r="O29427" s="247"/>
      <c r="AC29427" s="247"/>
      <c r="AT29427" s="247"/>
    </row>
    <row r="29428">
      <c r="C29428" s="277"/>
      <c r="M29428" s="277"/>
      <c r="O29428" s="247"/>
      <c r="AC29428" s="247"/>
      <c r="AT29428" s="247"/>
    </row>
    <row r="29429">
      <c r="C29429" s="277"/>
      <c r="M29429" s="277"/>
      <c r="O29429" s="247"/>
      <c r="AC29429" s="247"/>
      <c r="AT29429" s="247"/>
    </row>
    <row r="29430">
      <c r="C29430" s="277"/>
      <c r="M29430" s="277"/>
      <c r="O29430" s="247"/>
      <c r="AC29430" s="247"/>
      <c r="AT29430" s="247"/>
    </row>
    <row r="29431">
      <c r="C29431" s="277"/>
      <c r="M29431" s="277"/>
      <c r="O29431" s="247"/>
      <c r="AC29431" s="247"/>
      <c r="AT29431" s="247"/>
    </row>
    <row r="29432">
      <c r="C29432" s="277"/>
      <c r="M29432" s="277"/>
      <c r="O29432" s="247"/>
      <c r="AC29432" s="247"/>
      <c r="AT29432" s="247"/>
    </row>
    <row r="29433">
      <c r="C29433" s="277"/>
      <c r="M29433" s="277"/>
      <c r="O29433" s="247"/>
      <c r="AC29433" s="247"/>
      <c r="AT29433" s="247"/>
    </row>
    <row r="29434">
      <c r="C29434" s="277"/>
      <c r="M29434" s="277"/>
      <c r="O29434" s="247"/>
      <c r="AC29434" s="247"/>
      <c r="AT29434" s="247"/>
    </row>
    <row r="29435">
      <c r="C29435" s="277"/>
      <c r="M29435" s="277"/>
      <c r="O29435" s="247"/>
      <c r="AC29435" s="247"/>
      <c r="AT29435" s="247"/>
    </row>
    <row r="29436">
      <c r="C29436" s="277"/>
      <c r="M29436" s="277"/>
      <c r="O29436" s="247"/>
      <c r="AC29436" s="247"/>
      <c r="AT29436" s="247"/>
    </row>
    <row r="29437">
      <c r="C29437" s="277"/>
      <c r="M29437" s="277"/>
      <c r="O29437" s="247"/>
      <c r="AC29437" s="247"/>
      <c r="AT29437" s="247"/>
    </row>
    <row r="29438">
      <c r="C29438" s="277"/>
      <c r="M29438" s="277"/>
      <c r="O29438" s="247"/>
      <c r="AC29438" s="247"/>
      <c r="AT29438" s="247"/>
    </row>
    <row r="29439">
      <c r="C29439" s="277"/>
      <c r="M29439" s="277"/>
      <c r="O29439" s="247"/>
      <c r="AC29439" s="247"/>
      <c r="AT29439" s="247"/>
    </row>
    <row r="29440">
      <c r="C29440" s="277"/>
      <c r="M29440" s="277"/>
      <c r="O29440" s="247"/>
      <c r="AC29440" s="247"/>
      <c r="AT29440" s="247"/>
    </row>
    <row r="29441">
      <c r="C29441" s="277"/>
      <c r="M29441" s="277"/>
      <c r="O29441" s="247"/>
      <c r="AC29441" s="247"/>
      <c r="AT29441" s="247"/>
    </row>
    <row r="29442">
      <c r="C29442" s="277"/>
      <c r="M29442" s="277"/>
      <c r="O29442" s="247"/>
      <c r="AC29442" s="247"/>
      <c r="AT29442" s="247"/>
    </row>
    <row r="29443">
      <c r="C29443" s="277"/>
      <c r="M29443" s="277"/>
      <c r="O29443" s="247"/>
      <c r="AC29443" s="247"/>
      <c r="AT29443" s="247"/>
    </row>
    <row r="29444">
      <c r="C29444" s="277"/>
      <c r="M29444" s="277"/>
      <c r="O29444" s="247"/>
      <c r="AC29444" s="247"/>
      <c r="AT29444" s="247"/>
    </row>
    <row r="29445">
      <c r="C29445" s="277"/>
      <c r="M29445" s="277"/>
      <c r="O29445" s="247"/>
      <c r="AC29445" s="247"/>
      <c r="AT29445" s="247"/>
    </row>
    <row r="29446">
      <c r="C29446" s="277"/>
      <c r="M29446" s="277"/>
      <c r="O29446" s="247"/>
      <c r="AC29446" s="247"/>
      <c r="AT29446" s="247"/>
    </row>
    <row r="29447">
      <c r="C29447" s="277"/>
      <c r="M29447" s="277"/>
      <c r="O29447" s="247"/>
      <c r="AC29447" s="247"/>
      <c r="AT29447" s="247"/>
    </row>
    <row r="29448">
      <c r="C29448" s="277"/>
      <c r="M29448" s="277"/>
      <c r="O29448" s="247"/>
      <c r="AC29448" s="247"/>
      <c r="AT29448" s="247"/>
    </row>
    <row r="29449">
      <c r="C29449" s="277"/>
      <c r="M29449" s="277"/>
      <c r="O29449" s="247"/>
      <c r="AC29449" s="247"/>
      <c r="AT29449" s="247"/>
    </row>
    <row r="29450">
      <c r="C29450" s="277"/>
      <c r="M29450" s="277"/>
      <c r="O29450" s="247"/>
      <c r="AC29450" s="247"/>
      <c r="AT29450" s="247"/>
    </row>
    <row r="29451">
      <c r="C29451" s="277"/>
      <c r="M29451" s="277"/>
      <c r="O29451" s="247"/>
      <c r="AC29451" s="247"/>
      <c r="AT29451" s="247"/>
    </row>
    <row r="29452">
      <c r="C29452" s="277"/>
      <c r="M29452" s="277"/>
      <c r="O29452" s="247"/>
      <c r="AC29452" s="247"/>
      <c r="AT29452" s="247"/>
    </row>
    <row r="29453">
      <c r="C29453" s="277"/>
      <c r="M29453" s="277"/>
      <c r="O29453" s="247"/>
      <c r="AC29453" s="247"/>
      <c r="AT29453" s="247"/>
    </row>
    <row r="29454">
      <c r="C29454" s="277"/>
      <c r="M29454" s="277"/>
      <c r="O29454" s="247"/>
      <c r="AC29454" s="247"/>
      <c r="AT29454" s="247"/>
    </row>
    <row r="29455">
      <c r="C29455" s="277"/>
      <c r="M29455" s="277"/>
      <c r="O29455" s="247"/>
      <c r="AC29455" s="247"/>
      <c r="AT29455" s="247"/>
    </row>
    <row r="29456">
      <c r="C29456" s="277"/>
      <c r="M29456" s="277"/>
      <c r="O29456" s="247"/>
      <c r="AC29456" s="247"/>
      <c r="AT29456" s="247"/>
    </row>
    <row r="29457">
      <c r="C29457" s="277"/>
      <c r="M29457" s="277"/>
      <c r="O29457" s="247"/>
      <c r="AC29457" s="247"/>
      <c r="AT29457" s="247"/>
    </row>
    <row r="29458">
      <c r="C29458" s="277"/>
      <c r="M29458" s="277"/>
      <c r="O29458" s="247"/>
      <c r="AC29458" s="247"/>
      <c r="AT29458" s="247"/>
    </row>
    <row r="29459">
      <c r="C29459" s="277"/>
      <c r="M29459" s="277"/>
      <c r="O29459" s="247"/>
      <c r="AC29459" s="247"/>
      <c r="AT29459" s="247"/>
    </row>
    <row r="29460">
      <c r="C29460" s="277"/>
      <c r="M29460" s="277"/>
      <c r="O29460" s="247"/>
      <c r="AC29460" s="247"/>
      <c r="AT29460" s="247"/>
    </row>
    <row r="29461">
      <c r="C29461" s="277"/>
      <c r="M29461" s="277"/>
      <c r="O29461" s="247"/>
      <c r="AC29461" s="247"/>
      <c r="AT29461" s="247"/>
    </row>
    <row r="29462">
      <c r="C29462" s="277"/>
      <c r="M29462" s="277"/>
      <c r="O29462" s="247"/>
      <c r="AC29462" s="247"/>
      <c r="AT29462" s="247"/>
    </row>
    <row r="29463">
      <c r="C29463" s="277"/>
      <c r="M29463" s="277"/>
      <c r="O29463" s="247"/>
      <c r="AC29463" s="247"/>
      <c r="AT29463" s="247"/>
    </row>
    <row r="29464">
      <c r="C29464" s="277"/>
      <c r="M29464" s="277"/>
      <c r="O29464" s="247"/>
      <c r="AC29464" s="247"/>
      <c r="AT29464" s="247"/>
    </row>
    <row r="29465">
      <c r="C29465" s="277"/>
      <c r="M29465" s="277"/>
      <c r="O29465" s="247"/>
      <c r="AC29465" s="247"/>
      <c r="AT29465" s="247"/>
    </row>
    <row r="29466">
      <c r="C29466" s="277"/>
      <c r="M29466" s="277"/>
      <c r="O29466" s="247"/>
      <c r="AC29466" s="247"/>
      <c r="AT29466" s="247"/>
    </row>
    <row r="29467">
      <c r="C29467" s="277"/>
      <c r="M29467" s="277"/>
      <c r="O29467" s="247"/>
      <c r="AC29467" s="247"/>
      <c r="AT29467" s="247"/>
    </row>
    <row r="29468">
      <c r="C29468" s="277"/>
      <c r="M29468" s="277"/>
      <c r="O29468" s="247"/>
      <c r="AC29468" s="247"/>
      <c r="AT29468" s="247"/>
    </row>
    <row r="29469">
      <c r="C29469" s="277"/>
      <c r="M29469" s="277"/>
      <c r="O29469" s="247"/>
      <c r="AC29469" s="247"/>
      <c r="AT29469" s="247"/>
    </row>
    <row r="29470">
      <c r="C29470" s="277"/>
      <c r="M29470" s="277"/>
      <c r="O29470" s="247"/>
      <c r="AC29470" s="247"/>
      <c r="AT29470" s="247"/>
    </row>
    <row r="29471">
      <c r="C29471" s="277"/>
      <c r="M29471" s="277"/>
      <c r="O29471" s="247"/>
      <c r="AC29471" s="247"/>
      <c r="AT29471" s="247"/>
    </row>
    <row r="29472">
      <c r="C29472" s="277"/>
      <c r="M29472" s="277"/>
      <c r="O29472" s="247"/>
      <c r="AC29472" s="247"/>
      <c r="AT29472" s="247"/>
    </row>
    <row r="29473">
      <c r="C29473" s="277"/>
      <c r="M29473" s="277"/>
      <c r="O29473" s="247"/>
      <c r="AC29473" s="247"/>
      <c r="AT29473" s="247"/>
    </row>
    <row r="29474">
      <c r="C29474" s="277"/>
      <c r="M29474" s="277"/>
      <c r="O29474" s="247"/>
      <c r="AC29474" s="247"/>
      <c r="AT29474" s="247"/>
    </row>
    <row r="29475">
      <c r="C29475" s="277"/>
      <c r="M29475" s="277"/>
      <c r="O29475" s="247"/>
      <c r="AC29475" s="247"/>
      <c r="AT29475" s="247"/>
    </row>
    <row r="29476">
      <c r="C29476" s="277"/>
      <c r="M29476" s="277"/>
      <c r="O29476" s="247"/>
      <c r="AC29476" s="247"/>
      <c r="AT29476" s="247"/>
    </row>
    <row r="29477">
      <c r="C29477" s="277"/>
      <c r="M29477" s="277"/>
      <c r="O29477" s="247"/>
      <c r="AC29477" s="247"/>
      <c r="AT29477" s="247"/>
    </row>
    <row r="29478">
      <c r="C29478" s="277"/>
      <c r="M29478" s="277"/>
      <c r="O29478" s="247"/>
      <c r="AC29478" s="247"/>
      <c r="AT29478" s="247"/>
    </row>
    <row r="29479">
      <c r="C29479" s="277"/>
      <c r="M29479" s="277"/>
      <c r="O29479" s="247"/>
      <c r="AC29479" s="247"/>
      <c r="AT29479" s="247"/>
    </row>
    <row r="29480">
      <c r="C29480" s="277"/>
      <c r="M29480" s="277"/>
      <c r="O29480" s="247"/>
      <c r="AC29480" s="247"/>
      <c r="AT29480" s="247"/>
    </row>
    <row r="29481">
      <c r="C29481" s="277"/>
      <c r="M29481" s="277"/>
      <c r="O29481" s="247"/>
      <c r="AC29481" s="247"/>
      <c r="AT29481" s="247"/>
    </row>
    <row r="29482">
      <c r="C29482" s="277"/>
      <c r="M29482" s="277"/>
      <c r="O29482" s="247"/>
      <c r="AC29482" s="247"/>
      <c r="AT29482" s="247"/>
    </row>
    <row r="29483">
      <c r="C29483" s="277"/>
      <c r="M29483" s="277"/>
      <c r="O29483" s="247"/>
      <c r="AC29483" s="247"/>
      <c r="AT29483" s="247"/>
    </row>
    <row r="29484">
      <c r="C29484" s="277"/>
      <c r="M29484" s="277"/>
      <c r="O29484" s="247"/>
      <c r="AC29484" s="247"/>
      <c r="AT29484" s="247"/>
    </row>
    <row r="29485">
      <c r="C29485" s="277"/>
      <c r="M29485" s="277"/>
      <c r="O29485" s="247"/>
      <c r="AC29485" s="247"/>
      <c r="AT29485" s="247"/>
    </row>
    <row r="29486">
      <c r="C29486" s="277"/>
      <c r="M29486" s="277"/>
      <c r="O29486" s="247"/>
      <c r="AC29486" s="247"/>
      <c r="AT29486" s="247"/>
    </row>
    <row r="29487">
      <c r="C29487" s="277"/>
      <c r="M29487" s="277"/>
      <c r="O29487" s="247"/>
      <c r="AC29487" s="247"/>
      <c r="AT29487" s="247"/>
    </row>
    <row r="29488">
      <c r="C29488" s="277"/>
      <c r="M29488" s="277"/>
      <c r="O29488" s="247"/>
      <c r="AC29488" s="247"/>
      <c r="AT29488" s="247"/>
    </row>
    <row r="29489">
      <c r="C29489" s="277"/>
      <c r="M29489" s="277"/>
      <c r="O29489" s="247"/>
      <c r="AC29489" s="247"/>
      <c r="AT29489" s="247"/>
    </row>
    <row r="29490">
      <c r="C29490" s="277"/>
      <c r="M29490" s="277"/>
      <c r="O29490" s="247"/>
      <c r="AC29490" s="247"/>
      <c r="AT29490" s="247"/>
    </row>
    <row r="29491">
      <c r="C29491" s="277"/>
      <c r="M29491" s="277"/>
      <c r="O29491" s="247"/>
      <c r="AC29491" s="247"/>
      <c r="AT29491" s="247"/>
    </row>
    <row r="29492">
      <c r="C29492" s="277"/>
      <c r="M29492" s="277"/>
      <c r="O29492" s="247"/>
      <c r="AC29492" s="247"/>
      <c r="AT29492" s="247"/>
    </row>
    <row r="29493">
      <c r="C29493" s="277"/>
      <c r="M29493" s="277"/>
      <c r="O29493" s="247"/>
      <c r="AC29493" s="247"/>
      <c r="AT29493" s="247"/>
    </row>
    <row r="29494">
      <c r="C29494" s="277"/>
      <c r="M29494" s="277"/>
      <c r="O29494" s="247"/>
      <c r="AC29494" s="247"/>
      <c r="AT29494" s="247"/>
    </row>
    <row r="29495">
      <c r="C29495" s="277"/>
      <c r="M29495" s="277"/>
      <c r="O29495" s="247"/>
      <c r="AC29495" s="247"/>
      <c r="AT29495" s="247"/>
    </row>
    <row r="29496">
      <c r="C29496" s="277"/>
      <c r="M29496" s="277"/>
      <c r="O29496" s="247"/>
      <c r="AC29496" s="247"/>
      <c r="AT29496" s="247"/>
    </row>
    <row r="29497">
      <c r="C29497" s="277"/>
      <c r="M29497" s="277"/>
      <c r="O29497" s="247"/>
      <c r="AC29497" s="247"/>
      <c r="AT29497" s="247"/>
    </row>
    <row r="29498">
      <c r="C29498" s="277"/>
      <c r="M29498" s="277"/>
      <c r="O29498" s="247"/>
      <c r="AC29498" s="247"/>
      <c r="AT29498" s="247"/>
    </row>
    <row r="29499">
      <c r="C29499" s="277"/>
      <c r="M29499" s="277"/>
      <c r="O29499" s="247"/>
      <c r="AC29499" s="247"/>
      <c r="AT29499" s="247"/>
    </row>
    <row r="29500">
      <c r="C29500" s="277"/>
      <c r="M29500" s="277"/>
      <c r="O29500" s="247"/>
      <c r="AC29500" s="247"/>
      <c r="AT29500" s="247"/>
    </row>
    <row r="29501">
      <c r="C29501" s="277"/>
      <c r="M29501" s="277"/>
      <c r="O29501" s="247"/>
      <c r="AC29501" s="247"/>
      <c r="AT29501" s="247"/>
    </row>
    <row r="29502">
      <c r="C29502" s="277"/>
      <c r="M29502" s="277"/>
      <c r="O29502" s="247"/>
      <c r="AC29502" s="247"/>
      <c r="AT29502" s="247"/>
    </row>
    <row r="29503">
      <c r="C29503" s="277"/>
      <c r="M29503" s="277"/>
      <c r="O29503" s="247"/>
      <c r="AC29503" s="247"/>
      <c r="AT29503" s="247"/>
    </row>
    <row r="29504">
      <c r="C29504" s="277"/>
      <c r="M29504" s="277"/>
      <c r="O29504" s="247"/>
      <c r="AC29504" s="247"/>
      <c r="AT29504" s="247"/>
    </row>
    <row r="29505">
      <c r="C29505" s="277"/>
      <c r="M29505" s="277"/>
      <c r="O29505" s="247"/>
      <c r="AC29505" s="247"/>
      <c r="AT29505" s="247"/>
    </row>
    <row r="29506">
      <c r="C29506" s="277"/>
      <c r="M29506" s="277"/>
      <c r="O29506" s="247"/>
      <c r="AC29506" s="247"/>
      <c r="AT29506" s="247"/>
    </row>
    <row r="29507">
      <c r="C29507" s="277"/>
      <c r="M29507" s="277"/>
      <c r="O29507" s="247"/>
      <c r="AC29507" s="247"/>
      <c r="AT29507" s="247"/>
    </row>
    <row r="29508">
      <c r="C29508" s="277"/>
      <c r="M29508" s="277"/>
      <c r="O29508" s="247"/>
      <c r="AC29508" s="247"/>
      <c r="AT29508" s="247"/>
    </row>
    <row r="29509">
      <c r="C29509" s="277"/>
      <c r="M29509" s="277"/>
      <c r="O29509" s="247"/>
      <c r="AC29509" s="247"/>
      <c r="AT29509" s="247"/>
    </row>
    <row r="29510">
      <c r="C29510" s="277"/>
      <c r="M29510" s="277"/>
      <c r="O29510" s="247"/>
      <c r="AC29510" s="247"/>
      <c r="AT29510" s="247"/>
    </row>
    <row r="29511">
      <c r="C29511" s="277"/>
      <c r="M29511" s="277"/>
      <c r="O29511" s="247"/>
      <c r="AC29511" s="247"/>
      <c r="AT29511" s="247"/>
    </row>
    <row r="29512">
      <c r="C29512" s="277"/>
      <c r="M29512" s="277"/>
      <c r="O29512" s="247"/>
      <c r="AC29512" s="247"/>
      <c r="AT29512" s="247"/>
    </row>
    <row r="29513">
      <c r="C29513" s="277"/>
      <c r="M29513" s="277"/>
      <c r="O29513" s="247"/>
      <c r="AC29513" s="247"/>
      <c r="AT29513" s="247"/>
    </row>
    <row r="29514">
      <c r="C29514" s="277"/>
      <c r="M29514" s="277"/>
      <c r="O29514" s="247"/>
      <c r="AC29514" s="247"/>
      <c r="AT29514" s="247"/>
    </row>
    <row r="29515">
      <c r="C29515" s="277"/>
      <c r="M29515" s="277"/>
      <c r="O29515" s="247"/>
      <c r="AC29515" s="247"/>
      <c r="AT29515" s="247"/>
    </row>
    <row r="29516">
      <c r="C29516" s="277"/>
      <c r="M29516" s="277"/>
      <c r="O29516" s="247"/>
      <c r="AC29516" s="247"/>
      <c r="AT29516" s="247"/>
    </row>
    <row r="29517">
      <c r="C29517" s="277"/>
      <c r="M29517" s="277"/>
      <c r="O29517" s="247"/>
      <c r="AC29517" s="247"/>
      <c r="AT29517" s="247"/>
    </row>
    <row r="29518">
      <c r="C29518" s="277"/>
      <c r="M29518" s="277"/>
      <c r="O29518" s="247"/>
      <c r="AC29518" s="247"/>
      <c r="AT29518" s="247"/>
    </row>
    <row r="29519">
      <c r="C29519" s="277"/>
      <c r="M29519" s="277"/>
      <c r="O29519" s="247"/>
      <c r="AC29519" s="247"/>
      <c r="AT29519" s="247"/>
    </row>
    <row r="29520">
      <c r="C29520" s="277"/>
      <c r="M29520" s="277"/>
      <c r="O29520" s="247"/>
      <c r="AC29520" s="247"/>
      <c r="AT29520" s="247"/>
    </row>
    <row r="29521">
      <c r="C29521" s="277"/>
      <c r="M29521" s="277"/>
      <c r="O29521" s="247"/>
      <c r="AC29521" s="247"/>
      <c r="AT29521" s="247"/>
    </row>
    <row r="29522">
      <c r="C29522" s="277"/>
      <c r="M29522" s="277"/>
      <c r="O29522" s="247"/>
      <c r="AC29522" s="247"/>
      <c r="AT29522" s="247"/>
    </row>
    <row r="29523">
      <c r="C29523" s="277"/>
      <c r="M29523" s="277"/>
      <c r="O29523" s="247"/>
      <c r="AC29523" s="247"/>
      <c r="AT29523" s="247"/>
    </row>
    <row r="29524">
      <c r="C29524" s="277"/>
      <c r="M29524" s="277"/>
      <c r="O29524" s="247"/>
      <c r="AC29524" s="247"/>
      <c r="AT29524" s="247"/>
    </row>
    <row r="29525">
      <c r="C29525" s="277"/>
      <c r="M29525" s="277"/>
      <c r="O29525" s="247"/>
      <c r="AC29525" s="247"/>
      <c r="AT29525" s="247"/>
    </row>
    <row r="29526">
      <c r="C29526" s="277"/>
      <c r="M29526" s="277"/>
      <c r="O29526" s="247"/>
      <c r="AC29526" s="247"/>
      <c r="AT29526" s="247"/>
    </row>
    <row r="29527">
      <c r="C29527" s="277"/>
      <c r="M29527" s="277"/>
      <c r="O29527" s="247"/>
      <c r="AC29527" s="247"/>
      <c r="AT29527" s="247"/>
    </row>
    <row r="29528">
      <c r="C29528" s="277"/>
      <c r="M29528" s="277"/>
      <c r="O29528" s="247"/>
      <c r="AC29528" s="247"/>
      <c r="AT29528" s="247"/>
    </row>
    <row r="29529">
      <c r="C29529" s="277"/>
      <c r="M29529" s="277"/>
      <c r="O29529" s="247"/>
      <c r="AC29529" s="247"/>
      <c r="AT29529" s="247"/>
    </row>
    <row r="29530">
      <c r="C29530" s="277"/>
      <c r="M29530" s="277"/>
      <c r="O29530" s="247"/>
      <c r="AC29530" s="247"/>
      <c r="AT29530" s="247"/>
    </row>
    <row r="29531">
      <c r="C29531" s="277"/>
      <c r="M29531" s="277"/>
      <c r="O29531" s="247"/>
      <c r="AC29531" s="247"/>
      <c r="AT29531" s="247"/>
    </row>
    <row r="29532">
      <c r="C29532" s="277"/>
      <c r="M29532" s="277"/>
      <c r="O29532" s="247"/>
      <c r="AC29532" s="247"/>
      <c r="AT29532" s="247"/>
    </row>
    <row r="29533">
      <c r="C29533" s="277"/>
      <c r="M29533" s="277"/>
      <c r="O29533" s="247"/>
      <c r="AC29533" s="247"/>
      <c r="AT29533" s="247"/>
    </row>
    <row r="29534">
      <c r="C29534" s="277"/>
      <c r="M29534" s="277"/>
      <c r="O29534" s="247"/>
      <c r="AC29534" s="247"/>
      <c r="AT29534" s="247"/>
    </row>
    <row r="29535">
      <c r="C29535" s="277"/>
      <c r="M29535" s="277"/>
      <c r="O29535" s="247"/>
      <c r="AC29535" s="247"/>
      <c r="AT29535" s="247"/>
    </row>
    <row r="29536">
      <c r="C29536" s="277"/>
      <c r="M29536" s="277"/>
      <c r="O29536" s="247"/>
      <c r="AC29536" s="247"/>
      <c r="AT29536" s="247"/>
    </row>
    <row r="29537">
      <c r="C29537" s="277"/>
      <c r="M29537" s="277"/>
      <c r="O29537" s="247"/>
      <c r="AC29537" s="247"/>
      <c r="AT29537" s="247"/>
    </row>
    <row r="29538">
      <c r="C29538" s="277"/>
      <c r="M29538" s="277"/>
      <c r="O29538" s="247"/>
      <c r="AC29538" s="247"/>
      <c r="AT29538" s="247"/>
    </row>
    <row r="29539">
      <c r="C29539" s="277"/>
      <c r="M29539" s="277"/>
      <c r="O29539" s="247"/>
      <c r="AC29539" s="247"/>
      <c r="AT29539" s="247"/>
    </row>
    <row r="29540">
      <c r="C29540" s="277"/>
      <c r="M29540" s="277"/>
      <c r="O29540" s="247"/>
      <c r="AC29540" s="247"/>
      <c r="AT29540" s="247"/>
    </row>
    <row r="29541">
      <c r="C29541" s="277"/>
      <c r="M29541" s="277"/>
      <c r="O29541" s="247"/>
      <c r="AC29541" s="247"/>
      <c r="AT29541" s="247"/>
    </row>
    <row r="29542">
      <c r="C29542" s="277"/>
      <c r="M29542" s="277"/>
      <c r="O29542" s="247"/>
      <c r="AC29542" s="247"/>
      <c r="AT29542" s="247"/>
    </row>
    <row r="29543">
      <c r="C29543" s="277"/>
      <c r="M29543" s="277"/>
      <c r="O29543" s="247"/>
      <c r="AC29543" s="247"/>
      <c r="AT29543" s="247"/>
    </row>
    <row r="29544">
      <c r="C29544" s="277"/>
      <c r="M29544" s="277"/>
      <c r="O29544" s="247"/>
      <c r="AC29544" s="247"/>
      <c r="AT29544" s="247"/>
    </row>
    <row r="29545">
      <c r="C29545" s="277"/>
      <c r="M29545" s="277"/>
      <c r="O29545" s="247"/>
      <c r="AC29545" s="247"/>
      <c r="AT29545" s="247"/>
    </row>
    <row r="29546">
      <c r="C29546" s="277"/>
      <c r="M29546" s="277"/>
      <c r="O29546" s="247"/>
      <c r="AC29546" s="247"/>
      <c r="AT29546" s="247"/>
    </row>
    <row r="29547">
      <c r="C29547" s="277"/>
      <c r="M29547" s="277"/>
      <c r="O29547" s="247"/>
      <c r="AC29547" s="247"/>
      <c r="AT29547" s="247"/>
    </row>
    <row r="29548">
      <c r="C29548" s="277"/>
      <c r="M29548" s="277"/>
      <c r="O29548" s="247"/>
      <c r="AC29548" s="247"/>
      <c r="AT29548" s="247"/>
    </row>
    <row r="29549">
      <c r="C29549" s="277"/>
      <c r="M29549" s="277"/>
      <c r="O29549" s="247"/>
      <c r="AC29549" s="247"/>
      <c r="AT29549" s="247"/>
    </row>
    <row r="29550">
      <c r="C29550" s="277"/>
      <c r="M29550" s="277"/>
      <c r="O29550" s="247"/>
      <c r="AC29550" s="247"/>
      <c r="AT29550" s="247"/>
    </row>
    <row r="29551">
      <c r="C29551" s="277"/>
      <c r="M29551" s="277"/>
      <c r="O29551" s="247"/>
      <c r="AC29551" s="247"/>
      <c r="AT29551" s="247"/>
    </row>
    <row r="29552">
      <c r="C29552" s="277"/>
      <c r="M29552" s="277"/>
      <c r="O29552" s="247"/>
      <c r="AC29552" s="247"/>
      <c r="AT29552" s="247"/>
    </row>
    <row r="29553">
      <c r="C29553" s="277"/>
      <c r="M29553" s="277"/>
      <c r="O29553" s="247"/>
      <c r="AC29553" s="247"/>
      <c r="AT29553" s="247"/>
    </row>
    <row r="29554">
      <c r="C29554" s="277"/>
      <c r="M29554" s="277"/>
      <c r="O29554" s="247"/>
      <c r="AC29554" s="247"/>
      <c r="AT29554" s="247"/>
    </row>
    <row r="29555">
      <c r="C29555" s="277"/>
      <c r="M29555" s="277"/>
      <c r="O29555" s="247"/>
      <c r="AC29555" s="247"/>
      <c r="AT29555" s="247"/>
    </row>
    <row r="29556">
      <c r="C29556" s="277"/>
      <c r="M29556" s="277"/>
      <c r="O29556" s="247"/>
      <c r="AC29556" s="247"/>
      <c r="AT29556" s="247"/>
    </row>
    <row r="29557">
      <c r="C29557" s="277"/>
      <c r="M29557" s="277"/>
      <c r="O29557" s="247"/>
      <c r="AC29557" s="247"/>
      <c r="AT29557" s="247"/>
    </row>
    <row r="29558">
      <c r="C29558" s="277"/>
      <c r="M29558" s="277"/>
      <c r="O29558" s="247"/>
      <c r="AC29558" s="247"/>
      <c r="AT29558" s="247"/>
    </row>
    <row r="29559">
      <c r="C29559" s="277"/>
      <c r="M29559" s="277"/>
      <c r="O29559" s="247"/>
      <c r="AC29559" s="247"/>
      <c r="AT29559" s="247"/>
    </row>
    <row r="29560">
      <c r="C29560" s="277"/>
      <c r="M29560" s="277"/>
      <c r="O29560" s="247"/>
      <c r="AC29560" s="247"/>
      <c r="AT29560" s="247"/>
    </row>
    <row r="29561">
      <c r="C29561" s="277"/>
      <c r="M29561" s="277"/>
      <c r="O29561" s="247"/>
      <c r="AC29561" s="247"/>
      <c r="AT29561" s="247"/>
    </row>
    <row r="29562">
      <c r="C29562" s="277"/>
      <c r="M29562" s="277"/>
      <c r="O29562" s="247"/>
      <c r="AC29562" s="247"/>
      <c r="AT29562" s="247"/>
    </row>
    <row r="29563">
      <c r="C29563" s="277"/>
      <c r="M29563" s="277"/>
      <c r="O29563" s="247"/>
      <c r="AC29563" s="247"/>
      <c r="AT29563" s="247"/>
    </row>
    <row r="29564">
      <c r="C29564" s="277"/>
      <c r="M29564" s="277"/>
      <c r="O29564" s="247"/>
      <c r="AC29564" s="247"/>
      <c r="AT29564" s="247"/>
    </row>
    <row r="29565">
      <c r="C29565" s="277"/>
      <c r="M29565" s="277"/>
      <c r="O29565" s="247"/>
      <c r="AC29565" s="247"/>
      <c r="AT29565" s="247"/>
    </row>
    <row r="29566">
      <c r="C29566" s="277"/>
      <c r="M29566" s="277"/>
      <c r="O29566" s="247"/>
      <c r="AC29566" s="247"/>
      <c r="AT29566" s="247"/>
    </row>
    <row r="29567">
      <c r="C29567" s="277"/>
      <c r="M29567" s="277"/>
      <c r="O29567" s="247"/>
      <c r="AC29567" s="247"/>
      <c r="AT29567" s="247"/>
    </row>
    <row r="29568">
      <c r="C29568" s="277"/>
      <c r="M29568" s="277"/>
      <c r="O29568" s="247"/>
      <c r="AC29568" s="247"/>
      <c r="AT29568" s="247"/>
    </row>
    <row r="29569">
      <c r="C29569" s="277"/>
      <c r="M29569" s="277"/>
      <c r="O29569" s="247"/>
      <c r="AC29569" s="247"/>
      <c r="AT29569" s="247"/>
    </row>
    <row r="29570">
      <c r="C29570" s="277"/>
      <c r="M29570" s="277"/>
      <c r="O29570" s="247"/>
      <c r="AC29570" s="247"/>
      <c r="AT29570" s="247"/>
    </row>
    <row r="29571">
      <c r="C29571" s="277"/>
      <c r="M29571" s="277"/>
      <c r="O29571" s="247"/>
      <c r="AC29571" s="247"/>
      <c r="AT29571" s="247"/>
    </row>
    <row r="29572">
      <c r="C29572" s="277"/>
      <c r="M29572" s="277"/>
      <c r="O29572" s="247"/>
      <c r="AC29572" s="247"/>
      <c r="AT29572" s="247"/>
    </row>
    <row r="29573">
      <c r="C29573" s="277"/>
      <c r="M29573" s="277"/>
      <c r="O29573" s="247"/>
      <c r="AC29573" s="247"/>
      <c r="AT29573" s="247"/>
    </row>
    <row r="29574">
      <c r="C29574" s="277"/>
      <c r="M29574" s="277"/>
      <c r="O29574" s="247"/>
      <c r="AC29574" s="247"/>
      <c r="AT29574" s="247"/>
    </row>
    <row r="29575">
      <c r="C29575" s="277"/>
      <c r="M29575" s="277"/>
      <c r="O29575" s="247"/>
      <c r="AC29575" s="247"/>
      <c r="AT29575" s="247"/>
    </row>
    <row r="29576">
      <c r="C29576" s="277"/>
      <c r="M29576" s="277"/>
      <c r="O29576" s="247"/>
      <c r="AC29576" s="247"/>
      <c r="AT29576" s="247"/>
    </row>
    <row r="29577">
      <c r="C29577" s="277"/>
      <c r="M29577" s="277"/>
      <c r="O29577" s="247"/>
      <c r="AC29577" s="247"/>
      <c r="AT29577" s="247"/>
    </row>
    <row r="29578">
      <c r="C29578" s="277"/>
      <c r="M29578" s="277"/>
      <c r="O29578" s="247"/>
      <c r="AC29578" s="247"/>
      <c r="AT29578" s="247"/>
    </row>
    <row r="29579">
      <c r="C29579" s="277"/>
      <c r="M29579" s="277"/>
      <c r="O29579" s="247"/>
      <c r="AC29579" s="247"/>
      <c r="AT29579" s="247"/>
    </row>
    <row r="29580">
      <c r="C29580" s="277"/>
      <c r="M29580" s="277"/>
      <c r="O29580" s="247"/>
      <c r="AC29580" s="247"/>
      <c r="AT29580" s="247"/>
    </row>
    <row r="29581">
      <c r="C29581" s="277"/>
      <c r="M29581" s="277"/>
      <c r="O29581" s="247"/>
      <c r="AC29581" s="247"/>
      <c r="AT29581" s="247"/>
    </row>
    <row r="29582">
      <c r="C29582" s="277"/>
      <c r="M29582" s="277"/>
      <c r="O29582" s="247"/>
      <c r="AC29582" s="247"/>
      <c r="AT29582" s="247"/>
    </row>
    <row r="29583">
      <c r="C29583" s="277"/>
      <c r="M29583" s="277"/>
      <c r="O29583" s="247"/>
      <c r="AC29583" s="247"/>
      <c r="AT29583" s="247"/>
    </row>
    <row r="29584">
      <c r="C29584" s="277"/>
      <c r="M29584" s="277"/>
      <c r="O29584" s="247"/>
      <c r="AC29584" s="247"/>
      <c r="AT29584" s="247"/>
    </row>
    <row r="29585">
      <c r="C29585" s="277"/>
      <c r="M29585" s="277"/>
      <c r="O29585" s="247"/>
      <c r="AC29585" s="247"/>
      <c r="AT29585" s="247"/>
    </row>
    <row r="29586">
      <c r="C29586" s="277"/>
      <c r="M29586" s="277"/>
      <c r="O29586" s="247"/>
      <c r="AC29586" s="247"/>
      <c r="AT29586" s="247"/>
    </row>
    <row r="29587">
      <c r="C29587" s="277"/>
      <c r="M29587" s="277"/>
      <c r="O29587" s="247"/>
      <c r="AC29587" s="247"/>
      <c r="AT29587" s="247"/>
    </row>
    <row r="29588">
      <c r="C29588" s="277"/>
      <c r="M29588" s="277"/>
      <c r="O29588" s="247"/>
      <c r="AC29588" s="247"/>
      <c r="AT29588" s="247"/>
    </row>
    <row r="29589">
      <c r="C29589" s="277"/>
      <c r="M29589" s="277"/>
      <c r="O29589" s="247"/>
      <c r="AC29589" s="247"/>
      <c r="AT29589" s="247"/>
    </row>
    <row r="29590">
      <c r="C29590" s="277"/>
      <c r="M29590" s="277"/>
      <c r="O29590" s="247"/>
      <c r="AC29590" s="247"/>
      <c r="AT29590" s="247"/>
    </row>
    <row r="29591">
      <c r="C29591" s="277"/>
      <c r="M29591" s="277"/>
      <c r="O29591" s="247"/>
      <c r="AC29591" s="247"/>
      <c r="AT29591" s="247"/>
    </row>
    <row r="29592">
      <c r="C29592" s="277"/>
      <c r="M29592" s="277"/>
      <c r="O29592" s="247"/>
      <c r="AC29592" s="247"/>
      <c r="AT29592" s="247"/>
    </row>
    <row r="29593">
      <c r="C29593" s="277"/>
      <c r="M29593" s="277"/>
      <c r="O29593" s="247"/>
      <c r="AC29593" s="247"/>
      <c r="AT29593" s="247"/>
    </row>
    <row r="29594">
      <c r="C29594" s="277"/>
      <c r="M29594" s="277"/>
      <c r="O29594" s="247"/>
      <c r="AC29594" s="247"/>
      <c r="AT29594" s="247"/>
    </row>
    <row r="29595">
      <c r="C29595" s="277"/>
      <c r="M29595" s="277"/>
      <c r="O29595" s="247"/>
      <c r="AC29595" s="247"/>
      <c r="AT29595" s="247"/>
    </row>
    <row r="29596">
      <c r="C29596" s="277"/>
      <c r="M29596" s="277"/>
      <c r="O29596" s="247"/>
      <c r="AC29596" s="247"/>
      <c r="AT29596" s="247"/>
    </row>
    <row r="29597">
      <c r="C29597" s="277"/>
      <c r="M29597" s="277"/>
      <c r="O29597" s="247"/>
      <c r="AC29597" s="247"/>
      <c r="AT29597" s="247"/>
    </row>
    <row r="29598">
      <c r="C29598" s="277"/>
      <c r="M29598" s="277"/>
      <c r="O29598" s="247"/>
      <c r="AC29598" s="247"/>
      <c r="AT29598" s="247"/>
    </row>
    <row r="29599">
      <c r="C29599" s="277"/>
      <c r="M29599" s="277"/>
      <c r="O29599" s="247"/>
      <c r="AC29599" s="247"/>
      <c r="AT29599" s="247"/>
    </row>
    <row r="29600">
      <c r="C29600" s="277"/>
      <c r="M29600" s="277"/>
      <c r="O29600" s="247"/>
      <c r="AC29600" s="247"/>
      <c r="AT29600" s="247"/>
    </row>
    <row r="29601">
      <c r="C29601" s="277"/>
      <c r="M29601" s="277"/>
      <c r="O29601" s="247"/>
      <c r="AC29601" s="247"/>
      <c r="AT29601" s="247"/>
    </row>
    <row r="29602">
      <c r="C29602" s="277"/>
      <c r="M29602" s="277"/>
      <c r="O29602" s="247"/>
      <c r="AC29602" s="247"/>
      <c r="AT29602" s="247"/>
    </row>
    <row r="29603">
      <c r="C29603" s="277"/>
      <c r="M29603" s="277"/>
      <c r="O29603" s="247"/>
      <c r="AC29603" s="247"/>
      <c r="AT29603" s="247"/>
    </row>
    <row r="29604">
      <c r="C29604" s="277"/>
      <c r="M29604" s="277"/>
      <c r="O29604" s="247"/>
      <c r="AC29604" s="247"/>
      <c r="AT29604" s="247"/>
    </row>
    <row r="29605">
      <c r="C29605" s="277"/>
      <c r="M29605" s="277"/>
      <c r="O29605" s="247"/>
      <c r="AC29605" s="247"/>
      <c r="AT29605" s="247"/>
    </row>
    <row r="29606">
      <c r="C29606" s="277"/>
      <c r="M29606" s="277"/>
      <c r="O29606" s="247"/>
      <c r="AC29606" s="247"/>
      <c r="AT29606" s="247"/>
    </row>
    <row r="29607">
      <c r="C29607" s="277"/>
      <c r="M29607" s="277"/>
      <c r="O29607" s="247"/>
      <c r="AC29607" s="247"/>
      <c r="AT29607" s="247"/>
    </row>
    <row r="29608">
      <c r="C29608" s="277"/>
      <c r="M29608" s="277"/>
      <c r="O29608" s="247"/>
      <c r="AC29608" s="247"/>
      <c r="AT29608" s="247"/>
    </row>
    <row r="29609">
      <c r="C29609" s="277"/>
      <c r="M29609" s="277"/>
      <c r="O29609" s="247"/>
      <c r="AC29609" s="247"/>
      <c r="AT29609" s="247"/>
    </row>
    <row r="29610">
      <c r="C29610" s="277"/>
      <c r="M29610" s="277"/>
      <c r="O29610" s="247"/>
      <c r="AC29610" s="247"/>
      <c r="AT29610" s="247"/>
    </row>
    <row r="29611">
      <c r="C29611" s="277"/>
      <c r="M29611" s="277"/>
      <c r="O29611" s="247"/>
      <c r="AC29611" s="247"/>
      <c r="AT29611" s="247"/>
    </row>
    <row r="29612">
      <c r="C29612" s="277"/>
      <c r="M29612" s="277"/>
      <c r="O29612" s="247"/>
      <c r="AC29612" s="247"/>
      <c r="AT29612" s="247"/>
    </row>
    <row r="29613">
      <c r="C29613" s="277"/>
      <c r="M29613" s="277"/>
      <c r="O29613" s="247"/>
      <c r="AC29613" s="247"/>
      <c r="AT29613" s="247"/>
    </row>
    <row r="29614">
      <c r="C29614" s="277"/>
      <c r="M29614" s="277"/>
      <c r="O29614" s="247"/>
      <c r="AC29614" s="247"/>
      <c r="AT29614" s="247"/>
    </row>
    <row r="29615">
      <c r="C29615" s="277"/>
      <c r="M29615" s="277"/>
      <c r="O29615" s="247"/>
      <c r="AC29615" s="247"/>
      <c r="AT29615" s="247"/>
    </row>
    <row r="29616">
      <c r="C29616" s="277"/>
      <c r="M29616" s="277"/>
      <c r="O29616" s="247"/>
      <c r="AC29616" s="247"/>
      <c r="AT29616" s="247"/>
    </row>
    <row r="29617">
      <c r="C29617" s="277"/>
      <c r="M29617" s="277"/>
      <c r="O29617" s="247"/>
      <c r="AC29617" s="247"/>
      <c r="AT29617" s="247"/>
    </row>
    <row r="29618">
      <c r="C29618" s="277"/>
      <c r="M29618" s="277"/>
      <c r="O29618" s="247"/>
      <c r="AC29618" s="247"/>
      <c r="AT29618" s="247"/>
    </row>
    <row r="29619">
      <c r="C29619" s="277"/>
      <c r="M29619" s="277"/>
      <c r="O29619" s="247"/>
      <c r="AC29619" s="247"/>
      <c r="AT29619" s="247"/>
    </row>
    <row r="29620">
      <c r="C29620" s="277"/>
      <c r="M29620" s="277"/>
      <c r="O29620" s="247"/>
      <c r="AC29620" s="247"/>
      <c r="AT29620" s="247"/>
    </row>
    <row r="29621">
      <c r="C29621" s="277"/>
      <c r="M29621" s="277"/>
      <c r="O29621" s="247"/>
      <c r="AC29621" s="247"/>
      <c r="AT29621" s="247"/>
    </row>
    <row r="29622">
      <c r="C29622" s="277"/>
      <c r="M29622" s="277"/>
      <c r="O29622" s="247"/>
      <c r="AC29622" s="247"/>
      <c r="AT29622" s="247"/>
    </row>
    <row r="29623">
      <c r="C29623" s="277"/>
      <c r="M29623" s="277"/>
      <c r="O29623" s="247"/>
      <c r="AC29623" s="247"/>
      <c r="AT29623" s="247"/>
    </row>
    <row r="29624">
      <c r="C29624" s="277"/>
      <c r="M29624" s="277"/>
      <c r="O29624" s="247"/>
      <c r="AC29624" s="247"/>
      <c r="AT29624" s="247"/>
    </row>
    <row r="29625">
      <c r="C29625" s="277"/>
      <c r="M29625" s="277"/>
      <c r="O29625" s="247"/>
      <c r="AC29625" s="247"/>
      <c r="AT29625" s="247"/>
    </row>
    <row r="29626">
      <c r="C29626" s="277"/>
      <c r="M29626" s="277"/>
      <c r="O29626" s="247"/>
      <c r="AC29626" s="247"/>
      <c r="AT29626" s="247"/>
    </row>
    <row r="29627">
      <c r="C29627" s="277"/>
      <c r="M29627" s="277"/>
      <c r="O29627" s="247"/>
      <c r="AC29627" s="247"/>
      <c r="AT29627" s="247"/>
    </row>
    <row r="29628">
      <c r="C29628" s="277"/>
      <c r="M29628" s="277"/>
      <c r="O29628" s="247"/>
      <c r="AC29628" s="247"/>
      <c r="AT29628" s="247"/>
    </row>
    <row r="29629">
      <c r="C29629" s="277"/>
      <c r="M29629" s="277"/>
      <c r="O29629" s="247"/>
      <c r="AC29629" s="247"/>
      <c r="AT29629" s="247"/>
    </row>
    <row r="29630">
      <c r="C29630" s="277"/>
      <c r="M29630" s="277"/>
      <c r="O29630" s="247"/>
      <c r="AC29630" s="247"/>
      <c r="AT29630" s="247"/>
    </row>
    <row r="29631">
      <c r="C29631" s="277"/>
      <c r="M29631" s="277"/>
      <c r="O29631" s="247"/>
      <c r="AC29631" s="247"/>
      <c r="AT29631" s="247"/>
    </row>
    <row r="29632">
      <c r="C29632" s="277"/>
      <c r="M29632" s="277"/>
      <c r="O29632" s="247"/>
      <c r="AC29632" s="247"/>
      <c r="AT29632" s="247"/>
    </row>
    <row r="29633">
      <c r="C29633" s="277"/>
      <c r="M29633" s="277"/>
      <c r="O29633" s="247"/>
      <c r="AC29633" s="247"/>
      <c r="AT29633" s="247"/>
    </row>
    <row r="29634">
      <c r="C29634" s="277"/>
      <c r="M29634" s="277"/>
      <c r="O29634" s="247"/>
      <c r="AC29634" s="247"/>
      <c r="AT29634" s="247"/>
    </row>
    <row r="29635">
      <c r="C29635" s="277"/>
      <c r="M29635" s="277"/>
      <c r="O29635" s="247"/>
      <c r="AC29635" s="247"/>
      <c r="AT29635" s="247"/>
    </row>
    <row r="29636">
      <c r="C29636" s="277"/>
      <c r="M29636" s="277"/>
      <c r="O29636" s="247"/>
      <c r="AC29636" s="247"/>
      <c r="AT29636" s="247"/>
    </row>
    <row r="29637">
      <c r="C29637" s="277"/>
      <c r="M29637" s="277"/>
      <c r="O29637" s="247"/>
      <c r="AC29637" s="247"/>
      <c r="AT29637" s="247"/>
    </row>
    <row r="29638">
      <c r="C29638" s="277"/>
      <c r="M29638" s="277"/>
      <c r="O29638" s="247"/>
      <c r="AC29638" s="247"/>
      <c r="AT29638" s="247"/>
    </row>
    <row r="29639">
      <c r="C29639" s="277"/>
      <c r="M29639" s="277"/>
      <c r="O29639" s="247"/>
      <c r="AC29639" s="247"/>
      <c r="AT29639" s="247"/>
    </row>
    <row r="29640">
      <c r="C29640" s="277"/>
      <c r="M29640" s="277"/>
      <c r="O29640" s="247"/>
      <c r="AC29640" s="247"/>
      <c r="AT29640" s="247"/>
    </row>
    <row r="29641">
      <c r="C29641" s="277"/>
      <c r="M29641" s="277"/>
      <c r="O29641" s="247"/>
      <c r="AC29641" s="247"/>
      <c r="AT29641" s="247"/>
    </row>
    <row r="29642">
      <c r="C29642" s="277"/>
      <c r="M29642" s="277"/>
      <c r="O29642" s="247"/>
      <c r="AC29642" s="247"/>
      <c r="AT29642" s="247"/>
    </row>
    <row r="29643">
      <c r="C29643" s="277"/>
      <c r="M29643" s="277"/>
      <c r="O29643" s="247"/>
      <c r="AC29643" s="247"/>
      <c r="AT29643" s="247"/>
    </row>
    <row r="29644">
      <c r="C29644" s="277"/>
      <c r="M29644" s="277"/>
      <c r="O29644" s="247"/>
      <c r="AC29644" s="247"/>
      <c r="AT29644" s="247"/>
    </row>
    <row r="29645">
      <c r="C29645" s="277"/>
      <c r="M29645" s="277"/>
      <c r="O29645" s="247"/>
      <c r="AC29645" s="247"/>
      <c r="AT29645" s="247"/>
    </row>
    <row r="29646">
      <c r="C29646" s="277"/>
      <c r="M29646" s="277"/>
      <c r="O29646" s="247"/>
      <c r="AC29646" s="247"/>
      <c r="AT29646" s="247"/>
    </row>
    <row r="29647">
      <c r="C29647" s="277"/>
      <c r="M29647" s="277"/>
      <c r="O29647" s="247"/>
      <c r="AC29647" s="247"/>
      <c r="AT29647" s="247"/>
    </row>
    <row r="29648">
      <c r="C29648" s="277"/>
      <c r="M29648" s="277"/>
      <c r="O29648" s="247"/>
      <c r="AC29648" s="247"/>
      <c r="AT29648" s="247"/>
    </row>
    <row r="29649">
      <c r="C29649" s="277"/>
      <c r="M29649" s="277"/>
      <c r="O29649" s="247"/>
      <c r="AC29649" s="247"/>
      <c r="AT29649" s="247"/>
    </row>
    <row r="29650">
      <c r="C29650" s="277"/>
      <c r="M29650" s="277"/>
      <c r="O29650" s="247"/>
      <c r="AC29650" s="247"/>
      <c r="AT29650" s="247"/>
    </row>
    <row r="29651">
      <c r="C29651" s="277"/>
      <c r="M29651" s="277"/>
      <c r="O29651" s="247"/>
      <c r="AC29651" s="247"/>
      <c r="AT29651" s="247"/>
    </row>
    <row r="29652">
      <c r="C29652" s="277"/>
      <c r="M29652" s="277"/>
      <c r="O29652" s="247"/>
      <c r="AC29652" s="247"/>
      <c r="AT29652" s="247"/>
    </row>
    <row r="29653">
      <c r="C29653" s="277"/>
      <c r="M29653" s="277"/>
      <c r="O29653" s="247"/>
      <c r="AC29653" s="247"/>
      <c r="AT29653" s="247"/>
    </row>
    <row r="29654">
      <c r="C29654" s="277"/>
      <c r="M29654" s="277"/>
      <c r="O29654" s="247"/>
      <c r="AC29654" s="247"/>
      <c r="AT29654" s="247"/>
    </row>
    <row r="29655">
      <c r="C29655" s="277"/>
      <c r="M29655" s="277"/>
      <c r="O29655" s="247"/>
      <c r="AC29655" s="247"/>
      <c r="AT29655" s="247"/>
    </row>
    <row r="29656">
      <c r="C29656" s="277"/>
      <c r="M29656" s="277"/>
      <c r="O29656" s="247"/>
      <c r="AC29656" s="247"/>
      <c r="AT29656" s="247"/>
    </row>
    <row r="29657">
      <c r="C29657" s="277"/>
      <c r="M29657" s="277"/>
      <c r="O29657" s="247"/>
      <c r="AC29657" s="247"/>
      <c r="AT29657" s="247"/>
    </row>
    <row r="29658">
      <c r="C29658" s="277"/>
      <c r="M29658" s="277"/>
      <c r="O29658" s="247"/>
      <c r="AC29658" s="247"/>
      <c r="AT29658" s="247"/>
    </row>
    <row r="29659">
      <c r="C29659" s="277"/>
      <c r="M29659" s="277"/>
      <c r="O29659" s="247"/>
      <c r="AC29659" s="247"/>
      <c r="AT29659" s="247"/>
    </row>
    <row r="29660">
      <c r="C29660" s="277"/>
      <c r="M29660" s="277"/>
      <c r="O29660" s="247"/>
      <c r="AC29660" s="247"/>
      <c r="AT29660" s="247"/>
    </row>
    <row r="29661">
      <c r="C29661" s="277"/>
      <c r="M29661" s="277"/>
      <c r="O29661" s="247"/>
      <c r="AC29661" s="247"/>
      <c r="AT29661" s="247"/>
    </row>
    <row r="29662">
      <c r="C29662" s="277"/>
      <c r="M29662" s="277"/>
      <c r="O29662" s="247"/>
      <c r="AC29662" s="247"/>
      <c r="AT29662" s="247"/>
    </row>
    <row r="29663">
      <c r="C29663" s="277"/>
      <c r="M29663" s="277"/>
      <c r="O29663" s="247"/>
      <c r="AC29663" s="247"/>
      <c r="AT29663" s="247"/>
    </row>
    <row r="29664">
      <c r="C29664" s="277"/>
      <c r="M29664" s="277"/>
      <c r="O29664" s="247"/>
      <c r="AC29664" s="247"/>
      <c r="AT29664" s="247"/>
    </row>
    <row r="29665">
      <c r="C29665" s="277"/>
      <c r="M29665" s="277"/>
      <c r="O29665" s="247"/>
      <c r="AC29665" s="247"/>
      <c r="AT29665" s="247"/>
    </row>
    <row r="29666">
      <c r="C29666" s="277"/>
      <c r="M29666" s="277"/>
      <c r="O29666" s="247"/>
      <c r="AC29666" s="247"/>
      <c r="AT29666" s="247"/>
    </row>
    <row r="29667">
      <c r="C29667" s="277"/>
      <c r="M29667" s="277"/>
      <c r="O29667" s="247"/>
      <c r="AC29667" s="247"/>
      <c r="AT29667" s="247"/>
    </row>
    <row r="29668">
      <c r="C29668" s="277"/>
      <c r="M29668" s="277"/>
      <c r="O29668" s="247"/>
      <c r="AC29668" s="247"/>
      <c r="AT29668" s="247"/>
    </row>
    <row r="29669">
      <c r="C29669" s="277"/>
      <c r="M29669" s="277"/>
      <c r="O29669" s="247"/>
      <c r="AC29669" s="247"/>
      <c r="AT29669" s="247"/>
    </row>
    <row r="29670">
      <c r="C29670" s="277"/>
      <c r="M29670" s="277"/>
      <c r="O29670" s="247"/>
      <c r="AC29670" s="247"/>
      <c r="AT29670" s="247"/>
    </row>
    <row r="29671">
      <c r="C29671" s="277"/>
      <c r="M29671" s="277"/>
      <c r="O29671" s="247"/>
      <c r="AC29671" s="247"/>
      <c r="AT29671" s="247"/>
    </row>
    <row r="29672">
      <c r="C29672" s="277"/>
      <c r="M29672" s="277"/>
      <c r="O29672" s="247"/>
      <c r="AC29672" s="247"/>
      <c r="AT29672" s="247"/>
    </row>
    <row r="29673">
      <c r="C29673" s="277"/>
      <c r="M29673" s="277"/>
      <c r="O29673" s="247"/>
      <c r="AC29673" s="247"/>
      <c r="AT29673" s="247"/>
    </row>
    <row r="29674">
      <c r="C29674" s="277"/>
      <c r="M29674" s="277"/>
      <c r="O29674" s="247"/>
      <c r="AC29674" s="247"/>
      <c r="AT29674" s="247"/>
    </row>
    <row r="29675">
      <c r="C29675" s="277"/>
      <c r="M29675" s="277"/>
      <c r="O29675" s="247"/>
      <c r="AC29675" s="247"/>
      <c r="AT29675" s="247"/>
    </row>
    <row r="29676">
      <c r="C29676" s="277"/>
      <c r="M29676" s="277"/>
      <c r="O29676" s="247"/>
      <c r="AC29676" s="247"/>
      <c r="AT29676" s="247"/>
    </row>
    <row r="29677">
      <c r="C29677" s="277"/>
      <c r="M29677" s="277"/>
      <c r="O29677" s="247"/>
      <c r="AC29677" s="247"/>
      <c r="AT29677" s="247"/>
    </row>
    <row r="29678">
      <c r="C29678" s="277"/>
      <c r="M29678" s="277"/>
      <c r="O29678" s="247"/>
      <c r="AC29678" s="247"/>
      <c r="AT29678" s="247"/>
    </row>
    <row r="29679">
      <c r="C29679" s="277"/>
      <c r="M29679" s="277"/>
      <c r="O29679" s="247"/>
      <c r="AC29679" s="247"/>
      <c r="AT29679" s="247"/>
    </row>
    <row r="29680">
      <c r="C29680" s="277"/>
      <c r="M29680" s="277"/>
      <c r="O29680" s="247"/>
      <c r="AC29680" s="247"/>
      <c r="AT29680" s="247"/>
    </row>
    <row r="29681">
      <c r="C29681" s="277"/>
      <c r="M29681" s="277"/>
      <c r="O29681" s="247"/>
      <c r="AC29681" s="247"/>
      <c r="AT29681" s="247"/>
    </row>
    <row r="29682">
      <c r="C29682" s="277"/>
      <c r="M29682" s="277"/>
      <c r="O29682" s="247"/>
      <c r="AC29682" s="247"/>
      <c r="AT29682" s="247"/>
    </row>
    <row r="29683">
      <c r="C29683" s="277"/>
      <c r="M29683" s="277"/>
      <c r="O29683" s="247"/>
      <c r="AC29683" s="247"/>
      <c r="AT29683" s="247"/>
    </row>
    <row r="29684">
      <c r="C29684" s="277"/>
      <c r="M29684" s="277"/>
      <c r="O29684" s="247"/>
      <c r="AC29684" s="247"/>
      <c r="AT29684" s="247"/>
    </row>
    <row r="29685">
      <c r="C29685" s="277"/>
      <c r="M29685" s="277"/>
      <c r="O29685" s="247"/>
      <c r="AC29685" s="247"/>
      <c r="AT29685" s="247"/>
    </row>
    <row r="29686">
      <c r="C29686" s="277"/>
      <c r="M29686" s="277"/>
      <c r="O29686" s="247"/>
      <c r="AC29686" s="247"/>
      <c r="AT29686" s="247"/>
    </row>
    <row r="29687">
      <c r="C29687" s="277"/>
      <c r="M29687" s="277"/>
      <c r="O29687" s="247"/>
      <c r="AC29687" s="247"/>
      <c r="AT29687" s="247"/>
    </row>
    <row r="29688">
      <c r="C29688" s="277"/>
      <c r="M29688" s="277"/>
      <c r="O29688" s="247"/>
      <c r="AC29688" s="247"/>
      <c r="AT29688" s="247"/>
    </row>
    <row r="29689">
      <c r="C29689" s="277"/>
      <c r="M29689" s="277"/>
      <c r="O29689" s="247"/>
      <c r="AC29689" s="247"/>
      <c r="AT29689" s="247"/>
    </row>
    <row r="29690">
      <c r="C29690" s="277"/>
      <c r="M29690" s="277"/>
      <c r="O29690" s="247"/>
      <c r="AC29690" s="247"/>
      <c r="AT29690" s="247"/>
    </row>
    <row r="29691">
      <c r="C29691" s="277"/>
      <c r="M29691" s="277"/>
      <c r="O29691" s="247"/>
      <c r="AC29691" s="247"/>
      <c r="AT29691" s="247"/>
    </row>
    <row r="29692">
      <c r="C29692" s="277"/>
      <c r="M29692" s="277"/>
      <c r="O29692" s="247"/>
      <c r="AC29692" s="247"/>
      <c r="AT29692" s="247"/>
    </row>
    <row r="29693">
      <c r="C29693" s="277"/>
      <c r="M29693" s="277"/>
      <c r="O29693" s="247"/>
      <c r="AC29693" s="247"/>
      <c r="AT29693" s="247"/>
    </row>
    <row r="29694">
      <c r="C29694" s="277"/>
      <c r="M29694" s="277"/>
      <c r="O29694" s="247"/>
      <c r="AC29694" s="247"/>
      <c r="AT29694" s="247"/>
    </row>
    <row r="29695">
      <c r="C29695" s="277"/>
      <c r="M29695" s="277"/>
      <c r="O29695" s="247"/>
      <c r="AC29695" s="247"/>
      <c r="AT29695" s="247"/>
    </row>
    <row r="29696">
      <c r="C29696" s="277"/>
      <c r="M29696" s="277"/>
      <c r="O29696" s="247"/>
      <c r="AC29696" s="247"/>
      <c r="AT29696" s="247"/>
    </row>
    <row r="29697">
      <c r="C29697" s="277"/>
      <c r="M29697" s="277"/>
      <c r="O29697" s="247"/>
      <c r="AC29697" s="247"/>
      <c r="AT29697" s="247"/>
    </row>
    <row r="29698">
      <c r="C29698" s="277"/>
      <c r="M29698" s="277"/>
      <c r="O29698" s="247"/>
      <c r="AC29698" s="247"/>
      <c r="AT29698" s="247"/>
    </row>
    <row r="29699">
      <c r="C29699" s="277"/>
      <c r="M29699" s="277"/>
      <c r="O29699" s="247"/>
      <c r="AC29699" s="247"/>
      <c r="AT29699" s="247"/>
    </row>
    <row r="29700">
      <c r="C29700" s="277"/>
      <c r="M29700" s="277"/>
      <c r="O29700" s="247"/>
      <c r="AC29700" s="247"/>
      <c r="AT29700" s="247"/>
    </row>
    <row r="29701">
      <c r="C29701" s="277"/>
      <c r="M29701" s="277"/>
      <c r="O29701" s="247"/>
      <c r="AC29701" s="247"/>
      <c r="AT29701" s="247"/>
    </row>
    <row r="29702">
      <c r="C29702" s="277"/>
      <c r="M29702" s="277"/>
      <c r="O29702" s="247"/>
      <c r="AC29702" s="247"/>
      <c r="AT29702" s="247"/>
    </row>
    <row r="29703">
      <c r="C29703" s="277"/>
      <c r="M29703" s="277"/>
      <c r="O29703" s="247"/>
      <c r="AC29703" s="247"/>
      <c r="AT29703" s="247"/>
    </row>
    <row r="29704">
      <c r="C29704" s="277"/>
      <c r="M29704" s="277"/>
      <c r="O29704" s="247"/>
      <c r="AC29704" s="247"/>
      <c r="AT29704" s="247"/>
    </row>
    <row r="29705">
      <c r="C29705" s="277"/>
      <c r="M29705" s="277"/>
      <c r="O29705" s="247"/>
      <c r="AC29705" s="247"/>
      <c r="AT29705" s="247"/>
    </row>
    <row r="29706">
      <c r="C29706" s="277"/>
      <c r="M29706" s="277"/>
      <c r="O29706" s="247"/>
      <c r="AC29706" s="247"/>
      <c r="AT29706" s="247"/>
    </row>
    <row r="29707">
      <c r="C29707" s="277"/>
      <c r="M29707" s="277"/>
      <c r="O29707" s="247"/>
      <c r="AC29707" s="247"/>
      <c r="AT29707" s="247"/>
    </row>
    <row r="29708">
      <c r="C29708" s="277"/>
      <c r="M29708" s="277"/>
      <c r="O29708" s="247"/>
      <c r="AC29708" s="247"/>
      <c r="AT29708" s="247"/>
    </row>
    <row r="29709">
      <c r="C29709" s="277"/>
      <c r="M29709" s="277"/>
      <c r="O29709" s="247"/>
      <c r="AC29709" s="247"/>
      <c r="AT29709" s="247"/>
    </row>
    <row r="29710">
      <c r="C29710" s="277"/>
      <c r="M29710" s="277"/>
      <c r="O29710" s="247"/>
      <c r="AC29710" s="247"/>
      <c r="AT29710" s="247"/>
    </row>
    <row r="29711">
      <c r="C29711" s="277"/>
      <c r="M29711" s="277"/>
      <c r="O29711" s="247"/>
      <c r="AC29711" s="247"/>
      <c r="AT29711" s="247"/>
    </row>
    <row r="29712">
      <c r="C29712" s="277"/>
      <c r="M29712" s="277"/>
      <c r="O29712" s="247"/>
      <c r="AC29712" s="247"/>
      <c r="AT29712" s="247"/>
    </row>
    <row r="29713">
      <c r="C29713" s="277"/>
      <c r="M29713" s="277"/>
      <c r="O29713" s="247"/>
      <c r="AC29713" s="247"/>
      <c r="AT29713" s="247"/>
    </row>
    <row r="29714">
      <c r="C29714" s="277"/>
      <c r="M29714" s="277"/>
      <c r="O29714" s="247"/>
      <c r="AC29714" s="247"/>
      <c r="AT29714" s="247"/>
    </row>
    <row r="29715">
      <c r="C29715" s="277"/>
      <c r="M29715" s="277"/>
      <c r="O29715" s="247"/>
      <c r="AC29715" s="247"/>
      <c r="AT29715" s="247"/>
    </row>
    <row r="29716">
      <c r="C29716" s="277"/>
      <c r="M29716" s="277"/>
      <c r="O29716" s="247"/>
      <c r="AC29716" s="247"/>
      <c r="AT29716" s="247"/>
    </row>
    <row r="29717">
      <c r="C29717" s="277"/>
      <c r="M29717" s="277"/>
      <c r="O29717" s="247"/>
      <c r="AC29717" s="247"/>
      <c r="AT29717" s="247"/>
    </row>
    <row r="29718">
      <c r="C29718" s="277"/>
      <c r="M29718" s="277"/>
      <c r="O29718" s="247"/>
      <c r="AC29718" s="247"/>
      <c r="AT29718" s="247"/>
    </row>
    <row r="29719">
      <c r="C29719" s="277"/>
      <c r="M29719" s="277"/>
      <c r="O29719" s="247"/>
      <c r="AC29719" s="247"/>
      <c r="AT29719" s="247"/>
    </row>
    <row r="29720">
      <c r="C29720" s="277"/>
      <c r="M29720" s="277"/>
      <c r="O29720" s="247"/>
      <c r="AC29720" s="247"/>
      <c r="AT29720" s="247"/>
    </row>
    <row r="29721">
      <c r="C29721" s="277"/>
      <c r="M29721" s="277"/>
      <c r="O29721" s="247"/>
      <c r="AC29721" s="247"/>
      <c r="AT29721" s="247"/>
    </row>
    <row r="29722">
      <c r="C29722" s="277"/>
      <c r="M29722" s="277"/>
      <c r="O29722" s="247"/>
      <c r="AC29722" s="247"/>
      <c r="AT29722" s="247"/>
    </row>
    <row r="29723">
      <c r="C29723" s="277"/>
      <c r="M29723" s="277"/>
      <c r="O29723" s="247"/>
      <c r="AC29723" s="247"/>
      <c r="AT29723" s="247"/>
    </row>
    <row r="29724">
      <c r="C29724" s="277"/>
      <c r="M29724" s="277"/>
      <c r="O29724" s="247"/>
      <c r="AC29724" s="247"/>
      <c r="AT29724" s="247"/>
    </row>
    <row r="29725">
      <c r="C29725" s="277"/>
      <c r="M29725" s="277"/>
      <c r="O29725" s="247"/>
      <c r="AC29725" s="247"/>
      <c r="AT29725" s="247"/>
    </row>
    <row r="29726">
      <c r="C29726" s="277"/>
      <c r="M29726" s="277"/>
      <c r="O29726" s="247"/>
      <c r="AC29726" s="247"/>
      <c r="AT29726" s="247"/>
    </row>
    <row r="29727">
      <c r="C29727" s="277"/>
      <c r="M29727" s="277"/>
      <c r="O29727" s="247"/>
      <c r="AC29727" s="247"/>
      <c r="AT29727" s="247"/>
    </row>
    <row r="29728">
      <c r="C29728" s="277"/>
      <c r="M29728" s="277"/>
      <c r="O29728" s="247"/>
      <c r="AC29728" s="247"/>
      <c r="AT29728" s="247"/>
    </row>
    <row r="29729">
      <c r="C29729" s="277"/>
      <c r="M29729" s="277"/>
      <c r="O29729" s="247"/>
      <c r="AC29729" s="247"/>
      <c r="AT29729" s="247"/>
    </row>
    <row r="29730">
      <c r="C29730" s="277"/>
      <c r="M29730" s="277"/>
      <c r="O29730" s="247"/>
      <c r="AC29730" s="247"/>
      <c r="AT29730" s="247"/>
    </row>
    <row r="29731">
      <c r="C29731" s="277"/>
      <c r="M29731" s="277"/>
      <c r="O29731" s="247"/>
      <c r="AC29731" s="247"/>
      <c r="AT29731" s="247"/>
    </row>
    <row r="29732">
      <c r="C29732" s="277"/>
      <c r="M29732" s="277"/>
      <c r="O29732" s="247"/>
      <c r="AC29732" s="247"/>
      <c r="AT29732" s="247"/>
    </row>
    <row r="29733">
      <c r="C29733" s="277"/>
      <c r="M29733" s="277"/>
      <c r="O29733" s="247"/>
      <c r="AC29733" s="247"/>
      <c r="AT29733" s="247"/>
    </row>
    <row r="29734">
      <c r="C29734" s="277"/>
      <c r="M29734" s="277"/>
      <c r="O29734" s="247"/>
      <c r="AC29734" s="247"/>
      <c r="AT29734" s="247"/>
    </row>
    <row r="29735">
      <c r="C29735" s="277"/>
      <c r="M29735" s="277"/>
      <c r="O29735" s="247"/>
      <c r="AC29735" s="247"/>
      <c r="AT29735" s="247"/>
    </row>
    <row r="29736">
      <c r="C29736" s="277"/>
      <c r="M29736" s="277"/>
      <c r="O29736" s="247"/>
      <c r="AC29736" s="247"/>
      <c r="AT29736" s="247"/>
    </row>
    <row r="29737">
      <c r="C29737" s="277"/>
      <c r="M29737" s="277"/>
      <c r="O29737" s="247"/>
      <c r="AC29737" s="247"/>
      <c r="AT29737" s="247"/>
    </row>
    <row r="29738">
      <c r="C29738" s="277"/>
      <c r="M29738" s="277"/>
      <c r="O29738" s="247"/>
      <c r="AC29738" s="247"/>
      <c r="AT29738" s="247"/>
    </row>
    <row r="29739">
      <c r="C29739" s="277"/>
      <c r="M29739" s="277"/>
      <c r="O29739" s="247"/>
      <c r="AC29739" s="247"/>
      <c r="AT29739" s="247"/>
    </row>
    <row r="29740">
      <c r="C29740" s="277"/>
      <c r="M29740" s="277"/>
      <c r="O29740" s="247"/>
      <c r="AC29740" s="247"/>
      <c r="AT29740" s="247"/>
    </row>
    <row r="29741">
      <c r="C29741" s="277"/>
      <c r="M29741" s="277"/>
      <c r="O29741" s="247"/>
      <c r="AC29741" s="247"/>
      <c r="AT29741" s="247"/>
    </row>
    <row r="29742">
      <c r="C29742" s="277"/>
      <c r="M29742" s="277"/>
      <c r="O29742" s="247"/>
      <c r="AC29742" s="247"/>
      <c r="AT29742" s="247"/>
    </row>
    <row r="29743">
      <c r="C29743" s="277"/>
      <c r="M29743" s="277"/>
      <c r="O29743" s="247"/>
      <c r="AC29743" s="247"/>
      <c r="AT29743" s="247"/>
    </row>
    <row r="29744">
      <c r="C29744" s="277"/>
      <c r="M29744" s="277"/>
      <c r="O29744" s="247"/>
      <c r="AC29744" s="247"/>
      <c r="AT29744" s="247"/>
    </row>
    <row r="29745">
      <c r="C29745" s="277"/>
      <c r="M29745" s="277"/>
      <c r="O29745" s="247"/>
      <c r="AC29745" s="247"/>
      <c r="AT29745" s="247"/>
    </row>
    <row r="29746">
      <c r="C29746" s="277"/>
      <c r="M29746" s="277"/>
      <c r="O29746" s="247"/>
      <c r="AC29746" s="247"/>
      <c r="AT29746" s="247"/>
    </row>
    <row r="29747">
      <c r="C29747" s="277"/>
      <c r="M29747" s="277"/>
      <c r="O29747" s="247"/>
      <c r="AC29747" s="247"/>
      <c r="AT29747" s="247"/>
    </row>
    <row r="29748">
      <c r="C29748" s="277"/>
      <c r="M29748" s="277"/>
      <c r="O29748" s="247"/>
      <c r="AC29748" s="247"/>
      <c r="AT29748" s="247"/>
    </row>
    <row r="29749">
      <c r="C29749" s="277"/>
      <c r="M29749" s="277"/>
      <c r="O29749" s="247"/>
      <c r="AC29749" s="247"/>
      <c r="AT29749" s="247"/>
    </row>
    <row r="29750">
      <c r="C29750" s="277"/>
      <c r="M29750" s="277"/>
      <c r="O29750" s="247"/>
      <c r="AC29750" s="247"/>
      <c r="AT29750" s="247"/>
    </row>
    <row r="29751">
      <c r="C29751" s="277"/>
      <c r="M29751" s="277"/>
      <c r="O29751" s="247"/>
      <c r="AC29751" s="247"/>
      <c r="AT29751" s="247"/>
    </row>
    <row r="29752">
      <c r="C29752" s="277"/>
      <c r="M29752" s="277"/>
      <c r="O29752" s="247"/>
      <c r="AC29752" s="247"/>
      <c r="AT29752" s="247"/>
    </row>
    <row r="29753">
      <c r="C29753" s="277"/>
      <c r="M29753" s="277"/>
      <c r="O29753" s="247"/>
      <c r="AC29753" s="247"/>
      <c r="AT29753" s="247"/>
    </row>
    <row r="29754">
      <c r="C29754" s="277"/>
      <c r="M29754" s="277"/>
      <c r="O29754" s="247"/>
      <c r="AC29754" s="247"/>
      <c r="AT29754" s="247"/>
    </row>
    <row r="29755">
      <c r="C29755" s="277"/>
      <c r="M29755" s="277"/>
      <c r="O29755" s="247"/>
      <c r="AC29755" s="247"/>
      <c r="AT29755" s="247"/>
    </row>
    <row r="29756">
      <c r="C29756" s="277"/>
      <c r="M29756" s="277"/>
      <c r="O29756" s="247"/>
      <c r="AC29756" s="247"/>
      <c r="AT29756" s="247"/>
    </row>
    <row r="29757">
      <c r="C29757" s="277"/>
      <c r="M29757" s="277"/>
      <c r="O29757" s="247"/>
      <c r="AC29757" s="247"/>
      <c r="AT29757" s="247"/>
    </row>
    <row r="29758">
      <c r="C29758" s="277"/>
      <c r="M29758" s="277"/>
      <c r="O29758" s="247"/>
      <c r="AC29758" s="247"/>
      <c r="AT29758" s="247"/>
    </row>
    <row r="29759">
      <c r="C29759" s="277"/>
      <c r="M29759" s="277"/>
      <c r="O29759" s="247"/>
      <c r="AC29759" s="247"/>
      <c r="AT29759" s="247"/>
    </row>
    <row r="29760">
      <c r="C29760" s="277"/>
      <c r="M29760" s="277"/>
      <c r="O29760" s="247"/>
      <c r="AC29760" s="247"/>
      <c r="AT29760" s="247"/>
    </row>
    <row r="29761">
      <c r="C29761" s="277"/>
      <c r="M29761" s="277"/>
      <c r="O29761" s="247"/>
      <c r="AC29761" s="247"/>
      <c r="AT29761" s="247"/>
    </row>
    <row r="29762">
      <c r="C29762" s="277"/>
      <c r="M29762" s="277"/>
      <c r="O29762" s="247"/>
      <c r="AC29762" s="247"/>
      <c r="AT29762" s="247"/>
    </row>
    <row r="29763">
      <c r="C29763" s="277"/>
      <c r="M29763" s="277"/>
      <c r="O29763" s="247"/>
      <c r="AC29763" s="247"/>
      <c r="AT29763" s="247"/>
    </row>
    <row r="29764">
      <c r="C29764" s="277"/>
      <c r="M29764" s="277"/>
      <c r="O29764" s="247"/>
      <c r="AC29764" s="247"/>
      <c r="AT29764" s="247"/>
    </row>
    <row r="29765">
      <c r="C29765" s="277"/>
      <c r="M29765" s="277"/>
      <c r="O29765" s="247"/>
      <c r="AC29765" s="247"/>
      <c r="AT29765" s="247"/>
    </row>
    <row r="29766">
      <c r="C29766" s="277"/>
      <c r="M29766" s="277"/>
      <c r="O29766" s="247"/>
      <c r="AC29766" s="247"/>
      <c r="AT29766" s="247"/>
    </row>
    <row r="29767">
      <c r="C29767" s="277"/>
      <c r="M29767" s="277"/>
      <c r="O29767" s="247"/>
      <c r="AC29767" s="247"/>
      <c r="AT29767" s="247"/>
    </row>
    <row r="29768">
      <c r="C29768" s="277"/>
      <c r="M29768" s="277"/>
      <c r="O29768" s="247"/>
      <c r="AC29768" s="247"/>
      <c r="AT29768" s="247"/>
    </row>
    <row r="29769">
      <c r="C29769" s="277"/>
      <c r="M29769" s="277"/>
      <c r="O29769" s="247"/>
      <c r="AC29769" s="247"/>
      <c r="AT29769" s="247"/>
    </row>
    <row r="29770">
      <c r="C29770" s="277"/>
      <c r="M29770" s="277"/>
      <c r="O29770" s="247"/>
      <c r="AC29770" s="247"/>
      <c r="AT29770" s="247"/>
    </row>
    <row r="29771">
      <c r="C29771" s="277"/>
      <c r="M29771" s="277"/>
      <c r="O29771" s="247"/>
      <c r="AC29771" s="247"/>
      <c r="AT29771" s="247"/>
    </row>
    <row r="29772">
      <c r="C29772" s="277"/>
      <c r="M29772" s="277"/>
      <c r="O29772" s="247"/>
      <c r="AC29772" s="247"/>
      <c r="AT29772" s="247"/>
    </row>
    <row r="29773">
      <c r="C29773" s="277"/>
      <c r="M29773" s="277"/>
      <c r="O29773" s="247"/>
      <c r="AC29773" s="247"/>
      <c r="AT29773" s="247"/>
    </row>
    <row r="29774">
      <c r="C29774" s="277"/>
      <c r="M29774" s="277"/>
      <c r="O29774" s="247"/>
      <c r="AC29774" s="247"/>
      <c r="AT29774" s="247"/>
    </row>
    <row r="29775">
      <c r="C29775" s="277"/>
      <c r="M29775" s="277"/>
      <c r="O29775" s="247"/>
      <c r="AC29775" s="247"/>
      <c r="AT29775" s="247"/>
    </row>
    <row r="29776">
      <c r="C29776" s="277"/>
      <c r="M29776" s="277"/>
      <c r="O29776" s="247"/>
      <c r="AC29776" s="247"/>
      <c r="AT29776" s="247"/>
    </row>
    <row r="29777">
      <c r="C29777" s="277"/>
      <c r="M29777" s="277"/>
      <c r="O29777" s="247"/>
      <c r="AC29777" s="247"/>
      <c r="AT29777" s="247"/>
    </row>
    <row r="29778">
      <c r="C29778" s="277"/>
      <c r="M29778" s="277"/>
      <c r="O29778" s="247"/>
      <c r="AC29778" s="247"/>
      <c r="AT29778" s="247"/>
    </row>
    <row r="29779">
      <c r="C29779" s="277"/>
      <c r="M29779" s="277"/>
      <c r="O29779" s="247"/>
      <c r="AC29779" s="247"/>
      <c r="AT29779" s="247"/>
    </row>
    <row r="29780">
      <c r="C29780" s="277"/>
      <c r="M29780" s="277"/>
      <c r="O29780" s="247"/>
      <c r="AC29780" s="247"/>
      <c r="AT29780" s="247"/>
    </row>
    <row r="29781">
      <c r="C29781" s="277"/>
      <c r="M29781" s="277"/>
      <c r="O29781" s="247"/>
      <c r="AC29781" s="247"/>
      <c r="AT29781" s="247"/>
    </row>
    <row r="29782">
      <c r="C29782" s="277"/>
      <c r="M29782" s="277"/>
      <c r="O29782" s="247"/>
      <c r="AC29782" s="247"/>
      <c r="AT29782" s="247"/>
    </row>
    <row r="29783">
      <c r="C29783" s="277"/>
      <c r="M29783" s="277"/>
      <c r="O29783" s="247"/>
      <c r="AC29783" s="247"/>
      <c r="AT29783" s="247"/>
    </row>
    <row r="29784">
      <c r="C29784" s="277"/>
      <c r="M29784" s="277"/>
      <c r="O29784" s="247"/>
      <c r="AC29784" s="247"/>
      <c r="AT29784" s="247"/>
    </row>
    <row r="29785">
      <c r="C29785" s="277"/>
      <c r="M29785" s="277"/>
      <c r="O29785" s="247"/>
      <c r="AC29785" s="247"/>
      <c r="AT29785" s="247"/>
    </row>
    <row r="29786">
      <c r="C29786" s="277"/>
      <c r="M29786" s="277"/>
      <c r="O29786" s="247"/>
      <c r="AC29786" s="247"/>
      <c r="AT29786" s="247"/>
    </row>
    <row r="29787">
      <c r="C29787" s="277"/>
      <c r="M29787" s="277"/>
      <c r="O29787" s="247"/>
      <c r="AC29787" s="247"/>
      <c r="AT29787" s="247"/>
    </row>
    <row r="29788">
      <c r="C29788" s="277"/>
      <c r="M29788" s="277"/>
      <c r="O29788" s="247"/>
      <c r="AC29788" s="247"/>
      <c r="AT29788" s="247"/>
    </row>
    <row r="29789">
      <c r="C29789" s="277"/>
      <c r="M29789" s="277"/>
      <c r="O29789" s="247"/>
      <c r="AC29789" s="247"/>
      <c r="AT29789" s="247"/>
    </row>
    <row r="29790">
      <c r="C29790" s="277"/>
      <c r="M29790" s="277"/>
      <c r="O29790" s="247"/>
      <c r="AC29790" s="247"/>
      <c r="AT29790" s="247"/>
    </row>
    <row r="29791">
      <c r="C29791" s="277"/>
      <c r="M29791" s="277"/>
      <c r="O29791" s="247"/>
      <c r="AC29791" s="247"/>
      <c r="AT29791" s="247"/>
    </row>
    <row r="29792">
      <c r="C29792" s="277"/>
      <c r="M29792" s="277"/>
      <c r="O29792" s="247"/>
      <c r="AC29792" s="247"/>
      <c r="AT29792" s="247"/>
    </row>
    <row r="29793">
      <c r="C29793" s="277"/>
      <c r="M29793" s="277"/>
      <c r="O29793" s="247"/>
      <c r="AC29793" s="247"/>
      <c r="AT29793" s="247"/>
    </row>
    <row r="29794">
      <c r="C29794" s="277"/>
      <c r="M29794" s="277"/>
      <c r="O29794" s="247"/>
      <c r="AC29794" s="247"/>
      <c r="AT29794" s="247"/>
    </row>
    <row r="29795">
      <c r="C29795" s="277"/>
      <c r="M29795" s="277"/>
      <c r="O29795" s="247"/>
      <c r="AC29795" s="247"/>
      <c r="AT29795" s="247"/>
    </row>
    <row r="29796">
      <c r="C29796" s="277"/>
      <c r="M29796" s="277"/>
      <c r="O29796" s="247"/>
      <c r="AC29796" s="247"/>
      <c r="AT29796" s="247"/>
    </row>
    <row r="29797">
      <c r="C29797" s="277"/>
      <c r="M29797" s="277"/>
      <c r="O29797" s="247"/>
      <c r="AC29797" s="247"/>
      <c r="AT29797" s="247"/>
    </row>
    <row r="29798">
      <c r="C29798" s="277"/>
      <c r="M29798" s="277"/>
      <c r="O29798" s="247"/>
      <c r="AC29798" s="247"/>
      <c r="AT29798" s="247"/>
    </row>
    <row r="29799">
      <c r="C29799" s="277"/>
      <c r="M29799" s="277"/>
      <c r="O29799" s="247"/>
      <c r="AC29799" s="247"/>
      <c r="AT29799" s="247"/>
    </row>
    <row r="29800">
      <c r="C29800" s="277"/>
      <c r="M29800" s="277"/>
      <c r="O29800" s="247"/>
      <c r="AC29800" s="247"/>
      <c r="AT29800" s="247"/>
    </row>
    <row r="29801">
      <c r="C29801" s="277"/>
      <c r="M29801" s="277"/>
      <c r="O29801" s="247"/>
      <c r="AC29801" s="247"/>
      <c r="AT29801" s="247"/>
    </row>
    <row r="29802">
      <c r="C29802" s="277"/>
      <c r="M29802" s="277"/>
      <c r="O29802" s="247"/>
      <c r="AC29802" s="247"/>
      <c r="AT29802" s="247"/>
    </row>
    <row r="29803">
      <c r="C29803" s="277"/>
      <c r="M29803" s="277"/>
      <c r="O29803" s="247"/>
      <c r="AC29803" s="247"/>
      <c r="AT29803" s="247"/>
    </row>
    <row r="29804">
      <c r="C29804" s="277"/>
      <c r="M29804" s="277"/>
      <c r="O29804" s="247"/>
      <c r="AC29804" s="247"/>
      <c r="AT29804" s="247"/>
    </row>
    <row r="29805">
      <c r="C29805" s="277"/>
      <c r="M29805" s="277"/>
      <c r="O29805" s="247"/>
      <c r="AC29805" s="247"/>
      <c r="AT29805" s="247"/>
    </row>
    <row r="29806">
      <c r="C29806" s="277"/>
      <c r="M29806" s="277"/>
      <c r="O29806" s="247"/>
      <c r="AC29806" s="247"/>
      <c r="AT29806" s="247"/>
    </row>
    <row r="29807">
      <c r="C29807" s="277"/>
      <c r="M29807" s="277"/>
      <c r="O29807" s="247"/>
      <c r="AC29807" s="247"/>
      <c r="AT29807" s="247"/>
    </row>
    <row r="29808">
      <c r="C29808" s="277"/>
      <c r="M29808" s="277"/>
      <c r="O29808" s="247"/>
      <c r="AC29808" s="247"/>
      <c r="AT29808" s="247"/>
    </row>
    <row r="29809">
      <c r="C29809" s="277"/>
      <c r="M29809" s="277"/>
      <c r="O29809" s="247"/>
      <c r="AC29809" s="247"/>
      <c r="AT29809" s="247"/>
    </row>
    <row r="29810">
      <c r="C29810" s="277"/>
      <c r="M29810" s="277"/>
      <c r="O29810" s="247"/>
      <c r="AC29810" s="247"/>
      <c r="AT29810" s="247"/>
    </row>
    <row r="29811">
      <c r="C29811" s="277"/>
      <c r="M29811" s="277"/>
      <c r="O29811" s="247"/>
      <c r="AC29811" s="247"/>
      <c r="AT29811" s="247"/>
    </row>
    <row r="29812">
      <c r="C29812" s="277"/>
      <c r="M29812" s="277"/>
      <c r="O29812" s="247"/>
      <c r="AC29812" s="247"/>
      <c r="AT29812" s="247"/>
    </row>
    <row r="29813">
      <c r="C29813" s="277"/>
      <c r="M29813" s="277"/>
      <c r="O29813" s="247"/>
      <c r="AC29813" s="247"/>
      <c r="AT29813" s="247"/>
    </row>
    <row r="29814">
      <c r="C29814" s="277"/>
      <c r="M29814" s="277"/>
      <c r="O29814" s="247"/>
      <c r="AC29814" s="247"/>
      <c r="AT29814" s="247"/>
    </row>
    <row r="29815">
      <c r="C29815" s="277"/>
      <c r="M29815" s="277"/>
      <c r="O29815" s="247"/>
      <c r="AC29815" s="247"/>
      <c r="AT29815" s="247"/>
    </row>
    <row r="29816">
      <c r="C29816" s="277"/>
      <c r="M29816" s="277"/>
      <c r="O29816" s="247"/>
      <c r="AC29816" s="247"/>
      <c r="AT29816" s="247"/>
    </row>
    <row r="29817">
      <c r="C29817" s="277"/>
      <c r="M29817" s="277"/>
      <c r="O29817" s="247"/>
      <c r="AC29817" s="247"/>
      <c r="AT29817" s="247"/>
    </row>
    <row r="29818">
      <c r="C29818" s="277"/>
      <c r="M29818" s="277"/>
      <c r="O29818" s="247"/>
      <c r="AC29818" s="247"/>
      <c r="AT29818" s="247"/>
    </row>
    <row r="29819">
      <c r="C29819" s="277"/>
      <c r="M29819" s="277"/>
      <c r="O29819" s="247"/>
      <c r="AC29819" s="247"/>
      <c r="AT29819" s="247"/>
    </row>
    <row r="29820">
      <c r="C29820" s="277"/>
      <c r="M29820" s="277"/>
      <c r="O29820" s="247"/>
      <c r="AC29820" s="247"/>
      <c r="AT29820" s="247"/>
    </row>
    <row r="29821">
      <c r="C29821" s="277"/>
      <c r="M29821" s="277"/>
      <c r="O29821" s="247"/>
      <c r="AC29821" s="247"/>
      <c r="AT29821" s="247"/>
    </row>
    <row r="29822">
      <c r="C29822" s="277"/>
      <c r="M29822" s="277"/>
      <c r="O29822" s="247"/>
      <c r="AC29822" s="247"/>
      <c r="AT29822" s="247"/>
    </row>
    <row r="29823">
      <c r="C29823" s="277"/>
      <c r="M29823" s="277"/>
      <c r="O29823" s="247"/>
      <c r="AC29823" s="247"/>
      <c r="AT29823" s="247"/>
    </row>
    <row r="29824">
      <c r="C29824" s="277"/>
      <c r="M29824" s="277"/>
      <c r="O29824" s="247"/>
      <c r="AC29824" s="247"/>
      <c r="AT29824" s="247"/>
    </row>
    <row r="29825">
      <c r="C29825" s="277"/>
      <c r="M29825" s="277"/>
      <c r="O29825" s="247"/>
      <c r="AC29825" s="247"/>
      <c r="AT29825" s="247"/>
    </row>
    <row r="29826">
      <c r="C29826" s="277"/>
      <c r="M29826" s="277"/>
      <c r="O29826" s="247"/>
      <c r="AC29826" s="247"/>
      <c r="AT29826" s="247"/>
    </row>
    <row r="29827">
      <c r="C29827" s="277"/>
      <c r="M29827" s="277"/>
      <c r="O29827" s="247"/>
      <c r="AC29827" s="247"/>
      <c r="AT29827" s="247"/>
    </row>
    <row r="29828">
      <c r="C29828" s="277"/>
      <c r="M29828" s="277"/>
      <c r="O29828" s="247"/>
      <c r="AC29828" s="247"/>
      <c r="AT29828" s="247"/>
    </row>
    <row r="29829">
      <c r="C29829" s="277"/>
      <c r="M29829" s="277"/>
      <c r="O29829" s="247"/>
      <c r="AC29829" s="247"/>
      <c r="AT29829" s="247"/>
    </row>
    <row r="29830">
      <c r="C29830" s="277"/>
      <c r="M29830" s="277"/>
      <c r="O29830" s="247"/>
      <c r="AC29830" s="247"/>
      <c r="AT29830" s="247"/>
    </row>
    <row r="29831">
      <c r="C29831" s="277"/>
      <c r="M29831" s="277"/>
      <c r="O29831" s="247"/>
      <c r="AC29831" s="247"/>
      <c r="AT29831" s="247"/>
    </row>
    <row r="29832">
      <c r="C29832" s="277"/>
      <c r="M29832" s="277"/>
      <c r="O29832" s="247"/>
      <c r="AC29832" s="247"/>
      <c r="AT29832" s="247"/>
    </row>
    <row r="29833">
      <c r="C29833" s="277"/>
      <c r="M29833" s="277"/>
      <c r="O29833" s="247"/>
      <c r="AC29833" s="247"/>
      <c r="AT29833" s="247"/>
    </row>
    <row r="29834">
      <c r="C29834" s="277"/>
      <c r="M29834" s="277"/>
      <c r="O29834" s="247"/>
      <c r="AC29834" s="247"/>
      <c r="AT29834" s="247"/>
    </row>
    <row r="29835">
      <c r="C29835" s="277"/>
      <c r="M29835" s="277"/>
      <c r="O29835" s="247"/>
      <c r="AC29835" s="247"/>
      <c r="AT29835" s="247"/>
    </row>
    <row r="29836">
      <c r="C29836" s="277"/>
      <c r="M29836" s="277"/>
      <c r="O29836" s="247"/>
      <c r="AC29836" s="247"/>
      <c r="AT29836" s="247"/>
    </row>
    <row r="29837">
      <c r="C29837" s="277"/>
      <c r="M29837" s="277"/>
      <c r="O29837" s="247"/>
      <c r="AC29837" s="247"/>
      <c r="AT29837" s="247"/>
    </row>
    <row r="29838">
      <c r="C29838" s="277"/>
      <c r="M29838" s="277"/>
      <c r="O29838" s="247"/>
      <c r="AC29838" s="247"/>
      <c r="AT29838" s="247"/>
    </row>
    <row r="29839">
      <c r="C29839" s="277"/>
      <c r="M29839" s="277"/>
      <c r="O29839" s="247"/>
      <c r="AC29839" s="247"/>
      <c r="AT29839" s="247"/>
    </row>
    <row r="29840">
      <c r="C29840" s="277"/>
      <c r="M29840" s="277"/>
      <c r="O29840" s="247"/>
      <c r="AC29840" s="247"/>
      <c r="AT29840" s="247"/>
    </row>
    <row r="29841">
      <c r="C29841" s="277"/>
      <c r="M29841" s="277"/>
      <c r="O29841" s="247"/>
      <c r="AC29841" s="247"/>
      <c r="AT29841" s="247"/>
    </row>
    <row r="29842">
      <c r="C29842" s="277"/>
      <c r="M29842" s="277"/>
      <c r="O29842" s="247"/>
      <c r="AC29842" s="247"/>
      <c r="AT29842" s="247"/>
    </row>
    <row r="29843">
      <c r="C29843" s="277"/>
      <c r="M29843" s="277"/>
      <c r="O29843" s="247"/>
      <c r="AC29843" s="247"/>
      <c r="AT29843" s="247"/>
    </row>
    <row r="29844">
      <c r="C29844" s="277"/>
      <c r="M29844" s="277"/>
      <c r="O29844" s="247"/>
      <c r="AC29844" s="247"/>
      <c r="AT29844" s="247"/>
    </row>
    <row r="29845">
      <c r="C29845" s="277"/>
      <c r="M29845" s="277"/>
      <c r="O29845" s="247"/>
      <c r="AC29845" s="247"/>
      <c r="AT29845" s="247"/>
    </row>
    <row r="29846">
      <c r="C29846" s="277"/>
      <c r="M29846" s="277"/>
      <c r="O29846" s="247"/>
      <c r="AC29846" s="247"/>
      <c r="AT29846" s="247"/>
    </row>
    <row r="29847">
      <c r="C29847" s="277"/>
      <c r="M29847" s="277"/>
      <c r="O29847" s="247"/>
      <c r="AC29847" s="247"/>
      <c r="AT29847" s="247"/>
    </row>
    <row r="29848">
      <c r="C29848" s="277"/>
      <c r="M29848" s="277"/>
      <c r="O29848" s="247"/>
      <c r="AC29848" s="247"/>
      <c r="AT29848" s="247"/>
    </row>
    <row r="29849">
      <c r="C29849" s="277"/>
      <c r="M29849" s="277"/>
      <c r="O29849" s="247"/>
      <c r="AC29849" s="247"/>
      <c r="AT29849" s="247"/>
    </row>
    <row r="29850">
      <c r="C29850" s="277"/>
      <c r="M29850" s="277"/>
      <c r="O29850" s="247"/>
      <c r="AC29850" s="247"/>
      <c r="AT29850" s="247"/>
    </row>
    <row r="29851">
      <c r="C29851" s="277"/>
      <c r="M29851" s="277"/>
      <c r="O29851" s="247"/>
      <c r="AC29851" s="247"/>
      <c r="AT29851" s="247"/>
    </row>
    <row r="29852">
      <c r="C29852" s="277"/>
      <c r="M29852" s="277"/>
      <c r="O29852" s="247"/>
      <c r="AC29852" s="247"/>
      <c r="AT29852" s="247"/>
    </row>
    <row r="29853">
      <c r="C29853" s="277"/>
      <c r="M29853" s="277"/>
      <c r="O29853" s="247"/>
      <c r="AC29853" s="247"/>
      <c r="AT29853" s="247"/>
    </row>
    <row r="29854">
      <c r="C29854" s="277"/>
      <c r="M29854" s="277"/>
      <c r="O29854" s="247"/>
      <c r="AC29854" s="247"/>
      <c r="AT29854" s="247"/>
    </row>
    <row r="29855">
      <c r="C29855" s="277"/>
      <c r="M29855" s="277"/>
      <c r="O29855" s="247"/>
      <c r="AC29855" s="247"/>
      <c r="AT29855" s="247"/>
    </row>
    <row r="29856">
      <c r="C29856" s="277"/>
      <c r="M29856" s="277"/>
      <c r="O29856" s="247"/>
      <c r="AC29856" s="247"/>
      <c r="AT29856" s="247"/>
    </row>
    <row r="29857">
      <c r="C29857" s="277"/>
      <c r="M29857" s="277"/>
      <c r="O29857" s="247"/>
      <c r="AC29857" s="247"/>
      <c r="AT29857" s="247"/>
    </row>
    <row r="29858">
      <c r="C29858" s="277"/>
      <c r="M29858" s="277"/>
      <c r="O29858" s="247"/>
      <c r="AC29858" s="247"/>
      <c r="AT29858" s="247"/>
    </row>
    <row r="29859">
      <c r="C29859" s="277"/>
      <c r="M29859" s="277"/>
      <c r="O29859" s="247"/>
      <c r="AC29859" s="247"/>
      <c r="AT29859" s="247"/>
    </row>
    <row r="29860">
      <c r="C29860" s="277"/>
      <c r="M29860" s="277"/>
      <c r="O29860" s="247"/>
      <c r="AC29860" s="247"/>
      <c r="AT29860" s="247"/>
    </row>
    <row r="29861">
      <c r="C29861" s="277"/>
      <c r="M29861" s="277"/>
      <c r="O29861" s="247"/>
      <c r="AC29861" s="247"/>
      <c r="AT29861" s="247"/>
    </row>
    <row r="29862">
      <c r="C29862" s="277"/>
      <c r="M29862" s="277"/>
      <c r="O29862" s="247"/>
      <c r="AC29862" s="247"/>
      <c r="AT29862" s="247"/>
    </row>
    <row r="29863">
      <c r="C29863" s="277"/>
      <c r="M29863" s="277"/>
      <c r="O29863" s="247"/>
      <c r="AC29863" s="247"/>
      <c r="AT29863" s="247"/>
    </row>
    <row r="29864">
      <c r="C29864" s="277"/>
      <c r="M29864" s="277"/>
      <c r="O29864" s="247"/>
      <c r="AC29864" s="247"/>
      <c r="AT29864" s="247"/>
    </row>
    <row r="29865">
      <c r="C29865" s="277"/>
      <c r="M29865" s="277"/>
      <c r="O29865" s="247"/>
      <c r="AC29865" s="247"/>
      <c r="AT29865" s="247"/>
    </row>
    <row r="29866">
      <c r="C29866" s="277"/>
      <c r="M29866" s="277"/>
      <c r="O29866" s="247"/>
      <c r="AC29866" s="247"/>
      <c r="AT29866" s="247"/>
    </row>
    <row r="29867">
      <c r="C29867" s="277"/>
      <c r="M29867" s="277"/>
      <c r="O29867" s="247"/>
      <c r="AC29867" s="247"/>
      <c r="AT29867" s="247"/>
    </row>
    <row r="29868">
      <c r="C29868" s="277"/>
      <c r="M29868" s="277"/>
      <c r="O29868" s="247"/>
      <c r="AC29868" s="247"/>
      <c r="AT29868" s="247"/>
    </row>
    <row r="29869">
      <c r="C29869" s="277"/>
      <c r="M29869" s="277"/>
      <c r="O29869" s="247"/>
      <c r="AC29869" s="247"/>
      <c r="AT29869" s="247"/>
    </row>
    <row r="29870">
      <c r="C29870" s="277"/>
      <c r="M29870" s="277"/>
      <c r="O29870" s="247"/>
      <c r="AC29870" s="247"/>
      <c r="AT29870" s="247"/>
    </row>
    <row r="29871">
      <c r="C29871" s="277"/>
      <c r="M29871" s="277"/>
      <c r="O29871" s="247"/>
      <c r="AC29871" s="247"/>
      <c r="AT29871" s="247"/>
    </row>
    <row r="29872">
      <c r="C29872" s="277"/>
      <c r="M29872" s="277"/>
      <c r="O29872" s="247"/>
      <c r="AC29872" s="247"/>
      <c r="AT29872" s="247"/>
    </row>
    <row r="29873">
      <c r="C29873" s="277"/>
      <c r="M29873" s="277"/>
      <c r="O29873" s="247"/>
      <c r="AC29873" s="247"/>
      <c r="AT29873" s="247"/>
    </row>
    <row r="29874">
      <c r="C29874" s="277"/>
      <c r="M29874" s="277"/>
      <c r="O29874" s="247"/>
      <c r="AC29874" s="247"/>
      <c r="AT29874" s="247"/>
    </row>
    <row r="29875">
      <c r="C29875" s="277"/>
      <c r="M29875" s="277"/>
      <c r="O29875" s="247"/>
      <c r="AC29875" s="247"/>
      <c r="AT29875" s="247"/>
    </row>
    <row r="29876">
      <c r="C29876" s="277"/>
      <c r="M29876" s="277"/>
      <c r="O29876" s="247"/>
      <c r="AC29876" s="247"/>
      <c r="AT29876" s="247"/>
    </row>
    <row r="29877">
      <c r="C29877" s="277"/>
      <c r="M29877" s="277"/>
      <c r="O29877" s="247"/>
      <c r="AC29877" s="247"/>
      <c r="AT29877" s="247"/>
    </row>
    <row r="29878">
      <c r="C29878" s="277"/>
      <c r="M29878" s="277"/>
      <c r="O29878" s="247"/>
      <c r="AC29878" s="247"/>
      <c r="AT29878" s="247"/>
    </row>
    <row r="29879">
      <c r="C29879" s="277"/>
      <c r="M29879" s="277"/>
      <c r="O29879" s="247"/>
      <c r="AC29879" s="247"/>
      <c r="AT29879" s="247"/>
    </row>
    <row r="29880">
      <c r="C29880" s="277"/>
      <c r="M29880" s="277"/>
      <c r="O29880" s="247"/>
      <c r="AC29880" s="247"/>
      <c r="AT29880" s="247"/>
    </row>
    <row r="29881">
      <c r="C29881" s="277"/>
      <c r="M29881" s="277"/>
      <c r="O29881" s="247"/>
      <c r="AC29881" s="247"/>
      <c r="AT29881" s="247"/>
    </row>
    <row r="29882">
      <c r="C29882" s="277"/>
      <c r="M29882" s="277"/>
      <c r="O29882" s="247"/>
      <c r="AC29882" s="247"/>
      <c r="AT29882" s="247"/>
    </row>
    <row r="29883">
      <c r="C29883" s="277"/>
      <c r="M29883" s="277"/>
      <c r="O29883" s="247"/>
      <c r="AC29883" s="247"/>
      <c r="AT29883" s="247"/>
    </row>
    <row r="29884">
      <c r="C29884" s="277"/>
      <c r="M29884" s="277"/>
      <c r="O29884" s="247"/>
      <c r="AC29884" s="247"/>
      <c r="AT29884" s="247"/>
    </row>
    <row r="29885">
      <c r="C29885" s="277"/>
      <c r="M29885" s="277"/>
      <c r="O29885" s="247"/>
      <c r="AC29885" s="247"/>
      <c r="AT29885" s="247"/>
    </row>
    <row r="29886">
      <c r="C29886" s="277"/>
      <c r="M29886" s="277"/>
      <c r="O29886" s="247"/>
      <c r="AC29886" s="247"/>
      <c r="AT29886" s="247"/>
    </row>
    <row r="29887">
      <c r="C29887" s="277"/>
      <c r="M29887" s="277"/>
      <c r="O29887" s="247"/>
      <c r="AC29887" s="247"/>
      <c r="AT29887" s="247"/>
    </row>
    <row r="29888">
      <c r="C29888" s="277"/>
      <c r="M29888" s="277"/>
      <c r="O29888" s="247"/>
      <c r="AC29888" s="247"/>
      <c r="AT29888" s="247"/>
    </row>
    <row r="29889">
      <c r="C29889" s="277"/>
      <c r="M29889" s="277"/>
      <c r="O29889" s="247"/>
      <c r="AC29889" s="247"/>
      <c r="AT29889" s="247"/>
    </row>
    <row r="29890">
      <c r="C29890" s="277"/>
      <c r="M29890" s="277"/>
      <c r="O29890" s="247"/>
      <c r="AC29890" s="247"/>
      <c r="AT29890" s="247"/>
    </row>
    <row r="29891">
      <c r="C29891" s="277"/>
      <c r="M29891" s="277"/>
      <c r="O29891" s="247"/>
      <c r="AC29891" s="247"/>
      <c r="AT29891" s="247"/>
    </row>
    <row r="29892">
      <c r="C29892" s="277"/>
      <c r="M29892" s="277"/>
      <c r="O29892" s="247"/>
      <c r="AC29892" s="247"/>
      <c r="AT29892" s="247"/>
    </row>
    <row r="29893">
      <c r="C29893" s="277"/>
      <c r="M29893" s="277"/>
      <c r="O29893" s="247"/>
      <c r="AC29893" s="247"/>
      <c r="AT29893" s="247"/>
    </row>
    <row r="29894">
      <c r="C29894" s="277"/>
      <c r="M29894" s="277"/>
      <c r="O29894" s="247"/>
      <c r="AC29894" s="247"/>
      <c r="AT29894" s="247"/>
    </row>
    <row r="29895">
      <c r="C29895" s="277"/>
      <c r="M29895" s="277"/>
      <c r="O29895" s="247"/>
      <c r="AC29895" s="247"/>
      <c r="AT29895" s="247"/>
    </row>
    <row r="29896">
      <c r="C29896" s="277"/>
      <c r="M29896" s="277"/>
      <c r="O29896" s="247"/>
      <c r="AC29896" s="247"/>
      <c r="AT29896" s="247"/>
    </row>
    <row r="29897">
      <c r="C29897" s="277"/>
      <c r="M29897" s="277"/>
      <c r="O29897" s="247"/>
      <c r="AC29897" s="247"/>
      <c r="AT29897" s="247"/>
    </row>
    <row r="29898">
      <c r="C29898" s="277"/>
      <c r="M29898" s="277"/>
      <c r="O29898" s="247"/>
      <c r="AC29898" s="247"/>
      <c r="AT29898" s="247"/>
    </row>
    <row r="29899">
      <c r="C29899" s="277"/>
      <c r="M29899" s="277"/>
      <c r="O29899" s="247"/>
      <c r="AC29899" s="247"/>
      <c r="AT29899" s="247"/>
    </row>
    <row r="29900">
      <c r="C29900" s="277"/>
      <c r="M29900" s="277"/>
      <c r="O29900" s="247"/>
      <c r="AC29900" s="247"/>
      <c r="AT29900" s="247"/>
    </row>
    <row r="29901">
      <c r="C29901" s="277"/>
      <c r="M29901" s="277"/>
      <c r="O29901" s="247"/>
      <c r="AC29901" s="247"/>
      <c r="AT29901" s="247"/>
    </row>
    <row r="29902">
      <c r="C29902" s="277"/>
      <c r="M29902" s="277"/>
      <c r="O29902" s="247"/>
      <c r="AC29902" s="247"/>
      <c r="AT29902" s="247"/>
    </row>
    <row r="29903">
      <c r="C29903" s="277"/>
      <c r="M29903" s="277"/>
      <c r="O29903" s="247"/>
      <c r="AC29903" s="247"/>
      <c r="AT29903" s="247"/>
    </row>
    <row r="29904">
      <c r="C29904" s="277"/>
      <c r="M29904" s="277"/>
      <c r="O29904" s="247"/>
      <c r="AC29904" s="247"/>
      <c r="AT29904" s="247"/>
    </row>
    <row r="29905">
      <c r="C29905" s="277"/>
      <c r="M29905" s="277"/>
      <c r="O29905" s="247"/>
      <c r="AC29905" s="247"/>
      <c r="AT29905" s="247"/>
    </row>
    <row r="29906">
      <c r="C29906" s="277"/>
      <c r="M29906" s="277"/>
      <c r="O29906" s="247"/>
      <c r="AC29906" s="247"/>
      <c r="AT29906" s="247"/>
    </row>
    <row r="29907">
      <c r="C29907" s="277"/>
      <c r="M29907" s="277"/>
      <c r="O29907" s="247"/>
      <c r="AC29907" s="247"/>
      <c r="AT29907" s="247"/>
    </row>
    <row r="29908">
      <c r="C29908" s="277"/>
      <c r="M29908" s="277"/>
      <c r="O29908" s="247"/>
      <c r="AC29908" s="247"/>
      <c r="AT29908" s="247"/>
    </row>
    <row r="29909">
      <c r="C29909" s="277"/>
      <c r="M29909" s="277"/>
      <c r="O29909" s="247"/>
      <c r="AC29909" s="247"/>
      <c r="AT29909" s="247"/>
    </row>
    <row r="29910">
      <c r="C29910" s="277"/>
      <c r="M29910" s="277"/>
      <c r="O29910" s="247"/>
      <c r="AC29910" s="247"/>
      <c r="AT29910" s="247"/>
    </row>
    <row r="29911">
      <c r="C29911" s="277"/>
      <c r="M29911" s="277"/>
      <c r="O29911" s="247"/>
      <c r="AC29911" s="247"/>
      <c r="AT29911" s="247"/>
    </row>
    <row r="29912">
      <c r="C29912" s="277"/>
      <c r="M29912" s="277"/>
      <c r="O29912" s="247"/>
      <c r="AC29912" s="247"/>
      <c r="AT29912" s="247"/>
    </row>
    <row r="29913">
      <c r="C29913" s="277"/>
      <c r="M29913" s="277"/>
      <c r="O29913" s="247"/>
      <c r="AC29913" s="247"/>
      <c r="AT29913" s="247"/>
    </row>
    <row r="29914">
      <c r="C29914" s="277"/>
      <c r="M29914" s="277"/>
      <c r="O29914" s="247"/>
      <c r="AC29914" s="247"/>
      <c r="AT29914" s="247"/>
    </row>
    <row r="29915">
      <c r="C29915" s="277"/>
      <c r="M29915" s="277"/>
      <c r="O29915" s="247"/>
      <c r="AC29915" s="247"/>
      <c r="AT29915" s="247"/>
    </row>
    <row r="29916">
      <c r="C29916" s="277"/>
      <c r="M29916" s="277"/>
      <c r="O29916" s="247"/>
      <c r="AC29916" s="247"/>
      <c r="AT29916" s="247"/>
    </row>
    <row r="29917">
      <c r="C29917" s="277"/>
      <c r="M29917" s="277"/>
      <c r="O29917" s="247"/>
      <c r="AC29917" s="247"/>
      <c r="AT29917" s="247"/>
    </row>
    <row r="29918">
      <c r="C29918" s="277"/>
      <c r="M29918" s="277"/>
      <c r="O29918" s="247"/>
      <c r="AC29918" s="247"/>
      <c r="AT29918" s="247"/>
    </row>
    <row r="29919">
      <c r="C29919" s="277"/>
      <c r="M29919" s="277"/>
      <c r="O29919" s="247"/>
      <c r="AC29919" s="247"/>
      <c r="AT29919" s="247"/>
    </row>
    <row r="29920">
      <c r="C29920" s="277"/>
      <c r="M29920" s="277"/>
      <c r="O29920" s="247"/>
      <c r="AC29920" s="247"/>
      <c r="AT29920" s="247"/>
    </row>
    <row r="29921">
      <c r="C29921" s="277"/>
      <c r="M29921" s="277"/>
      <c r="O29921" s="247"/>
      <c r="AC29921" s="247"/>
      <c r="AT29921" s="247"/>
    </row>
    <row r="29922">
      <c r="C29922" s="277"/>
      <c r="M29922" s="277"/>
      <c r="O29922" s="247"/>
      <c r="AC29922" s="247"/>
      <c r="AT29922" s="247"/>
    </row>
    <row r="29923">
      <c r="C29923" s="277"/>
      <c r="M29923" s="277"/>
      <c r="O29923" s="247"/>
      <c r="AC29923" s="247"/>
      <c r="AT29923" s="247"/>
    </row>
    <row r="29924">
      <c r="C29924" s="277"/>
      <c r="M29924" s="277"/>
      <c r="O29924" s="247"/>
      <c r="AC29924" s="247"/>
      <c r="AT29924" s="247"/>
    </row>
    <row r="29925">
      <c r="C29925" s="277"/>
      <c r="M29925" s="277"/>
      <c r="O29925" s="247"/>
      <c r="AC29925" s="247"/>
      <c r="AT29925" s="247"/>
    </row>
    <row r="29926">
      <c r="C29926" s="277"/>
      <c r="M29926" s="277"/>
      <c r="O29926" s="247"/>
      <c r="AC29926" s="247"/>
      <c r="AT29926" s="247"/>
    </row>
    <row r="29927">
      <c r="C29927" s="277"/>
      <c r="M29927" s="277"/>
      <c r="O29927" s="247"/>
      <c r="AC29927" s="247"/>
      <c r="AT29927" s="247"/>
    </row>
    <row r="29928">
      <c r="C29928" s="277"/>
      <c r="M29928" s="277"/>
      <c r="O29928" s="247"/>
      <c r="AC29928" s="247"/>
      <c r="AT29928" s="247"/>
    </row>
    <row r="29929">
      <c r="C29929" s="277"/>
      <c r="M29929" s="277"/>
      <c r="O29929" s="247"/>
      <c r="AC29929" s="247"/>
      <c r="AT29929" s="247"/>
    </row>
    <row r="29930">
      <c r="C29930" s="277"/>
      <c r="M29930" s="277"/>
      <c r="O29930" s="247"/>
      <c r="AC29930" s="247"/>
      <c r="AT29930" s="247"/>
    </row>
    <row r="29931">
      <c r="C29931" s="277"/>
      <c r="M29931" s="277"/>
      <c r="O29931" s="247"/>
      <c r="AC29931" s="247"/>
      <c r="AT29931" s="247"/>
    </row>
    <row r="29932">
      <c r="C29932" s="277"/>
      <c r="M29932" s="277"/>
      <c r="O29932" s="247"/>
      <c r="AC29932" s="247"/>
      <c r="AT29932" s="247"/>
    </row>
    <row r="29933">
      <c r="C29933" s="277"/>
      <c r="M29933" s="277"/>
      <c r="O29933" s="247"/>
      <c r="AC29933" s="247"/>
      <c r="AT29933" s="247"/>
    </row>
    <row r="29934">
      <c r="C29934" s="277"/>
      <c r="M29934" s="277"/>
      <c r="O29934" s="247"/>
      <c r="AC29934" s="247"/>
      <c r="AT29934" s="247"/>
    </row>
    <row r="29935">
      <c r="C29935" s="277"/>
      <c r="M29935" s="277"/>
      <c r="O29935" s="247"/>
      <c r="AC29935" s="247"/>
      <c r="AT29935" s="247"/>
    </row>
    <row r="29936">
      <c r="C29936" s="277"/>
      <c r="M29936" s="277"/>
      <c r="O29936" s="247"/>
      <c r="AC29936" s="247"/>
      <c r="AT29936" s="247"/>
    </row>
    <row r="29937">
      <c r="C29937" s="277"/>
      <c r="M29937" s="277"/>
      <c r="O29937" s="247"/>
      <c r="AC29937" s="247"/>
      <c r="AT29937" s="247"/>
    </row>
    <row r="29938">
      <c r="C29938" s="277"/>
      <c r="M29938" s="277"/>
      <c r="O29938" s="247"/>
      <c r="AC29938" s="247"/>
      <c r="AT29938" s="247"/>
    </row>
    <row r="29939">
      <c r="C29939" s="277"/>
      <c r="M29939" s="277"/>
      <c r="O29939" s="247"/>
      <c r="AC29939" s="247"/>
      <c r="AT29939" s="247"/>
    </row>
    <row r="29940">
      <c r="C29940" s="277"/>
      <c r="M29940" s="277"/>
      <c r="O29940" s="247"/>
      <c r="AC29940" s="247"/>
      <c r="AT29940" s="247"/>
    </row>
    <row r="29941">
      <c r="C29941" s="277"/>
      <c r="M29941" s="277"/>
      <c r="O29941" s="247"/>
      <c r="AC29941" s="247"/>
      <c r="AT29941" s="247"/>
    </row>
    <row r="29942">
      <c r="C29942" s="277"/>
      <c r="M29942" s="277"/>
      <c r="O29942" s="247"/>
      <c r="AC29942" s="247"/>
      <c r="AT29942" s="247"/>
    </row>
    <row r="29943">
      <c r="C29943" s="277"/>
      <c r="M29943" s="277"/>
      <c r="O29943" s="247"/>
      <c r="AC29943" s="247"/>
      <c r="AT29943" s="247"/>
    </row>
    <row r="29944">
      <c r="C29944" s="277"/>
      <c r="M29944" s="277"/>
      <c r="O29944" s="247"/>
      <c r="AC29944" s="247"/>
      <c r="AT29944" s="247"/>
    </row>
    <row r="29945">
      <c r="C29945" s="277"/>
      <c r="M29945" s="277"/>
      <c r="O29945" s="247"/>
      <c r="AC29945" s="247"/>
      <c r="AT29945" s="247"/>
    </row>
    <row r="29946">
      <c r="C29946" s="277"/>
      <c r="M29946" s="277"/>
      <c r="O29946" s="247"/>
      <c r="AC29946" s="247"/>
      <c r="AT29946" s="247"/>
    </row>
    <row r="29947">
      <c r="C29947" s="277"/>
      <c r="M29947" s="277"/>
      <c r="O29947" s="247"/>
      <c r="AC29947" s="247"/>
      <c r="AT29947" s="247"/>
    </row>
    <row r="29948">
      <c r="C29948" s="277"/>
      <c r="M29948" s="277"/>
      <c r="O29948" s="247"/>
      <c r="AC29948" s="247"/>
      <c r="AT29948" s="247"/>
    </row>
    <row r="29949">
      <c r="C29949" s="277"/>
      <c r="M29949" s="277"/>
      <c r="O29949" s="247"/>
      <c r="AC29949" s="247"/>
      <c r="AT29949" s="247"/>
    </row>
    <row r="29950">
      <c r="C29950" s="277"/>
      <c r="M29950" s="277"/>
      <c r="O29950" s="247"/>
      <c r="AC29950" s="247"/>
      <c r="AT29950" s="247"/>
    </row>
    <row r="29951">
      <c r="C29951" s="277"/>
      <c r="M29951" s="277"/>
      <c r="O29951" s="247"/>
      <c r="AC29951" s="247"/>
      <c r="AT29951" s="247"/>
    </row>
    <row r="29952">
      <c r="C29952" s="277"/>
      <c r="M29952" s="277"/>
      <c r="O29952" s="247"/>
      <c r="AC29952" s="247"/>
      <c r="AT29952" s="247"/>
    </row>
    <row r="29953">
      <c r="C29953" s="277"/>
      <c r="M29953" s="277"/>
      <c r="O29953" s="247"/>
      <c r="AC29953" s="247"/>
      <c r="AT29953" s="247"/>
    </row>
    <row r="29954">
      <c r="C29954" s="277"/>
      <c r="M29954" s="277"/>
      <c r="O29954" s="247"/>
      <c r="AC29954" s="247"/>
      <c r="AT29954" s="247"/>
    </row>
    <row r="29955">
      <c r="C29955" s="277"/>
      <c r="M29955" s="277"/>
      <c r="O29955" s="247"/>
      <c r="AC29955" s="247"/>
      <c r="AT29955" s="247"/>
    </row>
    <row r="29956">
      <c r="C29956" s="277"/>
      <c r="M29956" s="277"/>
      <c r="O29956" s="247"/>
      <c r="AC29956" s="247"/>
      <c r="AT29956" s="247"/>
    </row>
    <row r="29957">
      <c r="C29957" s="277"/>
      <c r="M29957" s="277"/>
      <c r="O29957" s="247"/>
      <c r="AC29957" s="247"/>
      <c r="AT29957" s="247"/>
    </row>
    <row r="29958">
      <c r="C29958" s="277"/>
      <c r="M29958" s="277"/>
      <c r="O29958" s="247"/>
      <c r="AC29958" s="247"/>
      <c r="AT29958" s="247"/>
    </row>
    <row r="29959">
      <c r="C29959" s="277"/>
      <c r="M29959" s="277"/>
      <c r="O29959" s="247"/>
      <c r="AC29959" s="247"/>
      <c r="AT29959" s="247"/>
    </row>
    <row r="29960">
      <c r="C29960" s="277"/>
      <c r="M29960" s="277"/>
      <c r="O29960" s="247"/>
      <c r="AC29960" s="247"/>
      <c r="AT29960" s="247"/>
    </row>
    <row r="29961">
      <c r="C29961" s="277"/>
      <c r="M29961" s="277"/>
      <c r="O29961" s="247"/>
      <c r="AC29961" s="247"/>
      <c r="AT29961" s="247"/>
    </row>
    <row r="29962">
      <c r="C29962" s="277"/>
      <c r="M29962" s="277"/>
      <c r="O29962" s="247"/>
      <c r="AC29962" s="247"/>
      <c r="AT29962" s="247"/>
    </row>
    <row r="29963">
      <c r="C29963" s="277"/>
      <c r="M29963" s="277"/>
      <c r="O29963" s="247"/>
      <c r="AC29963" s="247"/>
      <c r="AT29963" s="247"/>
    </row>
    <row r="29964">
      <c r="C29964" s="277"/>
      <c r="M29964" s="277"/>
      <c r="O29964" s="247"/>
      <c r="AC29964" s="247"/>
      <c r="AT29964" s="247"/>
    </row>
    <row r="29965">
      <c r="C29965" s="277"/>
      <c r="M29965" s="277"/>
      <c r="O29965" s="247"/>
      <c r="AC29965" s="247"/>
      <c r="AT29965" s="247"/>
    </row>
    <row r="29966">
      <c r="C29966" s="277"/>
      <c r="M29966" s="277"/>
      <c r="O29966" s="247"/>
      <c r="AC29966" s="247"/>
      <c r="AT29966" s="247"/>
    </row>
    <row r="29967">
      <c r="C29967" s="277"/>
      <c r="M29967" s="277"/>
      <c r="O29967" s="247"/>
      <c r="AC29967" s="247"/>
      <c r="AT29967" s="247"/>
    </row>
    <row r="29968">
      <c r="C29968" s="277"/>
      <c r="M29968" s="277"/>
      <c r="O29968" s="247"/>
      <c r="AC29968" s="247"/>
      <c r="AT29968" s="247"/>
    </row>
    <row r="29969">
      <c r="C29969" s="277"/>
      <c r="M29969" s="277"/>
      <c r="O29969" s="247"/>
      <c r="AC29969" s="247"/>
      <c r="AT29969" s="247"/>
    </row>
    <row r="29970">
      <c r="C29970" s="277"/>
      <c r="M29970" s="277"/>
      <c r="O29970" s="247"/>
      <c r="AC29970" s="247"/>
      <c r="AT29970" s="247"/>
    </row>
    <row r="29971">
      <c r="C29971" s="277"/>
      <c r="M29971" s="277"/>
      <c r="O29971" s="247"/>
      <c r="AC29971" s="247"/>
      <c r="AT29971" s="247"/>
    </row>
    <row r="29972">
      <c r="C29972" s="277"/>
      <c r="M29972" s="277"/>
      <c r="O29972" s="247"/>
      <c r="AC29972" s="247"/>
      <c r="AT29972" s="247"/>
    </row>
    <row r="29973">
      <c r="C29973" s="277"/>
      <c r="M29973" s="277"/>
      <c r="O29973" s="247"/>
      <c r="AC29973" s="247"/>
      <c r="AT29973" s="247"/>
    </row>
    <row r="29974">
      <c r="C29974" s="277"/>
      <c r="M29974" s="277"/>
      <c r="O29974" s="247"/>
      <c r="AC29974" s="247"/>
      <c r="AT29974" s="247"/>
    </row>
    <row r="29975">
      <c r="C29975" s="277"/>
      <c r="M29975" s="277"/>
      <c r="O29975" s="247"/>
      <c r="AC29975" s="247"/>
      <c r="AT29975" s="247"/>
    </row>
    <row r="29976">
      <c r="C29976" s="277"/>
      <c r="M29976" s="277"/>
      <c r="O29976" s="247"/>
      <c r="AC29976" s="247"/>
      <c r="AT29976" s="247"/>
    </row>
    <row r="29977">
      <c r="C29977" s="277"/>
      <c r="M29977" s="277"/>
      <c r="O29977" s="247"/>
      <c r="AC29977" s="247"/>
      <c r="AT29977" s="247"/>
    </row>
    <row r="29978">
      <c r="C29978" s="277"/>
      <c r="M29978" s="277"/>
      <c r="O29978" s="247"/>
      <c r="AC29978" s="247"/>
      <c r="AT29978" s="247"/>
    </row>
    <row r="29979">
      <c r="C29979" s="277"/>
      <c r="M29979" s="277"/>
      <c r="O29979" s="247"/>
      <c r="AC29979" s="247"/>
      <c r="AT29979" s="247"/>
    </row>
    <row r="29980">
      <c r="C29980" s="277"/>
      <c r="M29980" s="277"/>
      <c r="O29980" s="247"/>
      <c r="AC29980" s="247"/>
      <c r="AT29980" s="247"/>
    </row>
    <row r="29981">
      <c r="C29981" s="277"/>
      <c r="M29981" s="277"/>
      <c r="O29981" s="247"/>
      <c r="AC29981" s="247"/>
      <c r="AT29981" s="247"/>
    </row>
    <row r="29982">
      <c r="C29982" s="277"/>
      <c r="M29982" s="277"/>
      <c r="O29982" s="247"/>
      <c r="AC29982" s="247"/>
      <c r="AT29982" s="247"/>
    </row>
    <row r="29983">
      <c r="C29983" s="277"/>
      <c r="M29983" s="277"/>
      <c r="O29983" s="247"/>
      <c r="AC29983" s="247"/>
      <c r="AT29983" s="247"/>
    </row>
    <row r="29984">
      <c r="C29984" s="277"/>
      <c r="M29984" s="277"/>
      <c r="O29984" s="247"/>
      <c r="AC29984" s="247"/>
      <c r="AT29984" s="247"/>
    </row>
    <row r="29985">
      <c r="C29985" s="277"/>
      <c r="M29985" s="277"/>
      <c r="O29985" s="247"/>
      <c r="AC29985" s="247"/>
      <c r="AT29985" s="247"/>
    </row>
    <row r="29986">
      <c r="C29986" s="277"/>
      <c r="M29986" s="277"/>
      <c r="O29986" s="247"/>
      <c r="AC29986" s="247"/>
      <c r="AT29986" s="247"/>
    </row>
    <row r="29987">
      <c r="C29987" s="277"/>
      <c r="M29987" s="277"/>
      <c r="O29987" s="247"/>
      <c r="AC29987" s="247"/>
      <c r="AT29987" s="247"/>
    </row>
    <row r="29988">
      <c r="C29988" s="277"/>
      <c r="M29988" s="277"/>
      <c r="O29988" s="247"/>
      <c r="AC29988" s="247"/>
      <c r="AT29988" s="247"/>
    </row>
    <row r="29989">
      <c r="C29989" s="277"/>
      <c r="M29989" s="277"/>
      <c r="O29989" s="247"/>
      <c r="AC29989" s="247"/>
      <c r="AT29989" s="247"/>
    </row>
    <row r="29990">
      <c r="C29990" s="277"/>
      <c r="M29990" s="277"/>
      <c r="O29990" s="247"/>
      <c r="AC29990" s="247"/>
      <c r="AT29990" s="247"/>
    </row>
    <row r="29991">
      <c r="C29991" s="277"/>
      <c r="M29991" s="277"/>
      <c r="O29991" s="247"/>
      <c r="AC29991" s="247"/>
      <c r="AT29991" s="247"/>
    </row>
    <row r="29992">
      <c r="C29992" s="277"/>
      <c r="M29992" s="277"/>
      <c r="O29992" s="247"/>
      <c r="AC29992" s="247"/>
      <c r="AT29992" s="247"/>
    </row>
    <row r="29993">
      <c r="C29993" s="277"/>
      <c r="M29993" s="277"/>
      <c r="O29993" s="247"/>
      <c r="AC29993" s="247"/>
      <c r="AT29993" s="247"/>
    </row>
    <row r="29994">
      <c r="C29994" s="277"/>
      <c r="M29994" s="277"/>
      <c r="O29994" s="247"/>
      <c r="AC29994" s="247"/>
      <c r="AT29994" s="247"/>
    </row>
    <row r="29995">
      <c r="C29995" s="277"/>
      <c r="M29995" s="277"/>
      <c r="O29995" s="247"/>
      <c r="AC29995" s="247"/>
      <c r="AT29995" s="247"/>
    </row>
    <row r="29996">
      <c r="C29996" s="277"/>
      <c r="M29996" s="277"/>
      <c r="O29996" s="247"/>
      <c r="AC29996" s="247"/>
      <c r="AT29996" s="247"/>
    </row>
    <row r="29997">
      <c r="C29997" s="277"/>
      <c r="M29997" s="277"/>
      <c r="O29997" s="247"/>
      <c r="AC29997" s="247"/>
      <c r="AT29997" s="247"/>
    </row>
    <row r="29998">
      <c r="C29998" s="277"/>
      <c r="M29998" s="277"/>
      <c r="O29998" s="247"/>
      <c r="AC29998" s="247"/>
      <c r="AT29998" s="247"/>
    </row>
    <row r="29999">
      <c r="C29999" s="277"/>
      <c r="M29999" s="277"/>
      <c r="O29999" s="247"/>
      <c r="AC29999" s="247"/>
      <c r="AT29999" s="247"/>
    </row>
    <row r="30000">
      <c r="C30000" s="277"/>
      <c r="M30000" s="277"/>
      <c r="O30000" s="247"/>
      <c r="AC30000" s="247"/>
      <c r="AT30000" s="247"/>
    </row>
    <row r="30001">
      <c r="C30001" s="277"/>
      <c r="M30001" s="277"/>
      <c r="O30001" s="247"/>
      <c r="AC30001" s="247"/>
      <c r="AT30001" s="247"/>
    </row>
    <row r="30002">
      <c r="C30002" s="277"/>
      <c r="M30002" s="277"/>
      <c r="O30002" s="247"/>
      <c r="AC30002" s="247"/>
      <c r="AT30002" s="247"/>
    </row>
    <row r="30003">
      <c r="C30003" s="277"/>
      <c r="M30003" s="277"/>
      <c r="O30003" s="247"/>
      <c r="AC30003" s="247"/>
      <c r="AT30003" s="247"/>
    </row>
    <row r="30004">
      <c r="C30004" s="277"/>
      <c r="M30004" s="277"/>
      <c r="O30004" s="247"/>
      <c r="AC30004" s="247"/>
      <c r="AT30004" s="247"/>
    </row>
    <row r="30005">
      <c r="C30005" s="277"/>
      <c r="M30005" s="277"/>
      <c r="O30005" s="247"/>
      <c r="AC30005" s="247"/>
      <c r="AT30005" s="247"/>
    </row>
    <row r="30006">
      <c r="C30006" s="277"/>
      <c r="M30006" s="277"/>
      <c r="O30006" s="247"/>
      <c r="AC30006" s="247"/>
      <c r="AT30006" s="247"/>
    </row>
    <row r="30007">
      <c r="C30007" s="277"/>
      <c r="M30007" s="277"/>
      <c r="O30007" s="247"/>
      <c r="AC30007" s="247"/>
      <c r="AT30007" s="247"/>
    </row>
    <row r="30008">
      <c r="C30008" s="277"/>
      <c r="M30008" s="277"/>
      <c r="O30008" s="247"/>
      <c r="AC30008" s="247"/>
      <c r="AT30008" s="247"/>
    </row>
    <row r="30009">
      <c r="C30009" s="277"/>
      <c r="M30009" s="277"/>
      <c r="O30009" s="247"/>
      <c r="AC30009" s="247"/>
      <c r="AT30009" s="247"/>
    </row>
    <row r="30010">
      <c r="C30010" s="277"/>
      <c r="M30010" s="277"/>
      <c r="O30010" s="247"/>
      <c r="AC30010" s="247"/>
      <c r="AT30010" s="247"/>
    </row>
    <row r="30011">
      <c r="C30011" s="277"/>
      <c r="M30011" s="277"/>
      <c r="O30011" s="247"/>
      <c r="AC30011" s="247"/>
      <c r="AT30011" s="247"/>
    </row>
    <row r="30012">
      <c r="C30012" s="277"/>
      <c r="M30012" s="277"/>
      <c r="O30012" s="247"/>
      <c r="AC30012" s="247"/>
      <c r="AT30012" s="247"/>
    </row>
    <row r="30013">
      <c r="C30013" s="277"/>
      <c r="M30013" s="277"/>
      <c r="O30013" s="247"/>
      <c r="AC30013" s="247"/>
      <c r="AT30013" s="247"/>
    </row>
    <row r="30014">
      <c r="C30014" s="277"/>
      <c r="M30014" s="277"/>
      <c r="O30014" s="247"/>
      <c r="AC30014" s="247"/>
      <c r="AT30014" s="247"/>
    </row>
    <row r="30015">
      <c r="C30015" s="277"/>
      <c r="M30015" s="277"/>
      <c r="O30015" s="247"/>
      <c r="AC30015" s="247"/>
      <c r="AT30015" s="247"/>
    </row>
    <row r="30016">
      <c r="C30016" s="277"/>
      <c r="M30016" s="277"/>
      <c r="O30016" s="247"/>
      <c r="AC30016" s="247"/>
      <c r="AT30016" s="247"/>
    </row>
    <row r="30017">
      <c r="C30017" s="277"/>
      <c r="M30017" s="277"/>
      <c r="O30017" s="247"/>
      <c r="AC30017" s="247"/>
      <c r="AT30017" s="247"/>
    </row>
    <row r="30018">
      <c r="C30018" s="277"/>
      <c r="M30018" s="277"/>
      <c r="O30018" s="247"/>
      <c r="AC30018" s="247"/>
      <c r="AT30018" s="247"/>
    </row>
    <row r="30019">
      <c r="C30019" s="277"/>
      <c r="M30019" s="277"/>
      <c r="O30019" s="247"/>
      <c r="AC30019" s="247"/>
      <c r="AT30019" s="247"/>
    </row>
    <row r="30020">
      <c r="C30020" s="277"/>
      <c r="M30020" s="277"/>
      <c r="O30020" s="247"/>
      <c r="AC30020" s="247"/>
      <c r="AT30020" s="247"/>
    </row>
    <row r="30021">
      <c r="C30021" s="277"/>
      <c r="M30021" s="277"/>
      <c r="O30021" s="247"/>
      <c r="AC30021" s="247"/>
      <c r="AT30021" s="247"/>
    </row>
    <row r="30022">
      <c r="C30022" s="277"/>
      <c r="M30022" s="277"/>
      <c r="O30022" s="247"/>
      <c r="AC30022" s="247"/>
      <c r="AT30022" s="247"/>
    </row>
    <row r="30023">
      <c r="C30023" s="277"/>
      <c r="M30023" s="277"/>
      <c r="O30023" s="247"/>
      <c r="AC30023" s="247"/>
      <c r="AT30023" s="247"/>
    </row>
    <row r="30024">
      <c r="C30024" s="277"/>
      <c r="M30024" s="277"/>
      <c r="O30024" s="247"/>
      <c r="AC30024" s="247"/>
      <c r="AT30024" s="247"/>
    </row>
    <row r="30025">
      <c r="C30025" s="277"/>
      <c r="M30025" s="277"/>
      <c r="O30025" s="247"/>
      <c r="AC30025" s="247"/>
      <c r="AT30025" s="247"/>
    </row>
    <row r="30026">
      <c r="C30026" s="277"/>
      <c r="M30026" s="277"/>
      <c r="O30026" s="247"/>
      <c r="AC30026" s="247"/>
      <c r="AT30026" s="247"/>
    </row>
    <row r="30027">
      <c r="C30027" s="277"/>
      <c r="M30027" s="277"/>
      <c r="O30027" s="247"/>
      <c r="AC30027" s="247"/>
      <c r="AT30027" s="247"/>
    </row>
    <row r="30028">
      <c r="C30028" s="277"/>
      <c r="M30028" s="277"/>
      <c r="O30028" s="247"/>
      <c r="AC30028" s="247"/>
      <c r="AT30028" s="247"/>
    </row>
    <row r="30029">
      <c r="C30029" s="277"/>
      <c r="M30029" s="277"/>
      <c r="O30029" s="247"/>
      <c r="AC30029" s="247"/>
      <c r="AT30029" s="247"/>
    </row>
    <row r="30030">
      <c r="C30030" s="277"/>
      <c r="M30030" s="277"/>
      <c r="O30030" s="247"/>
      <c r="AC30030" s="247"/>
      <c r="AT30030" s="247"/>
    </row>
    <row r="30031">
      <c r="C30031" s="277"/>
      <c r="M30031" s="277"/>
      <c r="O30031" s="247"/>
      <c r="AC30031" s="247"/>
      <c r="AT30031" s="247"/>
    </row>
    <row r="30032">
      <c r="C30032" s="277"/>
      <c r="M30032" s="277"/>
      <c r="O30032" s="247"/>
      <c r="AC30032" s="247"/>
      <c r="AT30032" s="247"/>
    </row>
    <row r="30033">
      <c r="C30033" s="277"/>
      <c r="M30033" s="277"/>
      <c r="O30033" s="247"/>
      <c r="AC30033" s="247"/>
      <c r="AT30033" s="247"/>
    </row>
    <row r="30034">
      <c r="C30034" s="277"/>
      <c r="M30034" s="277"/>
      <c r="O30034" s="247"/>
      <c r="AC30034" s="247"/>
      <c r="AT30034" s="247"/>
    </row>
    <row r="30035">
      <c r="C30035" s="277"/>
      <c r="M30035" s="277"/>
      <c r="O30035" s="247"/>
      <c r="AC30035" s="247"/>
      <c r="AT30035" s="247"/>
    </row>
    <row r="30036">
      <c r="C30036" s="277"/>
      <c r="M30036" s="277"/>
      <c r="O30036" s="247"/>
      <c r="AC30036" s="247"/>
      <c r="AT30036" s="247"/>
    </row>
    <row r="30037">
      <c r="C30037" s="277"/>
      <c r="M30037" s="277"/>
      <c r="O30037" s="247"/>
      <c r="AC30037" s="247"/>
      <c r="AT30037" s="247"/>
    </row>
    <row r="30038">
      <c r="C30038" s="277"/>
      <c r="M30038" s="277"/>
      <c r="O30038" s="247"/>
      <c r="AC30038" s="247"/>
      <c r="AT30038" s="247"/>
    </row>
    <row r="30039">
      <c r="C30039" s="277"/>
      <c r="M30039" s="277"/>
      <c r="O30039" s="247"/>
      <c r="AC30039" s="247"/>
      <c r="AT30039" s="247"/>
    </row>
    <row r="30040">
      <c r="C30040" s="277"/>
      <c r="M30040" s="277"/>
      <c r="O30040" s="247"/>
      <c r="AC30040" s="247"/>
      <c r="AT30040" s="247"/>
    </row>
    <row r="30041">
      <c r="C30041" s="277"/>
      <c r="M30041" s="277"/>
      <c r="O30041" s="247"/>
      <c r="AC30041" s="247"/>
      <c r="AT30041" s="247"/>
    </row>
    <row r="30042">
      <c r="C30042" s="277"/>
      <c r="M30042" s="277"/>
      <c r="O30042" s="247"/>
      <c r="AC30042" s="247"/>
      <c r="AT30042" s="247"/>
    </row>
    <row r="30043">
      <c r="C30043" s="277"/>
      <c r="M30043" s="277"/>
      <c r="O30043" s="247"/>
      <c r="AC30043" s="247"/>
      <c r="AT30043" s="247"/>
    </row>
    <row r="30044">
      <c r="C30044" s="277"/>
      <c r="M30044" s="277"/>
      <c r="O30044" s="247"/>
      <c r="AC30044" s="247"/>
      <c r="AT30044" s="247"/>
    </row>
    <row r="30045">
      <c r="C30045" s="277"/>
      <c r="M30045" s="277"/>
      <c r="O30045" s="247"/>
      <c r="AC30045" s="247"/>
      <c r="AT30045" s="247"/>
    </row>
    <row r="30046">
      <c r="C30046" s="277"/>
      <c r="M30046" s="277"/>
      <c r="O30046" s="247"/>
      <c r="AC30046" s="247"/>
      <c r="AT30046" s="247"/>
    </row>
    <row r="30047">
      <c r="C30047" s="277"/>
      <c r="M30047" s="277"/>
      <c r="O30047" s="247"/>
      <c r="AC30047" s="247"/>
      <c r="AT30047" s="247"/>
    </row>
    <row r="30048">
      <c r="C30048" s="277"/>
      <c r="M30048" s="277"/>
      <c r="O30048" s="247"/>
      <c r="AC30048" s="247"/>
      <c r="AT30048" s="247"/>
    </row>
    <row r="30049">
      <c r="C30049" s="277"/>
      <c r="M30049" s="277"/>
      <c r="O30049" s="247"/>
      <c r="AC30049" s="247"/>
      <c r="AT30049" s="247"/>
    </row>
    <row r="30050">
      <c r="C30050" s="277"/>
      <c r="M30050" s="277"/>
      <c r="O30050" s="247"/>
      <c r="AC30050" s="247"/>
      <c r="AT30050" s="247"/>
    </row>
    <row r="30051">
      <c r="C30051" s="277"/>
      <c r="M30051" s="277"/>
      <c r="O30051" s="247"/>
      <c r="AC30051" s="247"/>
      <c r="AT30051" s="247"/>
    </row>
    <row r="30052">
      <c r="C30052" s="277"/>
      <c r="M30052" s="277"/>
      <c r="O30052" s="247"/>
      <c r="AC30052" s="247"/>
      <c r="AT30052" s="247"/>
    </row>
    <row r="30053">
      <c r="C30053" s="277"/>
      <c r="M30053" s="277"/>
      <c r="O30053" s="247"/>
      <c r="AC30053" s="247"/>
      <c r="AT30053" s="247"/>
    </row>
    <row r="30054">
      <c r="C30054" s="277"/>
      <c r="M30054" s="277"/>
      <c r="O30054" s="247"/>
      <c r="AC30054" s="247"/>
      <c r="AT30054" s="247"/>
    </row>
    <row r="30055">
      <c r="C30055" s="277"/>
      <c r="M30055" s="277"/>
      <c r="O30055" s="247"/>
      <c r="AC30055" s="247"/>
      <c r="AT30055" s="247"/>
    </row>
    <row r="30056">
      <c r="C30056" s="277"/>
      <c r="M30056" s="277"/>
      <c r="O30056" s="247"/>
      <c r="AC30056" s="247"/>
      <c r="AT30056" s="247"/>
    </row>
    <row r="30057">
      <c r="C30057" s="277"/>
      <c r="M30057" s="277"/>
      <c r="O30057" s="247"/>
      <c r="AC30057" s="247"/>
      <c r="AT30057" s="247"/>
    </row>
    <row r="30058">
      <c r="C30058" s="277"/>
      <c r="M30058" s="277"/>
      <c r="O30058" s="247"/>
      <c r="AC30058" s="247"/>
      <c r="AT30058" s="247"/>
    </row>
    <row r="30059">
      <c r="C30059" s="277"/>
      <c r="M30059" s="277"/>
      <c r="O30059" s="247"/>
      <c r="AC30059" s="247"/>
      <c r="AT30059" s="247"/>
    </row>
    <row r="30060">
      <c r="C30060" s="277"/>
      <c r="M30060" s="277"/>
      <c r="O30060" s="247"/>
      <c r="AC30060" s="247"/>
      <c r="AT30060" s="247"/>
    </row>
    <row r="30061">
      <c r="C30061" s="277"/>
      <c r="M30061" s="277"/>
      <c r="O30061" s="247"/>
      <c r="AC30061" s="247"/>
      <c r="AT30061" s="247"/>
    </row>
    <row r="30062">
      <c r="C30062" s="277"/>
      <c r="M30062" s="277"/>
      <c r="O30062" s="247"/>
      <c r="AC30062" s="247"/>
      <c r="AT30062" s="247"/>
    </row>
    <row r="30063">
      <c r="C30063" s="277"/>
      <c r="M30063" s="277"/>
      <c r="O30063" s="247"/>
      <c r="AC30063" s="247"/>
      <c r="AT30063" s="247"/>
    </row>
    <row r="30064">
      <c r="C30064" s="277"/>
      <c r="M30064" s="277"/>
      <c r="O30064" s="247"/>
      <c r="AC30064" s="247"/>
      <c r="AT30064" s="247"/>
    </row>
    <row r="30065">
      <c r="C30065" s="277"/>
      <c r="M30065" s="277"/>
      <c r="O30065" s="247"/>
      <c r="AC30065" s="247"/>
      <c r="AT30065" s="247"/>
    </row>
    <row r="30066">
      <c r="C30066" s="277"/>
      <c r="M30066" s="277"/>
      <c r="O30066" s="247"/>
      <c r="AC30066" s="247"/>
      <c r="AT30066" s="247"/>
    </row>
    <row r="30067">
      <c r="C30067" s="277"/>
      <c r="M30067" s="277"/>
      <c r="O30067" s="247"/>
      <c r="AC30067" s="247"/>
      <c r="AT30067" s="247"/>
    </row>
    <row r="30068">
      <c r="C30068" s="277"/>
      <c r="M30068" s="277"/>
      <c r="O30068" s="247"/>
      <c r="AC30068" s="247"/>
      <c r="AT30068" s="247"/>
    </row>
    <row r="30069">
      <c r="C30069" s="277"/>
      <c r="M30069" s="277"/>
      <c r="O30069" s="247"/>
      <c r="AC30069" s="247"/>
      <c r="AT30069" s="247"/>
    </row>
    <row r="30070">
      <c r="C30070" s="277"/>
      <c r="M30070" s="277"/>
      <c r="O30070" s="247"/>
      <c r="AC30070" s="247"/>
      <c r="AT30070" s="247"/>
    </row>
    <row r="30071">
      <c r="C30071" s="277"/>
      <c r="M30071" s="277"/>
      <c r="O30071" s="247"/>
      <c r="AC30071" s="247"/>
      <c r="AT30071" s="247"/>
    </row>
    <row r="30072">
      <c r="C30072" s="277"/>
      <c r="M30072" s="277"/>
      <c r="O30072" s="247"/>
      <c r="AC30072" s="247"/>
      <c r="AT30072" s="247"/>
    </row>
    <row r="30073">
      <c r="C30073" s="277"/>
      <c r="M30073" s="277"/>
      <c r="O30073" s="247"/>
      <c r="AC30073" s="247"/>
      <c r="AT30073" s="247"/>
    </row>
    <row r="30074">
      <c r="C30074" s="277"/>
      <c r="M30074" s="277"/>
      <c r="O30074" s="247"/>
      <c r="AC30074" s="247"/>
      <c r="AT30074" s="247"/>
    </row>
    <row r="30075">
      <c r="C30075" s="277"/>
      <c r="M30075" s="277"/>
      <c r="O30075" s="247"/>
      <c r="AC30075" s="247"/>
      <c r="AT30075" s="247"/>
    </row>
    <row r="30076">
      <c r="C30076" s="277"/>
      <c r="M30076" s="277"/>
      <c r="O30076" s="247"/>
      <c r="AC30076" s="247"/>
      <c r="AT30076" s="247"/>
    </row>
    <row r="30077">
      <c r="C30077" s="277"/>
      <c r="M30077" s="277"/>
      <c r="O30077" s="247"/>
      <c r="AC30077" s="247"/>
      <c r="AT30077" s="247"/>
    </row>
    <row r="30078">
      <c r="C30078" s="277"/>
      <c r="M30078" s="277"/>
      <c r="O30078" s="247"/>
      <c r="AC30078" s="247"/>
      <c r="AT30078" s="247"/>
    </row>
    <row r="30079">
      <c r="C30079" s="277"/>
      <c r="M30079" s="277"/>
      <c r="O30079" s="247"/>
      <c r="AC30079" s="247"/>
      <c r="AT30079" s="247"/>
    </row>
    <row r="30080">
      <c r="C30080" s="277"/>
      <c r="M30080" s="277"/>
      <c r="O30080" s="247"/>
      <c r="AC30080" s="247"/>
      <c r="AT30080" s="247"/>
    </row>
    <row r="30081">
      <c r="C30081" s="277"/>
      <c r="M30081" s="277"/>
      <c r="O30081" s="247"/>
      <c r="AC30081" s="247"/>
      <c r="AT30081" s="247"/>
    </row>
    <row r="30082">
      <c r="C30082" s="277"/>
      <c r="M30082" s="277"/>
      <c r="O30082" s="247"/>
      <c r="AC30082" s="247"/>
      <c r="AT30082" s="247"/>
    </row>
    <row r="30083">
      <c r="C30083" s="277"/>
      <c r="M30083" s="277"/>
      <c r="O30083" s="247"/>
      <c r="AC30083" s="247"/>
      <c r="AT30083" s="247"/>
    </row>
    <row r="30084">
      <c r="C30084" s="277"/>
      <c r="M30084" s="277"/>
      <c r="O30084" s="247"/>
      <c r="AC30084" s="247"/>
      <c r="AT30084" s="247"/>
    </row>
    <row r="30085">
      <c r="C30085" s="277"/>
      <c r="M30085" s="277"/>
      <c r="O30085" s="247"/>
      <c r="AC30085" s="247"/>
      <c r="AT30085" s="247"/>
    </row>
    <row r="30086">
      <c r="C30086" s="277"/>
      <c r="M30086" s="277"/>
      <c r="O30086" s="247"/>
      <c r="AC30086" s="247"/>
      <c r="AT30086" s="247"/>
    </row>
    <row r="30087">
      <c r="C30087" s="277"/>
      <c r="M30087" s="277"/>
      <c r="O30087" s="247"/>
      <c r="AC30087" s="247"/>
      <c r="AT30087" s="247"/>
    </row>
    <row r="30088">
      <c r="C30088" s="277"/>
      <c r="M30088" s="277"/>
      <c r="O30088" s="247"/>
      <c r="AC30088" s="247"/>
      <c r="AT30088" s="247"/>
    </row>
    <row r="30089">
      <c r="C30089" s="277"/>
      <c r="M30089" s="277"/>
      <c r="O30089" s="247"/>
      <c r="AC30089" s="247"/>
      <c r="AT30089" s="247"/>
    </row>
    <row r="30090">
      <c r="C30090" s="277"/>
      <c r="M30090" s="277"/>
      <c r="O30090" s="247"/>
      <c r="AC30090" s="247"/>
      <c r="AT30090" s="247"/>
    </row>
    <row r="30091">
      <c r="C30091" s="277"/>
      <c r="M30091" s="277"/>
      <c r="O30091" s="247"/>
      <c r="AC30091" s="247"/>
      <c r="AT30091" s="247"/>
    </row>
    <row r="30092">
      <c r="C30092" s="277"/>
      <c r="M30092" s="277"/>
      <c r="O30092" s="247"/>
      <c r="AC30092" s="247"/>
      <c r="AT30092" s="247"/>
    </row>
    <row r="30093">
      <c r="C30093" s="277"/>
      <c r="M30093" s="277"/>
      <c r="O30093" s="247"/>
      <c r="AC30093" s="247"/>
      <c r="AT30093" s="247"/>
    </row>
    <row r="30094">
      <c r="C30094" s="277"/>
      <c r="M30094" s="277"/>
      <c r="O30094" s="247"/>
      <c r="AC30094" s="247"/>
      <c r="AT30094" s="247"/>
    </row>
    <row r="30095">
      <c r="C30095" s="277"/>
      <c r="M30095" s="277"/>
      <c r="O30095" s="247"/>
      <c r="AC30095" s="247"/>
      <c r="AT30095" s="247"/>
    </row>
    <row r="30096">
      <c r="C30096" s="277"/>
      <c r="M30096" s="277"/>
      <c r="O30096" s="247"/>
      <c r="AC30096" s="247"/>
      <c r="AT30096" s="247"/>
    </row>
    <row r="30097">
      <c r="C30097" s="277"/>
      <c r="M30097" s="277"/>
      <c r="O30097" s="247"/>
      <c r="AC30097" s="247"/>
      <c r="AT30097" s="247"/>
    </row>
    <row r="30098">
      <c r="C30098" s="277"/>
      <c r="M30098" s="277"/>
      <c r="O30098" s="247"/>
      <c r="AC30098" s="247"/>
      <c r="AT30098" s="247"/>
    </row>
    <row r="30099">
      <c r="C30099" s="277"/>
      <c r="M30099" s="277"/>
      <c r="O30099" s="247"/>
      <c r="AC30099" s="247"/>
      <c r="AT30099" s="247"/>
    </row>
    <row r="30100">
      <c r="C30100" s="277"/>
      <c r="M30100" s="277"/>
      <c r="O30100" s="247"/>
      <c r="AC30100" s="247"/>
      <c r="AT30100" s="247"/>
    </row>
    <row r="30101">
      <c r="C30101" s="277"/>
      <c r="M30101" s="277"/>
      <c r="O30101" s="247"/>
      <c r="AC30101" s="247"/>
      <c r="AT30101" s="247"/>
    </row>
    <row r="30102">
      <c r="C30102" s="277"/>
      <c r="M30102" s="277"/>
      <c r="O30102" s="247"/>
      <c r="AC30102" s="247"/>
      <c r="AT30102" s="247"/>
    </row>
    <row r="30103">
      <c r="C30103" s="277"/>
      <c r="M30103" s="277"/>
      <c r="O30103" s="247"/>
      <c r="AC30103" s="247"/>
      <c r="AT30103" s="247"/>
    </row>
    <row r="30104">
      <c r="C30104" s="277"/>
      <c r="M30104" s="277"/>
      <c r="O30104" s="247"/>
      <c r="AC30104" s="247"/>
      <c r="AT30104" s="247"/>
    </row>
    <row r="30105">
      <c r="C30105" s="277"/>
      <c r="M30105" s="277"/>
      <c r="O30105" s="247"/>
      <c r="AC30105" s="247"/>
      <c r="AT30105" s="247"/>
    </row>
    <row r="30106">
      <c r="C30106" s="277"/>
      <c r="M30106" s="277"/>
      <c r="O30106" s="247"/>
      <c r="AC30106" s="247"/>
      <c r="AT30106" s="247"/>
    </row>
    <row r="30107">
      <c r="C30107" s="277"/>
      <c r="M30107" s="277"/>
      <c r="O30107" s="247"/>
      <c r="AC30107" s="247"/>
      <c r="AT30107" s="247"/>
    </row>
    <row r="30108">
      <c r="C30108" s="277"/>
      <c r="M30108" s="277"/>
      <c r="O30108" s="247"/>
      <c r="AC30108" s="247"/>
      <c r="AT30108" s="247"/>
    </row>
    <row r="30109">
      <c r="C30109" s="277"/>
      <c r="M30109" s="277"/>
      <c r="O30109" s="247"/>
      <c r="AC30109" s="247"/>
      <c r="AT30109" s="247"/>
    </row>
    <row r="30110">
      <c r="C30110" s="277"/>
      <c r="M30110" s="277"/>
      <c r="O30110" s="247"/>
      <c r="AC30110" s="247"/>
      <c r="AT30110" s="247"/>
    </row>
    <row r="30111">
      <c r="C30111" s="277"/>
      <c r="M30111" s="277"/>
      <c r="O30111" s="247"/>
      <c r="AC30111" s="247"/>
      <c r="AT30111" s="247"/>
    </row>
    <row r="30112">
      <c r="C30112" s="277"/>
      <c r="M30112" s="277"/>
      <c r="O30112" s="247"/>
      <c r="AC30112" s="247"/>
      <c r="AT30112" s="247"/>
    </row>
    <row r="30113">
      <c r="C30113" s="277"/>
      <c r="M30113" s="277"/>
      <c r="O30113" s="247"/>
      <c r="AC30113" s="247"/>
      <c r="AT30113" s="247"/>
    </row>
    <row r="30114">
      <c r="C30114" s="277"/>
      <c r="M30114" s="277"/>
      <c r="O30114" s="247"/>
      <c r="AC30114" s="247"/>
      <c r="AT30114" s="247"/>
    </row>
    <row r="30115">
      <c r="C30115" s="277"/>
      <c r="M30115" s="277"/>
      <c r="O30115" s="247"/>
      <c r="AC30115" s="247"/>
      <c r="AT30115" s="247"/>
    </row>
    <row r="30116">
      <c r="C30116" s="277"/>
      <c r="M30116" s="277"/>
      <c r="O30116" s="247"/>
      <c r="AC30116" s="247"/>
      <c r="AT30116" s="247"/>
    </row>
    <row r="30117">
      <c r="C30117" s="277"/>
      <c r="M30117" s="277"/>
      <c r="O30117" s="247"/>
      <c r="AC30117" s="247"/>
      <c r="AT30117" s="247"/>
    </row>
    <row r="30118">
      <c r="C30118" s="277"/>
      <c r="M30118" s="277"/>
      <c r="O30118" s="247"/>
      <c r="AC30118" s="247"/>
      <c r="AT30118" s="247"/>
    </row>
    <row r="30119">
      <c r="C30119" s="277"/>
      <c r="M30119" s="277"/>
      <c r="O30119" s="247"/>
      <c r="AC30119" s="247"/>
      <c r="AT30119" s="247"/>
    </row>
    <row r="30120">
      <c r="C30120" s="277"/>
      <c r="M30120" s="277"/>
      <c r="O30120" s="247"/>
      <c r="AC30120" s="247"/>
      <c r="AT30120" s="247"/>
    </row>
    <row r="30121">
      <c r="C30121" s="277"/>
      <c r="M30121" s="277"/>
      <c r="O30121" s="247"/>
      <c r="AC30121" s="247"/>
      <c r="AT30121" s="247"/>
    </row>
    <row r="30122">
      <c r="C30122" s="277"/>
      <c r="M30122" s="277"/>
      <c r="O30122" s="247"/>
      <c r="AC30122" s="247"/>
      <c r="AT30122" s="247"/>
    </row>
    <row r="30123">
      <c r="C30123" s="277"/>
      <c r="M30123" s="277"/>
      <c r="O30123" s="247"/>
      <c r="AC30123" s="247"/>
      <c r="AT30123" s="247"/>
    </row>
    <row r="30124">
      <c r="C30124" s="277"/>
      <c r="M30124" s="277"/>
      <c r="O30124" s="247"/>
      <c r="AC30124" s="247"/>
      <c r="AT30124" s="247"/>
    </row>
    <row r="30125">
      <c r="C30125" s="277"/>
      <c r="M30125" s="277"/>
      <c r="O30125" s="247"/>
      <c r="AC30125" s="247"/>
      <c r="AT30125" s="247"/>
    </row>
    <row r="30126">
      <c r="C30126" s="277"/>
      <c r="M30126" s="277"/>
      <c r="O30126" s="247"/>
      <c r="AC30126" s="247"/>
      <c r="AT30126" s="247"/>
    </row>
    <row r="30127">
      <c r="C30127" s="277"/>
      <c r="M30127" s="277"/>
      <c r="O30127" s="247"/>
      <c r="AC30127" s="247"/>
      <c r="AT30127" s="247"/>
    </row>
    <row r="30128">
      <c r="C30128" s="277"/>
      <c r="M30128" s="277"/>
      <c r="O30128" s="247"/>
      <c r="AC30128" s="247"/>
      <c r="AT30128" s="247"/>
    </row>
    <row r="30129">
      <c r="C30129" s="277"/>
      <c r="M30129" s="277"/>
      <c r="O30129" s="247"/>
      <c r="AC30129" s="247"/>
      <c r="AT30129" s="247"/>
    </row>
    <row r="30130">
      <c r="C30130" s="277"/>
      <c r="M30130" s="277"/>
      <c r="O30130" s="247"/>
      <c r="AC30130" s="247"/>
      <c r="AT30130" s="247"/>
    </row>
    <row r="30131">
      <c r="C30131" s="277"/>
      <c r="M30131" s="277"/>
      <c r="O30131" s="247"/>
      <c r="AC30131" s="247"/>
      <c r="AT30131" s="247"/>
    </row>
    <row r="30132">
      <c r="C30132" s="277"/>
      <c r="M30132" s="277"/>
      <c r="O30132" s="247"/>
      <c r="AC30132" s="247"/>
      <c r="AT30132" s="247"/>
    </row>
    <row r="30133">
      <c r="C30133" s="277"/>
      <c r="M30133" s="277"/>
      <c r="O30133" s="247"/>
      <c r="AC30133" s="247"/>
      <c r="AT30133" s="247"/>
    </row>
    <row r="30134">
      <c r="C30134" s="277"/>
      <c r="M30134" s="277"/>
      <c r="O30134" s="247"/>
      <c r="AC30134" s="247"/>
      <c r="AT30134" s="247"/>
    </row>
    <row r="30135">
      <c r="C30135" s="277"/>
      <c r="M30135" s="277"/>
      <c r="O30135" s="247"/>
      <c r="AC30135" s="247"/>
      <c r="AT30135" s="247"/>
    </row>
    <row r="30136">
      <c r="C30136" s="277"/>
      <c r="M30136" s="277"/>
      <c r="O30136" s="247"/>
      <c r="AC30136" s="247"/>
      <c r="AT30136" s="247"/>
    </row>
    <row r="30137">
      <c r="C30137" s="277"/>
      <c r="M30137" s="277"/>
      <c r="O30137" s="247"/>
      <c r="AC30137" s="247"/>
      <c r="AT30137" s="247"/>
    </row>
    <row r="30138">
      <c r="C30138" s="277"/>
      <c r="M30138" s="277"/>
      <c r="O30138" s="247"/>
      <c r="AC30138" s="247"/>
      <c r="AT30138" s="247"/>
    </row>
    <row r="30139">
      <c r="C30139" s="277"/>
      <c r="M30139" s="277"/>
      <c r="O30139" s="247"/>
      <c r="AC30139" s="247"/>
      <c r="AT30139" s="247"/>
    </row>
    <row r="30140">
      <c r="C30140" s="277"/>
      <c r="M30140" s="277"/>
      <c r="O30140" s="247"/>
      <c r="AC30140" s="247"/>
      <c r="AT30140" s="247"/>
    </row>
    <row r="30141">
      <c r="C30141" s="277"/>
      <c r="M30141" s="277"/>
      <c r="O30141" s="247"/>
      <c r="AC30141" s="247"/>
      <c r="AT30141" s="247"/>
    </row>
    <row r="30142">
      <c r="C30142" s="277"/>
      <c r="M30142" s="277"/>
      <c r="O30142" s="247"/>
      <c r="AC30142" s="247"/>
      <c r="AT30142" s="247"/>
    </row>
    <row r="30143">
      <c r="C30143" s="277"/>
      <c r="M30143" s="277"/>
      <c r="O30143" s="247"/>
      <c r="AC30143" s="247"/>
      <c r="AT30143" s="247"/>
    </row>
    <row r="30144">
      <c r="C30144" s="277"/>
      <c r="M30144" s="277"/>
      <c r="O30144" s="247"/>
      <c r="AC30144" s="247"/>
      <c r="AT30144" s="247"/>
    </row>
    <row r="30145">
      <c r="C30145" s="277"/>
      <c r="M30145" s="277"/>
      <c r="O30145" s="247"/>
      <c r="AC30145" s="247"/>
      <c r="AT30145" s="247"/>
    </row>
    <row r="30146">
      <c r="C30146" s="277"/>
      <c r="M30146" s="277"/>
      <c r="O30146" s="247"/>
      <c r="AC30146" s="247"/>
      <c r="AT30146" s="247"/>
    </row>
    <row r="30147">
      <c r="C30147" s="277"/>
      <c r="M30147" s="277"/>
      <c r="O30147" s="247"/>
      <c r="AC30147" s="247"/>
      <c r="AT30147" s="247"/>
    </row>
    <row r="30148">
      <c r="C30148" s="277"/>
      <c r="M30148" s="277"/>
      <c r="O30148" s="247"/>
      <c r="AC30148" s="247"/>
      <c r="AT30148" s="247"/>
    </row>
    <row r="30149">
      <c r="C30149" s="277"/>
      <c r="M30149" s="277"/>
      <c r="O30149" s="247"/>
      <c r="AC30149" s="247"/>
      <c r="AT30149" s="247"/>
    </row>
    <row r="30150">
      <c r="C30150" s="277"/>
      <c r="M30150" s="277"/>
      <c r="O30150" s="247"/>
      <c r="AC30150" s="247"/>
      <c r="AT30150" s="247"/>
    </row>
    <row r="30151">
      <c r="C30151" s="277"/>
      <c r="M30151" s="277"/>
      <c r="O30151" s="247"/>
      <c r="AC30151" s="247"/>
      <c r="AT30151" s="247"/>
    </row>
    <row r="30152">
      <c r="C30152" s="277"/>
      <c r="M30152" s="277"/>
      <c r="O30152" s="247"/>
      <c r="AC30152" s="247"/>
      <c r="AT30152" s="247"/>
    </row>
    <row r="30153">
      <c r="C30153" s="277"/>
      <c r="M30153" s="277"/>
      <c r="O30153" s="247"/>
      <c r="AC30153" s="247"/>
      <c r="AT30153" s="247"/>
    </row>
    <row r="30154">
      <c r="C30154" s="277"/>
      <c r="M30154" s="277"/>
      <c r="O30154" s="247"/>
      <c r="AC30154" s="247"/>
      <c r="AT30154" s="247"/>
    </row>
    <row r="30155">
      <c r="C30155" s="277"/>
      <c r="M30155" s="277"/>
      <c r="O30155" s="247"/>
      <c r="AC30155" s="247"/>
      <c r="AT30155" s="247"/>
    </row>
    <row r="30156">
      <c r="C30156" s="277"/>
      <c r="M30156" s="277"/>
      <c r="O30156" s="247"/>
      <c r="AC30156" s="247"/>
      <c r="AT30156" s="247"/>
    </row>
    <row r="30157">
      <c r="C30157" s="277"/>
      <c r="M30157" s="277"/>
      <c r="O30157" s="247"/>
      <c r="AC30157" s="247"/>
      <c r="AT30157" s="247"/>
    </row>
    <row r="30158">
      <c r="C30158" s="277"/>
      <c r="M30158" s="277"/>
      <c r="O30158" s="247"/>
      <c r="AC30158" s="247"/>
      <c r="AT30158" s="247"/>
    </row>
    <row r="30159">
      <c r="C30159" s="277"/>
      <c r="M30159" s="277"/>
      <c r="O30159" s="247"/>
      <c r="AC30159" s="247"/>
      <c r="AT30159" s="247"/>
    </row>
    <row r="30160">
      <c r="C30160" s="277"/>
      <c r="M30160" s="277"/>
      <c r="O30160" s="247"/>
      <c r="AC30160" s="247"/>
      <c r="AT30160" s="247"/>
    </row>
    <row r="30161">
      <c r="C30161" s="277"/>
      <c r="M30161" s="277"/>
      <c r="O30161" s="247"/>
      <c r="AC30161" s="247"/>
      <c r="AT30161" s="247"/>
    </row>
    <row r="30162">
      <c r="C30162" s="277"/>
      <c r="M30162" s="277"/>
      <c r="O30162" s="247"/>
      <c r="AC30162" s="247"/>
      <c r="AT30162" s="247"/>
    </row>
    <row r="30163">
      <c r="C30163" s="277"/>
      <c r="M30163" s="277"/>
      <c r="O30163" s="247"/>
      <c r="AC30163" s="247"/>
      <c r="AT30163" s="247"/>
    </row>
    <row r="30164">
      <c r="C30164" s="277"/>
      <c r="M30164" s="277"/>
      <c r="O30164" s="247"/>
      <c r="AC30164" s="247"/>
      <c r="AT30164" s="247"/>
    </row>
    <row r="30165">
      <c r="C30165" s="277"/>
      <c r="M30165" s="277"/>
      <c r="O30165" s="247"/>
      <c r="AC30165" s="247"/>
      <c r="AT30165" s="247"/>
    </row>
    <row r="30166">
      <c r="C30166" s="277"/>
      <c r="M30166" s="277"/>
      <c r="O30166" s="247"/>
      <c r="AC30166" s="247"/>
      <c r="AT30166" s="247"/>
    </row>
    <row r="30167">
      <c r="C30167" s="277"/>
      <c r="M30167" s="277"/>
      <c r="O30167" s="247"/>
      <c r="AC30167" s="247"/>
      <c r="AT30167" s="247"/>
    </row>
    <row r="30168">
      <c r="C30168" s="277"/>
      <c r="M30168" s="277"/>
      <c r="O30168" s="247"/>
      <c r="AC30168" s="247"/>
      <c r="AT30168" s="247"/>
    </row>
    <row r="30169">
      <c r="C30169" s="277"/>
      <c r="M30169" s="277"/>
      <c r="O30169" s="247"/>
      <c r="AC30169" s="247"/>
      <c r="AT30169" s="247"/>
    </row>
    <row r="30170">
      <c r="C30170" s="277"/>
      <c r="M30170" s="277"/>
      <c r="O30170" s="247"/>
      <c r="AC30170" s="247"/>
      <c r="AT30170" s="247"/>
    </row>
    <row r="30171">
      <c r="C30171" s="277"/>
      <c r="M30171" s="277"/>
      <c r="O30171" s="247"/>
      <c r="AC30171" s="247"/>
      <c r="AT30171" s="247"/>
    </row>
    <row r="30172">
      <c r="C30172" s="277"/>
      <c r="M30172" s="277"/>
      <c r="O30172" s="247"/>
      <c r="AC30172" s="247"/>
      <c r="AT30172" s="247"/>
    </row>
    <row r="30173">
      <c r="C30173" s="277"/>
      <c r="M30173" s="277"/>
      <c r="O30173" s="247"/>
      <c r="AC30173" s="247"/>
      <c r="AT30173" s="247"/>
    </row>
    <row r="30174">
      <c r="C30174" s="277"/>
      <c r="M30174" s="277"/>
      <c r="O30174" s="247"/>
      <c r="AC30174" s="247"/>
      <c r="AT30174" s="247"/>
    </row>
    <row r="30175">
      <c r="C30175" s="277"/>
      <c r="M30175" s="277"/>
      <c r="O30175" s="247"/>
      <c r="AC30175" s="247"/>
      <c r="AT30175" s="247"/>
    </row>
    <row r="30176">
      <c r="C30176" s="277"/>
      <c r="M30176" s="277"/>
      <c r="O30176" s="247"/>
      <c r="AC30176" s="247"/>
      <c r="AT30176" s="247"/>
    </row>
    <row r="30177">
      <c r="C30177" s="277"/>
      <c r="M30177" s="277"/>
      <c r="O30177" s="247"/>
      <c r="AC30177" s="247"/>
      <c r="AT30177" s="247"/>
    </row>
    <row r="30178">
      <c r="C30178" s="277"/>
      <c r="M30178" s="277"/>
      <c r="O30178" s="247"/>
      <c r="AC30178" s="247"/>
      <c r="AT30178" s="247"/>
    </row>
    <row r="30179">
      <c r="C30179" s="277"/>
      <c r="M30179" s="277"/>
      <c r="O30179" s="247"/>
      <c r="AC30179" s="247"/>
      <c r="AT30179" s="247"/>
    </row>
    <row r="30180">
      <c r="C30180" s="277"/>
      <c r="M30180" s="277"/>
      <c r="O30180" s="247"/>
      <c r="AC30180" s="247"/>
      <c r="AT30180" s="247"/>
    </row>
    <row r="30181">
      <c r="C30181" s="277"/>
      <c r="M30181" s="277"/>
      <c r="O30181" s="247"/>
      <c r="AC30181" s="247"/>
      <c r="AT30181" s="247"/>
    </row>
    <row r="30182">
      <c r="C30182" s="277"/>
      <c r="M30182" s="277"/>
      <c r="O30182" s="247"/>
      <c r="AC30182" s="247"/>
      <c r="AT30182" s="247"/>
    </row>
    <row r="30183">
      <c r="C30183" s="277"/>
      <c r="M30183" s="277"/>
      <c r="O30183" s="247"/>
      <c r="AC30183" s="247"/>
      <c r="AT30183" s="247"/>
    </row>
    <row r="30184">
      <c r="C30184" s="277"/>
      <c r="M30184" s="277"/>
      <c r="O30184" s="247"/>
      <c r="AC30184" s="247"/>
      <c r="AT30184" s="247"/>
    </row>
    <row r="30185">
      <c r="C30185" s="277"/>
      <c r="M30185" s="277"/>
      <c r="O30185" s="247"/>
      <c r="AC30185" s="247"/>
      <c r="AT30185" s="247"/>
    </row>
    <row r="30186">
      <c r="C30186" s="277"/>
      <c r="M30186" s="277"/>
      <c r="O30186" s="247"/>
      <c r="AC30186" s="247"/>
      <c r="AT30186" s="247"/>
    </row>
    <row r="30187">
      <c r="C30187" s="277"/>
      <c r="M30187" s="277"/>
      <c r="O30187" s="247"/>
      <c r="AC30187" s="247"/>
      <c r="AT30187" s="247"/>
    </row>
    <row r="30188">
      <c r="C30188" s="277"/>
      <c r="M30188" s="277"/>
      <c r="O30188" s="247"/>
      <c r="AC30188" s="247"/>
      <c r="AT30188" s="247"/>
    </row>
    <row r="30189">
      <c r="C30189" s="277"/>
      <c r="M30189" s="277"/>
      <c r="O30189" s="247"/>
      <c r="AC30189" s="247"/>
      <c r="AT30189" s="247"/>
    </row>
    <row r="30190">
      <c r="C30190" s="277"/>
      <c r="M30190" s="277"/>
      <c r="O30190" s="247"/>
      <c r="AC30190" s="247"/>
      <c r="AT30190" s="247"/>
    </row>
    <row r="30191">
      <c r="C30191" s="277"/>
      <c r="M30191" s="277"/>
      <c r="O30191" s="247"/>
      <c r="AC30191" s="247"/>
      <c r="AT30191" s="247"/>
    </row>
    <row r="30192">
      <c r="C30192" s="277"/>
      <c r="M30192" s="277"/>
      <c r="O30192" s="247"/>
      <c r="AC30192" s="247"/>
      <c r="AT30192" s="247"/>
    </row>
    <row r="30193">
      <c r="C30193" s="277"/>
      <c r="M30193" s="277"/>
      <c r="O30193" s="247"/>
      <c r="AC30193" s="247"/>
      <c r="AT30193" s="247"/>
    </row>
    <row r="30194">
      <c r="C30194" s="277"/>
      <c r="M30194" s="277"/>
      <c r="O30194" s="247"/>
      <c r="AC30194" s="247"/>
      <c r="AT30194" s="247"/>
    </row>
    <row r="30195">
      <c r="C30195" s="277"/>
      <c r="M30195" s="277"/>
      <c r="O30195" s="247"/>
      <c r="AC30195" s="247"/>
      <c r="AT30195" s="247"/>
    </row>
    <row r="30196">
      <c r="C30196" s="277"/>
      <c r="M30196" s="277"/>
      <c r="O30196" s="247"/>
      <c r="AC30196" s="247"/>
      <c r="AT30196" s="247"/>
    </row>
    <row r="30197">
      <c r="C30197" s="277"/>
      <c r="M30197" s="277"/>
      <c r="O30197" s="247"/>
      <c r="AC30197" s="247"/>
      <c r="AT30197" s="247"/>
    </row>
    <row r="30198">
      <c r="C30198" s="277"/>
      <c r="M30198" s="277"/>
      <c r="O30198" s="247"/>
      <c r="AC30198" s="247"/>
      <c r="AT30198" s="247"/>
    </row>
    <row r="30199">
      <c r="C30199" s="277"/>
      <c r="M30199" s="277"/>
      <c r="O30199" s="247"/>
      <c r="AC30199" s="247"/>
      <c r="AT30199" s="247"/>
    </row>
    <row r="30200">
      <c r="C30200" s="277"/>
      <c r="M30200" s="277"/>
      <c r="O30200" s="247"/>
      <c r="AC30200" s="247"/>
      <c r="AT30200" s="247"/>
    </row>
    <row r="30201">
      <c r="C30201" s="277"/>
      <c r="M30201" s="277"/>
      <c r="O30201" s="247"/>
      <c r="AC30201" s="247"/>
      <c r="AT30201" s="247"/>
    </row>
    <row r="30202">
      <c r="C30202" s="277"/>
      <c r="M30202" s="277"/>
      <c r="O30202" s="247"/>
      <c r="AC30202" s="247"/>
      <c r="AT30202" s="247"/>
    </row>
    <row r="30203">
      <c r="C30203" s="277"/>
      <c r="M30203" s="277"/>
      <c r="O30203" s="247"/>
      <c r="AC30203" s="247"/>
      <c r="AT30203" s="247"/>
    </row>
    <row r="30204">
      <c r="C30204" s="277"/>
      <c r="M30204" s="277"/>
      <c r="O30204" s="247"/>
      <c r="AC30204" s="247"/>
      <c r="AT30204" s="247"/>
    </row>
    <row r="30205">
      <c r="C30205" s="277"/>
      <c r="M30205" s="277"/>
      <c r="O30205" s="247"/>
      <c r="AC30205" s="247"/>
      <c r="AT30205" s="247"/>
    </row>
    <row r="30206">
      <c r="C30206" s="277"/>
      <c r="M30206" s="277"/>
      <c r="O30206" s="247"/>
      <c r="AC30206" s="247"/>
      <c r="AT30206" s="247"/>
    </row>
    <row r="30207">
      <c r="C30207" s="277"/>
      <c r="M30207" s="277"/>
      <c r="O30207" s="247"/>
      <c r="AC30207" s="247"/>
      <c r="AT30207" s="247"/>
    </row>
    <row r="30208">
      <c r="C30208" s="277"/>
      <c r="M30208" s="277"/>
      <c r="O30208" s="247"/>
      <c r="AC30208" s="247"/>
      <c r="AT30208" s="247"/>
    </row>
    <row r="30209">
      <c r="C30209" s="277"/>
      <c r="M30209" s="277"/>
      <c r="O30209" s="247"/>
      <c r="AC30209" s="247"/>
      <c r="AT30209" s="247"/>
    </row>
    <row r="30210">
      <c r="C30210" s="277"/>
      <c r="M30210" s="277"/>
      <c r="O30210" s="247"/>
      <c r="AC30210" s="247"/>
      <c r="AT30210" s="247"/>
    </row>
    <row r="30211">
      <c r="C30211" s="277"/>
      <c r="M30211" s="277"/>
      <c r="O30211" s="247"/>
      <c r="AC30211" s="247"/>
      <c r="AT30211" s="247"/>
    </row>
    <row r="30212">
      <c r="C30212" s="277"/>
      <c r="M30212" s="277"/>
      <c r="O30212" s="247"/>
      <c r="AC30212" s="247"/>
      <c r="AT30212" s="247"/>
    </row>
    <row r="30213">
      <c r="C30213" s="277"/>
      <c r="M30213" s="277"/>
      <c r="O30213" s="247"/>
      <c r="AC30213" s="247"/>
      <c r="AT30213" s="247"/>
    </row>
    <row r="30214">
      <c r="C30214" s="277"/>
      <c r="M30214" s="277"/>
      <c r="O30214" s="247"/>
      <c r="AC30214" s="247"/>
      <c r="AT30214" s="247"/>
    </row>
    <row r="30215">
      <c r="C30215" s="277"/>
      <c r="M30215" s="277"/>
      <c r="O30215" s="247"/>
      <c r="AC30215" s="247"/>
      <c r="AT30215" s="247"/>
    </row>
    <row r="30216">
      <c r="C30216" s="277"/>
      <c r="M30216" s="277"/>
      <c r="O30216" s="247"/>
      <c r="AC30216" s="247"/>
      <c r="AT30216" s="247"/>
    </row>
    <row r="30217">
      <c r="C30217" s="277"/>
      <c r="M30217" s="277"/>
      <c r="O30217" s="247"/>
      <c r="AC30217" s="247"/>
      <c r="AT30217" s="247"/>
    </row>
    <row r="30218">
      <c r="C30218" s="277"/>
      <c r="M30218" s="277"/>
      <c r="O30218" s="247"/>
      <c r="AC30218" s="247"/>
      <c r="AT30218" s="247"/>
    </row>
    <row r="30219">
      <c r="C30219" s="277"/>
      <c r="M30219" s="277"/>
      <c r="O30219" s="247"/>
      <c r="AC30219" s="247"/>
      <c r="AT30219" s="247"/>
    </row>
    <row r="30220">
      <c r="C30220" s="277"/>
      <c r="M30220" s="277"/>
      <c r="O30220" s="247"/>
      <c r="AC30220" s="247"/>
      <c r="AT30220" s="247"/>
    </row>
    <row r="30221">
      <c r="C30221" s="277"/>
      <c r="M30221" s="277"/>
      <c r="O30221" s="247"/>
      <c r="AC30221" s="247"/>
      <c r="AT30221" s="247"/>
    </row>
    <row r="30222">
      <c r="C30222" s="277"/>
      <c r="M30222" s="277"/>
      <c r="O30222" s="247"/>
      <c r="AC30222" s="247"/>
      <c r="AT30222" s="247"/>
    </row>
    <row r="30223">
      <c r="C30223" s="277"/>
      <c r="M30223" s="277"/>
      <c r="O30223" s="247"/>
      <c r="AC30223" s="247"/>
      <c r="AT30223" s="247"/>
    </row>
    <row r="30224">
      <c r="C30224" s="277"/>
      <c r="M30224" s="277"/>
      <c r="O30224" s="247"/>
      <c r="AC30224" s="247"/>
      <c r="AT30224" s="247"/>
    </row>
    <row r="30225">
      <c r="C30225" s="277"/>
      <c r="M30225" s="277"/>
      <c r="O30225" s="247"/>
      <c r="AC30225" s="247"/>
      <c r="AT30225" s="247"/>
    </row>
    <row r="30226">
      <c r="C30226" s="277"/>
      <c r="M30226" s="277"/>
      <c r="O30226" s="247"/>
      <c r="AC30226" s="247"/>
      <c r="AT30226" s="247"/>
    </row>
    <row r="30227">
      <c r="C30227" s="277"/>
      <c r="M30227" s="277"/>
      <c r="O30227" s="247"/>
      <c r="AC30227" s="247"/>
      <c r="AT30227" s="247"/>
    </row>
    <row r="30228">
      <c r="C30228" s="277"/>
      <c r="M30228" s="277"/>
      <c r="O30228" s="247"/>
      <c r="AC30228" s="247"/>
      <c r="AT30228" s="247"/>
    </row>
    <row r="30229">
      <c r="C30229" s="277"/>
      <c r="M30229" s="277"/>
      <c r="O30229" s="247"/>
      <c r="AC30229" s="247"/>
      <c r="AT30229" s="247"/>
    </row>
    <row r="30230">
      <c r="C30230" s="277"/>
      <c r="M30230" s="277"/>
      <c r="O30230" s="247"/>
      <c r="AC30230" s="247"/>
      <c r="AT30230" s="247"/>
    </row>
    <row r="30231">
      <c r="C30231" s="277"/>
      <c r="M30231" s="277"/>
      <c r="O30231" s="247"/>
      <c r="AC30231" s="247"/>
      <c r="AT30231" s="247"/>
    </row>
    <row r="30232">
      <c r="C30232" s="277"/>
      <c r="M30232" s="277"/>
      <c r="O30232" s="247"/>
      <c r="AC30232" s="247"/>
      <c r="AT30232" s="247"/>
    </row>
    <row r="30233">
      <c r="C30233" s="277"/>
      <c r="M30233" s="277"/>
      <c r="O30233" s="247"/>
      <c r="AC30233" s="247"/>
      <c r="AT30233" s="247"/>
    </row>
    <row r="30234">
      <c r="C30234" s="277"/>
      <c r="M30234" s="277"/>
      <c r="O30234" s="247"/>
      <c r="AC30234" s="247"/>
      <c r="AT30234" s="247"/>
    </row>
    <row r="30235">
      <c r="C30235" s="277"/>
      <c r="M30235" s="277"/>
      <c r="O30235" s="247"/>
      <c r="AC30235" s="247"/>
      <c r="AT30235" s="247"/>
    </row>
    <row r="30236">
      <c r="C30236" s="277"/>
      <c r="M30236" s="277"/>
      <c r="O30236" s="247"/>
      <c r="AC30236" s="247"/>
      <c r="AT30236" s="247"/>
    </row>
    <row r="30237">
      <c r="C30237" s="277"/>
      <c r="M30237" s="277"/>
      <c r="O30237" s="247"/>
      <c r="AC30237" s="247"/>
      <c r="AT30237" s="247"/>
    </row>
    <row r="30238">
      <c r="C30238" s="277"/>
      <c r="M30238" s="277"/>
      <c r="O30238" s="247"/>
      <c r="AC30238" s="247"/>
      <c r="AT30238" s="247"/>
    </row>
    <row r="30239">
      <c r="C30239" s="277"/>
      <c r="M30239" s="277"/>
      <c r="O30239" s="247"/>
      <c r="AC30239" s="247"/>
      <c r="AT30239" s="247"/>
    </row>
    <row r="30240">
      <c r="C30240" s="277"/>
      <c r="M30240" s="277"/>
      <c r="O30240" s="247"/>
      <c r="AC30240" s="247"/>
      <c r="AT30240" s="247"/>
    </row>
    <row r="30241">
      <c r="C30241" s="277"/>
      <c r="M30241" s="277"/>
      <c r="O30241" s="247"/>
      <c r="AC30241" s="247"/>
      <c r="AT30241" s="247"/>
    </row>
    <row r="30242">
      <c r="C30242" s="277"/>
      <c r="M30242" s="277"/>
      <c r="O30242" s="247"/>
      <c r="AC30242" s="247"/>
      <c r="AT30242" s="247"/>
    </row>
    <row r="30243">
      <c r="C30243" s="277"/>
      <c r="M30243" s="277"/>
      <c r="O30243" s="247"/>
      <c r="AC30243" s="247"/>
      <c r="AT30243" s="247"/>
    </row>
    <row r="30244">
      <c r="C30244" s="277"/>
      <c r="M30244" s="277"/>
      <c r="O30244" s="247"/>
      <c r="AC30244" s="247"/>
      <c r="AT30244" s="247"/>
    </row>
    <row r="30245">
      <c r="C30245" s="277"/>
      <c r="M30245" s="277"/>
      <c r="O30245" s="247"/>
      <c r="AC30245" s="247"/>
      <c r="AT30245" s="247"/>
    </row>
    <row r="30246">
      <c r="C30246" s="277"/>
      <c r="M30246" s="277"/>
      <c r="O30246" s="247"/>
      <c r="AC30246" s="247"/>
      <c r="AT30246" s="247"/>
    </row>
    <row r="30247">
      <c r="C30247" s="277"/>
      <c r="M30247" s="277"/>
      <c r="O30247" s="247"/>
      <c r="AC30247" s="247"/>
      <c r="AT30247" s="247"/>
    </row>
    <row r="30248">
      <c r="C30248" s="277"/>
      <c r="M30248" s="277"/>
      <c r="O30248" s="247"/>
      <c r="AC30248" s="247"/>
      <c r="AT30248" s="247"/>
    </row>
    <row r="30249">
      <c r="C30249" s="277"/>
      <c r="M30249" s="277"/>
      <c r="O30249" s="247"/>
      <c r="AC30249" s="247"/>
      <c r="AT30249" s="247"/>
    </row>
    <row r="30250">
      <c r="C30250" s="277"/>
      <c r="M30250" s="277"/>
      <c r="O30250" s="247"/>
      <c r="AC30250" s="247"/>
      <c r="AT30250" s="247"/>
    </row>
    <row r="30251">
      <c r="C30251" s="277"/>
      <c r="M30251" s="277"/>
      <c r="O30251" s="247"/>
      <c r="AC30251" s="247"/>
      <c r="AT30251" s="247"/>
    </row>
    <row r="30252">
      <c r="C30252" s="277"/>
      <c r="M30252" s="277"/>
      <c r="O30252" s="247"/>
      <c r="AC30252" s="247"/>
      <c r="AT30252" s="247"/>
    </row>
    <row r="30253">
      <c r="C30253" s="277"/>
      <c r="M30253" s="277"/>
      <c r="O30253" s="247"/>
      <c r="AC30253" s="247"/>
      <c r="AT30253" s="247"/>
    </row>
    <row r="30254">
      <c r="C30254" s="277"/>
      <c r="M30254" s="277"/>
      <c r="O30254" s="247"/>
      <c r="AC30254" s="247"/>
      <c r="AT30254" s="247"/>
    </row>
    <row r="30255">
      <c r="C30255" s="277"/>
      <c r="M30255" s="277"/>
      <c r="O30255" s="247"/>
      <c r="AC30255" s="247"/>
      <c r="AT30255" s="247"/>
    </row>
    <row r="30256">
      <c r="C30256" s="277"/>
      <c r="M30256" s="277"/>
      <c r="O30256" s="247"/>
      <c r="AC30256" s="247"/>
      <c r="AT30256" s="247"/>
    </row>
    <row r="30257">
      <c r="C30257" s="277"/>
      <c r="M30257" s="277"/>
      <c r="O30257" s="247"/>
      <c r="AC30257" s="247"/>
      <c r="AT30257" s="247"/>
    </row>
    <row r="30258">
      <c r="C30258" s="277"/>
      <c r="M30258" s="277"/>
      <c r="O30258" s="247"/>
      <c r="AC30258" s="247"/>
      <c r="AT30258" s="247"/>
    </row>
    <row r="30259">
      <c r="C30259" s="277"/>
      <c r="M30259" s="277"/>
      <c r="O30259" s="247"/>
      <c r="AC30259" s="247"/>
      <c r="AT30259" s="247"/>
    </row>
    <row r="30260">
      <c r="C30260" s="277"/>
      <c r="M30260" s="277"/>
      <c r="O30260" s="247"/>
      <c r="AC30260" s="247"/>
      <c r="AT30260" s="247"/>
    </row>
    <row r="30261">
      <c r="C30261" s="277"/>
      <c r="M30261" s="277"/>
      <c r="O30261" s="247"/>
      <c r="AC30261" s="247"/>
      <c r="AT30261" s="247"/>
    </row>
    <row r="30262">
      <c r="C30262" s="277"/>
      <c r="M30262" s="277"/>
      <c r="O30262" s="247"/>
      <c r="AC30262" s="247"/>
      <c r="AT30262" s="247"/>
    </row>
    <row r="30263">
      <c r="C30263" s="277"/>
      <c r="M30263" s="277"/>
      <c r="O30263" s="247"/>
      <c r="AC30263" s="247"/>
      <c r="AT30263" s="247"/>
    </row>
    <row r="30264">
      <c r="C30264" s="277"/>
      <c r="M30264" s="277"/>
      <c r="O30264" s="247"/>
      <c r="AC30264" s="247"/>
      <c r="AT30264" s="247"/>
    </row>
    <row r="30265">
      <c r="C30265" s="277"/>
      <c r="M30265" s="277"/>
      <c r="O30265" s="247"/>
      <c r="AC30265" s="247"/>
      <c r="AT30265" s="247"/>
    </row>
    <row r="30266">
      <c r="C30266" s="277"/>
      <c r="M30266" s="277"/>
      <c r="O30266" s="247"/>
      <c r="AC30266" s="247"/>
      <c r="AT30266" s="247"/>
    </row>
    <row r="30267">
      <c r="C30267" s="277"/>
      <c r="M30267" s="277"/>
      <c r="O30267" s="247"/>
      <c r="AC30267" s="247"/>
      <c r="AT30267" s="247"/>
    </row>
    <row r="30268">
      <c r="C30268" s="277"/>
      <c r="M30268" s="277"/>
      <c r="O30268" s="247"/>
      <c r="AC30268" s="247"/>
      <c r="AT30268" s="247"/>
    </row>
    <row r="30269">
      <c r="C30269" s="277"/>
      <c r="M30269" s="277"/>
      <c r="O30269" s="247"/>
      <c r="AC30269" s="247"/>
      <c r="AT30269" s="247"/>
    </row>
    <row r="30270">
      <c r="C30270" s="277"/>
      <c r="M30270" s="277"/>
      <c r="O30270" s="247"/>
      <c r="AC30270" s="247"/>
      <c r="AT30270" s="247"/>
    </row>
    <row r="30271">
      <c r="C30271" s="277"/>
      <c r="M30271" s="277"/>
      <c r="O30271" s="247"/>
      <c r="AC30271" s="247"/>
      <c r="AT30271" s="247"/>
    </row>
    <row r="30272">
      <c r="C30272" s="277"/>
      <c r="M30272" s="277"/>
      <c r="O30272" s="247"/>
      <c r="AC30272" s="247"/>
      <c r="AT30272" s="247"/>
    </row>
    <row r="30273">
      <c r="C30273" s="277"/>
      <c r="M30273" s="277"/>
      <c r="O30273" s="247"/>
      <c r="AC30273" s="247"/>
      <c r="AT30273" s="247"/>
    </row>
    <row r="30274">
      <c r="C30274" s="277"/>
      <c r="M30274" s="277"/>
      <c r="O30274" s="247"/>
      <c r="AC30274" s="247"/>
      <c r="AT30274" s="247"/>
    </row>
    <row r="30275">
      <c r="C30275" s="277"/>
      <c r="M30275" s="277"/>
      <c r="O30275" s="247"/>
      <c r="AC30275" s="247"/>
      <c r="AT30275" s="247"/>
    </row>
    <row r="30276">
      <c r="C30276" s="277"/>
      <c r="M30276" s="277"/>
      <c r="O30276" s="247"/>
      <c r="AC30276" s="247"/>
      <c r="AT30276" s="247"/>
    </row>
    <row r="30277">
      <c r="C30277" s="277"/>
      <c r="M30277" s="277"/>
      <c r="O30277" s="247"/>
      <c r="AC30277" s="247"/>
      <c r="AT30277" s="247"/>
    </row>
    <row r="30278">
      <c r="C30278" s="277"/>
      <c r="M30278" s="277"/>
      <c r="O30278" s="247"/>
      <c r="AC30278" s="247"/>
      <c r="AT30278" s="247"/>
    </row>
    <row r="30279">
      <c r="C30279" s="277"/>
      <c r="M30279" s="277"/>
      <c r="O30279" s="247"/>
      <c r="AC30279" s="247"/>
      <c r="AT30279" s="247"/>
    </row>
    <row r="30280">
      <c r="C30280" s="277"/>
      <c r="M30280" s="277"/>
      <c r="O30280" s="247"/>
      <c r="AC30280" s="247"/>
      <c r="AT30280" s="247"/>
    </row>
    <row r="30281">
      <c r="C30281" s="277"/>
      <c r="M30281" s="277"/>
      <c r="O30281" s="247"/>
      <c r="AC30281" s="247"/>
      <c r="AT30281" s="247"/>
    </row>
    <row r="30282">
      <c r="C30282" s="277"/>
      <c r="M30282" s="277"/>
      <c r="O30282" s="247"/>
      <c r="AC30282" s="247"/>
      <c r="AT30282" s="247"/>
    </row>
    <row r="30283">
      <c r="C30283" s="277"/>
      <c r="M30283" s="277"/>
      <c r="O30283" s="247"/>
      <c r="AC30283" s="247"/>
      <c r="AT30283" s="247"/>
    </row>
    <row r="30284">
      <c r="C30284" s="277"/>
      <c r="M30284" s="277"/>
      <c r="O30284" s="247"/>
      <c r="AC30284" s="247"/>
      <c r="AT30284" s="247"/>
    </row>
    <row r="30285">
      <c r="C30285" s="277"/>
      <c r="M30285" s="277"/>
      <c r="O30285" s="247"/>
      <c r="AC30285" s="247"/>
      <c r="AT30285" s="247"/>
    </row>
    <row r="30286">
      <c r="C30286" s="277"/>
      <c r="M30286" s="277"/>
      <c r="O30286" s="247"/>
      <c r="AC30286" s="247"/>
      <c r="AT30286" s="247"/>
    </row>
    <row r="30287">
      <c r="C30287" s="277"/>
      <c r="M30287" s="277"/>
      <c r="O30287" s="247"/>
      <c r="AC30287" s="247"/>
      <c r="AT30287" s="247"/>
    </row>
    <row r="30288">
      <c r="C30288" s="277"/>
      <c r="M30288" s="277"/>
      <c r="O30288" s="247"/>
      <c r="AC30288" s="247"/>
      <c r="AT30288" s="247"/>
    </row>
    <row r="30289">
      <c r="C30289" s="277"/>
      <c r="M30289" s="277"/>
      <c r="O30289" s="247"/>
      <c r="AC30289" s="247"/>
      <c r="AT30289" s="247"/>
    </row>
    <row r="30290">
      <c r="C30290" s="277"/>
      <c r="M30290" s="277"/>
      <c r="O30290" s="247"/>
      <c r="AC30290" s="247"/>
      <c r="AT30290" s="247"/>
    </row>
    <row r="30291">
      <c r="C30291" s="277"/>
      <c r="M30291" s="277"/>
      <c r="O30291" s="247"/>
      <c r="AC30291" s="247"/>
      <c r="AT30291" s="247"/>
    </row>
    <row r="30292">
      <c r="C30292" s="277"/>
      <c r="M30292" s="277"/>
      <c r="O30292" s="247"/>
      <c r="AC30292" s="247"/>
      <c r="AT30292" s="247"/>
    </row>
    <row r="30293">
      <c r="C30293" s="277"/>
      <c r="M30293" s="277"/>
      <c r="O30293" s="247"/>
      <c r="AC30293" s="247"/>
      <c r="AT30293" s="247"/>
    </row>
    <row r="30294">
      <c r="C30294" s="277"/>
      <c r="M30294" s="277"/>
      <c r="O30294" s="247"/>
      <c r="AC30294" s="247"/>
      <c r="AT30294" s="247"/>
    </row>
    <row r="30295">
      <c r="C30295" s="277"/>
      <c r="M30295" s="277"/>
      <c r="O30295" s="247"/>
      <c r="AC30295" s="247"/>
      <c r="AT30295" s="247"/>
    </row>
    <row r="30296">
      <c r="C30296" s="277"/>
      <c r="M30296" s="277"/>
      <c r="O30296" s="247"/>
      <c r="AC30296" s="247"/>
      <c r="AT30296" s="247"/>
    </row>
    <row r="30297">
      <c r="C30297" s="277"/>
      <c r="M30297" s="277"/>
      <c r="O30297" s="247"/>
      <c r="AC30297" s="247"/>
      <c r="AT30297" s="247"/>
    </row>
    <row r="30298">
      <c r="C30298" s="277"/>
      <c r="M30298" s="277"/>
      <c r="O30298" s="247"/>
      <c r="AC30298" s="247"/>
      <c r="AT30298" s="247"/>
    </row>
    <row r="30299">
      <c r="C30299" s="277"/>
      <c r="M30299" s="277"/>
      <c r="O30299" s="247"/>
      <c r="AC30299" s="247"/>
      <c r="AT30299" s="247"/>
    </row>
    <row r="30300">
      <c r="C30300" s="277"/>
      <c r="M30300" s="277"/>
      <c r="O30300" s="247"/>
      <c r="AC30300" s="247"/>
      <c r="AT30300" s="247"/>
    </row>
    <row r="30301">
      <c r="C30301" s="277"/>
      <c r="M30301" s="277"/>
      <c r="O30301" s="247"/>
      <c r="AC30301" s="247"/>
      <c r="AT30301" s="247"/>
    </row>
    <row r="30302">
      <c r="C30302" s="277"/>
      <c r="M30302" s="277"/>
      <c r="O30302" s="247"/>
      <c r="AC30302" s="247"/>
      <c r="AT30302" s="247"/>
    </row>
    <row r="30303">
      <c r="C30303" s="277"/>
      <c r="M30303" s="277"/>
      <c r="O30303" s="247"/>
      <c r="AC30303" s="247"/>
      <c r="AT30303" s="247"/>
    </row>
    <row r="30304">
      <c r="C30304" s="277"/>
      <c r="M30304" s="277"/>
      <c r="O30304" s="247"/>
      <c r="AC30304" s="247"/>
      <c r="AT30304" s="247"/>
    </row>
    <row r="30305">
      <c r="C30305" s="277"/>
      <c r="M30305" s="277"/>
      <c r="O30305" s="247"/>
      <c r="AC30305" s="247"/>
      <c r="AT30305" s="247"/>
    </row>
    <row r="30306">
      <c r="C30306" s="277"/>
      <c r="M30306" s="277"/>
      <c r="O30306" s="247"/>
      <c r="AC30306" s="247"/>
      <c r="AT30306" s="247"/>
    </row>
    <row r="30307">
      <c r="C30307" s="277"/>
      <c r="M30307" s="277"/>
      <c r="O30307" s="247"/>
      <c r="AC30307" s="247"/>
      <c r="AT30307" s="247"/>
    </row>
    <row r="30308">
      <c r="C30308" s="277"/>
      <c r="M30308" s="277"/>
      <c r="O30308" s="247"/>
      <c r="AC30308" s="247"/>
      <c r="AT30308" s="247"/>
    </row>
    <row r="30309">
      <c r="C30309" s="277"/>
      <c r="M30309" s="277"/>
      <c r="O30309" s="247"/>
      <c r="AC30309" s="247"/>
      <c r="AT30309" s="247"/>
    </row>
    <row r="30310">
      <c r="C30310" s="277"/>
      <c r="M30310" s="277"/>
      <c r="O30310" s="247"/>
      <c r="AC30310" s="247"/>
      <c r="AT30310" s="247"/>
    </row>
    <row r="30311">
      <c r="C30311" s="277"/>
      <c r="M30311" s="277"/>
      <c r="O30311" s="247"/>
      <c r="AC30311" s="247"/>
      <c r="AT30311" s="247"/>
    </row>
    <row r="30312">
      <c r="C30312" s="277"/>
      <c r="M30312" s="277"/>
      <c r="O30312" s="247"/>
      <c r="AC30312" s="247"/>
      <c r="AT30312" s="247"/>
    </row>
    <row r="30313">
      <c r="C30313" s="277"/>
      <c r="M30313" s="277"/>
      <c r="O30313" s="247"/>
      <c r="AC30313" s="247"/>
      <c r="AT30313" s="247"/>
    </row>
    <row r="30314">
      <c r="C30314" s="277"/>
      <c r="M30314" s="277"/>
      <c r="O30314" s="247"/>
      <c r="AC30314" s="247"/>
      <c r="AT30314" s="247"/>
    </row>
    <row r="30315">
      <c r="C30315" s="277"/>
      <c r="M30315" s="277"/>
      <c r="O30315" s="247"/>
      <c r="AC30315" s="247"/>
      <c r="AT30315" s="247"/>
    </row>
    <row r="30316">
      <c r="C30316" s="277"/>
      <c r="M30316" s="277"/>
      <c r="O30316" s="247"/>
      <c r="AC30316" s="247"/>
      <c r="AT30316" s="247"/>
    </row>
    <row r="30317">
      <c r="C30317" s="277"/>
      <c r="M30317" s="277"/>
      <c r="O30317" s="247"/>
      <c r="AC30317" s="247"/>
      <c r="AT30317" s="247"/>
    </row>
    <row r="30318">
      <c r="C30318" s="277"/>
      <c r="M30318" s="277"/>
      <c r="O30318" s="247"/>
      <c r="AC30318" s="247"/>
      <c r="AT30318" s="247"/>
    </row>
    <row r="30319">
      <c r="C30319" s="277"/>
      <c r="M30319" s="277"/>
      <c r="O30319" s="247"/>
      <c r="AC30319" s="247"/>
      <c r="AT30319" s="247"/>
    </row>
    <row r="30320">
      <c r="C30320" s="277"/>
      <c r="M30320" s="277"/>
      <c r="O30320" s="247"/>
      <c r="AC30320" s="247"/>
      <c r="AT30320" s="247"/>
    </row>
    <row r="30321">
      <c r="C30321" s="277"/>
      <c r="M30321" s="277"/>
      <c r="O30321" s="247"/>
      <c r="AC30321" s="247"/>
      <c r="AT30321" s="247"/>
    </row>
    <row r="30322">
      <c r="C30322" s="277"/>
      <c r="M30322" s="277"/>
      <c r="O30322" s="247"/>
      <c r="AC30322" s="247"/>
      <c r="AT30322" s="247"/>
    </row>
    <row r="30323">
      <c r="C30323" s="277"/>
      <c r="M30323" s="277"/>
      <c r="O30323" s="247"/>
      <c r="AC30323" s="247"/>
      <c r="AT30323" s="247"/>
    </row>
    <row r="30324">
      <c r="C30324" s="277"/>
      <c r="M30324" s="277"/>
      <c r="O30324" s="247"/>
      <c r="AC30324" s="247"/>
      <c r="AT30324" s="247"/>
    </row>
    <row r="30325">
      <c r="C30325" s="277"/>
      <c r="M30325" s="277"/>
      <c r="O30325" s="247"/>
      <c r="AC30325" s="247"/>
      <c r="AT30325" s="247"/>
    </row>
    <row r="30326">
      <c r="C30326" s="277"/>
      <c r="M30326" s="277"/>
      <c r="O30326" s="247"/>
      <c r="AC30326" s="247"/>
      <c r="AT30326" s="247"/>
    </row>
    <row r="30327">
      <c r="C30327" s="277"/>
      <c r="M30327" s="277"/>
      <c r="O30327" s="247"/>
      <c r="AC30327" s="247"/>
      <c r="AT30327" s="247"/>
    </row>
    <row r="30328">
      <c r="C30328" s="277"/>
      <c r="M30328" s="277"/>
      <c r="O30328" s="247"/>
      <c r="AC30328" s="247"/>
      <c r="AT30328" s="247"/>
    </row>
    <row r="30329">
      <c r="C30329" s="277"/>
      <c r="M30329" s="277"/>
      <c r="O30329" s="247"/>
      <c r="AC30329" s="247"/>
      <c r="AT30329" s="247"/>
    </row>
    <row r="30330">
      <c r="C30330" s="277"/>
      <c r="M30330" s="277"/>
      <c r="O30330" s="247"/>
      <c r="AC30330" s="247"/>
      <c r="AT30330" s="247"/>
    </row>
    <row r="30331">
      <c r="C30331" s="277"/>
      <c r="M30331" s="277"/>
      <c r="O30331" s="247"/>
      <c r="AC30331" s="247"/>
      <c r="AT30331" s="247"/>
    </row>
    <row r="30332">
      <c r="C30332" s="277"/>
      <c r="M30332" s="277"/>
      <c r="O30332" s="247"/>
      <c r="AC30332" s="247"/>
      <c r="AT30332" s="247"/>
    </row>
    <row r="30333">
      <c r="C30333" s="277"/>
      <c r="M30333" s="277"/>
      <c r="O30333" s="247"/>
      <c r="AC30333" s="247"/>
      <c r="AT30333" s="247"/>
    </row>
    <row r="30334">
      <c r="C30334" s="277"/>
      <c r="M30334" s="277"/>
      <c r="O30334" s="247"/>
      <c r="AC30334" s="247"/>
      <c r="AT30334" s="247"/>
    </row>
    <row r="30335">
      <c r="C30335" s="277"/>
      <c r="M30335" s="277"/>
      <c r="O30335" s="247"/>
      <c r="AC30335" s="247"/>
      <c r="AT30335" s="247"/>
    </row>
    <row r="30336">
      <c r="C30336" s="277"/>
      <c r="M30336" s="277"/>
      <c r="O30336" s="247"/>
      <c r="AC30336" s="247"/>
      <c r="AT30336" s="247"/>
    </row>
    <row r="30337">
      <c r="C30337" s="277"/>
      <c r="J30337" s="279"/>
      <c r="M30337" s="277"/>
      <c r="O30337" s="247"/>
      <c r="AC30337" s="247"/>
      <c r="AT30337" s="247"/>
    </row>
    <row r="30338">
      <c r="C30338" s="277"/>
      <c r="J30338" s="279"/>
      <c r="M30338" s="277"/>
      <c r="O30338" s="247"/>
      <c r="AC30338" s="247"/>
      <c r="AT30338" s="247"/>
    </row>
    <row r="30339">
      <c r="C30339" s="277"/>
      <c r="M30339" s="277"/>
      <c r="O30339" s="247"/>
      <c r="AC30339" s="247"/>
      <c r="AT30339" s="247"/>
    </row>
    <row r="30340">
      <c r="C30340" s="277"/>
      <c r="M30340" s="277"/>
      <c r="O30340" s="247"/>
      <c r="AC30340" s="247"/>
      <c r="AT30340" s="247"/>
    </row>
    <row r="30341">
      <c r="C30341" s="277"/>
      <c r="M30341" s="277"/>
      <c r="O30341" s="247"/>
      <c r="AC30341" s="247"/>
      <c r="AT30341" s="247"/>
    </row>
    <row r="30342">
      <c r="C30342" s="277"/>
      <c r="M30342" s="277"/>
      <c r="O30342" s="247"/>
      <c r="AC30342" s="247"/>
      <c r="AT30342" s="247"/>
    </row>
    <row r="30343">
      <c r="C30343" s="277"/>
      <c r="M30343" s="277"/>
      <c r="O30343" s="247"/>
      <c r="AC30343" s="247"/>
      <c r="AT30343" s="247"/>
    </row>
    <row r="30344">
      <c r="C30344" s="277"/>
      <c r="M30344" s="277"/>
      <c r="O30344" s="247"/>
      <c r="AC30344" s="247"/>
      <c r="AT30344" s="247"/>
    </row>
    <row r="30345">
      <c r="C30345" s="277"/>
      <c r="M30345" s="277"/>
      <c r="O30345" s="247"/>
      <c r="AC30345" s="247"/>
      <c r="AT30345" s="247"/>
    </row>
    <row r="30346">
      <c r="C30346" s="277"/>
      <c r="M30346" s="277"/>
      <c r="O30346" s="247"/>
      <c r="AC30346" s="247"/>
      <c r="AT30346" s="247"/>
    </row>
    <row r="30347">
      <c r="C30347" s="277"/>
      <c r="M30347" s="277"/>
      <c r="O30347" s="247"/>
      <c r="AC30347" s="247"/>
      <c r="AT30347" s="247"/>
    </row>
    <row r="30348">
      <c r="C30348" s="277"/>
      <c r="M30348" s="277"/>
      <c r="O30348" s="247"/>
      <c r="AC30348" s="247"/>
      <c r="AT30348" s="247"/>
    </row>
    <row r="30349">
      <c r="C30349" s="277"/>
      <c r="M30349" s="277"/>
      <c r="O30349" s="247"/>
      <c r="AC30349" s="247"/>
      <c r="AT30349" s="247"/>
    </row>
    <row r="30350">
      <c r="C30350" s="277"/>
      <c r="M30350" s="277"/>
      <c r="O30350" s="247"/>
      <c r="AC30350" s="247"/>
      <c r="AT30350" s="247"/>
    </row>
    <row r="30351">
      <c r="C30351" s="277"/>
      <c r="M30351" s="277"/>
      <c r="O30351" s="247"/>
      <c r="AC30351" s="247"/>
      <c r="AT30351" s="247"/>
    </row>
    <row r="30352">
      <c r="C30352" s="277"/>
      <c r="M30352" s="277"/>
      <c r="O30352" s="247"/>
      <c r="AC30352" s="247"/>
      <c r="AT30352" s="247"/>
    </row>
    <row r="30353">
      <c r="C30353" s="277"/>
      <c r="M30353" s="277"/>
      <c r="O30353" s="247"/>
      <c r="AC30353" s="247"/>
      <c r="AT30353" s="247"/>
    </row>
    <row r="30354">
      <c r="C30354" s="277"/>
      <c r="M30354" s="277"/>
      <c r="O30354" s="247"/>
      <c r="AC30354" s="247"/>
      <c r="AT30354" s="247"/>
    </row>
    <row r="30355">
      <c r="C30355" s="277"/>
      <c r="M30355" s="277"/>
      <c r="O30355" s="247"/>
      <c r="AC30355" s="247"/>
      <c r="AT30355" s="247"/>
    </row>
    <row r="30356">
      <c r="C30356" s="277"/>
      <c r="M30356" s="277"/>
      <c r="O30356" s="247"/>
      <c r="AC30356" s="247"/>
      <c r="AT30356" s="247"/>
    </row>
    <row r="30357">
      <c r="C30357" s="277"/>
      <c r="M30357" s="277"/>
      <c r="O30357" s="247"/>
      <c r="AC30357" s="247"/>
      <c r="AT30357" s="247"/>
    </row>
    <row r="30358">
      <c r="C30358" s="277"/>
      <c r="M30358" s="277"/>
      <c r="O30358" s="247"/>
      <c r="AC30358" s="247"/>
      <c r="AT30358" s="247"/>
    </row>
    <row r="30359">
      <c r="C30359" s="277"/>
      <c r="M30359" s="277"/>
      <c r="O30359" s="247"/>
      <c r="AC30359" s="247"/>
      <c r="AT30359" s="247"/>
    </row>
    <row r="30360">
      <c r="C30360" s="277"/>
      <c r="M30360" s="277"/>
      <c r="O30360" s="247"/>
      <c r="AC30360" s="247"/>
      <c r="AT30360" s="247"/>
    </row>
    <row r="30361">
      <c r="C30361" s="277"/>
      <c r="M30361" s="277"/>
      <c r="O30361" s="247"/>
      <c r="AC30361" s="247"/>
      <c r="AT30361" s="247"/>
    </row>
    <row r="30362">
      <c r="C30362" s="277"/>
      <c r="M30362" s="277"/>
      <c r="O30362" s="247"/>
      <c r="AC30362" s="247"/>
      <c r="AT30362" s="247"/>
    </row>
    <row r="30363">
      <c r="C30363" s="277"/>
      <c r="M30363" s="277"/>
      <c r="O30363" s="247"/>
      <c r="AC30363" s="247"/>
      <c r="AT30363" s="247"/>
    </row>
    <row r="30364">
      <c r="C30364" s="277"/>
      <c r="M30364" s="277"/>
      <c r="O30364" s="247"/>
      <c r="AC30364" s="247"/>
      <c r="AT30364" s="247"/>
    </row>
    <row r="30365">
      <c r="C30365" s="277"/>
      <c r="M30365" s="277"/>
      <c r="O30365" s="247"/>
      <c r="AC30365" s="247"/>
      <c r="AT30365" s="247"/>
    </row>
    <row r="30366">
      <c r="C30366" s="277"/>
      <c r="M30366" s="277"/>
      <c r="O30366" s="247"/>
      <c r="AC30366" s="247"/>
      <c r="AT30366" s="247"/>
    </row>
    <row r="30367">
      <c r="C30367" s="277"/>
      <c r="M30367" s="277"/>
      <c r="O30367" s="247"/>
      <c r="AC30367" s="247"/>
      <c r="AT30367" s="247"/>
    </row>
    <row r="30368">
      <c r="C30368" s="277"/>
      <c r="M30368" s="277"/>
      <c r="O30368" s="247"/>
      <c r="AC30368" s="247"/>
      <c r="AT30368" s="247"/>
    </row>
    <row r="30369">
      <c r="C30369" s="277"/>
      <c r="M30369" s="277"/>
      <c r="O30369" s="247"/>
      <c r="AC30369" s="247"/>
      <c r="AT30369" s="247"/>
    </row>
    <row r="30370">
      <c r="C30370" s="277"/>
      <c r="M30370" s="277"/>
      <c r="O30370" s="247"/>
      <c r="AC30370" s="247"/>
      <c r="AT30370" s="247"/>
    </row>
    <row r="30371">
      <c r="C30371" s="277"/>
      <c r="M30371" s="277"/>
      <c r="O30371" s="247"/>
      <c r="AC30371" s="247"/>
      <c r="AT30371" s="247"/>
    </row>
    <row r="30372">
      <c r="C30372" s="277"/>
      <c r="M30372" s="277"/>
      <c r="O30372" s="247"/>
      <c r="AC30372" s="247"/>
      <c r="AT30372" s="247"/>
    </row>
    <row r="30373">
      <c r="C30373" s="277"/>
      <c r="M30373" s="277"/>
      <c r="O30373" s="247"/>
      <c r="AC30373" s="247"/>
      <c r="AT30373" s="247"/>
    </row>
    <row r="30374">
      <c r="C30374" s="277"/>
      <c r="M30374" s="277"/>
      <c r="O30374" s="247"/>
      <c r="AC30374" s="247"/>
      <c r="AT30374" s="247"/>
    </row>
    <row r="30375">
      <c r="C30375" s="277"/>
      <c r="M30375" s="277"/>
      <c r="O30375" s="247"/>
      <c r="AC30375" s="247"/>
      <c r="AT30375" s="247"/>
    </row>
    <row r="30376">
      <c r="C30376" s="277"/>
      <c r="M30376" s="277"/>
      <c r="O30376" s="247"/>
      <c r="AC30376" s="247"/>
      <c r="AT30376" s="247"/>
    </row>
    <row r="30377">
      <c r="C30377" s="277"/>
      <c r="M30377" s="277"/>
      <c r="O30377" s="247"/>
      <c r="AC30377" s="247"/>
      <c r="AT30377" s="247"/>
    </row>
    <row r="30378">
      <c r="C30378" s="277"/>
      <c r="M30378" s="277"/>
      <c r="O30378" s="247"/>
      <c r="AC30378" s="247"/>
      <c r="AT30378" s="247"/>
    </row>
    <row r="30379">
      <c r="C30379" s="277"/>
      <c r="M30379" s="277"/>
      <c r="O30379" s="247"/>
      <c r="AC30379" s="247"/>
      <c r="AT30379" s="247"/>
    </row>
    <row r="30380">
      <c r="C30380" s="277"/>
      <c r="M30380" s="277"/>
      <c r="O30380" s="247"/>
      <c r="AC30380" s="247"/>
      <c r="AT30380" s="247"/>
    </row>
    <row r="30381">
      <c r="C30381" s="277"/>
      <c r="M30381" s="277"/>
      <c r="O30381" s="247"/>
      <c r="AC30381" s="247"/>
      <c r="AT30381" s="247"/>
    </row>
    <row r="30382">
      <c r="C30382" s="277"/>
      <c r="M30382" s="277"/>
      <c r="O30382" s="247"/>
      <c r="AC30382" s="247"/>
      <c r="AT30382" s="247"/>
    </row>
    <row r="30383">
      <c r="C30383" s="277"/>
      <c r="M30383" s="277"/>
      <c r="O30383" s="247"/>
      <c r="AC30383" s="247"/>
      <c r="AT30383" s="247"/>
    </row>
    <row r="30384">
      <c r="C30384" s="277"/>
      <c r="M30384" s="277"/>
      <c r="O30384" s="247"/>
      <c r="AC30384" s="247"/>
      <c r="AT30384" s="247"/>
    </row>
    <row r="30385">
      <c r="C30385" s="277"/>
      <c r="M30385" s="277"/>
      <c r="O30385" s="247"/>
      <c r="AC30385" s="247"/>
      <c r="AT30385" s="247"/>
    </row>
    <row r="30386">
      <c r="C30386" s="277"/>
      <c r="M30386" s="277"/>
      <c r="O30386" s="247"/>
      <c r="AC30386" s="247"/>
      <c r="AT30386" s="247"/>
    </row>
    <row r="30387">
      <c r="C30387" s="277"/>
      <c r="M30387" s="277"/>
      <c r="O30387" s="247"/>
      <c r="AC30387" s="247"/>
      <c r="AT30387" s="247"/>
    </row>
    <row r="30388">
      <c r="C30388" s="277"/>
      <c r="M30388" s="277"/>
      <c r="O30388" s="247"/>
      <c r="AC30388" s="247"/>
      <c r="AT30388" s="247"/>
    </row>
    <row r="30389">
      <c r="C30389" s="277"/>
      <c r="M30389" s="277"/>
      <c r="O30389" s="247"/>
      <c r="AC30389" s="247"/>
      <c r="AT30389" s="247"/>
    </row>
    <row r="30390">
      <c r="C30390" s="277"/>
      <c r="M30390" s="277"/>
      <c r="O30390" s="247"/>
      <c r="AC30390" s="247"/>
      <c r="AT30390" s="247"/>
    </row>
    <row r="30391">
      <c r="C30391" s="277"/>
      <c r="M30391" s="277"/>
      <c r="O30391" s="247"/>
      <c r="AC30391" s="247"/>
      <c r="AT30391" s="247"/>
    </row>
    <row r="30392">
      <c r="C30392" s="277"/>
      <c r="M30392" s="277"/>
      <c r="O30392" s="247"/>
      <c r="AC30392" s="247"/>
      <c r="AT30392" s="247"/>
    </row>
    <row r="30393">
      <c r="C30393" s="277"/>
      <c r="M30393" s="277"/>
      <c r="O30393" s="247"/>
      <c r="AC30393" s="247"/>
      <c r="AT30393" s="247"/>
    </row>
    <row r="30394">
      <c r="C30394" s="277"/>
      <c r="M30394" s="277"/>
      <c r="O30394" s="247"/>
      <c r="AC30394" s="247"/>
      <c r="AT30394" s="247"/>
    </row>
    <row r="30395">
      <c r="C30395" s="277"/>
      <c r="M30395" s="277"/>
      <c r="O30395" s="247"/>
      <c r="AC30395" s="247"/>
      <c r="AT30395" s="247"/>
    </row>
    <row r="30396">
      <c r="C30396" s="277"/>
      <c r="M30396" s="277"/>
      <c r="O30396" s="247"/>
      <c r="AC30396" s="247"/>
      <c r="AT30396" s="247"/>
    </row>
    <row r="30397">
      <c r="C30397" s="277"/>
      <c r="M30397" s="277"/>
      <c r="O30397" s="247"/>
      <c r="AC30397" s="247"/>
      <c r="AT30397" s="247"/>
    </row>
    <row r="30398">
      <c r="C30398" s="277"/>
      <c r="M30398" s="277"/>
      <c r="O30398" s="247"/>
      <c r="AC30398" s="247"/>
      <c r="AT30398" s="247"/>
    </row>
    <row r="30399">
      <c r="C30399" s="277"/>
      <c r="M30399" s="277"/>
      <c r="O30399" s="247"/>
      <c r="AC30399" s="247"/>
      <c r="AT30399" s="247"/>
    </row>
    <row r="30400">
      <c r="C30400" s="277"/>
      <c r="M30400" s="277"/>
      <c r="O30400" s="247"/>
      <c r="AC30400" s="247"/>
      <c r="AT30400" s="247"/>
    </row>
    <row r="30401">
      <c r="C30401" s="277"/>
      <c r="M30401" s="277"/>
      <c r="O30401" s="247"/>
      <c r="AC30401" s="247"/>
      <c r="AT30401" s="247"/>
    </row>
    <row r="30402">
      <c r="C30402" s="277"/>
      <c r="M30402" s="277"/>
      <c r="O30402" s="247"/>
      <c r="AC30402" s="247"/>
      <c r="AT30402" s="247"/>
    </row>
    <row r="30403">
      <c r="C30403" s="277"/>
      <c r="M30403" s="277"/>
      <c r="O30403" s="247"/>
      <c r="AC30403" s="247"/>
      <c r="AT30403" s="247"/>
    </row>
    <row r="30404">
      <c r="C30404" s="277"/>
      <c r="M30404" s="277"/>
      <c r="O30404" s="247"/>
      <c r="AC30404" s="247"/>
      <c r="AT30404" s="247"/>
    </row>
    <row r="30405">
      <c r="C30405" s="277"/>
      <c r="M30405" s="277"/>
      <c r="O30405" s="247"/>
      <c r="AC30405" s="247"/>
      <c r="AT30405" s="247"/>
    </row>
    <row r="30406">
      <c r="C30406" s="277"/>
      <c r="M30406" s="277"/>
      <c r="O30406" s="247"/>
      <c r="AC30406" s="247"/>
      <c r="AT30406" s="247"/>
    </row>
    <row r="30407">
      <c r="C30407" s="277"/>
      <c r="M30407" s="277"/>
      <c r="O30407" s="247"/>
      <c r="AC30407" s="247"/>
      <c r="AT30407" s="247"/>
    </row>
    <row r="30408">
      <c r="C30408" s="277"/>
      <c r="M30408" s="277"/>
      <c r="O30408" s="247"/>
      <c r="AC30408" s="247"/>
      <c r="AT30408" s="247"/>
    </row>
    <row r="30409">
      <c r="C30409" s="277"/>
      <c r="M30409" s="277"/>
      <c r="O30409" s="247"/>
      <c r="AC30409" s="247"/>
      <c r="AT30409" s="247"/>
    </row>
    <row r="30410">
      <c r="C30410" s="277"/>
      <c r="M30410" s="277"/>
      <c r="O30410" s="247"/>
      <c r="AC30410" s="247"/>
      <c r="AT30410" s="247"/>
    </row>
    <row r="30411">
      <c r="C30411" s="277"/>
      <c r="M30411" s="277"/>
      <c r="O30411" s="247"/>
      <c r="AC30411" s="247"/>
      <c r="AT30411" s="247"/>
    </row>
    <row r="30412">
      <c r="C30412" s="277"/>
      <c r="M30412" s="277"/>
      <c r="O30412" s="247"/>
      <c r="AC30412" s="247"/>
      <c r="AT30412" s="247"/>
    </row>
    <row r="30413">
      <c r="C30413" s="277"/>
      <c r="M30413" s="277"/>
      <c r="O30413" s="247"/>
      <c r="AC30413" s="247"/>
      <c r="AT30413" s="247"/>
    </row>
    <row r="30414">
      <c r="C30414" s="277"/>
      <c r="M30414" s="277"/>
      <c r="O30414" s="247"/>
      <c r="AC30414" s="247"/>
      <c r="AT30414" s="247"/>
    </row>
    <row r="30415">
      <c r="C30415" s="277"/>
      <c r="M30415" s="277"/>
      <c r="O30415" s="247"/>
      <c r="AC30415" s="247"/>
      <c r="AT30415" s="247"/>
    </row>
    <row r="30416">
      <c r="C30416" s="277"/>
      <c r="M30416" s="277"/>
      <c r="O30416" s="247"/>
      <c r="AC30416" s="247"/>
      <c r="AT30416" s="247"/>
    </row>
    <row r="30417">
      <c r="C30417" s="277"/>
      <c r="M30417" s="277"/>
      <c r="O30417" s="247"/>
      <c r="AC30417" s="247"/>
      <c r="AT30417" s="247"/>
    </row>
    <row r="30418">
      <c r="C30418" s="277"/>
      <c r="M30418" s="277"/>
      <c r="O30418" s="247"/>
      <c r="AC30418" s="247"/>
      <c r="AT30418" s="247"/>
    </row>
    <row r="30419">
      <c r="C30419" s="277"/>
      <c r="M30419" s="277"/>
      <c r="O30419" s="247"/>
      <c r="AC30419" s="247"/>
      <c r="AT30419" s="247"/>
    </row>
    <row r="30420">
      <c r="C30420" s="277"/>
      <c r="M30420" s="277"/>
      <c r="O30420" s="247"/>
      <c r="AC30420" s="247"/>
      <c r="AT30420" s="247"/>
    </row>
    <row r="30421">
      <c r="C30421" s="277"/>
      <c r="M30421" s="277"/>
      <c r="O30421" s="247"/>
      <c r="AC30421" s="247"/>
      <c r="AT30421" s="247"/>
    </row>
    <row r="30422">
      <c r="C30422" s="277"/>
      <c r="M30422" s="277"/>
      <c r="O30422" s="247"/>
      <c r="AC30422" s="247"/>
      <c r="AT30422" s="247"/>
    </row>
    <row r="30423">
      <c r="C30423" s="277"/>
      <c r="M30423" s="277"/>
      <c r="O30423" s="247"/>
      <c r="AC30423" s="247"/>
      <c r="AT30423" s="247"/>
    </row>
    <row r="30424">
      <c r="C30424" s="277"/>
      <c r="M30424" s="277"/>
      <c r="O30424" s="247"/>
      <c r="AC30424" s="247"/>
      <c r="AT30424" s="247"/>
    </row>
    <row r="30425">
      <c r="C30425" s="277"/>
      <c r="M30425" s="277"/>
      <c r="O30425" s="247"/>
      <c r="AC30425" s="247"/>
      <c r="AT30425" s="247"/>
    </row>
    <row r="30426">
      <c r="C30426" s="277"/>
      <c r="M30426" s="277"/>
      <c r="O30426" s="247"/>
      <c r="AC30426" s="247"/>
      <c r="AT30426" s="247"/>
    </row>
    <row r="30427">
      <c r="C30427" s="277"/>
      <c r="M30427" s="277"/>
      <c r="O30427" s="247"/>
      <c r="AC30427" s="247"/>
      <c r="AT30427" s="247"/>
    </row>
    <row r="30428">
      <c r="C30428" s="277"/>
      <c r="M30428" s="277"/>
      <c r="O30428" s="247"/>
      <c r="AC30428" s="247"/>
      <c r="AT30428" s="247"/>
    </row>
    <row r="30429">
      <c r="C30429" s="277"/>
      <c r="M30429" s="277"/>
      <c r="O30429" s="247"/>
      <c r="AC30429" s="247"/>
      <c r="AT30429" s="247"/>
    </row>
    <row r="30430">
      <c r="C30430" s="277"/>
      <c r="M30430" s="277"/>
      <c r="O30430" s="247"/>
      <c r="AC30430" s="247"/>
      <c r="AT30430" s="247"/>
    </row>
    <row r="30431">
      <c r="C30431" s="277"/>
      <c r="M30431" s="277"/>
      <c r="O30431" s="247"/>
      <c r="AC30431" s="247"/>
      <c r="AT30431" s="247"/>
    </row>
    <row r="30432">
      <c r="C30432" s="277"/>
      <c r="M30432" s="277"/>
      <c r="O30432" s="247"/>
      <c r="AC30432" s="247"/>
      <c r="AT30432" s="247"/>
    </row>
    <row r="30433">
      <c r="C30433" s="277"/>
      <c r="M30433" s="277"/>
      <c r="O30433" s="247"/>
      <c r="AC30433" s="247"/>
      <c r="AT30433" s="247"/>
    </row>
    <row r="30434">
      <c r="C30434" s="277"/>
      <c r="M30434" s="277"/>
      <c r="O30434" s="247"/>
      <c r="AC30434" s="247"/>
      <c r="AT30434" s="247"/>
    </row>
    <row r="30435">
      <c r="C30435" s="277"/>
      <c r="M30435" s="277"/>
      <c r="O30435" s="247"/>
      <c r="AC30435" s="247"/>
      <c r="AT30435" s="247"/>
    </row>
    <row r="30436">
      <c r="C30436" s="277"/>
      <c r="M30436" s="277"/>
      <c r="O30436" s="247"/>
      <c r="AC30436" s="247"/>
      <c r="AT30436" s="247"/>
    </row>
    <row r="30437">
      <c r="C30437" s="277"/>
      <c r="M30437" s="277"/>
      <c r="O30437" s="247"/>
      <c r="AC30437" s="247"/>
      <c r="AT30437" s="247"/>
    </row>
    <row r="30438">
      <c r="C30438" s="277"/>
      <c r="M30438" s="277"/>
      <c r="O30438" s="247"/>
      <c r="AC30438" s="247"/>
      <c r="AT30438" s="247"/>
    </row>
    <row r="30439">
      <c r="C30439" s="277"/>
      <c r="M30439" s="277"/>
      <c r="O30439" s="247"/>
      <c r="AC30439" s="247"/>
      <c r="AT30439" s="247"/>
    </row>
    <row r="30440">
      <c r="C30440" s="277"/>
      <c r="M30440" s="277"/>
      <c r="O30440" s="247"/>
      <c r="AC30440" s="247"/>
      <c r="AT30440" s="247"/>
    </row>
    <row r="30441">
      <c r="C30441" s="277"/>
      <c r="M30441" s="277"/>
      <c r="O30441" s="247"/>
      <c r="AC30441" s="247"/>
      <c r="AT30441" s="247"/>
    </row>
    <row r="30442">
      <c r="C30442" s="277"/>
      <c r="M30442" s="277"/>
      <c r="O30442" s="247"/>
      <c r="AC30442" s="247"/>
      <c r="AT30442" s="247"/>
    </row>
    <row r="30443">
      <c r="C30443" s="277"/>
      <c r="M30443" s="277"/>
      <c r="O30443" s="247"/>
      <c r="AC30443" s="247"/>
      <c r="AT30443" s="247"/>
    </row>
    <row r="30444">
      <c r="C30444" s="277"/>
      <c r="M30444" s="277"/>
      <c r="O30444" s="247"/>
      <c r="AC30444" s="247"/>
      <c r="AT30444" s="247"/>
    </row>
    <row r="30445">
      <c r="C30445" s="277"/>
      <c r="M30445" s="277"/>
      <c r="O30445" s="247"/>
      <c r="AC30445" s="247"/>
      <c r="AT30445" s="247"/>
    </row>
    <row r="30446">
      <c r="C30446" s="277"/>
      <c r="M30446" s="277"/>
      <c r="O30446" s="247"/>
      <c r="AC30446" s="247"/>
      <c r="AT30446" s="247"/>
    </row>
    <row r="30447">
      <c r="C30447" s="277"/>
      <c r="M30447" s="277"/>
      <c r="O30447" s="247"/>
      <c r="AC30447" s="247"/>
      <c r="AT30447" s="247"/>
    </row>
    <row r="30448">
      <c r="C30448" s="277"/>
      <c r="M30448" s="277"/>
      <c r="O30448" s="247"/>
      <c r="AC30448" s="247"/>
      <c r="AT30448" s="247"/>
    </row>
    <row r="30449">
      <c r="C30449" s="277"/>
      <c r="M30449" s="277"/>
      <c r="O30449" s="247"/>
      <c r="AC30449" s="247"/>
      <c r="AT30449" s="247"/>
    </row>
    <row r="30450">
      <c r="C30450" s="277"/>
      <c r="M30450" s="277"/>
      <c r="O30450" s="247"/>
      <c r="AC30450" s="247"/>
      <c r="AT30450" s="247"/>
    </row>
    <row r="30451">
      <c r="C30451" s="277"/>
      <c r="M30451" s="277"/>
      <c r="O30451" s="247"/>
      <c r="AC30451" s="247"/>
      <c r="AT30451" s="247"/>
    </row>
    <row r="30452">
      <c r="C30452" s="277"/>
      <c r="M30452" s="277"/>
      <c r="O30452" s="247"/>
      <c r="AC30452" s="247"/>
      <c r="AT30452" s="247"/>
    </row>
    <row r="30453">
      <c r="C30453" s="277"/>
      <c r="M30453" s="277"/>
      <c r="O30453" s="247"/>
      <c r="AC30453" s="247"/>
      <c r="AT30453" s="247"/>
    </row>
    <row r="30454">
      <c r="C30454" s="277"/>
      <c r="M30454" s="277"/>
      <c r="O30454" s="247"/>
      <c r="AC30454" s="247"/>
      <c r="AT30454" s="247"/>
    </row>
    <row r="30455">
      <c r="C30455" s="277"/>
      <c r="M30455" s="277"/>
      <c r="O30455" s="247"/>
      <c r="AC30455" s="247"/>
      <c r="AT30455" s="247"/>
    </row>
    <row r="30456">
      <c r="C30456" s="277"/>
      <c r="M30456" s="277"/>
      <c r="O30456" s="247"/>
      <c r="AC30456" s="247"/>
      <c r="AT30456" s="247"/>
    </row>
    <row r="30457">
      <c r="C30457" s="277"/>
      <c r="M30457" s="277"/>
      <c r="O30457" s="247"/>
      <c r="AC30457" s="247"/>
      <c r="AT30457" s="247"/>
    </row>
    <row r="30458">
      <c r="C30458" s="277"/>
      <c r="M30458" s="277"/>
      <c r="O30458" s="247"/>
      <c r="AC30458" s="247"/>
      <c r="AT30458" s="247"/>
    </row>
    <row r="30459">
      <c r="C30459" s="277"/>
      <c r="M30459" s="277"/>
      <c r="O30459" s="247"/>
      <c r="AC30459" s="247"/>
      <c r="AT30459" s="247"/>
    </row>
    <row r="30460">
      <c r="C30460" s="277"/>
      <c r="M30460" s="277"/>
      <c r="O30460" s="247"/>
      <c r="AC30460" s="247"/>
      <c r="AT30460" s="247"/>
    </row>
    <row r="30461">
      <c r="C30461" s="277"/>
      <c r="M30461" s="277"/>
      <c r="O30461" s="247"/>
      <c r="AC30461" s="247"/>
      <c r="AT30461" s="247"/>
    </row>
    <row r="30462">
      <c r="C30462" s="277"/>
      <c r="M30462" s="277"/>
      <c r="O30462" s="247"/>
      <c r="AC30462" s="247"/>
      <c r="AT30462" s="247"/>
    </row>
    <row r="30463">
      <c r="C30463" s="277"/>
      <c r="M30463" s="277"/>
      <c r="O30463" s="247"/>
      <c r="AC30463" s="247"/>
      <c r="AT30463" s="247"/>
    </row>
    <row r="30464">
      <c r="C30464" s="277"/>
      <c r="M30464" s="277"/>
      <c r="O30464" s="247"/>
      <c r="AC30464" s="247"/>
      <c r="AT30464" s="247"/>
    </row>
    <row r="30465">
      <c r="C30465" s="277"/>
      <c r="M30465" s="277"/>
      <c r="O30465" s="247"/>
      <c r="AC30465" s="247"/>
      <c r="AT30465" s="247"/>
    </row>
    <row r="30466">
      <c r="C30466" s="277"/>
      <c r="M30466" s="277"/>
      <c r="O30466" s="247"/>
      <c r="AC30466" s="247"/>
      <c r="AT30466" s="247"/>
    </row>
    <row r="30467">
      <c r="C30467" s="277"/>
      <c r="M30467" s="277"/>
      <c r="O30467" s="247"/>
      <c r="AC30467" s="247"/>
      <c r="AT30467" s="247"/>
    </row>
    <row r="30468">
      <c r="C30468" s="277"/>
      <c r="M30468" s="277"/>
      <c r="O30468" s="247"/>
      <c r="AC30468" s="247"/>
      <c r="AT30468" s="247"/>
    </row>
    <row r="30469">
      <c r="C30469" s="277"/>
      <c r="M30469" s="277"/>
      <c r="O30469" s="247"/>
      <c r="AC30469" s="247"/>
      <c r="AT30469" s="247"/>
    </row>
    <row r="30470">
      <c r="C30470" s="277"/>
      <c r="M30470" s="277"/>
      <c r="O30470" s="247"/>
      <c r="AC30470" s="247"/>
      <c r="AT30470" s="247"/>
    </row>
    <row r="30471">
      <c r="C30471" s="277"/>
      <c r="M30471" s="277"/>
      <c r="O30471" s="247"/>
      <c r="AC30471" s="247"/>
      <c r="AT30471" s="247"/>
    </row>
    <row r="30472">
      <c r="C30472" s="277"/>
      <c r="M30472" s="277"/>
      <c r="O30472" s="247"/>
      <c r="AC30472" s="247"/>
      <c r="AT30472" s="247"/>
    </row>
    <row r="30473">
      <c r="C30473" s="277"/>
      <c r="M30473" s="277"/>
      <c r="O30473" s="247"/>
      <c r="AC30473" s="247"/>
      <c r="AT30473" s="247"/>
    </row>
    <row r="30474">
      <c r="C30474" s="277"/>
      <c r="M30474" s="277"/>
      <c r="O30474" s="247"/>
      <c r="AC30474" s="247"/>
      <c r="AT30474" s="247"/>
    </row>
    <row r="30475">
      <c r="C30475" s="277"/>
      <c r="M30475" s="277"/>
      <c r="O30475" s="247"/>
      <c r="AC30475" s="247"/>
      <c r="AT30475" s="247"/>
    </row>
    <row r="30476">
      <c r="C30476" s="277"/>
      <c r="M30476" s="277"/>
      <c r="O30476" s="247"/>
      <c r="AC30476" s="247"/>
      <c r="AT30476" s="247"/>
    </row>
    <row r="30477">
      <c r="C30477" s="277"/>
      <c r="M30477" s="277"/>
      <c r="O30477" s="247"/>
      <c r="AC30477" s="247"/>
      <c r="AT30477" s="247"/>
    </row>
    <row r="30478">
      <c r="C30478" s="277"/>
      <c r="M30478" s="277"/>
      <c r="O30478" s="247"/>
      <c r="AC30478" s="247"/>
      <c r="AT30478" s="247"/>
    </row>
    <row r="30479">
      <c r="C30479" s="277"/>
      <c r="M30479" s="277"/>
      <c r="O30479" s="247"/>
      <c r="AC30479" s="247"/>
      <c r="AT30479" s="247"/>
    </row>
    <row r="30480">
      <c r="C30480" s="277"/>
      <c r="M30480" s="277"/>
      <c r="O30480" s="247"/>
      <c r="AC30480" s="247"/>
      <c r="AT30480" s="247"/>
    </row>
    <row r="30481">
      <c r="C30481" s="277"/>
      <c r="M30481" s="277"/>
      <c r="O30481" s="247"/>
      <c r="AC30481" s="247"/>
      <c r="AT30481" s="247"/>
    </row>
    <row r="30482">
      <c r="C30482" s="277"/>
      <c r="M30482" s="277"/>
      <c r="O30482" s="247"/>
      <c r="AC30482" s="247"/>
      <c r="AT30482" s="247"/>
    </row>
    <row r="30483">
      <c r="C30483" s="277"/>
      <c r="M30483" s="277"/>
      <c r="O30483" s="247"/>
      <c r="AC30483" s="247"/>
      <c r="AT30483" s="247"/>
    </row>
    <row r="30484">
      <c r="C30484" s="277"/>
      <c r="M30484" s="277"/>
      <c r="O30484" s="247"/>
      <c r="AC30484" s="247"/>
      <c r="AT30484" s="247"/>
    </row>
    <row r="30485">
      <c r="C30485" s="277"/>
      <c r="M30485" s="277"/>
      <c r="O30485" s="247"/>
      <c r="AC30485" s="247"/>
      <c r="AT30485" s="247"/>
    </row>
    <row r="30486">
      <c r="C30486" s="277"/>
      <c r="M30486" s="277"/>
      <c r="O30486" s="247"/>
      <c r="AC30486" s="247"/>
      <c r="AT30486" s="247"/>
    </row>
    <row r="30487">
      <c r="C30487" s="277"/>
      <c r="M30487" s="277"/>
      <c r="O30487" s="247"/>
      <c r="AC30487" s="247"/>
      <c r="AT30487" s="247"/>
    </row>
    <row r="30488">
      <c r="C30488" s="277"/>
      <c r="M30488" s="277"/>
      <c r="O30488" s="247"/>
      <c r="AC30488" s="247"/>
      <c r="AT30488" s="247"/>
    </row>
    <row r="30489">
      <c r="C30489" s="277"/>
      <c r="M30489" s="277"/>
      <c r="O30489" s="247"/>
      <c r="AC30489" s="247"/>
      <c r="AT30489" s="247"/>
    </row>
    <row r="30490">
      <c r="C30490" s="277"/>
      <c r="M30490" s="277"/>
      <c r="O30490" s="247"/>
      <c r="AC30490" s="247"/>
      <c r="AT30490" s="247"/>
    </row>
    <row r="30491">
      <c r="C30491" s="277"/>
      <c r="M30491" s="277"/>
      <c r="O30491" s="247"/>
      <c r="AC30491" s="247"/>
      <c r="AT30491" s="247"/>
    </row>
    <row r="30492">
      <c r="C30492" s="277"/>
      <c r="M30492" s="277"/>
      <c r="O30492" s="247"/>
      <c r="AC30492" s="247"/>
      <c r="AT30492" s="247"/>
    </row>
    <row r="30493">
      <c r="C30493" s="277"/>
      <c r="M30493" s="277"/>
      <c r="O30493" s="247"/>
      <c r="AC30493" s="247"/>
      <c r="AT30493" s="247"/>
    </row>
    <row r="30494">
      <c r="C30494" s="277"/>
      <c r="M30494" s="277"/>
      <c r="O30494" s="247"/>
      <c r="AC30494" s="247"/>
      <c r="AT30494" s="247"/>
    </row>
    <row r="30495">
      <c r="C30495" s="277"/>
      <c r="M30495" s="277"/>
      <c r="O30495" s="247"/>
      <c r="AC30495" s="247"/>
      <c r="AT30495" s="247"/>
    </row>
    <row r="30496">
      <c r="C30496" s="277"/>
      <c r="M30496" s="277"/>
      <c r="O30496" s="247"/>
      <c r="AC30496" s="247"/>
      <c r="AT30496" s="247"/>
    </row>
    <row r="30497">
      <c r="C30497" s="277"/>
      <c r="M30497" s="277"/>
      <c r="O30497" s="247"/>
      <c r="AC30497" s="247"/>
      <c r="AT30497" s="247"/>
    </row>
    <row r="30498">
      <c r="C30498" s="277"/>
      <c r="M30498" s="277"/>
      <c r="O30498" s="247"/>
      <c r="AC30498" s="247"/>
      <c r="AT30498" s="247"/>
    </row>
    <row r="30499">
      <c r="C30499" s="277"/>
      <c r="M30499" s="277"/>
      <c r="O30499" s="247"/>
      <c r="AC30499" s="247"/>
      <c r="AT30499" s="247"/>
    </row>
    <row r="30500">
      <c r="C30500" s="277"/>
      <c r="M30500" s="277"/>
      <c r="O30500" s="247"/>
      <c r="AC30500" s="247"/>
      <c r="AT30500" s="247"/>
    </row>
    <row r="30501">
      <c r="C30501" s="277"/>
      <c r="M30501" s="277"/>
      <c r="O30501" s="247"/>
      <c r="AC30501" s="247"/>
      <c r="AT30501" s="247"/>
    </row>
    <row r="30502">
      <c r="C30502" s="277"/>
      <c r="M30502" s="277"/>
      <c r="O30502" s="247"/>
      <c r="AC30502" s="247"/>
      <c r="AT30502" s="247"/>
    </row>
    <row r="30503">
      <c r="C30503" s="277"/>
      <c r="M30503" s="277"/>
      <c r="O30503" s="247"/>
      <c r="AC30503" s="247"/>
      <c r="AT30503" s="247"/>
    </row>
    <row r="30504">
      <c r="C30504" s="277"/>
      <c r="M30504" s="277"/>
      <c r="O30504" s="247"/>
      <c r="AC30504" s="247"/>
      <c r="AT30504" s="247"/>
    </row>
    <row r="30505">
      <c r="C30505" s="277"/>
      <c r="M30505" s="277"/>
      <c r="O30505" s="247"/>
      <c r="AC30505" s="247"/>
      <c r="AT30505" s="247"/>
    </row>
    <row r="30506">
      <c r="C30506" s="277"/>
      <c r="M30506" s="277"/>
      <c r="O30506" s="247"/>
      <c r="AC30506" s="247"/>
      <c r="AT30506" s="247"/>
    </row>
    <row r="30507">
      <c r="C30507" s="277"/>
      <c r="M30507" s="277"/>
      <c r="O30507" s="247"/>
      <c r="AC30507" s="247"/>
      <c r="AT30507" s="247"/>
    </row>
    <row r="30508">
      <c r="C30508" s="277"/>
      <c r="M30508" s="277"/>
      <c r="O30508" s="247"/>
      <c r="AC30508" s="247"/>
      <c r="AT30508" s="247"/>
    </row>
    <row r="30509">
      <c r="C30509" s="277"/>
      <c r="M30509" s="277"/>
      <c r="O30509" s="247"/>
      <c r="AC30509" s="247"/>
      <c r="AT30509" s="247"/>
    </row>
    <row r="30510">
      <c r="C30510" s="277"/>
      <c r="M30510" s="277"/>
      <c r="O30510" s="247"/>
      <c r="AC30510" s="247"/>
      <c r="AT30510" s="247"/>
    </row>
    <row r="30511">
      <c r="C30511" s="277"/>
      <c r="M30511" s="277"/>
      <c r="O30511" s="247"/>
      <c r="AC30511" s="247"/>
      <c r="AT30511" s="247"/>
    </row>
    <row r="30512">
      <c r="C30512" s="277"/>
      <c r="M30512" s="277"/>
      <c r="O30512" s="247"/>
      <c r="AC30512" s="247"/>
      <c r="AT30512" s="247"/>
    </row>
    <row r="30513">
      <c r="C30513" s="277"/>
      <c r="M30513" s="277"/>
      <c r="O30513" s="247"/>
      <c r="AC30513" s="247"/>
      <c r="AT30513" s="247"/>
    </row>
    <row r="30514">
      <c r="C30514" s="277"/>
      <c r="M30514" s="277"/>
      <c r="O30514" s="247"/>
      <c r="AC30514" s="247"/>
      <c r="AT30514" s="247"/>
    </row>
    <row r="30515">
      <c r="C30515" s="277"/>
      <c r="M30515" s="277"/>
      <c r="O30515" s="247"/>
      <c r="AC30515" s="247"/>
      <c r="AT30515" s="247"/>
    </row>
    <row r="30516">
      <c r="C30516" s="277"/>
      <c r="M30516" s="277"/>
      <c r="O30516" s="247"/>
      <c r="AC30516" s="247"/>
      <c r="AT30516" s="247"/>
    </row>
    <row r="30517">
      <c r="C30517" s="277"/>
      <c r="M30517" s="277"/>
      <c r="O30517" s="247"/>
      <c r="AC30517" s="247"/>
      <c r="AT30517" s="247"/>
    </row>
    <row r="30518">
      <c r="C30518" s="277"/>
      <c r="M30518" s="277"/>
      <c r="O30518" s="247"/>
      <c r="AC30518" s="247"/>
      <c r="AT30518" s="247"/>
    </row>
    <row r="30519">
      <c r="C30519" s="277"/>
      <c r="M30519" s="277"/>
      <c r="O30519" s="247"/>
      <c r="AC30519" s="247"/>
      <c r="AT30519" s="247"/>
    </row>
    <row r="30520">
      <c r="C30520" s="277"/>
      <c r="M30520" s="277"/>
      <c r="O30520" s="247"/>
      <c r="AC30520" s="247"/>
      <c r="AT30520" s="247"/>
    </row>
    <row r="30521">
      <c r="C30521" s="277"/>
      <c r="M30521" s="277"/>
      <c r="O30521" s="247"/>
      <c r="AC30521" s="247"/>
      <c r="AT30521" s="247"/>
    </row>
    <row r="30522">
      <c r="C30522" s="277"/>
      <c r="M30522" s="277"/>
      <c r="O30522" s="247"/>
      <c r="AC30522" s="247"/>
      <c r="AT30522" s="247"/>
    </row>
    <row r="30523">
      <c r="C30523" s="277"/>
      <c r="M30523" s="277"/>
      <c r="O30523" s="247"/>
      <c r="AC30523" s="247"/>
      <c r="AT30523" s="247"/>
    </row>
    <row r="30524">
      <c r="C30524" s="277"/>
      <c r="M30524" s="277"/>
      <c r="O30524" s="247"/>
      <c r="AC30524" s="247"/>
      <c r="AT30524" s="247"/>
    </row>
    <row r="30525">
      <c r="C30525" s="277"/>
      <c r="M30525" s="277"/>
      <c r="O30525" s="247"/>
      <c r="AC30525" s="247"/>
      <c r="AT30525" s="247"/>
    </row>
    <row r="30526">
      <c r="C30526" s="277"/>
      <c r="M30526" s="277"/>
      <c r="O30526" s="247"/>
      <c r="AC30526" s="247"/>
      <c r="AT30526" s="247"/>
    </row>
    <row r="30527">
      <c r="C30527" s="277"/>
      <c r="M30527" s="277"/>
      <c r="O30527" s="247"/>
      <c r="AC30527" s="247"/>
      <c r="AT30527" s="247"/>
    </row>
    <row r="30528">
      <c r="C30528" s="277"/>
      <c r="M30528" s="277"/>
      <c r="O30528" s="247"/>
      <c r="AC30528" s="247"/>
      <c r="AT30528" s="247"/>
    </row>
    <row r="30529">
      <c r="C30529" s="277"/>
      <c r="M30529" s="277"/>
      <c r="O30529" s="247"/>
      <c r="AC30529" s="247"/>
      <c r="AT30529" s="247"/>
    </row>
    <row r="30530">
      <c r="C30530" s="277"/>
      <c r="M30530" s="277"/>
      <c r="O30530" s="247"/>
      <c r="AC30530" s="247"/>
      <c r="AT30530" s="247"/>
    </row>
    <row r="30531">
      <c r="C30531" s="277"/>
      <c r="M30531" s="277"/>
      <c r="O30531" s="247"/>
      <c r="AC30531" s="247"/>
      <c r="AT30531" s="247"/>
    </row>
    <row r="30532">
      <c r="C30532" s="277"/>
      <c r="M30532" s="277"/>
      <c r="O30532" s="247"/>
      <c r="AC30532" s="247"/>
      <c r="AT30532" s="247"/>
    </row>
    <row r="30533">
      <c r="C30533" s="277"/>
      <c r="M30533" s="277"/>
      <c r="O30533" s="247"/>
      <c r="AC30533" s="247"/>
      <c r="AT30533" s="247"/>
    </row>
    <row r="30534">
      <c r="C30534" s="277"/>
      <c r="M30534" s="277"/>
      <c r="O30534" s="247"/>
      <c r="AC30534" s="247"/>
      <c r="AT30534" s="247"/>
    </row>
    <row r="30535">
      <c r="C30535" s="277"/>
      <c r="M30535" s="277"/>
      <c r="O30535" s="247"/>
      <c r="AC30535" s="247"/>
      <c r="AT30535" s="247"/>
    </row>
    <row r="30536">
      <c r="C30536" s="277"/>
      <c r="M30536" s="277"/>
      <c r="O30536" s="247"/>
      <c r="AC30536" s="247"/>
      <c r="AT30536" s="247"/>
    </row>
    <row r="30537">
      <c r="C30537" s="277"/>
      <c r="M30537" s="277"/>
      <c r="O30537" s="247"/>
      <c r="AC30537" s="247"/>
      <c r="AT30537" s="247"/>
    </row>
    <row r="30538">
      <c r="C30538" s="277"/>
      <c r="M30538" s="277"/>
      <c r="O30538" s="247"/>
      <c r="AC30538" s="247"/>
      <c r="AT30538" s="247"/>
    </row>
    <row r="30539">
      <c r="C30539" s="277"/>
      <c r="M30539" s="277"/>
      <c r="O30539" s="247"/>
      <c r="AC30539" s="247"/>
      <c r="AT30539" s="247"/>
    </row>
    <row r="30540">
      <c r="C30540" s="277"/>
      <c r="M30540" s="277"/>
      <c r="O30540" s="247"/>
      <c r="AC30540" s="247"/>
      <c r="AT30540" s="247"/>
    </row>
    <row r="30541">
      <c r="C30541" s="277"/>
      <c r="M30541" s="277"/>
      <c r="O30541" s="247"/>
      <c r="AC30541" s="247"/>
      <c r="AT30541" s="247"/>
    </row>
    <row r="30542">
      <c r="C30542" s="277"/>
      <c r="M30542" s="277"/>
      <c r="O30542" s="247"/>
      <c r="AC30542" s="247"/>
      <c r="AT30542" s="247"/>
    </row>
    <row r="30543">
      <c r="C30543" s="277"/>
      <c r="M30543" s="277"/>
      <c r="O30543" s="247"/>
      <c r="AC30543" s="247"/>
      <c r="AT30543" s="247"/>
    </row>
    <row r="30544">
      <c r="C30544" s="277"/>
      <c r="M30544" s="277"/>
      <c r="O30544" s="247"/>
      <c r="AC30544" s="247"/>
      <c r="AT30544" s="247"/>
    </row>
    <row r="30545">
      <c r="C30545" s="277"/>
      <c r="M30545" s="277"/>
      <c r="O30545" s="247"/>
      <c r="AC30545" s="247"/>
      <c r="AT30545" s="247"/>
    </row>
    <row r="30546">
      <c r="C30546" s="277"/>
      <c r="M30546" s="277"/>
      <c r="O30546" s="247"/>
      <c r="AC30546" s="247"/>
      <c r="AT30546" s="247"/>
    </row>
    <row r="30547">
      <c r="C30547" s="277"/>
      <c r="M30547" s="277"/>
      <c r="O30547" s="247"/>
      <c r="AC30547" s="247"/>
      <c r="AT30547" s="247"/>
    </row>
    <row r="30548">
      <c r="C30548" s="277"/>
      <c r="M30548" s="277"/>
      <c r="O30548" s="247"/>
      <c r="AC30548" s="247"/>
      <c r="AT30548" s="247"/>
    </row>
    <row r="30549">
      <c r="C30549" s="277"/>
      <c r="M30549" s="277"/>
      <c r="O30549" s="247"/>
      <c r="AC30549" s="247"/>
      <c r="AT30549" s="247"/>
    </row>
    <row r="30550">
      <c r="C30550" s="277"/>
      <c r="M30550" s="277"/>
      <c r="O30550" s="247"/>
      <c r="AC30550" s="247"/>
      <c r="AT30550" s="247"/>
    </row>
    <row r="30551">
      <c r="C30551" s="277"/>
      <c r="M30551" s="277"/>
      <c r="O30551" s="247"/>
      <c r="AC30551" s="247"/>
      <c r="AT30551" s="247"/>
    </row>
    <row r="30552">
      <c r="C30552" s="277"/>
      <c r="M30552" s="277"/>
      <c r="O30552" s="247"/>
      <c r="AC30552" s="247"/>
      <c r="AT30552" s="247"/>
    </row>
    <row r="30553">
      <c r="C30553" s="277"/>
      <c r="M30553" s="277"/>
      <c r="O30553" s="247"/>
      <c r="AC30553" s="247"/>
      <c r="AT30553" s="247"/>
    </row>
    <row r="30554">
      <c r="C30554" s="277"/>
      <c r="M30554" s="277"/>
      <c r="O30554" s="247"/>
      <c r="AC30554" s="247"/>
      <c r="AT30554" s="247"/>
    </row>
    <row r="30555">
      <c r="C30555" s="277"/>
      <c r="M30555" s="277"/>
      <c r="O30555" s="247"/>
      <c r="AC30555" s="247"/>
      <c r="AT30555" s="247"/>
    </row>
    <row r="30556">
      <c r="C30556" s="277"/>
      <c r="M30556" s="277"/>
      <c r="O30556" s="247"/>
      <c r="AC30556" s="247"/>
      <c r="AT30556" s="247"/>
    </row>
    <row r="30557">
      <c r="C30557" s="277"/>
      <c r="M30557" s="277"/>
      <c r="O30557" s="247"/>
      <c r="AC30557" s="247"/>
      <c r="AT30557" s="247"/>
    </row>
    <row r="30558">
      <c r="C30558" s="277"/>
      <c r="M30558" s="277"/>
      <c r="O30558" s="247"/>
      <c r="AC30558" s="247"/>
      <c r="AT30558" s="247"/>
    </row>
    <row r="30559">
      <c r="C30559" s="277"/>
      <c r="M30559" s="277"/>
      <c r="O30559" s="247"/>
      <c r="AC30559" s="247"/>
      <c r="AT30559" s="247"/>
    </row>
    <row r="30560">
      <c r="C30560" s="277"/>
      <c r="M30560" s="277"/>
      <c r="O30560" s="247"/>
      <c r="AC30560" s="247"/>
      <c r="AT30560" s="247"/>
    </row>
    <row r="30561">
      <c r="C30561" s="277"/>
      <c r="M30561" s="277"/>
      <c r="O30561" s="247"/>
      <c r="AC30561" s="247"/>
      <c r="AT30561" s="247"/>
    </row>
    <row r="30562">
      <c r="C30562" s="277"/>
      <c r="M30562" s="277"/>
      <c r="O30562" s="247"/>
      <c r="AC30562" s="247"/>
      <c r="AT30562" s="247"/>
    </row>
    <row r="30563">
      <c r="C30563" s="277"/>
      <c r="M30563" s="277"/>
      <c r="O30563" s="247"/>
      <c r="AC30563" s="247"/>
      <c r="AT30563" s="247"/>
    </row>
    <row r="30564">
      <c r="C30564" s="277"/>
      <c r="M30564" s="277"/>
      <c r="O30564" s="247"/>
      <c r="AC30564" s="247"/>
      <c r="AT30564" s="247"/>
    </row>
    <row r="30565">
      <c r="C30565" s="277"/>
      <c r="M30565" s="277"/>
      <c r="O30565" s="247"/>
      <c r="AC30565" s="247"/>
      <c r="AT30565" s="247"/>
    </row>
    <row r="30566">
      <c r="C30566" s="277"/>
      <c r="M30566" s="277"/>
      <c r="O30566" s="247"/>
      <c r="AC30566" s="247"/>
      <c r="AT30566" s="247"/>
    </row>
    <row r="30567">
      <c r="C30567" s="277"/>
      <c r="M30567" s="277"/>
      <c r="O30567" s="247"/>
      <c r="AC30567" s="247"/>
      <c r="AT30567" s="247"/>
    </row>
    <row r="30568">
      <c r="C30568" s="277"/>
      <c r="M30568" s="277"/>
      <c r="O30568" s="247"/>
      <c r="AC30568" s="247"/>
      <c r="AT30568" s="247"/>
    </row>
    <row r="30569">
      <c r="C30569" s="277"/>
      <c r="M30569" s="277"/>
      <c r="O30569" s="247"/>
      <c r="AC30569" s="247"/>
      <c r="AT30569" s="247"/>
    </row>
    <row r="30570">
      <c r="C30570" s="277"/>
      <c r="M30570" s="277"/>
      <c r="O30570" s="247"/>
      <c r="AC30570" s="247"/>
      <c r="AT30570" s="247"/>
    </row>
    <row r="30571">
      <c r="C30571" s="277"/>
      <c r="M30571" s="277"/>
      <c r="O30571" s="247"/>
      <c r="AC30571" s="247"/>
      <c r="AT30571" s="247"/>
    </row>
    <row r="30572">
      <c r="C30572" s="277"/>
      <c r="M30572" s="277"/>
      <c r="O30572" s="247"/>
      <c r="AC30572" s="247"/>
      <c r="AT30572" s="247"/>
    </row>
    <row r="30573">
      <c r="C30573" s="277"/>
      <c r="M30573" s="277"/>
      <c r="O30573" s="247"/>
      <c r="AC30573" s="247"/>
      <c r="AT30573" s="247"/>
    </row>
    <row r="30574">
      <c r="C30574" s="277"/>
      <c r="M30574" s="277"/>
      <c r="O30574" s="247"/>
      <c r="AC30574" s="247"/>
      <c r="AT30574" s="247"/>
    </row>
    <row r="30575">
      <c r="C30575" s="277"/>
      <c r="M30575" s="277"/>
      <c r="O30575" s="247"/>
      <c r="AC30575" s="247"/>
      <c r="AT30575" s="247"/>
    </row>
    <row r="30576">
      <c r="C30576" s="277"/>
      <c r="M30576" s="277"/>
      <c r="O30576" s="247"/>
      <c r="AC30576" s="247"/>
      <c r="AT30576" s="247"/>
    </row>
    <row r="30577">
      <c r="C30577" s="277"/>
      <c r="M30577" s="277"/>
      <c r="O30577" s="247"/>
      <c r="AC30577" s="247"/>
      <c r="AT30577" s="247"/>
    </row>
    <row r="30578">
      <c r="C30578" s="277"/>
      <c r="M30578" s="277"/>
      <c r="O30578" s="247"/>
      <c r="AC30578" s="247"/>
      <c r="AT30578" s="247"/>
    </row>
    <row r="30579">
      <c r="C30579" s="277"/>
      <c r="M30579" s="277"/>
      <c r="O30579" s="247"/>
      <c r="AC30579" s="247"/>
      <c r="AT30579" s="247"/>
    </row>
    <row r="30580">
      <c r="C30580" s="277"/>
      <c r="M30580" s="277"/>
      <c r="O30580" s="247"/>
      <c r="AC30580" s="247"/>
      <c r="AT30580" s="247"/>
    </row>
    <row r="30581">
      <c r="C30581" s="277"/>
      <c r="M30581" s="277"/>
      <c r="O30581" s="247"/>
      <c r="AC30581" s="247"/>
      <c r="AT30581" s="247"/>
    </row>
    <row r="30582">
      <c r="C30582" s="277"/>
      <c r="M30582" s="277"/>
      <c r="O30582" s="247"/>
      <c r="AC30582" s="247"/>
      <c r="AT30582" s="247"/>
    </row>
    <row r="30583">
      <c r="C30583" s="277"/>
      <c r="M30583" s="277"/>
      <c r="O30583" s="247"/>
      <c r="AC30583" s="247"/>
      <c r="AT30583" s="247"/>
    </row>
    <row r="30584">
      <c r="C30584" s="277"/>
      <c r="M30584" s="277"/>
      <c r="O30584" s="247"/>
      <c r="AC30584" s="247"/>
      <c r="AT30584" s="247"/>
    </row>
    <row r="30585">
      <c r="C30585" s="277"/>
      <c r="M30585" s="277"/>
      <c r="O30585" s="247"/>
      <c r="AC30585" s="247"/>
      <c r="AT30585" s="247"/>
    </row>
    <row r="30586">
      <c r="C30586" s="277"/>
      <c r="M30586" s="277"/>
      <c r="O30586" s="247"/>
      <c r="AC30586" s="247"/>
      <c r="AT30586" s="247"/>
    </row>
    <row r="30587">
      <c r="C30587" s="277"/>
      <c r="M30587" s="277"/>
      <c r="O30587" s="247"/>
      <c r="AC30587" s="247"/>
      <c r="AT30587" s="247"/>
    </row>
    <row r="30588">
      <c r="C30588" s="277"/>
      <c r="M30588" s="277"/>
      <c r="O30588" s="247"/>
      <c r="AC30588" s="247"/>
      <c r="AT30588" s="247"/>
    </row>
    <row r="30589">
      <c r="C30589" s="277"/>
      <c r="M30589" s="277"/>
      <c r="O30589" s="247"/>
      <c r="AC30589" s="247"/>
      <c r="AT30589" s="247"/>
    </row>
    <row r="30590">
      <c r="C30590" s="277"/>
      <c r="M30590" s="277"/>
      <c r="O30590" s="247"/>
      <c r="AC30590" s="247"/>
      <c r="AT30590" s="247"/>
    </row>
    <row r="30591">
      <c r="C30591" s="277"/>
      <c r="M30591" s="277"/>
      <c r="O30591" s="247"/>
      <c r="AC30591" s="247"/>
      <c r="AT30591" s="247"/>
    </row>
    <row r="30592">
      <c r="C30592" s="277"/>
      <c r="M30592" s="277"/>
      <c r="O30592" s="247"/>
      <c r="AC30592" s="247"/>
      <c r="AT30592" s="247"/>
    </row>
    <row r="30593">
      <c r="C30593" s="277"/>
      <c r="M30593" s="277"/>
      <c r="O30593" s="247"/>
      <c r="AC30593" s="247"/>
      <c r="AT30593" s="247"/>
    </row>
    <row r="30594">
      <c r="C30594" s="277"/>
      <c r="M30594" s="277"/>
      <c r="O30594" s="247"/>
      <c r="AC30594" s="247"/>
      <c r="AT30594" s="247"/>
    </row>
    <row r="30595">
      <c r="C30595" s="277"/>
      <c r="M30595" s="277"/>
      <c r="O30595" s="247"/>
      <c r="AC30595" s="247"/>
      <c r="AT30595" s="247"/>
    </row>
    <row r="30596">
      <c r="C30596" s="277"/>
      <c r="M30596" s="277"/>
      <c r="O30596" s="247"/>
      <c r="AC30596" s="247"/>
      <c r="AT30596" s="247"/>
    </row>
    <row r="30597">
      <c r="C30597" s="277"/>
      <c r="M30597" s="277"/>
      <c r="O30597" s="247"/>
      <c r="AC30597" s="247"/>
      <c r="AT30597" s="247"/>
    </row>
    <row r="30598">
      <c r="C30598" s="277"/>
      <c r="M30598" s="277"/>
      <c r="O30598" s="247"/>
      <c r="AC30598" s="247"/>
      <c r="AT30598" s="247"/>
    </row>
    <row r="30599">
      <c r="C30599" s="277"/>
      <c r="M30599" s="277"/>
      <c r="O30599" s="247"/>
      <c r="AC30599" s="247"/>
      <c r="AT30599" s="247"/>
    </row>
    <row r="30600">
      <c r="C30600" s="277"/>
      <c r="M30600" s="277"/>
      <c r="O30600" s="247"/>
      <c r="AC30600" s="247"/>
      <c r="AT30600" s="247"/>
    </row>
    <row r="30601">
      <c r="C30601" s="277"/>
      <c r="M30601" s="277"/>
      <c r="O30601" s="247"/>
      <c r="AC30601" s="247"/>
      <c r="AT30601" s="247"/>
    </row>
    <row r="30602">
      <c r="C30602" s="277"/>
      <c r="M30602" s="277"/>
      <c r="O30602" s="247"/>
      <c r="AC30602" s="247"/>
      <c r="AT30602" s="247"/>
    </row>
    <row r="30603">
      <c r="C30603" s="277"/>
      <c r="M30603" s="277"/>
      <c r="O30603" s="247"/>
      <c r="AC30603" s="247"/>
      <c r="AT30603" s="247"/>
    </row>
    <row r="30604">
      <c r="C30604" s="277"/>
      <c r="M30604" s="277"/>
      <c r="O30604" s="247"/>
      <c r="AC30604" s="247"/>
      <c r="AT30604" s="247"/>
    </row>
    <row r="30605">
      <c r="C30605" s="277"/>
      <c r="M30605" s="277"/>
      <c r="O30605" s="247"/>
      <c r="AC30605" s="247"/>
      <c r="AT30605" s="247"/>
    </row>
    <row r="30606">
      <c r="C30606" s="277"/>
      <c r="M30606" s="277"/>
      <c r="O30606" s="247"/>
      <c r="AC30606" s="247"/>
      <c r="AT30606" s="247"/>
    </row>
    <row r="30607">
      <c r="C30607" s="277"/>
      <c r="M30607" s="277"/>
      <c r="O30607" s="247"/>
      <c r="AC30607" s="247"/>
      <c r="AT30607" s="247"/>
    </row>
    <row r="30608">
      <c r="C30608" s="277"/>
      <c r="M30608" s="277"/>
      <c r="O30608" s="247"/>
      <c r="AC30608" s="247"/>
      <c r="AT30608" s="247"/>
    </row>
    <row r="30609">
      <c r="C30609" s="277"/>
      <c r="M30609" s="277"/>
      <c r="O30609" s="247"/>
      <c r="AC30609" s="247"/>
      <c r="AT30609" s="247"/>
    </row>
    <row r="30610">
      <c r="C30610" s="277"/>
      <c r="M30610" s="277"/>
      <c r="O30610" s="247"/>
      <c r="AC30610" s="247"/>
      <c r="AT30610" s="247"/>
    </row>
    <row r="30611">
      <c r="C30611" s="277"/>
      <c r="M30611" s="277"/>
      <c r="O30611" s="247"/>
      <c r="AC30611" s="247"/>
      <c r="AT30611" s="247"/>
    </row>
    <row r="30612">
      <c r="C30612" s="277"/>
      <c r="M30612" s="277"/>
      <c r="O30612" s="247"/>
      <c r="AC30612" s="247"/>
      <c r="AT30612" s="247"/>
    </row>
    <row r="30613">
      <c r="C30613" s="277"/>
      <c r="M30613" s="277"/>
      <c r="O30613" s="247"/>
      <c r="AC30613" s="247"/>
      <c r="AT30613" s="247"/>
    </row>
    <row r="30614">
      <c r="C30614" s="277"/>
      <c r="M30614" s="277"/>
      <c r="O30614" s="247"/>
      <c r="AC30614" s="247"/>
      <c r="AT30614" s="247"/>
    </row>
    <row r="30615">
      <c r="C30615" s="277"/>
      <c r="M30615" s="277"/>
      <c r="O30615" s="247"/>
      <c r="AC30615" s="247"/>
      <c r="AT30615" s="247"/>
    </row>
    <row r="30616">
      <c r="C30616" s="277"/>
      <c r="M30616" s="277"/>
      <c r="O30616" s="247"/>
      <c r="AC30616" s="247"/>
      <c r="AT30616" s="247"/>
    </row>
    <row r="30617">
      <c r="C30617" s="277"/>
      <c r="M30617" s="277"/>
      <c r="O30617" s="247"/>
      <c r="AC30617" s="247"/>
      <c r="AT30617" s="247"/>
    </row>
    <row r="30618">
      <c r="C30618" s="277"/>
      <c r="M30618" s="277"/>
      <c r="O30618" s="247"/>
      <c r="AC30618" s="247"/>
      <c r="AT30618" s="247"/>
    </row>
    <row r="30619">
      <c r="C30619" s="277"/>
      <c r="M30619" s="277"/>
      <c r="O30619" s="247"/>
      <c r="AC30619" s="247"/>
      <c r="AT30619" s="247"/>
    </row>
    <row r="30620">
      <c r="C30620" s="277"/>
      <c r="M30620" s="277"/>
      <c r="O30620" s="247"/>
      <c r="AC30620" s="247"/>
      <c r="AT30620" s="247"/>
    </row>
    <row r="30621">
      <c r="C30621" s="277"/>
      <c r="M30621" s="277"/>
      <c r="O30621" s="247"/>
      <c r="AC30621" s="247"/>
      <c r="AT30621" s="247"/>
    </row>
    <row r="30622">
      <c r="C30622" s="277"/>
      <c r="M30622" s="277"/>
      <c r="O30622" s="247"/>
      <c r="AC30622" s="247"/>
      <c r="AT30622" s="247"/>
    </row>
    <row r="30623">
      <c r="C30623" s="277"/>
      <c r="M30623" s="277"/>
      <c r="O30623" s="247"/>
      <c r="AC30623" s="247"/>
      <c r="AT30623" s="247"/>
    </row>
    <row r="30624">
      <c r="C30624" s="277"/>
      <c r="M30624" s="277"/>
      <c r="O30624" s="247"/>
      <c r="AC30624" s="247"/>
      <c r="AT30624" s="247"/>
    </row>
    <row r="30625">
      <c r="C30625" s="277"/>
      <c r="M30625" s="277"/>
      <c r="O30625" s="247"/>
      <c r="AC30625" s="247"/>
      <c r="AT30625" s="247"/>
    </row>
    <row r="30626">
      <c r="C30626" s="277"/>
      <c r="M30626" s="277"/>
      <c r="O30626" s="247"/>
      <c r="AC30626" s="247"/>
      <c r="AT30626" s="247"/>
    </row>
    <row r="30627">
      <c r="C30627" s="277"/>
      <c r="M30627" s="277"/>
      <c r="O30627" s="247"/>
      <c r="AC30627" s="247"/>
      <c r="AT30627" s="247"/>
    </row>
    <row r="30628">
      <c r="C30628" s="277"/>
      <c r="M30628" s="277"/>
      <c r="O30628" s="247"/>
      <c r="AC30628" s="247"/>
      <c r="AT30628" s="247"/>
    </row>
    <row r="30629">
      <c r="C30629" s="277"/>
      <c r="M30629" s="277"/>
      <c r="O30629" s="247"/>
      <c r="AC30629" s="247"/>
      <c r="AT30629" s="247"/>
    </row>
    <row r="30630">
      <c r="C30630" s="277"/>
      <c r="M30630" s="277"/>
      <c r="O30630" s="247"/>
      <c r="AC30630" s="247"/>
      <c r="AT30630" s="247"/>
    </row>
    <row r="30631">
      <c r="C30631" s="277"/>
      <c r="M30631" s="277"/>
      <c r="O30631" s="247"/>
      <c r="AC30631" s="247"/>
      <c r="AT30631" s="247"/>
    </row>
    <row r="30632">
      <c r="C30632" s="277"/>
      <c r="M30632" s="277"/>
      <c r="O30632" s="247"/>
      <c r="AC30632" s="247"/>
      <c r="AT30632" s="247"/>
    </row>
    <row r="30633">
      <c r="C30633" s="277"/>
      <c r="M30633" s="277"/>
      <c r="O30633" s="247"/>
      <c r="AC30633" s="247"/>
      <c r="AT30633" s="247"/>
    </row>
    <row r="30634">
      <c r="C30634" s="277"/>
      <c r="M30634" s="277"/>
      <c r="O30634" s="247"/>
      <c r="AC30634" s="247"/>
      <c r="AT30634" s="247"/>
    </row>
    <row r="30635">
      <c r="C30635" s="277"/>
      <c r="M30635" s="277"/>
      <c r="O30635" s="247"/>
      <c r="AC30635" s="247"/>
      <c r="AT30635" s="247"/>
    </row>
    <row r="30636">
      <c r="C30636" s="277"/>
      <c r="M30636" s="277"/>
      <c r="O30636" s="247"/>
      <c r="AC30636" s="247"/>
      <c r="AT30636" s="247"/>
    </row>
    <row r="30637">
      <c r="C30637" s="277"/>
      <c r="M30637" s="277"/>
      <c r="O30637" s="247"/>
      <c r="AC30637" s="247"/>
      <c r="AT30637" s="247"/>
    </row>
    <row r="30638">
      <c r="C30638" s="277"/>
      <c r="M30638" s="277"/>
      <c r="O30638" s="247"/>
      <c r="AC30638" s="247"/>
      <c r="AT30638" s="247"/>
    </row>
    <row r="30639">
      <c r="C30639" s="277"/>
      <c r="M30639" s="277"/>
      <c r="O30639" s="247"/>
      <c r="AC30639" s="247"/>
      <c r="AT30639" s="247"/>
    </row>
    <row r="30640">
      <c r="C30640" s="277"/>
      <c r="M30640" s="277"/>
      <c r="O30640" s="247"/>
      <c r="AC30640" s="247"/>
      <c r="AT30640" s="247"/>
    </row>
    <row r="30641">
      <c r="C30641" s="277"/>
      <c r="M30641" s="277"/>
      <c r="O30641" s="247"/>
      <c r="AC30641" s="247"/>
      <c r="AT30641" s="247"/>
    </row>
    <row r="30642">
      <c r="C30642" s="277"/>
      <c r="M30642" s="277"/>
      <c r="O30642" s="247"/>
      <c r="AC30642" s="247"/>
      <c r="AT30642" s="247"/>
    </row>
    <row r="30643">
      <c r="C30643" s="277"/>
      <c r="M30643" s="277"/>
      <c r="O30643" s="247"/>
      <c r="AC30643" s="247"/>
      <c r="AT30643" s="247"/>
    </row>
    <row r="30644">
      <c r="C30644" s="277"/>
      <c r="M30644" s="277"/>
      <c r="O30644" s="247"/>
      <c r="AC30644" s="247"/>
      <c r="AT30644" s="247"/>
    </row>
    <row r="30645">
      <c r="C30645" s="277"/>
      <c r="M30645" s="277"/>
      <c r="O30645" s="247"/>
      <c r="AC30645" s="247"/>
      <c r="AT30645" s="247"/>
    </row>
    <row r="30646">
      <c r="C30646" s="277"/>
      <c r="M30646" s="277"/>
      <c r="O30646" s="247"/>
      <c r="AC30646" s="247"/>
      <c r="AT30646" s="247"/>
    </row>
    <row r="30647">
      <c r="C30647" s="277"/>
      <c r="M30647" s="277"/>
      <c r="O30647" s="247"/>
      <c r="AC30647" s="247"/>
      <c r="AT30647" s="247"/>
    </row>
    <row r="30648">
      <c r="C30648" s="277"/>
      <c r="M30648" s="277"/>
      <c r="O30648" s="247"/>
      <c r="AC30648" s="247"/>
      <c r="AT30648" s="247"/>
    </row>
    <row r="30649">
      <c r="C30649" s="277"/>
      <c r="M30649" s="277"/>
      <c r="O30649" s="247"/>
      <c r="AC30649" s="247"/>
      <c r="AT30649" s="247"/>
    </row>
    <row r="30650">
      <c r="C30650" s="277"/>
      <c r="M30650" s="277"/>
      <c r="O30650" s="247"/>
      <c r="AC30650" s="247"/>
      <c r="AT30650" s="247"/>
    </row>
    <row r="30651">
      <c r="C30651" s="277"/>
      <c r="M30651" s="277"/>
      <c r="O30651" s="247"/>
      <c r="AC30651" s="247"/>
      <c r="AT30651" s="247"/>
    </row>
    <row r="30652">
      <c r="C30652" s="277"/>
      <c r="M30652" s="277"/>
      <c r="O30652" s="247"/>
      <c r="AC30652" s="247"/>
      <c r="AT30652" s="247"/>
    </row>
    <row r="30653">
      <c r="C30653" s="277"/>
      <c r="M30653" s="277"/>
      <c r="O30653" s="247"/>
      <c r="AC30653" s="247"/>
      <c r="AT30653" s="247"/>
    </row>
    <row r="30654">
      <c r="C30654" s="277"/>
      <c r="M30654" s="277"/>
      <c r="O30654" s="247"/>
      <c r="AC30654" s="247"/>
      <c r="AT30654" s="247"/>
    </row>
    <row r="30655">
      <c r="C30655" s="277"/>
      <c r="M30655" s="277"/>
      <c r="O30655" s="247"/>
      <c r="AC30655" s="247"/>
      <c r="AT30655" s="247"/>
    </row>
    <row r="30656">
      <c r="C30656" s="277"/>
      <c r="M30656" s="277"/>
      <c r="O30656" s="247"/>
      <c r="AC30656" s="247"/>
      <c r="AT30656" s="247"/>
    </row>
    <row r="30657">
      <c r="C30657" s="277"/>
      <c r="M30657" s="277"/>
      <c r="O30657" s="247"/>
      <c r="AC30657" s="247"/>
      <c r="AT30657" s="247"/>
    </row>
    <row r="30658">
      <c r="C30658" s="277"/>
      <c r="M30658" s="277"/>
      <c r="O30658" s="247"/>
      <c r="AC30658" s="247"/>
      <c r="AT30658" s="247"/>
    </row>
    <row r="30659">
      <c r="C30659" s="277"/>
      <c r="M30659" s="277"/>
      <c r="O30659" s="247"/>
      <c r="AC30659" s="247"/>
      <c r="AT30659" s="247"/>
    </row>
    <row r="30660">
      <c r="C30660" s="277"/>
      <c r="M30660" s="277"/>
      <c r="O30660" s="247"/>
      <c r="AC30660" s="247"/>
      <c r="AT30660" s="247"/>
    </row>
    <row r="30661">
      <c r="C30661" s="277"/>
      <c r="M30661" s="277"/>
      <c r="O30661" s="247"/>
      <c r="AC30661" s="247"/>
      <c r="AT30661" s="247"/>
    </row>
    <row r="30662">
      <c r="C30662" s="277"/>
      <c r="M30662" s="277"/>
      <c r="O30662" s="247"/>
      <c r="AC30662" s="247"/>
      <c r="AT30662" s="247"/>
    </row>
    <row r="30663">
      <c r="C30663" s="277"/>
      <c r="M30663" s="277"/>
      <c r="O30663" s="247"/>
      <c r="AC30663" s="247"/>
      <c r="AT30663" s="247"/>
    </row>
    <row r="30664">
      <c r="C30664" s="277"/>
      <c r="M30664" s="277"/>
      <c r="O30664" s="247"/>
      <c r="AC30664" s="247"/>
      <c r="AT30664" s="247"/>
    </row>
    <row r="30665">
      <c r="C30665" s="277"/>
      <c r="M30665" s="277"/>
      <c r="O30665" s="247"/>
      <c r="AC30665" s="247"/>
      <c r="AT30665" s="247"/>
    </row>
    <row r="30666">
      <c r="C30666" s="277"/>
      <c r="M30666" s="277"/>
      <c r="O30666" s="247"/>
      <c r="AC30666" s="247"/>
      <c r="AT30666" s="247"/>
    </row>
    <row r="30667">
      <c r="C30667" s="277"/>
      <c r="M30667" s="277"/>
      <c r="O30667" s="247"/>
      <c r="AC30667" s="247"/>
      <c r="AT30667" s="247"/>
    </row>
    <row r="30668">
      <c r="C30668" s="277"/>
      <c r="M30668" s="277"/>
      <c r="O30668" s="247"/>
      <c r="AC30668" s="247"/>
      <c r="AT30668" s="247"/>
    </row>
    <row r="30669">
      <c r="C30669" s="277"/>
      <c r="M30669" s="277"/>
      <c r="O30669" s="247"/>
      <c r="AC30669" s="247"/>
      <c r="AT30669" s="247"/>
    </row>
    <row r="30670">
      <c r="C30670" s="277"/>
      <c r="M30670" s="277"/>
      <c r="O30670" s="247"/>
      <c r="AC30670" s="247"/>
      <c r="AT30670" s="247"/>
    </row>
    <row r="30671">
      <c r="C30671" s="277"/>
      <c r="M30671" s="277"/>
      <c r="O30671" s="247"/>
      <c r="AC30671" s="247"/>
      <c r="AT30671" s="247"/>
    </row>
    <row r="30672">
      <c r="C30672" s="277"/>
      <c r="M30672" s="277"/>
      <c r="O30672" s="247"/>
      <c r="AC30672" s="247"/>
      <c r="AT30672" s="247"/>
    </row>
    <row r="30673">
      <c r="C30673" s="277"/>
      <c r="M30673" s="277"/>
      <c r="O30673" s="247"/>
      <c r="AC30673" s="247"/>
      <c r="AT30673" s="247"/>
    </row>
    <row r="30674">
      <c r="C30674" s="277"/>
      <c r="M30674" s="277"/>
      <c r="O30674" s="247"/>
      <c r="AC30674" s="247"/>
      <c r="AT30674" s="247"/>
    </row>
    <row r="30675">
      <c r="C30675" s="277"/>
      <c r="M30675" s="277"/>
      <c r="O30675" s="247"/>
      <c r="AC30675" s="247"/>
      <c r="AT30675" s="247"/>
    </row>
    <row r="30676">
      <c r="C30676" s="277"/>
      <c r="M30676" s="277"/>
      <c r="O30676" s="247"/>
      <c r="AC30676" s="247"/>
      <c r="AT30676" s="247"/>
    </row>
    <row r="30677">
      <c r="C30677" s="277"/>
      <c r="M30677" s="277"/>
      <c r="O30677" s="247"/>
      <c r="AC30677" s="247"/>
      <c r="AT30677" s="247"/>
    </row>
    <row r="30678">
      <c r="C30678" s="277"/>
      <c r="M30678" s="277"/>
      <c r="O30678" s="247"/>
      <c r="AC30678" s="247"/>
      <c r="AT30678" s="247"/>
    </row>
    <row r="30679">
      <c r="C30679" s="277"/>
      <c r="M30679" s="277"/>
      <c r="O30679" s="247"/>
      <c r="AC30679" s="247"/>
      <c r="AT30679" s="247"/>
    </row>
    <row r="30680">
      <c r="C30680" s="277"/>
      <c r="M30680" s="277"/>
      <c r="O30680" s="247"/>
      <c r="AC30680" s="247"/>
      <c r="AT30680" s="247"/>
    </row>
    <row r="30681">
      <c r="C30681" s="277"/>
      <c r="M30681" s="277"/>
      <c r="O30681" s="247"/>
      <c r="AC30681" s="247"/>
      <c r="AT30681" s="247"/>
    </row>
    <row r="30682">
      <c r="C30682" s="277"/>
      <c r="M30682" s="277"/>
      <c r="O30682" s="247"/>
      <c r="AC30682" s="247"/>
      <c r="AT30682" s="247"/>
    </row>
    <row r="30683">
      <c r="C30683" s="277"/>
      <c r="M30683" s="277"/>
      <c r="O30683" s="247"/>
      <c r="AC30683" s="247"/>
      <c r="AT30683" s="247"/>
    </row>
    <row r="30684">
      <c r="C30684" s="277"/>
      <c r="M30684" s="277"/>
      <c r="O30684" s="247"/>
      <c r="AC30684" s="247"/>
      <c r="AT30684" s="247"/>
    </row>
    <row r="30685">
      <c r="C30685" s="277"/>
      <c r="M30685" s="277"/>
      <c r="O30685" s="247"/>
      <c r="AC30685" s="247"/>
      <c r="AT30685" s="247"/>
    </row>
    <row r="30686">
      <c r="C30686" s="277"/>
      <c r="M30686" s="277"/>
      <c r="O30686" s="247"/>
      <c r="AC30686" s="247"/>
      <c r="AT30686" s="247"/>
    </row>
    <row r="30687">
      <c r="C30687" s="277"/>
      <c r="M30687" s="277"/>
      <c r="O30687" s="247"/>
      <c r="AC30687" s="247"/>
      <c r="AT30687" s="247"/>
    </row>
    <row r="30688">
      <c r="C30688" s="277"/>
      <c r="M30688" s="277"/>
      <c r="O30688" s="247"/>
      <c r="AC30688" s="247"/>
      <c r="AT30688" s="247"/>
    </row>
    <row r="30689">
      <c r="C30689" s="277"/>
      <c r="M30689" s="277"/>
      <c r="O30689" s="247"/>
      <c r="AC30689" s="247"/>
      <c r="AT30689" s="247"/>
    </row>
    <row r="30690">
      <c r="C30690" s="277"/>
      <c r="M30690" s="277"/>
      <c r="O30690" s="247"/>
      <c r="AC30690" s="247"/>
      <c r="AT30690" s="247"/>
    </row>
    <row r="30691">
      <c r="C30691" s="277"/>
      <c r="M30691" s="277"/>
      <c r="O30691" s="247"/>
      <c r="AC30691" s="247"/>
      <c r="AT30691" s="247"/>
    </row>
    <row r="30692">
      <c r="C30692" s="277"/>
      <c r="M30692" s="277"/>
      <c r="O30692" s="247"/>
      <c r="AC30692" s="247"/>
      <c r="AT30692" s="247"/>
    </row>
    <row r="30693">
      <c r="C30693" s="277"/>
      <c r="M30693" s="277"/>
      <c r="O30693" s="247"/>
      <c r="AC30693" s="247"/>
      <c r="AT30693" s="247"/>
    </row>
    <row r="30694">
      <c r="C30694" s="277"/>
      <c r="M30694" s="277"/>
      <c r="O30694" s="247"/>
      <c r="AC30694" s="247"/>
      <c r="AT30694" s="247"/>
    </row>
    <row r="30695">
      <c r="C30695" s="277"/>
      <c r="M30695" s="277"/>
      <c r="O30695" s="247"/>
      <c r="AC30695" s="247"/>
      <c r="AT30695" s="247"/>
    </row>
    <row r="30696">
      <c r="C30696" s="277"/>
      <c r="M30696" s="277"/>
      <c r="O30696" s="247"/>
      <c r="AC30696" s="247"/>
      <c r="AT30696" s="247"/>
    </row>
    <row r="30697">
      <c r="C30697" s="277"/>
      <c r="M30697" s="277"/>
      <c r="O30697" s="247"/>
      <c r="AC30697" s="247"/>
      <c r="AT30697" s="247"/>
    </row>
    <row r="30698">
      <c r="C30698" s="277"/>
      <c r="M30698" s="277"/>
      <c r="O30698" s="247"/>
      <c r="AC30698" s="247"/>
      <c r="AT30698" s="247"/>
    </row>
    <row r="30699">
      <c r="C30699" s="277"/>
      <c r="M30699" s="277"/>
      <c r="O30699" s="247"/>
      <c r="AC30699" s="247"/>
      <c r="AT30699" s="247"/>
    </row>
    <row r="30700">
      <c r="C30700" s="277"/>
      <c r="M30700" s="277"/>
      <c r="O30700" s="247"/>
      <c r="AC30700" s="247"/>
      <c r="AT30700" s="247"/>
    </row>
    <row r="30701">
      <c r="C30701" s="277"/>
      <c r="M30701" s="277"/>
      <c r="O30701" s="247"/>
      <c r="AC30701" s="247"/>
      <c r="AT30701" s="247"/>
    </row>
    <row r="30702">
      <c r="C30702" s="277"/>
      <c r="M30702" s="277"/>
      <c r="O30702" s="247"/>
      <c r="AC30702" s="247"/>
      <c r="AT30702" s="247"/>
    </row>
    <row r="30703">
      <c r="C30703" s="277"/>
      <c r="M30703" s="277"/>
      <c r="O30703" s="247"/>
      <c r="AC30703" s="247"/>
      <c r="AT30703" s="247"/>
    </row>
    <row r="30704">
      <c r="C30704" s="277"/>
      <c r="M30704" s="277"/>
      <c r="O30704" s="247"/>
      <c r="AC30704" s="247"/>
      <c r="AT30704" s="247"/>
    </row>
    <row r="30705">
      <c r="C30705" s="277"/>
      <c r="M30705" s="277"/>
      <c r="O30705" s="247"/>
      <c r="AC30705" s="247"/>
      <c r="AT30705" s="247"/>
    </row>
    <row r="30706">
      <c r="C30706" s="277"/>
      <c r="M30706" s="277"/>
      <c r="O30706" s="247"/>
      <c r="AC30706" s="247"/>
      <c r="AT30706" s="247"/>
    </row>
    <row r="30707">
      <c r="C30707" s="277"/>
      <c r="M30707" s="277"/>
      <c r="O30707" s="247"/>
      <c r="AC30707" s="247"/>
      <c r="AT30707" s="247"/>
    </row>
    <row r="30708">
      <c r="C30708" s="277"/>
      <c r="M30708" s="277"/>
      <c r="O30708" s="247"/>
      <c r="AC30708" s="247"/>
      <c r="AT30708" s="247"/>
    </row>
    <row r="30709">
      <c r="C30709" s="277"/>
      <c r="M30709" s="277"/>
      <c r="O30709" s="247"/>
      <c r="AC30709" s="247"/>
      <c r="AT30709" s="247"/>
    </row>
    <row r="30710">
      <c r="C30710" s="277"/>
      <c r="M30710" s="277"/>
      <c r="O30710" s="247"/>
      <c r="AC30710" s="247"/>
      <c r="AT30710" s="247"/>
    </row>
    <row r="30711">
      <c r="C30711" s="277"/>
      <c r="M30711" s="277"/>
      <c r="O30711" s="247"/>
      <c r="AC30711" s="247"/>
      <c r="AT30711" s="247"/>
    </row>
    <row r="30712">
      <c r="C30712" s="277"/>
      <c r="M30712" s="277"/>
      <c r="O30712" s="247"/>
      <c r="AC30712" s="247"/>
      <c r="AT30712" s="247"/>
    </row>
    <row r="30713">
      <c r="C30713" s="277"/>
      <c r="M30713" s="277"/>
      <c r="O30713" s="247"/>
      <c r="AC30713" s="247"/>
      <c r="AT30713" s="247"/>
    </row>
    <row r="30714">
      <c r="C30714" s="277"/>
      <c r="M30714" s="277"/>
      <c r="O30714" s="247"/>
      <c r="AC30714" s="247"/>
      <c r="AT30714" s="247"/>
    </row>
    <row r="30715">
      <c r="C30715" s="277"/>
      <c r="M30715" s="277"/>
      <c r="O30715" s="247"/>
      <c r="AC30715" s="247"/>
      <c r="AT30715" s="247"/>
    </row>
    <row r="30716">
      <c r="C30716" s="277"/>
      <c r="M30716" s="277"/>
      <c r="O30716" s="247"/>
      <c r="AC30716" s="247"/>
      <c r="AT30716" s="247"/>
    </row>
    <row r="30717">
      <c r="C30717" s="277"/>
      <c r="M30717" s="277"/>
      <c r="O30717" s="247"/>
      <c r="AC30717" s="247"/>
      <c r="AT30717" s="247"/>
    </row>
    <row r="30718">
      <c r="C30718" s="277"/>
      <c r="M30718" s="277"/>
      <c r="O30718" s="247"/>
      <c r="AC30718" s="247"/>
      <c r="AT30718" s="247"/>
    </row>
    <row r="30719">
      <c r="C30719" s="277"/>
      <c r="M30719" s="277"/>
      <c r="O30719" s="247"/>
      <c r="AC30719" s="247"/>
      <c r="AT30719" s="247"/>
    </row>
    <row r="30720">
      <c r="C30720" s="277"/>
      <c r="M30720" s="277"/>
      <c r="O30720" s="247"/>
      <c r="AC30720" s="247"/>
      <c r="AT30720" s="247"/>
    </row>
    <row r="30721">
      <c r="C30721" s="277"/>
      <c r="M30721" s="277"/>
      <c r="O30721" s="247"/>
      <c r="AC30721" s="247"/>
      <c r="AT30721" s="247"/>
    </row>
    <row r="30722">
      <c r="C30722" s="277"/>
      <c r="M30722" s="277"/>
      <c r="O30722" s="247"/>
      <c r="AC30722" s="247"/>
      <c r="AT30722" s="247"/>
    </row>
    <row r="30723">
      <c r="C30723" s="277"/>
      <c r="M30723" s="277"/>
      <c r="O30723" s="247"/>
      <c r="AC30723" s="247"/>
      <c r="AT30723" s="247"/>
    </row>
    <row r="30724">
      <c r="C30724" s="277"/>
      <c r="M30724" s="277"/>
      <c r="O30724" s="247"/>
      <c r="AC30724" s="247"/>
      <c r="AT30724" s="247"/>
    </row>
    <row r="30725">
      <c r="C30725" s="277"/>
      <c r="M30725" s="277"/>
      <c r="O30725" s="247"/>
      <c r="AC30725" s="247"/>
      <c r="AT30725" s="247"/>
    </row>
    <row r="30726">
      <c r="C30726" s="277"/>
      <c r="M30726" s="277"/>
      <c r="O30726" s="247"/>
      <c r="AC30726" s="247"/>
      <c r="AT30726" s="247"/>
    </row>
    <row r="30727">
      <c r="C30727" s="277"/>
      <c r="M30727" s="277"/>
      <c r="O30727" s="247"/>
      <c r="AC30727" s="247"/>
      <c r="AT30727" s="247"/>
    </row>
    <row r="30728">
      <c r="C30728" s="277"/>
      <c r="M30728" s="277"/>
      <c r="O30728" s="247"/>
      <c r="AC30728" s="247"/>
      <c r="AT30728" s="247"/>
    </row>
    <row r="30729">
      <c r="C30729" s="277"/>
      <c r="M30729" s="277"/>
      <c r="O30729" s="247"/>
      <c r="AC30729" s="247"/>
      <c r="AT30729" s="247"/>
    </row>
    <row r="30730">
      <c r="C30730" s="277"/>
      <c r="M30730" s="277"/>
      <c r="O30730" s="247"/>
      <c r="AC30730" s="247"/>
      <c r="AT30730" s="247"/>
    </row>
    <row r="30731">
      <c r="C30731" s="277"/>
      <c r="M30731" s="277"/>
      <c r="O30731" s="247"/>
      <c r="AC30731" s="247"/>
      <c r="AT30731" s="247"/>
    </row>
    <row r="30732">
      <c r="C30732" s="277"/>
      <c r="M30732" s="277"/>
      <c r="O30732" s="247"/>
      <c r="AC30732" s="247"/>
      <c r="AT30732" s="247"/>
    </row>
    <row r="30733">
      <c r="C30733" s="277"/>
      <c r="M30733" s="277"/>
      <c r="O30733" s="247"/>
      <c r="AC30733" s="247"/>
      <c r="AT30733" s="247"/>
    </row>
    <row r="30734">
      <c r="C30734" s="277"/>
      <c r="M30734" s="277"/>
      <c r="O30734" s="247"/>
      <c r="AC30734" s="247"/>
      <c r="AT30734" s="247"/>
    </row>
    <row r="30735">
      <c r="C30735" s="277"/>
      <c r="M30735" s="277"/>
      <c r="O30735" s="247"/>
      <c r="AC30735" s="247"/>
      <c r="AT30735" s="247"/>
    </row>
    <row r="30736">
      <c r="C30736" s="277"/>
      <c r="M30736" s="277"/>
      <c r="O30736" s="247"/>
      <c r="AC30736" s="247"/>
      <c r="AT30736" s="247"/>
    </row>
    <row r="30737">
      <c r="C30737" s="277"/>
      <c r="M30737" s="277"/>
      <c r="O30737" s="247"/>
      <c r="AC30737" s="247"/>
      <c r="AT30737" s="247"/>
    </row>
    <row r="30738">
      <c r="C30738" s="277"/>
      <c r="M30738" s="277"/>
      <c r="O30738" s="247"/>
      <c r="AC30738" s="247"/>
      <c r="AT30738" s="247"/>
    </row>
    <row r="30739">
      <c r="C30739" s="277"/>
      <c r="M30739" s="277"/>
      <c r="O30739" s="247"/>
      <c r="AC30739" s="247"/>
      <c r="AT30739" s="247"/>
    </row>
    <row r="30740">
      <c r="C30740" s="277"/>
      <c r="M30740" s="277"/>
      <c r="O30740" s="247"/>
      <c r="AC30740" s="247"/>
      <c r="AT30740" s="247"/>
    </row>
    <row r="30741">
      <c r="C30741" s="277"/>
      <c r="M30741" s="277"/>
      <c r="O30741" s="247"/>
      <c r="AC30741" s="247"/>
      <c r="AT30741" s="247"/>
    </row>
    <row r="30742">
      <c r="C30742" s="277"/>
      <c r="M30742" s="277"/>
      <c r="O30742" s="247"/>
      <c r="AC30742" s="247"/>
      <c r="AT30742" s="247"/>
    </row>
    <row r="30743">
      <c r="C30743" s="277"/>
      <c r="M30743" s="277"/>
      <c r="O30743" s="247"/>
      <c r="AC30743" s="247"/>
      <c r="AT30743" s="247"/>
    </row>
    <row r="30744">
      <c r="C30744" s="277"/>
      <c r="M30744" s="277"/>
      <c r="O30744" s="247"/>
      <c r="AC30744" s="247"/>
      <c r="AT30744" s="247"/>
    </row>
    <row r="30745">
      <c r="C30745" s="277"/>
      <c r="M30745" s="277"/>
      <c r="O30745" s="247"/>
      <c r="AC30745" s="247"/>
      <c r="AT30745" s="247"/>
    </row>
    <row r="30746">
      <c r="C30746" s="277"/>
      <c r="M30746" s="277"/>
      <c r="O30746" s="247"/>
      <c r="AC30746" s="247"/>
      <c r="AT30746" s="247"/>
    </row>
    <row r="30747">
      <c r="C30747" s="277"/>
      <c r="M30747" s="277"/>
      <c r="O30747" s="247"/>
      <c r="AC30747" s="247"/>
      <c r="AT30747" s="247"/>
    </row>
    <row r="30748">
      <c r="C30748" s="277"/>
      <c r="M30748" s="277"/>
      <c r="O30748" s="247"/>
      <c r="AC30748" s="247"/>
      <c r="AT30748" s="247"/>
    </row>
    <row r="30749">
      <c r="C30749" s="277"/>
      <c r="M30749" s="277"/>
      <c r="O30749" s="247"/>
      <c r="AC30749" s="247"/>
      <c r="AT30749" s="247"/>
    </row>
    <row r="30750">
      <c r="C30750" s="277"/>
      <c r="M30750" s="277"/>
      <c r="O30750" s="247"/>
      <c r="AC30750" s="247"/>
      <c r="AT30750" s="247"/>
    </row>
    <row r="30751">
      <c r="C30751" s="277"/>
      <c r="M30751" s="277"/>
      <c r="O30751" s="247"/>
      <c r="AC30751" s="247"/>
      <c r="AT30751" s="247"/>
    </row>
    <row r="30752">
      <c r="C30752" s="277"/>
      <c r="M30752" s="277"/>
      <c r="O30752" s="247"/>
      <c r="AC30752" s="247"/>
      <c r="AT30752" s="247"/>
    </row>
    <row r="30753">
      <c r="C30753" s="277"/>
      <c r="M30753" s="277"/>
      <c r="O30753" s="247"/>
      <c r="AC30753" s="247"/>
      <c r="AT30753" s="247"/>
    </row>
    <row r="30754">
      <c r="C30754" s="277"/>
      <c r="M30754" s="277"/>
      <c r="O30754" s="247"/>
      <c r="AC30754" s="247"/>
      <c r="AT30754" s="247"/>
    </row>
    <row r="30755">
      <c r="C30755" s="277"/>
      <c r="M30755" s="277"/>
      <c r="O30755" s="247"/>
      <c r="AC30755" s="247"/>
      <c r="AT30755" s="247"/>
    </row>
    <row r="30756">
      <c r="C30756" s="277"/>
      <c r="M30756" s="277"/>
      <c r="O30756" s="247"/>
      <c r="AC30756" s="247"/>
      <c r="AT30756" s="247"/>
    </row>
    <row r="30757">
      <c r="C30757" s="277"/>
      <c r="M30757" s="277"/>
      <c r="O30757" s="247"/>
      <c r="AC30757" s="247"/>
      <c r="AT30757" s="247"/>
    </row>
    <row r="30758">
      <c r="C30758" s="277"/>
      <c r="M30758" s="277"/>
      <c r="O30758" s="247"/>
      <c r="AC30758" s="247"/>
      <c r="AT30758" s="247"/>
    </row>
    <row r="30759">
      <c r="C30759" s="277"/>
      <c r="M30759" s="277"/>
      <c r="O30759" s="247"/>
      <c r="AC30759" s="247"/>
      <c r="AT30759" s="247"/>
    </row>
    <row r="30760">
      <c r="C30760" s="277"/>
      <c r="M30760" s="277"/>
      <c r="O30760" s="247"/>
      <c r="AC30760" s="247"/>
      <c r="AT30760" s="247"/>
    </row>
    <row r="30761">
      <c r="C30761" s="277"/>
      <c r="M30761" s="277"/>
      <c r="O30761" s="247"/>
      <c r="AC30761" s="247"/>
      <c r="AT30761" s="247"/>
    </row>
    <row r="30762">
      <c r="C30762" s="277"/>
      <c r="M30762" s="277"/>
      <c r="O30762" s="247"/>
      <c r="AC30762" s="247"/>
      <c r="AT30762" s="247"/>
    </row>
    <row r="30763">
      <c r="C30763" s="277"/>
      <c r="M30763" s="277"/>
      <c r="O30763" s="247"/>
      <c r="AC30763" s="247"/>
      <c r="AT30763" s="247"/>
    </row>
    <row r="30764">
      <c r="C30764" s="277"/>
      <c r="M30764" s="277"/>
      <c r="O30764" s="247"/>
      <c r="AC30764" s="247"/>
      <c r="AT30764" s="247"/>
    </row>
    <row r="30765">
      <c r="C30765" s="277"/>
      <c r="M30765" s="277"/>
      <c r="O30765" s="247"/>
      <c r="AC30765" s="247"/>
      <c r="AT30765" s="247"/>
    </row>
    <row r="30766">
      <c r="C30766" s="277"/>
      <c r="M30766" s="277"/>
      <c r="O30766" s="247"/>
      <c r="AC30766" s="247"/>
      <c r="AT30766" s="247"/>
    </row>
    <row r="30767">
      <c r="C30767" s="277"/>
      <c r="M30767" s="277"/>
      <c r="O30767" s="247"/>
      <c r="AC30767" s="247"/>
      <c r="AT30767" s="247"/>
    </row>
    <row r="30768">
      <c r="C30768" s="277"/>
      <c r="M30768" s="277"/>
      <c r="O30768" s="247"/>
      <c r="AC30768" s="247"/>
      <c r="AT30768" s="247"/>
    </row>
    <row r="30769">
      <c r="C30769" s="277"/>
      <c r="M30769" s="277"/>
      <c r="O30769" s="247"/>
      <c r="AC30769" s="247"/>
      <c r="AT30769" s="247"/>
    </row>
    <row r="30770">
      <c r="C30770" s="277"/>
      <c r="M30770" s="277"/>
      <c r="O30770" s="247"/>
      <c r="AC30770" s="247"/>
      <c r="AT30770" s="247"/>
    </row>
    <row r="30771">
      <c r="C30771" s="277"/>
      <c r="M30771" s="277"/>
      <c r="O30771" s="247"/>
      <c r="AC30771" s="247"/>
      <c r="AT30771" s="247"/>
    </row>
    <row r="30772">
      <c r="C30772" s="277"/>
      <c r="M30772" s="277"/>
      <c r="O30772" s="247"/>
      <c r="AC30772" s="247"/>
      <c r="AT30772" s="247"/>
    </row>
    <row r="30773">
      <c r="C30773" s="277"/>
      <c r="M30773" s="277"/>
      <c r="O30773" s="247"/>
      <c r="AC30773" s="247"/>
      <c r="AT30773" s="247"/>
    </row>
    <row r="30774">
      <c r="C30774" s="277"/>
      <c r="M30774" s="277"/>
      <c r="O30774" s="247"/>
      <c r="AC30774" s="247"/>
      <c r="AT30774" s="247"/>
    </row>
    <row r="30775">
      <c r="C30775" s="277"/>
      <c r="M30775" s="277"/>
      <c r="O30775" s="247"/>
      <c r="AC30775" s="247"/>
      <c r="AT30775" s="247"/>
    </row>
    <row r="30776">
      <c r="C30776" s="277"/>
      <c r="M30776" s="277"/>
      <c r="O30776" s="247"/>
      <c r="AC30776" s="247"/>
      <c r="AT30776" s="247"/>
    </row>
    <row r="30777">
      <c r="C30777" s="277"/>
      <c r="M30777" s="277"/>
      <c r="O30777" s="247"/>
      <c r="AC30777" s="247"/>
      <c r="AT30777" s="247"/>
    </row>
    <row r="30778">
      <c r="C30778" s="277"/>
      <c r="M30778" s="277"/>
      <c r="O30778" s="247"/>
      <c r="AC30778" s="247"/>
      <c r="AT30778" s="247"/>
    </row>
    <row r="30779">
      <c r="C30779" s="277"/>
      <c r="M30779" s="277"/>
      <c r="O30779" s="247"/>
      <c r="AC30779" s="247"/>
      <c r="AT30779" s="247"/>
    </row>
    <row r="30780">
      <c r="C30780" s="277"/>
      <c r="M30780" s="277"/>
      <c r="O30780" s="247"/>
      <c r="AC30780" s="247"/>
      <c r="AT30780" s="247"/>
    </row>
    <row r="30781">
      <c r="C30781" s="277"/>
      <c r="M30781" s="277"/>
      <c r="O30781" s="247"/>
      <c r="AC30781" s="247"/>
      <c r="AT30781" s="247"/>
    </row>
    <row r="30782">
      <c r="C30782" s="277"/>
      <c r="M30782" s="277"/>
      <c r="O30782" s="247"/>
      <c r="AC30782" s="247"/>
      <c r="AT30782" s="247"/>
    </row>
    <row r="30783">
      <c r="C30783" s="277"/>
      <c r="M30783" s="277"/>
      <c r="O30783" s="247"/>
      <c r="AC30783" s="247"/>
      <c r="AT30783" s="247"/>
    </row>
    <row r="30784">
      <c r="C30784" s="277"/>
      <c r="M30784" s="277"/>
      <c r="O30784" s="247"/>
      <c r="AC30784" s="247"/>
      <c r="AT30784" s="247"/>
    </row>
    <row r="30785">
      <c r="C30785" s="277"/>
      <c r="M30785" s="277"/>
      <c r="O30785" s="247"/>
      <c r="AC30785" s="247"/>
      <c r="AT30785" s="247"/>
    </row>
    <row r="30786">
      <c r="C30786" s="277"/>
      <c r="M30786" s="277"/>
      <c r="O30786" s="247"/>
      <c r="AC30786" s="247"/>
      <c r="AT30786" s="247"/>
    </row>
    <row r="30787">
      <c r="C30787" s="277"/>
      <c r="M30787" s="277"/>
      <c r="O30787" s="247"/>
      <c r="AC30787" s="247"/>
      <c r="AT30787" s="247"/>
    </row>
    <row r="30788">
      <c r="C30788" s="277"/>
      <c r="M30788" s="277"/>
      <c r="O30788" s="247"/>
      <c r="AC30788" s="247"/>
      <c r="AT30788" s="247"/>
    </row>
    <row r="30789">
      <c r="C30789" s="277"/>
      <c r="M30789" s="277"/>
      <c r="O30789" s="247"/>
      <c r="AC30789" s="247"/>
      <c r="AT30789" s="247"/>
    </row>
    <row r="30790">
      <c r="C30790" s="277"/>
      <c r="M30790" s="277"/>
      <c r="O30790" s="247"/>
      <c r="AC30790" s="247"/>
      <c r="AT30790" s="247"/>
    </row>
    <row r="30791">
      <c r="C30791" s="277"/>
      <c r="M30791" s="277"/>
      <c r="O30791" s="247"/>
      <c r="AC30791" s="247"/>
      <c r="AT30791" s="247"/>
    </row>
    <row r="30792">
      <c r="C30792" s="277"/>
      <c r="M30792" s="277"/>
      <c r="O30792" s="247"/>
      <c r="AC30792" s="247"/>
      <c r="AT30792" s="247"/>
    </row>
    <row r="30793">
      <c r="C30793" s="277"/>
      <c r="M30793" s="277"/>
      <c r="O30793" s="247"/>
      <c r="AC30793" s="247"/>
      <c r="AT30793" s="247"/>
    </row>
    <row r="30794">
      <c r="C30794" s="277"/>
      <c r="M30794" s="277"/>
      <c r="O30794" s="247"/>
      <c r="AC30794" s="247"/>
      <c r="AT30794" s="247"/>
    </row>
    <row r="30795">
      <c r="C30795" s="277"/>
      <c r="M30795" s="277"/>
      <c r="O30795" s="247"/>
      <c r="AC30795" s="247"/>
      <c r="AT30795" s="247"/>
    </row>
    <row r="30796">
      <c r="C30796" s="277"/>
      <c r="M30796" s="277"/>
      <c r="O30796" s="247"/>
      <c r="AC30796" s="247"/>
      <c r="AT30796" s="247"/>
    </row>
    <row r="30797">
      <c r="C30797" s="277"/>
      <c r="M30797" s="277"/>
      <c r="O30797" s="247"/>
      <c r="AC30797" s="247"/>
      <c r="AT30797" s="247"/>
    </row>
    <row r="30798">
      <c r="C30798" s="277"/>
      <c r="M30798" s="277"/>
      <c r="O30798" s="247"/>
      <c r="AC30798" s="247"/>
      <c r="AT30798" s="247"/>
    </row>
    <row r="30799">
      <c r="C30799" s="277"/>
      <c r="M30799" s="277"/>
      <c r="O30799" s="247"/>
      <c r="AC30799" s="247"/>
      <c r="AT30799" s="247"/>
    </row>
    <row r="30800">
      <c r="C30800" s="277"/>
      <c r="M30800" s="277"/>
      <c r="O30800" s="247"/>
      <c r="AC30800" s="247"/>
      <c r="AT30800" s="247"/>
    </row>
    <row r="30801">
      <c r="C30801" s="277"/>
      <c r="M30801" s="277"/>
      <c r="O30801" s="247"/>
      <c r="AC30801" s="247"/>
      <c r="AT30801" s="247"/>
    </row>
    <row r="30802">
      <c r="C30802" s="277"/>
      <c r="M30802" s="277"/>
      <c r="O30802" s="247"/>
      <c r="AC30802" s="247"/>
      <c r="AT30802" s="247"/>
    </row>
    <row r="30803">
      <c r="C30803" s="277"/>
      <c r="M30803" s="277"/>
      <c r="O30803" s="247"/>
      <c r="AC30803" s="247"/>
      <c r="AT30803" s="247"/>
    </row>
    <row r="30804">
      <c r="C30804" s="277"/>
      <c r="M30804" s="277"/>
      <c r="O30804" s="247"/>
      <c r="AC30804" s="247"/>
      <c r="AT30804" s="247"/>
    </row>
    <row r="30805">
      <c r="C30805" s="277"/>
      <c r="M30805" s="277"/>
      <c r="O30805" s="247"/>
      <c r="AC30805" s="247"/>
      <c r="AT30805" s="247"/>
    </row>
    <row r="30806">
      <c r="C30806" s="277"/>
      <c r="M30806" s="277"/>
      <c r="O30806" s="247"/>
      <c r="AC30806" s="247"/>
      <c r="AT30806" s="247"/>
    </row>
    <row r="30807">
      <c r="C30807" s="277"/>
      <c r="M30807" s="277"/>
      <c r="O30807" s="247"/>
      <c r="AC30807" s="247"/>
      <c r="AT30807" s="247"/>
    </row>
    <row r="30808">
      <c r="C30808" s="277"/>
      <c r="M30808" s="277"/>
      <c r="O30808" s="247"/>
      <c r="AC30808" s="247"/>
      <c r="AT30808" s="247"/>
    </row>
    <row r="30809">
      <c r="C30809" s="277"/>
      <c r="M30809" s="277"/>
      <c r="O30809" s="247"/>
      <c r="AC30809" s="247"/>
      <c r="AT30809" s="247"/>
    </row>
    <row r="30810">
      <c r="C30810" s="277"/>
      <c r="M30810" s="277"/>
      <c r="O30810" s="247"/>
      <c r="AC30810" s="247"/>
      <c r="AT30810" s="247"/>
    </row>
    <row r="30811">
      <c r="C30811" s="277"/>
      <c r="M30811" s="277"/>
      <c r="O30811" s="247"/>
      <c r="AC30811" s="247"/>
      <c r="AT30811" s="247"/>
    </row>
    <row r="30812">
      <c r="C30812" s="277"/>
      <c r="M30812" s="277"/>
      <c r="O30812" s="247"/>
      <c r="AC30812" s="247"/>
      <c r="AT30812" s="247"/>
    </row>
    <row r="30813">
      <c r="C30813" s="277"/>
      <c r="M30813" s="277"/>
      <c r="O30813" s="247"/>
      <c r="AC30813" s="247"/>
      <c r="AT30813" s="247"/>
    </row>
    <row r="30814">
      <c r="C30814" s="277"/>
      <c r="M30814" s="277"/>
      <c r="O30814" s="247"/>
      <c r="AC30814" s="247"/>
      <c r="AT30814" s="247"/>
    </row>
    <row r="30815">
      <c r="C30815" s="277"/>
      <c r="M30815" s="277"/>
      <c r="O30815" s="247"/>
      <c r="AC30815" s="247"/>
      <c r="AT30815" s="247"/>
    </row>
    <row r="30816">
      <c r="C30816" s="277"/>
      <c r="M30816" s="277"/>
      <c r="O30816" s="247"/>
      <c r="AC30816" s="247"/>
      <c r="AT30816" s="247"/>
    </row>
    <row r="30817">
      <c r="C30817" s="277"/>
      <c r="M30817" s="277"/>
      <c r="O30817" s="247"/>
      <c r="AC30817" s="247"/>
      <c r="AT30817" s="247"/>
    </row>
    <row r="30818">
      <c r="C30818" s="277"/>
      <c r="M30818" s="277"/>
      <c r="O30818" s="247"/>
      <c r="AC30818" s="247"/>
      <c r="AT30818" s="247"/>
    </row>
    <row r="30819">
      <c r="C30819" s="277"/>
      <c r="M30819" s="277"/>
      <c r="O30819" s="247"/>
      <c r="AC30819" s="247"/>
      <c r="AT30819" s="247"/>
    </row>
    <row r="30820">
      <c r="C30820" s="277"/>
      <c r="M30820" s="277"/>
      <c r="O30820" s="247"/>
      <c r="AC30820" s="247"/>
      <c r="AT30820" s="247"/>
    </row>
    <row r="30821">
      <c r="C30821" s="277"/>
      <c r="M30821" s="277"/>
      <c r="O30821" s="247"/>
      <c r="AC30821" s="247"/>
      <c r="AT30821" s="247"/>
    </row>
    <row r="30822">
      <c r="C30822" s="277"/>
      <c r="M30822" s="277"/>
      <c r="O30822" s="247"/>
      <c r="AC30822" s="247"/>
      <c r="AT30822" s="247"/>
    </row>
    <row r="30823">
      <c r="C30823" s="277"/>
      <c r="M30823" s="277"/>
      <c r="O30823" s="247"/>
      <c r="AC30823" s="247"/>
      <c r="AT30823" s="247"/>
    </row>
    <row r="30824">
      <c r="C30824" s="277"/>
      <c r="M30824" s="277"/>
      <c r="O30824" s="247"/>
      <c r="AC30824" s="247"/>
      <c r="AT30824" s="247"/>
    </row>
    <row r="30825">
      <c r="C30825" s="277"/>
      <c r="M30825" s="277"/>
      <c r="O30825" s="247"/>
      <c r="AC30825" s="247"/>
      <c r="AT30825" s="247"/>
    </row>
    <row r="30826">
      <c r="C30826" s="277"/>
      <c r="M30826" s="277"/>
      <c r="O30826" s="247"/>
      <c r="AC30826" s="247"/>
      <c r="AT30826" s="247"/>
    </row>
    <row r="30827">
      <c r="C30827" s="277"/>
      <c r="M30827" s="277"/>
      <c r="O30827" s="247"/>
      <c r="AC30827" s="247"/>
      <c r="AT30827" s="247"/>
    </row>
    <row r="30828">
      <c r="C30828" s="277"/>
      <c r="M30828" s="277"/>
      <c r="O30828" s="247"/>
      <c r="AC30828" s="247"/>
      <c r="AT30828" s="247"/>
    </row>
    <row r="30829">
      <c r="C30829" s="277"/>
      <c r="M30829" s="277"/>
      <c r="O30829" s="247"/>
      <c r="AC30829" s="247"/>
      <c r="AT30829" s="247"/>
    </row>
    <row r="30830">
      <c r="C30830" s="277"/>
      <c r="M30830" s="277"/>
      <c r="O30830" s="247"/>
      <c r="AC30830" s="247"/>
      <c r="AT30830" s="247"/>
    </row>
    <row r="30831">
      <c r="C30831" s="277"/>
      <c r="M30831" s="277"/>
      <c r="O30831" s="247"/>
      <c r="AC30831" s="247"/>
      <c r="AT30831" s="247"/>
    </row>
    <row r="30832">
      <c r="C30832" s="277"/>
      <c r="M30832" s="277"/>
      <c r="O30832" s="247"/>
      <c r="AC30832" s="247"/>
      <c r="AT30832" s="247"/>
    </row>
    <row r="30833">
      <c r="C30833" s="277"/>
      <c r="M30833" s="277"/>
      <c r="O30833" s="247"/>
      <c r="AC30833" s="247"/>
      <c r="AT30833" s="247"/>
    </row>
    <row r="30834">
      <c r="C30834" s="277"/>
      <c r="M30834" s="277"/>
      <c r="O30834" s="247"/>
      <c r="AC30834" s="247"/>
      <c r="AT30834" s="247"/>
    </row>
    <row r="30835">
      <c r="C30835" s="277"/>
      <c r="M30835" s="277"/>
      <c r="O30835" s="247"/>
      <c r="AC30835" s="247"/>
      <c r="AT30835" s="247"/>
    </row>
    <row r="30836">
      <c r="C30836" s="277"/>
      <c r="M30836" s="277"/>
      <c r="O30836" s="247"/>
      <c r="AC30836" s="247"/>
      <c r="AT30836" s="247"/>
    </row>
    <row r="30837">
      <c r="C30837" s="277"/>
      <c r="M30837" s="277"/>
      <c r="O30837" s="247"/>
      <c r="AC30837" s="247"/>
      <c r="AT30837" s="247"/>
    </row>
    <row r="30838">
      <c r="C30838" s="277"/>
      <c r="M30838" s="277"/>
      <c r="O30838" s="247"/>
      <c r="AC30838" s="247"/>
      <c r="AT30838" s="247"/>
    </row>
    <row r="30839">
      <c r="C30839" s="277"/>
      <c r="M30839" s="277"/>
      <c r="O30839" s="247"/>
      <c r="AC30839" s="247"/>
      <c r="AT30839" s="247"/>
    </row>
    <row r="30840">
      <c r="C30840" s="277"/>
      <c r="M30840" s="277"/>
      <c r="O30840" s="247"/>
      <c r="AC30840" s="247"/>
      <c r="AT30840" s="247"/>
    </row>
    <row r="30841">
      <c r="C30841" s="277"/>
      <c r="M30841" s="277"/>
      <c r="O30841" s="247"/>
      <c r="AC30841" s="247"/>
      <c r="AT30841" s="247"/>
    </row>
    <row r="30842">
      <c r="C30842" s="277"/>
      <c r="M30842" s="277"/>
      <c r="O30842" s="247"/>
      <c r="AC30842" s="247"/>
      <c r="AT30842" s="247"/>
    </row>
    <row r="30843">
      <c r="C30843" s="277"/>
      <c r="M30843" s="277"/>
      <c r="O30843" s="247"/>
      <c r="AC30843" s="247"/>
      <c r="AT30843" s="247"/>
    </row>
    <row r="30844">
      <c r="C30844" s="277"/>
      <c r="M30844" s="277"/>
      <c r="O30844" s="247"/>
      <c r="AC30844" s="247"/>
      <c r="AT30844" s="247"/>
    </row>
    <row r="30845">
      <c r="C30845" s="277"/>
      <c r="M30845" s="277"/>
      <c r="O30845" s="247"/>
      <c r="AC30845" s="247"/>
      <c r="AT30845" s="247"/>
    </row>
    <row r="30846">
      <c r="C30846" s="277"/>
      <c r="M30846" s="277"/>
      <c r="O30846" s="247"/>
      <c r="AC30846" s="247"/>
      <c r="AT30846" s="247"/>
    </row>
    <row r="30847">
      <c r="C30847" s="277"/>
      <c r="M30847" s="277"/>
      <c r="O30847" s="247"/>
      <c r="AC30847" s="247"/>
      <c r="AT30847" s="247"/>
    </row>
    <row r="30848">
      <c r="C30848" s="277"/>
      <c r="M30848" s="277"/>
      <c r="O30848" s="247"/>
      <c r="AC30848" s="247"/>
      <c r="AT30848" s="247"/>
    </row>
    <row r="30849">
      <c r="C30849" s="277"/>
      <c r="M30849" s="277"/>
      <c r="O30849" s="247"/>
      <c r="AC30849" s="247"/>
      <c r="AT30849" s="247"/>
    </row>
    <row r="30850">
      <c r="C30850" s="277"/>
      <c r="M30850" s="277"/>
      <c r="O30850" s="247"/>
      <c r="AC30850" s="247"/>
      <c r="AT30850" s="247"/>
    </row>
    <row r="30851">
      <c r="C30851" s="277"/>
      <c r="M30851" s="277"/>
      <c r="O30851" s="247"/>
      <c r="AC30851" s="247"/>
      <c r="AT30851" s="247"/>
    </row>
    <row r="30852">
      <c r="C30852" s="277"/>
      <c r="M30852" s="277"/>
      <c r="O30852" s="247"/>
      <c r="AC30852" s="247"/>
      <c r="AT30852" s="247"/>
    </row>
    <row r="30853">
      <c r="C30853" s="277"/>
      <c r="M30853" s="277"/>
      <c r="O30853" s="247"/>
      <c r="AC30853" s="247"/>
      <c r="AT30853" s="247"/>
    </row>
    <row r="30854">
      <c r="C30854" s="277"/>
      <c r="M30854" s="277"/>
      <c r="O30854" s="247"/>
      <c r="AC30854" s="247"/>
      <c r="AT30854" s="247"/>
    </row>
    <row r="30855">
      <c r="C30855" s="277"/>
      <c r="M30855" s="277"/>
      <c r="O30855" s="247"/>
      <c r="AC30855" s="247"/>
      <c r="AT30855" s="247"/>
    </row>
    <row r="30856">
      <c r="C30856" s="277"/>
      <c r="M30856" s="277"/>
      <c r="O30856" s="247"/>
      <c r="AC30856" s="247"/>
      <c r="AT30856" s="247"/>
    </row>
    <row r="30857">
      <c r="C30857" s="277"/>
      <c r="M30857" s="277"/>
      <c r="O30857" s="247"/>
      <c r="AC30857" s="247"/>
      <c r="AT30857" s="247"/>
    </row>
    <row r="30858">
      <c r="C30858" s="277"/>
      <c r="M30858" s="277"/>
      <c r="O30858" s="247"/>
      <c r="AC30858" s="247"/>
      <c r="AT30858" s="247"/>
    </row>
    <row r="30859">
      <c r="C30859" s="277"/>
      <c r="M30859" s="277"/>
      <c r="O30859" s="247"/>
      <c r="AC30859" s="247"/>
      <c r="AT30859" s="247"/>
    </row>
    <row r="30860">
      <c r="C30860" s="277"/>
      <c r="M30860" s="277"/>
      <c r="O30860" s="247"/>
      <c r="AC30860" s="247"/>
      <c r="AT30860" s="247"/>
    </row>
    <row r="30861">
      <c r="C30861" s="277"/>
      <c r="M30861" s="277"/>
      <c r="O30861" s="247"/>
      <c r="AC30861" s="247"/>
      <c r="AT30861" s="247"/>
    </row>
    <row r="30862">
      <c r="C30862" s="277"/>
      <c r="M30862" s="277"/>
      <c r="O30862" s="247"/>
      <c r="AC30862" s="247"/>
      <c r="AT30862" s="247"/>
    </row>
    <row r="30863">
      <c r="C30863" s="277"/>
      <c r="M30863" s="277"/>
      <c r="O30863" s="247"/>
      <c r="AC30863" s="247"/>
      <c r="AT30863" s="247"/>
    </row>
    <row r="30864">
      <c r="C30864" s="277"/>
      <c r="M30864" s="277"/>
      <c r="O30864" s="247"/>
      <c r="AC30864" s="247"/>
      <c r="AT30864" s="247"/>
    </row>
    <row r="30865">
      <c r="C30865" s="277"/>
      <c r="M30865" s="277"/>
      <c r="O30865" s="247"/>
      <c r="AC30865" s="247"/>
      <c r="AT30865" s="247"/>
    </row>
    <row r="30866">
      <c r="C30866" s="277"/>
      <c r="M30866" s="277"/>
      <c r="O30866" s="247"/>
      <c r="AC30866" s="247"/>
      <c r="AT30866" s="247"/>
    </row>
    <row r="30867">
      <c r="C30867" s="277"/>
      <c r="M30867" s="277"/>
      <c r="O30867" s="247"/>
      <c r="AC30867" s="247"/>
      <c r="AT30867" s="247"/>
    </row>
    <row r="30868">
      <c r="C30868" s="277"/>
      <c r="M30868" s="277"/>
      <c r="O30868" s="247"/>
      <c r="AC30868" s="247"/>
      <c r="AT30868" s="247"/>
    </row>
    <row r="30869">
      <c r="C30869" s="277"/>
      <c r="M30869" s="277"/>
      <c r="O30869" s="247"/>
      <c r="AC30869" s="247"/>
      <c r="AT30869" s="247"/>
    </row>
    <row r="30870">
      <c r="C30870" s="277"/>
      <c r="M30870" s="277"/>
      <c r="O30870" s="247"/>
      <c r="AC30870" s="247"/>
      <c r="AT30870" s="247"/>
    </row>
    <row r="30871">
      <c r="C30871" s="277"/>
      <c r="M30871" s="277"/>
      <c r="O30871" s="247"/>
      <c r="AC30871" s="247"/>
      <c r="AT30871" s="247"/>
    </row>
    <row r="30872">
      <c r="C30872" s="277"/>
      <c r="M30872" s="277"/>
      <c r="O30872" s="247"/>
      <c r="AC30872" s="247"/>
      <c r="AT30872" s="247"/>
    </row>
    <row r="30873">
      <c r="C30873" s="277"/>
      <c r="M30873" s="277"/>
      <c r="O30873" s="247"/>
      <c r="AC30873" s="247"/>
      <c r="AT30873" s="247"/>
    </row>
    <row r="30874">
      <c r="C30874" s="277"/>
      <c r="M30874" s="277"/>
      <c r="O30874" s="247"/>
      <c r="AC30874" s="247"/>
      <c r="AT30874" s="247"/>
    </row>
    <row r="30875">
      <c r="C30875" s="277"/>
      <c r="M30875" s="277"/>
      <c r="O30875" s="247"/>
      <c r="AC30875" s="247"/>
      <c r="AT30875" s="247"/>
    </row>
    <row r="30876">
      <c r="C30876" s="277"/>
      <c r="M30876" s="277"/>
      <c r="O30876" s="247"/>
      <c r="AC30876" s="247"/>
      <c r="AT30876" s="247"/>
    </row>
    <row r="30877">
      <c r="C30877" s="277"/>
      <c r="M30877" s="277"/>
      <c r="O30877" s="247"/>
      <c r="AC30877" s="247"/>
      <c r="AT30877" s="247"/>
    </row>
    <row r="30878">
      <c r="C30878" s="277"/>
      <c r="M30878" s="277"/>
      <c r="O30878" s="247"/>
      <c r="AC30878" s="247"/>
      <c r="AT30878" s="247"/>
    </row>
    <row r="30879">
      <c r="C30879" s="277"/>
      <c r="M30879" s="277"/>
      <c r="O30879" s="247"/>
      <c r="AC30879" s="247"/>
      <c r="AT30879" s="247"/>
    </row>
    <row r="30880">
      <c r="C30880" s="277"/>
      <c r="M30880" s="277"/>
      <c r="O30880" s="247"/>
      <c r="AC30880" s="247"/>
      <c r="AT30880" s="247"/>
    </row>
    <row r="30881">
      <c r="C30881" s="277"/>
      <c r="M30881" s="277"/>
      <c r="O30881" s="247"/>
      <c r="AC30881" s="247"/>
      <c r="AT30881" s="247"/>
    </row>
    <row r="30882">
      <c r="C30882" s="277"/>
      <c r="M30882" s="277"/>
      <c r="O30882" s="247"/>
      <c r="AC30882" s="247"/>
      <c r="AT30882" s="247"/>
    </row>
    <row r="30883">
      <c r="C30883" s="277"/>
      <c r="M30883" s="277"/>
      <c r="O30883" s="247"/>
      <c r="AC30883" s="247"/>
      <c r="AT30883" s="247"/>
    </row>
    <row r="30884">
      <c r="C30884" s="277"/>
      <c r="M30884" s="277"/>
      <c r="O30884" s="247"/>
      <c r="AC30884" s="247"/>
      <c r="AT30884" s="247"/>
    </row>
    <row r="30885">
      <c r="C30885" s="277"/>
      <c r="M30885" s="277"/>
      <c r="O30885" s="247"/>
      <c r="AC30885" s="247"/>
      <c r="AT30885" s="247"/>
    </row>
    <row r="30886">
      <c r="C30886" s="277"/>
      <c r="M30886" s="277"/>
      <c r="O30886" s="247"/>
      <c r="AC30886" s="247"/>
      <c r="AT30886" s="247"/>
    </row>
    <row r="30887">
      <c r="C30887" s="277"/>
      <c r="M30887" s="277"/>
      <c r="O30887" s="247"/>
      <c r="AC30887" s="247"/>
      <c r="AT30887" s="247"/>
    </row>
    <row r="30888">
      <c r="C30888" s="277"/>
      <c r="M30888" s="277"/>
      <c r="O30888" s="247"/>
      <c r="AC30888" s="247"/>
      <c r="AT30888" s="247"/>
    </row>
    <row r="30889">
      <c r="C30889" s="277"/>
      <c r="M30889" s="277"/>
      <c r="O30889" s="247"/>
      <c r="AC30889" s="247"/>
      <c r="AT30889" s="247"/>
    </row>
    <row r="30890">
      <c r="C30890" s="277"/>
      <c r="M30890" s="277"/>
      <c r="O30890" s="247"/>
      <c r="AC30890" s="247"/>
      <c r="AT30890" s="247"/>
    </row>
    <row r="30891">
      <c r="C30891" s="277"/>
      <c r="M30891" s="277"/>
      <c r="O30891" s="247"/>
      <c r="AC30891" s="247"/>
      <c r="AT30891" s="247"/>
    </row>
    <row r="30892">
      <c r="C30892" s="277"/>
      <c r="M30892" s="277"/>
      <c r="O30892" s="247"/>
      <c r="AC30892" s="247"/>
      <c r="AT30892" s="247"/>
    </row>
    <row r="30893">
      <c r="C30893" s="277"/>
      <c r="M30893" s="277"/>
      <c r="O30893" s="247"/>
      <c r="AC30893" s="247"/>
      <c r="AT30893" s="247"/>
    </row>
    <row r="30894">
      <c r="C30894" s="277"/>
      <c r="M30894" s="277"/>
      <c r="O30894" s="247"/>
      <c r="AC30894" s="247"/>
      <c r="AT30894" s="247"/>
    </row>
    <row r="30895">
      <c r="C30895" s="277"/>
      <c r="M30895" s="277"/>
      <c r="O30895" s="247"/>
      <c r="AC30895" s="247"/>
      <c r="AT30895" s="247"/>
    </row>
    <row r="30896">
      <c r="C30896" s="277"/>
      <c r="M30896" s="277"/>
      <c r="O30896" s="247"/>
      <c r="AC30896" s="247"/>
      <c r="AT30896" s="247"/>
    </row>
    <row r="30897">
      <c r="C30897" s="277"/>
      <c r="M30897" s="277"/>
      <c r="O30897" s="247"/>
      <c r="AC30897" s="247"/>
      <c r="AT30897" s="247"/>
    </row>
    <row r="30898">
      <c r="C30898" s="277"/>
      <c r="M30898" s="277"/>
      <c r="O30898" s="247"/>
      <c r="AC30898" s="247"/>
      <c r="AT30898" s="247"/>
    </row>
    <row r="30899">
      <c r="C30899" s="277"/>
      <c r="M30899" s="277"/>
      <c r="O30899" s="247"/>
      <c r="AC30899" s="247"/>
      <c r="AT30899" s="247"/>
    </row>
    <row r="30900">
      <c r="C30900" s="277"/>
      <c r="M30900" s="277"/>
      <c r="O30900" s="247"/>
      <c r="AC30900" s="247"/>
      <c r="AT30900" s="247"/>
    </row>
    <row r="30901">
      <c r="C30901" s="277"/>
      <c r="M30901" s="277"/>
      <c r="O30901" s="247"/>
      <c r="AC30901" s="247"/>
      <c r="AT30901" s="247"/>
    </row>
    <row r="30902">
      <c r="C30902" s="277"/>
      <c r="M30902" s="277"/>
      <c r="O30902" s="247"/>
      <c r="AC30902" s="247"/>
      <c r="AT30902" s="247"/>
    </row>
    <row r="30903">
      <c r="C30903" s="277"/>
      <c r="M30903" s="277"/>
      <c r="O30903" s="247"/>
      <c r="AC30903" s="247"/>
      <c r="AT30903" s="247"/>
    </row>
    <row r="30904">
      <c r="C30904" s="277"/>
      <c r="M30904" s="277"/>
      <c r="O30904" s="247"/>
      <c r="AC30904" s="247"/>
      <c r="AT30904" s="247"/>
    </row>
    <row r="30905">
      <c r="C30905" s="277"/>
      <c r="M30905" s="277"/>
      <c r="O30905" s="247"/>
      <c r="AC30905" s="247"/>
      <c r="AT30905" s="247"/>
    </row>
    <row r="30906">
      <c r="C30906" s="277"/>
      <c r="M30906" s="277"/>
      <c r="O30906" s="247"/>
      <c r="AC30906" s="247"/>
      <c r="AT30906" s="247"/>
    </row>
    <row r="30907">
      <c r="C30907" s="277"/>
      <c r="M30907" s="277"/>
      <c r="O30907" s="247"/>
      <c r="AC30907" s="247"/>
      <c r="AT30907" s="247"/>
    </row>
    <row r="30908">
      <c r="C30908" s="277"/>
      <c r="M30908" s="277"/>
      <c r="O30908" s="247"/>
      <c r="AC30908" s="247"/>
      <c r="AT30908" s="247"/>
    </row>
    <row r="30909">
      <c r="C30909" s="277"/>
      <c r="M30909" s="277"/>
      <c r="O30909" s="247"/>
      <c r="AC30909" s="247"/>
      <c r="AT30909" s="247"/>
    </row>
    <row r="30910">
      <c r="C30910" s="277"/>
      <c r="M30910" s="277"/>
      <c r="O30910" s="247"/>
      <c r="AC30910" s="247"/>
      <c r="AT30910" s="247"/>
    </row>
    <row r="30911">
      <c r="C30911" s="277"/>
      <c r="M30911" s="277"/>
      <c r="O30911" s="247"/>
      <c r="AC30911" s="247"/>
      <c r="AT30911" s="247"/>
    </row>
    <row r="30912">
      <c r="C30912" s="277"/>
      <c r="M30912" s="277"/>
      <c r="O30912" s="247"/>
      <c r="AC30912" s="247"/>
      <c r="AT30912" s="247"/>
    </row>
    <row r="30913">
      <c r="C30913" s="277"/>
      <c r="M30913" s="277"/>
      <c r="O30913" s="247"/>
      <c r="AC30913" s="247"/>
      <c r="AT30913" s="247"/>
    </row>
    <row r="30914">
      <c r="C30914" s="277"/>
      <c r="M30914" s="277"/>
      <c r="O30914" s="247"/>
      <c r="AC30914" s="247"/>
      <c r="AT30914" s="247"/>
    </row>
    <row r="30915">
      <c r="C30915" s="277"/>
      <c r="M30915" s="277"/>
      <c r="O30915" s="247"/>
      <c r="AC30915" s="247"/>
      <c r="AT30915" s="247"/>
    </row>
    <row r="30916">
      <c r="C30916" s="277"/>
      <c r="M30916" s="277"/>
      <c r="O30916" s="247"/>
      <c r="AC30916" s="247"/>
      <c r="AT30916" s="247"/>
    </row>
    <row r="30917">
      <c r="C30917" s="277"/>
      <c r="M30917" s="277"/>
      <c r="O30917" s="247"/>
      <c r="AC30917" s="247"/>
      <c r="AT30917" s="247"/>
    </row>
    <row r="30918">
      <c r="C30918" s="277"/>
      <c r="M30918" s="277"/>
      <c r="O30918" s="247"/>
      <c r="AC30918" s="247"/>
      <c r="AT30918" s="247"/>
    </row>
    <row r="30919">
      <c r="C30919" s="277"/>
      <c r="M30919" s="277"/>
      <c r="O30919" s="247"/>
      <c r="AC30919" s="247"/>
      <c r="AT30919" s="247"/>
    </row>
    <row r="30920">
      <c r="C30920" s="277"/>
      <c r="M30920" s="277"/>
      <c r="O30920" s="247"/>
      <c r="AC30920" s="247"/>
      <c r="AT30920" s="247"/>
    </row>
    <row r="30921">
      <c r="C30921" s="277"/>
      <c r="M30921" s="277"/>
      <c r="O30921" s="247"/>
      <c r="AC30921" s="247"/>
      <c r="AT30921" s="247"/>
    </row>
    <row r="30922">
      <c r="C30922" s="277"/>
      <c r="M30922" s="277"/>
      <c r="O30922" s="247"/>
      <c r="AC30922" s="247"/>
      <c r="AT30922" s="247"/>
    </row>
    <row r="30923">
      <c r="C30923" s="277"/>
      <c r="M30923" s="277"/>
      <c r="O30923" s="247"/>
      <c r="AC30923" s="247"/>
      <c r="AT30923" s="247"/>
    </row>
    <row r="30924">
      <c r="C30924" s="277"/>
      <c r="M30924" s="277"/>
      <c r="O30924" s="247"/>
      <c r="AC30924" s="247"/>
      <c r="AT30924" s="247"/>
    </row>
    <row r="30925">
      <c r="C30925" s="277"/>
      <c r="M30925" s="277"/>
      <c r="O30925" s="247"/>
      <c r="AC30925" s="247"/>
      <c r="AT30925" s="247"/>
    </row>
    <row r="30926">
      <c r="C30926" s="277"/>
      <c r="M30926" s="277"/>
      <c r="O30926" s="247"/>
      <c r="AC30926" s="247"/>
      <c r="AT30926" s="247"/>
    </row>
    <row r="30927">
      <c r="C30927" s="277"/>
      <c r="M30927" s="277"/>
      <c r="O30927" s="247"/>
      <c r="AC30927" s="247"/>
      <c r="AT30927" s="247"/>
    </row>
    <row r="30928">
      <c r="C30928" s="277"/>
      <c r="M30928" s="277"/>
      <c r="O30928" s="247"/>
      <c r="AC30928" s="247"/>
      <c r="AT30928" s="247"/>
    </row>
    <row r="30929">
      <c r="C30929" s="277"/>
      <c r="M30929" s="277"/>
      <c r="O30929" s="247"/>
      <c r="AC30929" s="247"/>
      <c r="AT30929" s="247"/>
    </row>
    <row r="30930">
      <c r="C30930" s="277"/>
      <c r="M30930" s="277"/>
      <c r="O30930" s="247"/>
      <c r="AC30930" s="247"/>
      <c r="AT30930" s="247"/>
    </row>
    <row r="30931">
      <c r="C30931" s="277"/>
      <c r="M30931" s="277"/>
      <c r="O30931" s="247"/>
      <c r="AC30931" s="247"/>
      <c r="AT30931" s="247"/>
    </row>
    <row r="30932">
      <c r="C30932" s="277"/>
      <c r="M30932" s="277"/>
      <c r="O30932" s="247"/>
      <c r="AC30932" s="247"/>
      <c r="AT30932" s="247"/>
    </row>
    <row r="30933">
      <c r="C30933" s="277"/>
      <c r="M30933" s="277"/>
      <c r="O30933" s="247"/>
      <c r="AC30933" s="247"/>
      <c r="AT30933" s="247"/>
    </row>
    <row r="30934">
      <c r="C30934" s="277"/>
      <c r="M30934" s="277"/>
      <c r="O30934" s="247"/>
      <c r="AC30934" s="247"/>
      <c r="AT30934" s="247"/>
    </row>
    <row r="30935">
      <c r="C30935" s="277"/>
      <c r="M30935" s="277"/>
      <c r="O30935" s="247"/>
      <c r="AC30935" s="247"/>
      <c r="AT30935" s="247"/>
    </row>
    <row r="30936">
      <c r="C30936" s="277"/>
      <c r="M30936" s="277"/>
      <c r="O30936" s="247"/>
      <c r="AC30936" s="247"/>
      <c r="AT30936" s="247"/>
    </row>
    <row r="30937">
      <c r="C30937" s="277"/>
      <c r="M30937" s="277"/>
      <c r="O30937" s="247"/>
      <c r="AC30937" s="247"/>
      <c r="AT30937" s="247"/>
    </row>
    <row r="30938">
      <c r="C30938" s="277"/>
      <c r="M30938" s="277"/>
      <c r="O30938" s="247"/>
      <c r="AC30938" s="247"/>
      <c r="AT30938" s="247"/>
    </row>
    <row r="30939">
      <c r="C30939" s="277"/>
      <c r="M30939" s="277"/>
      <c r="O30939" s="247"/>
      <c r="AC30939" s="247"/>
      <c r="AT30939" s="247"/>
    </row>
    <row r="30940">
      <c r="C30940" s="277"/>
      <c r="M30940" s="277"/>
      <c r="O30940" s="247"/>
      <c r="AC30940" s="247"/>
      <c r="AT30940" s="247"/>
    </row>
    <row r="30941">
      <c r="C30941" s="277"/>
      <c r="M30941" s="277"/>
      <c r="O30941" s="247"/>
      <c r="AC30941" s="247"/>
      <c r="AT30941" s="247"/>
    </row>
    <row r="30942">
      <c r="C30942" s="277"/>
      <c r="M30942" s="277"/>
      <c r="O30942" s="247"/>
      <c r="AC30942" s="247"/>
      <c r="AT30942" s="247"/>
    </row>
    <row r="30943">
      <c r="C30943" s="277"/>
      <c r="M30943" s="277"/>
      <c r="O30943" s="247"/>
      <c r="AC30943" s="247"/>
      <c r="AT30943" s="247"/>
    </row>
    <row r="30944">
      <c r="C30944" s="277"/>
      <c r="M30944" s="277"/>
      <c r="O30944" s="247"/>
      <c r="AC30944" s="247"/>
      <c r="AT30944" s="247"/>
    </row>
    <row r="30945">
      <c r="C30945" s="277"/>
      <c r="M30945" s="277"/>
      <c r="O30945" s="247"/>
      <c r="AC30945" s="247"/>
      <c r="AT30945" s="247"/>
    </row>
    <row r="30946">
      <c r="C30946" s="277"/>
      <c r="M30946" s="277"/>
      <c r="O30946" s="247"/>
      <c r="AC30946" s="247"/>
      <c r="AT30946" s="247"/>
    </row>
    <row r="30947">
      <c r="C30947" s="277"/>
      <c r="M30947" s="277"/>
      <c r="O30947" s="247"/>
      <c r="AC30947" s="247"/>
      <c r="AT30947" s="247"/>
    </row>
    <row r="30948">
      <c r="C30948" s="277"/>
      <c r="M30948" s="277"/>
      <c r="O30948" s="247"/>
      <c r="AC30948" s="247"/>
      <c r="AT30948" s="247"/>
    </row>
    <row r="30949">
      <c r="C30949" s="277"/>
      <c r="M30949" s="277"/>
      <c r="O30949" s="247"/>
      <c r="AC30949" s="247"/>
      <c r="AT30949" s="247"/>
    </row>
    <row r="30950">
      <c r="C30950" s="277"/>
      <c r="M30950" s="277"/>
      <c r="O30950" s="247"/>
      <c r="AC30950" s="247"/>
      <c r="AT30950" s="247"/>
    </row>
    <row r="30951">
      <c r="C30951" s="277"/>
      <c r="M30951" s="277"/>
      <c r="O30951" s="247"/>
      <c r="AC30951" s="247"/>
      <c r="AT30951" s="247"/>
    </row>
    <row r="30952">
      <c r="C30952" s="277"/>
      <c r="M30952" s="277"/>
      <c r="O30952" s="247"/>
      <c r="AC30952" s="247"/>
      <c r="AT30952" s="247"/>
    </row>
    <row r="30953">
      <c r="C30953" s="277"/>
      <c r="M30953" s="277"/>
      <c r="O30953" s="247"/>
      <c r="AC30953" s="247"/>
      <c r="AT30953" s="247"/>
    </row>
    <row r="30954">
      <c r="C30954" s="277"/>
      <c r="M30954" s="277"/>
      <c r="O30954" s="247"/>
      <c r="AC30954" s="247"/>
      <c r="AT30954" s="247"/>
    </row>
    <row r="30955">
      <c r="C30955" s="277"/>
      <c r="M30955" s="277"/>
      <c r="O30955" s="247"/>
      <c r="AC30955" s="247"/>
      <c r="AT30955" s="247"/>
    </row>
    <row r="30956">
      <c r="C30956" s="277"/>
      <c r="M30956" s="277"/>
      <c r="O30956" s="247"/>
      <c r="AC30956" s="247"/>
      <c r="AT30956" s="247"/>
    </row>
    <row r="30957">
      <c r="C30957" s="277"/>
      <c r="M30957" s="277"/>
      <c r="O30957" s="247"/>
      <c r="AC30957" s="247"/>
      <c r="AT30957" s="247"/>
    </row>
    <row r="30958">
      <c r="C30958" s="277"/>
      <c r="M30958" s="277"/>
      <c r="O30958" s="247"/>
      <c r="AC30958" s="247"/>
      <c r="AT30958" s="247"/>
    </row>
    <row r="30959">
      <c r="C30959" s="277"/>
      <c r="M30959" s="277"/>
      <c r="O30959" s="247"/>
      <c r="AC30959" s="247"/>
      <c r="AT30959" s="247"/>
    </row>
    <row r="30960">
      <c r="C30960" s="277"/>
      <c r="M30960" s="277"/>
      <c r="O30960" s="247"/>
      <c r="AC30960" s="247"/>
      <c r="AT30960" s="247"/>
    </row>
    <row r="30961">
      <c r="C30961" s="277"/>
      <c r="M30961" s="277"/>
      <c r="O30961" s="247"/>
      <c r="AC30961" s="247"/>
      <c r="AT30961" s="247"/>
    </row>
    <row r="30962">
      <c r="C30962" s="277"/>
      <c r="M30962" s="277"/>
      <c r="O30962" s="247"/>
      <c r="AC30962" s="247"/>
      <c r="AT30962" s="247"/>
    </row>
    <row r="30963">
      <c r="C30963" s="277"/>
      <c r="M30963" s="277"/>
      <c r="O30963" s="247"/>
      <c r="AC30963" s="247"/>
      <c r="AT30963" s="247"/>
    </row>
    <row r="30964">
      <c r="C30964" s="277"/>
      <c r="M30964" s="277"/>
      <c r="O30964" s="247"/>
      <c r="AC30964" s="247"/>
      <c r="AT30964" s="247"/>
    </row>
    <row r="30965">
      <c r="C30965" s="277"/>
      <c r="M30965" s="277"/>
      <c r="O30965" s="247"/>
      <c r="AC30965" s="247"/>
      <c r="AT30965" s="247"/>
    </row>
    <row r="30966">
      <c r="C30966" s="277"/>
      <c r="M30966" s="277"/>
      <c r="O30966" s="247"/>
      <c r="AC30966" s="247"/>
      <c r="AT30966" s="247"/>
    </row>
    <row r="30967">
      <c r="C30967" s="277"/>
      <c r="M30967" s="277"/>
      <c r="O30967" s="247"/>
      <c r="AC30967" s="247"/>
      <c r="AT30967" s="247"/>
    </row>
    <row r="30968">
      <c r="C30968" s="277"/>
      <c r="M30968" s="277"/>
      <c r="O30968" s="247"/>
      <c r="AC30968" s="247"/>
      <c r="AT30968" s="247"/>
    </row>
    <row r="30969">
      <c r="C30969" s="277"/>
      <c r="M30969" s="277"/>
      <c r="O30969" s="247"/>
      <c r="AC30969" s="247"/>
      <c r="AT30969" s="247"/>
    </row>
    <row r="30970">
      <c r="C30970" s="277"/>
      <c r="M30970" s="277"/>
      <c r="O30970" s="247"/>
      <c r="AC30970" s="247"/>
      <c r="AT30970" s="247"/>
    </row>
    <row r="30971">
      <c r="C30971" s="277"/>
      <c r="M30971" s="277"/>
      <c r="O30971" s="247"/>
      <c r="AC30971" s="247"/>
      <c r="AT30971" s="247"/>
    </row>
    <row r="30972">
      <c r="C30972" s="277"/>
      <c r="M30972" s="277"/>
      <c r="O30972" s="247"/>
      <c r="AC30972" s="247"/>
      <c r="AT30972" s="247"/>
    </row>
    <row r="30973">
      <c r="C30973" s="277"/>
      <c r="M30973" s="277"/>
      <c r="O30973" s="247"/>
      <c r="AC30973" s="247"/>
      <c r="AT30973" s="247"/>
    </row>
    <row r="30974">
      <c r="C30974" s="277"/>
      <c r="M30974" s="277"/>
      <c r="O30974" s="247"/>
      <c r="AC30974" s="247"/>
      <c r="AT30974" s="247"/>
    </row>
    <row r="30975">
      <c r="C30975" s="277"/>
      <c r="M30975" s="277"/>
      <c r="O30975" s="247"/>
      <c r="AC30975" s="247"/>
      <c r="AT30975" s="247"/>
    </row>
    <row r="30976">
      <c r="C30976" s="277"/>
      <c r="M30976" s="277"/>
      <c r="O30976" s="247"/>
      <c r="AC30976" s="247"/>
      <c r="AT30976" s="247"/>
    </row>
    <row r="30977">
      <c r="C30977" s="277"/>
      <c r="M30977" s="277"/>
      <c r="O30977" s="247"/>
      <c r="AC30977" s="247"/>
      <c r="AT30977" s="247"/>
    </row>
    <row r="30978">
      <c r="C30978" s="277"/>
      <c r="M30978" s="277"/>
      <c r="O30978" s="247"/>
      <c r="AC30978" s="247"/>
      <c r="AT30978" s="247"/>
    </row>
    <row r="30979">
      <c r="C30979" s="277"/>
      <c r="M30979" s="277"/>
      <c r="O30979" s="247"/>
      <c r="AC30979" s="247"/>
      <c r="AT30979" s="247"/>
    </row>
    <row r="30980">
      <c r="C30980" s="277"/>
      <c r="M30980" s="277"/>
      <c r="O30980" s="247"/>
      <c r="AC30980" s="247"/>
      <c r="AT30980" s="247"/>
    </row>
    <row r="30981">
      <c r="C30981" s="277"/>
      <c r="M30981" s="277"/>
      <c r="O30981" s="247"/>
      <c r="AC30981" s="247"/>
      <c r="AT30981" s="247"/>
    </row>
    <row r="30982">
      <c r="C30982" s="277"/>
      <c r="M30982" s="277"/>
      <c r="O30982" s="247"/>
      <c r="AC30982" s="247"/>
      <c r="AT30982" s="247"/>
    </row>
    <row r="30983">
      <c r="C30983" s="277"/>
      <c r="M30983" s="277"/>
      <c r="O30983" s="247"/>
      <c r="AC30983" s="247"/>
      <c r="AT30983" s="247"/>
    </row>
    <row r="30984">
      <c r="C30984" s="277"/>
      <c r="M30984" s="277"/>
      <c r="O30984" s="247"/>
      <c r="AC30984" s="247"/>
      <c r="AT30984" s="247"/>
    </row>
    <row r="30985">
      <c r="C30985" s="277"/>
      <c r="M30985" s="277"/>
      <c r="O30985" s="247"/>
      <c r="AC30985" s="247"/>
      <c r="AT30985" s="247"/>
    </row>
    <row r="30986">
      <c r="C30986" s="277"/>
      <c r="M30986" s="277"/>
      <c r="O30986" s="247"/>
      <c r="AC30986" s="247"/>
      <c r="AT30986" s="247"/>
    </row>
    <row r="30987">
      <c r="C30987" s="277"/>
      <c r="M30987" s="277"/>
      <c r="O30987" s="247"/>
      <c r="AC30987" s="247"/>
      <c r="AT30987" s="247"/>
    </row>
    <row r="30988">
      <c r="C30988" s="277"/>
      <c r="M30988" s="277"/>
      <c r="O30988" s="247"/>
      <c r="AC30988" s="247"/>
      <c r="AT30988" s="247"/>
    </row>
    <row r="30989">
      <c r="C30989" s="277"/>
      <c r="M30989" s="277"/>
      <c r="O30989" s="247"/>
      <c r="AC30989" s="247"/>
      <c r="AT30989" s="247"/>
    </row>
    <row r="30990">
      <c r="C30990" s="277"/>
      <c r="M30990" s="277"/>
      <c r="O30990" s="247"/>
      <c r="AC30990" s="247"/>
      <c r="AT30990" s="247"/>
    </row>
    <row r="30991">
      <c r="C30991" s="277"/>
      <c r="M30991" s="277"/>
      <c r="O30991" s="247"/>
      <c r="AC30991" s="247"/>
      <c r="AT30991" s="247"/>
    </row>
    <row r="30992">
      <c r="C30992" s="277"/>
      <c r="M30992" s="277"/>
      <c r="O30992" s="247"/>
      <c r="AC30992" s="247"/>
      <c r="AT30992" s="247"/>
    </row>
    <row r="30993">
      <c r="C30993" s="277"/>
      <c r="M30993" s="277"/>
      <c r="O30993" s="247"/>
      <c r="AC30993" s="247"/>
      <c r="AT30993" s="247"/>
    </row>
    <row r="30994">
      <c r="C30994" s="277"/>
      <c r="M30994" s="277"/>
      <c r="O30994" s="247"/>
      <c r="AC30994" s="247"/>
      <c r="AT30994" s="247"/>
    </row>
    <row r="30995">
      <c r="C30995" s="277"/>
      <c r="M30995" s="277"/>
      <c r="O30995" s="247"/>
      <c r="AC30995" s="247"/>
      <c r="AT30995" s="247"/>
    </row>
    <row r="30996">
      <c r="C30996" s="277"/>
      <c r="M30996" s="277"/>
      <c r="O30996" s="247"/>
      <c r="AC30996" s="247"/>
      <c r="AT30996" s="247"/>
    </row>
    <row r="30997">
      <c r="C30997" s="277"/>
      <c r="M30997" s="277"/>
      <c r="O30997" s="247"/>
      <c r="AC30997" s="247"/>
      <c r="AT30997" s="247"/>
    </row>
    <row r="30998">
      <c r="C30998" s="277"/>
      <c r="M30998" s="277"/>
      <c r="O30998" s="247"/>
      <c r="AC30998" s="247"/>
      <c r="AT30998" s="247"/>
    </row>
    <row r="30999">
      <c r="C30999" s="277"/>
      <c r="M30999" s="277"/>
      <c r="O30999" s="247"/>
      <c r="AC30999" s="247"/>
      <c r="AT30999" s="247"/>
    </row>
    <row r="31000">
      <c r="C31000" s="277"/>
      <c r="M31000" s="277"/>
      <c r="O31000" s="247"/>
      <c r="AC31000" s="247"/>
      <c r="AT31000" s="247"/>
    </row>
    <row r="31001">
      <c r="C31001" s="277"/>
      <c r="M31001" s="277"/>
      <c r="O31001" s="247"/>
      <c r="AC31001" s="247"/>
      <c r="AT31001" s="247"/>
    </row>
    <row r="31002">
      <c r="C31002" s="277"/>
      <c r="M31002" s="277"/>
      <c r="O31002" s="247"/>
      <c r="AC31002" s="247"/>
      <c r="AT31002" s="247"/>
    </row>
    <row r="31003">
      <c r="C31003" s="277"/>
      <c r="M31003" s="277"/>
      <c r="O31003" s="247"/>
      <c r="AC31003" s="247"/>
      <c r="AT31003" s="247"/>
    </row>
    <row r="31004">
      <c r="C31004" s="277"/>
      <c r="M31004" s="277"/>
      <c r="O31004" s="247"/>
      <c r="AC31004" s="247"/>
      <c r="AT31004" s="247"/>
    </row>
    <row r="31005">
      <c r="C31005" s="277"/>
      <c r="M31005" s="277"/>
      <c r="O31005" s="247"/>
      <c r="AC31005" s="247"/>
      <c r="AT31005" s="247"/>
    </row>
    <row r="31006">
      <c r="C31006" s="277"/>
      <c r="M31006" s="277"/>
      <c r="O31006" s="247"/>
      <c r="AC31006" s="247"/>
      <c r="AT31006" s="247"/>
    </row>
    <row r="31007">
      <c r="C31007" s="277"/>
      <c r="M31007" s="277"/>
      <c r="O31007" s="247"/>
      <c r="AC31007" s="247"/>
      <c r="AT31007" s="247"/>
    </row>
    <row r="31008">
      <c r="C31008" s="277"/>
      <c r="M31008" s="277"/>
      <c r="O31008" s="247"/>
      <c r="AC31008" s="247"/>
      <c r="AT31008" s="247"/>
    </row>
    <row r="31009">
      <c r="C31009" s="277"/>
      <c r="M31009" s="277"/>
      <c r="O31009" s="247"/>
      <c r="AC31009" s="247"/>
      <c r="AT31009" s="247"/>
    </row>
    <row r="31010">
      <c r="C31010" s="277"/>
      <c r="M31010" s="277"/>
      <c r="O31010" s="247"/>
      <c r="AC31010" s="247"/>
      <c r="AT31010" s="247"/>
    </row>
    <row r="31011">
      <c r="C31011" s="277"/>
      <c r="M31011" s="277"/>
      <c r="O31011" s="247"/>
      <c r="AC31011" s="247"/>
      <c r="AT31011" s="247"/>
    </row>
    <row r="31012">
      <c r="C31012" s="277"/>
      <c r="M31012" s="277"/>
      <c r="O31012" s="247"/>
      <c r="AC31012" s="247"/>
      <c r="AT31012" s="247"/>
    </row>
    <row r="31013">
      <c r="C31013" s="277"/>
      <c r="M31013" s="277"/>
      <c r="O31013" s="247"/>
      <c r="AC31013" s="247"/>
      <c r="AT31013" s="247"/>
    </row>
    <row r="31014">
      <c r="C31014" s="277"/>
      <c r="M31014" s="277"/>
      <c r="O31014" s="247"/>
      <c r="AC31014" s="247"/>
      <c r="AT31014" s="247"/>
    </row>
    <row r="31015">
      <c r="C31015" s="277"/>
      <c r="M31015" s="277"/>
      <c r="O31015" s="247"/>
      <c r="AC31015" s="247"/>
      <c r="AT31015" s="247"/>
    </row>
    <row r="31016">
      <c r="C31016" s="277"/>
      <c r="M31016" s="277"/>
      <c r="O31016" s="247"/>
      <c r="AC31016" s="247"/>
      <c r="AT31016" s="247"/>
    </row>
    <row r="31017">
      <c r="C31017" s="277"/>
      <c r="M31017" s="277"/>
      <c r="O31017" s="247"/>
      <c r="AC31017" s="247"/>
      <c r="AT31017" s="247"/>
    </row>
    <row r="31018">
      <c r="C31018" s="277"/>
      <c r="M31018" s="277"/>
      <c r="O31018" s="247"/>
      <c r="AC31018" s="247"/>
      <c r="AT31018" s="247"/>
    </row>
    <row r="31019">
      <c r="C31019" s="277"/>
      <c r="M31019" s="277"/>
      <c r="O31019" s="247"/>
      <c r="AC31019" s="247"/>
      <c r="AT31019" s="247"/>
    </row>
    <row r="31020">
      <c r="C31020" s="277"/>
      <c r="M31020" s="277"/>
      <c r="O31020" s="247"/>
      <c r="AC31020" s="247"/>
      <c r="AT31020" s="247"/>
    </row>
    <row r="31021">
      <c r="C31021" s="277"/>
      <c r="M31021" s="277"/>
      <c r="O31021" s="247"/>
      <c r="AC31021" s="247"/>
      <c r="AT31021" s="247"/>
    </row>
    <row r="31022">
      <c r="C31022" s="277"/>
      <c r="M31022" s="277"/>
      <c r="O31022" s="247"/>
      <c r="AC31022" s="247"/>
      <c r="AT31022" s="247"/>
    </row>
    <row r="31023">
      <c r="C31023" s="277"/>
      <c r="M31023" s="277"/>
      <c r="O31023" s="247"/>
      <c r="AC31023" s="247"/>
      <c r="AT31023" s="247"/>
    </row>
    <row r="31024">
      <c r="C31024" s="277"/>
      <c r="J31024" s="279"/>
      <c r="M31024" s="277"/>
      <c r="O31024" s="247"/>
      <c r="AC31024" s="247"/>
      <c r="AT31024" s="247"/>
    </row>
    <row r="31025">
      <c r="C31025" s="277"/>
      <c r="M31025" s="277"/>
      <c r="O31025" s="247"/>
      <c r="AC31025" s="247"/>
      <c r="AT31025" s="247"/>
    </row>
    <row r="31026">
      <c r="C31026" s="277"/>
      <c r="M31026" s="277"/>
      <c r="O31026" s="247"/>
      <c r="AC31026" s="247"/>
      <c r="AT31026" s="247"/>
    </row>
    <row r="31027">
      <c r="C31027" s="277"/>
      <c r="M31027" s="277"/>
      <c r="O31027" s="247"/>
      <c r="AC31027" s="247"/>
      <c r="AT31027" s="247"/>
    </row>
    <row r="31028">
      <c r="C31028" s="277"/>
      <c r="M31028" s="277"/>
      <c r="O31028" s="247"/>
      <c r="AC31028" s="247"/>
      <c r="AT31028" s="247"/>
    </row>
    <row r="31029">
      <c r="C31029" s="277"/>
      <c r="M31029" s="277"/>
      <c r="O31029" s="247"/>
      <c r="AC31029" s="247"/>
      <c r="AT31029" s="247"/>
    </row>
    <row r="31030">
      <c r="C31030" s="277"/>
      <c r="M31030" s="277"/>
      <c r="O31030" s="247"/>
      <c r="AC31030" s="247"/>
      <c r="AT31030" s="247"/>
    </row>
    <row r="31031">
      <c r="C31031" s="277"/>
      <c r="M31031" s="277"/>
      <c r="O31031" s="247"/>
      <c r="AC31031" s="247"/>
      <c r="AT31031" s="247"/>
    </row>
    <row r="31032">
      <c r="C31032" s="277"/>
      <c r="M31032" s="277"/>
      <c r="O31032" s="247"/>
      <c r="AC31032" s="247"/>
      <c r="AT31032" s="247"/>
    </row>
    <row r="31033">
      <c r="C31033" s="277"/>
      <c r="M31033" s="277"/>
      <c r="O31033" s="247"/>
      <c r="AC31033" s="247"/>
      <c r="AT31033" s="247"/>
    </row>
    <row r="31034">
      <c r="C31034" s="277"/>
      <c r="M31034" s="277"/>
      <c r="O31034" s="247"/>
      <c r="AC31034" s="247"/>
      <c r="AT31034" s="247"/>
    </row>
    <row r="31035">
      <c r="C31035" s="277"/>
      <c r="M31035" s="277"/>
      <c r="O31035" s="247"/>
      <c r="AC31035" s="247"/>
      <c r="AT31035" s="247"/>
    </row>
    <row r="31036">
      <c r="C31036" s="277"/>
      <c r="M31036" s="277"/>
      <c r="O31036" s="247"/>
      <c r="AC31036" s="247"/>
      <c r="AT31036" s="247"/>
    </row>
    <row r="31037">
      <c r="C31037" s="277"/>
      <c r="M31037" s="277"/>
      <c r="O31037" s="247"/>
      <c r="AC31037" s="247"/>
      <c r="AT31037" s="247"/>
    </row>
    <row r="31038">
      <c r="C31038" s="277"/>
      <c r="M31038" s="277"/>
      <c r="O31038" s="247"/>
      <c r="AC31038" s="247"/>
      <c r="AT31038" s="247"/>
    </row>
    <row r="31039">
      <c r="C31039" s="277"/>
      <c r="M31039" s="277"/>
      <c r="O31039" s="247"/>
      <c r="AC31039" s="247"/>
      <c r="AT31039" s="247"/>
    </row>
    <row r="31040">
      <c r="C31040" s="277"/>
      <c r="M31040" s="277"/>
      <c r="O31040" s="247"/>
      <c r="AC31040" s="247"/>
      <c r="AT31040" s="247"/>
    </row>
    <row r="31041">
      <c r="C31041" s="277"/>
      <c r="M31041" s="277"/>
      <c r="O31041" s="247"/>
      <c r="AC31041" s="247"/>
      <c r="AT31041" s="247"/>
    </row>
    <row r="31042">
      <c r="C31042" s="277"/>
      <c r="M31042" s="277"/>
      <c r="O31042" s="247"/>
      <c r="AC31042" s="247"/>
      <c r="AT31042" s="247"/>
    </row>
    <row r="31043">
      <c r="C31043" s="277"/>
      <c r="M31043" s="277"/>
      <c r="O31043" s="247"/>
      <c r="AC31043" s="247"/>
      <c r="AT31043" s="247"/>
    </row>
    <row r="31044">
      <c r="C31044" s="277"/>
      <c r="M31044" s="277"/>
      <c r="O31044" s="247"/>
      <c r="AC31044" s="247"/>
      <c r="AT31044" s="247"/>
    </row>
    <row r="31045">
      <c r="C31045" s="277"/>
      <c r="M31045" s="277"/>
      <c r="O31045" s="247"/>
      <c r="AC31045" s="247"/>
      <c r="AT31045" s="247"/>
    </row>
    <row r="31046">
      <c r="C31046" s="277"/>
      <c r="M31046" s="277"/>
      <c r="O31046" s="247"/>
      <c r="AC31046" s="247"/>
      <c r="AT31046" s="247"/>
    </row>
    <row r="31047">
      <c r="C31047" s="277"/>
      <c r="M31047" s="277"/>
      <c r="O31047" s="247"/>
      <c r="AC31047" s="247"/>
      <c r="AT31047" s="247"/>
    </row>
    <row r="31048">
      <c r="C31048" s="277"/>
      <c r="M31048" s="277"/>
      <c r="O31048" s="247"/>
      <c r="AC31048" s="247"/>
      <c r="AT31048" s="247"/>
    </row>
    <row r="31049">
      <c r="C31049" s="277"/>
      <c r="M31049" s="277"/>
      <c r="O31049" s="247"/>
      <c r="AC31049" s="247"/>
      <c r="AT31049" s="247"/>
    </row>
    <row r="31050">
      <c r="C31050" s="277"/>
      <c r="M31050" s="277"/>
      <c r="O31050" s="247"/>
      <c r="AC31050" s="247"/>
      <c r="AT31050" s="247"/>
    </row>
    <row r="31051">
      <c r="C31051" s="277"/>
      <c r="M31051" s="277"/>
      <c r="O31051" s="247"/>
      <c r="AC31051" s="247"/>
      <c r="AT31051" s="247"/>
    </row>
    <row r="31052">
      <c r="C31052" s="277"/>
      <c r="M31052" s="277"/>
      <c r="O31052" s="247"/>
      <c r="AC31052" s="247"/>
      <c r="AT31052" s="247"/>
    </row>
    <row r="31053">
      <c r="C31053" s="277"/>
      <c r="M31053" s="277"/>
      <c r="O31053" s="247"/>
      <c r="AC31053" s="247"/>
      <c r="AT31053" s="247"/>
    </row>
    <row r="31054">
      <c r="C31054" s="277"/>
      <c r="M31054" s="277"/>
      <c r="O31054" s="247"/>
      <c r="AC31054" s="247"/>
      <c r="AT31054" s="247"/>
    </row>
    <row r="31055">
      <c r="C31055" s="277"/>
      <c r="M31055" s="277"/>
      <c r="O31055" s="247"/>
      <c r="AC31055" s="247"/>
      <c r="AT31055" s="247"/>
    </row>
    <row r="31056">
      <c r="C31056" s="277"/>
      <c r="M31056" s="277"/>
      <c r="O31056" s="247"/>
      <c r="AC31056" s="247"/>
      <c r="AT31056" s="247"/>
    </row>
    <row r="31057">
      <c r="C31057" s="277"/>
      <c r="M31057" s="277"/>
      <c r="O31057" s="247"/>
      <c r="AC31057" s="247"/>
      <c r="AT31057" s="247"/>
    </row>
    <row r="31058">
      <c r="C31058" s="277"/>
      <c r="M31058" s="277"/>
      <c r="O31058" s="247"/>
      <c r="AC31058" s="247"/>
      <c r="AT31058" s="247"/>
    </row>
    <row r="31059">
      <c r="C31059" s="277"/>
      <c r="M31059" s="277"/>
      <c r="O31059" s="247"/>
      <c r="AC31059" s="247"/>
      <c r="AT31059" s="247"/>
    </row>
    <row r="31060">
      <c r="C31060" s="277"/>
      <c r="M31060" s="277"/>
      <c r="O31060" s="247"/>
      <c r="AC31060" s="247"/>
      <c r="AT31060" s="247"/>
    </row>
    <row r="31061">
      <c r="C31061" s="277"/>
      <c r="M31061" s="277"/>
      <c r="O31061" s="247"/>
      <c r="AC31061" s="247"/>
      <c r="AT31061" s="247"/>
    </row>
    <row r="31062">
      <c r="C31062" s="277"/>
      <c r="M31062" s="277"/>
      <c r="O31062" s="247"/>
      <c r="AC31062" s="247"/>
      <c r="AT31062" s="247"/>
    </row>
    <row r="31063">
      <c r="C31063" s="277"/>
      <c r="M31063" s="277"/>
      <c r="O31063" s="247"/>
      <c r="AC31063" s="247"/>
      <c r="AT31063" s="247"/>
    </row>
    <row r="31064">
      <c r="C31064" s="277"/>
      <c r="M31064" s="277"/>
      <c r="O31064" s="247"/>
      <c r="AC31064" s="247"/>
      <c r="AT31064" s="247"/>
    </row>
    <row r="31065">
      <c r="C31065" s="277"/>
      <c r="M31065" s="277"/>
      <c r="O31065" s="247"/>
      <c r="AC31065" s="247"/>
      <c r="AT31065" s="247"/>
    </row>
    <row r="31066">
      <c r="C31066" s="277"/>
      <c r="M31066" s="277"/>
      <c r="O31066" s="247"/>
      <c r="AC31066" s="247"/>
      <c r="AT31066" s="247"/>
    </row>
    <row r="31067">
      <c r="C31067" s="277"/>
      <c r="M31067" s="277"/>
      <c r="O31067" s="247"/>
      <c r="AC31067" s="247"/>
      <c r="AT31067" s="247"/>
    </row>
    <row r="31068">
      <c r="C31068" s="277"/>
      <c r="M31068" s="277"/>
      <c r="O31068" s="247"/>
      <c r="AC31068" s="247"/>
      <c r="AT31068" s="247"/>
    </row>
    <row r="31069">
      <c r="C31069" s="277"/>
      <c r="M31069" s="277"/>
      <c r="O31069" s="247"/>
      <c r="AC31069" s="247"/>
      <c r="AT31069" s="247"/>
    </row>
    <row r="31070">
      <c r="C31070" s="277"/>
      <c r="M31070" s="277"/>
      <c r="O31070" s="247"/>
      <c r="AC31070" s="247"/>
      <c r="AT31070" s="247"/>
    </row>
    <row r="31071">
      <c r="C31071" s="277"/>
      <c r="M31071" s="277"/>
      <c r="O31071" s="247"/>
      <c r="AC31071" s="247"/>
      <c r="AT31071" s="247"/>
    </row>
    <row r="31072">
      <c r="C31072" s="277"/>
      <c r="M31072" s="277"/>
      <c r="O31072" s="247"/>
      <c r="AC31072" s="247"/>
      <c r="AT31072" s="247"/>
    </row>
    <row r="31073">
      <c r="C31073" s="277"/>
      <c r="M31073" s="277"/>
      <c r="O31073" s="247"/>
      <c r="AC31073" s="247"/>
      <c r="AT31073" s="247"/>
    </row>
    <row r="31074">
      <c r="C31074" s="277"/>
      <c r="M31074" s="277"/>
      <c r="O31074" s="247"/>
      <c r="AC31074" s="247"/>
      <c r="AT31074" s="247"/>
    </row>
    <row r="31075">
      <c r="C31075" s="277"/>
      <c r="M31075" s="277"/>
      <c r="O31075" s="247"/>
      <c r="AC31075" s="247"/>
      <c r="AT31075" s="247"/>
    </row>
    <row r="31076">
      <c r="C31076" s="277"/>
      <c r="M31076" s="277"/>
      <c r="O31076" s="247"/>
      <c r="AC31076" s="247"/>
      <c r="AT31076" s="247"/>
    </row>
    <row r="31077">
      <c r="C31077" s="277"/>
      <c r="M31077" s="277"/>
      <c r="O31077" s="247"/>
      <c r="AC31077" s="247"/>
      <c r="AT31077" s="247"/>
    </row>
    <row r="31078">
      <c r="C31078" s="277"/>
      <c r="M31078" s="277"/>
      <c r="O31078" s="247"/>
      <c r="AC31078" s="247"/>
      <c r="AT31078" s="247"/>
    </row>
    <row r="31079">
      <c r="C31079" s="277"/>
      <c r="M31079" s="277"/>
      <c r="O31079" s="247"/>
      <c r="AC31079" s="247"/>
      <c r="AT31079" s="247"/>
    </row>
    <row r="31080">
      <c r="C31080" s="277"/>
      <c r="M31080" s="277"/>
      <c r="O31080" s="247"/>
      <c r="AC31080" s="247"/>
      <c r="AT31080" s="247"/>
    </row>
    <row r="31081">
      <c r="C31081" s="277"/>
      <c r="M31081" s="277"/>
      <c r="O31081" s="247"/>
      <c r="AC31081" s="247"/>
      <c r="AT31081" s="247"/>
    </row>
    <row r="31082">
      <c r="C31082" s="277"/>
      <c r="M31082" s="277"/>
      <c r="O31082" s="247"/>
      <c r="AC31082" s="247"/>
      <c r="AT31082" s="247"/>
    </row>
    <row r="31083">
      <c r="C31083" s="277"/>
      <c r="M31083" s="277"/>
      <c r="O31083" s="247"/>
      <c r="AC31083" s="247"/>
      <c r="AT31083" s="247"/>
    </row>
    <row r="31084">
      <c r="C31084" s="277"/>
      <c r="M31084" s="277"/>
      <c r="O31084" s="247"/>
      <c r="AC31084" s="247"/>
      <c r="AT31084" s="247"/>
    </row>
    <row r="31085">
      <c r="C31085" s="277"/>
      <c r="M31085" s="277"/>
      <c r="O31085" s="247"/>
      <c r="AC31085" s="247"/>
      <c r="AT31085" s="247"/>
    </row>
    <row r="31086">
      <c r="C31086" s="277"/>
      <c r="M31086" s="277"/>
      <c r="O31086" s="247"/>
      <c r="AC31086" s="247"/>
      <c r="AT31086" s="247"/>
    </row>
    <row r="31087">
      <c r="C31087" s="277"/>
      <c r="M31087" s="277"/>
      <c r="O31087" s="247"/>
      <c r="AC31087" s="247"/>
      <c r="AT31087" s="247"/>
    </row>
    <row r="31088">
      <c r="C31088" s="277"/>
      <c r="M31088" s="277"/>
      <c r="O31088" s="247"/>
      <c r="AC31088" s="247"/>
      <c r="AT31088" s="247"/>
    </row>
    <row r="31089">
      <c r="C31089" s="277"/>
      <c r="M31089" s="277"/>
      <c r="O31089" s="247"/>
      <c r="AC31089" s="247"/>
      <c r="AT31089" s="247"/>
    </row>
    <row r="31090">
      <c r="C31090" s="277"/>
      <c r="M31090" s="277"/>
      <c r="O31090" s="247"/>
      <c r="AC31090" s="247"/>
      <c r="AT31090" s="247"/>
    </row>
    <row r="31091">
      <c r="C31091" s="277"/>
      <c r="M31091" s="277"/>
      <c r="O31091" s="247"/>
      <c r="AC31091" s="247"/>
      <c r="AT31091" s="247"/>
    </row>
    <row r="31092">
      <c r="C31092" s="277"/>
      <c r="M31092" s="277"/>
      <c r="O31092" s="247"/>
      <c r="AC31092" s="247"/>
      <c r="AT31092" s="247"/>
    </row>
    <row r="31093">
      <c r="C31093" s="277"/>
      <c r="M31093" s="277"/>
      <c r="O31093" s="247"/>
      <c r="AC31093" s="247"/>
      <c r="AT31093" s="247"/>
    </row>
    <row r="31094">
      <c r="C31094" s="277"/>
      <c r="M31094" s="277"/>
      <c r="O31094" s="247"/>
      <c r="AC31094" s="247"/>
      <c r="AT31094" s="247"/>
    </row>
    <row r="31095">
      <c r="C31095" s="277"/>
      <c r="M31095" s="277"/>
      <c r="O31095" s="247"/>
      <c r="AC31095" s="247"/>
      <c r="AT31095" s="247"/>
    </row>
    <row r="31096">
      <c r="C31096" s="277"/>
      <c r="M31096" s="277"/>
      <c r="O31096" s="247"/>
      <c r="AC31096" s="247"/>
      <c r="AT31096" s="247"/>
    </row>
    <row r="31097">
      <c r="C31097" s="277"/>
      <c r="M31097" s="277"/>
      <c r="O31097" s="247"/>
      <c r="AC31097" s="247"/>
      <c r="AT31097" s="247"/>
    </row>
    <row r="31098">
      <c r="C31098" s="277"/>
      <c r="M31098" s="277"/>
      <c r="O31098" s="247"/>
      <c r="AC31098" s="247"/>
      <c r="AT31098" s="247"/>
    </row>
    <row r="31099">
      <c r="C31099" s="277"/>
      <c r="M31099" s="277"/>
      <c r="O31099" s="247"/>
      <c r="AC31099" s="247"/>
      <c r="AT31099" s="247"/>
    </row>
    <row r="31100">
      <c r="C31100" s="277"/>
      <c r="M31100" s="277"/>
      <c r="O31100" s="247"/>
      <c r="AC31100" s="247"/>
      <c r="AT31100" s="247"/>
    </row>
    <row r="31101">
      <c r="C31101" s="277"/>
      <c r="M31101" s="277"/>
      <c r="O31101" s="247"/>
      <c r="AC31101" s="247"/>
      <c r="AT31101" s="247"/>
    </row>
    <row r="31102">
      <c r="C31102" s="277"/>
      <c r="M31102" s="277"/>
      <c r="O31102" s="247"/>
      <c r="AC31102" s="247"/>
      <c r="AT31102" s="247"/>
    </row>
    <row r="31103">
      <c r="C31103" s="277"/>
      <c r="M31103" s="277"/>
      <c r="O31103" s="247"/>
      <c r="AC31103" s="247"/>
      <c r="AT31103" s="247"/>
    </row>
    <row r="31104">
      <c r="C31104" s="277"/>
      <c r="M31104" s="277"/>
      <c r="O31104" s="247"/>
      <c r="AC31104" s="247"/>
      <c r="AT31104" s="247"/>
    </row>
    <row r="31105">
      <c r="C31105" s="277"/>
      <c r="M31105" s="277"/>
      <c r="O31105" s="247"/>
      <c r="AC31105" s="247"/>
      <c r="AT31105" s="247"/>
    </row>
    <row r="31106">
      <c r="C31106" s="277"/>
      <c r="M31106" s="277"/>
      <c r="O31106" s="247"/>
      <c r="AC31106" s="247"/>
      <c r="AT31106" s="247"/>
    </row>
    <row r="31107">
      <c r="C31107" s="277"/>
      <c r="M31107" s="277"/>
      <c r="O31107" s="247"/>
      <c r="AC31107" s="247"/>
      <c r="AT31107" s="247"/>
    </row>
    <row r="31108">
      <c r="C31108" s="277"/>
      <c r="M31108" s="277"/>
      <c r="O31108" s="247"/>
      <c r="AC31108" s="247"/>
      <c r="AT31108" s="247"/>
    </row>
    <row r="31109">
      <c r="C31109" s="277"/>
      <c r="M31109" s="277"/>
      <c r="O31109" s="247"/>
      <c r="AC31109" s="247"/>
      <c r="AT31109" s="247"/>
    </row>
    <row r="31110">
      <c r="C31110" s="277"/>
      <c r="M31110" s="277"/>
      <c r="O31110" s="247"/>
      <c r="AC31110" s="247"/>
      <c r="AT31110" s="247"/>
    </row>
    <row r="31111">
      <c r="C31111" s="277"/>
      <c r="M31111" s="277"/>
      <c r="O31111" s="247"/>
      <c r="AC31111" s="247"/>
      <c r="AT31111" s="247"/>
    </row>
    <row r="31112">
      <c r="C31112" s="277"/>
      <c r="M31112" s="277"/>
      <c r="O31112" s="247"/>
      <c r="AC31112" s="247"/>
      <c r="AT31112" s="247"/>
    </row>
    <row r="31113">
      <c r="C31113" s="277"/>
      <c r="M31113" s="277"/>
      <c r="O31113" s="247"/>
      <c r="AC31113" s="247"/>
      <c r="AT31113" s="247"/>
    </row>
    <row r="31114">
      <c r="C31114" s="277"/>
      <c r="M31114" s="277"/>
      <c r="O31114" s="247"/>
      <c r="AC31114" s="247"/>
      <c r="AT31114" s="247"/>
    </row>
    <row r="31115">
      <c r="C31115" s="277"/>
      <c r="M31115" s="277"/>
      <c r="O31115" s="247"/>
      <c r="AC31115" s="247"/>
      <c r="AT31115" s="247"/>
    </row>
    <row r="31116">
      <c r="C31116" s="277"/>
      <c r="M31116" s="277"/>
      <c r="O31116" s="247"/>
      <c r="AC31116" s="247"/>
      <c r="AT31116" s="247"/>
    </row>
    <row r="31117">
      <c r="C31117" s="277"/>
      <c r="M31117" s="277"/>
      <c r="O31117" s="247"/>
      <c r="AC31117" s="247"/>
      <c r="AT31117" s="247"/>
    </row>
    <row r="31118">
      <c r="C31118" s="277"/>
      <c r="M31118" s="277"/>
      <c r="O31118" s="247"/>
      <c r="AC31118" s="247"/>
      <c r="AT31118" s="247"/>
    </row>
    <row r="31119">
      <c r="C31119" s="277"/>
      <c r="M31119" s="277"/>
      <c r="O31119" s="247"/>
      <c r="AC31119" s="247"/>
      <c r="AT31119" s="247"/>
    </row>
    <row r="31120">
      <c r="C31120" s="277"/>
      <c r="M31120" s="277"/>
      <c r="O31120" s="247"/>
      <c r="AC31120" s="247"/>
      <c r="AT31120" s="247"/>
    </row>
    <row r="31121">
      <c r="C31121" s="277"/>
      <c r="M31121" s="277"/>
      <c r="O31121" s="247"/>
      <c r="AC31121" s="247"/>
      <c r="AT31121" s="247"/>
    </row>
    <row r="31122">
      <c r="C31122" s="277"/>
      <c r="M31122" s="277"/>
      <c r="O31122" s="247"/>
      <c r="AC31122" s="247"/>
      <c r="AT31122" s="247"/>
    </row>
    <row r="31123">
      <c r="C31123" s="277"/>
      <c r="M31123" s="277"/>
      <c r="O31123" s="247"/>
      <c r="AC31123" s="247"/>
      <c r="AT31123" s="247"/>
    </row>
    <row r="31124">
      <c r="C31124" s="277"/>
      <c r="M31124" s="277"/>
      <c r="O31124" s="247"/>
      <c r="AC31124" s="247"/>
      <c r="AT31124" s="247"/>
    </row>
    <row r="31125">
      <c r="C31125" s="277"/>
      <c r="M31125" s="277"/>
      <c r="O31125" s="247"/>
      <c r="AC31125" s="247"/>
      <c r="AT31125" s="247"/>
    </row>
    <row r="31126">
      <c r="C31126" s="277"/>
      <c r="M31126" s="277"/>
      <c r="O31126" s="247"/>
      <c r="AC31126" s="247"/>
      <c r="AT31126" s="247"/>
    </row>
    <row r="31127">
      <c r="C31127" s="277"/>
      <c r="M31127" s="277"/>
      <c r="O31127" s="247"/>
      <c r="AC31127" s="247"/>
      <c r="AT31127" s="247"/>
    </row>
    <row r="31128">
      <c r="C31128" s="277"/>
      <c r="M31128" s="277"/>
      <c r="O31128" s="247"/>
      <c r="AC31128" s="247"/>
      <c r="AT31128" s="247"/>
    </row>
    <row r="31129">
      <c r="C31129" s="277"/>
      <c r="M31129" s="277"/>
      <c r="O31129" s="247"/>
      <c r="AC31129" s="247"/>
      <c r="AT31129" s="247"/>
    </row>
    <row r="31130">
      <c r="C31130" s="277"/>
      <c r="M31130" s="277"/>
      <c r="O31130" s="247"/>
      <c r="AC31130" s="247"/>
      <c r="AT31130" s="247"/>
    </row>
    <row r="31131">
      <c r="C31131" s="277"/>
      <c r="M31131" s="277"/>
      <c r="O31131" s="247"/>
      <c r="AC31131" s="247"/>
      <c r="AT31131" s="247"/>
    </row>
    <row r="31132">
      <c r="C31132" s="277"/>
      <c r="M31132" s="277"/>
      <c r="O31132" s="247"/>
      <c r="AC31132" s="247"/>
      <c r="AT31132" s="247"/>
    </row>
    <row r="31133">
      <c r="C31133" s="277"/>
      <c r="M31133" s="277"/>
      <c r="O31133" s="247"/>
      <c r="AC31133" s="247"/>
      <c r="AT31133" s="247"/>
    </row>
    <row r="31134">
      <c r="C31134" s="277"/>
      <c r="M31134" s="277"/>
      <c r="O31134" s="247"/>
      <c r="AC31134" s="247"/>
      <c r="AT31134" s="247"/>
    </row>
    <row r="31135">
      <c r="C31135" s="277"/>
      <c r="M31135" s="277"/>
      <c r="O31135" s="247"/>
      <c r="AC31135" s="247"/>
      <c r="AT31135" s="247"/>
    </row>
    <row r="31136">
      <c r="C31136" s="277"/>
      <c r="M31136" s="277"/>
      <c r="O31136" s="247"/>
      <c r="AC31136" s="247"/>
      <c r="AT31136" s="247"/>
    </row>
    <row r="31137">
      <c r="C31137" s="277"/>
      <c r="M31137" s="277"/>
      <c r="O31137" s="247"/>
      <c r="AC31137" s="247"/>
      <c r="AT31137" s="247"/>
    </row>
    <row r="31138">
      <c r="C31138" s="277"/>
      <c r="M31138" s="277"/>
      <c r="O31138" s="247"/>
      <c r="AC31138" s="247"/>
      <c r="AT31138" s="247"/>
    </row>
    <row r="31139">
      <c r="C31139" s="277"/>
      <c r="M31139" s="277"/>
      <c r="O31139" s="247"/>
      <c r="AC31139" s="247"/>
      <c r="AT31139" s="247"/>
    </row>
    <row r="31140">
      <c r="C31140" s="277"/>
      <c r="M31140" s="277"/>
      <c r="O31140" s="247"/>
      <c r="AC31140" s="247"/>
      <c r="AT31140" s="247"/>
    </row>
    <row r="31141">
      <c r="C31141" s="277"/>
      <c r="M31141" s="277"/>
      <c r="O31141" s="247"/>
      <c r="AC31141" s="247"/>
      <c r="AT31141" s="247"/>
    </row>
    <row r="31142">
      <c r="C31142" s="277"/>
      <c r="M31142" s="277"/>
      <c r="O31142" s="247"/>
      <c r="AC31142" s="247"/>
      <c r="AT31142" s="247"/>
    </row>
    <row r="31143">
      <c r="C31143" s="277"/>
      <c r="M31143" s="277"/>
      <c r="O31143" s="247"/>
      <c r="AC31143" s="247"/>
      <c r="AT31143" s="247"/>
    </row>
    <row r="31144">
      <c r="C31144" s="277"/>
      <c r="M31144" s="277"/>
      <c r="O31144" s="247"/>
      <c r="AC31144" s="247"/>
      <c r="AT31144" s="247"/>
    </row>
    <row r="31145">
      <c r="C31145" s="277"/>
      <c r="M31145" s="277"/>
      <c r="O31145" s="247"/>
      <c r="AC31145" s="247"/>
      <c r="AT31145" s="247"/>
    </row>
    <row r="31146">
      <c r="C31146" s="277"/>
      <c r="M31146" s="277"/>
      <c r="O31146" s="247"/>
      <c r="AC31146" s="247"/>
      <c r="AT31146" s="247"/>
    </row>
    <row r="31147">
      <c r="C31147" s="277"/>
      <c r="M31147" s="277"/>
      <c r="O31147" s="247"/>
      <c r="AC31147" s="247"/>
      <c r="AT31147" s="247"/>
    </row>
    <row r="31148">
      <c r="C31148" s="277"/>
      <c r="M31148" s="277"/>
      <c r="O31148" s="247"/>
      <c r="AC31148" s="247"/>
      <c r="AT31148" s="247"/>
    </row>
    <row r="31149">
      <c r="C31149" s="277"/>
      <c r="M31149" s="277"/>
      <c r="O31149" s="247"/>
      <c r="AC31149" s="247"/>
      <c r="AT31149" s="247"/>
    </row>
    <row r="31150">
      <c r="C31150" s="277"/>
      <c r="M31150" s="277"/>
      <c r="O31150" s="247"/>
      <c r="AC31150" s="247"/>
      <c r="AT31150" s="247"/>
    </row>
    <row r="31151">
      <c r="C31151" s="277"/>
      <c r="M31151" s="277"/>
      <c r="O31151" s="247"/>
      <c r="AC31151" s="247"/>
      <c r="AT31151" s="247"/>
    </row>
    <row r="31152">
      <c r="C31152" s="277"/>
      <c r="M31152" s="277"/>
      <c r="O31152" s="247"/>
      <c r="AC31152" s="247"/>
      <c r="AT31152" s="247"/>
    </row>
    <row r="31153">
      <c r="C31153" s="277"/>
      <c r="M31153" s="277"/>
      <c r="O31153" s="247"/>
      <c r="AC31153" s="247"/>
      <c r="AT31153" s="247"/>
    </row>
    <row r="31154">
      <c r="C31154" s="277"/>
      <c r="M31154" s="277"/>
      <c r="O31154" s="247"/>
      <c r="AC31154" s="247"/>
      <c r="AT31154" s="247"/>
    </row>
    <row r="31155">
      <c r="C31155" s="277"/>
      <c r="M31155" s="277"/>
      <c r="O31155" s="247"/>
      <c r="AC31155" s="247"/>
      <c r="AT31155" s="247"/>
    </row>
    <row r="31156">
      <c r="C31156" s="277"/>
      <c r="M31156" s="277"/>
      <c r="O31156" s="247"/>
      <c r="AC31156" s="247"/>
      <c r="AT31156" s="247"/>
    </row>
    <row r="31157">
      <c r="C31157" s="277"/>
      <c r="M31157" s="277"/>
      <c r="O31157" s="247"/>
      <c r="AC31157" s="247"/>
      <c r="AT31157" s="247"/>
    </row>
    <row r="31158">
      <c r="C31158" s="277"/>
      <c r="M31158" s="277"/>
      <c r="O31158" s="247"/>
      <c r="AC31158" s="247"/>
      <c r="AT31158" s="247"/>
    </row>
    <row r="31159">
      <c r="C31159" s="277"/>
      <c r="M31159" s="277"/>
      <c r="O31159" s="247"/>
      <c r="AC31159" s="247"/>
      <c r="AT31159" s="247"/>
    </row>
    <row r="31160">
      <c r="C31160" s="277"/>
      <c r="M31160" s="277"/>
      <c r="O31160" s="247"/>
      <c r="AC31160" s="247"/>
      <c r="AT31160" s="247"/>
    </row>
    <row r="31161">
      <c r="C31161" s="277"/>
      <c r="M31161" s="277"/>
      <c r="O31161" s="247"/>
      <c r="AC31161" s="247"/>
      <c r="AT31161" s="247"/>
    </row>
    <row r="31162">
      <c r="C31162" s="277"/>
      <c r="M31162" s="277"/>
      <c r="O31162" s="247"/>
      <c r="AC31162" s="247"/>
      <c r="AT31162" s="247"/>
    </row>
    <row r="31163">
      <c r="C31163" s="277"/>
      <c r="M31163" s="277"/>
      <c r="O31163" s="247"/>
      <c r="AC31163" s="247"/>
      <c r="AT31163" s="247"/>
    </row>
    <row r="31164">
      <c r="C31164" s="277"/>
      <c r="M31164" s="277"/>
      <c r="O31164" s="247"/>
      <c r="AC31164" s="247"/>
      <c r="AT31164" s="247"/>
    </row>
    <row r="31165">
      <c r="C31165" s="277"/>
      <c r="M31165" s="277"/>
      <c r="O31165" s="247"/>
      <c r="AC31165" s="247"/>
      <c r="AT31165" s="247"/>
    </row>
    <row r="31166">
      <c r="C31166" s="277"/>
      <c r="M31166" s="277"/>
      <c r="O31166" s="247"/>
      <c r="AC31166" s="247"/>
      <c r="AT31166" s="247"/>
    </row>
    <row r="31167">
      <c r="C31167" s="277"/>
      <c r="M31167" s="277"/>
      <c r="O31167" s="247"/>
      <c r="AC31167" s="247"/>
      <c r="AT31167" s="247"/>
    </row>
    <row r="31168">
      <c r="C31168" s="277"/>
      <c r="M31168" s="277"/>
      <c r="O31168" s="247"/>
      <c r="AC31168" s="247"/>
      <c r="AT31168" s="247"/>
    </row>
    <row r="31169">
      <c r="C31169" s="277"/>
      <c r="M31169" s="277"/>
      <c r="O31169" s="247"/>
      <c r="AC31169" s="247"/>
      <c r="AT31169" s="247"/>
    </row>
    <row r="31170">
      <c r="C31170" s="277"/>
      <c r="M31170" s="277"/>
      <c r="O31170" s="247"/>
      <c r="AC31170" s="247"/>
      <c r="AT31170" s="247"/>
    </row>
    <row r="31171">
      <c r="C31171" s="277"/>
      <c r="M31171" s="277"/>
      <c r="O31171" s="247"/>
      <c r="AC31171" s="247"/>
      <c r="AT31171" s="247"/>
    </row>
    <row r="31172">
      <c r="C31172" s="277"/>
      <c r="M31172" s="277"/>
      <c r="O31172" s="247"/>
      <c r="AC31172" s="247"/>
      <c r="AT31172" s="247"/>
    </row>
    <row r="31173">
      <c r="C31173" s="277"/>
      <c r="M31173" s="277"/>
      <c r="O31173" s="247"/>
      <c r="AC31173" s="247"/>
      <c r="AT31173" s="247"/>
    </row>
    <row r="31174">
      <c r="C31174" s="277"/>
      <c r="M31174" s="277"/>
      <c r="O31174" s="247"/>
      <c r="AC31174" s="247"/>
      <c r="AT31174" s="247"/>
    </row>
    <row r="31175">
      <c r="C31175" s="277"/>
      <c r="M31175" s="277"/>
      <c r="O31175" s="247"/>
      <c r="AC31175" s="247"/>
      <c r="AT31175" s="247"/>
    </row>
    <row r="31176">
      <c r="C31176" s="277"/>
      <c r="M31176" s="277"/>
      <c r="O31176" s="247"/>
      <c r="AC31176" s="247"/>
      <c r="AT31176" s="247"/>
    </row>
    <row r="31177">
      <c r="C31177" s="277"/>
      <c r="M31177" s="277"/>
      <c r="O31177" s="247"/>
      <c r="AC31177" s="247"/>
      <c r="AT31177" s="247"/>
    </row>
    <row r="31178">
      <c r="C31178" s="277"/>
      <c r="M31178" s="277"/>
      <c r="O31178" s="247"/>
      <c r="AC31178" s="247"/>
      <c r="AT31178" s="247"/>
    </row>
    <row r="31179">
      <c r="C31179" s="277"/>
      <c r="M31179" s="277"/>
      <c r="O31179" s="247"/>
      <c r="AC31179" s="247"/>
      <c r="AT31179" s="247"/>
    </row>
    <row r="31180">
      <c r="C31180" s="277"/>
      <c r="M31180" s="277"/>
      <c r="O31180" s="247"/>
      <c r="AC31180" s="247"/>
      <c r="AT31180" s="247"/>
    </row>
    <row r="31181">
      <c r="C31181" s="277"/>
      <c r="M31181" s="277"/>
      <c r="O31181" s="247"/>
      <c r="AC31181" s="247"/>
      <c r="AT31181" s="247"/>
    </row>
    <row r="31182">
      <c r="C31182" s="277"/>
      <c r="M31182" s="277"/>
      <c r="O31182" s="247"/>
      <c r="AC31182" s="247"/>
      <c r="AT31182" s="247"/>
    </row>
    <row r="31183">
      <c r="C31183" s="277"/>
      <c r="M31183" s="277"/>
      <c r="O31183" s="247"/>
      <c r="AC31183" s="247"/>
      <c r="AT31183" s="247"/>
    </row>
    <row r="31184">
      <c r="C31184" s="277"/>
      <c r="M31184" s="277"/>
      <c r="O31184" s="247"/>
      <c r="AC31184" s="247"/>
      <c r="AT31184" s="247"/>
    </row>
    <row r="31185">
      <c r="C31185" s="277"/>
      <c r="M31185" s="277"/>
      <c r="O31185" s="247"/>
      <c r="AC31185" s="247"/>
      <c r="AT31185" s="247"/>
    </row>
    <row r="31186">
      <c r="C31186" s="277"/>
      <c r="M31186" s="277"/>
      <c r="O31186" s="247"/>
      <c r="AC31186" s="247"/>
      <c r="AT31186" s="247"/>
    </row>
    <row r="31187">
      <c r="C31187" s="277"/>
      <c r="M31187" s="277"/>
      <c r="O31187" s="247"/>
      <c r="AC31187" s="247"/>
      <c r="AT31187" s="247"/>
    </row>
    <row r="31188">
      <c r="C31188" s="277"/>
      <c r="M31188" s="277"/>
      <c r="O31188" s="247"/>
      <c r="AC31188" s="247"/>
      <c r="AT31188" s="247"/>
    </row>
    <row r="31189">
      <c r="C31189" s="277"/>
      <c r="M31189" s="277"/>
      <c r="O31189" s="247"/>
      <c r="AC31189" s="247"/>
      <c r="AT31189" s="247"/>
    </row>
    <row r="31190">
      <c r="C31190" s="277"/>
      <c r="M31190" s="277"/>
      <c r="O31190" s="247"/>
      <c r="AC31190" s="247"/>
      <c r="AT31190" s="247"/>
    </row>
    <row r="31191">
      <c r="C31191" s="277"/>
      <c r="M31191" s="277"/>
      <c r="O31191" s="247"/>
      <c r="AC31191" s="247"/>
      <c r="AT31191" s="247"/>
    </row>
    <row r="31192">
      <c r="C31192" s="277"/>
      <c r="M31192" s="277"/>
      <c r="O31192" s="247"/>
      <c r="AC31192" s="247"/>
      <c r="AT31192" s="247"/>
    </row>
    <row r="31193">
      <c r="C31193" s="277"/>
      <c r="M31193" s="277"/>
      <c r="O31193" s="247"/>
      <c r="AC31193" s="247"/>
      <c r="AT31193" s="247"/>
    </row>
    <row r="31194">
      <c r="C31194" s="277"/>
      <c r="M31194" s="277"/>
      <c r="O31194" s="247"/>
      <c r="AC31194" s="247"/>
      <c r="AT31194" s="247"/>
    </row>
    <row r="31195">
      <c r="C31195" s="277"/>
      <c r="M31195" s="277"/>
      <c r="O31195" s="247"/>
      <c r="AC31195" s="247"/>
      <c r="AT31195" s="247"/>
    </row>
    <row r="31196">
      <c r="C31196" s="277"/>
      <c r="M31196" s="277"/>
      <c r="O31196" s="247"/>
      <c r="AC31196" s="247"/>
      <c r="AT31196" s="247"/>
    </row>
    <row r="31197">
      <c r="C31197" s="277"/>
      <c r="M31197" s="277"/>
      <c r="O31197" s="247"/>
      <c r="AC31197" s="247"/>
      <c r="AT31197" s="247"/>
    </row>
    <row r="31198">
      <c r="C31198" s="277"/>
      <c r="M31198" s="277"/>
      <c r="O31198" s="247"/>
      <c r="AC31198" s="247"/>
      <c r="AT31198" s="247"/>
    </row>
    <row r="31199">
      <c r="C31199" s="277"/>
      <c r="M31199" s="277"/>
      <c r="O31199" s="247"/>
      <c r="AC31199" s="247"/>
      <c r="AT31199" s="247"/>
    </row>
    <row r="31200">
      <c r="C31200" s="277"/>
      <c r="M31200" s="277"/>
      <c r="O31200" s="247"/>
      <c r="AC31200" s="247"/>
      <c r="AT31200" s="247"/>
    </row>
    <row r="31201">
      <c r="C31201" s="277"/>
      <c r="M31201" s="277"/>
      <c r="O31201" s="247"/>
      <c r="AC31201" s="247"/>
      <c r="AT31201" s="247"/>
    </row>
    <row r="31202">
      <c r="C31202" s="277"/>
      <c r="M31202" s="277"/>
      <c r="O31202" s="247"/>
      <c r="AC31202" s="247"/>
      <c r="AT31202" s="247"/>
    </row>
    <row r="31203">
      <c r="C31203" s="277"/>
      <c r="M31203" s="277"/>
      <c r="O31203" s="247"/>
      <c r="AC31203" s="247"/>
      <c r="AT31203" s="247"/>
    </row>
    <row r="31204">
      <c r="C31204" s="277"/>
      <c r="M31204" s="277"/>
      <c r="O31204" s="247"/>
      <c r="AC31204" s="247"/>
      <c r="AT31204" s="247"/>
    </row>
    <row r="31205">
      <c r="C31205" s="277"/>
      <c r="M31205" s="277"/>
      <c r="O31205" s="247"/>
      <c r="AC31205" s="247"/>
      <c r="AT31205" s="247"/>
    </row>
    <row r="31206">
      <c r="C31206" s="277"/>
      <c r="M31206" s="277"/>
      <c r="O31206" s="247"/>
      <c r="AC31206" s="247"/>
      <c r="AT31206" s="247"/>
    </row>
    <row r="31207">
      <c r="C31207" s="277"/>
      <c r="M31207" s="277"/>
      <c r="O31207" s="247"/>
      <c r="AC31207" s="247"/>
      <c r="AT31207" s="247"/>
    </row>
    <row r="31208">
      <c r="C31208" s="277"/>
      <c r="M31208" s="277"/>
      <c r="O31208" s="247"/>
      <c r="AC31208" s="247"/>
      <c r="AT31208" s="247"/>
    </row>
    <row r="31209">
      <c r="C31209" s="277"/>
      <c r="M31209" s="277"/>
      <c r="O31209" s="247"/>
      <c r="AC31209" s="247"/>
      <c r="AT31209" s="247"/>
    </row>
    <row r="31210">
      <c r="C31210" s="277"/>
      <c r="M31210" s="277"/>
      <c r="O31210" s="247"/>
      <c r="AC31210" s="247"/>
      <c r="AT31210" s="247"/>
    </row>
    <row r="31211">
      <c r="C31211" s="277"/>
      <c r="M31211" s="277"/>
      <c r="O31211" s="247"/>
      <c r="AC31211" s="247"/>
      <c r="AT31211" s="247"/>
    </row>
    <row r="31212">
      <c r="C31212" s="277"/>
      <c r="M31212" s="277"/>
      <c r="O31212" s="247"/>
      <c r="AC31212" s="247"/>
      <c r="AT31212" s="247"/>
    </row>
    <row r="31213">
      <c r="C31213" s="277"/>
      <c r="M31213" s="277"/>
      <c r="O31213" s="247"/>
      <c r="AC31213" s="247"/>
      <c r="AT31213" s="247"/>
    </row>
    <row r="31214">
      <c r="C31214" s="277"/>
      <c r="M31214" s="277"/>
      <c r="O31214" s="247"/>
      <c r="AC31214" s="247"/>
      <c r="AT31214" s="247"/>
    </row>
    <row r="31215">
      <c r="C31215" s="277"/>
      <c r="M31215" s="277"/>
      <c r="O31215" s="247"/>
      <c r="AC31215" s="247"/>
      <c r="AT31215" s="247"/>
    </row>
    <row r="31216">
      <c r="C31216" s="277"/>
      <c r="M31216" s="277"/>
      <c r="O31216" s="247"/>
      <c r="AC31216" s="247"/>
      <c r="AT31216" s="247"/>
    </row>
    <row r="31217">
      <c r="C31217" s="277"/>
      <c r="M31217" s="277"/>
      <c r="O31217" s="247"/>
      <c r="AC31217" s="247"/>
      <c r="AT31217" s="247"/>
    </row>
    <row r="31218">
      <c r="C31218" s="277"/>
      <c r="M31218" s="277"/>
      <c r="O31218" s="247"/>
      <c r="AC31218" s="247"/>
      <c r="AT31218" s="247"/>
    </row>
    <row r="31219">
      <c r="C31219" s="277"/>
      <c r="M31219" s="277"/>
      <c r="O31219" s="247"/>
      <c r="AC31219" s="247"/>
      <c r="AT31219" s="247"/>
    </row>
    <row r="31220">
      <c r="C31220" s="277"/>
      <c r="M31220" s="277"/>
      <c r="O31220" s="247"/>
      <c r="AC31220" s="247"/>
      <c r="AT31220" s="247"/>
    </row>
    <row r="31221">
      <c r="C31221" s="277"/>
      <c r="M31221" s="277"/>
      <c r="O31221" s="247"/>
      <c r="AC31221" s="247"/>
      <c r="AT31221" s="247"/>
    </row>
    <row r="31222">
      <c r="C31222" s="277"/>
      <c r="M31222" s="277"/>
      <c r="O31222" s="247"/>
      <c r="AC31222" s="247"/>
      <c r="AT31222" s="247"/>
    </row>
    <row r="31223">
      <c r="C31223" s="277"/>
      <c r="M31223" s="277"/>
      <c r="O31223" s="247"/>
      <c r="AC31223" s="247"/>
      <c r="AT31223" s="247"/>
    </row>
    <row r="31224">
      <c r="C31224" s="277"/>
      <c r="M31224" s="277"/>
      <c r="O31224" s="247"/>
      <c r="AC31224" s="247"/>
      <c r="AT31224" s="247"/>
    </row>
    <row r="31225">
      <c r="C31225" s="277"/>
      <c r="M31225" s="277"/>
      <c r="O31225" s="247"/>
      <c r="AC31225" s="247"/>
      <c r="AT31225" s="247"/>
    </row>
    <row r="31226">
      <c r="C31226" s="277"/>
      <c r="M31226" s="277"/>
      <c r="O31226" s="247"/>
      <c r="AC31226" s="247"/>
      <c r="AT31226" s="247"/>
    </row>
    <row r="31227">
      <c r="C31227" s="277"/>
      <c r="M31227" s="277"/>
      <c r="O31227" s="247"/>
      <c r="AC31227" s="247"/>
      <c r="AT31227" s="247"/>
    </row>
    <row r="31228">
      <c r="C31228" s="277"/>
      <c r="M31228" s="277"/>
      <c r="O31228" s="247"/>
      <c r="AC31228" s="247"/>
      <c r="AT31228" s="247"/>
    </row>
    <row r="31229">
      <c r="C31229" s="277"/>
      <c r="M31229" s="277"/>
      <c r="O31229" s="247"/>
      <c r="AC31229" s="247"/>
      <c r="AT31229" s="247"/>
    </row>
    <row r="31230">
      <c r="C31230" s="277"/>
      <c r="M31230" s="277"/>
      <c r="O31230" s="247"/>
      <c r="AC31230" s="247"/>
      <c r="AT31230" s="247"/>
    </row>
    <row r="31231">
      <c r="C31231" s="277"/>
      <c r="M31231" s="277"/>
      <c r="O31231" s="247"/>
      <c r="AC31231" s="247"/>
      <c r="AT31231" s="247"/>
    </row>
    <row r="31232">
      <c r="C31232" s="277"/>
      <c r="M31232" s="277"/>
      <c r="O31232" s="247"/>
      <c r="AC31232" s="247"/>
      <c r="AT31232" s="247"/>
    </row>
    <row r="31233">
      <c r="C31233" s="277"/>
      <c r="M31233" s="277"/>
      <c r="O31233" s="247"/>
      <c r="AC31233" s="247"/>
      <c r="AT31233" s="247"/>
    </row>
    <row r="31234">
      <c r="C31234" s="277"/>
      <c r="M31234" s="277"/>
      <c r="O31234" s="247"/>
      <c r="AC31234" s="247"/>
      <c r="AT31234" s="247"/>
    </row>
    <row r="31235">
      <c r="C31235" s="277"/>
      <c r="M31235" s="277"/>
      <c r="O31235" s="247"/>
      <c r="AC31235" s="247"/>
      <c r="AT31235" s="247"/>
    </row>
    <row r="31236">
      <c r="C31236" s="277"/>
      <c r="M31236" s="277"/>
      <c r="O31236" s="247"/>
      <c r="AC31236" s="247"/>
      <c r="AT31236" s="247"/>
    </row>
    <row r="31237">
      <c r="C31237" s="277"/>
      <c r="M31237" s="277"/>
      <c r="O31237" s="247"/>
      <c r="AC31237" s="247"/>
      <c r="AT31237" s="247"/>
    </row>
    <row r="31238">
      <c r="C31238" s="277"/>
      <c r="M31238" s="277"/>
      <c r="O31238" s="247"/>
      <c r="AC31238" s="247"/>
      <c r="AT31238" s="247"/>
    </row>
    <row r="31239">
      <c r="C31239" s="277"/>
      <c r="M31239" s="277"/>
      <c r="O31239" s="247"/>
      <c r="AC31239" s="247"/>
      <c r="AT31239" s="247"/>
    </row>
    <row r="31240">
      <c r="C31240" s="277"/>
      <c r="M31240" s="277"/>
      <c r="O31240" s="247"/>
      <c r="AC31240" s="247"/>
      <c r="AT31240" s="247"/>
    </row>
    <row r="31241">
      <c r="C31241" s="277"/>
      <c r="M31241" s="277"/>
      <c r="O31241" s="247"/>
      <c r="AC31241" s="247"/>
      <c r="AT31241" s="247"/>
    </row>
    <row r="31242">
      <c r="C31242" s="277"/>
      <c r="M31242" s="277"/>
      <c r="O31242" s="247"/>
      <c r="AC31242" s="247"/>
      <c r="AT31242" s="247"/>
    </row>
    <row r="31243">
      <c r="C31243" s="277"/>
      <c r="M31243" s="277"/>
      <c r="O31243" s="247"/>
      <c r="AC31243" s="247"/>
      <c r="AT31243" s="247"/>
    </row>
    <row r="31244">
      <c r="C31244" s="277"/>
      <c r="M31244" s="277"/>
      <c r="O31244" s="247"/>
      <c r="AC31244" s="247"/>
      <c r="AT31244" s="247"/>
    </row>
    <row r="31245">
      <c r="C31245" s="277"/>
      <c r="M31245" s="277"/>
      <c r="O31245" s="247"/>
      <c r="AC31245" s="247"/>
      <c r="AT31245" s="247"/>
    </row>
    <row r="31246">
      <c r="C31246" s="277"/>
      <c r="M31246" s="277"/>
      <c r="O31246" s="247"/>
      <c r="AC31246" s="247"/>
      <c r="AT31246" s="247"/>
    </row>
    <row r="31247">
      <c r="C31247" s="277"/>
      <c r="M31247" s="277"/>
      <c r="O31247" s="247"/>
      <c r="AC31247" s="247"/>
      <c r="AT31247" s="247"/>
    </row>
    <row r="31248">
      <c r="C31248" s="277"/>
      <c r="M31248" s="277"/>
      <c r="O31248" s="247"/>
      <c r="AC31248" s="247"/>
      <c r="AT31248" s="247"/>
    </row>
    <row r="31249">
      <c r="C31249" s="277"/>
      <c r="M31249" s="277"/>
      <c r="O31249" s="247"/>
      <c r="AC31249" s="247"/>
      <c r="AT31249" s="247"/>
    </row>
    <row r="31250">
      <c r="C31250" s="277"/>
      <c r="M31250" s="277"/>
      <c r="O31250" s="247"/>
      <c r="AC31250" s="247"/>
      <c r="AT31250" s="247"/>
    </row>
    <row r="31251">
      <c r="C31251" s="277"/>
      <c r="M31251" s="277"/>
      <c r="O31251" s="247"/>
      <c r="AC31251" s="247"/>
      <c r="AT31251" s="247"/>
    </row>
    <row r="31252">
      <c r="C31252" s="277"/>
      <c r="M31252" s="277"/>
      <c r="O31252" s="247"/>
      <c r="AC31252" s="247"/>
      <c r="AT31252" s="247"/>
    </row>
    <row r="31253">
      <c r="C31253" s="277"/>
      <c r="M31253" s="277"/>
      <c r="O31253" s="247"/>
      <c r="AC31253" s="247"/>
      <c r="AT31253" s="247"/>
    </row>
    <row r="31254">
      <c r="C31254" s="277"/>
      <c r="M31254" s="277"/>
      <c r="O31254" s="247"/>
      <c r="AC31254" s="247"/>
      <c r="AT31254" s="247"/>
    </row>
    <row r="31255">
      <c r="C31255" s="277"/>
      <c r="M31255" s="277"/>
      <c r="O31255" s="247"/>
      <c r="AC31255" s="247"/>
      <c r="AT31255" s="247"/>
    </row>
    <row r="31256">
      <c r="C31256" s="277"/>
      <c r="M31256" s="277"/>
      <c r="O31256" s="247"/>
      <c r="AC31256" s="247"/>
      <c r="AT31256" s="247"/>
    </row>
    <row r="31257">
      <c r="C31257" s="277"/>
      <c r="M31257" s="277"/>
      <c r="O31257" s="247"/>
      <c r="AC31257" s="247"/>
      <c r="AT31257" s="247"/>
    </row>
    <row r="31258">
      <c r="C31258" s="277"/>
      <c r="M31258" s="277"/>
      <c r="O31258" s="247"/>
      <c r="AC31258" s="247"/>
      <c r="AT31258" s="247"/>
    </row>
    <row r="31259">
      <c r="C31259" s="277"/>
      <c r="M31259" s="277"/>
      <c r="O31259" s="247"/>
      <c r="AC31259" s="247"/>
      <c r="AT31259" s="247"/>
    </row>
    <row r="31260">
      <c r="C31260" s="277"/>
      <c r="M31260" s="277"/>
      <c r="O31260" s="247"/>
      <c r="AC31260" s="247"/>
      <c r="AT31260" s="247"/>
    </row>
    <row r="31261">
      <c r="C31261" s="277"/>
      <c r="M31261" s="277"/>
      <c r="O31261" s="247"/>
      <c r="AC31261" s="247"/>
      <c r="AT31261" s="247"/>
    </row>
    <row r="31262">
      <c r="C31262" s="277"/>
      <c r="M31262" s="277"/>
      <c r="O31262" s="247"/>
      <c r="AC31262" s="247"/>
      <c r="AT31262" s="247"/>
    </row>
    <row r="31263">
      <c r="C31263" s="277"/>
      <c r="M31263" s="277"/>
      <c r="O31263" s="247"/>
      <c r="AC31263" s="247"/>
      <c r="AT31263" s="247"/>
    </row>
    <row r="31264">
      <c r="C31264" s="277"/>
      <c r="M31264" s="277"/>
      <c r="O31264" s="247"/>
      <c r="AC31264" s="247"/>
      <c r="AT31264" s="247"/>
    </row>
    <row r="31265">
      <c r="C31265" s="277"/>
      <c r="M31265" s="277"/>
      <c r="O31265" s="247"/>
      <c r="AC31265" s="247"/>
      <c r="AT31265" s="247"/>
    </row>
    <row r="31266">
      <c r="C31266" s="277"/>
      <c r="M31266" s="277"/>
      <c r="O31266" s="247"/>
      <c r="AC31266" s="247"/>
      <c r="AT31266" s="247"/>
    </row>
    <row r="31267">
      <c r="C31267" s="277"/>
      <c r="M31267" s="277"/>
      <c r="O31267" s="247"/>
      <c r="AC31267" s="247"/>
      <c r="AT31267" s="247"/>
    </row>
    <row r="31268">
      <c r="C31268" s="277"/>
      <c r="M31268" s="277"/>
      <c r="O31268" s="247"/>
      <c r="AC31268" s="247"/>
      <c r="AT31268" s="247"/>
    </row>
    <row r="31269">
      <c r="C31269" s="277"/>
      <c r="M31269" s="277"/>
      <c r="O31269" s="247"/>
      <c r="AC31269" s="247"/>
      <c r="AT31269" s="247"/>
    </row>
    <row r="31270">
      <c r="C31270" s="277"/>
      <c r="M31270" s="277"/>
      <c r="O31270" s="247"/>
      <c r="AC31270" s="247"/>
      <c r="AT31270" s="247"/>
    </row>
    <row r="31271">
      <c r="C31271" s="277"/>
      <c r="M31271" s="277"/>
      <c r="O31271" s="247"/>
      <c r="AC31271" s="247"/>
      <c r="AT31271" s="247"/>
    </row>
    <row r="31272">
      <c r="C31272" s="277"/>
      <c r="M31272" s="277"/>
      <c r="O31272" s="247"/>
      <c r="AC31272" s="247"/>
      <c r="AT31272" s="247"/>
    </row>
    <row r="31273">
      <c r="C31273" s="277"/>
      <c r="M31273" s="277"/>
      <c r="O31273" s="247"/>
      <c r="AC31273" s="247"/>
      <c r="AT31273" s="247"/>
    </row>
    <row r="31274">
      <c r="C31274" s="277"/>
      <c r="M31274" s="277"/>
      <c r="O31274" s="247"/>
      <c r="AC31274" s="247"/>
      <c r="AT31274" s="247"/>
    </row>
    <row r="31275">
      <c r="C31275" s="277"/>
      <c r="M31275" s="277"/>
      <c r="O31275" s="247"/>
      <c r="AC31275" s="247"/>
      <c r="AT31275" s="247"/>
    </row>
    <row r="31276">
      <c r="C31276" s="277"/>
      <c r="M31276" s="277"/>
      <c r="O31276" s="247"/>
      <c r="AC31276" s="247"/>
      <c r="AT31276" s="247"/>
    </row>
    <row r="31277">
      <c r="C31277" s="277"/>
      <c r="M31277" s="277"/>
      <c r="O31277" s="247"/>
      <c r="AC31277" s="247"/>
      <c r="AT31277" s="247"/>
    </row>
    <row r="31278">
      <c r="C31278" s="277"/>
      <c r="M31278" s="277"/>
      <c r="O31278" s="247"/>
      <c r="AC31278" s="247"/>
      <c r="AT31278" s="247"/>
    </row>
    <row r="31279">
      <c r="C31279" s="277"/>
      <c r="M31279" s="277"/>
      <c r="O31279" s="247"/>
      <c r="AC31279" s="247"/>
      <c r="AT31279" s="247"/>
    </row>
    <row r="31280">
      <c r="C31280" s="277"/>
      <c r="M31280" s="277"/>
      <c r="O31280" s="247"/>
      <c r="AC31280" s="247"/>
      <c r="AT31280" s="247"/>
    </row>
    <row r="31281">
      <c r="C31281" s="277"/>
      <c r="M31281" s="277"/>
      <c r="O31281" s="247"/>
      <c r="AC31281" s="247"/>
      <c r="AT31281" s="247"/>
    </row>
    <row r="31282">
      <c r="C31282" s="277"/>
      <c r="M31282" s="277"/>
      <c r="O31282" s="247"/>
      <c r="AC31282" s="247"/>
      <c r="AT31282" s="247"/>
    </row>
    <row r="31283">
      <c r="C31283" s="277"/>
      <c r="M31283" s="277"/>
      <c r="O31283" s="247"/>
      <c r="AC31283" s="247"/>
      <c r="AT31283" s="247"/>
    </row>
    <row r="31284">
      <c r="C31284" s="277"/>
      <c r="M31284" s="277"/>
      <c r="O31284" s="247"/>
      <c r="AC31284" s="247"/>
      <c r="AT31284" s="247"/>
    </row>
    <row r="31285">
      <c r="C31285" s="277"/>
      <c r="M31285" s="277"/>
      <c r="O31285" s="247"/>
      <c r="AC31285" s="247"/>
      <c r="AT31285" s="247"/>
    </row>
    <row r="31286">
      <c r="C31286" s="277"/>
      <c r="M31286" s="277"/>
      <c r="O31286" s="247"/>
      <c r="AC31286" s="247"/>
      <c r="AT31286" s="247"/>
    </row>
    <row r="31287">
      <c r="C31287" s="277"/>
      <c r="M31287" s="277"/>
      <c r="O31287" s="247"/>
      <c r="AC31287" s="247"/>
      <c r="AT31287" s="247"/>
    </row>
    <row r="31288">
      <c r="C31288" s="277"/>
      <c r="M31288" s="277"/>
      <c r="O31288" s="247"/>
      <c r="AC31288" s="247"/>
      <c r="AT31288" s="247"/>
    </row>
    <row r="31289">
      <c r="C31289" s="277"/>
      <c r="M31289" s="277"/>
      <c r="O31289" s="247"/>
      <c r="AC31289" s="247"/>
      <c r="AT31289" s="247"/>
    </row>
    <row r="31290">
      <c r="C31290" s="277"/>
      <c r="M31290" s="277"/>
      <c r="O31290" s="247"/>
      <c r="AC31290" s="247"/>
      <c r="AT31290" s="247"/>
    </row>
    <row r="31291">
      <c r="C31291" s="277"/>
      <c r="M31291" s="277"/>
      <c r="O31291" s="247"/>
      <c r="AC31291" s="247"/>
      <c r="AT31291" s="247"/>
    </row>
    <row r="31292">
      <c r="C31292" s="277"/>
      <c r="M31292" s="277"/>
      <c r="O31292" s="247"/>
      <c r="AC31292" s="247"/>
      <c r="AT31292" s="247"/>
    </row>
    <row r="31293">
      <c r="C31293" s="277"/>
      <c r="M31293" s="277"/>
      <c r="O31293" s="247"/>
      <c r="AC31293" s="247"/>
      <c r="AT31293" s="247"/>
    </row>
    <row r="31294">
      <c r="C31294" s="277"/>
      <c r="M31294" s="277"/>
      <c r="O31294" s="247"/>
      <c r="AC31294" s="247"/>
      <c r="AT31294" s="247"/>
    </row>
    <row r="31295">
      <c r="C31295" s="277"/>
      <c r="M31295" s="277"/>
      <c r="O31295" s="247"/>
      <c r="AC31295" s="247"/>
      <c r="AT31295" s="247"/>
    </row>
    <row r="31296">
      <c r="C31296" s="277"/>
      <c r="M31296" s="277"/>
      <c r="O31296" s="247"/>
      <c r="AC31296" s="247"/>
      <c r="AT31296" s="247"/>
    </row>
    <row r="31297">
      <c r="C31297" s="277"/>
      <c r="M31297" s="277"/>
      <c r="O31297" s="247"/>
      <c r="AC31297" s="247"/>
      <c r="AT31297" s="247"/>
    </row>
    <row r="31298">
      <c r="C31298" s="277"/>
      <c r="M31298" s="277"/>
      <c r="O31298" s="247"/>
      <c r="AC31298" s="247"/>
      <c r="AT31298" s="247"/>
    </row>
    <row r="31299">
      <c r="C31299" s="277"/>
      <c r="M31299" s="277"/>
      <c r="O31299" s="247"/>
      <c r="AC31299" s="247"/>
      <c r="AT31299" s="247"/>
    </row>
    <row r="31300">
      <c r="C31300" s="277"/>
      <c r="M31300" s="277"/>
      <c r="O31300" s="247"/>
      <c r="AC31300" s="247"/>
      <c r="AT31300" s="247"/>
    </row>
    <row r="31301">
      <c r="C31301" s="277"/>
      <c r="M31301" s="277"/>
      <c r="O31301" s="247"/>
      <c r="AC31301" s="247"/>
      <c r="AT31301" s="247"/>
    </row>
    <row r="31302">
      <c r="C31302" s="277"/>
      <c r="M31302" s="277"/>
      <c r="O31302" s="247"/>
      <c r="AC31302" s="247"/>
      <c r="AT31302" s="247"/>
    </row>
    <row r="31303">
      <c r="C31303" s="277"/>
      <c r="M31303" s="277"/>
      <c r="O31303" s="247"/>
      <c r="AC31303" s="247"/>
      <c r="AT31303" s="247"/>
    </row>
    <row r="31304">
      <c r="C31304" s="277"/>
      <c r="M31304" s="277"/>
      <c r="O31304" s="247"/>
      <c r="AC31304" s="247"/>
      <c r="AT31304" s="247"/>
    </row>
    <row r="31305">
      <c r="C31305" s="277"/>
      <c r="M31305" s="277"/>
      <c r="O31305" s="247"/>
      <c r="AC31305" s="247"/>
      <c r="AT31305" s="247"/>
    </row>
    <row r="31306">
      <c r="C31306" s="277"/>
      <c r="M31306" s="277"/>
      <c r="O31306" s="247"/>
      <c r="AC31306" s="247"/>
      <c r="AT31306" s="247"/>
    </row>
    <row r="31307">
      <c r="C31307" s="277"/>
      <c r="M31307" s="277"/>
      <c r="O31307" s="247"/>
      <c r="AC31307" s="247"/>
      <c r="AT31307" s="247"/>
    </row>
    <row r="31308">
      <c r="C31308" s="277"/>
      <c r="M31308" s="277"/>
      <c r="O31308" s="247"/>
      <c r="AC31308" s="247"/>
      <c r="AT31308" s="247"/>
    </row>
    <row r="31309">
      <c r="C31309" s="277"/>
      <c r="M31309" s="277"/>
      <c r="O31309" s="247"/>
      <c r="AC31309" s="247"/>
      <c r="AT31309" s="247"/>
    </row>
    <row r="31310">
      <c r="C31310" s="277"/>
      <c r="M31310" s="277"/>
      <c r="O31310" s="247"/>
      <c r="AC31310" s="247"/>
      <c r="AT31310" s="247"/>
    </row>
    <row r="31311">
      <c r="C31311" s="277"/>
      <c r="M31311" s="277"/>
      <c r="O31311" s="247"/>
      <c r="AC31311" s="247"/>
      <c r="AT31311" s="247"/>
    </row>
    <row r="31312">
      <c r="C31312" s="277"/>
      <c r="M31312" s="277"/>
      <c r="O31312" s="247"/>
      <c r="AC31312" s="247"/>
      <c r="AT31312" s="247"/>
    </row>
    <row r="31313">
      <c r="C31313" s="277"/>
      <c r="M31313" s="277"/>
      <c r="O31313" s="247"/>
      <c r="AC31313" s="247"/>
      <c r="AT31313" s="247"/>
    </row>
    <row r="31314">
      <c r="C31314" s="277"/>
      <c r="M31314" s="277"/>
      <c r="O31314" s="247"/>
      <c r="AC31314" s="247"/>
      <c r="AT31314" s="247"/>
    </row>
    <row r="31315">
      <c r="C31315" s="277"/>
      <c r="M31315" s="277"/>
      <c r="O31315" s="247"/>
      <c r="AC31315" s="247"/>
      <c r="AT31315" s="247"/>
    </row>
    <row r="31316">
      <c r="C31316" s="277"/>
      <c r="M31316" s="277"/>
      <c r="O31316" s="247"/>
      <c r="AC31316" s="247"/>
      <c r="AT31316" s="247"/>
    </row>
    <row r="31317">
      <c r="C31317" s="277"/>
      <c r="M31317" s="277"/>
      <c r="O31317" s="247"/>
      <c r="AC31317" s="247"/>
      <c r="AT31317" s="247"/>
    </row>
    <row r="31318">
      <c r="C31318" s="277"/>
      <c r="M31318" s="277"/>
      <c r="O31318" s="247"/>
      <c r="AC31318" s="247"/>
      <c r="AT31318" s="247"/>
    </row>
    <row r="31319">
      <c r="C31319" s="277"/>
      <c r="M31319" s="277"/>
      <c r="O31319" s="247"/>
      <c r="AC31319" s="247"/>
      <c r="AT31319" s="247"/>
    </row>
    <row r="31320">
      <c r="C31320" s="277"/>
      <c r="M31320" s="277"/>
      <c r="O31320" s="247"/>
      <c r="AC31320" s="247"/>
      <c r="AT31320" s="247"/>
    </row>
    <row r="31321">
      <c r="C31321" s="277"/>
      <c r="M31321" s="277"/>
      <c r="O31321" s="247"/>
      <c r="AC31321" s="247"/>
      <c r="AT31321" s="247"/>
    </row>
    <row r="31322">
      <c r="C31322" s="277"/>
      <c r="M31322" s="277"/>
      <c r="O31322" s="247"/>
      <c r="AC31322" s="247"/>
      <c r="AT31322" s="247"/>
    </row>
    <row r="31323">
      <c r="C31323" s="277"/>
      <c r="M31323" s="277"/>
      <c r="O31323" s="247"/>
      <c r="AC31323" s="247"/>
      <c r="AT31323" s="247"/>
    </row>
    <row r="31324">
      <c r="C31324" s="277"/>
      <c r="M31324" s="277"/>
      <c r="O31324" s="247"/>
      <c r="AC31324" s="247"/>
      <c r="AT31324" s="247"/>
    </row>
    <row r="31325">
      <c r="C31325" s="277"/>
      <c r="M31325" s="277"/>
      <c r="O31325" s="247"/>
      <c r="AC31325" s="247"/>
      <c r="AT31325" s="247"/>
    </row>
    <row r="31326">
      <c r="C31326" s="277"/>
      <c r="M31326" s="277"/>
      <c r="O31326" s="247"/>
      <c r="AC31326" s="247"/>
      <c r="AT31326" s="247"/>
    </row>
    <row r="31327">
      <c r="C31327" s="277"/>
      <c r="M31327" s="277"/>
      <c r="O31327" s="247"/>
      <c r="AC31327" s="247"/>
      <c r="AT31327" s="247"/>
    </row>
    <row r="31328">
      <c r="C31328" s="277"/>
      <c r="M31328" s="277"/>
      <c r="O31328" s="247"/>
      <c r="AC31328" s="247"/>
      <c r="AT31328" s="247"/>
    </row>
    <row r="31329">
      <c r="C31329" s="277"/>
      <c r="M31329" s="277"/>
      <c r="O31329" s="247"/>
      <c r="AC31329" s="247"/>
      <c r="AT31329" s="247"/>
    </row>
    <row r="31330">
      <c r="C31330" s="277"/>
      <c r="M31330" s="277"/>
      <c r="O31330" s="247"/>
      <c r="AC31330" s="247"/>
      <c r="AT31330" s="247"/>
    </row>
    <row r="31331">
      <c r="C31331" s="277"/>
      <c r="M31331" s="277"/>
      <c r="O31331" s="247"/>
      <c r="AC31331" s="247"/>
      <c r="AT31331" s="247"/>
    </row>
    <row r="31332">
      <c r="C31332" s="277"/>
      <c r="M31332" s="277"/>
      <c r="O31332" s="247"/>
      <c r="AC31332" s="247"/>
      <c r="AT31332" s="247"/>
    </row>
    <row r="31333">
      <c r="C31333" s="277"/>
      <c r="M31333" s="277"/>
      <c r="O31333" s="247"/>
      <c r="AC31333" s="247"/>
      <c r="AT31333" s="247"/>
    </row>
    <row r="31334">
      <c r="C31334" s="277"/>
      <c r="M31334" s="277"/>
      <c r="O31334" s="247"/>
      <c r="AC31334" s="247"/>
      <c r="AT31334" s="247"/>
    </row>
    <row r="31335">
      <c r="C31335" s="277"/>
      <c r="M31335" s="277"/>
      <c r="O31335" s="247"/>
      <c r="AC31335" s="247"/>
      <c r="AT31335" s="247"/>
    </row>
    <row r="31336">
      <c r="C31336" s="277"/>
      <c r="M31336" s="277"/>
      <c r="O31336" s="247"/>
      <c r="AC31336" s="247"/>
      <c r="AT31336" s="247"/>
    </row>
    <row r="31337">
      <c r="C31337" s="277"/>
      <c r="M31337" s="277"/>
      <c r="O31337" s="247"/>
      <c r="AC31337" s="247"/>
      <c r="AT31337" s="247"/>
    </row>
    <row r="31338">
      <c r="C31338" s="277"/>
      <c r="M31338" s="277"/>
      <c r="O31338" s="247"/>
      <c r="AC31338" s="247"/>
      <c r="AT31338" s="247"/>
    </row>
    <row r="31339">
      <c r="C31339" s="277"/>
      <c r="M31339" s="277"/>
      <c r="O31339" s="247"/>
      <c r="AC31339" s="247"/>
      <c r="AT31339" s="247"/>
    </row>
    <row r="31340">
      <c r="C31340" s="277"/>
      <c r="M31340" s="277"/>
      <c r="O31340" s="247"/>
      <c r="AC31340" s="247"/>
      <c r="AT31340" s="247"/>
    </row>
    <row r="31341">
      <c r="C31341" s="277"/>
      <c r="M31341" s="277"/>
      <c r="O31341" s="247"/>
      <c r="AC31341" s="247"/>
      <c r="AT31341" s="247"/>
    </row>
    <row r="31342">
      <c r="C31342" s="277"/>
      <c r="M31342" s="277"/>
      <c r="O31342" s="247"/>
      <c r="AC31342" s="247"/>
      <c r="AT31342" s="247"/>
    </row>
    <row r="31343">
      <c r="C31343" s="277"/>
      <c r="M31343" s="277"/>
      <c r="O31343" s="247"/>
      <c r="AC31343" s="247"/>
      <c r="AT31343" s="247"/>
    </row>
    <row r="31344">
      <c r="C31344" s="277"/>
      <c r="M31344" s="277"/>
      <c r="O31344" s="247"/>
      <c r="AC31344" s="247"/>
      <c r="AT31344" s="247"/>
    </row>
    <row r="31345">
      <c r="C31345" s="277"/>
      <c r="M31345" s="277"/>
      <c r="O31345" s="247"/>
      <c r="AC31345" s="247"/>
      <c r="AT31345" s="247"/>
    </row>
    <row r="31346">
      <c r="C31346" s="277"/>
      <c r="M31346" s="277"/>
      <c r="O31346" s="247"/>
      <c r="AC31346" s="247"/>
      <c r="AT31346" s="247"/>
    </row>
    <row r="31347">
      <c r="C31347" s="277"/>
      <c r="M31347" s="277"/>
      <c r="O31347" s="247"/>
      <c r="AC31347" s="247"/>
      <c r="AT31347" s="247"/>
    </row>
    <row r="31348">
      <c r="C31348" s="277"/>
      <c r="M31348" s="277"/>
      <c r="O31348" s="247"/>
      <c r="AC31348" s="247"/>
      <c r="AT31348" s="247"/>
    </row>
    <row r="31349">
      <c r="C31349" s="277"/>
      <c r="M31349" s="277"/>
      <c r="O31349" s="247"/>
      <c r="AC31349" s="247"/>
      <c r="AT31349" s="247"/>
    </row>
    <row r="31350">
      <c r="C31350" s="277"/>
      <c r="M31350" s="277"/>
      <c r="O31350" s="247"/>
      <c r="AC31350" s="247"/>
      <c r="AT31350" s="247"/>
    </row>
    <row r="31351">
      <c r="C31351" s="277"/>
      <c r="M31351" s="277"/>
      <c r="O31351" s="247"/>
      <c r="AC31351" s="247"/>
      <c r="AT31351" s="247"/>
    </row>
    <row r="31352">
      <c r="C31352" s="277"/>
      <c r="M31352" s="277"/>
      <c r="O31352" s="247"/>
      <c r="AC31352" s="247"/>
      <c r="AT31352" s="247"/>
    </row>
    <row r="31353">
      <c r="C31353" s="277"/>
      <c r="M31353" s="277"/>
      <c r="O31353" s="247"/>
      <c r="AC31353" s="247"/>
      <c r="AT31353" s="247"/>
    </row>
    <row r="31354">
      <c r="C31354" s="277"/>
      <c r="M31354" s="277"/>
      <c r="O31354" s="247"/>
      <c r="AC31354" s="247"/>
      <c r="AT31354" s="247"/>
    </row>
    <row r="31355">
      <c r="C31355" s="277"/>
      <c r="M31355" s="277"/>
      <c r="O31355" s="247"/>
      <c r="AC31355" s="247"/>
      <c r="AT31355" s="247"/>
    </row>
    <row r="31356">
      <c r="C31356" s="277"/>
      <c r="M31356" s="277"/>
      <c r="O31356" s="247"/>
      <c r="AC31356" s="247"/>
      <c r="AT31356" s="247"/>
    </row>
    <row r="31357">
      <c r="C31357" s="277"/>
      <c r="M31357" s="277"/>
      <c r="O31357" s="247"/>
      <c r="AC31357" s="247"/>
      <c r="AT31357" s="247"/>
    </row>
    <row r="31358">
      <c r="C31358" s="277"/>
      <c r="M31358" s="277"/>
      <c r="O31358" s="247"/>
      <c r="AC31358" s="247"/>
      <c r="AT31358" s="247"/>
    </row>
    <row r="31359">
      <c r="C31359" s="277"/>
      <c r="M31359" s="277"/>
      <c r="O31359" s="247"/>
      <c r="AC31359" s="247"/>
      <c r="AT31359" s="247"/>
    </row>
    <row r="31360">
      <c r="C31360" s="277"/>
      <c r="M31360" s="277"/>
      <c r="O31360" s="247"/>
      <c r="AC31360" s="247"/>
      <c r="AT31360" s="247"/>
    </row>
    <row r="31361">
      <c r="C31361" s="277"/>
      <c r="M31361" s="277"/>
      <c r="O31361" s="247"/>
      <c r="AC31361" s="247"/>
      <c r="AT31361" s="247"/>
    </row>
    <row r="31362">
      <c r="C31362" s="277"/>
      <c r="M31362" s="277"/>
      <c r="O31362" s="247"/>
      <c r="AC31362" s="247"/>
      <c r="AT31362" s="247"/>
    </row>
    <row r="31363">
      <c r="C31363" s="277"/>
      <c r="M31363" s="277"/>
      <c r="O31363" s="247"/>
      <c r="AC31363" s="247"/>
      <c r="AT31363" s="247"/>
    </row>
    <row r="31364">
      <c r="C31364" s="277"/>
      <c r="M31364" s="277"/>
      <c r="O31364" s="247"/>
      <c r="AC31364" s="247"/>
      <c r="AT31364" s="247"/>
    </row>
    <row r="31365">
      <c r="C31365" s="277"/>
      <c r="M31365" s="277"/>
      <c r="O31365" s="247"/>
      <c r="AC31365" s="247"/>
      <c r="AT31365" s="247"/>
    </row>
    <row r="31366">
      <c r="C31366" s="277"/>
      <c r="M31366" s="277"/>
      <c r="O31366" s="247"/>
      <c r="AC31366" s="247"/>
      <c r="AT31366" s="247"/>
    </row>
    <row r="31367">
      <c r="C31367" s="277"/>
      <c r="M31367" s="277"/>
      <c r="O31367" s="247"/>
      <c r="AC31367" s="247"/>
      <c r="AT31367" s="247"/>
    </row>
    <row r="31368">
      <c r="C31368" s="277"/>
      <c r="M31368" s="277"/>
      <c r="O31368" s="247"/>
      <c r="AC31368" s="247"/>
      <c r="AT31368" s="247"/>
    </row>
    <row r="31369">
      <c r="C31369" s="277"/>
      <c r="M31369" s="277"/>
      <c r="O31369" s="247"/>
      <c r="AC31369" s="247"/>
      <c r="AT31369" s="247"/>
    </row>
    <row r="31370">
      <c r="C31370" s="277"/>
      <c r="M31370" s="277"/>
      <c r="O31370" s="247"/>
      <c r="AC31370" s="247"/>
      <c r="AT31370" s="247"/>
    </row>
    <row r="31371">
      <c r="C31371" s="277"/>
      <c r="M31371" s="277"/>
      <c r="O31371" s="247"/>
      <c r="AC31371" s="247"/>
      <c r="AT31371" s="247"/>
    </row>
    <row r="31372">
      <c r="C31372" s="277"/>
      <c r="M31372" s="277"/>
      <c r="O31372" s="247"/>
      <c r="AC31372" s="247"/>
      <c r="AT31372" s="247"/>
    </row>
    <row r="31373">
      <c r="C31373" s="277"/>
      <c r="M31373" s="277"/>
      <c r="O31373" s="247"/>
      <c r="AC31373" s="247"/>
      <c r="AT31373" s="247"/>
    </row>
    <row r="31374">
      <c r="C31374" s="277"/>
      <c r="M31374" s="277"/>
      <c r="O31374" s="247"/>
      <c r="AC31374" s="247"/>
      <c r="AT31374" s="247"/>
    </row>
    <row r="31375">
      <c r="C31375" s="277"/>
      <c r="M31375" s="277"/>
      <c r="O31375" s="247"/>
      <c r="AC31375" s="247"/>
      <c r="AT31375" s="247"/>
    </row>
    <row r="31376">
      <c r="C31376" s="277"/>
      <c r="M31376" s="277"/>
      <c r="O31376" s="247"/>
      <c r="AC31376" s="247"/>
      <c r="AT31376" s="247"/>
    </row>
    <row r="31377">
      <c r="C31377" s="277"/>
      <c r="M31377" s="277"/>
      <c r="O31377" s="247"/>
      <c r="AC31377" s="247"/>
      <c r="AT31377" s="247"/>
    </row>
    <row r="31378">
      <c r="C31378" s="277"/>
      <c r="M31378" s="277"/>
      <c r="O31378" s="247"/>
      <c r="AC31378" s="247"/>
      <c r="AT31378" s="247"/>
    </row>
    <row r="31379">
      <c r="C31379" s="277"/>
      <c r="M31379" s="277"/>
      <c r="O31379" s="247"/>
      <c r="AC31379" s="247"/>
      <c r="AT31379" s="247"/>
    </row>
    <row r="31380">
      <c r="C31380" s="277"/>
      <c r="M31380" s="277"/>
      <c r="O31380" s="247"/>
      <c r="AC31380" s="247"/>
      <c r="AT31380" s="247"/>
    </row>
    <row r="31381">
      <c r="C31381" s="277"/>
      <c r="M31381" s="277"/>
      <c r="O31381" s="247"/>
      <c r="AC31381" s="247"/>
      <c r="AT31381" s="247"/>
    </row>
    <row r="31382">
      <c r="C31382" s="277"/>
      <c r="M31382" s="277"/>
      <c r="O31382" s="247"/>
      <c r="AC31382" s="247"/>
      <c r="AT31382" s="247"/>
    </row>
    <row r="31383">
      <c r="C31383" s="277"/>
      <c r="M31383" s="277"/>
      <c r="O31383" s="247"/>
      <c r="AC31383" s="247"/>
      <c r="AT31383" s="247"/>
    </row>
    <row r="31384">
      <c r="C31384" s="277"/>
      <c r="M31384" s="277"/>
      <c r="O31384" s="247"/>
      <c r="AC31384" s="247"/>
      <c r="AT31384" s="247"/>
    </row>
    <row r="31385">
      <c r="C31385" s="277"/>
      <c r="M31385" s="277"/>
      <c r="O31385" s="247"/>
      <c r="AC31385" s="247"/>
      <c r="AT31385" s="247"/>
    </row>
    <row r="31386">
      <c r="C31386" s="277"/>
      <c r="M31386" s="277"/>
      <c r="O31386" s="247"/>
      <c r="AC31386" s="247"/>
      <c r="AT31386" s="247"/>
    </row>
    <row r="31387">
      <c r="C31387" s="277"/>
      <c r="M31387" s="277"/>
      <c r="O31387" s="247"/>
      <c r="AC31387" s="247"/>
      <c r="AT31387" s="247"/>
    </row>
    <row r="31388">
      <c r="C31388" s="277"/>
      <c r="M31388" s="277"/>
      <c r="O31388" s="247"/>
      <c r="AC31388" s="247"/>
      <c r="AT31388" s="247"/>
    </row>
    <row r="31389">
      <c r="C31389" s="277"/>
      <c r="M31389" s="277"/>
      <c r="O31389" s="247"/>
      <c r="AC31389" s="247"/>
      <c r="AT31389" s="247"/>
    </row>
    <row r="31390">
      <c r="C31390" s="277"/>
      <c r="M31390" s="277"/>
      <c r="O31390" s="247"/>
      <c r="AC31390" s="247"/>
      <c r="AT31390" s="247"/>
    </row>
    <row r="31391">
      <c r="C31391" s="277"/>
      <c r="M31391" s="277"/>
      <c r="O31391" s="247"/>
      <c r="AC31391" s="247"/>
      <c r="AT31391" s="247"/>
    </row>
    <row r="31392">
      <c r="C31392" s="277"/>
      <c r="M31392" s="277"/>
      <c r="O31392" s="247"/>
      <c r="AC31392" s="247"/>
      <c r="AT31392" s="247"/>
    </row>
    <row r="31393">
      <c r="C31393" s="277"/>
      <c r="M31393" s="277"/>
      <c r="O31393" s="247"/>
      <c r="AC31393" s="247"/>
      <c r="AT31393" s="247"/>
    </row>
    <row r="31394">
      <c r="C31394" s="277"/>
      <c r="M31394" s="277"/>
      <c r="O31394" s="247"/>
      <c r="AC31394" s="247"/>
      <c r="AT31394" s="247"/>
    </row>
    <row r="31395">
      <c r="C31395" s="277"/>
      <c r="M31395" s="277"/>
      <c r="O31395" s="247"/>
      <c r="AC31395" s="247"/>
      <c r="AT31395" s="247"/>
    </row>
    <row r="31396">
      <c r="C31396" s="277"/>
      <c r="M31396" s="277"/>
      <c r="O31396" s="247"/>
      <c r="AC31396" s="247"/>
      <c r="AT31396" s="247"/>
    </row>
    <row r="31397">
      <c r="C31397" s="277"/>
      <c r="M31397" s="277"/>
      <c r="O31397" s="247"/>
      <c r="AC31397" s="247"/>
      <c r="AT31397" s="247"/>
    </row>
    <row r="31398">
      <c r="C31398" s="277"/>
      <c r="M31398" s="277"/>
      <c r="O31398" s="247"/>
      <c r="AC31398" s="247"/>
      <c r="AT31398" s="247"/>
    </row>
    <row r="31399">
      <c r="C31399" s="277"/>
      <c r="M31399" s="277"/>
      <c r="O31399" s="247"/>
      <c r="AC31399" s="247"/>
      <c r="AT31399" s="247"/>
    </row>
    <row r="31400">
      <c r="C31400" s="277"/>
      <c r="M31400" s="277"/>
      <c r="O31400" s="247"/>
      <c r="AC31400" s="247"/>
      <c r="AT31400" s="247"/>
    </row>
    <row r="31401">
      <c r="C31401" s="277"/>
      <c r="M31401" s="277"/>
      <c r="O31401" s="247"/>
      <c r="AC31401" s="247"/>
      <c r="AT31401" s="247"/>
    </row>
    <row r="31402">
      <c r="C31402" s="277"/>
      <c r="M31402" s="277"/>
      <c r="O31402" s="247"/>
      <c r="AC31402" s="247"/>
      <c r="AT31402" s="247"/>
    </row>
    <row r="31403">
      <c r="C31403" s="277"/>
      <c r="M31403" s="277"/>
      <c r="O31403" s="247"/>
      <c r="AC31403" s="247"/>
      <c r="AT31403" s="247"/>
    </row>
    <row r="31404">
      <c r="C31404" s="277"/>
      <c r="M31404" s="277"/>
      <c r="O31404" s="247"/>
      <c r="AC31404" s="247"/>
      <c r="AT31404" s="247"/>
    </row>
    <row r="31405">
      <c r="C31405" s="277"/>
      <c r="M31405" s="277"/>
      <c r="O31405" s="247"/>
      <c r="AC31405" s="247"/>
      <c r="AT31405" s="247"/>
    </row>
    <row r="31406">
      <c r="C31406" s="277"/>
      <c r="M31406" s="277"/>
      <c r="O31406" s="247"/>
      <c r="AC31406" s="247"/>
      <c r="AT31406" s="247"/>
    </row>
    <row r="31407">
      <c r="C31407" s="277"/>
      <c r="M31407" s="277"/>
      <c r="O31407" s="247"/>
      <c r="AC31407" s="247"/>
      <c r="AT31407" s="247"/>
    </row>
    <row r="31408">
      <c r="C31408" s="277"/>
      <c r="M31408" s="277"/>
      <c r="O31408" s="247"/>
      <c r="AC31408" s="247"/>
      <c r="AT31408" s="247"/>
    </row>
    <row r="31409">
      <c r="C31409" s="277"/>
      <c r="M31409" s="277"/>
      <c r="O31409" s="247"/>
      <c r="AC31409" s="247"/>
      <c r="AT31409" s="247"/>
    </row>
    <row r="31410">
      <c r="C31410" s="277"/>
      <c r="M31410" s="277"/>
      <c r="O31410" s="247"/>
      <c r="AC31410" s="247"/>
      <c r="AT31410" s="247"/>
    </row>
    <row r="31411">
      <c r="C31411" s="277"/>
      <c r="M31411" s="277"/>
      <c r="O31411" s="247"/>
      <c r="AC31411" s="247"/>
      <c r="AT31411" s="247"/>
    </row>
    <row r="31412">
      <c r="C31412" s="277"/>
      <c r="M31412" s="277"/>
      <c r="O31412" s="247"/>
      <c r="AC31412" s="247"/>
      <c r="AT31412" s="247"/>
    </row>
    <row r="31413">
      <c r="C31413" s="277"/>
      <c r="M31413" s="277"/>
      <c r="O31413" s="247"/>
      <c r="AC31413" s="247"/>
      <c r="AT31413" s="247"/>
    </row>
    <row r="31414">
      <c r="C31414" s="277"/>
      <c r="M31414" s="277"/>
      <c r="O31414" s="247"/>
      <c r="AC31414" s="247"/>
      <c r="AT31414" s="247"/>
    </row>
    <row r="31415">
      <c r="C31415" s="277"/>
      <c r="M31415" s="277"/>
      <c r="O31415" s="247"/>
      <c r="AC31415" s="247"/>
      <c r="AT31415" s="247"/>
    </row>
    <row r="31416">
      <c r="C31416" s="277"/>
      <c r="M31416" s="277"/>
      <c r="O31416" s="247"/>
      <c r="AC31416" s="247"/>
      <c r="AT31416" s="247"/>
    </row>
    <row r="31417">
      <c r="C31417" s="277"/>
      <c r="M31417" s="277"/>
      <c r="O31417" s="247"/>
      <c r="AC31417" s="247"/>
      <c r="AT31417" s="247"/>
    </row>
    <row r="31418">
      <c r="C31418" s="277"/>
      <c r="M31418" s="277"/>
      <c r="O31418" s="247"/>
      <c r="AC31418" s="247"/>
      <c r="AT31418" s="247"/>
    </row>
    <row r="31419">
      <c r="C31419" s="277"/>
      <c r="M31419" s="277"/>
      <c r="O31419" s="247"/>
      <c r="AC31419" s="247"/>
      <c r="AT31419" s="247"/>
    </row>
    <row r="31420">
      <c r="C31420" s="277"/>
      <c r="M31420" s="277"/>
      <c r="O31420" s="247"/>
      <c r="AC31420" s="247"/>
      <c r="AT31420" s="247"/>
    </row>
    <row r="31421">
      <c r="C31421" s="277"/>
      <c r="M31421" s="277"/>
      <c r="O31421" s="247"/>
      <c r="AC31421" s="247"/>
      <c r="AT31421" s="247"/>
    </row>
    <row r="31422">
      <c r="C31422" s="277"/>
      <c r="M31422" s="277"/>
      <c r="O31422" s="247"/>
      <c r="AC31422" s="247"/>
      <c r="AT31422" s="247"/>
    </row>
    <row r="31423">
      <c r="C31423" s="277"/>
      <c r="M31423" s="277"/>
      <c r="O31423" s="247"/>
      <c r="AC31423" s="247"/>
      <c r="AT31423" s="247"/>
    </row>
    <row r="31424">
      <c r="C31424" s="277"/>
      <c r="M31424" s="277"/>
      <c r="O31424" s="247"/>
      <c r="AC31424" s="247"/>
      <c r="AT31424" s="247"/>
    </row>
    <row r="31425">
      <c r="C31425" s="277"/>
      <c r="M31425" s="277"/>
      <c r="O31425" s="247"/>
      <c r="AC31425" s="247"/>
      <c r="AT31425" s="247"/>
    </row>
    <row r="31426">
      <c r="C31426" s="277"/>
      <c r="M31426" s="277"/>
      <c r="O31426" s="247"/>
      <c r="AC31426" s="247"/>
      <c r="AT31426" s="247"/>
    </row>
    <row r="31427">
      <c r="C31427" s="277"/>
      <c r="M31427" s="277"/>
      <c r="O31427" s="247"/>
      <c r="AC31427" s="247"/>
      <c r="AT31427" s="247"/>
    </row>
    <row r="31428">
      <c r="C31428" s="277"/>
      <c r="M31428" s="277"/>
      <c r="O31428" s="247"/>
      <c r="AC31428" s="247"/>
      <c r="AT31428" s="247"/>
    </row>
    <row r="31429">
      <c r="C31429" s="277"/>
      <c r="M31429" s="277"/>
      <c r="O31429" s="247"/>
      <c r="AC31429" s="247"/>
      <c r="AT31429" s="247"/>
    </row>
    <row r="31430">
      <c r="C31430" s="277"/>
      <c r="M31430" s="277"/>
      <c r="O31430" s="247"/>
      <c r="AC31430" s="247"/>
      <c r="AT31430" s="247"/>
    </row>
    <row r="31431">
      <c r="C31431" s="277"/>
      <c r="M31431" s="277"/>
      <c r="O31431" s="247"/>
      <c r="AC31431" s="247"/>
      <c r="AT31431" s="247"/>
    </row>
    <row r="31432">
      <c r="C31432" s="277"/>
      <c r="M31432" s="277"/>
      <c r="O31432" s="247"/>
      <c r="AC31432" s="247"/>
      <c r="AT31432" s="247"/>
    </row>
    <row r="31433">
      <c r="C31433" s="277"/>
      <c r="M31433" s="277"/>
      <c r="O31433" s="247"/>
      <c r="AC31433" s="247"/>
      <c r="AT31433" s="247"/>
    </row>
    <row r="31434">
      <c r="C31434" s="277"/>
      <c r="M31434" s="277"/>
      <c r="O31434" s="247"/>
      <c r="AC31434" s="247"/>
      <c r="AT31434" s="247"/>
    </row>
    <row r="31435">
      <c r="C31435" s="277"/>
      <c r="M31435" s="277"/>
      <c r="O31435" s="247"/>
      <c r="AC31435" s="247"/>
      <c r="AT31435" s="247"/>
    </row>
    <row r="31436">
      <c r="C31436" s="277"/>
      <c r="M31436" s="277"/>
      <c r="O31436" s="247"/>
      <c r="AC31436" s="247"/>
      <c r="AT31436" s="247"/>
    </row>
    <row r="31437">
      <c r="C31437" s="277"/>
      <c r="M31437" s="277"/>
      <c r="O31437" s="247"/>
      <c r="AC31437" s="247"/>
      <c r="AT31437" s="247"/>
    </row>
    <row r="31438">
      <c r="C31438" s="277"/>
      <c r="M31438" s="277"/>
      <c r="O31438" s="247"/>
      <c r="AC31438" s="247"/>
      <c r="AT31438" s="247"/>
    </row>
    <row r="31439">
      <c r="C31439" s="277"/>
      <c r="M31439" s="277"/>
      <c r="O31439" s="247"/>
      <c r="AC31439" s="247"/>
      <c r="AT31439" s="247"/>
    </row>
    <row r="31440">
      <c r="C31440" s="277"/>
      <c r="M31440" s="277"/>
      <c r="O31440" s="247"/>
      <c r="AC31440" s="247"/>
      <c r="AT31440" s="247"/>
    </row>
    <row r="31441">
      <c r="C31441" s="277"/>
      <c r="M31441" s="277"/>
      <c r="O31441" s="247"/>
      <c r="AC31441" s="247"/>
      <c r="AT31441" s="247"/>
    </row>
    <row r="31442">
      <c r="C31442" s="277"/>
      <c r="M31442" s="277"/>
      <c r="O31442" s="247"/>
      <c r="AC31442" s="247"/>
      <c r="AT31442" s="247"/>
    </row>
    <row r="31443">
      <c r="C31443" s="277"/>
      <c r="M31443" s="277"/>
      <c r="O31443" s="247"/>
      <c r="AC31443" s="247"/>
      <c r="AT31443" s="247"/>
    </row>
    <row r="31444">
      <c r="C31444" s="277"/>
      <c r="M31444" s="277"/>
      <c r="O31444" s="247"/>
      <c r="AC31444" s="247"/>
      <c r="AT31444" s="247"/>
    </row>
    <row r="31445">
      <c r="C31445" s="277"/>
      <c r="M31445" s="277"/>
      <c r="O31445" s="247"/>
      <c r="AC31445" s="247"/>
      <c r="AT31445" s="247"/>
    </row>
    <row r="31446">
      <c r="C31446" s="277"/>
      <c r="M31446" s="277"/>
      <c r="O31446" s="247"/>
      <c r="AC31446" s="247"/>
      <c r="AT31446" s="247"/>
    </row>
    <row r="31447">
      <c r="C31447" s="277"/>
      <c r="M31447" s="277"/>
      <c r="O31447" s="247"/>
      <c r="AC31447" s="247"/>
      <c r="AT31447" s="247"/>
    </row>
    <row r="31448">
      <c r="C31448" s="277"/>
      <c r="M31448" s="277"/>
      <c r="O31448" s="247"/>
      <c r="AC31448" s="247"/>
      <c r="AT31448" s="247"/>
    </row>
    <row r="31449">
      <c r="C31449" s="277"/>
      <c r="M31449" s="277"/>
      <c r="O31449" s="247"/>
      <c r="AC31449" s="247"/>
      <c r="AT31449" s="247"/>
    </row>
    <row r="31450">
      <c r="C31450" s="277"/>
      <c r="M31450" s="277"/>
      <c r="O31450" s="247"/>
      <c r="AC31450" s="247"/>
      <c r="AT31450" s="247"/>
    </row>
    <row r="31451">
      <c r="C31451" s="277"/>
      <c r="M31451" s="277"/>
      <c r="O31451" s="247"/>
      <c r="AC31451" s="247"/>
      <c r="AT31451" s="247"/>
    </row>
    <row r="31452">
      <c r="C31452" s="277"/>
      <c r="M31452" s="277"/>
      <c r="O31452" s="247"/>
      <c r="AC31452" s="247"/>
      <c r="AT31452" s="247"/>
    </row>
    <row r="31453">
      <c r="C31453" s="277"/>
      <c r="M31453" s="277"/>
      <c r="O31453" s="247"/>
      <c r="AC31453" s="247"/>
      <c r="AT31453" s="247"/>
    </row>
    <row r="31454">
      <c r="C31454" s="277"/>
      <c r="M31454" s="277"/>
      <c r="O31454" s="247"/>
      <c r="AC31454" s="247"/>
      <c r="AT31454" s="247"/>
    </row>
    <row r="31455">
      <c r="C31455" s="277"/>
      <c r="M31455" s="277"/>
      <c r="O31455" s="247"/>
      <c r="AC31455" s="247"/>
      <c r="AT31455" s="247"/>
    </row>
    <row r="31456">
      <c r="C31456" s="277"/>
      <c r="M31456" s="277"/>
      <c r="O31456" s="247"/>
      <c r="AC31456" s="247"/>
      <c r="AT31456" s="247"/>
    </row>
    <row r="31457">
      <c r="C31457" s="277"/>
      <c r="M31457" s="277"/>
      <c r="O31457" s="247"/>
      <c r="AC31457" s="247"/>
      <c r="AT31457" s="247"/>
    </row>
    <row r="31458">
      <c r="C31458" s="277"/>
      <c r="M31458" s="277"/>
      <c r="O31458" s="247"/>
      <c r="AC31458" s="247"/>
      <c r="AT31458" s="247"/>
    </row>
    <row r="31459">
      <c r="C31459" s="277"/>
      <c r="M31459" s="277"/>
      <c r="O31459" s="247"/>
      <c r="AC31459" s="247"/>
      <c r="AT31459" s="247"/>
    </row>
    <row r="31460">
      <c r="C31460" s="277"/>
      <c r="M31460" s="277"/>
      <c r="O31460" s="247"/>
      <c r="AC31460" s="247"/>
      <c r="AT31460" s="247"/>
    </row>
    <row r="31461">
      <c r="C31461" s="277"/>
      <c r="M31461" s="277"/>
      <c r="O31461" s="247"/>
      <c r="AC31461" s="247"/>
      <c r="AT31461" s="247"/>
    </row>
    <row r="31462">
      <c r="C31462" s="277"/>
      <c r="M31462" s="277"/>
      <c r="O31462" s="247"/>
      <c r="AC31462" s="247"/>
      <c r="AT31462" s="247"/>
    </row>
    <row r="31463">
      <c r="C31463" s="277"/>
      <c r="M31463" s="277"/>
      <c r="O31463" s="247"/>
      <c r="AC31463" s="247"/>
      <c r="AT31463" s="247"/>
    </row>
    <row r="31464">
      <c r="C31464" s="277"/>
      <c r="M31464" s="277"/>
      <c r="O31464" s="247"/>
      <c r="AC31464" s="247"/>
      <c r="AT31464" s="247"/>
    </row>
    <row r="31465">
      <c r="C31465" s="277"/>
      <c r="M31465" s="277"/>
      <c r="O31465" s="247"/>
      <c r="AC31465" s="247"/>
      <c r="AT31465" s="247"/>
    </row>
    <row r="31466">
      <c r="C31466" s="277"/>
      <c r="M31466" s="277"/>
      <c r="O31466" s="247"/>
      <c r="AC31466" s="247"/>
      <c r="AT31466" s="247"/>
    </row>
    <row r="31467">
      <c r="C31467" s="277"/>
      <c r="M31467" s="277"/>
      <c r="O31467" s="247"/>
      <c r="AC31467" s="247"/>
      <c r="AT31467" s="247"/>
    </row>
    <row r="31468">
      <c r="C31468" s="277"/>
      <c r="M31468" s="277"/>
      <c r="O31468" s="247"/>
      <c r="AC31468" s="247"/>
      <c r="AT31468" s="247"/>
    </row>
    <row r="31469">
      <c r="C31469" s="277"/>
      <c r="M31469" s="277"/>
      <c r="O31469" s="247"/>
      <c r="AC31469" s="247"/>
      <c r="AT31469" s="247"/>
    </row>
    <row r="31470">
      <c r="C31470" s="277"/>
      <c r="M31470" s="277"/>
      <c r="O31470" s="247"/>
      <c r="AC31470" s="247"/>
      <c r="AT31470" s="247"/>
    </row>
    <row r="31471">
      <c r="C31471" s="277"/>
      <c r="M31471" s="277"/>
      <c r="O31471" s="247"/>
      <c r="AC31471" s="247"/>
      <c r="AT31471" s="247"/>
    </row>
    <row r="31472">
      <c r="C31472" s="277"/>
      <c r="M31472" s="277"/>
      <c r="O31472" s="247"/>
      <c r="AC31472" s="247"/>
      <c r="AT31472" s="247"/>
    </row>
    <row r="31473">
      <c r="C31473" s="277"/>
      <c r="M31473" s="277"/>
      <c r="O31473" s="247"/>
      <c r="AC31473" s="247"/>
      <c r="AT31473" s="247"/>
    </row>
    <row r="31474">
      <c r="C31474" s="277"/>
      <c r="M31474" s="277"/>
      <c r="O31474" s="247"/>
      <c r="AC31474" s="247"/>
      <c r="AT31474" s="247"/>
    </row>
    <row r="31475">
      <c r="C31475" s="277"/>
      <c r="M31475" s="277"/>
      <c r="O31475" s="247"/>
      <c r="AC31475" s="247"/>
      <c r="AT31475" s="247"/>
    </row>
    <row r="31476">
      <c r="C31476" s="277"/>
      <c r="M31476" s="277"/>
      <c r="O31476" s="247"/>
      <c r="AC31476" s="247"/>
      <c r="AT31476" s="247"/>
    </row>
    <row r="31477">
      <c r="C31477" s="277"/>
      <c r="M31477" s="277"/>
      <c r="O31477" s="247"/>
      <c r="AC31477" s="247"/>
      <c r="AT31477" s="247"/>
    </row>
    <row r="31478">
      <c r="C31478" s="277"/>
      <c r="M31478" s="277"/>
      <c r="O31478" s="247"/>
      <c r="AC31478" s="247"/>
      <c r="AT31478" s="247"/>
    </row>
    <row r="31479">
      <c r="C31479" s="277"/>
      <c r="M31479" s="277"/>
      <c r="O31479" s="247"/>
      <c r="AC31479" s="247"/>
      <c r="AT31479" s="247"/>
    </row>
    <row r="31480">
      <c r="C31480" s="277"/>
      <c r="M31480" s="277"/>
      <c r="O31480" s="247"/>
      <c r="AC31480" s="247"/>
      <c r="AT31480" s="247"/>
    </row>
    <row r="31481">
      <c r="C31481" s="277"/>
      <c r="M31481" s="277"/>
      <c r="O31481" s="247"/>
      <c r="AC31481" s="247"/>
      <c r="AT31481" s="247"/>
    </row>
    <row r="31482">
      <c r="C31482" s="277"/>
      <c r="M31482" s="277"/>
      <c r="O31482" s="247"/>
      <c r="AC31482" s="247"/>
      <c r="AT31482" s="247"/>
    </row>
    <row r="31483">
      <c r="C31483" s="277"/>
      <c r="M31483" s="277"/>
      <c r="O31483" s="247"/>
      <c r="AC31483" s="247"/>
      <c r="AT31483" s="247"/>
    </row>
    <row r="31484">
      <c r="C31484" s="277"/>
      <c r="M31484" s="277"/>
      <c r="O31484" s="247"/>
      <c r="AC31484" s="247"/>
      <c r="AT31484" s="247"/>
    </row>
    <row r="31485">
      <c r="C31485" s="277"/>
      <c r="M31485" s="277"/>
      <c r="O31485" s="247"/>
      <c r="AC31485" s="247"/>
      <c r="AT31485" s="247"/>
    </row>
    <row r="31486">
      <c r="C31486" s="277"/>
      <c r="M31486" s="277"/>
      <c r="O31486" s="247"/>
      <c r="AC31486" s="247"/>
      <c r="AT31486" s="247"/>
    </row>
    <row r="31487">
      <c r="C31487" s="277"/>
      <c r="M31487" s="277"/>
      <c r="O31487" s="247"/>
      <c r="AC31487" s="247"/>
      <c r="AT31487" s="247"/>
    </row>
    <row r="31488">
      <c r="C31488" s="277"/>
      <c r="M31488" s="277"/>
      <c r="O31488" s="247"/>
      <c r="AC31488" s="247"/>
      <c r="AT31488" s="247"/>
    </row>
    <row r="31489">
      <c r="C31489" s="277"/>
      <c r="M31489" s="277"/>
      <c r="O31489" s="247"/>
      <c r="AC31489" s="247"/>
      <c r="AT31489" s="247"/>
    </row>
    <row r="31490">
      <c r="C31490" s="277"/>
      <c r="M31490" s="277"/>
      <c r="O31490" s="247"/>
      <c r="AC31490" s="247"/>
      <c r="AT31490" s="247"/>
    </row>
    <row r="31491">
      <c r="C31491" s="277"/>
      <c r="M31491" s="277"/>
      <c r="O31491" s="247"/>
      <c r="AC31491" s="247"/>
      <c r="AT31491" s="247"/>
    </row>
    <row r="31492">
      <c r="C31492" s="277"/>
      <c r="M31492" s="277"/>
      <c r="O31492" s="247"/>
      <c r="AC31492" s="247"/>
      <c r="AT31492" s="247"/>
    </row>
    <row r="31493">
      <c r="C31493" s="277"/>
      <c r="M31493" s="277"/>
      <c r="O31493" s="247"/>
      <c r="AC31493" s="247"/>
      <c r="AT31493" s="247"/>
    </row>
    <row r="31494">
      <c r="C31494" s="277"/>
      <c r="M31494" s="277"/>
      <c r="O31494" s="247"/>
      <c r="AC31494" s="247"/>
      <c r="AT31494" s="247"/>
    </row>
    <row r="31495">
      <c r="C31495" s="277"/>
      <c r="M31495" s="277"/>
      <c r="O31495" s="247"/>
      <c r="AC31495" s="247"/>
      <c r="AT31495" s="247"/>
    </row>
    <row r="31496">
      <c r="C31496" s="277"/>
      <c r="M31496" s="277"/>
      <c r="O31496" s="247"/>
      <c r="AC31496" s="247"/>
      <c r="AT31496" s="247"/>
    </row>
    <row r="31497">
      <c r="C31497" s="277"/>
      <c r="M31497" s="277"/>
      <c r="O31497" s="247"/>
      <c r="AC31497" s="247"/>
      <c r="AT31497" s="247"/>
    </row>
    <row r="31498">
      <c r="C31498" s="277"/>
      <c r="M31498" s="277"/>
      <c r="O31498" s="247"/>
      <c r="AC31498" s="247"/>
      <c r="AT31498" s="247"/>
    </row>
    <row r="31499">
      <c r="C31499" s="277"/>
      <c r="M31499" s="277"/>
      <c r="O31499" s="247"/>
      <c r="AC31499" s="247"/>
      <c r="AT31499" s="247"/>
    </row>
    <row r="31500">
      <c r="C31500" s="277"/>
      <c r="M31500" s="277"/>
      <c r="O31500" s="247"/>
      <c r="AC31500" s="247"/>
      <c r="AT31500" s="247"/>
    </row>
    <row r="31501">
      <c r="C31501" s="277"/>
      <c r="M31501" s="277"/>
      <c r="O31501" s="247"/>
      <c r="AC31501" s="247"/>
      <c r="AT31501" s="247"/>
    </row>
    <row r="31502">
      <c r="C31502" s="277"/>
      <c r="M31502" s="277"/>
      <c r="O31502" s="247"/>
      <c r="AC31502" s="247"/>
      <c r="AT31502" s="247"/>
    </row>
    <row r="31503">
      <c r="C31503" s="277"/>
      <c r="M31503" s="277"/>
      <c r="O31503" s="247"/>
      <c r="AC31503" s="247"/>
      <c r="AT31503" s="247"/>
    </row>
    <row r="31504">
      <c r="C31504" s="277"/>
      <c r="M31504" s="277"/>
      <c r="O31504" s="247"/>
      <c r="AC31504" s="247"/>
      <c r="AT31504" s="247"/>
    </row>
    <row r="31505">
      <c r="C31505" s="277"/>
      <c r="M31505" s="277"/>
      <c r="O31505" s="247"/>
      <c r="AC31505" s="247"/>
      <c r="AT31505" s="247"/>
    </row>
    <row r="31506">
      <c r="C31506" s="277"/>
      <c r="M31506" s="277"/>
      <c r="O31506" s="247"/>
      <c r="AC31506" s="247"/>
      <c r="AT31506" s="247"/>
    </row>
    <row r="31507">
      <c r="C31507" s="277"/>
      <c r="M31507" s="277"/>
      <c r="O31507" s="247"/>
      <c r="AC31507" s="247"/>
      <c r="AT31507" s="247"/>
    </row>
    <row r="31508">
      <c r="C31508" s="277"/>
      <c r="M31508" s="277"/>
      <c r="O31508" s="247"/>
      <c r="AC31508" s="247"/>
      <c r="AT31508" s="247"/>
    </row>
    <row r="31509">
      <c r="C31509" s="277"/>
      <c r="M31509" s="277"/>
      <c r="O31509" s="247"/>
      <c r="AC31509" s="247"/>
      <c r="AT31509" s="247"/>
    </row>
    <row r="31510">
      <c r="C31510" s="277"/>
      <c r="M31510" s="277"/>
      <c r="O31510" s="247"/>
      <c r="AC31510" s="247"/>
      <c r="AT31510" s="247"/>
    </row>
    <row r="31511">
      <c r="C31511" s="277"/>
      <c r="M31511" s="277"/>
      <c r="O31511" s="247"/>
      <c r="AC31511" s="247"/>
      <c r="AT31511" s="247"/>
    </row>
    <row r="31512">
      <c r="C31512" s="277"/>
      <c r="M31512" s="277"/>
      <c r="O31512" s="247"/>
      <c r="AC31512" s="247"/>
      <c r="AT31512" s="247"/>
    </row>
    <row r="31513">
      <c r="C31513" s="277"/>
      <c r="M31513" s="277"/>
      <c r="O31513" s="247"/>
      <c r="AC31513" s="247"/>
      <c r="AT31513" s="247"/>
    </row>
    <row r="31514">
      <c r="C31514" s="277"/>
      <c r="M31514" s="277"/>
      <c r="O31514" s="247"/>
      <c r="AC31514" s="247"/>
      <c r="AT31514" s="247"/>
    </row>
    <row r="31515">
      <c r="C31515" s="277"/>
      <c r="M31515" s="277"/>
      <c r="O31515" s="247"/>
      <c r="AC31515" s="247"/>
      <c r="AT31515" s="247"/>
    </row>
    <row r="31516">
      <c r="C31516" s="277"/>
      <c r="M31516" s="277"/>
      <c r="O31516" s="247"/>
      <c r="AC31516" s="247"/>
      <c r="AT31516" s="247"/>
    </row>
    <row r="31517">
      <c r="C31517" s="277"/>
      <c r="M31517" s="277"/>
      <c r="O31517" s="247"/>
      <c r="AC31517" s="247"/>
      <c r="AT31517" s="247"/>
    </row>
    <row r="31518">
      <c r="C31518" s="277"/>
      <c r="M31518" s="277"/>
      <c r="O31518" s="247"/>
      <c r="AC31518" s="247"/>
      <c r="AT31518" s="247"/>
    </row>
    <row r="31519">
      <c r="C31519" s="277"/>
      <c r="M31519" s="277"/>
      <c r="O31519" s="247"/>
      <c r="AC31519" s="247"/>
      <c r="AT31519" s="247"/>
    </row>
    <row r="31520">
      <c r="C31520" s="277"/>
      <c r="M31520" s="277"/>
      <c r="O31520" s="247"/>
      <c r="AC31520" s="247"/>
      <c r="AT31520" s="247"/>
    </row>
    <row r="31521">
      <c r="C31521" s="277"/>
      <c r="M31521" s="277"/>
      <c r="O31521" s="247"/>
      <c r="AC31521" s="247"/>
      <c r="AT31521" s="247"/>
    </row>
    <row r="31522">
      <c r="C31522" s="277"/>
      <c r="M31522" s="277"/>
      <c r="O31522" s="247"/>
      <c r="AC31522" s="247"/>
      <c r="AT31522" s="247"/>
    </row>
    <row r="31523">
      <c r="C31523" s="277"/>
      <c r="M31523" s="277"/>
      <c r="O31523" s="247"/>
      <c r="AC31523" s="247"/>
      <c r="AT31523" s="247"/>
    </row>
    <row r="31524">
      <c r="C31524" s="277"/>
      <c r="M31524" s="277"/>
      <c r="O31524" s="247"/>
      <c r="AC31524" s="247"/>
      <c r="AT31524" s="247"/>
    </row>
    <row r="31525">
      <c r="C31525" s="277"/>
      <c r="M31525" s="277"/>
      <c r="O31525" s="247"/>
      <c r="AC31525" s="247"/>
      <c r="AT31525" s="247"/>
    </row>
    <row r="31526">
      <c r="C31526" s="277"/>
      <c r="M31526" s="277"/>
      <c r="O31526" s="247"/>
      <c r="AC31526" s="247"/>
      <c r="AT31526" s="247"/>
    </row>
    <row r="31527">
      <c r="C31527" s="277"/>
      <c r="M31527" s="277"/>
      <c r="O31527" s="247"/>
      <c r="AC31527" s="247"/>
      <c r="AT31527" s="247"/>
    </row>
    <row r="31528">
      <c r="C31528" s="277"/>
      <c r="M31528" s="277"/>
      <c r="O31528" s="247"/>
      <c r="AC31528" s="247"/>
      <c r="AT31528" s="247"/>
    </row>
    <row r="31529">
      <c r="C31529" s="277"/>
      <c r="M31529" s="277"/>
      <c r="O31529" s="247"/>
      <c r="AC31529" s="247"/>
      <c r="AT31529" s="247"/>
    </row>
    <row r="31530">
      <c r="C31530" s="277"/>
      <c r="M31530" s="277"/>
      <c r="O31530" s="247"/>
      <c r="AC31530" s="247"/>
      <c r="AT31530" s="247"/>
    </row>
    <row r="31531">
      <c r="C31531" s="277"/>
      <c r="M31531" s="277"/>
      <c r="O31531" s="247"/>
      <c r="AC31531" s="247"/>
      <c r="AT31531" s="247"/>
    </row>
    <row r="31532">
      <c r="C31532" s="277"/>
      <c r="M31532" s="277"/>
      <c r="O31532" s="247"/>
      <c r="AC31532" s="247"/>
      <c r="AT31532" s="247"/>
    </row>
    <row r="31533">
      <c r="C31533" s="277"/>
      <c r="M31533" s="277"/>
      <c r="O31533" s="247"/>
      <c r="AC31533" s="247"/>
      <c r="AT31533" s="247"/>
    </row>
    <row r="31534">
      <c r="C31534" s="277"/>
      <c r="M31534" s="277"/>
      <c r="O31534" s="247"/>
      <c r="AC31534" s="247"/>
      <c r="AT31534" s="247"/>
    </row>
    <row r="31535">
      <c r="C31535" s="277"/>
      <c r="M31535" s="277"/>
      <c r="O31535" s="247"/>
      <c r="AC31535" s="247"/>
      <c r="AT31535" s="247"/>
    </row>
    <row r="31536">
      <c r="C31536" s="277"/>
      <c r="M31536" s="277"/>
      <c r="O31536" s="247"/>
      <c r="AC31536" s="247"/>
      <c r="AT31536" s="247"/>
    </row>
    <row r="31537">
      <c r="C31537" s="277"/>
      <c r="M31537" s="277"/>
      <c r="O31537" s="247"/>
      <c r="AC31537" s="247"/>
      <c r="AT31537" s="247"/>
    </row>
    <row r="31538">
      <c r="C31538" s="277"/>
      <c r="M31538" s="277"/>
      <c r="O31538" s="247"/>
      <c r="AC31538" s="247"/>
      <c r="AT31538" s="247"/>
    </row>
    <row r="31539">
      <c r="C31539" s="277"/>
      <c r="M31539" s="277"/>
      <c r="O31539" s="247"/>
      <c r="AC31539" s="247"/>
      <c r="AT31539" s="247"/>
    </row>
    <row r="31540">
      <c r="C31540" s="277"/>
      <c r="M31540" s="277"/>
      <c r="O31540" s="247"/>
      <c r="AC31540" s="247"/>
      <c r="AT31540" s="247"/>
    </row>
    <row r="31541">
      <c r="C31541" s="277"/>
      <c r="M31541" s="277"/>
      <c r="O31541" s="247"/>
      <c r="AC31541" s="247"/>
      <c r="AT31541" s="247"/>
    </row>
    <row r="31542">
      <c r="C31542" s="277"/>
      <c r="M31542" s="277"/>
      <c r="O31542" s="247"/>
      <c r="AC31542" s="247"/>
      <c r="AT31542" s="247"/>
    </row>
    <row r="31543">
      <c r="C31543" s="277"/>
      <c r="M31543" s="277"/>
      <c r="O31543" s="247"/>
      <c r="AC31543" s="247"/>
      <c r="AT31543" s="247"/>
    </row>
    <row r="31544">
      <c r="C31544" s="277"/>
      <c r="M31544" s="277"/>
      <c r="O31544" s="247"/>
      <c r="AC31544" s="247"/>
      <c r="AT31544" s="247"/>
    </row>
    <row r="31545">
      <c r="C31545" s="277"/>
      <c r="M31545" s="277"/>
      <c r="O31545" s="247"/>
      <c r="AC31545" s="247"/>
      <c r="AT31545" s="247"/>
    </row>
    <row r="31546">
      <c r="C31546" s="277"/>
      <c r="M31546" s="277"/>
      <c r="O31546" s="247"/>
      <c r="AC31546" s="247"/>
      <c r="AT31546" s="247"/>
    </row>
    <row r="31547">
      <c r="C31547" s="277"/>
      <c r="M31547" s="277"/>
      <c r="O31547" s="247"/>
      <c r="AC31547" s="247"/>
      <c r="AT31547" s="247"/>
    </row>
    <row r="31548">
      <c r="C31548" s="277"/>
      <c r="M31548" s="277"/>
      <c r="O31548" s="247"/>
      <c r="AC31548" s="247"/>
      <c r="AT31548" s="247"/>
    </row>
    <row r="31549">
      <c r="C31549" s="277"/>
      <c r="M31549" s="277"/>
      <c r="O31549" s="247"/>
      <c r="AC31549" s="247"/>
      <c r="AT31549" s="247"/>
    </row>
    <row r="31550">
      <c r="C31550" s="277"/>
      <c r="M31550" s="277"/>
      <c r="O31550" s="247"/>
      <c r="AC31550" s="247"/>
      <c r="AT31550" s="247"/>
    </row>
    <row r="31551">
      <c r="C31551" s="277"/>
      <c r="M31551" s="277"/>
      <c r="O31551" s="247"/>
      <c r="AC31551" s="247"/>
      <c r="AT31551" s="247"/>
    </row>
    <row r="31552">
      <c r="C31552" s="277"/>
      <c r="M31552" s="277"/>
      <c r="O31552" s="247"/>
      <c r="AC31552" s="247"/>
      <c r="AT31552" s="247"/>
    </row>
    <row r="31553">
      <c r="C31553" s="277"/>
      <c r="M31553" s="277"/>
      <c r="O31553" s="247"/>
      <c r="AC31553" s="247"/>
      <c r="AT31553" s="247"/>
    </row>
    <row r="31554">
      <c r="C31554" s="277"/>
      <c r="M31554" s="277"/>
      <c r="O31554" s="247"/>
      <c r="AC31554" s="247"/>
      <c r="AT31554" s="247"/>
    </row>
    <row r="31555">
      <c r="C31555" s="277"/>
      <c r="M31555" s="277"/>
      <c r="O31555" s="247"/>
      <c r="AC31555" s="247"/>
      <c r="AT31555" s="247"/>
    </row>
    <row r="31556">
      <c r="C31556" s="277"/>
      <c r="M31556" s="277"/>
      <c r="O31556" s="247"/>
      <c r="AC31556" s="247"/>
      <c r="AT31556" s="247"/>
    </row>
    <row r="31557">
      <c r="C31557" s="277"/>
      <c r="M31557" s="277"/>
      <c r="O31557" s="247"/>
      <c r="AC31557" s="247"/>
      <c r="AT31557" s="247"/>
    </row>
    <row r="31558">
      <c r="C31558" s="277"/>
      <c r="M31558" s="277"/>
      <c r="O31558" s="247"/>
      <c r="AC31558" s="247"/>
      <c r="AT31558" s="247"/>
    </row>
    <row r="31559">
      <c r="C31559" s="277"/>
      <c r="M31559" s="277"/>
      <c r="O31559" s="247"/>
      <c r="AC31559" s="247"/>
      <c r="AT31559" s="247"/>
    </row>
    <row r="31560">
      <c r="C31560" s="277"/>
      <c r="M31560" s="277"/>
      <c r="O31560" s="247"/>
      <c r="AC31560" s="247"/>
      <c r="AT31560" s="247"/>
    </row>
    <row r="31561">
      <c r="C31561" s="277"/>
      <c r="M31561" s="277"/>
      <c r="O31561" s="247"/>
      <c r="AC31561" s="247"/>
      <c r="AT31561" s="247"/>
    </row>
    <row r="31562">
      <c r="C31562" s="277"/>
      <c r="M31562" s="277"/>
      <c r="O31562" s="247"/>
      <c r="AC31562" s="247"/>
      <c r="AT31562" s="247"/>
    </row>
    <row r="31563">
      <c r="C31563" s="277"/>
      <c r="M31563" s="277"/>
      <c r="O31563" s="247"/>
      <c r="AC31563" s="247"/>
      <c r="AT31563" s="247"/>
    </row>
    <row r="31564">
      <c r="C31564" s="277"/>
      <c r="M31564" s="277"/>
      <c r="O31564" s="247"/>
      <c r="AC31564" s="247"/>
      <c r="AT31564" s="247"/>
    </row>
    <row r="31565">
      <c r="C31565" s="277"/>
      <c r="M31565" s="277"/>
      <c r="O31565" s="247"/>
      <c r="AC31565" s="247"/>
      <c r="AT31565" s="247"/>
    </row>
    <row r="31566">
      <c r="C31566" s="277"/>
      <c r="M31566" s="277"/>
      <c r="O31566" s="247"/>
      <c r="AC31566" s="247"/>
      <c r="AT31566" s="247"/>
    </row>
    <row r="31567">
      <c r="C31567" s="277"/>
      <c r="M31567" s="277"/>
      <c r="O31567" s="247"/>
      <c r="AC31567" s="247"/>
      <c r="AT31567" s="247"/>
    </row>
    <row r="31568">
      <c r="C31568" s="277"/>
      <c r="M31568" s="277"/>
      <c r="O31568" s="247"/>
      <c r="AC31568" s="247"/>
      <c r="AT31568" s="247"/>
    </row>
    <row r="31569">
      <c r="C31569" s="277"/>
      <c r="M31569" s="277"/>
      <c r="O31569" s="247"/>
      <c r="AC31569" s="247"/>
      <c r="AT31569" s="247"/>
    </row>
    <row r="31570">
      <c r="C31570" s="277"/>
      <c r="M31570" s="277"/>
      <c r="O31570" s="247"/>
      <c r="AC31570" s="247"/>
      <c r="AT31570" s="247"/>
    </row>
    <row r="31571">
      <c r="C31571" s="277"/>
      <c r="M31571" s="277"/>
      <c r="O31571" s="247"/>
      <c r="AC31571" s="247"/>
      <c r="AT31571" s="247"/>
    </row>
    <row r="31572">
      <c r="C31572" s="277"/>
      <c r="M31572" s="277"/>
      <c r="O31572" s="247"/>
      <c r="AC31572" s="247"/>
      <c r="AT31572" s="247"/>
    </row>
    <row r="31573">
      <c r="C31573" s="277"/>
      <c r="M31573" s="277"/>
      <c r="O31573" s="247"/>
      <c r="AC31573" s="247"/>
      <c r="AT31573" s="247"/>
    </row>
    <row r="31574">
      <c r="C31574" s="277"/>
      <c r="M31574" s="277"/>
      <c r="O31574" s="247"/>
      <c r="AC31574" s="247"/>
      <c r="AT31574" s="247"/>
    </row>
    <row r="31575">
      <c r="C31575" s="277"/>
      <c r="M31575" s="277"/>
      <c r="O31575" s="247"/>
      <c r="AC31575" s="247"/>
      <c r="AT31575" s="247"/>
    </row>
    <row r="31576">
      <c r="C31576" s="277"/>
      <c r="M31576" s="277"/>
      <c r="O31576" s="247"/>
      <c r="AC31576" s="247"/>
      <c r="AT31576" s="247"/>
    </row>
    <row r="31577">
      <c r="C31577" s="277"/>
      <c r="M31577" s="277"/>
      <c r="O31577" s="247"/>
      <c r="AC31577" s="247"/>
      <c r="AT31577" s="247"/>
    </row>
    <row r="31578">
      <c r="C31578" s="277"/>
      <c r="M31578" s="277"/>
      <c r="O31578" s="247"/>
      <c r="AC31578" s="247"/>
      <c r="AT31578" s="247"/>
    </row>
    <row r="31579">
      <c r="C31579" s="277"/>
      <c r="M31579" s="277"/>
      <c r="O31579" s="247"/>
      <c r="AC31579" s="247"/>
      <c r="AT31579" s="247"/>
    </row>
    <row r="31580">
      <c r="C31580" s="277"/>
      <c r="M31580" s="277"/>
      <c r="O31580" s="247"/>
      <c r="AC31580" s="247"/>
      <c r="AT31580" s="247"/>
    </row>
    <row r="31581">
      <c r="C31581" s="277"/>
      <c r="M31581" s="277"/>
      <c r="O31581" s="247"/>
      <c r="AC31581" s="247"/>
      <c r="AT31581" s="247"/>
    </row>
    <row r="31582">
      <c r="C31582" s="277"/>
      <c r="M31582" s="277"/>
      <c r="O31582" s="247"/>
      <c r="AC31582" s="247"/>
      <c r="AT31582" s="247"/>
    </row>
    <row r="31583">
      <c r="C31583" s="277"/>
      <c r="M31583" s="277"/>
      <c r="O31583" s="247"/>
      <c r="AC31583" s="247"/>
      <c r="AT31583" s="247"/>
    </row>
    <row r="31584">
      <c r="C31584" s="277"/>
      <c r="M31584" s="277"/>
      <c r="O31584" s="247"/>
      <c r="AC31584" s="247"/>
      <c r="AT31584" s="247"/>
    </row>
    <row r="31585">
      <c r="C31585" s="277"/>
      <c r="M31585" s="277"/>
      <c r="O31585" s="247"/>
      <c r="AC31585" s="247"/>
      <c r="AT31585" s="247"/>
    </row>
    <row r="31586">
      <c r="C31586" s="277"/>
      <c r="M31586" s="277"/>
      <c r="O31586" s="247"/>
      <c r="AC31586" s="247"/>
      <c r="AT31586" s="247"/>
    </row>
    <row r="31587">
      <c r="C31587" s="277"/>
      <c r="M31587" s="277"/>
      <c r="O31587" s="247"/>
      <c r="AC31587" s="247"/>
      <c r="AT31587" s="247"/>
    </row>
    <row r="31588">
      <c r="C31588" s="277"/>
      <c r="M31588" s="277"/>
      <c r="O31588" s="247"/>
      <c r="AC31588" s="247"/>
      <c r="AT31588" s="247"/>
    </row>
    <row r="31589">
      <c r="C31589" s="277"/>
      <c r="M31589" s="277"/>
      <c r="O31589" s="247"/>
      <c r="AC31589" s="247"/>
      <c r="AT31589" s="247"/>
    </row>
    <row r="31590">
      <c r="C31590" s="277"/>
      <c r="M31590" s="277"/>
      <c r="O31590" s="247"/>
      <c r="AC31590" s="247"/>
      <c r="AT31590" s="247"/>
    </row>
    <row r="31591">
      <c r="C31591" s="277"/>
      <c r="M31591" s="277"/>
      <c r="O31591" s="247"/>
      <c r="AC31591" s="247"/>
      <c r="AT31591" s="247"/>
    </row>
    <row r="31592">
      <c r="C31592" s="277"/>
      <c r="M31592" s="277"/>
      <c r="O31592" s="247"/>
      <c r="AC31592" s="247"/>
      <c r="AT31592" s="247"/>
    </row>
    <row r="31593">
      <c r="C31593" s="277"/>
      <c r="M31593" s="277"/>
      <c r="O31593" s="247"/>
      <c r="AC31593" s="247"/>
      <c r="AT31593" s="247"/>
    </row>
    <row r="31594">
      <c r="C31594" s="277"/>
      <c r="M31594" s="277"/>
      <c r="O31594" s="247"/>
      <c r="AC31594" s="247"/>
      <c r="AT31594" s="247"/>
    </row>
    <row r="31595">
      <c r="C31595" s="277"/>
      <c r="M31595" s="277"/>
      <c r="O31595" s="247"/>
      <c r="AC31595" s="247"/>
      <c r="AT31595" s="247"/>
    </row>
    <row r="31596">
      <c r="C31596" s="277"/>
      <c r="M31596" s="277"/>
      <c r="O31596" s="247"/>
      <c r="AC31596" s="247"/>
      <c r="AT31596" s="247"/>
    </row>
    <row r="31597">
      <c r="C31597" s="277"/>
      <c r="M31597" s="277"/>
      <c r="O31597" s="247"/>
      <c r="AC31597" s="247"/>
      <c r="AT31597" s="247"/>
    </row>
    <row r="31598">
      <c r="C31598" s="277"/>
      <c r="M31598" s="277"/>
      <c r="O31598" s="247"/>
      <c r="AC31598" s="247"/>
      <c r="AT31598" s="247"/>
    </row>
    <row r="31599">
      <c r="C31599" s="277"/>
      <c r="M31599" s="277"/>
      <c r="O31599" s="247"/>
      <c r="AC31599" s="247"/>
      <c r="AT31599" s="247"/>
    </row>
    <row r="31600">
      <c r="C31600" s="277"/>
      <c r="M31600" s="277"/>
      <c r="O31600" s="247"/>
      <c r="AC31600" s="247"/>
      <c r="AT31600" s="247"/>
    </row>
    <row r="31601">
      <c r="C31601" s="277"/>
      <c r="M31601" s="277"/>
      <c r="O31601" s="247"/>
      <c r="AC31601" s="247"/>
      <c r="AT31601" s="247"/>
    </row>
    <row r="31602">
      <c r="C31602" s="277"/>
      <c r="M31602" s="277"/>
      <c r="O31602" s="247"/>
      <c r="AC31602" s="247"/>
      <c r="AT31602" s="247"/>
    </row>
    <row r="31603">
      <c r="C31603" s="277"/>
      <c r="M31603" s="277"/>
      <c r="O31603" s="247"/>
      <c r="AC31603" s="247"/>
      <c r="AT31603" s="247"/>
    </row>
    <row r="31604">
      <c r="C31604" s="277"/>
      <c r="M31604" s="277"/>
      <c r="O31604" s="247"/>
      <c r="AC31604" s="247"/>
      <c r="AT31604" s="247"/>
    </row>
    <row r="31605">
      <c r="C31605" s="277"/>
      <c r="M31605" s="277"/>
      <c r="O31605" s="247"/>
      <c r="AC31605" s="247"/>
      <c r="AT31605" s="247"/>
    </row>
    <row r="31606">
      <c r="C31606" s="277"/>
      <c r="M31606" s="277"/>
      <c r="O31606" s="247"/>
      <c r="AC31606" s="247"/>
      <c r="AT31606" s="247"/>
    </row>
    <row r="31607">
      <c r="C31607" s="277"/>
      <c r="M31607" s="277"/>
      <c r="O31607" s="247"/>
      <c r="AC31607" s="247"/>
      <c r="AT31607" s="247"/>
    </row>
    <row r="31608">
      <c r="C31608" s="277"/>
      <c r="M31608" s="277"/>
      <c r="O31608" s="247"/>
      <c r="AC31608" s="247"/>
      <c r="AT31608" s="247"/>
    </row>
    <row r="31609">
      <c r="C31609" s="277"/>
      <c r="M31609" s="277"/>
      <c r="O31609" s="247"/>
      <c r="AC31609" s="247"/>
      <c r="AT31609" s="247"/>
    </row>
    <row r="31610">
      <c r="C31610" s="277"/>
      <c r="M31610" s="277"/>
      <c r="O31610" s="247"/>
      <c r="AC31610" s="247"/>
      <c r="AT31610" s="247"/>
    </row>
    <row r="31611">
      <c r="C31611" s="277"/>
      <c r="M31611" s="277"/>
      <c r="O31611" s="247"/>
      <c r="AC31611" s="247"/>
      <c r="AT31611" s="247"/>
    </row>
    <row r="31612">
      <c r="C31612" s="277"/>
      <c r="M31612" s="277"/>
      <c r="O31612" s="247"/>
      <c r="AC31612" s="247"/>
      <c r="AT31612" s="247"/>
    </row>
    <row r="31613">
      <c r="C31613" s="277"/>
      <c r="M31613" s="277"/>
      <c r="O31613" s="247"/>
      <c r="AC31613" s="247"/>
      <c r="AT31613" s="247"/>
    </row>
    <row r="31614">
      <c r="C31614" s="277"/>
      <c r="M31614" s="277"/>
      <c r="O31614" s="247"/>
      <c r="AC31614" s="247"/>
      <c r="AT31614" s="247"/>
    </row>
    <row r="31615">
      <c r="C31615" s="277"/>
      <c r="M31615" s="277"/>
      <c r="O31615" s="247"/>
      <c r="AC31615" s="247"/>
      <c r="AT31615" s="247"/>
    </row>
    <row r="31616">
      <c r="C31616" s="277"/>
      <c r="M31616" s="277"/>
      <c r="O31616" s="247"/>
      <c r="AC31616" s="247"/>
      <c r="AT31616" s="247"/>
    </row>
    <row r="31617">
      <c r="C31617" s="277"/>
      <c r="M31617" s="277"/>
      <c r="O31617" s="247"/>
      <c r="AC31617" s="247"/>
      <c r="AT31617" s="247"/>
    </row>
    <row r="31618">
      <c r="C31618" s="277"/>
      <c r="M31618" s="277"/>
      <c r="O31618" s="247"/>
      <c r="AC31618" s="247"/>
      <c r="AT31618" s="247"/>
    </row>
    <row r="31619">
      <c r="C31619" s="277"/>
      <c r="M31619" s="277"/>
      <c r="O31619" s="247"/>
      <c r="AC31619" s="247"/>
      <c r="AT31619" s="247"/>
    </row>
    <row r="31620">
      <c r="C31620" s="277"/>
      <c r="M31620" s="277"/>
      <c r="O31620" s="247"/>
      <c r="AC31620" s="247"/>
      <c r="AT31620" s="247"/>
    </row>
    <row r="31621">
      <c r="C31621" s="277"/>
      <c r="M31621" s="277"/>
      <c r="O31621" s="247"/>
      <c r="AC31621" s="247"/>
      <c r="AT31621" s="247"/>
    </row>
    <row r="31622">
      <c r="C31622" s="277"/>
      <c r="M31622" s="277"/>
      <c r="O31622" s="247"/>
      <c r="AC31622" s="247"/>
      <c r="AT31622" s="247"/>
    </row>
    <row r="31623">
      <c r="C31623" s="277"/>
      <c r="M31623" s="277"/>
      <c r="O31623" s="247"/>
      <c r="AC31623" s="247"/>
      <c r="AT31623" s="247"/>
    </row>
    <row r="31624">
      <c r="C31624" s="277"/>
      <c r="M31624" s="277"/>
      <c r="O31624" s="247"/>
      <c r="AC31624" s="247"/>
      <c r="AT31624" s="247"/>
    </row>
    <row r="31625">
      <c r="C31625" s="277"/>
      <c r="M31625" s="277"/>
      <c r="O31625" s="247"/>
      <c r="AC31625" s="247"/>
      <c r="AT31625" s="247"/>
    </row>
    <row r="31626">
      <c r="C31626" s="277"/>
      <c r="M31626" s="277"/>
      <c r="O31626" s="247"/>
      <c r="AC31626" s="247"/>
      <c r="AT31626" s="247"/>
    </row>
    <row r="31627">
      <c r="C31627" s="277"/>
      <c r="M31627" s="277"/>
      <c r="O31627" s="247"/>
      <c r="AC31627" s="247"/>
      <c r="AT31627" s="247"/>
    </row>
    <row r="31628">
      <c r="C31628" s="277"/>
      <c r="M31628" s="277"/>
      <c r="O31628" s="247"/>
      <c r="AC31628" s="247"/>
      <c r="AT31628" s="247"/>
    </row>
    <row r="31629">
      <c r="C31629" s="277"/>
      <c r="M31629" s="277"/>
      <c r="O31629" s="247"/>
      <c r="AC31629" s="247"/>
      <c r="AT31629" s="247"/>
    </row>
    <row r="31630">
      <c r="C31630" s="277"/>
      <c r="M31630" s="277"/>
      <c r="O31630" s="247"/>
      <c r="AC31630" s="247"/>
      <c r="AT31630" s="247"/>
    </row>
    <row r="31631">
      <c r="C31631" s="277"/>
      <c r="M31631" s="277"/>
      <c r="O31631" s="247"/>
      <c r="AC31631" s="247"/>
      <c r="AT31631" s="247"/>
    </row>
    <row r="31632">
      <c r="C31632" s="277"/>
      <c r="M31632" s="277"/>
      <c r="O31632" s="247"/>
      <c r="AC31632" s="247"/>
      <c r="AT31632" s="247"/>
    </row>
    <row r="31633">
      <c r="C31633" s="277"/>
      <c r="M31633" s="277"/>
      <c r="O31633" s="247"/>
      <c r="AC31633" s="247"/>
      <c r="AT31633" s="247"/>
    </row>
    <row r="31634">
      <c r="C31634" s="277"/>
      <c r="M31634" s="277"/>
      <c r="O31634" s="247"/>
      <c r="AC31634" s="247"/>
      <c r="AT31634" s="247"/>
    </row>
    <row r="31635">
      <c r="C31635" s="277"/>
      <c r="M31635" s="277"/>
      <c r="O31635" s="247"/>
      <c r="AC31635" s="247"/>
      <c r="AT31635" s="247"/>
    </row>
    <row r="31636">
      <c r="C31636" s="277"/>
      <c r="M31636" s="277"/>
      <c r="O31636" s="247"/>
      <c r="AC31636" s="247"/>
      <c r="AT31636" s="247"/>
    </row>
    <row r="31637">
      <c r="C31637" s="277"/>
      <c r="M31637" s="277"/>
      <c r="O31637" s="247"/>
      <c r="AC31637" s="247"/>
      <c r="AT31637" s="247"/>
    </row>
    <row r="31638">
      <c r="C31638" s="277"/>
      <c r="M31638" s="277"/>
      <c r="O31638" s="247"/>
      <c r="AC31638" s="247"/>
      <c r="AT31638" s="247"/>
    </row>
    <row r="31639">
      <c r="C31639" s="277"/>
      <c r="M31639" s="277"/>
      <c r="O31639" s="247"/>
      <c r="AC31639" s="247"/>
      <c r="AT31639" s="247"/>
    </row>
    <row r="31640">
      <c r="C31640" s="277"/>
      <c r="M31640" s="277"/>
      <c r="O31640" s="247"/>
      <c r="AC31640" s="247"/>
      <c r="AT31640" s="247"/>
    </row>
    <row r="31641">
      <c r="C31641" s="277"/>
      <c r="M31641" s="277"/>
      <c r="O31641" s="247"/>
      <c r="AC31641" s="247"/>
      <c r="AT31641" s="247"/>
    </row>
    <row r="31642">
      <c r="C31642" s="277"/>
      <c r="M31642" s="277"/>
      <c r="O31642" s="247"/>
      <c r="AC31642" s="247"/>
      <c r="AT31642" s="247"/>
    </row>
    <row r="31643">
      <c r="C31643" s="277"/>
      <c r="M31643" s="277"/>
      <c r="O31643" s="247"/>
      <c r="AC31643" s="247"/>
      <c r="AT31643" s="247"/>
    </row>
    <row r="31644">
      <c r="C31644" s="277"/>
      <c r="M31644" s="277"/>
      <c r="O31644" s="247"/>
      <c r="AC31644" s="247"/>
      <c r="AT31644" s="247"/>
    </row>
    <row r="31645">
      <c r="C31645" s="277"/>
      <c r="M31645" s="277"/>
      <c r="O31645" s="247"/>
      <c r="AC31645" s="247"/>
      <c r="AT31645" s="247"/>
    </row>
    <row r="31646">
      <c r="C31646" s="277"/>
      <c r="M31646" s="277"/>
      <c r="O31646" s="247"/>
      <c r="AC31646" s="247"/>
      <c r="AT31646" s="247"/>
    </row>
    <row r="31647">
      <c r="C31647" s="277"/>
      <c r="M31647" s="277"/>
      <c r="O31647" s="247"/>
      <c r="AC31647" s="247"/>
      <c r="AT31647" s="247"/>
    </row>
    <row r="31648">
      <c r="C31648" s="277"/>
      <c r="M31648" s="277"/>
      <c r="O31648" s="247"/>
      <c r="AC31648" s="247"/>
      <c r="AT31648" s="247"/>
    </row>
    <row r="31649">
      <c r="C31649" s="277"/>
      <c r="M31649" s="277"/>
      <c r="O31649" s="247"/>
      <c r="AC31649" s="247"/>
      <c r="AT31649" s="247"/>
    </row>
    <row r="31650">
      <c r="C31650" s="277"/>
      <c r="M31650" s="277"/>
      <c r="O31650" s="247"/>
      <c r="AC31650" s="247"/>
      <c r="AT31650" s="247"/>
    </row>
    <row r="31651">
      <c r="C31651" s="277"/>
      <c r="M31651" s="277"/>
      <c r="O31651" s="247"/>
      <c r="AC31651" s="247"/>
      <c r="AT31651" s="247"/>
    </row>
    <row r="31652">
      <c r="C31652" s="277"/>
      <c r="M31652" s="277"/>
      <c r="O31652" s="247"/>
      <c r="AC31652" s="247"/>
      <c r="AT31652" s="247"/>
    </row>
    <row r="31653">
      <c r="C31653" s="277"/>
      <c r="M31653" s="277"/>
      <c r="O31653" s="247"/>
      <c r="AC31653" s="247"/>
      <c r="AT31653" s="247"/>
    </row>
    <row r="31654">
      <c r="C31654" s="277"/>
      <c r="M31654" s="277"/>
      <c r="O31654" s="247"/>
      <c r="AC31654" s="247"/>
      <c r="AT31654" s="247"/>
    </row>
    <row r="31655">
      <c r="C31655" s="277"/>
      <c r="M31655" s="277"/>
      <c r="O31655" s="247"/>
      <c r="AC31655" s="247"/>
      <c r="AT31655" s="247"/>
    </row>
    <row r="31656">
      <c r="C31656" s="277"/>
      <c r="M31656" s="277"/>
      <c r="O31656" s="247"/>
      <c r="AC31656" s="247"/>
      <c r="AT31656" s="247"/>
    </row>
    <row r="31657">
      <c r="C31657" s="277"/>
      <c r="M31657" s="277"/>
      <c r="O31657" s="247"/>
      <c r="AC31657" s="247"/>
      <c r="AT31657" s="247"/>
    </row>
    <row r="31658">
      <c r="C31658" s="277"/>
      <c r="M31658" s="277"/>
      <c r="O31658" s="247"/>
      <c r="AC31658" s="247"/>
      <c r="AT31658" s="247"/>
    </row>
    <row r="31659">
      <c r="C31659" s="277"/>
      <c r="M31659" s="277"/>
      <c r="O31659" s="247"/>
      <c r="AC31659" s="247"/>
      <c r="AT31659" s="247"/>
    </row>
    <row r="31660">
      <c r="C31660" s="277"/>
      <c r="M31660" s="277"/>
      <c r="O31660" s="247"/>
      <c r="AC31660" s="247"/>
      <c r="AT31660" s="247"/>
    </row>
    <row r="31661">
      <c r="C31661" s="277"/>
      <c r="M31661" s="277"/>
      <c r="O31661" s="247"/>
      <c r="AC31661" s="247"/>
      <c r="AT31661" s="247"/>
    </row>
    <row r="31662">
      <c r="C31662" s="277"/>
      <c r="M31662" s="277"/>
      <c r="O31662" s="247"/>
      <c r="AC31662" s="247"/>
      <c r="AT31662" s="247"/>
    </row>
    <row r="31663">
      <c r="C31663" s="277"/>
      <c r="M31663" s="277"/>
      <c r="O31663" s="247"/>
      <c r="AC31663" s="247"/>
      <c r="AT31663" s="247"/>
    </row>
    <row r="31664">
      <c r="C31664" s="277"/>
      <c r="M31664" s="277"/>
      <c r="O31664" s="247"/>
      <c r="AC31664" s="247"/>
      <c r="AT31664" s="247"/>
    </row>
    <row r="31665">
      <c r="C31665" s="277"/>
      <c r="M31665" s="277"/>
      <c r="O31665" s="247"/>
      <c r="AC31665" s="247"/>
      <c r="AT31665" s="247"/>
    </row>
    <row r="31666">
      <c r="C31666" s="277"/>
      <c r="M31666" s="277"/>
      <c r="O31666" s="247"/>
      <c r="AC31666" s="247"/>
      <c r="AT31666" s="247"/>
    </row>
    <row r="31667">
      <c r="C31667" s="277"/>
      <c r="M31667" s="277"/>
      <c r="O31667" s="247"/>
      <c r="AC31667" s="247"/>
      <c r="AT31667" s="247"/>
    </row>
    <row r="31668">
      <c r="C31668" s="277"/>
      <c r="M31668" s="277"/>
      <c r="O31668" s="247"/>
      <c r="AC31668" s="247"/>
      <c r="AT31668" s="247"/>
    </row>
    <row r="31669">
      <c r="C31669" s="277"/>
      <c r="M31669" s="277"/>
      <c r="O31669" s="247"/>
      <c r="AC31669" s="247"/>
      <c r="AT31669" s="247"/>
    </row>
    <row r="31670">
      <c r="C31670" s="277"/>
      <c r="M31670" s="277"/>
      <c r="O31670" s="247"/>
      <c r="AC31670" s="247"/>
      <c r="AT31670" s="247"/>
    </row>
    <row r="31671">
      <c r="C31671" s="277"/>
      <c r="M31671" s="277"/>
      <c r="O31671" s="247"/>
      <c r="AC31671" s="247"/>
      <c r="AT31671" s="247"/>
    </row>
    <row r="31672">
      <c r="C31672" s="277"/>
      <c r="M31672" s="277"/>
      <c r="O31672" s="247"/>
      <c r="AC31672" s="247"/>
      <c r="AT31672" s="247"/>
    </row>
    <row r="31673">
      <c r="C31673" s="277"/>
      <c r="M31673" s="277"/>
      <c r="O31673" s="247"/>
      <c r="AC31673" s="247"/>
      <c r="AT31673" s="247"/>
    </row>
    <row r="31674">
      <c r="C31674" s="277"/>
      <c r="M31674" s="277"/>
      <c r="O31674" s="247"/>
      <c r="AC31674" s="247"/>
      <c r="AT31674" s="247"/>
    </row>
    <row r="31675">
      <c r="C31675" s="277"/>
      <c r="M31675" s="277"/>
      <c r="O31675" s="247"/>
      <c r="AC31675" s="247"/>
      <c r="AT31675" s="247"/>
    </row>
    <row r="31676">
      <c r="C31676" s="277"/>
      <c r="M31676" s="277"/>
      <c r="O31676" s="247"/>
      <c r="AC31676" s="247"/>
      <c r="AT31676" s="247"/>
    </row>
    <row r="31677">
      <c r="C31677" s="277"/>
      <c r="M31677" s="277"/>
      <c r="O31677" s="247"/>
      <c r="AC31677" s="247"/>
      <c r="AT31677" s="247"/>
    </row>
    <row r="31678">
      <c r="C31678" s="277"/>
      <c r="M31678" s="277"/>
      <c r="O31678" s="247"/>
      <c r="AC31678" s="247"/>
      <c r="AT31678" s="247"/>
    </row>
    <row r="31679">
      <c r="C31679" s="277"/>
      <c r="M31679" s="277"/>
      <c r="O31679" s="247"/>
      <c r="AC31679" s="247"/>
      <c r="AT31679" s="247"/>
    </row>
    <row r="31680">
      <c r="C31680" s="277"/>
      <c r="M31680" s="277"/>
      <c r="O31680" s="247"/>
      <c r="AC31680" s="247"/>
      <c r="AT31680" s="247"/>
    </row>
    <row r="31681">
      <c r="C31681" s="277"/>
      <c r="M31681" s="277"/>
      <c r="O31681" s="247"/>
      <c r="AC31681" s="247"/>
      <c r="AT31681" s="247"/>
    </row>
    <row r="31682">
      <c r="C31682" s="277"/>
      <c r="M31682" s="277"/>
      <c r="O31682" s="247"/>
      <c r="AC31682" s="247"/>
      <c r="AT31682" s="247"/>
    </row>
    <row r="31683">
      <c r="C31683" s="277"/>
      <c r="M31683" s="277"/>
      <c r="O31683" s="247"/>
      <c r="AC31683" s="247"/>
      <c r="AT31683" s="247"/>
    </row>
    <row r="31684">
      <c r="C31684" s="277"/>
      <c r="M31684" s="277"/>
      <c r="O31684" s="247"/>
      <c r="AC31684" s="247"/>
      <c r="AT31684" s="247"/>
    </row>
    <row r="31685">
      <c r="C31685" s="277"/>
      <c r="M31685" s="277"/>
      <c r="O31685" s="247"/>
      <c r="AC31685" s="247"/>
      <c r="AT31685" s="247"/>
    </row>
    <row r="31686">
      <c r="C31686" s="277"/>
      <c r="M31686" s="277"/>
      <c r="O31686" s="247"/>
      <c r="AC31686" s="247"/>
      <c r="AT31686" s="247"/>
    </row>
    <row r="31687">
      <c r="C31687" s="277"/>
      <c r="M31687" s="277"/>
      <c r="O31687" s="247"/>
      <c r="AC31687" s="247"/>
      <c r="AT31687" s="247"/>
    </row>
    <row r="31688">
      <c r="C31688" s="277"/>
      <c r="M31688" s="277"/>
      <c r="O31688" s="247"/>
      <c r="AC31688" s="247"/>
      <c r="AT31688" s="247"/>
    </row>
    <row r="31689">
      <c r="C31689" s="277"/>
      <c r="M31689" s="277"/>
      <c r="O31689" s="247"/>
      <c r="AC31689" s="247"/>
      <c r="AT31689" s="247"/>
    </row>
    <row r="31690">
      <c r="C31690" s="277"/>
      <c r="M31690" s="277"/>
      <c r="O31690" s="247"/>
      <c r="AC31690" s="247"/>
      <c r="AT31690" s="247"/>
    </row>
    <row r="31691">
      <c r="C31691" s="277"/>
      <c r="M31691" s="277"/>
      <c r="O31691" s="247"/>
      <c r="AC31691" s="247"/>
      <c r="AT31691" s="247"/>
    </row>
    <row r="31692">
      <c r="C31692" s="277"/>
      <c r="M31692" s="277"/>
      <c r="O31692" s="247"/>
      <c r="AC31692" s="247"/>
      <c r="AT31692" s="247"/>
    </row>
    <row r="31693">
      <c r="C31693" s="277"/>
      <c r="M31693" s="277"/>
      <c r="O31693" s="247"/>
      <c r="AC31693" s="247"/>
      <c r="AT31693" s="247"/>
    </row>
    <row r="31694">
      <c r="C31694" s="277"/>
      <c r="M31694" s="277"/>
      <c r="O31694" s="247"/>
      <c r="AC31694" s="247"/>
      <c r="AT31694" s="247"/>
    </row>
    <row r="31695">
      <c r="C31695" s="277"/>
      <c r="M31695" s="277"/>
      <c r="O31695" s="247"/>
      <c r="AC31695" s="247"/>
      <c r="AT31695" s="247"/>
    </row>
    <row r="31696">
      <c r="C31696" s="277"/>
      <c r="M31696" s="277"/>
      <c r="O31696" s="247"/>
      <c r="AC31696" s="247"/>
      <c r="AT31696" s="247"/>
    </row>
    <row r="31697">
      <c r="C31697" s="277"/>
      <c r="M31697" s="277"/>
      <c r="O31697" s="247"/>
      <c r="AC31697" s="247"/>
      <c r="AT31697" s="247"/>
    </row>
    <row r="31698">
      <c r="C31698" s="277"/>
      <c r="M31698" s="277"/>
      <c r="O31698" s="247"/>
      <c r="AC31698" s="247"/>
      <c r="AT31698" s="247"/>
    </row>
    <row r="31699">
      <c r="C31699" s="277"/>
      <c r="M31699" s="277"/>
      <c r="O31699" s="247"/>
      <c r="AC31699" s="247"/>
      <c r="AT31699" s="247"/>
    </row>
    <row r="31700">
      <c r="C31700" s="277"/>
      <c r="M31700" s="277"/>
      <c r="O31700" s="247"/>
      <c r="AC31700" s="247"/>
      <c r="AT31700" s="247"/>
    </row>
    <row r="31701">
      <c r="C31701" s="277"/>
      <c r="M31701" s="277"/>
      <c r="O31701" s="247"/>
      <c r="AC31701" s="247"/>
      <c r="AT31701" s="247"/>
    </row>
    <row r="31702">
      <c r="C31702" s="277"/>
      <c r="M31702" s="277"/>
      <c r="O31702" s="247"/>
      <c r="AC31702" s="247"/>
      <c r="AT31702" s="247"/>
    </row>
    <row r="31703">
      <c r="C31703" s="277"/>
      <c r="M31703" s="277"/>
      <c r="O31703" s="247"/>
      <c r="AC31703" s="247"/>
      <c r="AT31703" s="247"/>
    </row>
    <row r="31704">
      <c r="C31704" s="277"/>
      <c r="M31704" s="277"/>
      <c r="O31704" s="247"/>
      <c r="AC31704" s="247"/>
      <c r="AT31704" s="247"/>
    </row>
    <row r="31705">
      <c r="C31705" s="277"/>
      <c r="M31705" s="277"/>
      <c r="O31705" s="247"/>
      <c r="AC31705" s="247"/>
      <c r="AT31705" s="247"/>
    </row>
    <row r="31706">
      <c r="C31706" s="277"/>
      <c r="M31706" s="277"/>
      <c r="O31706" s="247"/>
      <c r="AC31706" s="247"/>
      <c r="AT31706" s="247"/>
    </row>
    <row r="31707">
      <c r="C31707" s="277"/>
      <c r="M31707" s="277"/>
      <c r="O31707" s="247"/>
      <c r="AC31707" s="247"/>
      <c r="AT31707" s="247"/>
    </row>
    <row r="31708">
      <c r="C31708" s="277"/>
      <c r="M31708" s="277"/>
      <c r="O31708" s="247"/>
      <c r="AC31708" s="247"/>
      <c r="AT31708" s="247"/>
    </row>
    <row r="31709">
      <c r="C31709" s="277"/>
      <c r="M31709" s="277"/>
      <c r="O31709" s="247"/>
      <c r="AC31709" s="247"/>
      <c r="AT31709" s="247"/>
    </row>
    <row r="31710">
      <c r="C31710" s="277"/>
      <c r="M31710" s="277"/>
      <c r="O31710" s="247"/>
      <c r="AC31710" s="247"/>
      <c r="AT31710" s="247"/>
    </row>
    <row r="31711">
      <c r="C31711" s="277"/>
      <c r="M31711" s="277"/>
      <c r="O31711" s="247"/>
      <c r="AC31711" s="247"/>
      <c r="AT31711" s="247"/>
    </row>
    <row r="31712">
      <c r="C31712" s="277"/>
      <c r="M31712" s="277"/>
      <c r="O31712" s="247"/>
      <c r="AC31712" s="247"/>
      <c r="AT31712" s="247"/>
    </row>
    <row r="31713">
      <c r="C31713" s="277"/>
      <c r="M31713" s="277"/>
      <c r="O31713" s="247"/>
      <c r="AC31713" s="247"/>
      <c r="AT31713" s="247"/>
    </row>
    <row r="31714">
      <c r="C31714" s="277"/>
      <c r="M31714" s="277"/>
      <c r="O31714" s="247"/>
      <c r="AC31714" s="247"/>
      <c r="AT31714" s="247"/>
    </row>
    <row r="31715">
      <c r="C31715" s="277"/>
      <c r="M31715" s="277"/>
      <c r="O31715" s="247"/>
      <c r="AC31715" s="247"/>
      <c r="AT31715" s="247"/>
    </row>
    <row r="31716">
      <c r="C31716" s="277"/>
      <c r="M31716" s="277"/>
      <c r="O31716" s="247"/>
      <c r="AC31716" s="247"/>
      <c r="AT31716" s="247"/>
    </row>
    <row r="31717">
      <c r="C31717" s="277"/>
      <c r="M31717" s="277"/>
      <c r="O31717" s="247"/>
      <c r="AC31717" s="247"/>
      <c r="AT31717" s="247"/>
    </row>
    <row r="31718">
      <c r="C31718" s="277"/>
      <c r="M31718" s="277"/>
      <c r="O31718" s="247"/>
      <c r="AC31718" s="247"/>
      <c r="AT31718" s="247"/>
    </row>
    <row r="31719">
      <c r="C31719" s="277"/>
      <c r="M31719" s="277"/>
      <c r="O31719" s="247"/>
      <c r="AC31719" s="247"/>
      <c r="AT31719" s="247"/>
    </row>
    <row r="31720">
      <c r="C31720" s="277"/>
      <c r="M31720" s="277"/>
      <c r="O31720" s="247"/>
      <c r="AC31720" s="247"/>
      <c r="AT31720" s="247"/>
    </row>
    <row r="31721">
      <c r="C31721" s="277"/>
      <c r="M31721" s="277"/>
      <c r="O31721" s="247"/>
      <c r="AC31721" s="247"/>
      <c r="AT31721" s="247"/>
    </row>
    <row r="31722">
      <c r="C31722" s="277"/>
      <c r="M31722" s="277"/>
      <c r="O31722" s="247"/>
      <c r="AC31722" s="247"/>
      <c r="AT31722" s="247"/>
    </row>
    <row r="31723">
      <c r="C31723" s="277"/>
      <c r="M31723" s="277"/>
      <c r="O31723" s="247"/>
      <c r="AC31723" s="247"/>
      <c r="AT31723" s="247"/>
    </row>
    <row r="31724">
      <c r="C31724" s="277"/>
      <c r="M31724" s="277"/>
      <c r="O31724" s="247"/>
      <c r="AC31724" s="247"/>
      <c r="AT31724" s="247"/>
    </row>
    <row r="31725">
      <c r="C31725" s="277"/>
      <c r="M31725" s="277"/>
      <c r="O31725" s="247"/>
      <c r="AC31725" s="247"/>
      <c r="AT31725" s="247"/>
    </row>
    <row r="31726">
      <c r="C31726" s="277"/>
      <c r="M31726" s="277"/>
      <c r="O31726" s="247"/>
      <c r="AC31726" s="247"/>
      <c r="AT31726" s="247"/>
    </row>
    <row r="31727">
      <c r="C31727" s="277"/>
      <c r="M31727" s="277"/>
      <c r="O31727" s="247"/>
      <c r="AC31727" s="247"/>
      <c r="AT31727" s="247"/>
    </row>
    <row r="31728">
      <c r="C31728" s="277"/>
      <c r="M31728" s="277"/>
      <c r="O31728" s="247"/>
      <c r="AC31728" s="247"/>
      <c r="AT31728" s="247"/>
    </row>
    <row r="31729">
      <c r="C31729" s="277"/>
      <c r="M31729" s="277"/>
      <c r="O31729" s="247"/>
      <c r="AC31729" s="247"/>
      <c r="AT31729" s="247"/>
    </row>
    <row r="31730">
      <c r="C31730" s="277"/>
      <c r="M31730" s="277"/>
      <c r="O31730" s="247"/>
      <c r="AC31730" s="247"/>
      <c r="AT31730" s="247"/>
    </row>
    <row r="31731">
      <c r="C31731" s="277"/>
      <c r="M31731" s="277"/>
      <c r="O31731" s="247"/>
      <c r="AC31731" s="247"/>
      <c r="AT31731" s="247"/>
    </row>
    <row r="31732">
      <c r="C31732" s="277"/>
      <c r="M31732" s="277"/>
      <c r="O31732" s="247"/>
      <c r="AC31732" s="247"/>
      <c r="AT31732" s="247"/>
    </row>
    <row r="31733">
      <c r="C31733" s="277"/>
      <c r="M31733" s="277"/>
      <c r="O31733" s="247"/>
      <c r="AC31733" s="247"/>
      <c r="AT31733" s="247"/>
    </row>
    <row r="31734">
      <c r="C31734" s="277"/>
      <c r="M31734" s="277"/>
      <c r="O31734" s="247"/>
      <c r="AC31734" s="247"/>
      <c r="AT31734" s="247"/>
    </row>
    <row r="31735">
      <c r="C31735" s="277"/>
      <c r="M31735" s="277"/>
      <c r="O31735" s="247"/>
      <c r="AC31735" s="247"/>
      <c r="AT31735" s="247"/>
    </row>
    <row r="31736">
      <c r="C31736" s="277"/>
      <c r="M31736" s="277"/>
      <c r="O31736" s="247"/>
      <c r="AC31736" s="247"/>
      <c r="AT31736" s="247"/>
    </row>
    <row r="31737">
      <c r="C31737" s="277"/>
      <c r="M31737" s="277"/>
      <c r="O31737" s="247"/>
      <c r="AC31737" s="247"/>
      <c r="AT31737" s="247"/>
    </row>
    <row r="31738">
      <c r="C31738" s="277"/>
      <c r="M31738" s="277"/>
      <c r="O31738" s="247"/>
      <c r="AC31738" s="247"/>
      <c r="AT31738" s="247"/>
    </row>
    <row r="31739">
      <c r="C31739" s="277"/>
      <c r="M31739" s="277"/>
      <c r="O31739" s="247"/>
      <c r="AC31739" s="247"/>
      <c r="AT31739" s="247"/>
    </row>
    <row r="31740">
      <c r="C31740" s="277"/>
      <c r="M31740" s="277"/>
      <c r="O31740" s="247"/>
      <c r="AC31740" s="247"/>
      <c r="AT31740" s="247"/>
    </row>
    <row r="31741">
      <c r="C31741" s="277"/>
      <c r="M31741" s="277"/>
      <c r="O31741" s="247"/>
      <c r="AC31741" s="247"/>
      <c r="AT31741" s="247"/>
    </row>
    <row r="31742">
      <c r="C31742" s="277"/>
      <c r="M31742" s="277"/>
      <c r="O31742" s="247"/>
      <c r="AC31742" s="247"/>
      <c r="AT31742" s="247"/>
    </row>
    <row r="31743">
      <c r="C31743" s="277"/>
      <c r="M31743" s="277"/>
      <c r="O31743" s="247"/>
      <c r="AC31743" s="247"/>
      <c r="AT31743" s="247"/>
    </row>
    <row r="31744">
      <c r="C31744" s="277"/>
      <c r="M31744" s="277"/>
      <c r="O31744" s="247"/>
      <c r="AC31744" s="247"/>
      <c r="AT31744" s="247"/>
    </row>
    <row r="31745">
      <c r="C31745" s="277"/>
      <c r="M31745" s="277"/>
      <c r="O31745" s="247"/>
      <c r="AC31745" s="247"/>
      <c r="AT31745" s="247"/>
    </row>
    <row r="31746">
      <c r="C31746" s="277"/>
      <c r="M31746" s="277"/>
      <c r="O31746" s="247"/>
      <c r="AC31746" s="247"/>
      <c r="AT31746" s="247"/>
    </row>
    <row r="31747">
      <c r="C31747" s="277"/>
      <c r="M31747" s="277"/>
      <c r="O31747" s="247"/>
      <c r="AC31747" s="247"/>
      <c r="AT31747" s="247"/>
    </row>
    <row r="31748">
      <c r="C31748" s="277"/>
      <c r="M31748" s="277"/>
      <c r="O31748" s="247"/>
      <c r="AC31748" s="247"/>
      <c r="AT31748" s="247"/>
    </row>
    <row r="31749">
      <c r="C31749" s="277"/>
      <c r="M31749" s="277"/>
      <c r="O31749" s="247"/>
      <c r="AC31749" s="247"/>
      <c r="AT31749" s="247"/>
    </row>
    <row r="31750">
      <c r="C31750" s="277"/>
      <c r="M31750" s="277"/>
      <c r="O31750" s="247"/>
      <c r="AC31750" s="247"/>
      <c r="AT31750" s="247"/>
    </row>
    <row r="31751">
      <c r="C31751" s="277"/>
      <c r="M31751" s="277"/>
      <c r="O31751" s="247"/>
      <c r="AC31751" s="247"/>
      <c r="AT31751" s="247"/>
    </row>
    <row r="31752">
      <c r="C31752" s="277"/>
      <c r="M31752" s="277"/>
      <c r="O31752" s="247"/>
      <c r="AC31752" s="247"/>
      <c r="AT31752" s="247"/>
    </row>
    <row r="31753">
      <c r="C31753" s="277"/>
      <c r="M31753" s="277"/>
      <c r="O31753" s="247"/>
      <c r="AC31753" s="247"/>
      <c r="AT31753" s="247"/>
    </row>
    <row r="31754">
      <c r="C31754" s="277"/>
      <c r="M31754" s="277"/>
      <c r="O31754" s="247"/>
      <c r="AC31754" s="247"/>
      <c r="AT31754" s="247"/>
    </row>
    <row r="31755">
      <c r="C31755" s="277"/>
      <c r="M31755" s="277"/>
      <c r="O31755" s="247"/>
      <c r="AC31755" s="247"/>
      <c r="AT31755" s="247"/>
    </row>
    <row r="31756">
      <c r="C31756" s="277"/>
      <c r="M31756" s="277"/>
      <c r="O31756" s="247"/>
      <c r="AC31756" s="247"/>
      <c r="AT31756" s="247"/>
    </row>
    <row r="31757">
      <c r="C31757" s="277"/>
      <c r="M31757" s="277"/>
      <c r="O31757" s="247"/>
      <c r="AC31757" s="247"/>
      <c r="AT31757" s="247"/>
    </row>
    <row r="31758">
      <c r="C31758" s="277"/>
      <c r="M31758" s="277"/>
      <c r="O31758" s="247"/>
      <c r="AC31758" s="247"/>
      <c r="AT31758" s="247"/>
    </row>
    <row r="31759">
      <c r="C31759" s="277"/>
      <c r="M31759" s="277"/>
      <c r="O31759" s="247"/>
      <c r="AC31759" s="247"/>
      <c r="AT31759" s="247"/>
    </row>
    <row r="31760">
      <c r="C31760" s="277"/>
      <c r="M31760" s="277"/>
      <c r="O31760" s="247"/>
      <c r="AC31760" s="247"/>
      <c r="AT31760" s="247"/>
    </row>
    <row r="31761">
      <c r="C31761" s="277"/>
      <c r="M31761" s="277"/>
      <c r="O31761" s="247"/>
      <c r="AC31761" s="247"/>
      <c r="AT31761" s="247"/>
    </row>
    <row r="31762">
      <c r="C31762" s="277"/>
      <c r="M31762" s="277"/>
      <c r="O31762" s="247"/>
      <c r="AC31762" s="247"/>
      <c r="AT31762" s="247"/>
    </row>
    <row r="31763">
      <c r="C31763" s="277"/>
      <c r="M31763" s="277"/>
      <c r="O31763" s="247"/>
      <c r="AC31763" s="247"/>
      <c r="AT31763" s="247"/>
    </row>
    <row r="31764">
      <c r="C31764" s="277"/>
      <c r="M31764" s="277"/>
      <c r="O31764" s="247"/>
      <c r="AC31764" s="247"/>
      <c r="AT31764" s="247"/>
    </row>
    <row r="31765">
      <c r="C31765" s="277"/>
      <c r="M31765" s="277"/>
      <c r="O31765" s="247"/>
      <c r="AC31765" s="247"/>
      <c r="AT31765" s="247"/>
    </row>
    <row r="31766">
      <c r="C31766" s="277"/>
      <c r="M31766" s="277"/>
      <c r="O31766" s="247"/>
      <c r="AC31766" s="247"/>
      <c r="AT31766" s="247"/>
    </row>
    <row r="31767">
      <c r="C31767" s="277"/>
      <c r="M31767" s="277"/>
      <c r="O31767" s="247"/>
      <c r="AC31767" s="247"/>
      <c r="AT31767" s="247"/>
    </row>
    <row r="31768">
      <c r="C31768" s="277"/>
      <c r="M31768" s="277"/>
      <c r="O31768" s="247"/>
      <c r="AC31768" s="247"/>
      <c r="AT31768" s="247"/>
    </row>
    <row r="31769">
      <c r="C31769" s="277"/>
      <c r="M31769" s="277"/>
      <c r="O31769" s="247"/>
      <c r="AC31769" s="247"/>
      <c r="AT31769" s="247"/>
    </row>
    <row r="31770">
      <c r="C31770" s="277"/>
      <c r="M31770" s="277"/>
      <c r="O31770" s="247"/>
      <c r="AC31770" s="247"/>
      <c r="AT31770" s="247"/>
    </row>
    <row r="31771">
      <c r="C31771" s="277"/>
      <c r="M31771" s="277"/>
      <c r="O31771" s="247"/>
      <c r="AC31771" s="247"/>
      <c r="AT31771" s="247"/>
    </row>
    <row r="31772">
      <c r="C31772" s="277"/>
      <c r="M31772" s="277"/>
      <c r="O31772" s="247"/>
      <c r="AC31772" s="247"/>
      <c r="AT31772" s="247"/>
    </row>
    <row r="31773">
      <c r="C31773" s="277"/>
      <c r="M31773" s="277"/>
      <c r="O31773" s="247"/>
      <c r="AC31773" s="247"/>
      <c r="AT31773" s="247"/>
    </row>
    <row r="31774">
      <c r="C31774" s="277"/>
      <c r="M31774" s="277"/>
      <c r="O31774" s="247"/>
      <c r="AC31774" s="247"/>
      <c r="AT31774" s="247"/>
    </row>
    <row r="31775">
      <c r="C31775" s="277"/>
      <c r="M31775" s="277"/>
      <c r="O31775" s="247"/>
      <c r="AC31775" s="247"/>
      <c r="AT31775" s="247"/>
    </row>
    <row r="31776">
      <c r="C31776" s="277"/>
      <c r="M31776" s="277"/>
      <c r="O31776" s="247"/>
      <c r="AC31776" s="247"/>
      <c r="AT31776" s="247"/>
    </row>
    <row r="31777">
      <c r="C31777" s="277"/>
      <c r="M31777" s="277"/>
      <c r="O31777" s="247"/>
      <c r="AC31777" s="247"/>
      <c r="AT31777" s="247"/>
    </row>
    <row r="31778">
      <c r="C31778" s="277"/>
      <c r="M31778" s="277"/>
      <c r="O31778" s="247"/>
      <c r="AC31778" s="247"/>
      <c r="AT31778" s="247"/>
    </row>
    <row r="31779">
      <c r="C31779" s="277"/>
      <c r="M31779" s="277"/>
      <c r="O31779" s="247"/>
      <c r="AC31779" s="247"/>
      <c r="AT31779" s="247"/>
    </row>
    <row r="31780">
      <c r="C31780" s="277"/>
      <c r="M31780" s="277"/>
      <c r="O31780" s="247"/>
      <c r="AC31780" s="247"/>
      <c r="AT31780" s="247"/>
    </row>
    <row r="31781">
      <c r="C31781" s="277"/>
      <c r="M31781" s="277"/>
      <c r="O31781" s="247"/>
      <c r="AC31781" s="247"/>
      <c r="AT31781" s="247"/>
    </row>
    <row r="31782">
      <c r="C31782" s="277"/>
      <c r="M31782" s="277"/>
      <c r="O31782" s="247"/>
      <c r="AC31782" s="247"/>
      <c r="AT31782" s="247"/>
    </row>
    <row r="31783">
      <c r="C31783" s="277"/>
      <c r="M31783" s="277"/>
      <c r="O31783" s="247"/>
      <c r="AC31783" s="247"/>
      <c r="AT31783" s="247"/>
    </row>
    <row r="31784">
      <c r="C31784" s="277"/>
      <c r="M31784" s="277"/>
      <c r="O31784" s="247"/>
      <c r="AC31784" s="247"/>
      <c r="AT31784" s="247"/>
    </row>
    <row r="31785">
      <c r="C31785" s="277"/>
      <c r="M31785" s="277"/>
      <c r="O31785" s="247"/>
      <c r="AC31785" s="247"/>
      <c r="AT31785" s="247"/>
    </row>
    <row r="31786">
      <c r="C31786" s="277"/>
      <c r="M31786" s="277"/>
      <c r="O31786" s="247"/>
      <c r="AC31786" s="247"/>
      <c r="AT31786" s="247"/>
    </row>
    <row r="31787">
      <c r="C31787" s="277"/>
      <c r="M31787" s="277"/>
      <c r="O31787" s="247"/>
      <c r="AC31787" s="247"/>
      <c r="AT31787" s="247"/>
    </row>
    <row r="31788">
      <c r="C31788" s="277"/>
      <c r="M31788" s="277"/>
      <c r="O31788" s="247"/>
      <c r="AC31788" s="247"/>
      <c r="AT31788" s="247"/>
    </row>
    <row r="31789">
      <c r="C31789" s="277"/>
      <c r="M31789" s="277"/>
      <c r="O31789" s="247"/>
      <c r="AC31789" s="247"/>
      <c r="AT31789" s="247"/>
    </row>
    <row r="31790">
      <c r="C31790" s="277"/>
      <c r="M31790" s="277"/>
      <c r="O31790" s="247"/>
      <c r="AC31790" s="247"/>
      <c r="AT31790" s="247"/>
    </row>
    <row r="31791">
      <c r="C31791" s="277"/>
      <c r="M31791" s="277"/>
      <c r="O31791" s="247"/>
      <c r="AC31791" s="247"/>
      <c r="AT31791" s="247"/>
    </row>
    <row r="31792">
      <c r="C31792" s="277"/>
      <c r="M31792" s="277"/>
      <c r="O31792" s="247"/>
      <c r="AC31792" s="247"/>
      <c r="AT31792" s="247"/>
    </row>
    <row r="31793">
      <c r="C31793" s="277"/>
      <c r="M31793" s="277"/>
      <c r="O31793" s="247"/>
      <c r="AC31793" s="247"/>
      <c r="AT31793" s="247"/>
    </row>
    <row r="31794">
      <c r="C31794" s="277"/>
      <c r="M31794" s="277"/>
      <c r="O31794" s="247"/>
      <c r="AC31794" s="247"/>
      <c r="AT31794" s="247"/>
    </row>
    <row r="31795">
      <c r="C31795" s="277"/>
      <c r="M31795" s="277"/>
      <c r="O31795" s="247"/>
      <c r="AC31795" s="247"/>
      <c r="AT31795" s="247"/>
    </row>
    <row r="31796">
      <c r="C31796" s="277"/>
      <c r="M31796" s="277"/>
      <c r="O31796" s="247"/>
      <c r="AC31796" s="247"/>
      <c r="AT31796" s="247"/>
    </row>
    <row r="31797">
      <c r="C31797" s="277"/>
      <c r="M31797" s="277"/>
      <c r="O31797" s="247"/>
      <c r="AC31797" s="247"/>
      <c r="AT31797" s="247"/>
    </row>
    <row r="31798">
      <c r="C31798" s="277"/>
      <c r="M31798" s="277"/>
      <c r="O31798" s="247"/>
      <c r="AC31798" s="247"/>
      <c r="AT31798" s="247"/>
    </row>
    <row r="31799">
      <c r="C31799" s="277"/>
      <c r="M31799" s="277"/>
      <c r="O31799" s="247"/>
      <c r="AC31799" s="247"/>
      <c r="AT31799" s="247"/>
    </row>
    <row r="31800">
      <c r="C31800" s="277"/>
      <c r="M31800" s="277"/>
      <c r="O31800" s="247"/>
      <c r="AC31800" s="247"/>
      <c r="AT31800" s="247"/>
    </row>
    <row r="31801">
      <c r="C31801" s="277"/>
      <c r="M31801" s="277"/>
      <c r="O31801" s="247"/>
      <c r="AC31801" s="247"/>
      <c r="AT31801" s="247"/>
    </row>
    <row r="31802">
      <c r="C31802" s="277"/>
      <c r="M31802" s="277"/>
      <c r="O31802" s="247"/>
      <c r="AC31802" s="247"/>
      <c r="AT31802" s="247"/>
    </row>
    <row r="31803">
      <c r="C31803" s="277"/>
      <c r="M31803" s="277"/>
      <c r="O31803" s="247"/>
      <c r="AC31803" s="247"/>
      <c r="AT31803" s="247"/>
    </row>
    <row r="31804">
      <c r="C31804" s="277"/>
      <c r="M31804" s="277"/>
      <c r="O31804" s="247"/>
      <c r="AC31804" s="247"/>
      <c r="AT31804" s="247"/>
    </row>
    <row r="31805">
      <c r="C31805" s="277"/>
      <c r="M31805" s="277"/>
      <c r="O31805" s="247"/>
      <c r="AC31805" s="247"/>
      <c r="AT31805" s="247"/>
    </row>
    <row r="31806">
      <c r="C31806" s="277"/>
      <c r="M31806" s="277"/>
      <c r="O31806" s="247"/>
      <c r="AC31806" s="247"/>
      <c r="AT31806" s="247"/>
    </row>
    <row r="31807">
      <c r="C31807" s="277"/>
      <c r="M31807" s="277"/>
      <c r="O31807" s="247"/>
      <c r="AC31807" s="247"/>
      <c r="AT31807" s="247"/>
    </row>
    <row r="31808">
      <c r="C31808" s="277"/>
      <c r="M31808" s="277"/>
      <c r="O31808" s="247"/>
      <c r="AC31808" s="247"/>
      <c r="AT31808" s="247"/>
    </row>
    <row r="31809">
      <c r="C31809" s="277"/>
      <c r="M31809" s="277"/>
      <c r="O31809" s="247"/>
      <c r="AC31809" s="247"/>
      <c r="AT31809" s="247"/>
    </row>
    <row r="31810">
      <c r="C31810" s="277"/>
      <c r="M31810" s="277"/>
      <c r="O31810" s="247"/>
      <c r="AC31810" s="247"/>
      <c r="AT31810" s="247"/>
    </row>
    <row r="31811">
      <c r="C31811" s="277"/>
      <c r="M31811" s="277"/>
      <c r="O31811" s="247"/>
      <c r="AC31811" s="247"/>
      <c r="AT31811" s="247"/>
    </row>
    <row r="31812">
      <c r="C31812" s="277"/>
      <c r="M31812" s="277"/>
      <c r="O31812" s="247"/>
      <c r="AC31812" s="247"/>
      <c r="AT31812" s="247"/>
    </row>
    <row r="31813">
      <c r="C31813" s="277"/>
      <c r="M31813" s="277"/>
      <c r="O31813" s="247"/>
      <c r="AC31813" s="247"/>
      <c r="AT31813" s="247"/>
    </row>
    <row r="31814">
      <c r="C31814" s="277"/>
      <c r="M31814" s="277"/>
      <c r="O31814" s="247"/>
      <c r="AC31814" s="247"/>
      <c r="AT31814" s="247"/>
    </row>
    <row r="31815">
      <c r="C31815" s="277"/>
      <c r="M31815" s="277"/>
      <c r="O31815" s="247"/>
      <c r="AC31815" s="247"/>
      <c r="AT31815" s="247"/>
    </row>
    <row r="31816">
      <c r="C31816" s="277"/>
      <c r="M31816" s="277"/>
      <c r="O31816" s="247"/>
      <c r="AC31816" s="247"/>
      <c r="AT31816" s="247"/>
    </row>
    <row r="31817">
      <c r="C31817" s="277"/>
      <c r="M31817" s="277"/>
      <c r="O31817" s="247"/>
      <c r="AC31817" s="247"/>
      <c r="AT31817" s="247"/>
    </row>
    <row r="31818">
      <c r="C31818" s="277"/>
      <c r="M31818" s="277"/>
      <c r="O31818" s="247"/>
      <c r="AC31818" s="247"/>
      <c r="AT31818" s="247"/>
    </row>
    <row r="31819">
      <c r="C31819" s="277"/>
      <c r="M31819" s="277"/>
      <c r="O31819" s="247"/>
      <c r="AC31819" s="247"/>
      <c r="AT31819" s="247"/>
    </row>
    <row r="31820">
      <c r="C31820" s="277"/>
      <c r="M31820" s="277"/>
      <c r="O31820" s="247"/>
      <c r="AC31820" s="247"/>
      <c r="AT31820" s="247"/>
    </row>
    <row r="31821">
      <c r="C31821" s="277"/>
      <c r="M31821" s="277"/>
      <c r="O31821" s="247"/>
      <c r="AC31821" s="247"/>
      <c r="AT31821" s="247"/>
    </row>
    <row r="31822">
      <c r="C31822" s="277"/>
      <c r="M31822" s="277"/>
      <c r="O31822" s="247"/>
      <c r="AC31822" s="247"/>
      <c r="AT31822" s="247"/>
    </row>
    <row r="31823">
      <c r="C31823" s="277"/>
      <c r="M31823" s="277"/>
      <c r="O31823" s="247"/>
      <c r="AC31823" s="247"/>
      <c r="AT31823" s="247"/>
    </row>
    <row r="31824">
      <c r="C31824" s="277"/>
      <c r="M31824" s="277"/>
      <c r="O31824" s="247"/>
      <c r="AC31824" s="247"/>
      <c r="AT31824" s="247"/>
    </row>
    <row r="31825">
      <c r="C31825" s="277"/>
      <c r="M31825" s="277"/>
      <c r="O31825" s="247"/>
      <c r="AC31825" s="247"/>
      <c r="AT31825" s="247"/>
    </row>
    <row r="31826">
      <c r="C31826" s="277"/>
      <c r="M31826" s="277"/>
      <c r="O31826" s="247"/>
      <c r="AC31826" s="247"/>
      <c r="AT31826" s="247"/>
    </row>
    <row r="31827">
      <c r="C31827" s="277"/>
      <c r="M31827" s="277"/>
      <c r="O31827" s="247"/>
      <c r="AC31827" s="247"/>
      <c r="AT31827" s="247"/>
    </row>
    <row r="31828">
      <c r="C31828" s="277"/>
      <c r="M31828" s="277"/>
      <c r="O31828" s="247"/>
      <c r="AC31828" s="247"/>
      <c r="AT31828" s="247"/>
    </row>
    <row r="31829">
      <c r="C31829" s="277"/>
      <c r="M31829" s="277"/>
      <c r="O31829" s="247"/>
      <c r="AC31829" s="247"/>
      <c r="AT31829" s="247"/>
    </row>
    <row r="31830">
      <c r="C31830" s="277"/>
      <c r="M31830" s="277"/>
      <c r="O31830" s="247"/>
      <c r="AC31830" s="247"/>
      <c r="AT31830" s="247"/>
    </row>
    <row r="31831">
      <c r="C31831" s="277"/>
      <c r="M31831" s="277"/>
      <c r="O31831" s="247"/>
      <c r="AC31831" s="247"/>
      <c r="AT31831" s="247"/>
    </row>
    <row r="31832">
      <c r="C31832" s="277"/>
      <c r="M31832" s="277"/>
      <c r="O31832" s="247"/>
      <c r="AC31832" s="247"/>
      <c r="AT31832" s="247"/>
    </row>
    <row r="31833">
      <c r="C31833" s="277"/>
      <c r="M31833" s="277"/>
      <c r="O31833" s="247"/>
      <c r="AC31833" s="247"/>
      <c r="AT31833" s="247"/>
    </row>
    <row r="31834">
      <c r="C31834" s="277"/>
      <c r="M31834" s="277"/>
      <c r="O31834" s="247"/>
      <c r="AC31834" s="247"/>
      <c r="AT31834" s="247"/>
    </row>
    <row r="31835">
      <c r="C31835" s="277"/>
      <c r="M31835" s="277"/>
      <c r="O31835" s="247"/>
      <c r="AC31835" s="247"/>
      <c r="AT31835" s="247"/>
    </row>
    <row r="31836">
      <c r="C31836" s="277"/>
      <c r="M31836" s="277"/>
      <c r="O31836" s="247"/>
      <c r="AC31836" s="247"/>
      <c r="AT31836" s="247"/>
    </row>
    <row r="31837">
      <c r="C31837" s="277"/>
      <c r="M31837" s="277"/>
      <c r="O31837" s="247"/>
      <c r="AC31837" s="247"/>
      <c r="AT31837" s="247"/>
    </row>
    <row r="31838">
      <c r="C31838" s="277"/>
      <c r="M31838" s="277"/>
      <c r="O31838" s="247"/>
      <c r="AC31838" s="247"/>
      <c r="AT31838" s="247"/>
    </row>
    <row r="31839">
      <c r="C31839" s="277"/>
      <c r="M31839" s="277"/>
      <c r="O31839" s="247"/>
      <c r="AC31839" s="247"/>
      <c r="AT31839" s="247"/>
    </row>
    <row r="31840">
      <c r="C31840" s="277"/>
      <c r="M31840" s="277"/>
      <c r="O31840" s="247"/>
      <c r="AC31840" s="247"/>
      <c r="AT31840" s="247"/>
    </row>
    <row r="31841">
      <c r="C31841" s="277"/>
      <c r="M31841" s="277"/>
      <c r="O31841" s="247"/>
      <c r="AC31841" s="247"/>
      <c r="AT31841" s="247"/>
    </row>
    <row r="31842">
      <c r="C31842" s="277"/>
      <c r="M31842" s="277"/>
      <c r="O31842" s="247"/>
      <c r="AC31842" s="247"/>
      <c r="AT31842" s="247"/>
    </row>
    <row r="31843">
      <c r="C31843" s="277"/>
      <c r="M31843" s="277"/>
      <c r="O31843" s="247"/>
      <c r="AC31843" s="247"/>
      <c r="AT31843" s="247"/>
    </row>
    <row r="31844">
      <c r="C31844" s="277"/>
      <c r="M31844" s="277"/>
      <c r="O31844" s="247"/>
      <c r="AC31844" s="247"/>
      <c r="AT31844" s="247"/>
    </row>
    <row r="31845">
      <c r="C31845" s="277"/>
      <c r="M31845" s="277"/>
      <c r="O31845" s="247"/>
      <c r="AC31845" s="247"/>
      <c r="AT31845" s="247"/>
    </row>
    <row r="31846">
      <c r="C31846" s="277"/>
      <c r="M31846" s="277"/>
      <c r="O31846" s="247"/>
      <c r="AC31846" s="247"/>
      <c r="AT31846" s="247"/>
    </row>
    <row r="31847">
      <c r="C31847" s="277"/>
      <c r="M31847" s="277"/>
      <c r="O31847" s="247"/>
      <c r="AC31847" s="247"/>
      <c r="AT31847" s="247"/>
    </row>
    <row r="31848">
      <c r="C31848" s="277"/>
      <c r="M31848" s="277"/>
      <c r="O31848" s="247"/>
      <c r="AC31848" s="247"/>
      <c r="AT31848" s="247"/>
    </row>
    <row r="31849">
      <c r="C31849" s="277"/>
      <c r="M31849" s="277"/>
      <c r="O31849" s="247"/>
      <c r="AC31849" s="247"/>
      <c r="AT31849" s="247"/>
    </row>
    <row r="31850">
      <c r="C31850" s="277"/>
      <c r="M31850" s="277"/>
      <c r="O31850" s="247"/>
      <c r="AC31850" s="247"/>
      <c r="AT31850" s="247"/>
    </row>
    <row r="31851">
      <c r="C31851" s="277"/>
      <c r="M31851" s="277"/>
      <c r="O31851" s="247"/>
      <c r="AC31851" s="247"/>
      <c r="AT31851" s="247"/>
    </row>
    <row r="31852">
      <c r="C31852" s="277"/>
      <c r="M31852" s="277"/>
      <c r="O31852" s="247"/>
      <c r="AC31852" s="247"/>
      <c r="AT31852" s="247"/>
    </row>
    <row r="31853">
      <c r="C31853" s="277"/>
      <c r="J31853" s="279"/>
      <c r="M31853" s="277"/>
      <c r="O31853" s="247"/>
      <c r="AC31853" s="247"/>
      <c r="AT31853" s="247"/>
    </row>
    <row r="31854">
      <c r="C31854" s="277"/>
      <c r="M31854" s="277"/>
      <c r="O31854" s="247"/>
      <c r="AC31854" s="247"/>
      <c r="AT31854" s="247"/>
    </row>
    <row r="31855">
      <c r="C31855" s="277"/>
      <c r="M31855" s="277"/>
      <c r="O31855" s="247"/>
      <c r="AC31855" s="247"/>
      <c r="AT31855" s="247"/>
    </row>
    <row r="31856">
      <c r="C31856" s="277"/>
      <c r="M31856" s="277"/>
      <c r="O31856" s="247"/>
      <c r="AC31856" s="247"/>
      <c r="AT31856" s="247"/>
    </row>
    <row r="31857">
      <c r="C31857" s="277"/>
      <c r="M31857" s="277"/>
      <c r="O31857" s="247"/>
      <c r="AC31857" s="247"/>
      <c r="AT31857" s="247"/>
    </row>
    <row r="31858">
      <c r="C31858" s="277"/>
      <c r="M31858" s="277"/>
      <c r="O31858" s="247"/>
      <c r="AC31858" s="247"/>
      <c r="AT31858" s="247"/>
    </row>
    <row r="31859">
      <c r="C31859" s="277"/>
      <c r="M31859" s="277"/>
      <c r="O31859" s="247"/>
      <c r="AC31859" s="247"/>
      <c r="AT31859" s="247"/>
    </row>
    <row r="31860">
      <c r="C31860" s="277"/>
      <c r="M31860" s="277"/>
      <c r="O31860" s="247"/>
      <c r="AC31860" s="247"/>
      <c r="AT31860" s="247"/>
    </row>
    <row r="31861">
      <c r="C31861" s="277"/>
      <c r="M31861" s="277"/>
      <c r="O31861" s="247"/>
      <c r="AC31861" s="247"/>
      <c r="AT31861" s="247"/>
    </row>
    <row r="31862">
      <c r="C31862" s="277"/>
      <c r="M31862" s="277"/>
      <c r="O31862" s="247"/>
      <c r="AC31862" s="247"/>
      <c r="AT31862" s="247"/>
    </row>
    <row r="31863">
      <c r="C31863" s="277"/>
      <c r="M31863" s="277"/>
      <c r="O31863" s="247"/>
      <c r="AC31863" s="247"/>
      <c r="AT31863" s="247"/>
    </row>
    <row r="31864">
      <c r="C31864" s="277"/>
      <c r="M31864" s="277"/>
      <c r="O31864" s="247"/>
      <c r="AC31864" s="247"/>
      <c r="AT31864" s="247"/>
    </row>
    <row r="31865">
      <c r="C31865" s="277"/>
      <c r="M31865" s="277"/>
      <c r="O31865" s="247"/>
      <c r="AC31865" s="247"/>
      <c r="AT31865" s="247"/>
    </row>
    <row r="31866">
      <c r="C31866" s="277"/>
      <c r="M31866" s="277"/>
      <c r="O31866" s="247"/>
      <c r="AC31866" s="247"/>
      <c r="AT31866" s="247"/>
    </row>
    <row r="31867">
      <c r="C31867" s="277"/>
      <c r="M31867" s="277"/>
      <c r="O31867" s="247"/>
      <c r="AC31867" s="247"/>
      <c r="AT31867" s="247"/>
    </row>
    <row r="31868">
      <c r="C31868" s="277"/>
      <c r="M31868" s="277"/>
      <c r="O31868" s="247"/>
      <c r="AC31868" s="247"/>
      <c r="AT31868" s="247"/>
    </row>
    <row r="31869">
      <c r="C31869" s="277"/>
      <c r="M31869" s="277"/>
      <c r="O31869" s="247"/>
      <c r="AC31869" s="247"/>
      <c r="AT31869" s="247"/>
    </row>
    <row r="31870">
      <c r="C31870" s="277"/>
      <c r="M31870" s="277"/>
      <c r="O31870" s="247"/>
      <c r="AC31870" s="247"/>
      <c r="AT31870" s="247"/>
    </row>
    <row r="31871">
      <c r="C31871" s="277"/>
      <c r="M31871" s="277"/>
      <c r="O31871" s="247"/>
      <c r="AC31871" s="247"/>
      <c r="AT31871" s="247"/>
    </row>
    <row r="31872">
      <c r="C31872" s="277"/>
      <c r="M31872" s="277"/>
      <c r="O31872" s="247"/>
      <c r="AC31872" s="247"/>
      <c r="AT31872" s="247"/>
    </row>
    <row r="31873">
      <c r="C31873" s="277"/>
      <c r="M31873" s="277"/>
      <c r="O31873" s="247"/>
      <c r="AC31873" s="247"/>
      <c r="AT31873" s="247"/>
    </row>
    <row r="31874">
      <c r="C31874" s="277"/>
      <c r="M31874" s="277"/>
      <c r="O31874" s="247"/>
      <c r="AC31874" s="247"/>
      <c r="AT31874" s="247"/>
    </row>
    <row r="31875">
      <c r="C31875" s="277"/>
      <c r="M31875" s="277"/>
      <c r="O31875" s="247"/>
      <c r="AC31875" s="247"/>
      <c r="AT31875" s="247"/>
    </row>
    <row r="31876">
      <c r="C31876" s="277"/>
      <c r="M31876" s="277"/>
      <c r="O31876" s="247"/>
      <c r="AC31876" s="247"/>
      <c r="AT31876" s="247"/>
    </row>
    <row r="31877">
      <c r="C31877" s="277"/>
      <c r="M31877" s="277"/>
      <c r="O31877" s="247"/>
      <c r="AC31877" s="247"/>
      <c r="AT31877" s="247"/>
    </row>
    <row r="31878">
      <c r="C31878" s="277"/>
      <c r="M31878" s="277"/>
      <c r="O31878" s="247"/>
      <c r="AC31878" s="247"/>
      <c r="AT31878" s="247"/>
    </row>
    <row r="31879">
      <c r="C31879" s="277"/>
      <c r="M31879" s="277"/>
      <c r="O31879" s="247"/>
      <c r="AC31879" s="247"/>
      <c r="AT31879" s="247"/>
    </row>
    <row r="31880">
      <c r="C31880" s="277"/>
      <c r="M31880" s="277"/>
      <c r="O31880" s="247"/>
      <c r="AC31880" s="247"/>
      <c r="AT31880" s="247"/>
    </row>
    <row r="31881">
      <c r="C31881" s="277"/>
      <c r="M31881" s="277"/>
      <c r="O31881" s="247"/>
      <c r="AC31881" s="247"/>
      <c r="AT31881" s="247"/>
    </row>
    <row r="31882">
      <c r="C31882" s="277"/>
      <c r="M31882" s="277"/>
      <c r="O31882" s="247"/>
      <c r="AC31882" s="247"/>
      <c r="AT31882" s="247"/>
    </row>
    <row r="31883">
      <c r="C31883" s="277"/>
      <c r="M31883" s="277"/>
      <c r="O31883" s="247"/>
      <c r="AC31883" s="247"/>
      <c r="AT31883" s="247"/>
    </row>
    <row r="31884">
      <c r="C31884" s="277"/>
      <c r="M31884" s="277"/>
      <c r="O31884" s="247"/>
      <c r="AC31884" s="247"/>
      <c r="AT31884" s="247"/>
    </row>
    <row r="31885">
      <c r="C31885" s="277"/>
      <c r="M31885" s="277"/>
      <c r="O31885" s="247"/>
      <c r="AC31885" s="247"/>
      <c r="AT31885" s="247"/>
    </row>
    <row r="31886">
      <c r="C31886" s="277"/>
      <c r="M31886" s="277"/>
      <c r="O31886" s="247"/>
      <c r="AC31886" s="247"/>
      <c r="AT31886" s="247"/>
    </row>
    <row r="31887">
      <c r="C31887" s="277"/>
      <c r="M31887" s="277"/>
      <c r="O31887" s="247"/>
      <c r="AC31887" s="247"/>
      <c r="AT31887" s="247"/>
    </row>
    <row r="31888">
      <c r="C31888" s="277"/>
      <c r="M31888" s="277"/>
      <c r="O31888" s="247"/>
      <c r="AC31888" s="247"/>
      <c r="AT31888" s="247"/>
    </row>
    <row r="31889">
      <c r="C31889" s="277"/>
      <c r="M31889" s="277"/>
      <c r="O31889" s="247"/>
      <c r="AC31889" s="247"/>
      <c r="AT31889" s="247"/>
    </row>
    <row r="31890">
      <c r="C31890" s="277"/>
      <c r="M31890" s="277"/>
      <c r="O31890" s="247"/>
      <c r="AC31890" s="247"/>
      <c r="AT31890" s="247"/>
    </row>
    <row r="31891">
      <c r="C31891" s="277"/>
      <c r="M31891" s="277"/>
      <c r="O31891" s="247"/>
      <c r="AC31891" s="247"/>
      <c r="AT31891" s="247"/>
    </row>
    <row r="31892">
      <c r="C31892" s="277"/>
      <c r="M31892" s="277"/>
      <c r="O31892" s="247"/>
      <c r="AC31892" s="247"/>
      <c r="AT31892" s="247"/>
    </row>
    <row r="31893">
      <c r="C31893" s="277"/>
      <c r="M31893" s="277"/>
      <c r="O31893" s="247"/>
      <c r="AC31893" s="247"/>
      <c r="AT31893" s="247"/>
    </row>
    <row r="31894">
      <c r="C31894" s="277"/>
      <c r="M31894" s="277"/>
      <c r="O31894" s="247"/>
      <c r="AC31894" s="247"/>
      <c r="AT31894" s="247"/>
    </row>
    <row r="31895">
      <c r="C31895" s="277"/>
      <c r="M31895" s="277"/>
      <c r="O31895" s="247"/>
      <c r="AC31895" s="247"/>
      <c r="AT31895" s="247"/>
    </row>
    <row r="31896">
      <c r="C31896" s="277"/>
      <c r="M31896" s="277"/>
      <c r="O31896" s="247"/>
      <c r="AC31896" s="247"/>
      <c r="AT31896" s="247"/>
    </row>
    <row r="31897">
      <c r="C31897" s="277"/>
      <c r="M31897" s="277"/>
      <c r="O31897" s="247"/>
      <c r="AC31897" s="247"/>
      <c r="AT31897" s="247"/>
    </row>
    <row r="31898">
      <c r="C31898" s="277"/>
      <c r="M31898" s="277"/>
      <c r="O31898" s="247"/>
      <c r="AC31898" s="247"/>
      <c r="AT31898" s="247"/>
    </row>
    <row r="31899">
      <c r="C31899" s="277"/>
      <c r="M31899" s="277"/>
      <c r="O31899" s="247"/>
      <c r="AC31899" s="247"/>
      <c r="AT31899" s="247"/>
    </row>
    <row r="31900">
      <c r="C31900" s="277"/>
      <c r="M31900" s="277"/>
      <c r="O31900" s="247"/>
      <c r="AC31900" s="247"/>
      <c r="AT31900" s="247"/>
    </row>
    <row r="31901">
      <c r="C31901" s="277"/>
      <c r="M31901" s="277"/>
      <c r="O31901" s="247"/>
      <c r="AC31901" s="247"/>
      <c r="AT31901" s="247"/>
    </row>
    <row r="31902">
      <c r="C31902" s="277"/>
      <c r="M31902" s="277"/>
      <c r="O31902" s="247"/>
      <c r="AC31902" s="247"/>
      <c r="AT31902" s="247"/>
    </row>
    <row r="31903">
      <c r="C31903" s="277"/>
      <c r="M31903" s="277"/>
      <c r="O31903" s="247"/>
      <c r="AC31903" s="247"/>
      <c r="AT31903" s="247"/>
    </row>
    <row r="31904">
      <c r="C31904" s="277"/>
      <c r="M31904" s="277"/>
      <c r="O31904" s="247"/>
      <c r="AC31904" s="247"/>
      <c r="AT31904" s="247"/>
    </row>
    <row r="31905">
      <c r="C31905" s="277"/>
      <c r="M31905" s="277"/>
      <c r="O31905" s="247"/>
      <c r="AC31905" s="247"/>
      <c r="AT31905" s="247"/>
    </row>
    <row r="31906">
      <c r="C31906" s="277"/>
      <c r="M31906" s="277"/>
      <c r="O31906" s="247"/>
      <c r="AC31906" s="247"/>
      <c r="AT31906" s="247"/>
    </row>
    <row r="31907">
      <c r="C31907" s="277"/>
      <c r="M31907" s="277"/>
      <c r="O31907" s="247"/>
      <c r="AC31907" s="247"/>
      <c r="AT31907" s="247"/>
    </row>
    <row r="31908">
      <c r="C31908" s="277"/>
      <c r="M31908" s="277"/>
      <c r="O31908" s="247"/>
      <c r="AC31908" s="247"/>
      <c r="AT31908" s="247"/>
    </row>
    <row r="31909">
      <c r="C31909" s="277"/>
      <c r="M31909" s="277"/>
      <c r="O31909" s="247"/>
      <c r="AC31909" s="247"/>
      <c r="AT31909" s="247"/>
    </row>
    <row r="31910">
      <c r="C31910" s="277"/>
      <c r="M31910" s="277"/>
      <c r="O31910" s="247"/>
      <c r="AC31910" s="247"/>
      <c r="AT31910" s="247"/>
    </row>
    <row r="31911">
      <c r="C31911" s="277"/>
      <c r="M31911" s="277"/>
      <c r="O31911" s="247"/>
      <c r="AC31911" s="247"/>
      <c r="AT31911" s="247"/>
    </row>
    <row r="31912">
      <c r="C31912" s="277"/>
      <c r="M31912" s="277"/>
      <c r="O31912" s="247"/>
      <c r="AC31912" s="247"/>
      <c r="AT31912" s="247"/>
    </row>
    <row r="31913">
      <c r="C31913" s="277"/>
      <c r="M31913" s="277"/>
      <c r="O31913" s="247"/>
      <c r="AC31913" s="247"/>
      <c r="AT31913" s="247"/>
    </row>
    <row r="31914">
      <c r="C31914" s="277"/>
      <c r="M31914" s="277"/>
      <c r="O31914" s="247"/>
      <c r="AC31914" s="247"/>
      <c r="AT31914" s="247"/>
    </row>
    <row r="31915">
      <c r="C31915" s="277"/>
      <c r="M31915" s="277"/>
      <c r="O31915" s="247"/>
      <c r="AC31915" s="247"/>
      <c r="AT31915" s="247"/>
    </row>
    <row r="31916">
      <c r="C31916" s="277"/>
      <c r="M31916" s="277"/>
      <c r="O31916" s="247"/>
      <c r="AC31916" s="247"/>
      <c r="AT31916" s="247"/>
    </row>
    <row r="31917">
      <c r="C31917" s="277"/>
      <c r="M31917" s="277"/>
      <c r="O31917" s="247"/>
      <c r="AC31917" s="247"/>
      <c r="AT31917" s="247"/>
    </row>
    <row r="31918">
      <c r="C31918" s="277"/>
      <c r="M31918" s="277"/>
      <c r="O31918" s="247"/>
      <c r="AC31918" s="247"/>
      <c r="AT31918" s="247"/>
    </row>
    <row r="31919">
      <c r="C31919" s="277"/>
      <c r="M31919" s="277"/>
      <c r="O31919" s="247"/>
      <c r="AC31919" s="247"/>
      <c r="AT31919" s="247"/>
    </row>
    <row r="31920">
      <c r="C31920" s="277"/>
      <c r="M31920" s="277"/>
      <c r="O31920" s="247"/>
      <c r="AC31920" s="247"/>
      <c r="AT31920" s="247"/>
    </row>
    <row r="31921">
      <c r="C31921" s="277"/>
      <c r="M31921" s="277"/>
      <c r="O31921" s="247"/>
      <c r="AC31921" s="247"/>
      <c r="AT31921" s="247"/>
    </row>
    <row r="31922">
      <c r="C31922" s="277"/>
      <c r="M31922" s="277"/>
      <c r="O31922" s="247"/>
      <c r="AC31922" s="247"/>
      <c r="AT31922" s="247"/>
    </row>
    <row r="31923">
      <c r="C31923" s="277"/>
      <c r="M31923" s="277"/>
      <c r="O31923" s="247"/>
      <c r="AC31923" s="247"/>
      <c r="AT31923" s="247"/>
    </row>
    <row r="31924">
      <c r="C31924" s="277"/>
      <c r="M31924" s="277"/>
      <c r="O31924" s="247"/>
      <c r="AC31924" s="247"/>
      <c r="AT31924" s="247"/>
    </row>
    <row r="31925">
      <c r="C31925" s="277"/>
      <c r="M31925" s="277"/>
      <c r="O31925" s="247"/>
      <c r="AC31925" s="247"/>
      <c r="AT31925" s="247"/>
    </row>
    <row r="31926">
      <c r="C31926" s="277"/>
      <c r="M31926" s="277"/>
      <c r="O31926" s="247"/>
      <c r="AC31926" s="247"/>
      <c r="AT31926" s="247"/>
    </row>
    <row r="31927">
      <c r="C31927" s="277"/>
      <c r="M31927" s="277"/>
      <c r="O31927" s="247"/>
      <c r="AC31927" s="247"/>
      <c r="AT31927" s="247"/>
    </row>
    <row r="31928">
      <c r="C31928" s="277"/>
      <c r="M31928" s="277"/>
      <c r="O31928" s="247"/>
      <c r="AC31928" s="247"/>
      <c r="AT31928" s="247"/>
    </row>
    <row r="31929">
      <c r="C31929" s="277"/>
      <c r="M31929" s="277"/>
      <c r="O31929" s="247"/>
      <c r="AC31929" s="247"/>
      <c r="AT31929" s="247"/>
    </row>
    <row r="31930">
      <c r="C31930" s="277"/>
      <c r="M31930" s="277"/>
      <c r="O31930" s="247"/>
      <c r="AC31930" s="247"/>
      <c r="AT31930" s="247"/>
    </row>
    <row r="31931">
      <c r="C31931" s="277"/>
      <c r="M31931" s="277"/>
      <c r="O31931" s="247"/>
      <c r="AC31931" s="247"/>
      <c r="AT31931" s="247"/>
    </row>
    <row r="31932">
      <c r="C31932" s="277"/>
      <c r="M31932" s="277"/>
      <c r="O31932" s="247"/>
      <c r="AC31932" s="247"/>
      <c r="AT31932" s="247"/>
    </row>
    <row r="31933">
      <c r="C31933" s="277"/>
      <c r="M31933" s="277"/>
      <c r="O31933" s="247"/>
      <c r="AC31933" s="247"/>
      <c r="AT31933" s="247"/>
    </row>
    <row r="31934">
      <c r="C31934" s="277"/>
      <c r="M31934" s="277"/>
      <c r="O31934" s="247"/>
      <c r="AC31934" s="247"/>
      <c r="AT31934" s="247"/>
    </row>
    <row r="31935">
      <c r="C31935" s="277"/>
      <c r="M31935" s="277"/>
      <c r="O31935" s="247"/>
      <c r="AC31935" s="247"/>
      <c r="AT31935" s="247"/>
    </row>
    <row r="31936">
      <c r="C31936" s="277"/>
      <c r="M31936" s="277"/>
      <c r="O31936" s="247"/>
      <c r="AC31936" s="247"/>
      <c r="AT31936" s="247"/>
    </row>
    <row r="31937">
      <c r="C31937" s="277"/>
      <c r="M31937" s="277"/>
      <c r="O31937" s="247"/>
      <c r="AC31937" s="247"/>
      <c r="AT31937" s="247"/>
    </row>
    <row r="31938">
      <c r="C31938" s="277"/>
      <c r="M31938" s="277"/>
      <c r="O31938" s="247"/>
      <c r="AC31938" s="247"/>
      <c r="AT31938" s="247"/>
    </row>
    <row r="31939">
      <c r="C31939" s="277"/>
      <c r="M31939" s="277"/>
      <c r="O31939" s="247"/>
      <c r="AC31939" s="247"/>
      <c r="AT31939" s="247"/>
    </row>
    <row r="31940">
      <c r="C31940" s="277"/>
      <c r="M31940" s="277"/>
      <c r="O31940" s="247"/>
      <c r="AC31940" s="247"/>
      <c r="AT31940" s="247"/>
    </row>
    <row r="31941">
      <c r="C31941" s="277"/>
      <c r="M31941" s="277"/>
      <c r="O31941" s="247"/>
      <c r="AC31941" s="247"/>
      <c r="AT31941" s="247"/>
    </row>
    <row r="31942">
      <c r="C31942" s="277"/>
      <c r="M31942" s="277"/>
      <c r="O31942" s="247"/>
      <c r="AC31942" s="247"/>
      <c r="AT31942" s="247"/>
    </row>
    <row r="31943">
      <c r="C31943" s="277"/>
      <c r="M31943" s="277"/>
      <c r="O31943" s="247"/>
      <c r="AC31943" s="247"/>
      <c r="AT31943" s="247"/>
    </row>
    <row r="31944">
      <c r="C31944" s="277"/>
      <c r="M31944" s="277"/>
      <c r="O31944" s="247"/>
      <c r="AC31944" s="247"/>
      <c r="AT31944" s="247"/>
    </row>
    <row r="31945">
      <c r="C31945" s="277"/>
      <c r="M31945" s="277"/>
      <c r="O31945" s="247"/>
      <c r="AC31945" s="247"/>
      <c r="AT31945" s="247"/>
    </row>
    <row r="31946">
      <c r="C31946" s="277"/>
      <c r="M31946" s="277"/>
      <c r="O31946" s="247"/>
      <c r="AC31946" s="247"/>
      <c r="AT31946" s="247"/>
    </row>
    <row r="31947">
      <c r="C31947" s="277"/>
      <c r="M31947" s="277"/>
      <c r="O31947" s="247"/>
      <c r="AC31947" s="247"/>
      <c r="AT31947" s="247"/>
    </row>
    <row r="31948">
      <c r="C31948" s="277"/>
      <c r="M31948" s="277"/>
      <c r="O31948" s="247"/>
      <c r="AC31948" s="247"/>
      <c r="AT31948" s="247"/>
    </row>
    <row r="31949">
      <c r="C31949" s="277"/>
      <c r="M31949" s="277"/>
      <c r="O31949" s="247"/>
      <c r="AC31949" s="247"/>
      <c r="AT31949" s="247"/>
    </row>
    <row r="31950">
      <c r="C31950" s="277"/>
      <c r="M31950" s="277"/>
      <c r="O31950" s="247"/>
      <c r="AC31950" s="247"/>
      <c r="AT31950" s="247"/>
    </row>
    <row r="31951">
      <c r="C31951" s="277"/>
      <c r="M31951" s="277"/>
      <c r="O31951" s="247"/>
      <c r="AC31951" s="247"/>
      <c r="AT31951" s="247"/>
    </row>
    <row r="31952">
      <c r="C31952" s="277"/>
      <c r="M31952" s="277"/>
      <c r="O31952" s="247"/>
      <c r="AC31952" s="247"/>
      <c r="AT31952" s="247"/>
    </row>
    <row r="31953">
      <c r="C31953" s="277"/>
      <c r="M31953" s="277"/>
      <c r="O31953" s="247"/>
      <c r="AC31953" s="247"/>
      <c r="AT31953" s="247"/>
    </row>
    <row r="31954">
      <c r="C31954" s="277"/>
      <c r="M31954" s="277"/>
      <c r="O31954" s="247"/>
      <c r="AC31954" s="247"/>
      <c r="AT31954" s="247"/>
    </row>
    <row r="31955">
      <c r="C31955" s="277"/>
      <c r="M31955" s="277"/>
      <c r="O31955" s="247"/>
      <c r="AC31955" s="247"/>
      <c r="AT31955" s="247"/>
    </row>
    <row r="31956">
      <c r="C31956" s="277"/>
      <c r="M31956" s="277"/>
      <c r="O31956" s="247"/>
      <c r="AC31956" s="247"/>
      <c r="AT31956" s="247"/>
    </row>
    <row r="31957">
      <c r="C31957" s="277"/>
      <c r="M31957" s="277"/>
      <c r="O31957" s="247"/>
      <c r="AC31957" s="247"/>
      <c r="AT31957" s="247"/>
    </row>
    <row r="31958">
      <c r="C31958" s="277"/>
      <c r="M31958" s="277"/>
      <c r="O31958" s="247"/>
      <c r="AC31958" s="247"/>
      <c r="AT31958" s="247"/>
    </row>
    <row r="31959">
      <c r="C31959" s="277"/>
      <c r="M31959" s="277"/>
      <c r="O31959" s="247"/>
      <c r="AC31959" s="247"/>
      <c r="AT31959" s="247"/>
    </row>
    <row r="31960">
      <c r="C31960" s="277"/>
      <c r="M31960" s="277"/>
      <c r="O31960" s="247"/>
      <c r="AC31960" s="247"/>
      <c r="AT31960" s="247"/>
    </row>
    <row r="31961">
      <c r="C31961" s="277"/>
      <c r="M31961" s="277"/>
      <c r="O31961" s="247"/>
      <c r="AC31961" s="247"/>
      <c r="AT31961" s="247"/>
    </row>
    <row r="31962">
      <c r="C31962" s="277"/>
      <c r="M31962" s="277"/>
      <c r="O31962" s="247"/>
      <c r="AC31962" s="247"/>
      <c r="AT31962" s="247"/>
    </row>
    <row r="31963">
      <c r="C31963" s="277"/>
      <c r="M31963" s="277"/>
      <c r="O31963" s="247"/>
      <c r="AC31963" s="247"/>
      <c r="AT31963" s="247"/>
    </row>
    <row r="31964">
      <c r="C31964" s="277"/>
      <c r="M31964" s="277"/>
      <c r="O31964" s="247"/>
      <c r="AC31964" s="247"/>
      <c r="AT31964" s="247"/>
    </row>
    <row r="31965">
      <c r="C31965" s="277"/>
      <c r="M31965" s="277"/>
      <c r="O31965" s="247"/>
      <c r="AC31965" s="247"/>
      <c r="AT31965" s="247"/>
    </row>
    <row r="31966">
      <c r="C31966" s="277"/>
      <c r="M31966" s="277"/>
      <c r="O31966" s="247"/>
      <c r="AC31966" s="247"/>
      <c r="AT31966" s="247"/>
    </row>
    <row r="31967">
      <c r="C31967" s="277"/>
      <c r="M31967" s="277"/>
      <c r="O31967" s="247"/>
      <c r="AC31967" s="247"/>
      <c r="AT31967" s="247"/>
    </row>
    <row r="31968">
      <c r="C31968" s="277"/>
      <c r="M31968" s="277"/>
      <c r="O31968" s="247"/>
      <c r="AC31968" s="247"/>
      <c r="AT31968" s="247"/>
    </row>
    <row r="31969">
      <c r="C31969" s="277"/>
      <c r="M31969" s="277"/>
      <c r="O31969" s="247"/>
      <c r="AC31969" s="247"/>
      <c r="AT31969" s="247"/>
    </row>
    <row r="31970">
      <c r="C31970" s="277"/>
      <c r="M31970" s="277"/>
      <c r="O31970" s="247"/>
      <c r="AC31970" s="247"/>
      <c r="AT31970" s="247"/>
    </row>
    <row r="31971">
      <c r="C31971" s="277"/>
      <c r="M31971" s="277"/>
      <c r="O31971" s="247"/>
      <c r="AC31971" s="247"/>
      <c r="AT31971" s="247"/>
    </row>
    <row r="31972">
      <c r="C31972" s="277"/>
      <c r="M31972" s="277"/>
      <c r="O31972" s="247"/>
      <c r="AC31972" s="247"/>
      <c r="AT31972" s="247"/>
    </row>
    <row r="31973">
      <c r="C31973" s="277"/>
      <c r="M31973" s="277"/>
      <c r="O31973" s="247"/>
      <c r="AC31973" s="247"/>
      <c r="AT31973" s="247"/>
    </row>
    <row r="31974">
      <c r="C31974" s="277"/>
      <c r="M31974" s="277"/>
      <c r="O31974" s="247"/>
      <c r="AC31974" s="247"/>
      <c r="AT31974" s="247"/>
    </row>
    <row r="31975">
      <c r="C31975" s="277"/>
      <c r="M31975" s="277"/>
      <c r="O31975" s="247"/>
      <c r="AC31975" s="247"/>
      <c r="AT31975" s="247"/>
    </row>
    <row r="31976">
      <c r="C31976" s="277"/>
      <c r="M31976" s="277"/>
      <c r="O31976" s="247"/>
      <c r="AC31976" s="247"/>
      <c r="AT31976" s="247"/>
    </row>
    <row r="31977">
      <c r="C31977" s="277"/>
      <c r="M31977" s="277"/>
      <c r="O31977" s="247"/>
      <c r="AC31977" s="247"/>
      <c r="AT31977" s="247"/>
    </row>
    <row r="31978">
      <c r="C31978" s="277"/>
      <c r="M31978" s="277"/>
      <c r="O31978" s="247"/>
      <c r="AC31978" s="247"/>
      <c r="AT31978" s="247"/>
    </row>
    <row r="31979">
      <c r="C31979" s="277"/>
      <c r="M31979" s="277"/>
      <c r="O31979" s="247"/>
      <c r="AC31979" s="247"/>
      <c r="AT31979" s="247"/>
    </row>
    <row r="31980">
      <c r="C31980" s="277"/>
      <c r="M31980" s="277"/>
      <c r="O31980" s="247"/>
      <c r="AC31980" s="247"/>
      <c r="AT31980" s="247"/>
    </row>
    <row r="31981">
      <c r="C31981" s="277"/>
      <c r="M31981" s="277"/>
      <c r="O31981" s="247"/>
      <c r="AC31981" s="247"/>
      <c r="AT31981" s="247"/>
    </row>
    <row r="31982">
      <c r="C31982" s="277"/>
      <c r="M31982" s="277"/>
      <c r="O31982" s="247"/>
      <c r="AC31982" s="247"/>
      <c r="AT31982" s="247"/>
    </row>
    <row r="31983">
      <c r="C31983" s="277"/>
      <c r="M31983" s="277"/>
      <c r="O31983" s="247"/>
      <c r="AC31983" s="247"/>
      <c r="AT31983" s="247"/>
    </row>
    <row r="31984">
      <c r="C31984" s="277"/>
      <c r="M31984" s="277"/>
      <c r="O31984" s="247"/>
      <c r="AC31984" s="247"/>
      <c r="AT31984" s="247"/>
    </row>
    <row r="31985">
      <c r="C31985" s="277"/>
      <c r="M31985" s="277"/>
      <c r="O31985" s="247"/>
      <c r="AC31985" s="247"/>
      <c r="AT31985" s="247"/>
    </row>
    <row r="31986">
      <c r="C31986" s="277"/>
      <c r="M31986" s="277"/>
      <c r="O31986" s="247"/>
      <c r="AC31986" s="247"/>
      <c r="AT31986" s="247"/>
    </row>
    <row r="31987">
      <c r="C31987" s="277"/>
      <c r="M31987" s="277"/>
      <c r="O31987" s="247"/>
      <c r="AC31987" s="247"/>
      <c r="AT31987" s="247"/>
    </row>
    <row r="31988">
      <c r="C31988" s="277"/>
      <c r="M31988" s="277"/>
      <c r="O31988" s="247"/>
      <c r="AC31988" s="247"/>
      <c r="AT31988" s="247"/>
    </row>
    <row r="31989">
      <c r="C31989" s="277"/>
      <c r="M31989" s="277"/>
      <c r="O31989" s="247"/>
      <c r="AC31989" s="247"/>
      <c r="AT31989" s="247"/>
    </row>
    <row r="31990">
      <c r="C31990" s="277"/>
      <c r="M31990" s="277"/>
      <c r="O31990" s="247"/>
      <c r="AC31990" s="247"/>
      <c r="AT31990" s="247"/>
    </row>
    <row r="31991">
      <c r="C31991" s="277"/>
      <c r="M31991" s="277"/>
      <c r="O31991" s="247"/>
      <c r="AC31991" s="247"/>
      <c r="AT31991" s="247"/>
    </row>
    <row r="31992">
      <c r="C31992" s="277"/>
      <c r="M31992" s="277"/>
      <c r="O31992" s="247"/>
      <c r="AC31992" s="247"/>
      <c r="AT31992" s="247"/>
    </row>
    <row r="31993">
      <c r="C31993" s="277"/>
      <c r="M31993" s="277"/>
      <c r="O31993" s="247"/>
      <c r="AC31993" s="247"/>
      <c r="AT31993" s="247"/>
    </row>
    <row r="31994">
      <c r="C31994" s="277"/>
      <c r="M31994" s="277"/>
      <c r="O31994" s="247"/>
      <c r="AC31994" s="247"/>
      <c r="AT31994" s="247"/>
    </row>
    <row r="31995">
      <c r="C31995" s="277"/>
      <c r="M31995" s="277"/>
      <c r="O31995" s="247"/>
      <c r="AC31995" s="247"/>
      <c r="AT31995" s="247"/>
    </row>
    <row r="31996">
      <c r="C31996" s="277"/>
      <c r="M31996" s="277"/>
      <c r="O31996" s="247"/>
      <c r="AC31996" s="247"/>
      <c r="AT31996" s="247"/>
    </row>
    <row r="31997">
      <c r="C31997" s="277"/>
      <c r="M31997" s="277"/>
      <c r="O31997" s="247"/>
      <c r="AC31997" s="247"/>
      <c r="AT31997" s="247"/>
    </row>
    <row r="31998">
      <c r="C31998" s="277"/>
      <c r="M31998" s="277"/>
      <c r="O31998" s="247"/>
      <c r="AC31998" s="247"/>
      <c r="AT31998" s="247"/>
    </row>
    <row r="31999">
      <c r="C31999" s="277"/>
      <c r="M31999" s="277"/>
      <c r="O31999" s="247"/>
      <c r="AC31999" s="247"/>
      <c r="AT31999" s="247"/>
    </row>
    <row r="32000">
      <c r="C32000" s="277"/>
      <c r="M32000" s="277"/>
      <c r="O32000" s="247"/>
      <c r="AC32000" s="247"/>
      <c r="AT32000" s="247"/>
    </row>
    <row r="32001">
      <c r="C32001" s="277"/>
      <c r="M32001" s="277"/>
      <c r="O32001" s="247"/>
      <c r="AC32001" s="247"/>
      <c r="AT32001" s="247"/>
    </row>
    <row r="32002">
      <c r="C32002" s="277"/>
      <c r="M32002" s="277"/>
      <c r="O32002" s="247"/>
      <c r="AC32002" s="247"/>
      <c r="AT32002" s="247"/>
    </row>
    <row r="32003">
      <c r="C32003" s="277"/>
      <c r="M32003" s="277"/>
      <c r="O32003" s="247"/>
      <c r="AC32003" s="247"/>
      <c r="AT32003" s="247"/>
    </row>
    <row r="32004">
      <c r="C32004" s="277"/>
      <c r="M32004" s="277"/>
      <c r="O32004" s="247"/>
      <c r="AC32004" s="247"/>
      <c r="AT32004" s="247"/>
    </row>
    <row r="32005">
      <c r="C32005" s="277"/>
      <c r="M32005" s="277"/>
      <c r="O32005" s="247"/>
      <c r="AC32005" s="247"/>
      <c r="AT32005" s="247"/>
    </row>
    <row r="32006">
      <c r="C32006" s="277"/>
      <c r="M32006" s="277"/>
      <c r="O32006" s="247"/>
      <c r="AC32006" s="247"/>
      <c r="AT32006" s="247"/>
    </row>
    <row r="32007">
      <c r="C32007" s="277"/>
      <c r="M32007" s="277"/>
      <c r="O32007" s="247"/>
      <c r="AC32007" s="247"/>
      <c r="AT32007" s="247"/>
    </row>
    <row r="32008">
      <c r="C32008" s="277"/>
      <c r="M32008" s="277"/>
      <c r="O32008" s="247"/>
      <c r="AC32008" s="247"/>
      <c r="AT32008" s="247"/>
    </row>
    <row r="32009">
      <c r="C32009" s="277"/>
      <c r="M32009" s="277"/>
      <c r="O32009" s="247"/>
      <c r="AC32009" s="247"/>
      <c r="AT32009" s="247"/>
    </row>
    <row r="32010">
      <c r="C32010" s="277"/>
      <c r="M32010" s="277"/>
      <c r="O32010" s="247"/>
      <c r="AC32010" s="247"/>
      <c r="AT32010" s="247"/>
    </row>
    <row r="32011">
      <c r="C32011" s="277"/>
      <c r="M32011" s="277"/>
      <c r="O32011" s="247"/>
      <c r="AC32011" s="247"/>
      <c r="AT32011" s="247"/>
    </row>
    <row r="32012">
      <c r="C32012" s="277"/>
      <c r="M32012" s="277"/>
      <c r="O32012" s="247"/>
      <c r="AC32012" s="247"/>
      <c r="AT32012" s="247"/>
    </row>
    <row r="32013">
      <c r="C32013" s="277"/>
      <c r="M32013" s="277"/>
      <c r="O32013" s="247"/>
      <c r="AC32013" s="247"/>
      <c r="AT32013" s="247"/>
    </row>
    <row r="32014">
      <c r="C32014" s="277"/>
      <c r="M32014" s="277"/>
      <c r="O32014" s="247"/>
      <c r="AC32014" s="247"/>
      <c r="AT32014" s="247"/>
    </row>
    <row r="32015">
      <c r="C32015" s="277"/>
      <c r="M32015" s="277"/>
      <c r="O32015" s="247"/>
      <c r="AC32015" s="247"/>
      <c r="AT32015" s="247"/>
    </row>
    <row r="32016">
      <c r="C32016" s="277"/>
      <c r="M32016" s="277"/>
      <c r="O32016" s="247"/>
      <c r="AC32016" s="247"/>
      <c r="AT32016" s="247"/>
    </row>
    <row r="32017">
      <c r="C32017" s="277"/>
      <c r="M32017" s="277"/>
      <c r="O32017" s="247"/>
      <c r="AC32017" s="247"/>
      <c r="AT32017" s="247"/>
    </row>
    <row r="32018">
      <c r="C32018" s="277"/>
      <c r="M32018" s="277"/>
      <c r="O32018" s="247"/>
      <c r="AC32018" s="247"/>
      <c r="AT32018" s="247"/>
    </row>
    <row r="32019">
      <c r="C32019" s="277"/>
      <c r="M32019" s="277"/>
      <c r="O32019" s="247"/>
      <c r="AC32019" s="247"/>
      <c r="AT32019" s="247"/>
    </row>
    <row r="32020">
      <c r="C32020" s="277"/>
      <c r="M32020" s="277"/>
      <c r="O32020" s="247"/>
      <c r="AC32020" s="247"/>
      <c r="AT32020" s="247"/>
    </row>
    <row r="32021">
      <c r="C32021" s="277"/>
      <c r="M32021" s="277"/>
      <c r="O32021" s="247"/>
      <c r="AC32021" s="247"/>
      <c r="AT32021" s="247"/>
    </row>
    <row r="32022">
      <c r="C32022" s="277"/>
      <c r="M32022" s="277"/>
      <c r="O32022" s="247"/>
      <c r="AC32022" s="247"/>
      <c r="AT32022" s="247"/>
    </row>
    <row r="32023">
      <c r="C32023" s="277"/>
      <c r="M32023" s="277"/>
      <c r="O32023" s="247"/>
      <c r="AC32023" s="247"/>
      <c r="AT32023" s="247"/>
    </row>
    <row r="32024">
      <c r="C32024" s="277"/>
      <c r="M32024" s="277"/>
      <c r="O32024" s="247"/>
      <c r="AC32024" s="247"/>
      <c r="AT32024" s="247"/>
    </row>
    <row r="32025">
      <c r="C32025" s="277"/>
      <c r="M32025" s="277"/>
      <c r="O32025" s="247"/>
      <c r="AC32025" s="247"/>
      <c r="AT32025" s="247"/>
    </row>
    <row r="32026">
      <c r="C32026" s="277"/>
      <c r="M32026" s="277"/>
      <c r="O32026" s="247"/>
      <c r="AC32026" s="247"/>
      <c r="AT32026" s="247"/>
    </row>
    <row r="32027">
      <c r="C32027" s="277"/>
      <c r="M32027" s="277"/>
      <c r="O32027" s="247"/>
      <c r="AC32027" s="247"/>
      <c r="AT32027" s="247"/>
    </row>
    <row r="32028">
      <c r="C32028" s="277"/>
      <c r="M32028" s="277"/>
      <c r="O32028" s="247"/>
      <c r="AC32028" s="247"/>
      <c r="AT32028" s="247"/>
    </row>
    <row r="32029">
      <c r="C32029" s="277"/>
      <c r="M32029" s="277"/>
      <c r="O32029" s="247"/>
      <c r="AC32029" s="247"/>
      <c r="AT32029" s="247"/>
    </row>
    <row r="32030">
      <c r="C32030" s="277"/>
      <c r="M32030" s="277"/>
      <c r="O32030" s="247"/>
      <c r="AC32030" s="247"/>
      <c r="AT32030" s="247"/>
    </row>
    <row r="32031">
      <c r="C32031" s="277"/>
      <c r="M32031" s="277"/>
      <c r="O32031" s="247"/>
      <c r="AC32031" s="247"/>
      <c r="AT32031" s="247"/>
    </row>
    <row r="32032">
      <c r="C32032" s="277"/>
      <c r="M32032" s="277"/>
      <c r="O32032" s="247"/>
      <c r="AC32032" s="247"/>
      <c r="AT32032" s="247"/>
    </row>
    <row r="32033">
      <c r="C32033" s="277"/>
      <c r="M32033" s="277"/>
      <c r="O32033" s="247"/>
      <c r="AC32033" s="247"/>
      <c r="AT32033" s="247"/>
    </row>
    <row r="32034">
      <c r="C32034" s="277"/>
      <c r="M32034" s="277"/>
      <c r="O32034" s="247"/>
      <c r="AC32034" s="247"/>
      <c r="AT32034" s="247"/>
    </row>
    <row r="32035">
      <c r="C32035" s="277"/>
      <c r="M32035" s="277"/>
      <c r="O32035" s="247"/>
      <c r="AC32035" s="247"/>
      <c r="AT32035" s="247"/>
    </row>
    <row r="32036">
      <c r="C32036" s="277"/>
      <c r="M32036" s="277"/>
      <c r="O32036" s="247"/>
      <c r="AC32036" s="247"/>
      <c r="AT32036" s="247"/>
    </row>
    <row r="32037">
      <c r="C32037" s="277"/>
      <c r="M32037" s="277"/>
      <c r="O32037" s="247"/>
      <c r="AC32037" s="247"/>
      <c r="AT32037" s="247"/>
    </row>
    <row r="32038">
      <c r="C32038" s="277"/>
      <c r="M32038" s="277"/>
      <c r="O32038" s="247"/>
      <c r="AC32038" s="247"/>
      <c r="AT32038" s="247"/>
    </row>
    <row r="32039">
      <c r="C32039" s="277"/>
      <c r="M32039" s="277"/>
      <c r="O32039" s="247"/>
      <c r="AC32039" s="247"/>
      <c r="AT32039" s="247"/>
    </row>
    <row r="32040">
      <c r="C32040" s="277"/>
      <c r="M32040" s="277"/>
      <c r="O32040" s="247"/>
      <c r="AC32040" s="247"/>
      <c r="AT32040" s="247"/>
    </row>
    <row r="32041">
      <c r="C32041" s="277"/>
      <c r="M32041" s="277"/>
      <c r="O32041" s="247"/>
      <c r="AC32041" s="247"/>
      <c r="AT32041" s="247"/>
    </row>
    <row r="32042">
      <c r="C32042" s="277"/>
      <c r="M32042" s="277"/>
      <c r="O32042" s="247"/>
      <c r="AC32042" s="247"/>
      <c r="AT32042" s="247"/>
    </row>
    <row r="32043">
      <c r="C32043" s="277"/>
      <c r="M32043" s="277"/>
      <c r="O32043" s="247"/>
      <c r="AC32043" s="247"/>
      <c r="AT32043" s="247"/>
    </row>
    <row r="32044">
      <c r="C32044" s="277"/>
      <c r="M32044" s="277"/>
      <c r="O32044" s="247"/>
      <c r="AC32044" s="247"/>
      <c r="AT32044" s="247"/>
    </row>
    <row r="32045">
      <c r="C32045" s="277"/>
      <c r="M32045" s="277"/>
      <c r="O32045" s="247"/>
      <c r="AC32045" s="247"/>
      <c r="AT32045" s="247"/>
    </row>
    <row r="32046">
      <c r="C32046" s="277"/>
      <c r="M32046" s="277"/>
      <c r="O32046" s="247"/>
      <c r="AC32046" s="247"/>
      <c r="AT32046" s="247"/>
    </row>
    <row r="32047">
      <c r="C32047" s="277"/>
      <c r="M32047" s="277"/>
      <c r="O32047" s="247"/>
      <c r="AC32047" s="247"/>
      <c r="AT32047" s="247"/>
    </row>
    <row r="32048">
      <c r="C32048" s="277"/>
      <c r="M32048" s="277"/>
      <c r="O32048" s="247"/>
      <c r="AC32048" s="247"/>
      <c r="AT32048" s="247"/>
    </row>
    <row r="32049">
      <c r="C32049" s="277"/>
      <c r="M32049" s="277"/>
      <c r="O32049" s="247"/>
      <c r="AC32049" s="247"/>
      <c r="AT32049" s="247"/>
    </row>
    <row r="32050">
      <c r="C32050" s="277"/>
      <c r="M32050" s="277"/>
      <c r="O32050" s="247"/>
      <c r="AC32050" s="247"/>
      <c r="AT32050" s="247"/>
    </row>
    <row r="32051">
      <c r="C32051" s="277"/>
      <c r="M32051" s="277"/>
      <c r="O32051" s="247"/>
      <c r="AC32051" s="247"/>
      <c r="AT32051" s="247"/>
    </row>
    <row r="32052">
      <c r="C32052" s="277"/>
      <c r="M32052" s="277"/>
      <c r="O32052" s="247"/>
      <c r="AC32052" s="247"/>
      <c r="AT32052" s="247"/>
    </row>
    <row r="32053">
      <c r="C32053" s="277"/>
      <c r="M32053" s="277"/>
      <c r="O32053" s="247"/>
      <c r="AC32053" s="247"/>
      <c r="AT32053" s="247"/>
    </row>
    <row r="32054">
      <c r="C32054" s="277"/>
      <c r="M32054" s="277"/>
      <c r="O32054" s="247"/>
      <c r="AC32054" s="247"/>
      <c r="AT32054" s="247"/>
    </row>
    <row r="32055">
      <c r="C32055" s="277"/>
      <c r="M32055" s="277"/>
      <c r="O32055" s="247"/>
      <c r="AC32055" s="247"/>
      <c r="AT32055" s="247"/>
    </row>
    <row r="32056">
      <c r="C32056" s="277"/>
      <c r="M32056" s="277"/>
      <c r="O32056" s="247"/>
      <c r="AC32056" s="247"/>
      <c r="AT32056" s="247"/>
    </row>
    <row r="32057">
      <c r="C32057" s="277"/>
      <c r="M32057" s="277"/>
      <c r="O32057" s="247"/>
      <c r="AC32057" s="247"/>
      <c r="AT32057" s="247"/>
    </row>
    <row r="32058">
      <c r="C32058" s="277"/>
      <c r="M32058" s="277"/>
      <c r="O32058" s="247"/>
      <c r="AC32058" s="247"/>
      <c r="AT32058" s="247"/>
    </row>
    <row r="32059">
      <c r="C32059" s="277"/>
      <c r="M32059" s="277"/>
      <c r="O32059" s="247"/>
      <c r="AC32059" s="247"/>
      <c r="AT32059" s="247"/>
    </row>
    <row r="32060">
      <c r="C32060" s="277"/>
      <c r="M32060" s="277"/>
      <c r="O32060" s="247"/>
      <c r="AC32060" s="247"/>
      <c r="AT32060" s="247"/>
    </row>
    <row r="32061">
      <c r="C32061" s="277"/>
      <c r="M32061" s="277"/>
      <c r="O32061" s="247"/>
      <c r="AC32061" s="247"/>
      <c r="AT32061" s="247"/>
    </row>
    <row r="32062">
      <c r="C32062" s="277"/>
      <c r="M32062" s="277"/>
      <c r="O32062" s="247"/>
      <c r="AC32062" s="247"/>
      <c r="AT32062" s="247"/>
    </row>
    <row r="32063">
      <c r="C32063" s="277"/>
      <c r="M32063" s="277"/>
      <c r="O32063" s="247"/>
      <c r="AC32063" s="247"/>
      <c r="AT32063" s="247"/>
    </row>
    <row r="32064">
      <c r="C32064" s="277"/>
      <c r="M32064" s="277"/>
      <c r="O32064" s="247"/>
      <c r="AC32064" s="247"/>
      <c r="AT32064" s="247"/>
    </row>
    <row r="32065">
      <c r="C32065" s="277"/>
      <c r="M32065" s="277"/>
      <c r="O32065" s="247"/>
      <c r="AC32065" s="247"/>
      <c r="AT32065" s="247"/>
    </row>
    <row r="32066">
      <c r="C32066" s="277"/>
      <c r="M32066" s="277"/>
      <c r="O32066" s="247"/>
      <c r="AC32066" s="247"/>
      <c r="AT32066" s="247"/>
    </row>
    <row r="32067">
      <c r="C32067" s="277"/>
      <c r="M32067" s="277"/>
      <c r="O32067" s="247"/>
      <c r="AC32067" s="247"/>
      <c r="AT32067" s="247"/>
    </row>
    <row r="32068">
      <c r="C32068" s="277"/>
      <c r="M32068" s="277"/>
      <c r="O32068" s="247"/>
      <c r="AC32068" s="247"/>
      <c r="AT32068" s="247"/>
    </row>
    <row r="32069">
      <c r="C32069" s="277"/>
      <c r="M32069" s="277"/>
      <c r="O32069" s="247"/>
      <c r="AC32069" s="247"/>
      <c r="AT32069" s="247"/>
    </row>
    <row r="32070">
      <c r="C32070" s="277"/>
      <c r="M32070" s="277"/>
      <c r="O32070" s="247"/>
      <c r="AC32070" s="247"/>
      <c r="AT32070" s="247"/>
    </row>
    <row r="32071">
      <c r="C32071" s="277"/>
      <c r="M32071" s="277"/>
      <c r="O32071" s="247"/>
      <c r="AC32071" s="247"/>
      <c r="AT32071" s="247"/>
    </row>
    <row r="32072">
      <c r="C32072" s="277"/>
      <c r="M32072" s="277"/>
      <c r="O32072" s="247"/>
      <c r="AC32072" s="247"/>
      <c r="AT32072" s="247"/>
    </row>
    <row r="32073">
      <c r="C32073" s="277"/>
      <c r="M32073" s="277"/>
      <c r="O32073" s="247"/>
      <c r="AC32073" s="247"/>
      <c r="AT32073" s="247"/>
    </row>
    <row r="32074">
      <c r="C32074" s="277"/>
      <c r="M32074" s="277"/>
      <c r="O32074" s="247"/>
      <c r="AC32074" s="247"/>
      <c r="AT32074" s="247"/>
    </row>
    <row r="32075">
      <c r="C32075" s="277"/>
      <c r="M32075" s="277"/>
      <c r="O32075" s="247"/>
      <c r="AC32075" s="247"/>
      <c r="AT32075" s="247"/>
    </row>
    <row r="32076">
      <c r="C32076" s="277"/>
      <c r="M32076" s="277"/>
      <c r="O32076" s="247"/>
      <c r="AC32076" s="247"/>
      <c r="AT32076" s="247"/>
    </row>
    <row r="32077">
      <c r="C32077" s="277"/>
      <c r="M32077" s="277"/>
      <c r="O32077" s="247"/>
      <c r="AC32077" s="247"/>
      <c r="AT32077" s="247"/>
    </row>
    <row r="32078">
      <c r="C32078" s="277"/>
      <c r="M32078" s="277"/>
      <c r="O32078" s="247"/>
      <c r="AC32078" s="247"/>
      <c r="AT32078" s="247"/>
    </row>
    <row r="32079">
      <c r="C32079" s="277"/>
      <c r="M32079" s="277"/>
      <c r="O32079" s="247"/>
      <c r="AC32079" s="247"/>
      <c r="AT32079" s="247"/>
    </row>
    <row r="32080">
      <c r="C32080" s="277"/>
      <c r="M32080" s="277"/>
      <c r="O32080" s="247"/>
      <c r="AC32080" s="247"/>
      <c r="AT32080" s="247"/>
    </row>
    <row r="32081">
      <c r="C32081" s="277"/>
      <c r="M32081" s="277"/>
      <c r="O32081" s="247"/>
      <c r="AC32081" s="247"/>
      <c r="AT32081" s="247"/>
    </row>
    <row r="32082">
      <c r="C32082" s="277"/>
      <c r="M32082" s="277"/>
      <c r="O32082" s="247"/>
      <c r="AC32082" s="247"/>
      <c r="AT32082" s="247"/>
    </row>
    <row r="32083">
      <c r="C32083" s="277"/>
      <c r="M32083" s="277"/>
      <c r="O32083" s="247"/>
      <c r="AC32083" s="247"/>
      <c r="AT32083" s="247"/>
    </row>
    <row r="32084">
      <c r="C32084" s="277"/>
      <c r="M32084" s="277"/>
      <c r="O32084" s="247"/>
      <c r="AC32084" s="247"/>
      <c r="AT32084" s="247"/>
    </row>
    <row r="32085">
      <c r="C32085" s="277"/>
      <c r="M32085" s="277"/>
      <c r="O32085" s="247"/>
      <c r="AC32085" s="247"/>
      <c r="AT32085" s="247"/>
    </row>
    <row r="32086">
      <c r="C32086" s="277"/>
      <c r="M32086" s="277"/>
      <c r="O32086" s="247"/>
      <c r="AC32086" s="247"/>
      <c r="AT32086" s="247"/>
    </row>
    <row r="32087">
      <c r="C32087" s="277"/>
      <c r="M32087" s="277"/>
      <c r="O32087" s="247"/>
      <c r="AC32087" s="247"/>
      <c r="AT32087" s="247"/>
    </row>
    <row r="32088">
      <c r="C32088" s="277"/>
      <c r="M32088" s="277"/>
      <c r="O32088" s="247"/>
      <c r="AC32088" s="247"/>
      <c r="AT32088" s="247"/>
    </row>
    <row r="32089">
      <c r="C32089" s="277"/>
      <c r="M32089" s="277"/>
      <c r="O32089" s="247"/>
      <c r="AC32089" s="247"/>
      <c r="AT32089" s="247"/>
    </row>
    <row r="32090">
      <c r="C32090" s="277"/>
      <c r="M32090" s="277"/>
      <c r="O32090" s="247"/>
      <c r="AC32090" s="247"/>
      <c r="AT32090" s="247"/>
    </row>
    <row r="32091">
      <c r="C32091" s="277"/>
      <c r="M32091" s="277"/>
      <c r="O32091" s="247"/>
      <c r="AC32091" s="247"/>
      <c r="AT32091" s="247"/>
    </row>
    <row r="32092">
      <c r="C32092" s="277"/>
      <c r="M32092" s="277"/>
      <c r="O32092" s="247"/>
      <c r="AC32092" s="247"/>
      <c r="AT32092" s="247"/>
    </row>
    <row r="32093">
      <c r="C32093" s="277"/>
      <c r="M32093" s="277"/>
      <c r="O32093" s="247"/>
      <c r="AC32093" s="247"/>
      <c r="AT32093" s="247"/>
    </row>
    <row r="32094">
      <c r="C32094" s="277"/>
      <c r="M32094" s="277"/>
      <c r="O32094" s="247"/>
      <c r="AC32094" s="247"/>
      <c r="AT32094" s="247"/>
    </row>
    <row r="32095">
      <c r="C32095" s="277"/>
      <c r="M32095" s="277"/>
      <c r="O32095" s="247"/>
      <c r="AC32095" s="247"/>
      <c r="AT32095" s="247"/>
    </row>
    <row r="32096">
      <c r="C32096" s="277"/>
      <c r="M32096" s="277"/>
      <c r="O32096" s="247"/>
      <c r="AC32096" s="247"/>
      <c r="AT32096" s="247"/>
    </row>
    <row r="32097">
      <c r="C32097" s="277"/>
      <c r="M32097" s="277"/>
      <c r="O32097" s="247"/>
      <c r="AC32097" s="247"/>
      <c r="AT32097" s="247"/>
    </row>
    <row r="32098">
      <c r="C32098" s="277"/>
      <c r="M32098" s="277"/>
      <c r="O32098" s="247"/>
      <c r="AC32098" s="247"/>
      <c r="AT32098" s="247"/>
    </row>
    <row r="32099">
      <c r="C32099" s="277"/>
      <c r="M32099" s="277"/>
      <c r="O32099" s="247"/>
      <c r="AC32099" s="247"/>
      <c r="AT32099" s="247"/>
    </row>
    <row r="32100">
      <c r="C32100" s="277"/>
      <c r="M32100" s="277"/>
      <c r="O32100" s="247"/>
      <c r="AC32100" s="247"/>
      <c r="AT32100" s="247"/>
    </row>
    <row r="32101">
      <c r="C32101" s="277"/>
      <c r="M32101" s="277"/>
      <c r="O32101" s="247"/>
      <c r="AC32101" s="247"/>
      <c r="AT32101" s="247"/>
    </row>
    <row r="32102">
      <c r="C32102" s="277"/>
      <c r="M32102" s="277"/>
      <c r="O32102" s="247"/>
      <c r="AC32102" s="247"/>
      <c r="AT32102" s="247"/>
    </row>
    <row r="32103">
      <c r="C32103" s="277"/>
      <c r="M32103" s="277"/>
      <c r="O32103" s="247"/>
      <c r="AC32103" s="247"/>
      <c r="AT32103" s="247"/>
    </row>
    <row r="32104">
      <c r="C32104" s="277"/>
      <c r="M32104" s="277"/>
      <c r="O32104" s="247"/>
      <c r="AC32104" s="247"/>
      <c r="AT32104" s="247"/>
    </row>
    <row r="32105">
      <c r="C32105" s="277"/>
      <c r="M32105" s="277"/>
      <c r="O32105" s="247"/>
      <c r="AC32105" s="247"/>
      <c r="AT32105" s="247"/>
    </row>
    <row r="32106">
      <c r="C32106" s="277"/>
      <c r="M32106" s="277"/>
      <c r="O32106" s="247"/>
      <c r="AC32106" s="247"/>
      <c r="AT32106" s="247"/>
    </row>
    <row r="32107">
      <c r="C32107" s="277"/>
      <c r="M32107" s="277"/>
      <c r="O32107" s="247"/>
      <c r="AC32107" s="247"/>
      <c r="AT32107" s="247"/>
    </row>
    <row r="32108">
      <c r="C32108" s="277"/>
      <c r="M32108" s="277"/>
      <c r="O32108" s="247"/>
      <c r="AC32108" s="247"/>
      <c r="AT32108" s="247"/>
    </row>
    <row r="32109">
      <c r="C32109" s="277"/>
      <c r="M32109" s="277"/>
      <c r="O32109" s="247"/>
      <c r="AC32109" s="247"/>
      <c r="AT32109" s="247"/>
    </row>
    <row r="32110">
      <c r="C32110" s="277"/>
      <c r="M32110" s="277"/>
      <c r="O32110" s="247"/>
      <c r="AC32110" s="247"/>
      <c r="AT32110" s="247"/>
    </row>
    <row r="32111">
      <c r="C32111" s="277"/>
      <c r="M32111" s="277"/>
      <c r="O32111" s="247"/>
      <c r="AC32111" s="247"/>
      <c r="AT32111" s="247"/>
    </row>
    <row r="32112">
      <c r="C32112" s="277"/>
      <c r="M32112" s="277"/>
      <c r="O32112" s="247"/>
      <c r="AC32112" s="247"/>
      <c r="AT32112" s="247"/>
    </row>
    <row r="32113">
      <c r="C32113" s="277"/>
      <c r="M32113" s="277"/>
      <c r="O32113" s="247"/>
      <c r="AC32113" s="247"/>
      <c r="AT32113" s="247"/>
    </row>
    <row r="32114">
      <c r="C32114" s="277"/>
      <c r="M32114" s="277"/>
      <c r="O32114" s="247"/>
      <c r="AC32114" s="247"/>
      <c r="AT32114" s="247"/>
    </row>
    <row r="32115">
      <c r="C32115" s="277"/>
      <c r="M32115" s="277"/>
      <c r="O32115" s="247"/>
      <c r="AC32115" s="247"/>
      <c r="AT32115" s="247"/>
    </row>
    <row r="32116">
      <c r="C32116" s="277"/>
      <c r="M32116" s="277"/>
      <c r="O32116" s="247"/>
      <c r="AC32116" s="247"/>
      <c r="AT32116" s="247"/>
    </row>
    <row r="32117">
      <c r="C32117" s="277"/>
      <c r="M32117" s="277"/>
      <c r="O32117" s="247"/>
      <c r="AC32117" s="247"/>
      <c r="AT32117" s="247"/>
    </row>
    <row r="32118">
      <c r="C32118" s="277"/>
      <c r="M32118" s="277"/>
      <c r="O32118" s="247"/>
      <c r="AC32118" s="247"/>
      <c r="AT32118" s="247"/>
    </row>
    <row r="32119">
      <c r="C32119" s="277"/>
      <c r="M32119" s="277"/>
      <c r="O32119" s="247"/>
      <c r="AC32119" s="247"/>
      <c r="AT32119" s="247"/>
    </row>
    <row r="32120">
      <c r="C32120" s="277"/>
      <c r="M32120" s="277"/>
      <c r="O32120" s="247"/>
      <c r="AC32120" s="247"/>
      <c r="AT32120" s="247"/>
    </row>
    <row r="32121">
      <c r="C32121" s="277"/>
      <c r="M32121" s="277"/>
      <c r="O32121" s="247"/>
      <c r="AC32121" s="247"/>
      <c r="AT32121" s="247"/>
    </row>
    <row r="32122">
      <c r="C32122" s="277"/>
      <c r="M32122" s="277"/>
      <c r="O32122" s="247"/>
      <c r="AC32122" s="247"/>
      <c r="AT32122" s="247"/>
    </row>
    <row r="32123">
      <c r="C32123" s="277"/>
      <c r="M32123" s="277"/>
      <c r="O32123" s="247"/>
      <c r="AC32123" s="247"/>
      <c r="AT32123" s="247"/>
    </row>
    <row r="32124">
      <c r="C32124" s="277"/>
      <c r="M32124" s="277"/>
      <c r="O32124" s="247"/>
      <c r="AC32124" s="247"/>
      <c r="AT32124" s="247"/>
    </row>
    <row r="32125">
      <c r="C32125" s="277"/>
      <c r="M32125" s="277"/>
      <c r="O32125" s="247"/>
      <c r="AC32125" s="247"/>
      <c r="AT32125" s="247"/>
    </row>
    <row r="32126">
      <c r="C32126" s="277"/>
      <c r="M32126" s="277"/>
      <c r="O32126" s="247"/>
      <c r="AC32126" s="247"/>
      <c r="AT32126" s="247"/>
    </row>
    <row r="32127">
      <c r="C32127" s="277"/>
      <c r="M32127" s="277"/>
      <c r="O32127" s="247"/>
      <c r="AC32127" s="247"/>
      <c r="AT32127" s="247"/>
    </row>
    <row r="32128">
      <c r="C32128" s="277"/>
      <c r="M32128" s="277"/>
      <c r="O32128" s="247"/>
      <c r="AC32128" s="247"/>
      <c r="AT32128" s="247"/>
    </row>
    <row r="32129">
      <c r="C32129" s="277"/>
      <c r="M32129" s="277"/>
      <c r="O32129" s="247"/>
      <c r="AC32129" s="247"/>
      <c r="AT32129" s="247"/>
    </row>
    <row r="32130">
      <c r="C32130" s="277"/>
      <c r="M32130" s="277"/>
      <c r="O32130" s="247"/>
      <c r="AC32130" s="247"/>
      <c r="AT32130" s="247"/>
    </row>
    <row r="32131">
      <c r="C32131" s="277"/>
      <c r="M32131" s="277"/>
      <c r="O32131" s="247"/>
      <c r="AC32131" s="247"/>
      <c r="AT32131" s="247"/>
    </row>
    <row r="32132">
      <c r="C32132" s="277"/>
      <c r="M32132" s="277"/>
      <c r="O32132" s="247"/>
      <c r="AC32132" s="247"/>
      <c r="AT32132" s="247"/>
    </row>
    <row r="32133">
      <c r="C32133" s="277"/>
      <c r="M32133" s="277"/>
      <c r="O32133" s="247"/>
      <c r="AC32133" s="247"/>
      <c r="AT32133" s="247"/>
    </row>
    <row r="32134">
      <c r="C32134" s="277"/>
      <c r="M32134" s="277"/>
      <c r="O32134" s="247"/>
      <c r="AC32134" s="247"/>
      <c r="AT32134" s="247"/>
    </row>
    <row r="32135">
      <c r="C32135" s="277"/>
      <c r="M32135" s="277"/>
      <c r="O32135" s="247"/>
      <c r="AC32135" s="247"/>
      <c r="AT32135" s="247"/>
    </row>
    <row r="32136">
      <c r="C32136" s="277"/>
      <c r="M32136" s="277"/>
      <c r="O32136" s="247"/>
      <c r="AC32136" s="247"/>
      <c r="AT32136" s="247"/>
    </row>
    <row r="32137">
      <c r="C32137" s="277"/>
      <c r="M32137" s="277"/>
      <c r="O32137" s="247"/>
      <c r="AC32137" s="247"/>
      <c r="AT32137" s="247"/>
    </row>
    <row r="32138">
      <c r="C32138" s="277"/>
      <c r="M32138" s="277"/>
      <c r="O32138" s="247"/>
      <c r="AC32138" s="247"/>
      <c r="AT32138" s="247"/>
    </row>
    <row r="32139">
      <c r="C32139" s="277"/>
      <c r="M32139" s="277"/>
      <c r="O32139" s="247"/>
      <c r="AC32139" s="247"/>
      <c r="AT32139" s="247"/>
    </row>
    <row r="32140">
      <c r="C32140" s="277"/>
      <c r="M32140" s="277"/>
      <c r="O32140" s="247"/>
      <c r="AC32140" s="247"/>
      <c r="AT32140" s="247"/>
    </row>
    <row r="32141">
      <c r="C32141" s="277"/>
      <c r="M32141" s="277"/>
      <c r="O32141" s="247"/>
      <c r="AC32141" s="247"/>
      <c r="AT32141" s="247"/>
    </row>
    <row r="32142">
      <c r="C32142" s="277"/>
      <c r="M32142" s="277"/>
      <c r="O32142" s="247"/>
      <c r="AC32142" s="247"/>
      <c r="AT32142" s="247"/>
    </row>
    <row r="32143">
      <c r="C32143" s="277"/>
      <c r="M32143" s="277"/>
      <c r="O32143" s="247"/>
      <c r="AC32143" s="247"/>
      <c r="AT32143" s="247"/>
    </row>
    <row r="32144">
      <c r="C32144" s="277"/>
      <c r="M32144" s="277"/>
      <c r="O32144" s="247"/>
      <c r="AC32144" s="247"/>
      <c r="AT32144" s="247"/>
    </row>
    <row r="32145">
      <c r="C32145" s="277"/>
      <c r="M32145" s="277"/>
      <c r="O32145" s="247"/>
      <c r="AC32145" s="247"/>
      <c r="AT32145" s="247"/>
    </row>
    <row r="32146">
      <c r="C32146" s="277"/>
      <c r="M32146" s="277"/>
      <c r="O32146" s="247"/>
      <c r="AC32146" s="247"/>
      <c r="AT32146" s="247"/>
    </row>
    <row r="32147">
      <c r="C32147" s="277"/>
      <c r="M32147" s="277"/>
      <c r="O32147" s="247"/>
      <c r="AC32147" s="247"/>
      <c r="AT32147" s="247"/>
    </row>
    <row r="32148">
      <c r="C32148" s="277"/>
      <c r="M32148" s="277"/>
      <c r="O32148" s="247"/>
      <c r="AC32148" s="247"/>
      <c r="AT32148" s="247"/>
    </row>
    <row r="32149">
      <c r="C32149" s="277"/>
      <c r="M32149" s="277"/>
      <c r="O32149" s="247"/>
      <c r="AC32149" s="247"/>
      <c r="AT32149" s="247"/>
    </row>
    <row r="32150">
      <c r="C32150" s="277"/>
      <c r="M32150" s="277"/>
      <c r="O32150" s="247"/>
      <c r="AC32150" s="247"/>
      <c r="AT32150" s="247"/>
    </row>
    <row r="32151">
      <c r="C32151" s="277"/>
      <c r="M32151" s="277"/>
      <c r="O32151" s="247"/>
      <c r="AC32151" s="247"/>
      <c r="AT32151" s="247"/>
    </row>
    <row r="32152">
      <c r="C32152" s="277"/>
      <c r="M32152" s="277"/>
      <c r="O32152" s="247"/>
      <c r="AC32152" s="247"/>
      <c r="AT32152" s="247"/>
    </row>
    <row r="32153">
      <c r="C32153" s="277"/>
      <c r="M32153" s="277"/>
      <c r="O32153" s="247"/>
      <c r="AC32153" s="247"/>
      <c r="AT32153" s="247"/>
    </row>
    <row r="32154">
      <c r="C32154" s="277"/>
      <c r="M32154" s="277"/>
      <c r="O32154" s="247"/>
      <c r="AC32154" s="247"/>
      <c r="AT32154" s="247"/>
    </row>
    <row r="32155">
      <c r="C32155" s="277"/>
      <c r="M32155" s="277"/>
      <c r="O32155" s="247"/>
      <c r="AC32155" s="247"/>
      <c r="AT32155" s="247"/>
    </row>
    <row r="32156">
      <c r="C32156" s="277"/>
      <c r="M32156" s="277"/>
      <c r="O32156" s="247"/>
      <c r="AC32156" s="247"/>
      <c r="AT32156" s="247"/>
    </row>
    <row r="32157">
      <c r="C32157" s="277"/>
      <c r="M32157" s="277"/>
      <c r="O32157" s="247"/>
      <c r="AC32157" s="247"/>
      <c r="AT32157" s="247"/>
    </row>
    <row r="32158">
      <c r="C32158" s="277"/>
      <c r="M32158" s="277"/>
      <c r="O32158" s="247"/>
      <c r="AC32158" s="247"/>
      <c r="AT32158" s="247"/>
    </row>
    <row r="32159">
      <c r="C32159" s="277"/>
      <c r="M32159" s="277"/>
      <c r="O32159" s="247"/>
      <c r="AC32159" s="247"/>
      <c r="AT32159" s="247"/>
    </row>
    <row r="32160">
      <c r="C32160" s="277"/>
      <c r="M32160" s="277"/>
      <c r="O32160" s="247"/>
      <c r="AC32160" s="247"/>
      <c r="AT32160" s="247"/>
    </row>
    <row r="32161">
      <c r="C32161" s="277"/>
      <c r="M32161" s="277"/>
      <c r="O32161" s="247"/>
      <c r="AC32161" s="247"/>
      <c r="AT32161" s="247"/>
    </row>
    <row r="32162">
      <c r="C32162" s="277"/>
      <c r="M32162" s="277"/>
      <c r="O32162" s="247"/>
      <c r="AC32162" s="247"/>
      <c r="AT32162" s="247"/>
    </row>
    <row r="32163">
      <c r="C32163" s="277"/>
      <c r="M32163" s="277"/>
      <c r="O32163" s="247"/>
      <c r="AC32163" s="247"/>
      <c r="AT32163" s="247"/>
    </row>
    <row r="32164">
      <c r="C32164" s="277"/>
      <c r="M32164" s="277"/>
      <c r="O32164" s="247"/>
      <c r="AC32164" s="247"/>
      <c r="AT32164" s="247"/>
    </row>
    <row r="32165">
      <c r="C32165" s="277"/>
      <c r="M32165" s="277"/>
      <c r="O32165" s="247"/>
      <c r="AC32165" s="247"/>
      <c r="AT32165" s="247"/>
    </row>
    <row r="32166">
      <c r="C32166" s="277"/>
      <c r="M32166" s="277"/>
      <c r="O32166" s="247"/>
      <c r="AC32166" s="247"/>
      <c r="AT32166" s="247"/>
    </row>
    <row r="32167">
      <c r="C32167" s="277"/>
      <c r="M32167" s="277"/>
      <c r="O32167" s="247"/>
      <c r="AC32167" s="247"/>
      <c r="AT32167" s="247"/>
    </row>
    <row r="32168">
      <c r="C32168" s="277"/>
      <c r="M32168" s="277"/>
      <c r="O32168" s="247"/>
      <c r="AC32168" s="247"/>
      <c r="AT32168" s="247"/>
    </row>
    <row r="32169">
      <c r="C32169" s="277"/>
      <c r="M32169" s="277"/>
      <c r="O32169" s="247"/>
      <c r="AC32169" s="247"/>
      <c r="AT32169" s="247"/>
    </row>
    <row r="32170">
      <c r="C32170" s="277"/>
      <c r="M32170" s="277"/>
      <c r="O32170" s="247"/>
      <c r="AC32170" s="247"/>
      <c r="AT32170" s="247"/>
    </row>
    <row r="32171">
      <c r="C32171" s="277"/>
      <c r="M32171" s="277"/>
      <c r="O32171" s="247"/>
      <c r="AC32171" s="247"/>
      <c r="AT32171" s="247"/>
    </row>
    <row r="32172">
      <c r="C32172" s="277"/>
      <c r="M32172" s="277"/>
      <c r="O32172" s="247"/>
      <c r="AC32172" s="247"/>
      <c r="AT32172" s="247"/>
    </row>
    <row r="32173">
      <c r="C32173" s="277"/>
      <c r="M32173" s="277"/>
      <c r="O32173" s="247"/>
      <c r="AC32173" s="247"/>
      <c r="AT32173" s="247"/>
    </row>
    <row r="32174">
      <c r="C32174" s="277"/>
      <c r="M32174" s="277"/>
      <c r="O32174" s="247"/>
      <c r="AC32174" s="247"/>
      <c r="AT32174" s="247"/>
    </row>
    <row r="32175">
      <c r="C32175" s="277"/>
      <c r="M32175" s="277"/>
      <c r="O32175" s="247"/>
      <c r="AC32175" s="247"/>
      <c r="AT32175" s="247"/>
    </row>
    <row r="32176">
      <c r="C32176" s="277"/>
      <c r="M32176" s="277"/>
      <c r="O32176" s="247"/>
      <c r="AC32176" s="247"/>
      <c r="AT32176" s="247"/>
    </row>
    <row r="32177">
      <c r="C32177" s="277"/>
      <c r="M32177" s="277"/>
      <c r="O32177" s="247"/>
      <c r="AC32177" s="247"/>
      <c r="AT32177" s="247"/>
    </row>
    <row r="32178">
      <c r="C32178" s="277"/>
      <c r="M32178" s="277"/>
      <c r="O32178" s="247"/>
      <c r="AC32178" s="247"/>
      <c r="AT32178" s="247"/>
    </row>
    <row r="32179">
      <c r="C32179" s="277"/>
      <c r="M32179" s="277"/>
      <c r="O32179" s="247"/>
      <c r="AC32179" s="247"/>
      <c r="AT32179" s="247"/>
    </row>
    <row r="32180">
      <c r="C32180" s="277"/>
      <c r="M32180" s="277"/>
      <c r="O32180" s="247"/>
      <c r="AC32180" s="247"/>
      <c r="AT32180" s="247"/>
    </row>
    <row r="32181">
      <c r="C32181" s="277"/>
      <c r="M32181" s="277"/>
      <c r="O32181" s="247"/>
      <c r="AC32181" s="247"/>
      <c r="AT32181" s="247"/>
    </row>
    <row r="32182">
      <c r="C32182" s="277"/>
      <c r="M32182" s="277"/>
      <c r="O32182" s="247"/>
      <c r="AC32182" s="247"/>
      <c r="AT32182" s="247"/>
    </row>
    <row r="32183">
      <c r="C32183" s="277"/>
      <c r="M32183" s="277"/>
      <c r="O32183" s="247"/>
      <c r="AC32183" s="247"/>
      <c r="AT32183" s="247"/>
    </row>
    <row r="32184">
      <c r="C32184" s="277"/>
      <c r="M32184" s="277"/>
      <c r="O32184" s="247"/>
      <c r="AC32184" s="247"/>
      <c r="AT32184" s="247"/>
    </row>
    <row r="32185">
      <c r="C32185" s="277"/>
      <c r="M32185" s="277"/>
      <c r="O32185" s="247"/>
      <c r="AC32185" s="247"/>
      <c r="AT32185" s="247"/>
    </row>
    <row r="32186">
      <c r="C32186" s="277"/>
      <c r="M32186" s="277"/>
      <c r="O32186" s="247"/>
      <c r="AC32186" s="247"/>
      <c r="AT32186" s="247"/>
    </row>
    <row r="32187">
      <c r="C32187" s="277"/>
      <c r="M32187" s="277"/>
      <c r="O32187" s="247"/>
      <c r="AC32187" s="247"/>
      <c r="AT32187" s="247"/>
    </row>
    <row r="32188">
      <c r="C32188" s="277"/>
      <c r="M32188" s="277"/>
      <c r="O32188" s="247"/>
      <c r="AC32188" s="247"/>
      <c r="AT32188" s="247"/>
    </row>
    <row r="32189">
      <c r="C32189" s="277"/>
      <c r="M32189" s="277"/>
      <c r="O32189" s="247"/>
      <c r="AC32189" s="247"/>
      <c r="AT32189" s="247"/>
    </row>
    <row r="32190">
      <c r="C32190" s="277"/>
      <c r="M32190" s="277"/>
      <c r="O32190" s="247"/>
      <c r="AC32190" s="247"/>
      <c r="AT32190" s="247"/>
    </row>
    <row r="32191">
      <c r="C32191" s="277"/>
      <c r="M32191" s="277"/>
      <c r="O32191" s="247"/>
      <c r="AC32191" s="247"/>
      <c r="AT32191" s="247"/>
    </row>
    <row r="32192">
      <c r="C32192" s="277"/>
      <c r="M32192" s="277"/>
      <c r="O32192" s="247"/>
      <c r="AC32192" s="247"/>
      <c r="AT32192" s="247"/>
    </row>
    <row r="32193">
      <c r="C32193" s="277"/>
      <c r="M32193" s="277"/>
      <c r="O32193" s="247"/>
      <c r="AC32193" s="247"/>
      <c r="AT32193" s="247"/>
    </row>
    <row r="32194">
      <c r="C32194" s="277"/>
      <c r="M32194" s="277"/>
      <c r="O32194" s="247"/>
      <c r="AC32194" s="247"/>
      <c r="AT32194" s="247"/>
    </row>
    <row r="32195">
      <c r="C32195" s="277"/>
      <c r="M32195" s="277"/>
      <c r="O32195" s="247"/>
      <c r="AC32195" s="247"/>
      <c r="AT32195" s="247"/>
    </row>
    <row r="32196">
      <c r="C32196" s="277"/>
      <c r="M32196" s="277"/>
      <c r="O32196" s="247"/>
      <c r="AC32196" s="247"/>
      <c r="AT32196" s="247"/>
    </row>
    <row r="32197">
      <c r="C32197" s="277"/>
      <c r="M32197" s="277"/>
      <c r="O32197" s="247"/>
      <c r="AC32197" s="247"/>
      <c r="AT32197" s="247"/>
    </row>
    <row r="32198">
      <c r="C32198" s="277"/>
      <c r="M32198" s="277"/>
      <c r="O32198" s="247"/>
      <c r="AC32198" s="247"/>
      <c r="AT32198" s="247"/>
    </row>
    <row r="32199">
      <c r="C32199" s="277"/>
      <c r="M32199" s="277"/>
      <c r="O32199" s="247"/>
      <c r="AC32199" s="247"/>
      <c r="AT32199" s="247"/>
    </row>
    <row r="32200">
      <c r="C32200" s="277"/>
      <c r="M32200" s="277"/>
      <c r="O32200" s="247"/>
      <c r="AC32200" s="247"/>
      <c r="AT32200" s="247"/>
    </row>
    <row r="32201">
      <c r="C32201" s="277"/>
      <c r="M32201" s="277"/>
      <c r="O32201" s="247"/>
      <c r="AC32201" s="247"/>
      <c r="AT32201" s="247"/>
    </row>
    <row r="32202">
      <c r="C32202" s="277"/>
      <c r="M32202" s="277"/>
      <c r="O32202" s="247"/>
      <c r="AC32202" s="247"/>
      <c r="AT32202" s="247"/>
    </row>
    <row r="32203">
      <c r="C32203" s="277"/>
      <c r="M32203" s="277"/>
      <c r="O32203" s="247"/>
      <c r="AC32203" s="247"/>
      <c r="AT32203" s="247"/>
    </row>
    <row r="32204">
      <c r="C32204" s="277"/>
      <c r="M32204" s="277"/>
      <c r="O32204" s="247"/>
      <c r="AC32204" s="247"/>
      <c r="AT32204" s="247"/>
    </row>
    <row r="32205">
      <c r="C32205" s="277"/>
      <c r="J32205" s="279"/>
      <c r="M32205" s="277"/>
      <c r="O32205" s="247"/>
      <c r="AC32205" s="247"/>
      <c r="AT32205" s="247"/>
    </row>
    <row r="32206">
      <c r="C32206" s="277"/>
      <c r="M32206" s="277"/>
      <c r="O32206" s="247"/>
      <c r="AC32206" s="247"/>
      <c r="AT32206" s="247"/>
    </row>
    <row r="32207">
      <c r="C32207" s="277"/>
      <c r="M32207" s="277"/>
      <c r="O32207" s="247"/>
      <c r="AC32207" s="247"/>
      <c r="AT32207" s="247"/>
    </row>
    <row r="32208">
      <c r="C32208" s="277"/>
      <c r="M32208" s="277"/>
      <c r="O32208" s="247"/>
      <c r="AC32208" s="247"/>
      <c r="AT32208" s="247"/>
    </row>
    <row r="32209">
      <c r="C32209" s="277"/>
      <c r="M32209" s="277"/>
      <c r="O32209" s="247"/>
      <c r="AC32209" s="247"/>
      <c r="AT32209" s="247"/>
    </row>
    <row r="32210">
      <c r="C32210" s="277"/>
      <c r="M32210" s="277"/>
      <c r="O32210" s="247"/>
      <c r="AC32210" s="247"/>
      <c r="AT32210" s="247"/>
    </row>
    <row r="32211">
      <c r="C32211" s="277"/>
      <c r="M32211" s="277"/>
      <c r="O32211" s="247"/>
      <c r="AC32211" s="247"/>
      <c r="AT32211" s="247"/>
    </row>
    <row r="32212">
      <c r="C32212" s="277"/>
      <c r="M32212" s="277"/>
      <c r="O32212" s="247"/>
      <c r="AC32212" s="247"/>
      <c r="AT32212" s="247"/>
    </row>
    <row r="32213">
      <c r="C32213" s="277"/>
      <c r="M32213" s="277"/>
      <c r="O32213" s="247"/>
      <c r="AC32213" s="247"/>
      <c r="AT32213" s="247"/>
    </row>
    <row r="32214">
      <c r="C32214" s="277"/>
      <c r="M32214" s="277"/>
      <c r="O32214" s="247"/>
      <c r="AC32214" s="247"/>
      <c r="AT32214" s="247"/>
    </row>
    <row r="32215">
      <c r="C32215" s="277"/>
      <c r="M32215" s="277"/>
      <c r="O32215" s="247"/>
      <c r="AC32215" s="247"/>
      <c r="AT32215" s="247"/>
    </row>
    <row r="32216">
      <c r="C32216" s="277"/>
      <c r="M32216" s="277"/>
      <c r="O32216" s="247"/>
      <c r="AC32216" s="247"/>
      <c r="AT32216" s="247"/>
    </row>
    <row r="32217">
      <c r="C32217" s="277"/>
      <c r="M32217" s="277"/>
      <c r="O32217" s="247"/>
      <c r="AC32217" s="247"/>
      <c r="AT32217" s="247"/>
    </row>
    <row r="32218">
      <c r="C32218" s="277"/>
      <c r="M32218" s="277"/>
      <c r="O32218" s="247"/>
      <c r="AC32218" s="247"/>
      <c r="AT32218" s="247"/>
    </row>
    <row r="32219">
      <c r="C32219" s="277"/>
      <c r="M32219" s="277"/>
      <c r="O32219" s="247"/>
      <c r="AC32219" s="247"/>
      <c r="AT32219" s="247"/>
    </row>
    <row r="32220">
      <c r="C32220" s="277"/>
      <c r="M32220" s="277"/>
      <c r="O32220" s="247"/>
      <c r="AC32220" s="247"/>
      <c r="AT32220" s="247"/>
    </row>
    <row r="32221">
      <c r="C32221" s="277"/>
      <c r="M32221" s="277"/>
      <c r="O32221" s="247"/>
      <c r="AC32221" s="247"/>
      <c r="AT32221" s="247"/>
    </row>
    <row r="32222">
      <c r="C32222" s="277"/>
      <c r="M32222" s="277"/>
      <c r="O32222" s="247"/>
      <c r="AC32222" s="247"/>
      <c r="AT32222" s="247"/>
    </row>
    <row r="32223">
      <c r="C32223" s="277"/>
      <c r="M32223" s="277"/>
      <c r="O32223" s="247"/>
      <c r="AC32223" s="247"/>
      <c r="AT32223" s="247"/>
    </row>
    <row r="32224">
      <c r="C32224" s="277"/>
      <c r="M32224" s="277"/>
      <c r="O32224" s="247"/>
      <c r="AC32224" s="247"/>
      <c r="AT32224" s="247"/>
    </row>
    <row r="32225">
      <c r="C32225" s="277"/>
      <c r="M32225" s="277"/>
      <c r="O32225" s="247"/>
      <c r="AC32225" s="247"/>
      <c r="AT32225" s="247"/>
    </row>
    <row r="32226">
      <c r="C32226" s="277"/>
      <c r="M32226" s="277"/>
      <c r="O32226" s="247"/>
      <c r="AC32226" s="247"/>
      <c r="AT32226" s="247"/>
    </row>
    <row r="32227">
      <c r="C32227" s="277"/>
      <c r="M32227" s="277"/>
      <c r="O32227" s="247"/>
      <c r="AC32227" s="247"/>
      <c r="AT32227" s="247"/>
    </row>
    <row r="32228">
      <c r="C32228" s="277"/>
      <c r="M32228" s="277"/>
      <c r="O32228" s="247"/>
      <c r="AC32228" s="247"/>
      <c r="AT32228" s="247"/>
    </row>
    <row r="32229">
      <c r="C32229" s="277"/>
      <c r="M32229" s="277"/>
      <c r="O32229" s="247"/>
      <c r="AC32229" s="247"/>
      <c r="AT32229" s="247"/>
    </row>
    <row r="32230">
      <c r="C32230" s="277"/>
      <c r="M32230" s="277"/>
      <c r="O32230" s="247"/>
      <c r="AC32230" s="247"/>
      <c r="AT32230" s="247"/>
    </row>
    <row r="32231">
      <c r="C32231" s="277"/>
      <c r="M32231" s="277"/>
      <c r="O32231" s="247"/>
      <c r="AC32231" s="247"/>
      <c r="AT32231" s="247"/>
    </row>
    <row r="32232">
      <c r="C32232" s="277"/>
      <c r="M32232" s="277"/>
      <c r="O32232" s="247"/>
      <c r="AC32232" s="247"/>
      <c r="AT32232" s="247"/>
    </row>
    <row r="32233">
      <c r="C32233" s="277"/>
      <c r="M32233" s="277"/>
      <c r="O32233" s="247"/>
      <c r="AC32233" s="247"/>
      <c r="AT32233" s="247"/>
    </row>
    <row r="32234">
      <c r="C32234" s="277"/>
      <c r="M32234" s="277"/>
      <c r="O32234" s="247"/>
      <c r="AC32234" s="247"/>
      <c r="AT32234" s="247"/>
    </row>
    <row r="32235">
      <c r="C32235" s="277"/>
      <c r="M32235" s="277"/>
      <c r="O32235" s="247"/>
      <c r="AC32235" s="247"/>
      <c r="AT32235" s="247"/>
    </row>
    <row r="32236">
      <c r="C32236" s="277"/>
      <c r="M32236" s="277"/>
      <c r="O32236" s="247"/>
      <c r="AC32236" s="247"/>
      <c r="AT32236" s="247"/>
    </row>
    <row r="32237">
      <c r="C32237" s="277"/>
      <c r="M32237" s="277"/>
      <c r="O32237" s="247"/>
      <c r="AC32237" s="247"/>
      <c r="AT32237" s="247"/>
    </row>
    <row r="32238">
      <c r="C32238" s="277"/>
      <c r="M32238" s="277"/>
      <c r="O32238" s="247"/>
      <c r="AC32238" s="247"/>
      <c r="AT32238" s="247"/>
    </row>
    <row r="32239">
      <c r="C32239" s="277"/>
      <c r="M32239" s="277"/>
      <c r="O32239" s="247"/>
      <c r="AC32239" s="247"/>
      <c r="AT32239" s="247"/>
    </row>
    <row r="32240">
      <c r="C32240" s="277"/>
      <c r="M32240" s="277"/>
      <c r="O32240" s="247"/>
      <c r="AC32240" s="247"/>
      <c r="AT32240" s="247"/>
    </row>
    <row r="32241">
      <c r="C32241" s="277"/>
      <c r="M32241" s="277"/>
      <c r="O32241" s="247"/>
      <c r="AC32241" s="247"/>
      <c r="AT32241" s="247"/>
    </row>
    <row r="32242">
      <c r="C32242" s="277"/>
      <c r="M32242" s="277"/>
      <c r="O32242" s="247"/>
      <c r="AC32242" s="247"/>
      <c r="AT32242" s="247"/>
    </row>
    <row r="32243">
      <c r="C32243" s="277"/>
      <c r="M32243" s="277"/>
      <c r="O32243" s="247"/>
      <c r="AC32243" s="247"/>
      <c r="AT32243" s="247"/>
    </row>
    <row r="32244">
      <c r="C32244" s="277"/>
      <c r="M32244" s="277"/>
      <c r="O32244" s="247"/>
      <c r="AC32244" s="247"/>
      <c r="AT32244" s="247"/>
    </row>
    <row r="32245">
      <c r="C32245" s="277"/>
      <c r="M32245" s="277"/>
      <c r="O32245" s="247"/>
      <c r="AC32245" s="247"/>
      <c r="AT32245" s="247"/>
    </row>
    <row r="32246">
      <c r="C32246" s="277"/>
      <c r="M32246" s="277"/>
      <c r="O32246" s="247"/>
      <c r="AC32246" s="247"/>
      <c r="AT32246" s="247"/>
    </row>
    <row r="32247">
      <c r="C32247" s="277"/>
      <c r="M32247" s="277"/>
      <c r="O32247" s="247"/>
      <c r="AC32247" s="247"/>
      <c r="AT32247" s="247"/>
    </row>
    <row r="32248">
      <c r="C32248" s="277"/>
      <c r="M32248" s="277"/>
      <c r="O32248" s="247"/>
      <c r="AC32248" s="247"/>
      <c r="AT32248" s="247"/>
    </row>
    <row r="32249">
      <c r="C32249" s="277"/>
      <c r="M32249" s="277"/>
      <c r="O32249" s="247"/>
      <c r="AC32249" s="247"/>
      <c r="AT32249" s="247"/>
    </row>
    <row r="32250">
      <c r="C32250" s="277"/>
      <c r="M32250" s="277"/>
      <c r="O32250" s="247"/>
      <c r="AC32250" s="247"/>
      <c r="AT32250" s="247"/>
    </row>
    <row r="32251">
      <c r="C32251" s="277"/>
      <c r="M32251" s="277"/>
      <c r="O32251" s="247"/>
      <c r="AC32251" s="247"/>
      <c r="AT32251" s="247"/>
    </row>
    <row r="32252">
      <c r="C32252" s="277"/>
      <c r="M32252" s="277"/>
      <c r="O32252" s="247"/>
      <c r="AC32252" s="247"/>
      <c r="AT32252" s="247"/>
    </row>
    <row r="32253">
      <c r="C32253" s="277"/>
      <c r="M32253" s="277"/>
      <c r="O32253" s="247"/>
      <c r="AC32253" s="247"/>
      <c r="AT32253" s="247"/>
    </row>
    <row r="32254">
      <c r="C32254" s="277"/>
      <c r="M32254" s="277"/>
      <c r="O32254" s="247"/>
      <c r="AC32254" s="247"/>
      <c r="AT32254" s="247"/>
    </row>
    <row r="32255">
      <c r="C32255" s="277"/>
      <c r="M32255" s="277"/>
      <c r="O32255" s="247"/>
      <c r="AC32255" s="247"/>
      <c r="AT32255" s="247"/>
    </row>
    <row r="32256">
      <c r="C32256" s="277"/>
      <c r="M32256" s="277"/>
      <c r="O32256" s="247"/>
      <c r="AC32256" s="247"/>
      <c r="AT32256" s="247"/>
    </row>
    <row r="32257">
      <c r="C32257" s="277"/>
      <c r="M32257" s="277"/>
      <c r="O32257" s="247"/>
      <c r="AC32257" s="247"/>
      <c r="AT32257" s="247"/>
    </row>
    <row r="32258">
      <c r="C32258" s="277"/>
      <c r="M32258" s="277"/>
      <c r="O32258" s="247"/>
      <c r="AC32258" s="247"/>
      <c r="AT32258" s="247"/>
    </row>
    <row r="32259">
      <c r="C32259" s="277"/>
      <c r="M32259" s="277"/>
      <c r="O32259" s="247"/>
      <c r="AC32259" s="247"/>
      <c r="AT32259" s="247"/>
    </row>
    <row r="32260">
      <c r="C32260" s="277"/>
      <c r="M32260" s="277"/>
      <c r="O32260" s="247"/>
      <c r="AC32260" s="247"/>
      <c r="AT32260" s="247"/>
    </row>
    <row r="32261">
      <c r="C32261" s="277"/>
      <c r="M32261" s="277"/>
      <c r="O32261" s="247"/>
      <c r="AC32261" s="247"/>
      <c r="AT32261" s="247"/>
    </row>
    <row r="32262">
      <c r="C32262" s="277"/>
      <c r="M32262" s="277"/>
      <c r="O32262" s="247"/>
      <c r="AC32262" s="247"/>
      <c r="AT32262" s="247"/>
    </row>
    <row r="32263">
      <c r="C32263" s="277"/>
      <c r="M32263" s="277"/>
      <c r="O32263" s="247"/>
      <c r="AC32263" s="247"/>
      <c r="AT32263" s="247"/>
    </row>
    <row r="32264">
      <c r="C32264" s="277"/>
      <c r="M32264" s="277"/>
      <c r="O32264" s="247"/>
      <c r="AC32264" s="247"/>
      <c r="AT32264" s="247"/>
    </row>
    <row r="32265">
      <c r="C32265" s="277"/>
      <c r="M32265" s="277"/>
      <c r="O32265" s="247"/>
      <c r="AC32265" s="247"/>
      <c r="AT32265" s="247"/>
    </row>
    <row r="32266">
      <c r="C32266" s="277"/>
      <c r="M32266" s="277"/>
      <c r="O32266" s="247"/>
      <c r="AC32266" s="247"/>
      <c r="AT32266" s="247"/>
    </row>
    <row r="32267">
      <c r="C32267" s="277"/>
      <c r="M32267" s="277"/>
      <c r="O32267" s="247"/>
      <c r="AC32267" s="247"/>
      <c r="AT32267" s="247"/>
    </row>
    <row r="32268">
      <c r="C32268" s="277"/>
      <c r="M32268" s="277"/>
      <c r="O32268" s="247"/>
      <c r="AC32268" s="247"/>
      <c r="AT32268" s="247"/>
    </row>
    <row r="32269">
      <c r="C32269" s="277"/>
      <c r="M32269" s="277"/>
      <c r="O32269" s="247"/>
      <c r="AC32269" s="247"/>
      <c r="AT32269" s="247"/>
    </row>
    <row r="32270">
      <c r="C32270" s="277"/>
      <c r="M32270" s="277"/>
      <c r="O32270" s="247"/>
      <c r="AC32270" s="247"/>
      <c r="AT32270" s="247"/>
    </row>
    <row r="32271">
      <c r="C32271" s="277"/>
      <c r="M32271" s="277"/>
      <c r="O32271" s="247"/>
      <c r="AC32271" s="247"/>
      <c r="AT32271" s="247"/>
    </row>
    <row r="32272">
      <c r="C32272" s="277"/>
      <c r="M32272" s="277"/>
      <c r="O32272" s="247"/>
      <c r="AC32272" s="247"/>
      <c r="AT32272" s="247"/>
    </row>
    <row r="32273">
      <c r="C32273" s="277"/>
      <c r="M32273" s="277"/>
      <c r="O32273" s="247"/>
      <c r="AC32273" s="247"/>
      <c r="AT32273" s="247"/>
    </row>
    <row r="32274">
      <c r="C32274" s="277"/>
      <c r="M32274" s="277"/>
      <c r="O32274" s="247"/>
      <c r="AC32274" s="247"/>
      <c r="AT32274" s="247"/>
    </row>
    <row r="32275">
      <c r="C32275" s="277"/>
      <c r="M32275" s="277"/>
      <c r="O32275" s="247"/>
      <c r="AC32275" s="247"/>
      <c r="AT32275" s="247"/>
    </row>
    <row r="32276">
      <c r="C32276" s="277"/>
      <c r="M32276" s="277"/>
      <c r="O32276" s="247"/>
      <c r="AC32276" s="247"/>
      <c r="AT32276" s="247"/>
    </row>
    <row r="32277">
      <c r="C32277" s="277"/>
      <c r="M32277" s="277"/>
      <c r="O32277" s="247"/>
      <c r="AC32277" s="247"/>
      <c r="AT32277" s="247"/>
    </row>
    <row r="32278">
      <c r="C32278" s="277"/>
      <c r="M32278" s="277"/>
      <c r="O32278" s="247"/>
      <c r="AC32278" s="247"/>
      <c r="AT32278" s="247"/>
    </row>
    <row r="32279">
      <c r="C32279" s="277"/>
      <c r="M32279" s="277"/>
      <c r="O32279" s="247"/>
      <c r="AC32279" s="247"/>
      <c r="AT32279" s="247"/>
    </row>
    <row r="32280">
      <c r="C32280" s="277"/>
      <c r="M32280" s="277"/>
      <c r="O32280" s="247"/>
      <c r="AC32280" s="247"/>
      <c r="AT32280" s="247"/>
    </row>
    <row r="32281">
      <c r="C32281" s="277"/>
      <c r="M32281" s="277"/>
      <c r="O32281" s="247"/>
      <c r="AC32281" s="247"/>
      <c r="AT32281" s="247"/>
    </row>
    <row r="32282">
      <c r="C32282" s="277"/>
      <c r="M32282" s="277"/>
      <c r="O32282" s="247"/>
      <c r="AC32282" s="247"/>
      <c r="AT32282" s="247"/>
    </row>
    <row r="32283">
      <c r="C32283" s="277"/>
      <c r="M32283" s="277"/>
      <c r="O32283" s="247"/>
      <c r="AC32283" s="247"/>
      <c r="AT32283" s="247"/>
    </row>
    <row r="32284">
      <c r="C32284" s="277"/>
      <c r="M32284" s="277"/>
      <c r="O32284" s="247"/>
      <c r="AC32284" s="247"/>
      <c r="AT32284" s="247"/>
    </row>
    <row r="32285">
      <c r="C32285" s="277"/>
      <c r="M32285" s="277"/>
      <c r="O32285" s="247"/>
      <c r="AC32285" s="247"/>
      <c r="AT32285" s="247"/>
    </row>
    <row r="32286">
      <c r="C32286" s="277"/>
      <c r="M32286" s="277"/>
      <c r="O32286" s="247"/>
      <c r="AC32286" s="247"/>
      <c r="AT32286" s="247"/>
    </row>
    <row r="32287">
      <c r="C32287" s="277"/>
      <c r="M32287" s="277"/>
      <c r="O32287" s="247"/>
      <c r="AC32287" s="247"/>
      <c r="AT32287" s="247"/>
    </row>
    <row r="32288">
      <c r="C32288" s="277"/>
      <c r="M32288" s="277"/>
      <c r="O32288" s="247"/>
      <c r="AC32288" s="247"/>
      <c r="AT32288" s="247"/>
    </row>
    <row r="32289">
      <c r="C32289" s="277"/>
      <c r="M32289" s="277"/>
      <c r="O32289" s="247"/>
      <c r="AC32289" s="247"/>
      <c r="AT32289" s="247"/>
    </row>
    <row r="32290">
      <c r="C32290" s="277"/>
      <c r="M32290" s="277"/>
      <c r="O32290" s="247"/>
      <c r="AC32290" s="247"/>
      <c r="AT32290" s="247"/>
    </row>
    <row r="32291">
      <c r="C32291" s="277"/>
      <c r="M32291" s="277"/>
      <c r="O32291" s="247"/>
      <c r="AC32291" s="247"/>
      <c r="AT32291" s="247"/>
    </row>
    <row r="32292">
      <c r="C32292" s="277"/>
      <c r="M32292" s="277"/>
      <c r="O32292" s="247"/>
      <c r="AC32292" s="247"/>
      <c r="AT32292" s="247"/>
    </row>
    <row r="32293">
      <c r="C32293" s="277"/>
      <c r="M32293" s="277"/>
      <c r="O32293" s="247"/>
      <c r="AC32293" s="247"/>
      <c r="AT32293" s="247"/>
    </row>
    <row r="32294">
      <c r="C32294" s="277"/>
      <c r="M32294" s="277"/>
      <c r="O32294" s="247"/>
      <c r="AC32294" s="247"/>
      <c r="AT32294" s="247"/>
    </row>
    <row r="32295">
      <c r="C32295" s="277"/>
      <c r="M32295" s="277"/>
      <c r="O32295" s="247"/>
      <c r="AC32295" s="247"/>
      <c r="AT32295" s="247"/>
    </row>
    <row r="32296">
      <c r="C32296" s="277"/>
      <c r="M32296" s="277"/>
      <c r="O32296" s="247"/>
      <c r="AC32296" s="247"/>
      <c r="AT32296" s="247"/>
    </row>
    <row r="32297">
      <c r="C32297" s="277"/>
      <c r="M32297" s="277"/>
      <c r="O32297" s="247"/>
      <c r="AC32297" s="247"/>
      <c r="AT32297" s="247"/>
    </row>
    <row r="32298">
      <c r="C32298" s="277"/>
      <c r="M32298" s="277"/>
      <c r="O32298" s="247"/>
      <c r="AC32298" s="247"/>
      <c r="AT32298" s="247"/>
    </row>
    <row r="32299">
      <c r="C32299" s="277"/>
      <c r="M32299" s="277"/>
      <c r="O32299" s="247"/>
      <c r="AC32299" s="247"/>
      <c r="AT32299" s="247"/>
    </row>
    <row r="32300">
      <c r="C32300" s="277"/>
      <c r="M32300" s="277"/>
      <c r="O32300" s="247"/>
      <c r="AC32300" s="247"/>
      <c r="AT32300" s="247"/>
    </row>
    <row r="32301">
      <c r="C32301" s="277"/>
      <c r="M32301" s="277"/>
      <c r="O32301" s="247"/>
      <c r="AC32301" s="247"/>
      <c r="AT32301" s="247"/>
    </row>
    <row r="32302">
      <c r="C32302" s="277"/>
      <c r="M32302" s="277"/>
      <c r="O32302" s="247"/>
      <c r="AC32302" s="247"/>
      <c r="AT32302" s="247"/>
    </row>
    <row r="32303">
      <c r="C32303" s="277"/>
      <c r="M32303" s="277"/>
      <c r="O32303" s="247"/>
      <c r="AC32303" s="247"/>
      <c r="AT32303" s="247"/>
    </row>
    <row r="32304">
      <c r="C32304" s="277"/>
      <c r="M32304" s="277"/>
      <c r="O32304" s="247"/>
      <c r="AC32304" s="247"/>
      <c r="AT32304" s="247"/>
    </row>
    <row r="32305">
      <c r="C32305" s="277"/>
      <c r="M32305" s="277"/>
      <c r="O32305" s="247"/>
      <c r="AC32305" s="247"/>
      <c r="AT32305" s="247"/>
    </row>
    <row r="32306">
      <c r="C32306" s="277"/>
      <c r="M32306" s="277"/>
      <c r="O32306" s="247"/>
      <c r="AC32306" s="247"/>
      <c r="AT32306" s="247"/>
    </row>
    <row r="32307">
      <c r="C32307" s="277"/>
      <c r="M32307" s="277"/>
      <c r="O32307" s="247"/>
      <c r="AC32307" s="247"/>
      <c r="AT32307" s="247"/>
    </row>
    <row r="32308">
      <c r="C32308" s="277"/>
      <c r="M32308" s="277"/>
      <c r="O32308" s="247"/>
      <c r="AC32308" s="247"/>
      <c r="AT32308" s="247"/>
    </row>
    <row r="32309">
      <c r="C32309" s="277"/>
      <c r="M32309" s="277"/>
      <c r="O32309" s="247"/>
      <c r="AC32309" s="247"/>
      <c r="AT32309" s="247"/>
    </row>
    <row r="32310">
      <c r="C32310" s="277"/>
      <c r="M32310" s="277"/>
      <c r="O32310" s="247"/>
      <c r="AC32310" s="247"/>
      <c r="AT32310" s="247"/>
    </row>
    <row r="32311">
      <c r="C32311" s="277"/>
      <c r="M32311" s="277"/>
      <c r="O32311" s="247"/>
      <c r="AC32311" s="247"/>
      <c r="AT32311" s="247"/>
    </row>
    <row r="32312">
      <c r="C32312" s="277"/>
      <c r="M32312" s="277"/>
      <c r="O32312" s="247"/>
      <c r="AC32312" s="247"/>
      <c r="AT32312" s="247"/>
    </row>
    <row r="32313">
      <c r="C32313" s="277"/>
      <c r="M32313" s="277"/>
      <c r="O32313" s="247"/>
      <c r="AC32313" s="247"/>
      <c r="AT32313" s="247"/>
    </row>
    <row r="32314">
      <c r="C32314" s="277"/>
      <c r="M32314" s="277"/>
      <c r="O32314" s="247"/>
      <c r="AC32314" s="247"/>
      <c r="AT32314" s="247"/>
    </row>
    <row r="32315">
      <c r="C32315" s="277"/>
      <c r="M32315" s="277"/>
      <c r="O32315" s="247"/>
      <c r="AC32315" s="247"/>
      <c r="AT32315" s="247"/>
    </row>
    <row r="32316">
      <c r="C32316" s="277"/>
      <c r="M32316" s="277"/>
      <c r="O32316" s="247"/>
      <c r="AC32316" s="247"/>
      <c r="AT32316" s="247"/>
    </row>
    <row r="32317">
      <c r="C32317" s="277"/>
      <c r="M32317" s="277"/>
      <c r="O32317" s="247"/>
      <c r="AC32317" s="247"/>
      <c r="AT32317" s="247"/>
    </row>
    <row r="32318">
      <c r="C32318" s="277"/>
      <c r="M32318" s="277"/>
      <c r="O32318" s="247"/>
      <c r="AC32318" s="247"/>
      <c r="AT32318" s="247"/>
    </row>
    <row r="32319">
      <c r="C32319" s="277"/>
      <c r="M32319" s="277"/>
      <c r="O32319" s="247"/>
      <c r="AC32319" s="247"/>
      <c r="AT32319" s="247"/>
    </row>
    <row r="32320">
      <c r="C32320" s="277"/>
      <c r="M32320" s="277"/>
      <c r="O32320" s="247"/>
      <c r="AC32320" s="247"/>
      <c r="AT32320" s="247"/>
    </row>
    <row r="32321">
      <c r="C32321" s="277"/>
      <c r="M32321" s="277"/>
      <c r="O32321" s="247"/>
      <c r="AC32321" s="247"/>
      <c r="AT32321" s="247"/>
    </row>
    <row r="32322">
      <c r="C32322" s="277"/>
      <c r="M32322" s="277"/>
      <c r="O32322" s="247"/>
      <c r="AC32322" s="247"/>
      <c r="AT32322" s="247"/>
    </row>
    <row r="32323">
      <c r="C32323" s="277"/>
      <c r="M32323" s="277"/>
      <c r="O32323" s="247"/>
      <c r="AC32323" s="247"/>
      <c r="AT32323" s="247"/>
    </row>
    <row r="32324">
      <c r="C32324" s="277"/>
      <c r="M32324" s="277"/>
      <c r="O32324" s="247"/>
      <c r="AC32324" s="247"/>
      <c r="AT32324" s="247"/>
    </row>
    <row r="32325">
      <c r="C32325" s="277"/>
      <c r="M32325" s="277"/>
      <c r="O32325" s="247"/>
      <c r="AC32325" s="247"/>
      <c r="AT32325" s="247"/>
    </row>
    <row r="32326">
      <c r="C32326" s="277"/>
      <c r="M32326" s="277"/>
      <c r="O32326" s="247"/>
      <c r="AC32326" s="247"/>
      <c r="AT32326" s="247"/>
    </row>
    <row r="32327">
      <c r="C32327" s="277"/>
      <c r="M32327" s="277"/>
      <c r="O32327" s="247"/>
      <c r="AC32327" s="247"/>
      <c r="AT32327" s="247"/>
    </row>
    <row r="32328">
      <c r="C32328" s="277"/>
      <c r="M32328" s="277"/>
      <c r="O32328" s="247"/>
      <c r="AC32328" s="247"/>
      <c r="AT32328" s="247"/>
    </row>
    <row r="32329">
      <c r="C32329" s="277"/>
      <c r="M32329" s="277"/>
      <c r="O32329" s="247"/>
      <c r="AC32329" s="247"/>
      <c r="AT32329" s="247"/>
    </row>
    <row r="32330">
      <c r="C32330" s="277"/>
      <c r="M32330" s="277"/>
      <c r="O32330" s="247"/>
      <c r="AC32330" s="247"/>
      <c r="AT32330" s="247"/>
    </row>
    <row r="32331">
      <c r="C32331" s="277"/>
      <c r="M32331" s="277"/>
      <c r="O32331" s="247"/>
      <c r="AC32331" s="247"/>
      <c r="AT32331" s="247"/>
    </row>
    <row r="32332">
      <c r="C32332" s="277"/>
      <c r="M32332" s="277"/>
      <c r="O32332" s="247"/>
      <c r="AC32332" s="247"/>
      <c r="AT32332" s="247"/>
    </row>
    <row r="32333">
      <c r="C32333" s="277"/>
      <c r="M32333" s="277"/>
      <c r="O32333" s="247"/>
      <c r="AC32333" s="247"/>
      <c r="AT32333" s="247"/>
    </row>
    <row r="32334">
      <c r="C32334" s="277"/>
      <c r="M32334" s="277"/>
      <c r="O32334" s="247"/>
      <c r="AC32334" s="247"/>
      <c r="AT32334" s="247"/>
    </row>
    <row r="32335">
      <c r="C32335" s="277"/>
      <c r="M32335" s="277"/>
      <c r="O32335" s="247"/>
      <c r="AC32335" s="247"/>
      <c r="AT32335" s="247"/>
    </row>
    <row r="32336">
      <c r="C32336" s="277"/>
      <c r="M32336" s="277"/>
      <c r="O32336" s="247"/>
      <c r="AC32336" s="247"/>
      <c r="AT32336" s="247"/>
    </row>
    <row r="32337">
      <c r="C32337" s="277"/>
      <c r="M32337" s="277"/>
      <c r="O32337" s="247"/>
      <c r="AC32337" s="247"/>
      <c r="AT32337" s="247"/>
    </row>
    <row r="32338">
      <c r="C32338" s="277"/>
      <c r="M32338" s="277"/>
      <c r="O32338" s="247"/>
      <c r="AC32338" s="247"/>
      <c r="AT32338" s="247"/>
    </row>
    <row r="32339">
      <c r="C32339" s="277"/>
      <c r="M32339" s="277"/>
      <c r="O32339" s="247"/>
      <c r="AC32339" s="247"/>
      <c r="AT32339" s="247"/>
    </row>
    <row r="32340">
      <c r="C32340" s="277"/>
      <c r="M32340" s="277"/>
      <c r="O32340" s="247"/>
      <c r="AC32340" s="247"/>
      <c r="AT32340" s="247"/>
    </row>
    <row r="32341">
      <c r="C32341" s="277"/>
      <c r="M32341" s="277"/>
      <c r="O32341" s="247"/>
      <c r="AC32341" s="247"/>
      <c r="AT32341" s="247"/>
    </row>
    <row r="32342">
      <c r="C32342" s="277"/>
      <c r="M32342" s="277"/>
      <c r="O32342" s="247"/>
      <c r="AC32342" s="247"/>
      <c r="AT32342" s="247"/>
    </row>
    <row r="32343">
      <c r="C32343" s="277"/>
      <c r="M32343" s="277"/>
      <c r="O32343" s="247"/>
      <c r="AC32343" s="247"/>
      <c r="AT32343" s="247"/>
    </row>
    <row r="32344">
      <c r="C32344" s="277"/>
      <c r="M32344" s="277"/>
      <c r="O32344" s="247"/>
      <c r="AC32344" s="247"/>
      <c r="AT32344" s="247"/>
    </row>
    <row r="32345">
      <c r="C32345" s="277"/>
      <c r="M32345" s="277"/>
      <c r="O32345" s="247"/>
      <c r="AC32345" s="247"/>
      <c r="AT32345" s="247"/>
    </row>
    <row r="32346">
      <c r="C32346" s="277"/>
      <c r="M32346" s="277"/>
      <c r="O32346" s="247"/>
      <c r="AC32346" s="247"/>
      <c r="AT32346" s="247"/>
    </row>
    <row r="32347">
      <c r="C32347" s="277"/>
      <c r="M32347" s="277"/>
      <c r="O32347" s="247"/>
      <c r="AC32347" s="247"/>
      <c r="AT32347" s="247"/>
    </row>
    <row r="32348">
      <c r="C32348" s="277"/>
      <c r="M32348" s="277"/>
      <c r="O32348" s="247"/>
      <c r="AC32348" s="247"/>
      <c r="AT32348" s="247"/>
    </row>
    <row r="32349">
      <c r="C32349" s="277"/>
      <c r="M32349" s="277"/>
      <c r="O32349" s="247"/>
      <c r="AC32349" s="247"/>
      <c r="AT32349" s="247"/>
    </row>
    <row r="32350">
      <c r="C32350" s="277"/>
      <c r="M32350" s="277"/>
      <c r="O32350" s="247"/>
      <c r="AC32350" s="247"/>
      <c r="AT32350" s="247"/>
    </row>
    <row r="32351">
      <c r="C32351" s="277"/>
      <c r="M32351" s="277"/>
      <c r="O32351" s="247"/>
      <c r="AC32351" s="247"/>
      <c r="AT32351" s="247"/>
    </row>
    <row r="32352">
      <c r="C32352" s="277"/>
      <c r="M32352" s="277"/>
      <c r="O32352" s="247"/>
      <c r="AC32352" s="247"/>
      <c r="AT32352" s="247"/>
    </row>
    <row r="32353">
      <c r="C32353" s="277"/>
      <c r="M32353" s="277"/>
      <c r="O32353" s="247"/>
      <c r="AC32353" s="247"/>
      <c r="AT32353" s="247"/>
    </row>
    <row r="32354">
      <c r="C32354" s="277"/>
      <c r="M32354" s="277"/>
      <c r="O32354" s="247"/>
      <c r="AC32354" s="247"/>
      <c r="AT32354" s="247"/>
    </row>
    <row r="32355">
      <c r="C32355" s="277"/>
      <c r="M32355" s="277"/>
      <c r="O32355" s="247"/>
      <c r="AC32355" s="247"/>
      <c r="AT32355" s="247"/>
    </row>
    <row r="32356">
      <c r="C32356" s="277"/>
      <c r="M32356" s="277"/>
      <c r="O32356" s="247"/>
      <c r="AC32356" s="247"/>
      <c r="AT32356" s="247"/>
    </row>
    <row r="32357">
      <c r="C32357" s="277"/>
      <c r="M32357" s="277"/>
      <c r="O32357" s="247"/>
      <c r="AC32357" s="247"/>
      <c r="AT32357" s="247"/>
    </row>
    <row r="32358">
      <c r="C32358" s="277"/>
      <c r="M32358" s="277"/>
      <c r="O32358" s="247"/>
      <c r="AC32358" s="247"/>
      <c r="AT32358" s="247"/>
    </row>
    <row r="32359">
      <c r="C32359" s="277"/>
      <c r="M32359" s="277"/>
      <c r="O32359" s="247"/>
      <c r="AC32359" s="247"/>
      <c r="AT32359" s="247"/>
    </row>
    <row r="32360">
      <c r="C32360" s="277"/>
      <c r="M32360" s="277"/>
      <c r="O32360" s="247"/>
      <c r="AC32360" s="247"/>
      <c r="AT32360" s="247"/>
    </row>
    <row r="32361">
      <c r="C32361" s="277"/>
      <c r="M32361" s="277"/>
      <c r="O32361" s="247"/>
      <c r="AC32361" s="247"/>
      <c r="AT32361" s="247"/>
    </row>
    <row r="32362">
      <c r="C32362" s="277"/>
      <c r="M32362" s="277"/>
      <c r="O32362" s="247"/>
      <c r="AC32362" s="247"/>
      <c r="AT32362" s="247"/>
    </row>
    <row r="32363">
      <c r="C32363" s="277"/>
      <c r="M32363" s="277"/>
      <c r="O32363" s="247"/>
      <c r="AC32363" s="247"/>
      <c r="AT32363" s="247"/>
    </row>
    <row r="32364">
      <c r="C32364" s="277"/>
      <c r="M32364" s="277"/>
      <c r="O32364" s="247"/>
      <c r="AC32364" s="247"/>
      <c r="AT32364" s="247"/>
    </row>
    <row r="32365">
      <c r="C32365" s="277"/>
      <c r="M32365" s="277"/>
      <c r="O32365" s="247"/>
      <c r="AC32365" s="247"/>
      <c r="AT32365" s="247"/>
    </row>
    <row r="32366">
      <c r="C32366" s="277"/>
      <c r="M32366" s="277"/>
      <c r="O32366" s="247"/>
      <c r="AC32366" s="247"/>
      <c r="AT32366" s="247"/>
    </row>
    <row r="32367">
      <c r="C32367" s="277"/>
      <c r="M32367" s="277"/>
      <c r="O32367" s="247"/>
      <c r="AC32367" s="247"/>
      <c r="AT32367" s="247"/>
    </row>
    <row r="32368">
      <c r="C32368" s="277"/>
      <c r="M32368" s="277"/>
      <c r="O32368" s="247"/>
      <c r="AC32368" s="247"/>
      <c r="AT32368" s="247"/>
    </row>
    <row r="32369">
      <c r="C32369" s="277"/>
      <c r="M32369" s="277"/>
      <c r="O32369" s="247"/>
      <c r="AC32369" s="247"/>
      <c r="AT32369" s="247"/>
    </row>
    <row r="32370">
      <c r="C32370" s="277"/>
      <c r="M32370" s="277"/>
      <c r="O32370" s="247"/>
      <c r="AC32370" s="247"/>
      <c r="AT32370" s="247"/>
    </row>
    <row r="32371">
      <c r="C32371" s="277"/>
      <c r="M32371" s="277"/>
      <c r="O32371" s="247"/>
      <c r="AC32371" s="247"/>
      <c r="AT32371" s="247"/>
    </row>
    <row r="32372">
      <c r="C32372" s="277"/>
      <c r="M32372" s="277"/>
      <c r="O32372" s="247"/>
      <c r="AC32372" s="247"/>
      <c r="AT32372" s="247"/>
    </row>
    <row r="32373">
      <c r="C32373" s="277"/>
      <c r="M32373" s="277"/>
      <c r="O32373" s="247"/>
      <c r="AC32373" s="247"/>
      <c r="AT32373" s="247"/>
    </row>
    <row r="32374">
      <c r="C32374" s="277"/>
      <c r="M32374" s="277"/>
      <c r="O32374" s="247"/>
      <c r="AC32374" s="247"/>
      <c r="AT32374" s="247"/>
    </row>
    <row r="32375">
      <c r="C32375" s="277"/>
      <c r="M32375" s="277"/>
      <c r="O32375" s="247"/>
      <c r="AC32375" s="247"/>
      <c r="AT32375" s="247"/>
    </row>
    <row r="32376">
      <c r="C32376" s="277"/>
      <c r="M32376" s="277"/>
      <c r="O32376" s="247"/>
      <c r="AC32376" s="247"/>
      <c r="AT32376" s="247"/>
    </row>
    <row r="32377">
      <c r="C32377" s="277"/>
      <c r="M32377" s="277"/>
      <c r="O32377" s="247"/>
      <c r="AC32377" s="247"/>
      <c r="AT32377" s="247"/>
    </row>
    <row r="32378">
      <c r="C32378" s="277"/>
      <c r="M32378" s="277"/>
      <c r="O32378" s="247"/>
      <c r="AC32378" s="247"/>
      <c r="AT32378" s="247"/>
    </row>
    <row r="32379">
      <c r="C32379" s="277"/>
      <c r="M32379" s="277"/>
      <c r="O32379" s="247"/>
      <c r="AC32379" s="247"/>
      <c r="AT32379" s="247"/>
    </row>
    <row r="32380">
      <c r="C32380" s="277"/>
      <c r="M32380" s="277"/>
      <c r="O32380" s="247"/>
      <c r="AC32380" s="247"/>
      <c r="AT32380" s="247"/>
    </row>
    <row r="32381">
      <c r="C32381" s="277"/>
      <c r="M32381" s="277"/>
      <c r="O32381" s="247"/>
      <c r="AC32381" s="247"/>
      <c r="AT32381" s="247"/>
    </row>
    <row r="32382">
      <c r="C32382" s="277"/>
      <c r="M32382" s="277"/>
      <c r="O32382" s="247"/>
      <c r="AC32382" s="247"/>
      <c r="AT32382" s="247"/>
    </row>
    <row r="32383">
      <c r="C32383" s="277"/>
      <c r="M32383" s="277"/>
      <c r="O32383" s="247"/>
      <c r="AC32383" s="247"/>
      <c r="AT32383" s="247"/>
    </row>
    <row r="32384">
      <c r="C32384" s="277"/>
      <c r="M32384" s="277"/>
      <c r="O32384" s="247"/>
      <c r="AC32384" s="247"/>
      <c r="AT32384" s="247"/>
    </row>
    <row r="32385">
      <c r="C32385" s="277"/>
      <c r="M32385" s="277"/>
      <c r="O32385" s="247"/>
      <c r="AC32385" s="247"/>
      <c r="AT32385" s="247"/>
    </row>
    <row r="32386">
      <c r="C32386" s="277"/>
      <c r="M32386" s="277"/>
      <c r="O32386" s="247"/>
      <c r="AC32386" s="247"/>
      <c r="AT32386" s="247"/>
    </row>
    <row r="32387">
      <c r="C32387" s="277"/>
      <c r="M32387" s="277"/>
      <c r="O32387" s="247"/>
      <c r="AC32387" s="247"/>
      <c r="AT32387" s="247"/>
    </row>
    <row r="32388">
      <c r="C32388" s="277"/>
      <c r="M32388" s="277"/>
      <c r="O32388" s="247"/>
      <c r="AC32388" s="247"/>
      <c r="AT32388" s="247"/>
    </row>
    <row r="32389">
      <c r="C32389" s="277"/>
      <c r="M32389" s="277"/>
      <c r="O32389" s="247"/>
      <c r="AC32389" s="247"/>
      <c r="AT32389" s="247"/>
    </row>
    <row r="32390">
      <c r="C32390" s="277"/>
      <c r="M32390" s="277"/>
      <c r="O32390" s="247"/>
      <c r="AC32390" s="247"/>
      <c r="AT32390" s="247"/>
    </row>
    <row r="32391">
      <c r="C32391" s="277"/>
      <c r="M32391" s="277"/>
      <c r="O32391" s="247"/>
      <c r="AC32391" s="247"/>
      <c r="AT32391" s="247"/>
    </row>
    <row r="32392">
      <c r="C32392" s="277"/>
      <c r="M32392" s="277"/>
      <c r="O32392" s="247"/>
      <c r="AC32392" s="247"/>
      <c r="AT32392" s="247"/>
    </row>
    <row r="32393">
      <c r="C32393" s="277"/>
      <c r="M32393" s="277"/>
      <c r="O32393" s="247"/>
      <c r="AC32393" s="247"/>
      <c r="AT32393" s="247"/>
    </row>
    <row r="32394">
      <c r="C32394" s="277"/>
      <c r="M32394" s="277"/>
      <c r="O32394" s="247"/>
      <c r="AC32394" s="247"/>
      <c r="AT32394" s="247"/>
    </row>
    <row r="32395">
      <c r="C32395" s="277"/>
      <c r="M32395" s="277"/>
      <c r="O32395" s="247"/>
      <c r="AC32395" s="247"/>
      <c r="AT32395" s="247"/>
    </row>
    <row r="32396">
      <c r="C32396" s="277"/>
      <c r="M32396" s="277"/>
      <c r="O32396" s="247"/>
      <c r="AC32396" s="247"/>
      <c r="AT32396" s="247"/>
    </row>
    <row r="32397">
      <c r="C32397" s="277"/>
      <c r="M32397" s="277"/>
      <c r="O32397" s="247"/>
      <c r="AC32397" s="247"/>
      <c r="AT32397" s="247"/>
    </row>
    <row r="32398">
      <c r="C32398" s="277"/>
      <c r="M32398" s="277"/>
      <c r="O32398" s="247"/>
      <c r="AC32398" s="247"/>
      <c r="AT32398" s="247"/>
    </row>
    <row r="32399">
      <c r="C32399" s="277"/>
      <c r="M32399" s="277"/>
      <c r="O32399" s="247"/>
      <c r="AC32399" s="247"/>
      <c r="AT32399" s="247"/>
    </row>
    <row r="32400">
      <c r="C32400" s="277"/>
      <c r="M32400" s="277"/>
      <c r="O32400" s="247"/>
      <c r="AC32400" s="247"/>
      <c r="AT32400" s="247"/>
    </row>
    <row r="32401">
      <c r="C32401" s="277"/>
      <c r="M32401" s="277"/>
      <c r="O32401" s="247"/>
      <c r="AC32401" s="247"/>
      <c r="AT32401" s="247"/>
    </row>
    <row r="32402">
      <c r="C32402" s="277"/>
      <c r="M32402" s="277"/>
      <c r="O32402" s="247"/>
      <c r="AC32402" s="247"/>
      <c r="AT32402" s="247"/>
    </row>
    <row r="32403">
      <c r="C32403" s="277"/>
      <c r="M32403" s="277"/>
      <c r="O32403" s="247"/>
      <c r="AC32403" s="247"/>
      <c r="AT32403" s="247"/>
    </row>
    <row r="32404">
      <c r="C32404" s="277"/>
      <c r="M32404" s="277"/>
      <c r="O32404" s="247"/>
      <c r="AC32404" s="247"/>
      <c r="AT32404" s="247"/>
    </row>
    <row r="32405">
      <c r="C32405" s="277"/>
      <c r="M32405" s="277"/>
      <c r="O32405" s="247"/>
      <c r="AC32405" s="247"/>
      <c r="AT32405" s="247"/>
    </row>
    <row r="32406">
      <c r="C32406" s="277"/>
      <c r="M32406" s="277"/>
      <c r="O32406" s="247"/>
      <c r="AC32406" s="247"/>
      <c r="AT32406" s="247"/>
    </row>
    <row r="32407">
      <c r="C32407" s="277"/>
      <c r="M32407" s="277"/>
      <c r="O32407" s="247"/>
      <c r="AC32407" s="247"/>
      <c r="AT32407" s="247"/>
    </row>
    <row r="32408">
      <c r="C32408" s="277"/>
      <c r="M32408" s="277"/>
      <c r="O32408" s="247"/>
      <c r="AC32408" s="247"/>
      <c r="AT32408" s="247"/>
    </row>
    <row r="32409">
      <c r="C32409" s="277"/>
      <c r="M32409" s="277"/>
      <c r="O32409" s="247"/>
      <c r="AC32409" s="247"/>
      <c r="AT32409" s="247"/>
    </row>
    <row r="32410">
      <c r="C32410" s="277"/>
      <c r="M32410" s="277"/>
      <c r="O32410" s="247"/>
      <c r="AC32410" s="247"/>
      <c r="AT32410" s="247"/>
    </row>
    <row r="32411">
      <c r="C32411" s="277"/>
      <c r="M32411" s="277"/>
      <c r="O32411" s="247"/>
      <c r="AC32411" s="247"/>
      <c r="AT32411" s="247"/>
    </row>
    <row r="32412">
      <c r="C32412" s="277"/>
      <c r="M32412" s="277"/>
      <c r="O32412" s="247"/>
      <c r="AC32412" s="247"/>
      <c r="AT32412" s="247"/>
    </row>
    <row r="32413">
      <c r="C32413" s="277"/>
      <c r="M32413" s="277"/>
      <c r="O32413" s="247"/>
      <c r="AC32413" s="247"/>
      <c r="AT32413" s="247"/>
    </row>
    <row r="32414">
      <c r="C32414" s="277"/>
      <c r="M32414" s="277"/>
      <c r="O32414" s="247"/>
      <c r="AC32414" s="247"/>
      <c r="AT32414" s="247"/>
    </row>
    <row r="32415">
      <c r="C32415" s="277"/>
      <c r="M32415" s="277"/>
      <c r="O32415" s="247"/>
      <c r="AC32415" s="247"/>
      <c r="AT32415" s="247"/>
    </row>
    <row r="32416">
      <c r="C32416" s="277"/>
      <c r="M32416" s="277"/>
      <c r="O32416" s="247"/>
      <c r="AC32416" s="247"/>
      <c r="AT32416" s="247"/>
    </row>
    <row r="32417">
      <c r="C32417" s="277"/>
      <c r="M32417" s="277"/>
      <c r="O32417" s="247"/>
      <c r="AC32417" s="247"/>
      <c r="AT32417" s="247"/>
    </row>
    <row r="32418">
      <c r="C32418" s="277"/>
      <c r="M32418" s="277"/>
      <c r="O32418" s="247"/>
      <c r="AC32418" s="247"/>
      <c r="AT32418" s="247"/>
    </row>
    <row r="32419">
      <c r="C32419" s="277"/>
      <c r="M32419" s="277"/>
      <c r="O32419" s="247"/>
      <c r="AC32419" s="247"/>
      <c r="AT32419" s="247"/>
    </row>
    <row r="32420">
      <c r="C32420" s="277"/>
      <c r="M32420" s="277"/>
      <c r="O32420" s="247"/>
      <c r="AC32420" s="247"/>
      <c r="AT32420" s="247"/>
    </row>
    <row r="32421">
      <c r="C32421" s="277"/>
      <c r="M32421" s="277"/>
      <c r="O32421" s="247"/>
      <c r="AC32421" s="247"/>
      <c r="AT32421" s="247"/>
    </row>
    <row r="32422">
      <c r="C32422" s="277"/>
      <c r="M32422" s="277"/>
      <c r="O32422" s="247"/>
      <c r="AC32422" s="247"/>
      <c r="AT32422" s="247"/>
    </row>
    <row r="32423">
      <c r="C32423" s="277"/>
      <c r="M32423" s="277"/>
      <c r="O32423" s="247"/>
      <c r="AC32423" s="247"/>
      <c r="AT32423" s="247"/>
    </row>
    <row r="32424">
      <c r="C32424" s="277"/>
      <c r="M32424" s="277"/>
      <c r="O32424" s="247"/>
      <c r="AC32424" s="247"/>
      <c r="AT32424" s="247"/>
    </row>
    <row r="32425">
      <c r="C32425" s="277"/>
      <c r="M32425" s="277"/>
      <c r="O32425" s="247"/>
      <c r="AC32425" s="247"/>
      <c r="AT32425" s="247"/>
    </row>
    <row r="32426">
      <c r="C32426" s="277"/>
      <c r="M32426" s="277"/>
      <c r="O32426" s="247"/>
      <c r="AC32426" s="247"/>
      <c r="AT32426" s="247"/>
    </row>
    <row r="32427">
      <c r="C32427" s="277"/>
      <c r="M32427" s="277"/>
      <c r="O32427" s="247"/>
      <c r="AC32427" s="247"/>
      <c r="AT32427" s="247"/>
    </row>
    <row r="32428">
      <c r="C32428" s="277"/>
      <c r="M32428" s="277"/>
      <c r="O32428" s="247"/>
      <c r="AC32428" s="247"/>
      <c r="AT32428" s="247"/>
    </row>
    <row r="32429">
      <c r="C32429" s="277"/>
      <c r="M32429" s="277"/>
      <c r="O32429" s="247"/>
      <c r="AC32429" s="247"/>
      <c r="AT32429" s="247"/>
    </row>
    <row r="32430">
      <c r="C32430" s="277"/>
      <c r="M32430" s="277"/>
      <c r="O32430" s="247"/>
      <c r="AC32430" s="247"/>
      <c r="AT32430" s="247"/>
    </row>
    <row r="32431">
      <c r="C32431" s="277"/>
      <c r="M32431" s="277"/>
      <c r="O32431" s="247"/>
      <c r="AC32431" s="247"/>
      <c r="AT32431" s="247"/>
    </row>
    <row r="32432">
      <c r="C32432" s="277"/>
      <c r="M32432" s="277"/>
      <c r="O32432" s="247"/>
      <c r="AC32432" s="247"/>
      <c r="AT32432" s="247"/>
    </row>
    <row r="32433">
      <c r="C32433" s="277"/>
      <c r="M32433" s="277"/>
      <c r="O32433" s="247"/>
      <c r="AC32433" s="247"/>
      <c r="AT32433" s="247"/>
    </row>
    <row r="32434">
      <c r="C32434" s="277"/>
      <c r="M32434" s="277"/>
      <c r="O32434" s="247"/>
      <c r="AC32434" s="247"/>
      <c r="AT32434" s="247"/>
    </row>
    <row r="32435">
      <c r="C32435" s="277"/>
      <c r="M32435" s="277"/>
      <c r="O32435" s="247"/>
      <c r="AC32435" s="247"/>
      <c r="AT32435" s="247"/>
    </row>
    <row r="32436">
      <c r="C32436" s="277"/>
      <c r="M32436" s="277"/>
      <c r="O32436" s="247"/>
      <c r="AC32436" s="247"/>
      <c r="AT32436" s="247"/>
    </row>
    <row r="32437">
      <c r="C32437" s="277"/>
      <c r="M32437" s="277"/>
      <c r="O32437" s="247"/>
      <c r="AC32437" s="247"/>
      <c r="AT32437" s="247"/>
    </row>
    <row r="32438">
      <c r="C32438" s="277"/>
      <c r="M32438" s="277"/>
      <c r="O32438" s="247"/>
      <c r="AC32438" s="247"/>
      <c r="AT32438" s="247"/>
    </row>
    <row r="32439">
      <c r="C32439" s="277"/>
      <c r="M32439" s="277"/>
      <c r="O32439" s="247"/>
      <c r="AC32439" s="247"/>
      <c r="AT32439" s="247"/>
    </row>
    <row r="32440">
      <c r="C32440" s="277"/>
      <c r="M32440" s="277"/>
      <c r="O32440" s="247"/>
      <c r="AC32440" s="247"/>
      <c r="AT32440" s="247"/>
    </row>
    <row r="32441">
      <c r="C32441" s="277"/>
      <c r="M32441" s="277"/>
      <c r="O32441" s="247"/>
      <c r="AC32441" s="247"/>
      <c r="AT32441" s="247"/>
    </row>
    <row r="32442">
      <c r="C32442" s="277"/>
      <c r="M32442" s="277"/>
      <c r="O32442" s="247"/>
      <c r="AC32442" s="247"/>
      <c r="AT32442" s="247"/>
    </row>
    <row r="32443">
      <c r="C32443" s="277"/>
      <c r="M32443" s="277"/>
      <c r="O32443" s="247"/>
      <c r="AC32443" s="247"/>
      <c r="AT32443" s="247"/>
    </row>
    <row r="32444">
      <c r="C32444" s="277"/>
      <c r="M32444" s="277"/>
      <c r="O32444" s="247"/>
      <c r="AC32444" s="247"/>
      <c r="AT32444" s="247"/>
    </row>
    <row r="32445">
      <c r="C32445" s="277"/>
      <c r="M32445" s="277"/>
      <c r="O32445" s="247"/>
      <c r="AC32445" s="247"/>
      <c r="AT32445" s="247"/>
    </row>
    <row r="32446">
      <c r="C32446" s="277"/>
      <c r="M32446" s="277"/>
      <c r="O32446" s="247"/>
      <c r="AC32446" s="247"/>
      <c r="AT32446" s="247"/>
    </row>
    <row r="32447">
      <c r="C32447" s="277"/>
      <c r="M32447" s="277"/>
      <c r="O32447" s="247"/>
      <c r="AC32447" s="247"/>
      <c r="AT32447" s="247"/>
    </row>
    <row r="32448">
      <c r="C32448" s="277"/>
      <c r="M32448" s="277"/>
      <c r="O32448" s="247"/>
      <c r="AC32448" s="247"/>
      <c r="AT32448" s="247"/>
    </row>
    <row r="32449">
      <c r="C32449" s="277"/>
      <c r="M32449" s="277"/>
      <c r="O32449" s="247"/>
      <c r="AC32449" s="247"/>
      <c r="AT32449" s="247"/>
    </row>
    <row r="32450">
      <c r="C32450" s="277"/>
      <c r="M32450" s="277"/>
      <c r="O32450" s="247"/>
      <c r="AC32450" s="247"/>
      <c r="AT32450" s="247"/>
    </row>
    <row r="32451">
      <c r="C32451" s="277"/>
      <c r="M32451" s="277"/>
      <c r="O32451" s="247"/>
      <c r="AC32451" s="247"/>
      <c r="AT32451" s="247"/>
    </row>
    <row r="32452">
      <c r="C32452" s="277"/>
      <c r="M32452" s="277"/>
      <c r="O32452" s="247"/>
      <c r="AC32452" s="247"/>
      <c r="AT32452" s="247"/>
    </row>
    <row r="32453">
      <c r="C32453" s="277"/>
      <c r="M32453" s="277"/>
      <c r="O32453" s="247"/>
      <c r="AC32453" s="247"/>
      <c r="AT32453" s="247"/>
    </row>
    <row r="32454">
      <c r="C32454" s="277"/>
      <c r="M32454" s="277"/>
      <c r="O32454" s="247"/>
      <c r="AC32454" s="247"/>
      <c r="AT32454" s="247"/>
    </row>
    <row r="32455">
      <c r="C32455" s="277"/>
      <c r="M32455" s="277"/>
      <c r="O32455" s="247"/>
      <c r="AC32455" s="247"/>
      <c r="AT32455" s="247"/>
    </row>
    <row r="32456">
      <c r="C32456" s="277"/>
      <c r="M32456" s="277"/>
      <c r="O32456" s="247"/>
      <c r="AC32456" s="247"/>
      <c r="AT32456" s="247"/>
    </row>
    <row r="32457">
      <c r="C32457" s="277"/>
      <c r="M32457" s="277"/>
      <c r="O32457" s="247"/>
      <c r="AC32457" s="247"/>
      <c r="AT32457" s="247"/>
    </row>
    <row r="32458">
      <c r="C32458" s="277"/>
      <c r="M32458" s="277"/>
      <c r="O32458" s="247"/>
      <c r="AC32458" s="247"/>
      <c r="AT32458" s="247"/>
    </row>
    <row r="32459">
      <c r="C32459" s="277"/>
      <c r="M32459" s="277"/>
      <c r="O32459" s="247"/>
      <c r="AC32459" s="247"/>
      <c r="AT32459" s="247"/>
    </row>
    <row r="32460">
      <c r="C32460" s="277"/>
      <c r="M32460" s="277"/>
      <c r="O32460" s="247"/>
      <c r="AC32460" s="247"/>
      <c r="AT32460" s="247"/>
    </row>
    <row r="32461">
      <c r="C32461" s="277"/>
      <c r="M32461" s="277"/>
      <c r="O32461" s="247"/>
      <c r="AC32461" s="247"/>
      <c r="AT32461" s="247"/>
    </row>
    <row r="32462">
      <c r="C32462" s="277"/>
      <c r="M32462" s="277"/>
      <c r="O32462" s="247"/>
      <c r="AC32462" s="247"/>
      <c r="AT32462" s="247"/>
    </row>
    <row r="32463">
      <c r="C32463" s="277"/>
      <c r="M32463" s="277"/>
      <c r="O32463" s="247"/>
      <c r="AC32463" s="247"/>
      <c r="AT32463" s="247"/>
    </row>
    <row r="32464">
      <c r="C32464" s="277"/>
      <c r="M32464" s="277"/>
      <c r="O32464" s="247"/>
      <c r="AC32464" s="247"/>
      <c r="AT32464" s="247"/>
    </row>
    <row r="32465">
      <c r="C32465" s="277"/>
      <c r="M32465" s="277"/>
      <c r="O32465" s="247"/>
      <c r="AC32465" s="247"/>
      <c r="AT32465" s="247"/>
    </row>
    <row r="32466">
      <c r="C32466" s="277"/>
      <c r="M32466" s="277"/>
      <c r="O32466" s="247"/>
      <c r="AC32466" s="247"/>
      <c r="AT32466" s="247"/>
    </row>
    <row r="32467">
      <c r="C32467" s="277"/>
      <c r="M32467" s="277"/>
      <c r="O32467" s="247"/>
      <c r="AC32467" s="247"/>
      <c r="AT32467" s="247"/>
    </row>
    <row r="32468">
      <c r="C32468" s="277"/>
      <c r="M32468" s="277"/>
      <c r="O32468" s="247"/>
      <c r="AC32468" s="247"/>
      <c r="AT32468" s="247"/>
    </row>
    <row r="32469">
      <c r="C32469" s="277"/>
      <c r="M32469" s="277"/>
      <c r="O32469" s="247"/>
      <c r="AC32469" s="247"/>
      <c r="AT32469" s="247"/>
    </row>
    <row r="32470">
      <c r="C32470" s="277"/>
      <c r="M32470" s="277"/>
      <c r="O32470" s="247"/>
      <c r="AC32470" s="247"/>
      <c r="AT32470" s="247"/>
    </row>
    <row r="32471">
      <c r="C32471" s="277"/>
      <c r="M32471" s="277"/>
      <c r="O32471" s="247"/>
      <c r="AC32471" s="247"/>
      <c r="AT32471" s="247"/>
    </row>
    <row r="32472">
      <c r="C32472" s="277"/>
      <c r="M32472" s="277"/>
      <c r="O32472" s="247"/>
      <c r="AC32472" s="247"/>
      <c r="AT32472" s="247"/>
    </row>
    <row r="32473">
      <c r="C32473" s="277"/>
      <c r="M32473" s="277"/>
      <c r="O32473" s="247"/>
      <c r="AC32473" s="247"/>
      <c r="AT32473" s="247"/>
    </row>
    <row r="32474">
      <c r="C32474" s="277"/>
      <c r="M32474" s="277"/>
      <c r="O32474" s="247"/>
      <c r="AC32474" s="247"/>
      <c r="AT32474" s="247"/>
    </row>
    <row r="32475">
      <c r="C32475" s="277"/>
      <c r="M32475" s="277"/>
      <c r="O32475" s="247"/>
      <c r="AC32475" s="247"/>
      <c r="AT32475" s="247"/>
    </row>
    <row r="32476">
      <c r="C32476" s="277"/>
      <c r="M32476" s="277"/>
      <c r="O32476" s="247"/>
      <c r="AC32476" s="247"/>
      <c r="AT32476" s="247"/>
    </row>
    <row r="32477">
      <c r="C32477" s="277"/>
      <c r="M32477" s="277"/>
      <c r="O32477" s="247"/>
      <c r="AC32477" s="247"/>
      <c r="AT32477" s="247"/>
    </row>
    <row r="32478">
      <c r="C32478" s="277"/>
      <c r="M32478" s="277"/>
      <c r="O32478" s="247"/>
      <c r="AC32478" s="247"/>
      <c r="AT32478" s="247"/>
    </row>
    <row r="32479">
      <c r="C32479" s="277"/>
      <c r="M32479" s="277"/>
      <c r="O32479" s="247"/>
      <c r="AC32479" s="247"/>
      <c r="AT32479" s="247"/>
    </row>
    <row r="32480">
      <c r="C32480" s="277"/>
      <c r="M32480" s="277"/>
      <c r="O32480" s="247"/>
      <c r="AC32480" s="247"/>
      <c r="AT32480" s="247"/>
    </row>
    <row r="32481">
      <c r="C32481" s="277"/>
      <c r="M32481" s="277"/>
      <c r="O32481" s="247"/>
      <c r="AC32481" s="247"/>
      <c r="AT32481" s="247"/>
    </row>
    <row r="32482">
      <c r="C32482" s="277"/>
      <c r="M32482" s="277"/>
      <c r="O32482" s="247"/>
      <c r="AC32482" s="247"/>
      <c r="AT32482" s="247"/>
    </row>
    <row r="32483">
      <c r="C32483" s="277"/>
      <c r="M32483" s="277"/>
      <c r="O32483" s="247"/>
      <c r="AC32483" s="247"/>
      <c r="AT32483" s="247"/>
    </row>
    <row r="32484">
      <c r="C32484" s="277"/>
      <c r="M32484" s="277"/>
      <c r="O32484" s="247"/>
      <c r="AC32484" s="247"/>
      <c r="AT32484" s="247"/>
    </row>
    <row r="32485">
      <c r="C32485" s="277"/>
      <c r="M32485" s="277"/>
      <c r="O32485" s="247"/>
      <c r="AC32485" s="247"/>
      <c r="AT32485" s="247"/>
    </row>
    <row r="32486">
      <c r="C32486" s="277"/>
      <c r="M32486" s="277"/>
      <c r="O32486" s="247"/>
      <c r="AC32486" s="247"/>
      <c r="AT32486" s="247"/>
    </row>
    <row r="32487">
      <c r="C32487" s="277"/>
      <c r="M32487" s="277"/>
      <c r="O32487" s="247"/>
      <c r="AC32487" s="247"/>
      <c r="AT32487" s="247"/>
    </row>
    <row r="32488">
      <c r="C32488" s="277"/>
      <c r="M32488" s="277"/>
      <c r="O32488" s="247"/>
      <c r="AC32488" s="247"/>
      <c r="AT32488" s="247"/>
    </row>
    <row r="32489">
      <c r="C32489" s="277"/>
      <c r="M32489" s="277"/>
      <c r="O32489" s="247"/>
      <c r="AC32489" s="247"/>
      <c r="AT32489" s="247"/>
    </row>
    <row r="32490">
      <c r="C32490" s="277"/>
      <c r="M32490" s="277"/>
      <c r="O32490" s="247"/>
      <c r="AC32490" s="247"/>
      <c r="AT32490" s="247"/>
    </row>
    <row r="32491">
      <c r="C32491" s="277"/>
      <c r="M32491" s="277"/>
      <c r="O32491" s="247"/>
      <c r="AC32491" s="247"/>
      <c r="AT32491" s="247"/>
    </row>
    <row r="32492">
      <c r="C32492" s="277"/>
      <c r="J32492" s="279"/>
      <c r="M32492" s="277"/>
      <c r="O32492" s="247"/>
      <c r="AC32492" s="247"/>
      <c r="AT32492" s="247"/>
    </row>
    <row r="32493">
      <c r="C32493" s="277"/>
      <c r="M32493" s="277"/>
      <c r="O32493" s="247"/>
      <c r="AC32493" s="247"/>
      <c r="AT32493" s="247"/>
    </row>
    <row r="32494">
      <c r="C32494" s="277"/>
      <c r="M32494" s="277"/>
      <c r="O32494" s="247"/>
      <c r="AC32494" s="247"/>
      <c r="AT32494" s="247"/>
    </row>
    <row r="32495">
      <c r="C32495" s="277"/>
      <c r="M32495" s="277"/>
      <c r="O32495" s="247"/>
      <c r="AC32495" s="247"/>
      <c r="AT32495" s="247"/>
    </row>
    <row r="32496">
      <c r="C32496" s="277"/>
      <c r="M32496" s="277"/>
      <c r="O32496" s="247"/>
      <c r="AC32496" s="247"/>
      <c r="AT32496" s="247"/>
    </row>
    <row r="32497">
      <c r="C32497" s="277"/>
      <c r="M32497" s="277"/>
      <c r="O32497" s="247"/>
      <c r="AC32497" s="247"/>
      <c r="AT32497" s="247"/>
    </row>
    <row r="32498">
      <c r="C32498" s="277"/>
      <c r="M32498" s="277"/>
      <c r="O32498" s="247"/>
      <c r="AC32498" s="247"/>
      <c r="AT32498" s="247"/>
    </row>
    <row r="32499">
      <c r="C32499" s="277"/>
      <c r="M32499" s="277"/>
      <c r="O32499" s="247"/>
      <c r="AC32499" s="247"/>
      <c r="AT32499" s="247"/>
    </row>
    <row r="32500">
      <c r="C32500" s="277"/>
      <c r="M32500" s="277"/>
      <c r="O32500" s="247"/>
      <c r="AC32500" s="247"/>
      <c r="AT32500" s="247"/>
    </row>
    <row r="32501">
      <c r="C32501" s="277"/>
      <c r="M32501" s="277"/>
      <c r="O32501" s="247"/>
      <c r="AC32501" s="247"/>
      <c r="AT32501" s="247"/>
    </row>
    <row r="32502">
      <c r="C32502" s="277"/>
      <c r="M32502" s="277"/>
      <c r="O32502" s="247"/>
      <c r="AC32502" s="247"/>
      <c r="AT32502" s="247"/>
    </row>
    <row r="32503">
      <c r="C32503" s="277"/>
      <c r="M32503" s="277"/>
      <c r="O32503" s="247"/>
      <c r="AC32503" s="247"/>
      <c r="AT32503" s="247"/>
    </row>
    <row r="32504">
      <c r="C32504" s="277"/>
      <c r="M32504" s="277"/>
      <c r="O32504" s="247"/>
      <c r="AC32504" s="247"/>
      <c r="AT32504" s="247"/>
    </row>
    <row r="32505">
      <c r="C32505" s="277"/>
      <c r="M32505" s="277"/>
      <c r="O32505" s="247"/>
      <c r="AC32505" s="247"/>
      <c r="AT32505" s="247"/>
    </row>
    <row r="32506">
      <c r="C32506" s="277"/>
      <c r="M32506" s="277"/>
      <c r="O32506" s="247"/>
      <c r="AC32506" s="247"/>
      <c r="AT32506" s="247"/>
    </row>
    <row r="32507">
      <c r="C32507" s="277"/>
      <c r="M32507" s="277"/>
      <c r="O32507" s="247"/>
      <c r="AC32507" s="247"/>
      <c r="AT32507" s="247"/>
    </row>
    <row r="32508">
      <c r="C32508" s="277"/>
      <c r="M32508" s="277"/>
      <c r="O32508" s="247"/>
      <c r="AC32508" s="247"/>
      <c r="AT32508" s="247"/>
    </row>
    <row r="32509">
      <c r="C32509" s="277"/>
      <c r="M32509" s="277"/>
      <c r="O32509" s="247"/>
      <c r="AC32509" s="247"/>
      <c r="AT32509" s="247"/>
    </row>
    <row r="32510">
      <c r="C32510" s="277"/>
      <c r="M32510" s="277"/>
      <c r="O32510" s="247"/>
      <c r="AC32510" s="247"/>
      <c r="AT32510" s="247"/>
    </row>
    <row r="32511">
      <c r="C32511" s="277"/>
      <c r="M32511" s="277"/>
      <c r="O32511" s="247"/>
      <c r="AC32511" s="247"/>
      <c r="AT32511" s="247"/>
    </row>
    <row r="32512">
      <c r="C32512" s="277"/>
      <c r="M32512" s="277"/>
      <c r="O32512" s="247"/>
      <c r="AC32512" s="247"/>
      <c r="AT32512" s="247"/>
    </row>
    <row r="32513">
      <c r="C32513" s="277"/>
      <c r="M32513" s="277"/>
      <c r="O32513" s="247"/>
      <c r="AC32513" s="247"/>
      <c r="AT32513" s="247"/>
    </row>
    <row r="32514">
      <c r="C32514" s="277"/>
      <c r="M32514" s="277"/>
      <c r="O32514" s="247"/>
      <c r="AC32514" s="247"/>
      <c r="AT32514" s="247"/>
    </row>
    <row r="32515">
      <c r="C32515" s="277"/>
      <c r="M32515" s="277"/>
      <c r="O32515" s="247"/>
      <c r="AC32515" s="247"/>
      <c r="AT32515" s="247"/>
    </row>
    <row r="32516">
      <c r="C32516" s="277"/>
      <c r="M32516" s="277"/>
      <c r="O32516" s="247"/>
      <c r="AC32516" s="247"/>
      <c r="AT32516" s="247"/>
    </row>
    <row r="32517">
      <c r="C32517" s="277"/>
      <c r="M32517" s="277"/>
      <c r="O32517" s="247"/>
      <c r="AC32517" s="247"/>
      <c r="AT32517" s="247"/>
    </row>
    <row r="32518">
      <c r="C32518" s="277"/>
      <c r="M32518" s="277"/>
      <c r="O32518" s="247"/>
      <c r="AC32518" s="247"/>
      <c r="AT32518" s="247"/>
    </row>
    <row r="32519">
      <c r="C32519" s="277"/>
      <c r="M32519" s="277"/>
      <c r="O32519" s="247"/>
      <c r="AC32519" s="247"/>
      <c r="AT32519" s="247"/>
    </row>
    <row r="32520">
      <c r="C32520" s="277"/>
      <c r="M32520" s="277"/>
      <c r="O32520" s="247"/>
      <c r="AC32520" s="247"/>
      <c r="AT32520" s="247"/>
    </row>
    <row r="32521">
      <c r="C32521" s="277"/>
      <c r="M32521" s="277"/>
      <c r="O32521" s="247"/>
      <c r="AC32521" s="247"/>
      <c r="AT32521" s="247"/>
    </row>
    <row r="32522">
      <c r="C32522" s="277"/>
      <c r="M32522" s="277"/>
      <c r="O32522" s="247"/>
      <c r="AC32522" s="247"/>
      <c r="AT32522" s="247"/>
    </row>
    <row r="32523">
      <c r="C32523" s="277"/>
      <c r="M32523" s="277"/>
      <c r="O32523" s="247"/>
      <c r="AC32523" s="247"/>
      <c r="AT32523" s="247"/>
    </row>
    <row r="32524">
      <c r="C32524" s="277"/>
      <c r="M32524" s="277"/>
      <c r="O32524" s="247"/>
      <c r="AC32524" s="247"/>
      <c r="AT32524" s="247"/>
    </row>
    <row r="32525">
      <c r="C32525" s="277"/>
      <c r="M32525" s="277"/>
      <c r="O32525" s="247"/>
      <c r="AC32525" s="247"/>
      <c r="AT32525" s="247"/>
    </row>
    <row r="32526">
      <c r="C32526" s="277"/>
      <c r="M32526" s="277"/>
      <c r="O32526" s="247"/>
      <c r="AC32526" s="247"/>
      <c r="AT32526" s="247"/>
    </row>
    <row r="32527">
      <c r="C32527" s="277"/>
      <c r="M32527" s="277"/>
      <c r="O32527" s="247"/>
      <c r="AC32527" s="247"/>
      <c r="AT32527" s="247"/>
    </row>
    <row r="32528">
      <c r="C32528" s="277"/>
      <c r="M32528" s="277"/>
      <c r="O32528" s="247"/>
      <c r="AC32528" s="247"/>
      <c r="AT32528" s="247"/>
    </row>
    <row r="32529">
      <c r="C32529" s="277"/>
      <c r="M32529" s="277"/>
      <c r="O32529" s="247"/>
      <c r="AC32529" s="247"/>
      <c r="AT32529" s="247"/>
    </row>
    <row r="32530">
      <c r="C32530" s="277"/>
      <c r="M32530" s="277"/>
      <c r="O32530" s="247"/>
      <c r="AC32530" s="247"/>
      <c r="AT32530" s="247"/>
    </row>
    <row r="32531">
      <c r="C32531" s="277"/>
      <c r="M32531" s="277"/>
      <c r="O32531" s="247"/>
      <c r="AC32531" s="247"/>
      <c r="AT32531" s="247"/>
    </row>
    <row r="32532">
      <c r="C32532" s="277"/>
      <c r="M32532" s="277"/>
      <c r="O32532" s="247"/>
      <c r="AC32532" s="247"/>
      <c r="AT32532" s="247"/>
    </row>
    <row r="32533">
      <c r="C32533" s="277"/>
      <c r="M32533" s="277"/>
      <c r="O32533" s="247"/>
      <c r="AC32533" s="247"/>
      <c r="AT32533" s="247"/>
    </row>
    <row r="32534">
      <c r="C32534" s="277"/>
      <c r="M32534" s="277"/>
      <c r="O32534" s="247"/>
      <c r="AC32534" s="247"/>
      <c r="AT32534" s="247"/>
    </row>
    <row r="32535">
      <c r="C32535" s="277"/>
      <c r="M32535" s="277"/>
      <c r="O32535" s="247"/>
      <c r="AC32535" s="247"/>
      <c r="AT32535" s="247"/>
    </row>
    <row r="32536">
      <c r="C32536" s="277"/>
      <c r="M32536" s="277"/>
      <c r="O32536" s="247"/>
      <c r="AC32536" s="247"/>
      <c r="AT32536" s="247"/>
    </row>
    <row r="32537">
      <c r="C32537" s="277"/>
      <c r="M32537" s="277"/>
      <c r="O32537" s="247"/>
      <c r="AC32537" s="247"/>
      <c r="AT32537" s="247"/>
    </row>
    <row r="32538">
      <c r="C32538" s="277"/>
      <c r="M32538" s="277"/>
      <c r="O32538" s="247"/>
      <c r="AC32538" s="247"/>
      <c r="AT32538" s="247"/>
    </row>
    <row r="32539">
      <c r="C32539" s="277"/>
      <c r="M32539" s="277"/>
      <c r="O32539" s="247"/>
      <c r="AC32539" s="247"/>
      <c r="AT32539" s="247"/>
    </row>
    <row r="32540">
      <c r="C32540" s="277"/>
      <c r="M32540" s="277"/>
      <c r="O32540" s="247"/>
      <c r="AC32540" s="247"/>
      <c r="AT32540" s="247"/>
    </row>
    <row r="32541">
      <c r="C32541" s="277"/>
      <c r="M32541" s="277"/>
      <c r="O32541" s="247"/>
      <c r="AC32541" s="247"/>
      <c r="AT32541" s="247"/>
    </row>
    <row r="32542">
      <c r="C32542" s="277"/>
      <c r="M32542" s="277"/>
      <c r="O32542" s="247"/>
      <c r="AC32542" s="247"/>
      <c r="AT32542" s="247"/>
    </row>
    <row r="32543">
      <c r="C32543" s="277"/>
      <c r="M32543" s="277"/>
      <c r="O32543" s="247"/>
      <c r="AC32543" s="247"/>
      <c r="AT32543" s="247"/>
    </row>
    <row r="32544">
      <c r="C32544" s="277"/>
      <c r="M32544" s="277"/>
      <c r="O32544" s="247"/>
      <c r="AC32544" s="247"/>
      <c r="AT32544" s="247"/>
    </row>
    <row r="32545">
      <c r="C32545" s="277"/>
      <c r="M32545" s="277"/>
      <c r="O32545" s="247"/>
      <c r="AC32545" s="247"/>
      <c r="AT32545" s="247"/>
    </row>
    <row r="32546">
      <c r="C32546" s="277"/>
      <c r="M32546" s="277"/>
      <c r="O32546" s="247"/>
      <c r="AC32546" s="247"/>
      <c r="AT32546" s="247"/>
    </row>
    <row r="32547">
      <c r="C32547" s="277"/>
      <c r="M32547" s="277"/>
      <c r="O32547" s="247"/>
      <c r="AC32547" s="247"/>
      <c r="AT32547" s="247"/>
    </row>
    <row r="32548">
      <c r="C32548" s="277"/>
      <c r="M32548" s="277"/>
      <c r="O32548" s="247"/>
      <c r="AC32548" s="247"/>
      <c r="AT32548" s="247"/>
    </row>
    <row r="32549">
      <c r="C32549" s="277"/>
      <c r="M32549" s="277"/>
      <c r="O32549" s="247"/>
      <c r="AC32549" s="247"/>
      <c r="AT32549" s="247"/>
    </row>
    <row r="32550">
      <c r="C32550" s="277"/>
      <c r="M32550" s="277"/>
      <c r="O32550" s="247"/>
      <c r="AC32550" s="247"/>
      <c r="AT32550" s="247"/>
    </row>
    <row r="32551">
      <c r="C32551" s="277"/>
      <c r="M32551" s="277"/>
      <c r="O32551" s="247"/>
      <c r="AC32551" s="247"/>
      <c r="AT32551" s="247"/>
    </row>
    <row r="32552">
      <c r="C32552" s="277"/>
      <c r="M32552" s="277"/>
      <c r="O32552" s="247"/>
      <c r="AC32552" s="247"/>
      <c r="AT32552" s="247"/>
    </row>
    <row r="32553">
      <c r="C32553" s="277"/>
      <c r="M32553" s="277"/>
      <c r="O32553" s="247"/>
      <c r="AC32553" s="247"/>
      <c r="AT32553" s="247"/>
    </row>
    <row r="32554">
      <c r="C32554" s="277"/>
      <c r="M32554" s="277"/>
      <c r="O32554" s="247"/>
      <c r="AC32554" s="247"/>
      <c r="AT32554" s="247"/>
    </row>
    <row r="32555">
      <c r="C32555" s="277"/>
      <c r="M32555" s="277"/>
      <c r="O32555" s="247"/>
      <c r="AC32555" s="247"/>
      <c r="AT32555" s="247"/>
    </row>
    <row r="32556">
      <c r="C32556" s="277"/>
      <c r="M32556" s="277"/>
      <c r="O32556" s="247"/>
      <c r="AC32556" s="247"/>
      <c r="AT32556" s="247"/>
    </row>
    <row r="32557">
      <c r="C32557" s="277"/>
      <c r="M32557" s="277"/>
      <c r="O32557" s="247"/>
      <c r="AC32557" s="247"/>
      <c r="AT32557" s="247"/>
    </row>
    <row r="32558">
      <c r="C32558" s="277"/>
      <c r="M32558" s="277"/>
      <c r="O32558" s="247"/>
      <c r="AC32558" s="247"/>
      <c r="AT32558" s="247"/>
    </row>
    <row r="32559">
      <c r="C32559" s="277"/>
      <c r="M32559" s="277"/>
      <c r="O32559" s="247"/>
      <c r="AC32559" s="247"/>
      <c r="AT32559" s="247"/>
    </row>
    <row r="32560">
      <c r="C32560" s="277"/>
      <c r="M32560" s="277"/>
      <c r="O32560" s="247"/>
      <c r="AC32560" s="247"/>
      <c r="AT32560" s="247"/>
    </row>
    <row r="32561">
      <c r="C32561" s="277"/>
      <c r="M32561" s="277"/>
      <c r="O32561" s="247"/>
      <c r="AC32561" s="247"/>
      <c r="AT32561" s="247"/>
    </row>
    <row r="32562">
      <c r="C32562" s="277"/>
      <c r="M32562" s="277"/>
      <c r="O32562" s="247"/>
      <c r="AC32562" s="247"/>
      <c r="AT32562" s="247"/>
    </row>
    <row r="32563">
      <c r="C32563" s="277"/>
      <c r="M32563" s="277"/>
      <c r="O32563" s="247"/>
      <c r="AC32563" s="247"/>
      <c r="AT32563" s="247"/>
    </row>
    <row r="32564">
      <c r="C32564" s="277"/>
      <c r="M32564" s="277"/>
      <c r="O32564" s="247"/>
      <c r="AC32564" s="247"/>
      <c r="AT32564" s="247"/>
    </row>
    <row r="32565">
      <c r="C32565" s="277"/>
      <c r="M32565" s="277"/>
      <c r="O32565" s="247"/>
      <c r="AC32565" s="247"/>
      <c r="AT32565" s="247"/>
    </row>
    <row r="32566">
      <c r="C32566" s="277"/>
      <c r="M32566" s="277"/>
      <c r="O32566" s="247"/>
      <c r="AC32566" s="247"/>
      <c r="AT32566" s="247"/>
    </row>
    <row r="32567">
      <c r="C32567" s="277"/>
      <c r="M32567" s="277"/>
      <c r="O32567" s="247"/>
      <c r="AC32567" s="247"/>
      <c r="AT32567" s="247"/>
    </row>
    <row r="32568">
      <c r="C32568" s="277"/>
      <c r="M32568" s="277"/>
      <c r="O32568" s="247"/>
      <c r="AC32568" s="247"/>
      <c r="AT32568" s="247"/>
    </row>
    <row r="32569">
      <c r="C32569" s="277"/>
      <c r="M32569" s="277"/>
      <c r="O32569" s="247"/>
      <c r="AC32569" s="247"/>
      <c r="AT32569" s="247"/>
    </row>
    <row r="32570">
      <c r="C32570" s="277"/>
      <c r="M32570" s="277"/>
      <c r="O32570" s="247"/>
      <c r="AC32570" s="247"/>
      <c r="AT32570" s="247"/>
    </row>
    <row r="32571">
      <c r="C32571" s="277"/>
      <c r="M32571" s="277"/>
      <c r="O32571" s="247"/>
      <c r="AC32571" s="247"/>
      <c r="AT32571" s="247"/>
    </row>
    <row r="32572">
      <c r="C32572" s="277"/>
      <c r="M32572" s="277"/>
      <c r="O32572" s="247"/>
      <c r="AC32572" s="247"/>
      <c r="AT32572" s="247"/>
    </row>
    <row r="32573">
      <c r="C32573" s="277"/>
      <c r="M32573" s="277"/>
      <c r="O32573" s="247"/>
      <c r="AC32573" s="247"/>
      <c r="AT32573" s="247"/>
    </row>
    <row r="32574">
      <c r="C32574" s="277"/>
      <c r="M32574" s="277"/>
      <c r="O32574" s="247"/>
      <c r="AC32574" s="247"/>
      <c r="AT32574" s="247"/>
    </row>
    <row r="32575">
      <c r="C32575" s="277"/>
      <c r="M32575" s="277"/>
      <c r="O32575" s="247"/>
      <c r="AC32575" s="247"/>
      <c r="AT32575" s="247"/>
    </row>
    <row r="32576">
      <c r="C32576" s="277"/>
      <c r="M32576" s="277"/>
      <c r="O32576" s="247"/>
      <c r="AC32576" s="247"/>
      <c r="AT32576" s="247"/>
    </row>
    <row r="32577">
      <c r="C32577" s="277"/>
      <c r="M32577" s="277"/>
      <c r="O32577" s="247"/>
      <c r="AC32577" s="247"/>
      <c r="AT32577" s="247"/>
    </row>
    <row r="32578">
      <c r="C32578" s="277"/>
      <c r="M32578" s="277"/>
      <c r="O32578" s="247"/>
      <c r="AC32578" s="247"/>
      <c r="AT32578" s="247"/>
    </row>
    <row r="32579">
      <c r="C32579" s="277"/>
      <c r="M32579" s="277"/>
      <c r="O32579" s="247"/>
      <c r="AC32579" s="247"/>
      <c r="AT32579" s="247"/>
    </row>
    <row r="32580">
      <c r="C32580" s="277"/>
      <c r="M32580" s="277"/>
      <c r="O32580" s="247"/>
      <c r="AC32580" s="247"/>
      <c r="AT32580" s="247"/>
    </row>
    <row r="32581">
      <c r="C32581" s="277"/>
      <c r="M32581" s="277"/>
      <c r="O32581" s="247"/>
      <c r="AC32581" s="247"/>
      <c r="AT32581" s="247"/>
    </row>
    <row r="32582">
      <c r="C32582" s="277"/>
      <c r="M32582" s="277"/>
      <c r="O32582" s="247"/>
      <c r="AC32582" s="247"/>
      <c r="AT32582" s="247"/>
    </row>
    <row r="32583">
      <c r="C32583" s="277"/>
      <c r="M32583" s="277"/>
      <c r="O32583" s="247"/>
      <c r="AC32583" s="247"/>
      <c r="AT32583" s="247"/>
    </row>
    <row r="32584">
      <c r="C32584" s="277"/>
      <c r="M32584" s="277"/>
      <c r="O32584" s="247"/>
      <c r="AC32584" s="247"/>
      <c r="AT32584" s="247"/>
    </row>
    <row r="32585">
      <c r="C32585" s="277"/>
      <c r="M32585" s="277"/>
      <c r="O32585" s="247"/>
      <c r="AC32585" s="247"/>
      <c r="AT32585" s="247"/>
    </row>
    <row r="32586">
      <c r="C32586" s="277"/>
      <c r="M32586" s="277"/>
      <c r="O32586" s="247"/>
      <c r="AC32586" s="247"/>
      <c r="AT32586" s="247"/>
    </row>
    <row r="32587">
      <c r="C32587" s="277"/>
      <c r="M32587" s="277"/>
      <c r="O32587" s="247"/>
      <c r="AC32587" s="247"/>
      <c r="AT32587" s="247"/>
    </row>
    <row r="32588">
      <c r="C32588" s="277"/>
      <c r="M32588" s="277"/>
      <c r="O32588" s="247"/>
      <c r="AC32588" s="247"/>
      <c r="AT32588" s="247"/>
    </row>
    <row r="32589">
      <c r="C32589" s="277"/>
      <c r="M32589" s="277"/>
      <c r="O32589" s="247"/>
      <c r="AC32589" s="247"/>
      <c r="AT32589" s="247"/>
    </row>
    <row r="32590">
      <c r="C32590" s="277"/>
      <c r="M32590" s="277"/>
      <c r="O32590" s="247"/>
      <c r="AC32590" s="247"/>
      <c r="AT32590" s="247"/>
    </row>
    <row r="32591">
      <c r="C32591" s="277"/>
      <c r="M32591" s="277"/>
      <c r="O32591" s="247"/>
      <c r="AC32591" s="247"/>
      <c r="AT32591" s="247"/>
    </row>
    <row r="32592">
      <c r="C32592" s="277"/>
      <c r="M32592" s="277"/>
      <c r="O32592" s="247"/>
      <c r="AC32592" s="247"/>
      <c r="AT32592" s="247"/>
    </row>
    <row r="32593">
      <c r="C32593" s="277"/>
      <c r="M32593" s="277"/>
      <c r="O32593" s="247"/>
      <c r="AC32593" s="247"/>
      <c r="AT32593" s="247"/>
    </row>
    <row r="32594">
      <c r="C32594" s="277"/>
      <c r="M32594" s="277"/>
      <c r="O32594" s="247"/>
      <c r="AC32594" s="247"/>
      <c r="AT32594" s="247"/>
    </row>
    <row r="32595">
      <c r="C32595" s="277"/>
      <c r="M32595" s="277"/>
      <c r="O32595" s="247"/>
      <c r="AC32595" s="247"/>
      <c r="AT32595" s="247"/>
    </row>
    <row r="32596">
      <c r="C32596" s="277"/>
      <c r="M32596" s="277"/>
      <c r="O32596" s="247"/>
      <c r="AC32596" s="247"/>
      <c r="AT32596" s="247"/>
    </row>
    <row r="32597">
      <c r="C32597" s="277"/>
      <c r="M32597" s="277"/>
      <c r="O32597" s="247"/>
      <c r="AC32597" s="247"/>
      <c r="AT32597" s="247"/>
    </row>
    <row r="32598">
      <c r="C32598" s="277"/>
      <c r="M32598" s="277"/>
      <c r="O32598" s="247"/>
      <c r="AC32598" s="247"/>
      <c r="AT32598" s="247"/>
    </row>
    <row r="32599">
      <c r="C32599" s="277"/>
      <c r="M32599" s="277"/>
      <c r="O32599" s="247"/>
      <c r="AC32599" s="247"/>
      <c r="AT32599" s="247"/>
    </row>
    <row r="32600">
      <c r="C32600" s="277"/>
      <c r="M32600" s="277"/>
      <c r="O32600" s="247"/>
      <c r="AC32600" s="247"/>
      <c r="AT32600" s="247"/>
    </row>
    <row r="32601">
      <c r="C32601" s="277"/>
      <c r="M32601" s="277"/>
      <c r="O32601" s="247"/>
      <c r="AC32601" s="247"/>
      <c r="AT32601" s="247"/>
    </row>
    <row r="32602">
      <c r="C32602" s="277"/>
      <c r="M32602" s="277"/>
      <c r="O32602" s="247"/>
      <c r="AC32602" s="247"/>
      <c r="AT32602" s="247"/>
    </row>
    <row r="32603">
      <c r="C32603" s="277"/>
      <c r="M32603" s="277"/>
      <c r="O32603" s="247"/>
      <c r="AC32603" s="247"/>
      <c r="AT32603" s="247"/>
    </row>
    <row r="32604">
      <c r="C32604" s="277"/>
      <c r="M32604" s="277"/>
      <c r="O32604" s="247"/>
      <c r="AC32604" s="247"/>
      <c r="AT32604" s="247"/>
    </row>
    <row r="32605">
      <c r="C32605" s="277"/>
      <c r="M32605" s="277"/>
      <c r="O32605" s="247"/>
      <c r="AC32605" s="247"/>
      <c r="AT32605" s="247"/>
    </row>
    <row r="32606">
      <c r="C32606" s="277"/>
      <c r="M32606" s="277"/>
      <c r="O32606" s="247"/>
      <c r="AC32606" s="247"/>
      <c r="AT32606" s="247"/>
    </row>
    <row r="32607">
      <c r="C32607" s="277"/>
      <c r="M32607" s="277"/>
      <c r="O32607" s="247"/>
      <c r="AC32607" s="247"/>
      <c r="AT32607" s="247"/>
    </row>
    <row r="32608">
      <c r="C32608" s="277"/>
      <c r="M32608" s="277"/>
      <c r="O32608" s="247"/>
      <c r="AC32608" s="247"/>
      <c r="AT32608" s="247"/>
    </row>
    <row r="32609">
      <c r="C32609" s="277"/>
      <c r="M32609" s="277"/>
      <c r="O32609" s="247"/>
      <c r="AC32609" s="247"/>
      <c r="AT32609" s="247"/>
    </row>
    <row r="32610">
      <c r="C32610" s="277"/>
      <c r="M32610" s="277"/>
      <c r="O32610" s="247"/>
      <c r="AC32610" s="247"/>
      <c r="AT32610" s="247"/>
    </row>
    <row r="32611">
      <c r="C32611" s="277"/>
      <c r="M32611" s="277"/>
      <c r="O32611" s="247"/>
      <c r="AC32611" s="247"/>
      <c r="AT32611" s="247"/>
    </row>
    <row r="32612">
      <c r="C32612" s="277"/>
      <c r="M32612" s="277"/>
      <c r="O32612" s="247"/>
      <c r="AC32612" s="247"/>
      <c r="AT32612" s="247"/>
    </row>
    <row r="32613">
      <c r="C32613" s="277"/>
      <c r="M32613" s="277"/>
      <c r="O32613" s="247"/>
      <c r="AC32613" s="247"/>
      <c r="AT32613" s="247"/>
    </row>
    <row r="32614">
      <c r="C32614" s="277"/>
      <c r="M32614" s="277"/>
      <c r="O32614" s="247"/>
      <c r="AC32614" s="247"/>
      <c r="AT32614" s="247"/>
    </row>
    <row r="32615">
      <c r="C32615" s="277"/>
      <c r="M32615" s="277"/>
      <c r="O32615" s="247"/>
      <c r="AC32615" s="247"/>
      <c r="AT32615" s="247"/>
    </row>
    <row r="32616">
      <c r="C32616" s="277"/>
      <c r="M32616" s="277"/>
      <c r="O32616" s="247"/>
      <c r="AC32616" s="247"/>
      <c r="AT32616" s="247"/>
    </row>
    <row r="32617">
      <c r="C32617" s="277"/>
      <c r="M32617" s="277"/>
      <c r="O32617" s="247"/>
      <c r="AC32617" s="247"/>
      <c r="AT32617" s="247"/>
    </row>
    <row r="32618">
      <c r="C32618" s="277"/>
      <c r="M32618" s="277"/>
      <c r="O32618" s="247"/>
      <c r="AC32618" s="247"/>
      <c r="AT32618" s="247"/>
    </row>
    <row r="32619">
      <c r="C32619" s="277"/>
      <c r="M32619" s="277"/>
      <c r="O32619" s="247"/>
      <c r="AC32619" s="247"/>
      <c r="AT32619" s="247"/>
    </row>
    <row r="32620">
      <c r="C32620" s="277"/>
      <c r="M32620" s="277"/>
      <c r="O32620" s="247"/>
      <c r="AC32620" s="247"/>
      <c r="AT32620" s="247"/>
    </row>
    <row r="32621">
      <c r="C32621" s="277"/>
      <c r="M32621" s="277"/>
      <c r="O32621" s="247"/>
      <c r="AC32621" s="247"/>
      <c r="AT32621" s="247"/>
    </row>
    <row r="32622">
      <c r="C32622" s="277"/>
      <c r="M32622" s="277"/>
      <c r="O32622" s="247"/>
      <c r="AC32622" s="247"/>
      <c r="AT32622" s="247"/>
    </row>
    <row r="32623">
      <c r="C32623" s="277"/>
      <c r="M32623" s="277"/>
      <c r="O32623" s="247"/>
      <c r="AC32623" s="247"/>
      <c r="AT32623" s="247"/>
    </row>
    <row r="32624">
      <c r="C32624" s="277"/>
      <c r="M32624" s="277"/>
      <c r="O32624" s="247"/>
      <c r="AC32624" s="247"/>
      <c r="AT32624" s="247"/>
    </row>
    <row r="32625">
      <c r="C32625" s="277"/>
      <c r="M32625" s="277"/>
      <c r="O32625" s="247"/>
      <c r="AC32625" s="247"/>
      <c r="AT32625" s="247"/>
    </row>
    <row r="32626">
      <c r="C32626" s="277"/>
      <c r="M32626" s="277"/>
      <c r="O32626" s="247"/>
      <c r="AC32626" s="247"/>
      <c r="AT32626" s="247"/>
    </row>
    <row r="32627">
      <c r="C32627" s="277"/>
      <c r="M32627" s="277"/>
      <c r="O32627" s="247"/>
      <c r="AC32627" s="247"/>
      <c r="AT32627" s="247"/>
    </row>
    <row r="32628">
      <c r="C32628" s="277"/>
      <c r="M32628" s="277"/>
      <c r="O32628" s="247"/>
      <c r="AC32628" s="247"/>
      <c r="AT32628" s="247"/>
    </row>
    <row r="32629">
      <c r="C32629" s="277"/>
      <c r="M32629" s="277"/>
      <c r="O32629" s="247"/>
      <c r="AC32629" s="247"/>
      <c r="AT32629" s="247"/>
    </row>
    <row r="32630">
      <c r="C32630" s="277"/>
      <c r="M32630" s="277"/>
      <c r="O32630" s="247"/>
      <c r="AC32630" s="247"/>
      <c r="AT32630" s="247"/>
    </row>
    <row r="32631">
      <c r="C32631" s="277"/>
      <c r="M32631" s="277"/>
      <c r="O32631" s="247"/>
      <c r="AC32631" s="247"/>
      <c r="AT32631" s="247"/>
    </row>
    <row r="32632">
      <c r="C32632" s="277"/>
      <c r="M32632" s="277"/>
      <c r="O32632" s="247"/>
      <c r="AC32632" s="247"/>
      <c r="AT32632" s="247"/>
    </row>
    <row r="32633">
      <c r="C32633" s="277"/>
      <c r="M32633" s="277"/>
      <c r="O32633" s="247"/>
      <c r="AC32633" s="247"/>
      <c r="AT32633" s="247"/>
    </row>
    <row r="32634">
      <c r="C32634" s="277"/>
      <c r="M32634" s="277"/>
      <c r="O32634" s="247"/>
      <c r="AC32634" s="247"/>
      <c r="AT32634" s="247"/>
    </row>
    <row r="32635">
      <c r="C32635" s="277"/>
      <c r="M32635" s="277"/>
      <c r="O32635" s="247"/>
      <c r="AC32635" s="247"/>
      <c r="AT32635" s="247"/>
    </row>
    <row r="32636">
      <c r="C32636" s="277"/>
      <c r="M32636" s="277"/>
      <c r="O32636" s="247"/>
      <c r="AC32636" s="247"/>
      <c r="AT32636" s="247"/>
    </row>
    <row r="32637">
      <c r="C32637" s="277"/>
      <c r="M32637" s="277"/>
      <c r="O32637" s="247"/>
      <c r="AC32637" s="247"/>
      <c r="AT32637" s="247"/>
    </row>
    <row r="32638">
      <c r="C32638" s="277"/>
      <c r="M32638" s="277"/>
      <c r="O32638" s="247"/>
      <c r="AC32638" s="247"/>
      <c r="AT32638" s="247"/>
    </row>
    <row r="32639">
      <c r="C32639" s="277"/>
      <c r="M32639" s="277"/>
      <c r="O32639" s="247"/>
      <c r="AC32639" s="247"/>
      <c r="AT32639" s="247"/>
    </row>
    <row r="32640">
      <c r="C32640" s="277"/>
      <c r="M32640" s="277"/>
      <c r="O32640" s="247"/>
      <c r="AC32640" s="247"/>
      <c r="AT32640" s="247"/>
    </row>
    <row r="32641">
      <c r="C32641" s="277"/>
      <c r="M32641" s="277"/>
      <c r="O32641" s="247"/>
      <c r="AC32641" s="247"/>
      <c r="AT32641" s="247"/>
    </row>
    <row r="32642">
      <c r="C32642" s="277"/>
      <c r="M32642" s="277"/>
      <c r="O32642" s="247"/>
      <c r="AC32642" s="247"/>
      <c r="AT32642" s="247"/>
    </row>
    <row r="32643">
      <c r="C32643" s="277"/>
      <c r="M32643" s="277"/>
      <c r="O32643" s="247"/>
      <c r="AC32643" s="247"/>
      <c r="AT32643" s="247"/>
    </row>
    <row r="32644">
      <c r="C32644" s="277"/>
      <c r="M32644" s="277"/>
      <c r="O32644" s="247"/>
      <c r="AC32644" s="247"/>
      <c r="AT32644" s="247"/>
    </row>
    <row r="32645">
      <c r="C32645" s="277"/>
      <c r="M32645" s="277"/>
      <c r="O32645" s="247"/>
      <c r="AC32645" s="247"/>
      <c r="AT32645" s="247"/>
    </row>
    <row r="32646">
      <c r="C32646" s="277"/>
      <c r="M32646" s="277"/>
      <c r="O32646" s="247"/>
      <c r="AC32646" s="247"/>
      <c r="AT32646" s="247"/>
    </row>
    <row r="32647">
      <c r="C32647" s="277"/>
      <c r="M32647" s="277"/>
      <c r="O32647" s="247"/>
      <c r="AC32647" s="247"/>
      <c r="AT32647" s="247"/>
    </row>
    <row r="32648">
      <c r="C32648" s="277"/>
      <c r="M32648" s="277"/>
      <c r="O32648" s="247"/>
      <c r="AC32648" s="247"/>
      <c r="AT32648" s="247"/>
    </row>
    <row r="32649">
      <c r="C32649" s="277"/>
      <c r="M32649" s="277"/>
      <c r="O32649" s="247"/>
      <c r="AC32649" s="247"/>
      <c r="AT32649" s="247"/>
    </row>
    <row r="32650">
      <c r="C32650" s="277"/>
      <c r="M32650" s="277"/>
      <c r="O32650" s="247"/>
      <c r="AC32650" s="247"/>
      <c r="AT32650" s="247"/>
    </row>
    <row r="32651">
      <c r="C32651" s="277"/>
      <c r="M32651" s="277"/>
      <c r="O32651" s="247"/>
      <c r="AC32651" s="247"/>
      <c r="AT32651" s="247"/>
    </row>
    <row r="32652">
      <c r="C32652" s="277"/>
      <c r="M32652" s="277"/>
      <c r="O32652" s="247"/>
      <c r="AC32652" s="247"/>
      <c r="AT32652" s="247"/>
    </row>
    <row r="32653">
      <c r="C32653" s="277"/>
      <c r="M32653" s="277"/>
      <c r="O32653" s="247"/>
      <c r="AC32653" s="247"/>
      <c r="AT32653" s="247"/>
    </row>
    <row r="32654">
      <c r="C32654" s="277"/>
      <c r="M32654" s="277"/>
      <c r="O32654" s="247"/>
      <c r="AC32654" s="247"/>
      <c r="AT32654" s="247"/>
    </row>
    <row r="32655">
      <c r="C32655" s="277"/>
      <c r="M32655" s="277"/>
      <c r="O32655" s="247"/>
      <c r="AC32655" s="247"/>
      <c r="AT32655" s="247"/>
    </row>
    <row r="32656">
      <c r="C32656" s="277"/>
      <c r="M32656" s="277"/>
      <c r="O32656" s="247"/>
      <c r="AC32656" s="247"/>
      <c r="AT32656" s="247"/>
    </row>
    <row r="32657">
      <c r="C32657" s="277"/>
      <c r="M32657" s="277"/>
      <c r="O32657" s="247"/>
      <c r="AC32657" s="247"/>
      <c r="AT32657" s="247"/>
    </row>
    <row r="32658">
      <c r="C32658" s="277"/>
      <c r="M32658" s="277"/>
      <c r="O32658" s="247"/>
      <c r="AC32658" s="247"/>
      <c r="AT32658" s="247"/>
    </row>
    <row r="32659">
      <c r="C32659" s="277"/>
      <c r="M32659" s="277"/>
      <c r="O32659" s="247"/>
      <c r="AC32659" s="247"/>
      <c r="AT32659" s="247"/>
    </row>
    <row r="32660">
      <c r="C32660" s="277"/>
      <c r="M32660" s="277"/>
      <c r="O32660" s="247"/>
      <c r="AC32660" s="247"/>
      <c r="AT32660" s="247"/>
    </row>
    <row r="32661">
      <c r="C32661" s="277"/>
      <c r="M32661" s="277"/>
      <c r="O32661" s="247"/>
      <c r="AC32661" s="247"/>
      <c r="AT32661" s="247"/>
    </row>
    <row r="32662">
      <c r="C32662" s="277"/>
      <c r="M32662" s="277"/>
      <c r="O32662" s="247"/>
      <c r="AC32662" s="247"/>
      <c r="AT32662" s="247"/>
    </row>
    <row r="32663">
      <c r="C32663" s="277"/>
      <c r="M32663" s="277"/>
      <c r="O32663" s="247"/>
      <c r="AC32663" s="247"/>
      <c r="AT32663" s="247"/>
    </row>
    <row r="32664">
      <c r="C32664" s="277"/>
      <c r="M32664" s="277"/>
      <c r="O32664" s="247"/>
      <c r="AC32664" s="247"/>
      <c r="AT32664" s="247"/>
    </row>
    <row r="32665">
      <c r="C32665" s="277"/>
      <c r="M32665" s="277"/>
      <c r="O32665" s="247"/>
      <c r="AC32665" s="247"/>
      <c r="AT32665" s="247"/>
    </row>
    <row r="32666">
      <c r="C32666" s="277"/>
      <c r="M32666" s="277"/>
      <c r="O32666" s="247"/>
      <c r="AC32666" s="247"/>
      <c r="AT32666" s="247"/>
    </row>
    <row r="32667">
      <c r="C32667" s="277"/>
      <c r="M32667" s="277"/>
      <c r="O32667" s="247"/>
      <c r="AC32667" s="247"/>
      <c r="AT32667" s="247"/>
    </row>
    <row r="32668">
      <c r="C32668" s="277"/>
      <c r="M32668" s="277"/>
      <c r="O32668" s="247"/>
      <c r="AC32668" s="247"/>
      <c r="AT32668" s="247"/>
    </row>
    <row r="32669">
      <c r="C32669" s="277"/>
      <c r="M32669" s="277"/>
      <c r="O32669" s="247"/>
      <c r="AC32669" s="247"/>
      <c r="AT32669" s="247"/>
    </row>
    <row r="32670">
      <c r="C32670" s="277"/>
      <c r="M32670" s="277"/>
      <c r="O32670" s="247"/>
      <c r="AC32670" s="247"/>
      <c r="AT32670" s="247"/>
    </row>
    <row r="32671">
      <c r="C32671" s="277"/>
      <c r="M32671" s="277"/>
      <c r="O32671" s="247"/>
      <c r="AC32671" s="247"/>
      <c r="AT32671" s="247"/>
    </row>
    <row r="32672">
      <c r="C32672" s="277"/>
      <c r="M32672" s="277"/>
      <c r="O32672" s="247"/>
      <c r="AC32672" s="247"/>
      <c r="AT32672" s="247"/>
    </row>
    <row r="32673">
      <c r="C32673" s="277"/>
      <c r="M32673" s="277"/>
      <c r="O32673" s="247"/>
      <c r="AC32673" s="247"/>
      <c r="AT32673" s="247"/>
    </row>
    <row r="32674">
      <c r="C32674" s="277"/>
      <c r="M32674" s="277"/>
      <c r="O32674" s="247"/>
      <c r="AC32674" s="247"/>
      <c r="AT32674" s="247"/>
    </row>
    <row r="32675">
      <c r="C32675" s="277"/>
      <c r="M32675" s="277"/>
      <c r="O32675" s="247"/>
      <c r="AC32675" s="247"/>
      <c r="AT32675" s="247"/>
    </row>
    <row r="32676">
      <c r="C32676" s="277"/>
      <c r="M32676" s="277"/>
      <c r="O32676" s="247"/>
      <c r="AC32676" s="247"/>
      <c r="AT32676" s="247"/>
    </row>
    <row r="32677">
      <c r="C32677" s="277"/>
      <c r="M32677" s="277"/>
      <c r="O32677" s="247"/>
      <c r="AC32677" s="247"/>
      <c r="AT32677" s="247"/>
    </row>
    <row r="32678">
      <c r="C32678" s="277"/>
      <c r="M32678" s="277"/>
      <c r="O32678" s="247"/>
      <c r="AC32678" s="247"/>
      <c r="AT32678" s="247"/>
    </row>
    <row r="32679">
      <c r="C32679" s="277"/>
      <c r="M32679" s="277"/>
      <c r="O32679" s="247"/>
      <c r="AC32679" s="247"/>
      <c r="AT32679" s="247"/>
    </row>
    <row r="32680">
      <c r="C32680" s="277"/>
      <c r="M32680" s="277"/>
      <c r="O32680" s="247"/>
      <c r="AC32680" s="247"/>
      <c r="AT32680" s="247"/>
    </row>
    <row r="32681">
      <c r="C32681" s="277"/>
      <c r="M32681" s="277"/>
      <c r="O32681" s="247"/>
      <c r="AC32681" s="247"/>
      <c r="AT32681" s="247"/>
    </row>
    <row r="32682">
      <c r="C32682" s="277"/>
      <c r="M32682" s="277"/>
      <c r="O32682" s="247"/>
      <c r="AC32682" s="247"/>
      <c r="AT32682" s="247"/>
    </row>
    <row r="32683">
      <c r="C32683" s="277"/>
      <c r="M32683" s="277"/>
      <c r="O32683" s="247"/>
      <c r="AC32683" s="247"/>
      <c r="AT32683" s="247"/>
    </row>
    <row r="32684">
      <c r="C32684" s="277"/>
      <c r="M32684" s="277"/>
      <c r="O32684" s="247"/>
      <c r="AC32684" s="247"/>
      <c r="AT32684" s="247"/>
    </row>
    <row r="32685">
      <c r="C32685" s="277"/>
      <c r="M32685" s="277"/>
      <c r="O32685" s="247"/>
      <c r="AC32685" s="247"/>
      <c r="AT32685" s="247"/>
    </row>
    <row r="32686">
      <c r="C32686" s="277"/>
      <c r="M32686" s="277"/>
      <c r="O32686" s="247"/>
      <c r="AC32686" s="247"/>
      <c r="AT32686" s="247"/>
    </row>
    <row r="32687">
      <c r="C32687" s="277"/>
      <c r="M32687" s="277"/>
      <c r="O32687" s="247"/>
      <c r="AC32687" s="247"/>
      <c r="AT32687" s="247"/>
    </row>
    <row r="32688">
      <c r="C32688" s="277"/>
      <c r="M32688" s="277"/>
      <c r="O32688" s="247"/>
      <c r="AC32688" s="247"/>
      <c r="AT32688" s="247"/>
    </row>
    <row r="32689">
      <c r="C32689" s="277"/>
      <c r="M32689" s="277"/>
      <c r="O32689" s="247"/>
      <c r="AC32689" s="247"/>
      <c r="AT32689" s="247"/>
    </row>
    <row r="32690">
      <c r="C32690" s="277"/>
      <c r="M32690" s="277"/>
      <c r="O32690" s="247"/>
      <c r="AC32690" s="247"/>
      <c r="AT32690" s="247"/>
    </row>
    <row r="32691">
      <c r="C32691" s="277"/>
      <c r="M32691" s="277"/>
      <c r="O32691" s="247"/>
      <c r="AC32691" s="247"/>
      <c r="AT32691" s="247"/>
    </row>
    <row r="32692">
      <c r="C32692" s="277"/>
      <c r="M32692" s="277"/>
      <c r="O32692" s="247"/>
      <c r="AC32692" s="247"/>
      <c r="AT32692" s="247"/>
    </row>
    <row r="32693">
      <c r="C32693" s="277"/>
      <c r="M32693" s="277"/>
      <c r="O32693" s="247"/>
      <c r="AC32693" s="247"/>
      <c r="AT32693" s="247"/>
    </row>
    <row r="32694">
      <c r="C32694" s="277"/>
      <c r="M32694" s="277"/>
      <c r="O32694" s="247"/>
      <c r="AC32694" s="247"/>
      <c r="AT32694" s="247"/>
    </row>
    <row r="32695">
      <c r="C32695" s="277"/>
      <c r="M32695" s="277"/>
      <c r="O32695" s="247"/>
      <c r="AC32695" s="247"/>
      <c r="AT32695" s="247"/>
    </row>
    <row r="32696">
      <c r="C32696" s="277"/>
      <c r="M32696" s="277"/>
      <c r="O32696" s="247"/>
      <c r="AC32696" s="247"/>
      <c r="AT32696" s="247"/>
    </row>
    <row r="32697">
      <c r="C32697" s="277"/>
      <c r="M32697" s="277"/>
      <c r="O32697" s="247"/>
      <c r="AC32697" s="247"/>
      <c r="AT32697" s="247"/>
    </row>
    <row r="32698">
      <c r="C32698" s="277"/>
      <c r="M32698" s="277"/>
      <c r="O32698" s="247"/>
      <c r="AC32698" s="247"/>
      <c r="AT32698" s="247"/>
    </row>
    <row r="32699">
      <c r="C32699" s="277"/>
      <c r="M32699" s="277"/>
      <c r="O32699" s="247"/>
      <c r="AC32699" s="247"/>
      <c r="AT32699" s="247"/>
    </row>
    <row r="32700">
      <c r="C32700" s="277"/>
      <c r="M32700" s="277"/>
      <c r="O32700" s="247"/>
      <c r="AC32700" s="247"/>
      <c r="AT32700" s="247"/>
    </row>
    <row r="32701">
      <c r="C32701" s="277"/>
      <c r="M32701" s="277"/>
      <c r="O32701" s="247"/>
      <c r="AC32701" s="247"/>
      <c r="AT32701" s="247"/>
    </row>
    <row r="32702">
      <c r="C32702" s="277"/>
      <c r="M32702" s="277"/>
      <c r="O32702" s="247"/>
      <c r="AC32702" s="247"/>
      <c r="AT32702" s="247"/>
    </row>
    <row r="32703">
      <c r="C32703" s="277"/>
      <c r="M32703" s="277"/>
      <c r="O32703" s="247"/>
      <c r="AC32703" s="247"/>
      <c r="AT32703" s="247"/>
    </row>
    <row r="32704">
      <c r="C32704" s="277"/>
      <c r="M32704" s="277"/>
      <c r="O32704" s="247"/>
      <c r="AC32704" s="247"/>
      <c r="AT32704" s="247"/>
    </row>
    <row r="32705">
      <c r="C32705" s="277"/>
      <c r="M32705" s="277"/>
      <c r="O32705" s="247"/>
      <c r="AC32705" s="247"/>
      <c r="AT32705" s="247"/>
    </row>
    <row r="32706">
      <c r="C32706" s="277"/>
      <c r="M32706" s="277"/>
      <c r="O32706" s="247"/>
      <c r="AC32706" s="247"/>
      <c r="AT32706" s="247"/>
    </row>
    <row r="32707">
      <c r="C32707" s="277"/>
      <c r="M32707" s="277"/>
      <c r="O32707" s="247"/>
      <c r="AC32707" s="247"/>
      <c r="AT32707" s="247"/>
    </row>
    <row r="32708">
      <c r="C32708" s="277"/>
      <c r="M32708" s="277"/>
      <c r="O32708" s="247"/>
      <c r="AC32708" s="247"/>
      <c r="AT32708" s="247"/>
    </row>
    <row r="32709">
      <c r="C32709" s="277"/>
      <c r="M32709" s="277"/>
      <c r="O32709" s="247"/>
      <c r="AC32709" s="247"/>
      <c r="AT32709" s="247"/>
    </row>
    <row r="32710">
      <c r="C32710" s="277"/>
      <c r="M32710" s="277"/>
      <c r="O32710" s="247"/>
      <c r="AC32710" s="247"/>
      <c r="AT32710" s="247"/>
    </row>
    <row r="32711">
      <c r="C32711" s="277"/>
      <c r="M32711" s="277"/>
      <c r="O32711" s="247"/>
      <c r="AC32711" s="247"/>
      <c r="AT32711" s="247"/>
    </row>
    <row r="32712">
      <c r="C32712" s="277"/>
      <c r="M32712" s="277"/>
      <c r="O32712" s="247"/>
      <c r="AC32712" s="247"/>
      <c r="AT32712" s="247"/>
    </row>
    <row r="32713">
      <c r="C32713" s="277"/>
      <c r="M32713" s="277"/>
      <c r="O32713" s="247"/>
      <c r="AC32713" s="247"/>
      <c r="AT32713" s="247"/>
    </row>
    <row r="32714">
      <c r="C32714" s="277"/>
      <c r="M32714" s="277"/>
      <c r="O32714" s="247"/>
      <c r="AC32714" s="247"/>
      <c r="AT32714" s="247"/>
    </row>
    <row r="32715">
      <c r="C32715" s="277"/>
      <c r="M32715" s="277"/>
      <c r="O32715" s="247"/>
      <c r="AC32715" s="247"/>
      <c r="AT32715" s="247"/>
    </row>
    <row r="32716">
      <c r="C32716" s="277"/>
      <c r="M32716" s="277"/>
      <c r="O32716" s="247"/>
      <c r="AC32716" s="247"/>
      <c r="AT32716" s="247"/>
    </row>
    <row r="32717">
      <c r="C32717" s="277"/>
      <c r="M32717" s="277"/>
      <c r="O32717" s="247"/>
      <c r="AC32717" s="247"/>
      <c r="AT32717" s="247"/>
    </row>
    <row r="32718">
      <c r="C32718" s="277"/>
      <c r="M32718" s="277"/>
      <c r="O32718" s="247"/>
      <c r="AC32718" s="247"/>
      <c r="AT32718" s="247"/>
    </row>
    <row r="32719">
      <c r="C32719" s="277"/>
      <c r="M32719" s="277"/>
      <c r="O32719" s="247"/>
      <c r="AC32719" s="247"/>
      <c r="AT32719" s="247"/>
    </row>
    <row r="32720">
      <c r="C32720" s="277"/>
      <c r="M32720" s="277"/>
      <c r="O32720" s="247"/>
      <c r="AC32720" s="247"/>
      <c r="AT32720" s="247"/>
    </row>
    <row r="32721">
      <c r="C32721" s="277"/>
      <c r="M32721" s="277"/>
      <c r="O32721" s="247"/>
      <c r="AC32721" s="247"/>
      <c r="AT32721" s="247"/>
    </row>
    <row r="32722">
      <c r="C32722" s="277"/>
      <c r="M32722" s="277"/>
      <c r="O32722" s="247"/>
      <c r="AC32722" s="247"/>
      <c r="AT32722" s="247"/>
    </row>
    <row r="32723">
      <c r="C32723" s="277"/>
      <c r="M32723" s="277"/>
      <c r="O32723" s="247"/>
      <c r="AC32723" s="247"/>
      <c r="AT32723" s="247"/>
    </row>
    <row r="32724">
      <c r="C32724" s="277"/>
      <c r="M32724" s="277"/>
      <c r="O32724" s="247"/>
      <c r="AC32724" s="247"/>
      <c r="AT32724" s="247"/>
    </row>
    <row r="32725">
      <c r="C32725" s="277"/>
      <c r="M32725" s="277"/>
      <c r="O32725" s="247"/>
      <c r="AC32725" s="247"/>
      <c r="AT32725" s="247"/>
    </row>
    <row r="32726">
      <c r="C32726" s="277"/>
      <c r="M32726" s="277"/>
      <c r="O32726" s="247"/>
      <c r="AC32726" s="247"/>
      <c r="AT32726" s="247"/>
    </row>
    <row r="32727">
      <c r="C32727" s="277"/>
      <c r="M32727" s="277"/>
      <c r="O32727" s="247"/>
      <c r="AC32727" s="247"/>
      <c r="AT32727" s="247"/>
    </row>
    <row r="32728">
      <c r="C32728" s="277"/>
      <c r="M32728" s="277"/>
      <c r="O32728" s="247"/>
      <c r="AC32728" s="247"/>
      <c r="AT32728" s="247"/>
    </row>
    <row r="32729">
      <c r="C32729" s="277"/>
      <c r="M32729" s="277"/>
      <c r="O32729" s="247"/>
      <c r="AC32729" s="247"/>
      <c r="AT32729" s="247"/>
    </row>
    <row r="32730">
      <c r="C32730" s="277"/>
      <c r="M32730" s="277"/>
      <c r="O32730" s="247"/>
      <c r="AC32730" s="247"/>
      <c r="AT32730" s="247"/>
    </row>
    <row r="32731">
      <c r="C32731" s="277"/>
      <c r="M32731" s="277"/>
      <c r="O32731" s="247"/>
      <c r="AC32731" s="247"/>
      <c r="AT32731" s="247"/>
    </row>
    <row r="32732">
      <c r="C32732" s="277"/>
      <c r="M32732" s="277"/>
      <c r="O32732" s="247"/>
      <c r="AC32732" s="247"/>
      <c r="AT32732" s="247"/>
    </row>
    <row r="32733">
      <c r="C32733" s="277"/>
      <c r="M32733" s="277"/>
      <c r="O32733" s="247"/>
      <c r="AC32733" s="247"/>
      <c r="AT32733" s="247"/>
    </row>
    <row r="32734">
      <c r="C32734" s="277"/>
      <c r="M32734" s="277"/>
      <c r="O32734" s="247"/>
      <c r="AC32734" s="247"/>
      <c r="AT32734" s="247"/>
    </row>
    <row r="32735">
      <c r="C32735" s="277"/>
      <c r="M32735" s="277"/>
      <c r="O32735" s="247"/>
      <c r="AC32735" s="247"/>
      <c r="AT32735" s="247"/>
    </row>
    <row r="32736">
      <c r="C32736" s="277"/>
      <c r="M32736" s="277"/>
      <c r="O32736" s="247"/>
      <c r="AC32736" s="247"/>
      <c r="AT32736" s="247"/>
    </row>
    <row r="32737">
      <c r="C32737" s="277"/>
      <c r="M32737" s="277"/>
      <c r="O32737" s="247"/>
      <c r="AC32737" s="247"/>
      <c r="AT32737" s="247"/>
    </row>
    <row r="32738">
      <c r="C32738" s="277"/>
      <c r="M32738" s="277"/>
      <c r="O32738" s="247"/>
      <c r="AC32738" s="247"/>
      <c r="AT32738" s="247"/>
    </row>
    <row r="32739">
      <c r="C32739" s="277"/>
      <c r="M32739" s="277"/>
      <c r="O32739" s="247"/>
      <c r="AC32739" s="247"/>
      <c r="AT32739" s="247"/>
    </row>
    <row r="32740">
      <c r="C32740" s="277"/>
      <c r="M32740" s="277"/>
      <c r="O32740" s="247"/>
      <c r="AC32740" s="247"/>
      <c r="AT32740" s="247"/>
    </row>
    <row r="32741">
      <c r="C32741" s="277"/>
      <c r="M32741" s="277"/>
      <c r="O32741" s="247"/>
      <c r="AC32741" s="247"/>
      <c r="AT32741" s="247"/>
    </row>
    <row r="32742">
      <c r="C32742" s="277"/>
      <c r="M32742" s="277"/>
      <c r="O32742" s="247"/>
      <c r="AC32742" s="247"/>
      <c r="AT32742" s="247"/>
    </row>
    <row r="32743">
      <c r="C32743" s="277"/>
      <c r="M32743" s="277"/>
      <c r="O32743" s="247"/>
      <c r="AC32743" s="247"/>
      <c r="AT32743" s="247"/>
    </row>
    <row r="32744">
      <c r="C32744" s="277"/>
      <c r="M32744" s="277"/>
      <c r="O32744" s="247"/>
      <c r="AC32744" s="247"/>
      <c r="AT32744" s="247"/>
    </row>
    <row r="32745">
      <c r="C32745" s="277"/>
      <c r="M32745" s="277"/>
      <c r="O32745" s="247"/>
      <c r="AC32745" s="247"/>
      <c r="AT32745" s="247"/>
    </row>
    <row r="32746">
      <c r="C32746" s="277"/>
      <c r="M32746" s="277"/>
      <c r="O32746" s="247"/>
      <c r="AC32746" s="247"/>
      <c r="AT32746" s="247"/>
    </row>
    <row r="32747">
      <c r="C32747" s="277"/>
      <c r="M32747" s="277"/>
      <c r="O32747" s="247"/>
      <c r="AC32747" s="247"/>
      <c r="AT32747" s="247"/>
    </row>
    <row r="32748">
      <c r="C32748" s="277"/>
      <c r="M32748" s="277"/>
      <c r="O32748" s="247"/>
      <c r="AC32748" s="247"/>
      <c r="AT32748" s="247"/>
    </row>
    <row r="32749">
      <c r="C32749" s="277"/>
      <c r="M32749" s="277"/>
      <c r="O32749" s="247"/>
      <c r="AC32749" s="247"/>
      <c r="AT32749" s="247"/>
    </row>
    <row r="32750">
      <c r="C32750" s="277"/>
      <c r="M32750" s="277"/>
      <c r="O32750" s="247"/>
      <c r="AC32750" s="247"/>
      <c r="AT32750" s="247"/>
    </row>
    <row r="32751">
      <c r="C32751" s="277"/>
      <c r="M32751" s="277"/>
      <c r="O32751" s="247"/>
      <c r="AC32751" s="247"/>
      <c r="AT32751" s="247"/>
    </row>
    <row r="32752">
      <c r="C32752" s="277"/>
      <c r="M32752" s="277"/>
      <c r="O32752" s="247"/>
      <c r="AC32752" s="247"/>
      <c r="AT32752" s="247"/>
    </row>
    <row r="32753">
      <c r="C32753" s="277"/>
      <c r="M32753" s="277"/>
      <c r="O32753" s="247"/>
      <c r="AC32753" s="247"/>
      <c r="AT32753" s="247"/>
    </row>
    <row r="32754">
      <c r="C32754" s="277"/>
      <c r="M32754" s="277"/>
      <c r="O32754" s="247"/>
      <c r="AC32754" s="247"/>
      <c r="AT32754" s="247"/>
    </row>
    <row r="32755">
      <c r="C32755" s="277"/>
      <c r="M32755" s="277"/>
      <c r="O32755" s="247"/>
      <c r="AC32755" s="247"/>
      <c r="AT32755" s="247"/>
    </row>
    <row r="32756">
      <c r="C32756" s="277"/>
      <c r="M32756" s="277"/>
      <c r="O32756" s="247"/>
      <c r="AC32756" s="247"/>
      <c r="AT32756" s="247"/>
    </row>
    <row r="32757">
      <c r="C32757" s="277"/>
      <c r="M32757" s="277"/>
      <c r="O32757" s="247"/>
      <c r="AC32757" s="247"/>
      <c r="AT32757" s="247"/>
    </row>
    <row r="32758">
      <c r="C32758" s="277"/>
      <c r="M32758" s="277"/>
      <c r="O32758" s="247"/>
      <c r="AC32758" s="247"/>
      <c r="AT32758" s="247"/>
    </row>
    <row r="32759">
      <c r="C32759" s="277"/>
      <c r="M32759" s="277"/>
      <c r="O32759" s="247"/>
      <c r="AC32759" s="247"/>
      <c r="AT32759" s="247"/>
    </row>
    <row r="32760">
      <c r="C32760" s="277"/>
      <c r="M32760" s="277"/>
      <c r="O32760" s="247"/>
      <c r="AC32760" s="247"/>
      <c r="AT32760" s="247"/>
    </row>
    <row r="32761">
      <c r="C32761" s="277"/>
      <c r="M32761" s="277"/>
      <c r="O32761" s="247"/>
      <c r="AC32761" s="247"/>
      <c r="AT32761" s="247"/>
    </row>
    <row r="32762">
      <c r="C32762" s="277"/>
      <c r="M32762" s="277"/>
      <c r="O32762" s="247"/>
      <c r="AC32762" s="247"/>
      <c r="AT32762" s="247"/>
    </row>
    <row r="32763">
      <c r="C32763" s="277"/>
      <c r="M32763" s="277"/>
      <c r="O32763" s="247"/>
      <c r="AC32763" s="247"/>
      <c r="AT32763" s="247"/>
    </row>
    <row r="32764">
      <c r="C32764" s="277"/>
      <c r="M32764" s="277"/>
      <c r="O32764" s="247"/>
      <c r="AC32764" s="247"/>
      <c r="AT32764" s="247"/>
    </row>
    <row r="32765">
      <c r="C32765" s="277"/>
      <c r="M32765" s="277"/>
      <c r="O32765" s="247"/>
      <c r="AC32765" s="247"/>
      <c r="AT32765" s="247"/>
    </row>
    <row r="32766">
      <c r="C32766" s="277"/>
      <c r="M32766" s="277"/>
      <c r="O32766" s="247"/>
      <c r="AC32766" s="247"/>
      <c r="AT32766" s="247"/>
    </row>
    <row r="32767">
      <c r="C32767" s="277"/>
      <c r="M32767" s="277"/>
      <c r="O32767" s="247"/>
      <c r="AC32767" s="247"/>
      <c r="AT32767" s="247"/>
    </row>
    <row r="32768">
      <c r="C32768" s="277"/>
      <c r="M32768" s="277"/>
      <c r="O32768" s="247"/>
      <c r="AC32768" s="247"/>
      <c r="AT32768" s="247"/>
    </row>
    <row r="32769">
      <c r="C32769" s="277"/>
      <c r="M32769" s="277"/>
      <c r="O32769" s="247"/>
      <c r="AC32769" s="247"/>
      <c r="AT32769" s="247"/>
    </row>
    <row r="32770">
      <c r="C32770" s="277"/>
      <c r="M32770" s="277"/>
      <c r="O32770" s="247"/>
      <c r="AC32770" s="247"/>
      <c r="AT32770" s="247"/>
    </row>
    <row r="32771">
      <c r="C32771" s="277"/>
      <c r="M32771" s="277"/>
      <c r="O32771" s="247"/>
      <c r="AC32771" s="247"/>
      <c r="AT32771" s="247"/>
    </row>
    <row r="32772">
      <c r="C32772" s="277"/>
      <c r="M32772" s="277"/>
      <c r="O32772" s="247"/>
      <c r="AC32772" s="247"/>
      <c r="AT32772" s="247"/>
    </row>
    <row r="32773">
      <c r="C32773" s="277"/>
      <c r="M32773" s="277"/>
      <c r="O32773" s="247"/>
      <c r="AC32773" s="247"/>
      <c r="AT32773" s="247"/>
    </row>
    <row r="32774">
      <c r="C32774" s="277"/>
      <c r="M32774" s="277"/>
      <c r="O32774" s="247"/>
      <c r="AC32774" s="247"/>
      <c r="AT32774" s="247"/>
    </row>
    <row r="32775">
      <c r="C32775" s="277"/>
      <c r="M32775" s="277"/>
      <c r="O32775" s="247"/>
      <c r="AC32775" s="247"/>
      <c r="AT32775" s="247"/>
    </row>
    <row r="32776">
      <c r="C32776" s="277"/>
      <c r="M32776" s="277"/>
      <c r="O32776" s="247"/>
      <c r="AC32776" s="247"/>
      <c r="AT32776" s="247"/>
    </row>
    <row r="32777">
      <c r="C32777" s="277"/>
      <c r="M32777" s="277"/>
      <c r="O32777" s="247"/>
      <c r="AC32777" s="247"/>
      <c r="AT32777" s="247"/>
    </row>
    <row r="32778">
      <c r="C32778" s="277"/>
      <c r="M32778" s="277"/>
      <c r="O32778" s="247"/>
      <c r="AC32778" s="247"/>
      <c r="AT32778" s="247"/>
    </row>
    <row r="32779">
      <c r="C32779" s="277"/>
      <c r="M32779" s="277"/>
      <c r="O32779" s="247"/>
      <c r="AC32779" s="247"/>
      <c r="AT32779" s="247"/>
    </row>
    <row r="32780">
      <c r="C32780" s="277"/>
      <c r="M32780" s="277"/>
      <c r="O32780" s="247"/>
      <c r="AC32780" s="247"/>
      <c r="AT32780" s="247"/>
    </row>
    <row r="32781">
      <c r="C32781" s="277"/>
      <c r="M32781" s="277"/>
      <c r="O32781" s="247"/>
      <c r="AC32781" s="247"/>
      <c r="AT32781" s="247"/>
    </row>
    <row r="32782">
      <c r="C32782" s="277"/>
      <c r="M32782" s="277"/>
      <c r="O32782" s="247"/>
      <c r="AC32782" s="247"/>
      <c r="AT32782" s="247"/>
    </row>
    <row r="32783">
      <c r="C32783" s="277"/>
      <c r="M32783" s="277"/>
      <c r="O32783" s="247"/>
      <c r="AC32783" s="247"/>
      <c r="AT32783" s="247"/>
    </row>
    <row r="32784">
      <c r="C32784" s="277"/>
      <c r="M32784" s="277"/>
      <c r="O32784" s="247"/>
      <c r="AC32784" s="247"/>
      <c r="AT32784" s="247"/>
    </row>
    <row r="32785">
      <c r="C32785" s="277"/>
      <c r="M32785" s="277"/>
      <c r="O32785" s="247"/>
      <c r="AC32785" s="247"/>
      <c r="AT32785" s="247"/>
    </row>
    <row r="32786">
      <c r="C32786" s="277"/>
      <c r="M32786" s="277"/>
      <c r="O32786" s="247"/>
      <c r="AC32786" s="247"/>
      <c r="AT32786" s="247"/>
    </row>
    <row r="32787">
      <c r="C32787" s="277"/>
      <c r="M32787" s="277"/>
      <c r="O32787" s="247"/>
      <c r="AC32787" s="247"/>
      <c r="AT32787" s="247"/>
    </row>
    <row r="32788">
      <c r="C32788" s="277"/>
      <c r="M32788" s="277"/>
      <c r="O32788" s="247"/>
      <c r="AC32788" s="247"/>
      <c r="AT32788" s="247"/>
    </row>
    <row r="32789">
      <c r="C32789" s="277"/>
      <c r="M32789" s="277"/>
      <c r="O32789" s="247"/>
      <c r="AC32789" s="247"/>
      <c r="AT32789" s="247"/>
    </row>
    <row r="32790">
      <c r="C32790" s="277"/>
      <c r="M32790" s="277"/>
      <c r="O32790" s="247"/>
      <c r="AC32790" s="247"/>
      <c r="AT32790" s="247"/>
    </row>
    <row r="32791">
      <c r="C32791" s="277"/>
      <c r="M32791" s="277"/>
      <c r="O32791" s="247"/>
      <c r="AC32791" s="247"/>
      <c r="AT32791" s="247"/>
    </row>
    <row r="32792">
      <c r="C32792" s="277"/>
      <c r="M32792" s="277"/>
      <c r="O32792" s="247"/>
      <c r="AC32792" s="247"/>
      <c r="AT32792" s="247"/>
    </row>
    <row r="32793">
      <c r="C32793" s="277"/>
      <c r="M32793" s="277"/>
      <c r="O32793" s="247"/>
      <c r="AC32793" s="247"/>
      <c r="AT32793" s="247"/>
    </row>
    <row r="32794">
      <c r="C32794" s="277"/>
      <c r="M32794" s="277"/>
      <c r="O32794" s="247"/>
      <c r="AC32794" s="247"/>
      <c r="AT32794" s="247"/>
    </row>
    <row r="32795">
      <c r="C32795" s="277"/>
      <c r="M32795" s="277"/>
      <c r="O32795" s="247"/>
      <c r="AC32795" s="247"/>
      <c r="AT32795" s="247"/>
    </row>
    <row r="32796">
      <c r="C32796" s="277"/>
      <c r="M32796" s="277"/>
      <c r="O32796" s="247"/>
      <c r="AC32796" s="247"/>
      <c r="AT32796" s="247"/>
    </row>
    <row r="32797">
      <c r="C32797" s="277"/>
      <c r="M32797" s="277"/>
      <c r="O32797" s="247"/>
      <c r="AC32797" s="247"/>
      <c r="AT32797" s="247"/>
    </row>
    <row r="32798">
      <c r="C32798" s="277"/>
      <c r="M32798" s="277"/>
      <c r="O32798" s="247"/>
      <c r="AC32798" s="247"/>
      <c r="AT32798" s="247"/>
    </row>
    <row r="32799">
      <c r="C32799" s="277"/>
      <c r="M32799" s="277"/>
      <c r="O32799" s="247"/>
      <c r="AC32799" s="247"/>
      <c r="AT32799" s="247"/>
    </row>
    <row r="32800">
      <c r="C32800" s="277"/>
      <c r="M32800" s="277"/>
      <c r="O32800" s="247"/>
      <c r="AC32800" s="247"/>
      <c r="AT32800" s="247"/>
    </row>
    <row r="32801">
      <c r="C32801" s="277"/>
      <c r="M32801" s="277"/>
      <c r="O32801" s="247"/>
      <c r="AC32801" s="247"/>
      <c r="AT32801" s="247"/>
    </row>
    <row r="32802">
      <c r="C32802" s="277"/>
      <c r="M32802" s="277"/>
      <c r="O32802" s="247"/>
      <c r="AC32802" s="247"/>
      <c r="AT32802" s="247"/>
    </row>
    <row r="32803">
      <c r="C32803" s="277"/>
      <c r="M32803" s="277"/>
      <c r="O32803" s="247"/>
      <c r="AC32803" s="247"/>
      <c r="AT32803" s="247"/>
    </row>
    <row r="32804">
      <c r="C32804" s="277"/>
      <c r="M32804" s="277"/>
      <c r="O32804" s="247"/>
      <c r="AC32804" s="247"/>
      <c r="AT32804" s="247"/>
    </row>
    <row r="32805">
      <c r="C32805" s="277"/>
      <c r="M32805" s="277"/>
      <c r="O32805" s="247"/>
      <c r="AC32805" s="247"/>
      <c r="AT32805" s="247"/>
    </row>
    <row r="32806">
      <c r="C32806" s="277"/>
      <c r="M32806" s="277"/>
      <c r="O32806" s="247"/>
      <c r="AC32806" s="247"/>
      <c r="AT32806" s="247"/>
    </row>
    <row r="32807">
      <c r="C32807" s="277"/>
      <c r="M32807" s="277"/>
      <c r="O32807" s="247"/>
      <c r="AC32807" s="247"/>
      <c r="AT32807" s="247"/>
    </row>
    <row r="32808">
      <c r="C32808" s="277"/>
      <c r="M32808" s="277"/>
      <c r="O32808" s="247"/>
      <c r="AC32808" s="247"/>
      <c r="AT32808" s="247"/>
    </row>
    <row r="32809">
      <c r="C32809" s="277"/>
      <c r="M32809" s="277"/>
      <c r="O32809" s="247"/>
      <c r="AC32809" s="247"/>
      <c r="AT32809" s="247"/>
    </row>
    <row r="32810">
      <c r="C32810" s="277"/>
      <c r="M32810" s="277"/>
      <c r="O32810" s="247"/>
      <c r="AC32810" s="247"/>
      <c r="AT32810" s="247"/>
    </row>
    <row r="32811">
      <c r="C32811" s="277"/>
      <c r="M32811" s="277"/>
      <c r="O32811" s="247"/>
      <c r="AC32811" s="247"/>
      <c r="AT32811" s="247"/>
    </row>
    <row r="32812">
      <c r="C32812" s="277"/>
      <c r="M32812" s="277"/>
      <c r="O32812" s="247"/>
      <c r="AC32812" s="247"/>
      <c r="AT32812" s="247"/>
    </row>
    <row r="32813">
      <c r="C32813" s="277"/>
      <c r="M32813" s="277"/>
      <c r="O32813" s="247"/>
      <c r="AC32813" s="247"/>
      <c r="AT32813" s="247"/>
    </row>
    <row r="32814">
      <c r="C32814" s="277"/>
      <c r="M32814" s="277"/>
      <c r="O32814" s="247"/>
      <c r="AC32814" s="247"/>
      <c r="AT32814" s="247"/>
    </row>
    <row r="32815">
      <c r="C32815" s="277"/>
      <c r="M32815" s="277"/>
      <c r="O32815" s="247"/>
      <c r="AC32815" s="247"/>
      <c r="AT32815" s="247"/>
    </row>
    <row r="32816">
      <c r="C32816" s="277"/>
      <c r="M32816" s="277"/>
      <c r="O32816" s="247"/>
      <c r="AC32816" s="247"/>
      <c r="AT32816" s="247"/>
    </row>
    <row r="32817">
      <c r="C32817" s="277"/>
      <c r="M32817" s="277"/>
      <c r="O32817" s="247"/>
      <c r="AC32817" s="247"/>
      <c r="AT32817" s="247"/>
    </row>
    <row r="32818">
      <c r="C32818" s="277"/>
      <c r="M32818" s="277"/>
      <c r="O32818" s="247"/>
      <c r="AC32818" s="247"/>
      <c r="AT32818" s="247"/>
    </row>
    <row r="32819">
      <c r="C32819" s="277"/>
      <c r="M32819" s="277"/>
      <c r="O32819" s="247"/>
      <c r="AC32819" s="247"/>
      <c r="AT32819" s="247"/>
    </row>
    <row r="32820">
      <c r="C32820" s="277"/>
      <c r="M32820" s="277"/>
      <c r="O32820" s="247"/>
      <c r="AC32820" s="247"/>
      <c r="AT32820" s="247"/>
    </row>
    <row r="32821">
      <c r="C32821" s="277"/>
      <c r="M32821" s="277"/>
      <c r="O32821" s="247"/>
      <c r="AC32821" s="247"/>
      <c r="AT32821" s="247"/>
    </row>
    <row r="32822">
      <c r="C32822" s="277"/>
      <c r="M32822" s="277"/>
      <c r="O32822" s="247"/>
      <c r="AC32822" s="247"/>
      <c r="AT32822" s="247"/>
    </row>
    <row r="32823">
      <c r="C32823" s="277"/>
      <c r="M32823" s="277"/>
      <c r="O32823" s="247"/>
      <c r="AC32823" s="247"/>
      <c r="AT32823" s="247"/>
    </row>
    <row r="32824">
      <c r="C32824" s="277"/>
      <c r="M32824" s="277"/>
      <c r="O32824" s="247"/>
      <c r="AC32824" s="247"/>
      <c r="AT32824" s="247"/>
    </row>
    <row r="32825">
      <c r="C32825" s="277"/>
      <c r="M32825" s="277"/>
      <c r="O32825" s="247"/>
      <c r="AC32825" s="247"/>
      <c r="AT32825" s="247"/>
    </row>
    <row r="32826">
      <c r="C32826" s="277"/>
      <c r="M32826" s="277"/>
      <c r="O32826" s="247"/>
      <c r="AC32826" s="247"/>
      <c r="AT32826" s="247"/>
    </row>
    <row r="32827">
      <c r="C32827" s="277"/>
      <c r="M32827" s="277"/>
      <c r="O32827" s="247"/>
      <c r="AC32827" s="247"/>
      <c r="AT32827" s="247"/>
    </row>
    <row r="32828">
      <c r="C32828" s="277"/>
      <c r="M32828" s="277"/>
      <c r="O32828" s="247"/>
      <c r="AC32828" s="247"/>
      <c r="AT32828" s="247"/>
    </row>
    <row r="32829">
      <c r="C32829" s="277"/>
      <c r="M32829" s="277"/>
      <c r="O32829" s="247"/>
      <c r="AC32829" s="247"/>
      <c r="AT32829" s="247"/>
    </row>
    <row r="32830">
      <c r="C32830" s="277"/>
      <c r="M32830" s="277"/>
      <c r="O32830" s="247"/>
      <c r="AC32830" s="247"/>
      <c r="AT32830" s="247"/>
    </row>
    <row r="32831">
      <c r="C32831" s="277"/>
      <c r="M32831" s="277"/>
      <c r="O32831" s="247"/>
      <c r="AC32831" s="247"/>
      <c r="AT32831" s="247"/>
    </row>
    <row r="32832">
      <c r="C32832" s="277"/>
      <c r="M32832" s="277"/>
      <c r="O32832" s="247"/>
      <c r="AC32832" s="247"/>
      <c r="AT32832" s="247"/>
    </row>
    <row r="32833">
      <c r="C32833" s="277"/>
      <c r="M32833" s="277"/>
      <c r="O32833" s="247"/>
      <c r="AC32833" s="247"/>
      <c r="AT32833" s="247"/>
    </row>
    <row r="32834">
      <c r="C32834" s="277"/>
      <c r="M32834" s="277"/>
      <c r="O32834" s="247"/>
      <c r="AC32834" s="247"/>
      <c r="AT32834" s="247"/>
    </row>
    <row r="32835">
      <c r="C32835" s="277"/>
      <c r="M32835" s="277"/>
      <c r="O32835" s="247"/>
      <c r="AC32835" s="247"/>
      <c r="AT32835" s="247"/>
    </row>
    <row r="32836">
      <c r="C32836" s="277"/>
      <c r="M32836" s="277"/>
      <c r="O32836" s="247"/>
      <c r="AC32836" s="247"/>
      <c r="AT32836" s="247"/>
    </row>
    <row r="32837">
      <c r="C32837" s="277"/>
      <c r="M32837" s="277"/>
      <c r="O32837" s="247"/>
      <c r="AC32837" s="247"/>
      <c r="AT32837" s="247"/>
    </row>
    <row r="32838">
      <c r="C32838" s="277"/>
      <c r="M32838" s="277"/>
      <c r="O32838" s="247"/>
      <c r="AC32838" s="247"/>
      <c r="AT32838" s="247"/>
    </row>
    <row r="32839">
      <c r="C32839" s="277"/>
      <c r="M32839" s="277"/>
      <c r="O32839" s="247"/>
      <c r="AC32839" s="247"/>
      <c r="AT32839" s="247"/>
    </row>
    <row r="32840">
      <c r="C32840" s="277"/>
      <c r="M32840" s="277"/>
      <c r="O32840" s="247"/>
      <c r="AC32840" s="247"/>
      <c r="AT32840" s="247"/>
    </row>
    <row r="32841">
      <c r="C32841" s="277"/>
      <c r="M32841" s="277"/>
      <c r="O32841" s="247"/>
      <c r="AC32841" s="247"/>
      <c r="AT32841" s="247"/>
    </row>
    <row r="32842">
      <c r="C32842" s="277"/>
      <c r="M32842" s="277"/>
      <c r="O32842" s="247"/>
      <c r="AC32842" s="247"/>
      <c r="AT32842" s="247"/>
    </row>
    <row r="32843">
      <c r="C32843" s="277"/>
      <c r="M32843" s="277"/>
      <c r="O32843" s="247"/>
      <c r="AC32843" s="247"/>
      <c r="AT32843" s="247"/>
    </row>
    <row r="32844">
      <c r="C32844" s="277"/>
      <c r="M32844" s="277"/>
      <c r="O32844" s="247"/>
      <c r="AC32844" s="247"/>
      <c r="AT32844" s="247"/>
    </row>
    <row r="32845">
      <c r="C32845" s="277"/>
      <c r="M32845" s="277"/>
      <c r="O32845" s="247"/>
      <c r="AC32845" s="247"/>
      <c r="AT32845" s="247"/>
    </row>
    <row r="32846">
      <c r="C32846" s="277"/>
      <c r="M32846" s="277"/>
      <c r="O32846" s="247"/>
      <c r="AC32846" s="247"/>
      <c r="AT32846" s="247"/>
    </row>
    <row r="32847">
      <c r="C32847" s="277"/>
      <c r="M32847" s="277"/>
      <c r="O32847" s="247"/>
      <c r="AC32847" s="247"/>
      <c r="AT32847" s="247"/>
    </row>
    <row r="32848">
      <c r="C32848" s="277"/>
      <c r="M32848" s="277"/>
      <c r="O32848" s="247"/>
      <c r="AC32848" s="247"/>
      <c r="AT32848" s="247"/>
    </row>
    <row r="32849">
      <c r="C32849" s="277"/>
      <c r="M32849" s="277"/>
      <c r="O32849" s="247"/>
      <c r="AC32849" s="247"/>
      <c r="AT32849" s="247"/>
    </row>
    <row r="32850">
      <c r="C32850" s="277"/>
      <c r="M32850" s="277"/>
      <c r="O32850" s="247"/>
      <c r="AC32850" s="247"/>
      <c r="AT32850" s="247"/>
    </row>
    <row r="32851">
      <c r="C32851" s="277"/>
      <c r="M32851" s="277"/>
      <c r="O32851" s="247"/>
      <c r="AC32851" s="247"/>
      <c r="AT32851" s="247"/>
    </row>
    <row r="32852">
      <c r="C32852" s="277"/>
      <c r="M32852" s="277"/>
      <c r="O32852" s="247"/>
      <c r="AC32852" s="247"/>
      <c r="AT32852" s="247"/>
    </row>
    <row r="32853">
      <c r="C32853" s="277"/>
      <c r="M32853" s="277"/>
      <c r="O32853" s="247"/>
      <c r="AC32853" s="247"/>
      <c r="AT32853" s="247"/>
    </row>
    <row r="32854">
      <c r="C32854" s="277"/>
      <c r="M32854" s="277"/>
      <c r="O32854" s="247"/>
      <c r="AC32854" s="247"/>
      <c r="AT32854" s="247"/>
    </row>
    <row r="32855">
      <c r="C32855" s="277"/>
      <c r="M32855" s="277"/>
      <c r="O32855" s="247"/>
      <c r="AC32855" s="247"/>
      <c r="AT32855" s="247"/>
    </row>
    <row r="32856">
      <c r="C32856" s="277"/>
      <c r="M32856" s="277"/>
      <c r="O32856" s="247"/>
      <c r="AC32856" s="247"/>
      <c r="AT32856" s="247"/>
    </row>
    <row r="32857">
      <c r="C32857" s="277"/>
      <c r="M32857" s="277"/>
      <c r="O32857" s="247"/>
      <c r="AC32857" s="247"/>
      <c r="AT32857" s="247"/>
    </row>
    <row r="32858">
      <c r="C32858" s="277"/>
      <c r="M32858" s="277"/>
      <c r="O32858" s="247"/>
      <c r="AC32858" s="247"/>
      <c r="AT32858" s="247"/>
    </row>
    <row r="32859">
      <c r="C32859" s="277"/>
      <c r="M32859" s="277"/>
      <c r="O32859" s="247"/>
      <c r="AC32859" s="247"/>
      <c r="AT32859" s="247"/>
    </row>
    <row r="32860">
      <c r="C32860" s="277"/>
      <c r="M32860" s="277"/>
      <c r="O32860" s="247"/>
      <c r="AC32860" s="247"/>
      <c r="AT32860" s="247"/>
    </row>
    <row r="32861">
      <c r="C32861" s="277"/>
      <c r="M32861" s="277"/>
      <c r="O32861" s="247"/>
      <c r="AC32861" s="247"/>
      <c r="AT32861" s="247"/>
    </row>
    <row r="32862">
      <c r="C32862" s="277"/>
      <c r="M32862" s="277"/>
      <c r="O32862" s="247"/>
      <c r="AC32862" s="247"/>
      <c r="AT32862" s="247"/>
    </row>
    <row r="32863">
      <c r="C32863" s="277"/>
      <c r="M32863" s="277"/>
      <c r="O32863" s="247"/>
      <c r="AC32863" s="247"/>
      <c r="AT32863" s="247"/>
    </row>
    <row r="32864">
      <c r="C32864" s="277"/>
      <c r="M32864" s="277"/>
      <c r="O32864" s="247"/>
      <c r="AC32864" s="247"/>
      <c r="AT32864" s="247"/>
    </row>
    <row r="32865">
      <c r="C32865" s="277"/>
      <c r="M32865" s="277"/>
      <c r="O32865" s="247"/>
      <c r="AC32865" s="247"/>
      <c r="AT32865" s="247"/>
    </row>
    <row r="32866">
      <c r="C32866" s="277"/>
      <c r="M32866" s="277"/>
      <c r="O32866" s="247"/>
      <c r="AC32866" s="247"/>
      <c r="AT32866" s="247"/>
    </row>
    <row r="32867">
      <c r="C32867" s="277"/>
      <c r="M32867" s="277"/>
      <c r="O32867" s="247"/>
      <c r="AC32867" s="247"/>
      <c r="AT32867" s="247"/>
    </row>
    <row r="32868">
      <c r="C32868" s="277"/>
      <c r="M32868" s="277"/>
      <c r="O32868" s="247"/>
      <c r="AC32868" s="247"/>
      <c r="AT32868" s="247"/>
    </row>
    <row r="32869">
      <c r="C32869" s="277"/>
      <c r="M32869" s="277"/>
      <c r="O32869" s="247"/>
      <c r="AC32869" s="247"/>
      <c r="AT32869" s="247"/>
    </row>
    <row r="32870">
      <c r="C32870" s="277"/>
      <c r="M32870" s="277"/>
      <c r="O32870" s="247"/>
      <c r="AC32870" s="247"/>
      <c r="AT32870" s="247"/>
    </row>
    <row r="32871">
      <c r="C32871" s="277"/>
      <c r="M32871" s="277"/>
      <c r="O32871" s="247"/>
      <c r="AC32871" s="247"/>
      <c r="AT32871" s="247"/>
    </row>
    <row r="32872">
      <c r="C32872" s="277"/>
      <c r="M32872" s="277"/>
      <c r="O32872" s="247"/>
      <c r="AC32872" s="247"/>
      <c r="AT32872" s="247"/>
    </row>
    <row r="32873">
      <c r="C32873" s="277"/>
      <c r="M32873" s="277"/>
      <c r="O32873" s="247"/>
      <c r="AC32873" s="247"/>
      <c r="AT32873" s="247"/>
    </row>
    <row r="32874">
      <c r="C32874" s="277"/>
      <c r="M32874" s="277"/>
      <c r="O32874" s="247"/>
      <c r="AC32874" s="247"/>
      <c r="AT32874" s="247"/>
    </row>
    <row r="32875">
      <c r="C32875" s="277"/>
      <c r="M32875" s="277"/>
      <c r="O32875" s="247"/>
      <c r="AC32875" s="247"/>
      <c r="AT32875" s="247"/>
    </row>
    <row r="32876">
      <c r="C32876" s="277"/>
      <c r="M32876" s="277"/>
      <c r="O32876" s="247"/>
      <c r="AC32876" s="247"/>
      <c r="AT32876" s="247"/>
    </row>
    <row r="32877">
      <c r="C32877" s="277"/>
      <c r="M32877" s="277"/>
      <c r="O32877" s="247"/>
      <c r="AC32877" s="247"/>
      <c r="AT32877" s="247"/>
    </row>
    <row r="32878">
      <c r="C32878" s="277"/>
      <c r="M32878" s="277"/>
      <c r="O32878" s="247"/>
      <c r="AC32878" s="247"/>
      <c r="AT32878" s="247"/>
    </row>
    <row r="32879">
      <c r="C32879" s="277"/>
      <c r="M32879" s="277"/>
      <c r="O32879" s="247"/>
      <c r="AC32879" s="247"/>
      <c r="AT32879" s="247"/>
    </row>
    <row r="32880">
      <c r="C32880" s="277"/>
      <c r="M32880" s="277"/>
      <c r="O32880" s="247"/>
      <c r="AC32880" s="247"/>
      <c r="AT32880" s="247"/>
    </row>
    <row r="32881">
      <c r="C32881" s="277"/>
      <c r="M32881" s="277"/>
      <c r="O32881" s="247"/>
      <c r="AC32881" s="247"/>
      <c r="AT32881" s="247"/>
    </row>
    <row r="32882">
      <c r="C32882" s="277"/>
      <c r="M32882" s="277"/>
      <c r="O32882" s="247"/>
      <c r="AC32882" s="247"/>
      <c r="AT32882" s="247"/>
    </row>
    <row r="32883">
      <c r="C32883" s="277"/>
      <c r="M32883" s="277"/>
      <c r="O32883" s="247"/>
      <c r="AC32883" s="247"/>
      <c r="AT32883" s="247"/>
    </row>
    <row r="32884">
      <c r="C32884" s="277"/>
      <c r="M32884" s="277"/>
      <c r="O32884" s="247"/>
      <c r="AC32884" s="247"/>
      <c r="AT32884" s="247"/>
    </row>
    <row r="32885">
      <c r="C32885" s="277"/>
      <c r="M32885" s="277"/>
      <c r="O32885" s="247"/>
      <c r="AC32885" s="247"/>
      <c r="AT32885" s="247"/>
    </row>
    <row r="32886">
      <c r="C32886" s="277"/>
      <c r="M32886" s="277"/>
      <c r="O32886" s="247"/>
      <c r="AC32886" s="247"/>
      <c r="AT32886" s="247"/>
    </row>
    <row r="32887">
      <c r="C32887" s="277"/>
      <c r="M32887" s="277"/>
      <c r="O32887" s="247"/>
      <c r="AC32887" s="247"/>
      <c r="AT32887" s="247"/>
    </row>
    <row r="32888">
      <c r="C32888" s="277"/>
      <c r="M32888" s="277"/>
      <c r="O32888" s="247"/>
      <c r="AC32888" s="247"/>
      <c r="AT32888" s="247"/>
    </row>
    <row r="32889">
      <c r="C32889" s="277"/>
      <c r="M32889" s="277"/>
      <c r="O32889" s="247"/>
      <c r="AC32889" s="247"/>
      <c r="AT32889" s="247"/>
    </row>
    <row r="32890">
      <c r="C32890" s="277"/>
      <c r="M32890" s="277"/>
      <c r="O32890" s="247"/>
      <c r="AC32890" s="247"/>
      <c r="AT32890" s="247"/>
    </row>
    <row r="32891">
      <c r="C32891" s="277"/>
      <c r="M32891" s="277"/>
      <c r="O32891" s="247"/>
      <c r="AC32891" s="247"/>
      <c r="AT32891" s="247"/>
    </row>
    <row r="32892">
      <c r="C32892" s="277"/>
      <c r="M32892" s="277"/>
      <c r="O32892" s="247"/>
      <c r="AC32892" s="247"/>
      <c r="AT32892" s="247"/>
    </row>
    <row r="32893">
      <c r="C32893" s="277"/>
      <c r="M32893" s="277"/>
      <c r="O32893" s="247"/>
      <c r="AC32893" s="247"/>
      <c r="AT32893" s="247"/>
    </row>
    <row r="32894">
      <c r="C32894" s="277"/>
      <c r="M32894" s="277"/>
      <c r="O32894" s="247"/>
      <c r="AC32894" s="247"/>
      <c r="AT32894" s="247"/>
    </row>
    <row r="32895">
      <c r="C32895" s="277"/>
      <c r="M32895" s="277"/>
      <c r="O32895" s="247"/>
      <c r="AC32895" s="247"/>
      <c r="AT32895" s="247"/>
    </row>
    <row r="32896">
      <c r="C32896" s="277"/>
      <c r="M32896" s="277"/>
      <c r="O32896" s="247"/>
      <c r="AC32896" s="247"/>
      <c r="AT32896" s="247"/>
    </row>
    <row r="32897">
      <c r="C32897" s="277"/>
      <c r="M32897" s="277"/>
      <c r="O32897" s="247"/>
      <c r="AC32897" s="247"/>
      <c r="AT32897" s="247"/>
    </row>
    <row r="32898">
      <c r="C32898" s="277"/>
      <c r="M32898" s="277"/>
      <c r="O32898" s="247"/>
      <c r="AC32898" s="247"/>
      <c r="AT32898" s="247"/>
    </row>
    <row r="32899">
      <c r="C32899" s="277"/>
      <c r="M32899" s="277"/>
      <c r="O32899" s="247"/>
      <c r="AC32899" s="247"/>
      <c r="AT32899" s="247"/>
    </row>
    <row r="32900">
      <c r="C32900" s="277"/>
      <c r="M32900" s="277"/>
      <c r="O32900" s="247"/>
      <c r="AC32900" s="247"/>
      <c r="AT32900" s="247"/>
    </row>
    <row r="32901">
      <c r="C32901" s="277"/>
      <c r="M32901" s="277"/>
      <c r="O32901" s="247"/>
      <c r="AC32901" s="247"/>
      <c r="AT32901" s="247"/>
    </row>
    <row r="32902">
      <c r="C32902" s="277"/>
      <c r="M32902" s="277"/>
      <c r="O32902" s="247"/>
      <c r="AC32902" s="247"/>
      <c r="AT32902" s="247"/>
    </row>
    <row r="32903">
      <c r="C32903" s="277"/>
      <c r="M32903" s="277"/>
      <c r="O32903" s="247"/>
      <c r="AC32903" s="247"/>
      <c r="AT32903" s="247"/>
    </row>
    <row r="32904">
      <c r="C32904" s="277"/>
      <c r="M32904" s="277"/>
      <c r="O32904" s="247"/>
      <c r="AC32904" s="247"/>
      <c r="AT32904" s="247"/>
    </row>
    <row r="32905">
      <c r="C32905" s="277"/>
      <c r="M32905" s="277"/>
      <c r="O32905" s="247"/>
      <c r="AC32905" s="247"/>
      <c r="AT32905" s="247"/>
    </row>
    <row r="32906">
      <c r="C32906" s="277"/>
      <c r="M32906" s="277"/>
      <c r="O32906" s="247"/>
      <c r="AC32906" s="247"/>
      <c r="AT32906" s="247"/>
    </row>
    <row r="32907">
      <c r="C32907" s="277"/>
      <c r="M32907" s="277"/>
      <c r="O32907" s="247"/>
      <c r="AC32907" s="247"/>
      <c r="AT32907" s="247"/>
    </row>
    <row r="32908">
      <c r="C32908" s="277"/>
      <c r="M32908" s="277"/>
      <c r="O32908" s="247"/>
      <c r="AC32908" s="247"/>
      <c r="AT32908" s="247"/>
    </row>
    <row r="32909">
      <c r="C32909" s="277"/>
      <c r="M32909" s="277"/>
      <c r="O32909" s="247"/>
      <c r="AC32909" s="247"/>
      <c r="AT32909" s="247"/>
    </row>
    <row r="32910">
      <c r="C32910" s="277"/>
      <c r="M32910" s="277"/>
      <c r="O32910" s="247"/>
      <c r="AC32910" s="247"/>
      <c r="AT32910" s="247"/>
    </row>
    <row r="32911">
      <c r="C32911" s="277"/>
      <c r="M32911" s="277"/>
      <c r="O32911" s="247"/>
      <c r="AC32911" s="247"/>
      <c r="AT32911" s="247"/>
    </row>
    <row r="32912">
      <c r="C32912" s="277"/>
      <c r="M32912" s="277"/>
      <c r="O32912" s="247"/>
      <c r="AC32912" s="247"/>
      <c r="AT32912" s="247"/>
    </row>
    <row r="32913">
      <c r="C32913" s="277"/>
      <c r="M32913" s="277"/>
      <c r="O32913" s="247"/>
      <c r="AC32913" s="247"/>
      <c r="AT32913" s="247"/>
    </row>
    <row r="32914">
      <c r="C32914" s="277"/>
      <c r="M32914" s="277"/>
      <c r="O32914" s="247"/>
      <c r="AC32914" s="247"/>
      <c r="AT32914" s="247"/>
    </row>
    <row r="32915">
      <c r="C32915" s="277"/>
      <c r="M32915" s="277"/>
      <c r="O32915" s="247"/>
      <c r="AC32915" s="247"/>
      <c r="AT32915" s="247"/>
    </row>
    <row r="32916">
      <c r="C32916" s="277"/>
      <c r="M32916" s="277"/>
      <c r="O32916" s="247"/>
      <c r="AC32916" s="247"/>
      <c r="AT32916" s="247"/>
    </row>
    <row r="32917">
      <c r="C32917" s="277"/>
      <c r="M32917" s="277"/>
      <c r="O32917" s="247"/>
      <c r="AC32917" s="247"/>
      <c r="AT32917" s="247"/>
    </row>
    <row r="32918">
      <c r="C32918" s="277"/>
      <c r="M32918" s="277"/>
      <c r="O32918" s="247"/>
      <c r="AC32918" s="247"/>
      <c r="AT32918" s="247"/>
    </row>
    <row r="32919">
      <c r="C32919" s="277"/>
      <c r="M32919" s="277"/>
      <c r="O32919" s="247"/>
      <c r="AC32919" s="247"/>
      <c r="AT32919" s="247"/>
    </row>
    <row r="32920">
      <c r="C32920" s="277"/>
      <c r="M32920" s="277"/>
      <c r="O32920" s="247"/>
      <c r="AC32920" s="247"/>
      <c r="AT32920" s="247"/>
    </row>
    <row r="32921">
      <c r="C32921" s="277"/>
      <c r="M32921" s="277"/>
      <c r="O32921" s="247"/>
      <c r="AC32921" s="247"/>
      <c r="AT32921" s="247"/>
    </row>
    <row r="32922">
      <c r="C32922" s="277"/>
      <c r="M32922" s="277"/>
      <c r="O32922" s="247"/>
      <c r="AC32922" s="247"/>
      <c r="AT32922" s="247"/>
    </row>
    <row r="32923">
      <c r="C32923" s="277"/>
      <c r="M32923" s="277"/>
      <c r="O32923" s="247"/>
      <c r="AC32923" s="247"/>
      <c r="AT32923" s="247"/>
    </row>
    <row r="32924">
      <c r="C32924" s="277"/>
      <c r="M32924" s="277"/>
      <c r="O32924" s="247"/>
      <c r="AC32924" s="247"/>
      <c r="AT32924" s="247"/>
    </row>
    <row r="32925">
      <c r="C32925" s="277"/>
      <c r="M32925" s="277"/>
      <c r="O32925" s="247"/>
      <c r="AC32925" s="247"/>
      <c r="AT32925" s="247"/>
    </row>
    <row r="32926">
      <c r="C32926" s="277"/>
      <c r="M32926" s="277"/>
      <c r="O32926" s="247"/>
      <c r="AC32926" s="247"/>
      <c r="AT32926" s="247"/>
    </row>
    <row r="32927">
      <c r="C32927" s="277"/>
      <c r="M32927" s="277"/>
      <c r="O32927" s="247"/>
      <c r="AC32927" s="247"/>
      <c r="AT32927" s="247"/>
    </row>
    <row r="32928">
      <c r="C32928" s="277"/>
      <c r="M32928" s="277"/>
      <c r="O32928" s="247"/>
      <c r="AC32928" s="247"/>
      <c r="AT32928" s="247"/>
    </row>
    <row r="32929">
      <c r="C32929" s="277"/>
      <c r="M32929" s="277"/>
      <c r="O32929" s="247"/>
      <c r="AC32929" s="247"/>
      <c r="AT32929" s="247"/>
    </row>
    <row r="32930">
      <c r="C32930" s="277"/>
      <c r="M32930" s="277"/>
      <c r="O32930" s="247"/>
      <c r="AC32930" s="247"/>
      <c r="AT32930" s="247"/>
    </row>
    <row r="32931">
      <c r="C32931" s="277"/>
      <c r="M32931" s="277"/>
      <c r="O32931" s="247"/>
      <c r="AC32931" s="247"/>
      <c r="AT32931" s="247"/>
    </row>
    <row r="32932">
      <c r="C32932" s="277"/>
      <c r="M32932" s="277"/>
      <c r="O32932" s="247"/>
      <c r="AC32932" s="247"/>
      <c r="AT32932" s="247"/>
    </row>
    <row r="32933">
      <c r="C32933" s="277"/>
      <c r="M32933" s="277"/>
      <c r="O32933" s="247"/>
      <c r="AC32933" s="247"/>
      <c r="AT32933" s="247"/>
    </row>
    <row r="32934">
      <c r="C32934" s="277"/>
      <c r="M32934" s="277"/>
      <c r="O32934" s="247"/>
      <c r="AC32934" s="247"/>
      <c r="AT32934" s="247"/>
    </row>
    <row r="32935">
      <c r="C32935" s="277"/>
      <c r="M32935" s="277"/>
      <c r="O32935" s="247"/>
      <c r="AC32935" s="247"/>
      <c r="AT32935" s="247"/>
    </row>
    <row r="32936">
      <c r="C32936" s="277"/>
      <c r="M32936" s="277"/>
      <c r="O32936" s="247"/>
      <c r="AC32936" s="247"/>
      <c r="AT32936" s="247"/>
    </row>
    <row r="32937">
      <c r="C32937" s="277"/>
      <c r="M32937" s="277"/>
      <c r="O32937" s="247"/>
      <c r="AC32937" s="247"/>
      <c r="AT32937" s="247"/>
    </row>
    <row r="32938">
      <c r="C32938" s="277"/>
      <c r="M32938" s="277"/>
      <c r="O32938" s="247"/>
      <c r="AC32938" s="247"/>
      <c r="AT32938" s="247"/>
    </row>
    <row r="32939">
      <c r="C32939" s="277"/>
      <c r="M32939" s="277"/>
      <c r="O32939" s="247"/>
      <c r="AC32939" s="247"/>
      <c r="AT32939" s="247"/>
    </row>
    <row r="32940">
      <c r="C32940" s="277"/>
      <c r="M32940" s="277"/>
      <c r="O32940" s="247"/>
      <c r="AC32940" s="247"/>
      <c r="AT32940" s="247"/>
    </row>
    <row r="32941">
      <c r="C32941" s="277"/>
      <c r="M32941" s="277"/>
      <c r="O32941" s="247"/>
      <c r="AC32941" s="247"/>
      <c r="AT32941" s="247"/>
    </row>
    <row r="32942">
      <c r="C32942" s="277"/>
      <c r="M32942" s="277"/>
      <c r="O32942" s="247"/>
      <c r="AC32942" s="247"/>
      <c r="AT32942" s="247"/>
    </row>
    <row r="32943">
      <c r="C32943" s="277"/>
      <c r="M32943" s="277"/>
      <c r="O32943" s="247"/>
      <c r="AC32943" s="247"/>
      <c r="AT32943" s="247"/>
    </row>
    <row r="32944">
      <c r="C32944" s="277"/>
      <c r="M32944" s="277"/>
      <c r="O32944" s="247"/>
      <c r="AC32944" s="247"/>
      <c r="AT32944" s="247"/>
    </row>
    <row r="32945">
      <c r="C32945" s="277"/>
      <c r="M32945" s="277"/>
      <c r="O32945" s="247"/>
      <c r="AC32945" s="247"/>
      <c r="AT32945" s="247"/>
    </row>
    <row r="32946">
      <c r="C32946" s="277"/>
      <c r="M32946" s="277"/>
      <c r="O32946" s="247"/>
      <c r="AC32946" s="247"/>
      <c r="AT32946" s="247"/>
    </row>
    <row r="32947">
      <c r="C32947" s="277"/>
      <c r="M32947" s="277"/>
      <c r="O32947" s="247"/>
      <c r="AC32947" s="247"/>
      <c r="AT32947" s="247"/>
    </row>
    <row r="32948">
      <c r="C32948" s="277"/>
      <c r="M32948" s="277"/>
      <c r="O32948" s="247"/>
      <c r="AC32948" s="247"/>
      <c r="AT32948" s="247"/>
    </row>
    <row r="32949">
      <c r="C32949" s="277"/>
      <c r="M32949" s="277"/>
      <c r="O32949" s="247"/>
      <c r="AC32949" s="247"/>
      <c r="AT32949" s="247"/>
    </row>
    <row r="32950">
      <c r="C32950" s="277"/>
      <c r="M32950" s="277"/>
      <c r="O32950" s="247"/>
      <c r="AC32950" s="247"/>
      <c r="AT32950" s="247"/>
    </row>
    <row r="32951">
      <c r="C32951" s="277"/>
      <c r="M32951" s="277"/>
      <c r="O32951" s="247"/>
      <c r="AC32951" s="247"/>
      <c r="AT32951" s="247"/>
    </row>
    <row r="32952">
      <c r="C32952" s="277"/>
      <c r="M32952" s="277"/>
      <c r="O32952" s="247"/>
      <c r="AC32952" s="247"/>
      <c r="AT32952" s="247"/>
    </row>
    <row r="32953">
      <c r="C32953" s="277"/>
      <c r="M32953" s="277"/>
      <c r="O32953" s="247"/>
      <c r="AC32953" s="247"/>
      <c r="AT32953" s="247"/>
    </row>
    <row r="32954">
      <c r="C32954" s="277"/>
      <c r="M32954" s="277"/>
      <c r="O32954" s="247"/>
      <c r="AC32954" s="247"/>
      <c r="AT32954" s="247"/>
    </row>
    <row r="32955">
      <c r="C32955" s="277"/>
      <c r="M32955" s="277"/>
      <c r="O32955" s="247"/>
      <c r="AC32955" s="247"/>
      <c r="AT32955" s="247"/>
    </row>
    <row r="32956">
      <c r="C32956" s="277"/>
      <c r="M32956" s="277"/>
      <c r="O32956" s="247"/>
      <c r="AC32956" s="247"/>
      <c r="AT32956" s="247"/>
    </row>
    <row r="32957">
      <c r="C32957" s="277"/>
      <c r="M32957" s="277"/>
      <c r="O32957" s="247"/>
      <c r="AC32957" s="247"/>
      <c r="AT32957" s="247"/>
    </row>
    <row r="32958">
      <c r="C32958" s="277"/>
      <c r="M32958" s="277"/>
      <c r="O32958" s="247"/>
      <c r="AC32958" s="247"/>
      <c r="AT32958" s="247"/>
    </row>
    <row r="32959">
      <c r="C32959" s="277"/>
      <c r="M32959" s="277"/>
      <c r="O32959" s="247"/>
      <c r="AC32959" s="247"/>
      <c r="AT32959" s="247"/>
    </row>
    <row r="32960">
      <c r="C32960" s="277"/>
      <c r="M32960" s="277"/>
      <c r="O32960" s="247"/>
      <c r="AC32960" s="247"/>
      <c r="AT32960" s="247"/>
    </row>
    <row r="32961">
      <c r="C32961" s="277"/>
      <c r="M32961" s="277"/>
      <c r="O32961" s="247"/>
      <c r="AC32961" s="247"/>
      <c r="AT32961" s="247"/>
    </row>
    <row r="32962">
      <c r="C32962" s="277"/>
      <c r="M32962" s="277"/>
      <c r="O32962" s="247"/>
      <c r="AC32962" s="247"/>
      <c r="AT32962" s="247"/>
    </row>
    <row r="32963">
      <c r="C32963" s="277"/>
      <c r="M32963" s="277"/>
      <c r="O32963" s="247"/>
      <c r="AC32963" s="247"/>
      <c r="AT32963" s="247"/>
    </row>
    <row r="32964">
      <c r="C32964" s="277"/>
      <c r="M32964" s="277"/>
      <c r="O32964" s="247"/>
      <c r="AC32964" s="247"/>
      <c r="AT32964" s="247"/>
    </row>
    <row r="32965">
      <c r="C32965" s="277"/>
      <c r="M32965" s="277"/>
      <c r="O32965" s="247"/>
      <c r="AC32965" s="247"/>
      <c r="AT32965" s="247"/>
    </row>
    <row r="32966">
      <c r="C32966" s="277"/>
      <c r="M32966" s="277"/>
      <c r="O32966" s="247"/>
      <c r="AC32966" s="247"/>
      <c r="AT32966" s="247"/>
    </row>
    <row r="32967">
      <c r="C32967" s="277"/>
      <c r="M32967" s="277"/>
      <c r="O32967" s="247"/>
      <c r="AC32967" s="247"/>
      <c r="AT32967" s="247"/>
    </row>
    <row r="32968">
      <c r="C32968" s="277"/>
      <c r="M32968" s="277"/>
      <c r="O32968" s="247"/>
      <c r="AC32968" s="247"/>
      <c r="AT32968" s="247"/>
    </row>
    <row r="32969">
      <c r="C32969" s="277"/>
      <c r="M32969" s="277"/>
      <c r="O32969" s="247"/>
      <c r="AC32969" s="247"/>
      <c r="AT32969" s="247"/>
    </row>
    <row r="32970">
      <c r="C32970" s="277"/>
      <c r="M32970" s="277"/>
      <c r="O32970" s="247"/>
      <c r="AC32970" s="247"/>
      <c r="AT32970" s="247"/>
    </row>
    <row r="32971">
      <c r="C32971" s="277"/>
      <c r="M32971" s="277"/>
      <c r="O32971" s="247"/>
      <c r="AC32971" s="247"/>
      <c r="AT32971" s="247"/>
    </row>
    <row r="32972">
      <c r="C32972" s="277"/>
      <c r="M32972" s="277"/>
      <c r="O32972" s="247"/>
      <c r="AC32972" s="247"/>
      <c r="AT32972" s="247"/>
    </row>
    <row r="32973">
      <c r="C32973" s="277"/>
      <c r="M32973" s="277"/>
      <c r="O32973" s="247"/>
      <c r="AC32973" s="247"/>
      <c r="AT32973" s="247"/>
    </row>
    <row r="32974">
      <c r="C32974" s="277"/>
      <c r="M32974" s="277"/>
      <c r="O32974" s="247"/>
      <c r="AC32974" s="247"/>
      <c r="AT32974" s="247"/>
    </row>
    <row r="32975">
      <c r="C32975" s="277"/>
      <c r="M32975" s="277"/>
      <c r="O32975" s="247"/>
      <c r="AC32975" s="247"/>
      <c r="AT32975" s="247"/>
    </row>
    <row r="32976">
      <c r="C32976" s="277"/>
      <c r="M32976" s="277"/>
      <c r="O32976" s="247"/>
      <c r="AC32976" s="247"/>
      <c r="AT32976" s="247"/>
    </row>
    <row r="32977">
      <c r="C32977" s="277"/>
      <c r="M32977" s="277"/>
      <c r="O32977" s="247"/>
      <c r="AC32977" s="247"/>
      <c r="AT32977" s="247"/>
    </row>
    <row r="32978">
      <c r="C32978" s="277"/>
      <c r="M32978" s="277"/>
      <c r="O32978" s="247"/>
      <c r="AC32978" s="247"/>
      <c r="AT32978" s="247"/>
    </row>
    <row r="32979">
      <c r="C32979" s="277"/>
      <c r="M32979" s="277"/>
      <c r="O32979" s="247"/>
      <c r="AC32979" s="247"/>
      <c r="AT32979" s="247"/>
    </row>
    <row r="32980">
      <c r="C32980" s="277"/>
      <c r="M32980" s="277"/>
      <c r="O32980" s="247"/>
      <c r="AC32980" s="247"/>
      <c r="AT32980" s="247"/>
    </row>
    <row r="32981">
      <c r="C32981" s="277"/>
      <c r="M32981" s="277"/>
      <c r="O32981" s="247"/>
      <c r="AC32981" s="247"/>
      <c r="AT32981" s="247"/>
    </row>
    <row r="32982">
      <c r="C32982" s="277"/>
      <c r="M32982" s="277"/>
      <c r="O32982" s="247"/>
      <c r="AC32982" s="247"/>
      <c r="AT32982" s="247"/>
    </row>
    <row r="32983">
      <c r="C32983" s="277"/>
      <c r="M32983" s="277"/>
      <c r="O32983" s="247"/>
      <c r="AC32983" s="247"/>
      <c r="AT32983" s="247"/>
    </row>
    <row r="32984">
      <c r="C32984" s="277"/>
      <c r="M32984" s="277"/>
      <c r="O32984" s="247"/>
      <c r="AC32984" s="247"/>
      <c r="AT32984" s="247"/>
    </row>
    <row r="32985">
      <c r="C32985" s="277"/>
      <c r="M32985" s="277"/>
      <c r="O32985" s="247"/>
      <c r="AC32985" s="247"/>
      <c r="AT32985" s="247"/>
    </row>
    <row r="32986">
      <c r="C32986" s="277"/>
      <c r="M32986" s="277"/>
      <c r="O32986" s="247"/>
      <c r="AC32986" s="247"/>
      <c r="AT32986" s="247"/>
    </row>
    <row r="32987">
      <c r="C32987" s="277"/>
      <c r="M32987" s="277"/>
      <c r="O32987" s="247"/>
      <c r="AC32987" s="247"/>
      <c r="AT32987" s="247"/>
    </row>
    <row r="32988">
      <c r="C32988" s="277"/>
      <c r="M32988" s="277"/>
      <c r="O32988" s="247"/>
      <c r="AC32988" s="247"/>
      <c r="AT32988" s="247"/>
    </row>
    <row r="32989">
      <c r="C32989" s="277"/>
      <c r="M32989" s="277"/>
      <c r="O32989" s="247"/>
      <c r="AC32989" s="247"/>
      <c r="AT32989" s="247"/>
    </row>
    <row r="32990">
      <c r="C32990" s="277"/>
      <c r="M32990" s="277"/>
      <c r="O32990" s="247"/>
      <c r="AC32990" s="247"/>
      <c r="AT32990" s="247"/>
    </row>
    <row r="32991">
      <c r="C32991" s="277"/>
      <c r="M32991" s="277"/>
      <c r="O32991" s="247"/>
      <c r="AC32991" s="247"/>
      <c r="AT32991" s="247"/>
    </row>
    <row r="32992">
      <c r="C32992" s="277"/>
      <c r="M32992" s="277"/>
      <c r="O32992" s="247"/>
      <c r="AC32992" s="247"/>
      <c r="AT32992" s="247"/>
    </row>
    <row r="32993">
      <c r="C32993" s="277"/>
      <c r="M32993" s="277"/>
      <c r="O32993" s="247"/>
      <c r="AC32993" s="247"/>
      <c r="AT32993" s="247"/>
    </row>
    <row r="32994">
      <c r="C32994" s="277"/>
      <c r="M32994" s="277"/>
      <c r="O32994" s="247"/>
      <c r="AC32994" s="247"/>
      <c r="AT32994" s="247"/>
    </row>
    <row r="32995">
      <c r="C32995" s="277"/>
      <c r="M32995" s="277"/>
      <c r="O32995" s="247"/>
      <c r="AC32995" s="247"/>
      <c r="AT32995" s="247"/>
    </row>
    <row r="32996">
      <c r="C32996" s="277"/>
      <c r="M32996" s="277"/>
      <c r="O32996" s="247"/>
      <c r="AC32996" s="247"/>
      <c r="AT32996" s="247"/>
    </row>
    <row r="32997">
      <c r="C32997" s="277"/>
      <c r="M32997" s="277"/>
      <c r="O32997" s="247"/>
      <c r="AC32997" s="247"/>
      <c r="AT32997" s="247"/>
    </row>
    <row r="32998">
      <c r="C32998" s="277"/>
      <c r="M32998" s="277"/>
      <c r="O32998" s="247"/>
      <c r="AC32998" s="247"/>
      <c r="AT32998" s="247"/>
    </row>
    <row r="32999">
      <c r="C32999" s="277"/>
      <c r="M32999" s="277"/>
      <c r="O32999" s="247"/>
      <c r="AC32999" s="247"/>
      <c r="AT32999" s="247"/>
    </row>
    <row r="33000">
      <c r="C33000" s="277"/>
      <c r="M33000" s="277"/>
      <c r="O33000" s="247"/>
      <c r="AC33000" s="247"/>
      <c r="AT33000" s="247"/>
    </row>
    <row r="33001">
      <c r="C33001" s="277"/>
      <c r="M33001" s="277"/>
      <c r="O33001" s="247"/>
      <c r="AC33001" s="247"/>
      <c r="AT33001" s="247"/>
    </row>
    <row r="33002">
      <c r="C33002" s="277"/>
      <c r="M33002" s="277"/>
      <c r="O33002" s="247"/>
      <c r="AC33002" s="247"/>
      <c r="AT33002" s="247"/>
    </row>
    <row r="33003">
      <c r="C33003" s="277"/>
      <c r="M33003" s="277"/>
      <c r="O33003" s="247"/>
      <c r="AC33003" s="247"/>
      <c r="AT33003" s="247"/>
    </row>
    <row r="33004">
      <c r="C33004" s="277"/>
      <c r="M33004" s="277"/>
      <c r="O33004" s="247"/>
      <c r="AC33004" s="247"/>
      <c r="AT33004" s="247"/>
    </row>
    <row r="33005">
      <c r="C33005" s="277"/>
      <c r="M33005" s="277"/>
      <c r="O33005" s="247"/>
      <c r="AC33005" s="247"/>
      <c r="AT33005" s="247"/>
    </row>
    <row r="33006">
      <c r="C33006" s="277"/>
      <c r="M33006" s="277"/>
      <c r="O33006" s="247"/>
      <c r="AC33006" s="247"/>
      <c r="AT33006" s="247"/>
    </row>
    <row r="33007">
      <c r="C33007" s="277"/>
      <c r="M33007" s="277"/>
      <c r="O33007" s="247"/>
      <c r="AC33007" s="247"/>
      <c r="AT33007" s="247"/>
    </row>
    <row r="33008">
      <c r="C33008" s="277"/>
      <c r="M33008" s="277"/>
      <c r="O33008" s="247"/>
      <c r="AC33008" s="247"/>
      <c r="AT33008" s="247"/>
    </row>
    <row r="33009">
      <c r="C33009" s="277"/>
      <c r="M33009" s="277"/>
      <c r="O33009" s="247"/>
      <c r="AC33009" s="247"/>
      <c r="AT33009" s="247"/>
    </row>
    <row r="33010">
      <c r="C33010" s="277"/>
      <c r="M33010" s="277"/>
      <c r="O33010" s="247"/>
      <c r="AC33010" s="247"/>
      <c r="AT33010" s="247"/>
    </row>
    <row r="33011">
      <c r="C33011" s="277"/>
      <c r="M33011" s="277"/>
      <c r="O33011" s="247"/>
      <c r="AC33011" s="247"/>
      <c r="AT33011" s="247"/>
    </row>
    <row r="33012">
      <c r="C33012" s="277"/>
      <c r="M33012" s="277"/>
      <c r="O33012" s="247"/>
      <c r="AC33012" s="247"/>
      <c r="AT33012" s="247"/>
    </row>
    <row r="33013">
      <c r="C33013" s="277"/>
      <c r="M33013" s="277"/>
      <c r="O33013" s="247"/>
      <c r="AC33013" s="247"/>
      <c r="AT33013" s="247"/>
    </row>
    <row r="33014">
      <c r="C33014" s="277"/>
      <c r="M33014" s="277"/>
      <c r="O33014" s="247"/>
      <c r="AC33014" s="247"/>
      <c r="AT33014" s="247"/>
    </row>
    <row r="33015">
      <c r="C33015" s="277"/>
      <c r="M33015" s="277"/>
      <c r="O33015" s="247"/>
      <c r="AC33015" s="247"/>
      <c r="AT33015" s="247"/>
    </row>
    <row r="33016">
      <c r="C33016" s="277"/>
      <c r="M33016" s="277"/>
      <c r="O33016" s="247"/>
      <c r="AC33016" s="247"/>
      <c r="AT33016" s="247"/>
    </row>
    <row r="33017">
      <c r="C33017" s="277"/>
      <c r="M33017" s="277"/>
      <c r="O33017" s="247"/>
      <c r="AC33017" s="247"/>
      <c r="AT33017" s="247"/>
    </row>
    <row r="33018">
      <c r="C33018" s="277"/>
      <c r="M33018" s="277"/>
      <c r="O33018" s="247"/>
      <c r="AC33018" s="247"/>
      <c r="AT33018" s="247"/>
    </row>
    <row r="33019">
      <c r="C33019" s="277"/>
      <c r="M33019" s="277"/>
      <c r="O33019" s="247"/>
      <c r="AC33019" s="247"/>
      <c r="AT33019" s="247"/>
    </row>
    <row r="33020">
      <c r="C33020" s="277"/>
      <c r="M33020" s="277"/>
      <c r="O33020" s="247"/>
      <c r="AC33020" s="247"/>
      <c r="AT33020" s="247"/>
    </row>
    <row r="33021">
      <c r="C33021" s="277"/>
      <c r="M33021" s="277"/>
      <c r="O33021" s="247"/>
      <c r="AC33021" s="247"/>
      <c r="AT33021" s="247"/>
    </row>
    <row r="33022">
      <c r="C33022" s="277"/>
      <c r="M33022" s="277"/>
      <c r="O33022" s="247"/>
      <c r="AC33022" s="247"/>
      <c r="AT33022" s="247"/>
    </row>
    <row r="33023">
      <c r="C33023" s="277"/>
      <c r="M33023" s="277"/>
      <c r="O33023" s="247"/>
      <c r="AC33023" s="247"/>
      <c r="AT33023" s="247"/>
    </row>
    <row r="33024">
      <c r="C33024" s="277"/>
      <c r="M33024" s="277"/>
      <c r="O33024" s="247"/>
      <c r="AC33024" s="247"/>
      <c r="AT33024" s="247"/>
    </row>
    <row r="33025">
      <c r="C33025" s="277"/>
      <c r="M33025" s="277"/>
      <c r="O33025" s="247"/>
      <c r="AC33025" s="247"/>
      <c r="AT33025" s="247"/>
    </row>
    <row r="33026">
      <c r="C33026" s="277"/>
      <c r="M33026" s="277"/>
      <c r="O33026" s="247"/>
      <c r="AC33026" s="247"/>
      <c r="AT33026" s="247"/>
    </row>
    <row r="33027">
      <c r="C33027" s="277"/>
      <c r="M33027" s="277"/>
      <c r="O33027" s="247"/>
      <c r="AC33027" s="247"/>
      <c r="AT33027" s="247"/>
    </row>
    <row r="33028">
      <c r="C33028" s="277"/>
      <c r="M33028" s="277"/>
      <c r="O33028" s="247"/>
      <c r="AC33028" s="247"/>
      <c r="AT33028" s="247"/>
    </row>
    <row r="33029">
      <c r="C33029" s="277"/>
      <c r="M33029" s="277"/>
      <c r="O33029" s="247"/>
      <c r="AC33029" s="247"/>
      <c r="AT33029" s="247"/>
    </row>
    <row r="33030">
      <c r="C33030" s="277"/>
      <c r="M33030" s="277"/>
      <c r="O33030" s="247"/>
      <c r="AC33030" s="247"/>
      <c r="AT33030" s="247"/>
    </row>
    <row r="33031">
      <c r="C33031" s="277"/>
      <c r="M33031" s="277"/>
      <c r="O33031" s="247"/>
      <c r="AC33031" s="247"/>
      <c r="AT33031" s="247"/>
    </row>
    <row r="33032">
      <c r="C33032" s="277"/>
      <c r="M33032" s="277"/>
      <c r="O33032" s="247"/>
      <c r="AC33032" s="247"/>
      <c r="AT33032" s="247"/>
    </row>
    <row r="33033">
      <c r="C33033" s="277"/>
      <c r="M33033" s="277"/>
      <c r="O33033" s="247"/>
      <c r="AC33033" s="247"/>
      <c r="AT33033" s="247"/>
    </row>
    <row r="33034">
      <c r="C33034" s="277"/>
      <c r="M33034" s="277"/>
      <c r="O33034" s="247"/>
      <c r="AC33034" s="247"/>
      <c r="AT33034" s="247"/>
    </row>
    <row r="33035">
      <c r="C33035" s="277"/>
      <c r="M33035" s="277"/>
      <c r="O33035" s="247"/>
      <c r="AC33035" s="247"/>
      <c r="AT33035" s="247"/>
    </row>
    <row r="33036">
      <c r="C33036" s="277"/>
      <c r="M33036" s="277"/>
      <c r="O33036" s="247"/>
      <c r="AC33036" s="247"/>
      <c r="AT33036" s="247"/>
    </row>
    <row r="33037">
      <c r="C33037" s="277"/>
      <c r="M33037" s="277"/>
      <c r="O33037" s="247"/>
      <c r="AC33037" s="247"/>
      <c r="AT33037" s="247"/>
    </row>
    <row r="33038">
      <c r="C33038" s="277"/>
      <c r="M33038" s="277"/>
      <c r="O33038" s="247"/>
      <c r="AC33038" s="247"/>
      <c r="AT33038" s="247"/>
    </row>
    <row r="33039">
      <c r="C33039" s="277"/>
      <c r="M33039" s="277"/>
      <c r="O33039" s="247"/>
      <c r="AC33039" s="247"/>
      <c r="AT33039" s="247"/>
    </row>
    <row r="33040">
      <c r="C33040" s="277"/>
      <c r="M33040" s="277"/>
      <c r="O33040" s="247"/>
      <c r="AC33040" s="247"/>
      <c r="AT33040" s="247"/>
    </row>
    <row r="33041">
      <c r="C33041" s="277"/>
      <c r="M33041" s="277"/>
      <c r="O33041" s="247"/>
      <c r="AC33041" s="247"/>
      <c r="AT33041" s="247"/>
    </row>
    <row r="33042">
      <c r="C33042" s="277"/>
      <c r="M33042" s="277"/>
      <c r="O33042" s="247"/>
      <c r="AC33042" s="247"/>
      <c r="AT33042" s="247"/>
    </row>
    <row r="33043">
      <c r="C33043" s="277"/>
      <c r="M33043" s="277"/>
      <c r="O33043" s="247"/>
      <c r="AC33043" s="247"/>
      <c r="AT33043" s="247"/>
    </row>
    <row r="33044">
      <c r="C33044" s="277"/>
      <c r="M33044" s="277"/>
      <c r="O33044" s="247"/>
      <c r="AC33044" s="247"/>
      <c r="AT33044" s="247"/>
    </row>
    <row r="33045">
      <c r="C33045" s="277"/>
      <c r="M33045" s="277"/>
      <c r="O33045" s="247"/>
      <c r="AC33045" s="247"/>
      <c r="AT33045" s="247"/>
    </row>
    <row r="33046">
      <c r="C33046" s="277"/>
      <c r="M33046" s="277"/>
      <c r="O33046" s="247"/>
      <c r="AC33046" s="247"/>
      <c r="AT33046" s="247"/>
    </row>
    <row r="33047">
      <c r="C33047" s="277"/>
      <c r="M33047" s="277"/>
      <c r="O33047" s="247"/>
      <c r="AC33047" s="247"/>
      <c r="AT33047" s="247"/>
    </row>
    <row r="33048">
      <c r="C33048" s="277"/>
      <c r="M33048" s="277"/>
      <c r="O33048" s="247"/>
      <c r="AC33048" s="247"/>
      <c r="AT33048" s="247"/>
    </row>
    <row r="33049">
      <c r="C33049" s="277"/>
      <c r="M33049" s="277"/>
      <c r="O33049" s="247"/>
      <c r="AC33049" s="247"/>
      <c r="AT33049" s="247"/>
    </row>
    <row r="33050">
      <c r="C33050" s="277"/>
      <c r="M33050" s="277"/>
      <c r="O33050" s="247"/>
      <c r="AC33050" s="247"/>
      <c r="AT33050" s="247"/>
    </row>
    <row r="33051">
      <c r="C33051" s="277"/>
      <c r="M33051" s="277"/>
      <c r="O33051" s="247"/>
      <c r="AC33051" s="247"/>
      <c r="AT33051" s="247"/>
    </row>
    <row r="33052">
      <c r="C33052" s="277"/>
      <c r="M33052" s="277"/>
      <c r="O33052" s="247"/>
      <c r="AC33052" s="247"/>
      <c r="AT33052" s="247"/>
    </row>
    <row r="33053">
      <c r="C33053" s="277"/>
      <c r="M33053" s="277"/>
      <c r="O33053" s="247"/>
      <c r="AC33053" s="247"/>
      <c r="AT33053" s="247"/>
    </row>
    <row r="33054">
      <c r="C33054" s="277"/>
      <c r="M33054" s="277"/>
      <c r="O33054" s="247"/>
      <c r="AC33054" s="247"/>
      <c r="AT33054" s="247"/>
    </row>
    <row r="33055">
      <c r="C33055" s="277"/>
      <c r="M33055" s="277"/>
      <c r="O33055" s="247"/>
      <c r="AC33055" s="247"/>
      <c r="AT33055" s="247"/>
    </row>
    <row r="33056">
      <c r="C33056" s="277"/>
      <c r="M33056" s="277"/>
      <c r="O33056" s="247"/>
      <c r="AC33056" s="247"/>
      <c r="AT33056" s="247"/>
    </row>
    <row r="33057">
      <c r="C33057" s="277"/>
      <c r="M33057" s="277"/>
      <c r="O33057" s="247"/>
      <c r="AC33057" s="247"/>
      <c r="AT33057" s="247"/>
    </row>
    <row r="33058">
      <c r="C33058" s="277"/>
      <c r="M33058" s="277"/>
      <c r="O33058" s="247"/>
      <c r="AC33058" s="247"/>
      <c r="AT33058" s="247"/>
    </row>
    <row r="33059">
      <c r="C33059" s="277"/>
      <c r="M33059" s="277"/>
      <c r="O33059" s="247"/>
      <c r="AC33059" s="247"/>
      <c r="AT33059" s="247"/>
    </row>
    <row r="33060">
      <c r="C33060" s="277"/>
      <c r="M33060" s="277"/>
      <c r="O33060" s="247"/>
      <c r="AC33060" s="247"/>
      <c r="AT33060" s="247"/>
    </row>
    <row r="33061">
      <c r="C33061" s="277"/>
      <c r="M33061" s="277"/>
      <c r="O33061" s="247"/>
      <c r="AC33061" s="247"/>
      <c r="AT33061" s="247"/>
    </row>
    <row r="33062">
      <c r="C33062" s="277"/>
      <c r="M33062" s="277"/>
      <c r="O33062" s="247"/>
      <c r="AC33062" s="247"/>
      <c r="AT33062" s="247"/>
    </row>
    <row r="33063">
      <c r="C33063" s="277"/>
      <c r="M33063" s="277"/>
      <c r="O33063" s="247"/>
      <c r="AC33063" s="247"/>
      <c r="AT33063" s="247"/>
    </row>
    <row r="33064">
      <c r="C33064" s="277"/>
      <c r="M33064" s="277"/>
      <c r="O33064" s="247"/>
      <c r="AC33064" s="247"/>
      <c r="AT33064" s="247"/>
    </row>
    <row r="33065">
      <c r="C33065" s="277"/>
      <c r="M33065" s="277"/>
      <c r="O33065" s="247"/>
      <c r="AC33065" s="247"/>
      <c r="AT33065" s="247"/>
    </row>
    <row r="33066">
      <c r="C33066" s="277"/>
      <c r="M33066" s="277"/>
      <c r="O33066" s="247"/>
      <c r="AC33066" s="247"/>
      <c r="AT33066" s="247"/>
    </row>
    <row r="33067">
      <c r="C33067" s="277"/>
      <c r="M33067" s="277"/>
      <c r="O33067" s="247"/>
      <c r="AC33067" s="247"/>
      <c r="AT33067" s="247"/>
    </row>
    <row r="33068">
      <c r="C33068" s="277"/>
      <c r="M33068" s="277"/>
      <c r="O33068" s="247"/>
      <c r="AC33068" s="247"/>
      <c r="AT33068" s="247"/>
    </row>
    <row r="33069">
      <c r="C33069" s="277"/>
      <c r="M33069" s="277"/>
      <c r="O33069" s="247"/>
      <c r="AC33069" s="247"/>
      <c r="AT33069" s="247"/>
    </row>
    <row r="33070">
      <c r="C33070" s="277"/>
      <c r="M33070" s="277"/>
      <c r="O33070" s="247"/>
      <c r="AC33070" s="247"/>
      <c r="AT33070" s="247"/>
    </row>
    <row r="33071">
      <c r="C33071" s="277"/>
      <c r="M33071" s="277"/>
      <c r="O33071" s="247"/>
      <c r="AC33071" s="247"/>
      <c r="AT33071" s="247"/>
    </row>
    <row r="33072">
      <c r="C33072" s="277"/>
      <c r="M33072" s="277"/>
      <c r="O33072" s="247"/>
      <c r="AC33072" s="247"/>
      <c r="AT33072" s="247"/>
    </row>
    <row r="33073">
      <c r="C33073" s="277"/>
      <c r="M33073" s="277"/>
      <c r="O33073" s="247"/>
      <c r="AC33073" s="247"/>
      <c r="AT33073" s="247"/>
    </row>
    <row r="33074">
      <c r="C33074" s="277"/>
      <c r="M33074" s="277"/>
      <c r="O33074" s="247"/>
      <c r="AC33074" s="247"/>
      <c r="AT33074" s="247"/>
    </row>
    <row r="33075">
      <c r="C33075" s="277"/>
      <c r="M33075" s="277"/>
      <c r="O33075" s="247"/>
      <c r="AC33075" s="247"/>
      <c r="AT33075" s="247"/>
    </row>
    <row r="33076">
      <c r="C33076" s="277"/>
      <c r="M33076" s="277"/>
      <c r="O33076" s="247"/>
      <c r="AC33076" s="247"/>
      <c r="AT33076" s="247"/>
    </row>
    <row r="33077">
      <c r="C33077" s="277"/>
      <c r="M33077" s="277"/>
      <c r="O33077" s="247"/>
      <c r="AC33077" s="247"/>
      <c r="AT33077" s="247"/>
    </row>
    <row r="33078">
      <c r="C33078" s="277"/>
      <c r="M33078" s="277"/>
      <c r="O33078" s="247"/>
      <c r="AC33078" s="247"/>
      <c r="AT33078" s="247"/>
    </row>
    <row r="33079">
      <c r="C33079" s="277"/>
      <c r="M33079" s="277"/>
      <c r="O33079" s="247"/>
      <c r="AC33079" s="247"/>
      <c r="AT33079" s="247"/>
    </row>
    <row r="33080">
      <c r="C33080" s="277"/>
      <c r="M33080" s="277"/>
      <c r="O33080" s="247"/>
      <c r="AC33080" s="247"/>
      <c r="AT33080" s="247"/>
    </row>
    <row r="33081">
      <c r="C33081" s="277"/>
      <c r="M33081" s="277"/>
      <c r="O33081" s="247"/>
      <c r="AC33081" s="247"/>
      <c r="AT33081" s="247"/>
    </row>
    <row r="33082">
      <c r="C33082" s="277"/>
      <c r="M33082" s="277"/>
      <c r="O33082" s="247"/>
      <c r="AC33082" s="247"/>
      <c r="AT33082" s="247"/>
    </row>
    <row r="33083">
      <c r="C33083" s="277"/>
      <c r="M33083" s="277"/>
      <c r="O33083" s="247"/>
      <c r="AC33083" s="247"/>
      <c r="AT33083" s="247"/>
    </row>
    <row r="33084">
      <c r="C33084" s="277"/>
      <c r="M33084" s="277"/>
      <c r="O33084" s="247"/>
      <c r="AC33084" s="247"/>
      <c r="AT33084" s="247"/>
    </row>
    <row r="33085">
      <c r="C33085" s="277"/>
      <c r="M33085" s="277"/>
      <c r="O33085" s="247"/>
      <c r="AC33085" s="247"/>
      <c r="AT33085" s="247"/>
    </row>
    <row r="33086">
      <c r="C33086" s="277"/>
      <c r="M33086" s="277"/>
      <c r="O33086" s="247"/>
      <c r="AC33086" s="247"/>
      <c r="AT33086" s="247"/>
    </row>
    <row r="33087">
      <c r="C33087" s="277"/>
      <c r="M33087" s="277"/>
      <c r="O33087" s="247"/>
      <c r="AC33087" s="247"/>
      <c r="AT33087" s="247"/>
    </row>
    <row r="33088">
      <c r="C33088" s="277"/>
      <c r="J33088" s="279"/>
      <c r="M33088" s="277"/>
      <c r="O33088" s="247"/>
      <c r="AC33088" s="247"/>
      <c r="AT33088" s="247"/>
    </row>
    <row r="33089">
      <c r="C33089" s="277"/>
      <c r="M33089" s="277"/>
      <c r="O33089" s="247"/>
      <c r="AC33089" s="247"/>
      <c r="AT33089" s="247"/>
    </row>
    <row r="33090">
      <c r="C33090" s="277"/>
      <c r="M33090" s="277"/>
      <c r="O33090" s="247"/>
      <c r="AC33090" s="247"/>
      <c r="AT33090" s="247"/>
    </row>
    <row r="33091">
      <c r="C33091" s="277"/>
      <c r="M33091" s="277"/>
      <c r="O33091" s="247"/>
      <c r="AC33091" s="247"/>
      <c r="AT33091" s="247"/>
    </row>
    <row r="33092">
      <c r="C33092" s="277"/>
      <c r="M33092" s="277"/>
      <c r="O33092" s="247"/>
      <c r="AC33092" s="247"/>
      <c r="AT33092" s="247"/>
    </row>
    <row r="33093">
      <c r="C33093" s="277"/>
      <c r="M33093" s="277"/>
      <c r="O33093" s="247"/>
      <c r="AC33093" s="247"/>
      <c r="AT33093" s="247"/>
    </row>
    <row r="33094">
      <c r="C33094" s="277"/>
      <c r="M33094" s="277"/>
      <c r="O33094" s="247"/>
      <c r="AC33094" s="247"/>
      <c r="AT33094" s="247"/>
    </row>
    <row r="33095">
      <c r="C33095" s="277"/>
      <c r="M33095" s="277"/>
      <c r="O33095" s="247"/>
      <c r="AC33095" s="247"/>
      <c r="AT33095" s="247"/>
    </row>
    <row r="33096">
      <c r="C33096" s="277"/>
      <c r="M33096" s="277"/>
      <c r="O33096" s="247"/>
      <c r="AC33096" s="247"/>
      <c r="AT33096" s="247"/>
    </row>
    <row r="33097">
      <c r="C33097" s="277"/>
      <c r="M33097" s="277"/>
      <c r="O33097" s="247"/>
      <c r="AC33097" s="247"/>
      <c r="AT33097" s="247"/>
    </row>
    <row r="33098">
      <c r="C33098" s="277"/>
      <c r="M33098" s="277"/>
      <c r="O33098" s="247"/>
      <c r="AC33098" s="247"/>
      <c r="AT33098" s="247"/>
    </row>
    <row r="33099">
      <c r="C33099" s="277"/>
      <c r="M33099" s="277"/>
      <c r="O33099" s="247"/>
      <c r="AC33099" s="247"/>
      <c r="AT33099" s="247"/>
    </row>
    <row r="33100">
      <c r="C33100" s="277"/>
      <c r="M33100" s="277"/>
      <c r="O33100" s="247"/>
      <c r="AC33100" s="247"/>
      <c r="AT33100" s="247"/>
    </row>
    <row r="33101">
      <c r="C33101" s="277"/>
      <c r="M33101" s="277"/>
      <c r="O33101" s="247"/>
      <c r="AC33101" s="247"/>
      <c r="AT33101" s="247"/>
    </row>
    <row r="33102">
      <c r="C33102" s="277"/>
      <c r="M33102" s="277"/>
      <c r="O33102" s="247"/>
      <c r="AC33102" s="247"/>
      <c r="AT33102" s="247"/>
    </row>
    <row r="33103">
      <c r="C33103" s="277"/>
      <c r="M33103" s="277"/>
      <c r="O33103" s="247"/>
      <c r="AC33103" s="247"/>
      <c r="AT33103" s="247"/>
    </row>
    <row r="33104">
      <c r="C33104" s="277"/>
      <c r="M33104" s="277"/>
      <c r="O33104" s="247"/>
      <c r="AC33104" s="247"/>
      <c r="AT33104" s="247"/>
    </row>
    <row r="33105">
      <c r="C33105" s="277"/>
      <c r="M33105" s="277"/>
      <c r="O33105" s="247"/>
      <c r="AC33105" s="247"/>
      <c r="AT33105" s="247"/>
    </row>
    <row r="33106">
      <c r="C33106" s="277"/>
      <c r="M33106" s="277"/>
      <c r="O33106" s="247"/>
      <c r="AC33106" s="247"/>
      <c r="AT33106" s="247"/>
    </row>
    <row r="33107">
      <c r="C33107" s="277"/>
      <c r="M33107" s="277"/>
      <c r="O33107" s="247"/>
      <c r="AC33107" s="247"/>
      <c r="AT33107" s="247"/>
    </row>
    <row r="33108">
      <c r="C33108" s="277"/>
      <c r="M33108" s="277"/>
      <c r="O33108" s="247"/>
      <c r="AC33108" s="247"/>
      <c r="AT33108" s="247"/>
    </row>
    <row r="33109">
      <c r="C33109" s="277"/>
      <c r="M33109" s="277"/>
      <c r="O33109" s="247"/>
      <c r="AC33109" s="247"/>
      <c r="AT33109" s="247"/>
    </row>
    <row r="33110">
      <c r="C33110" s="277"/>
      <c r="M33110" s="277"/>
      <c r="O33110" s="247"/>
      <c r="AC33110" s="247"/>
      <c r="AT33110" s="247"/>
    </row>
    <row r="33111">
      <c r="C33111" s="277"/>
      <c r="M33111" s="277"/>
      <c r="O33111" s="247"/>
      <c r="AC33111" s="247"/>
      <c r="AT33111" s="247"/>
    </row>
    <row r="33112">
      <c r="C33112" s="277"/>
      <c r="M33112" s="277"/>
      <c r="O33112" s="247"/>
      <c r="AC33112" s="247"/>
      <c r="AT33112" s="247"/>
    </row>
    <row r="33113">
      <c r="C33113" s="277"/>
      <c r="M33113" s="277"/>
      <c r="O33113" s="247"/>
      <c r="AC33113" s="247"/>
      <c r="AT33113" s="247"/>
    </row>
    <row r="33114">
      <c r="C33114" s="277"/>
      <c r="M33114" s="277"/>
      <c r="O33114" s="247"/>
      <c r="AC33114" s="247"/>
      <c r="AT33114" s="247"/>
    </row>
    <row r="33115">
      <c r="C33115" s="277"/>
      <c r="M33115" s="277"/>
      <c r="O33115" s="247"/>
      <c r="AC33115" s="247"/>
      <c r="AT33115" s="247"/>
    </row>
    <row r="33116">
      <c r="C33116" s="277"/>
      <c r="M33116" s="277"/>
      <c r="O33116" s="247"/>
      <c r="AC33116" s="247"/>
      <c r="AT33116" s="247"/>
    </row>
    <row r="33117">
      <c r="C33117" s="277"/>
      <c r="M33117" s="277"/>
      <c r="O33117" s="247"/>
      <c r="AC33117" s="247"/>
      <c r="AT33117" s="247"/>
    </row>
    <row r="33118">
      <c r="C33118" s="277"/>
      <c r="M33118" s="277"/>
      <c r="O33118" s="247"/>
      <c r="AC33118" s="247"/>
      <c r="AT33118" s="247"/>
    </row>
    <row r="33119">
      <c r="C33119" s="277"/>
      <c r="M33119" s="277"/>
      <c r="O33119" s="247"/>
      <c r="AC33119" s="247"/>
      <c r="AT33119" s="247"/>
    </row>
    <row r="33120">
      <c r="C33120" s="277"/>
      <c r="M33120" s="277"/>
      <c r="O33120" s="247"/>
      <c r="AC33120" s="247"/>
      <c r="AT33120" s="247"/>
    </row>
    <row r="33121">
      <c r="C33121" s="277"/>
      <c r="M33121" s="277"/>
      <c r="O33121" s="247"/>
      <c r="AC33121" s="247"/>
      <c r="AT33121" s="247"/>
    </row>
    <row r="33122">
      <c r="C33122" s="277"/>
      <c r="M33122" s="277"/>
      <c r="O33122" s="247"/>
      <c r="AC33122" s="247"/>
      <c r="AT33122" s="247"/>
    </row>
    <row r="33123">
      <c r="C33123" s="277"/>
      <c r="M33123" s="277"/>
      <c r="O33123" s="247"/>
      <c r="AC33123" s="247"/>
      <c r="AT33123" s="247"/>
    </row>
    <row r="33124">
      <c r="C33124" s="277"/>
      <c r="M33124" s="277"/>
      <c r="O33124" s="247"/>
      <c r="AC33124" s="247"/>
      <c r="AT33124" s="247"/>
    </row>
    <row r="33125">
      <c r="C33125" s="277"/>
      <c r="M33125" s="277"/>
      <c r="O33125" s="247"/>
      <c r="AC33125" s="247"/>
      <c r="AT33125" s="247"/>
    </row>
    <row r="33126">
      <c r="C33126" s="277"/>
      <c r="M33126" s="277"/>
      <c r="O33126" s="247"/>
      <c r="AC33126" s="247"/>
      <c r="AT33126" s="247"/>
    </row>
    <row r="33127">
      <c r="C33127" s="277"/>
      <c r="M33127" s="277"/>
      <c r="O33127" s="247"/>
      <c r="AC33127" s="247"/>
      <c r="AT33127" s="247"/>
    </row>
    <row r="33128">
      <c r="C33128" s="277"/>
      <c r="M33128" s="277"/>
      <c r="O33128" s="247"/>
      <c r="AC33128" s="247"/>
      <c r="AT33128" s="247"/>
    </row>
    <row r="33129">
      <c r="C33129" s="277"/>
      <c r="M33129" s="277"/>
      <c r="O33129" s="247"/>
      <c r="AC33129" s="247"/>
      <c r="AT33129" s="247"/>
    </row>
    <row r="33130">
      <c r="C33130" s="277"/>
      <c r="M33130" s="277"/>
      <c r="O33130" s="247"/>
      <c r="AC33130" s="247"/>
      <c r="AT33130" s="247"/>
    </row>
    <row r="33131">
      <c r="C33131" s="277"/>
      <c r="M33131" s="277"/>
      <c r="O33131" s="247"/>
      <c r="AC33131" s="247"/>
      <c r="AT33131" s="247"/>
    </row>
    <row r="33132">
      <c r="C33132" s="277"/>
      <c r="M33132" s="277"/>
      <c r="O33132" s="247"/>
      <c r="AC33132" s="247"/>
      <c r="AT33132" s="247"/>
    </row>
    <row r="33133">
      <c r="C33133" s="277"/>
      <c r="M33133" s="277"/>
      <c r="O33133" s="247"/>
      <c r="AC33133" s="247"/>
      <c r="AT33133" s="247"/>
    </row>
    <row r="33134">
      <c r="C33134" s="277"/>
      <c r="M33134" s="277"/>
      <c r="O33134" s="247"/>
      <c r="AC33134" s="247"/>
      <c r="AT33134" s="247"/>
    </row>
    <row r="33135">
      <c r="C33135" s="277"/>
      <c r="M33135" s="277"/>
      <c r="O33135" s="247"/>
      <c r="AC33135" s="247"/>
      <c r="AT33135" s="247"/>
    </row>
    <row r="33136">
      <c r="C33136" s="277"/>
      <c r="M33136" s="277"/>
      <c r="O33136" s="247"/>
      <c r="AC33136" s="247"/>
      <c r="AT33136" s="247"/>
    </row>
    <row r="33137">
      <c r="C33137" s="277"/>
      <c r="M33137" s="277"/>
      <c r="O33137" s="247"/>
      <c r="AC33137" s="247"/>
      <c r="AT33137" s="247"/>
    </row>
    <row r="33138">
      <c r="C33138" s="277"/>
      <c r="M33138" s="277"/>
      <c r="O33138" s="247"/>
      <c r="AC33138" s="247"/>
      <c r="AT33138" s="247"/>
    </row>
    <row r="33139">
      <c r="C33139" s="277"/>
      <c r="M33139" s="277"/>
      <c r="O33139" s="247"/>
      <c r="AC33139" s="247"/>
      <c r="AT33139" s="247"/>
    </row>
    <row r="33140">
      <c r="C33140" s="277"/>
      <c r="M33140" s="277"/>
      <c r="O33140" s="247"/>
      <c r="AC33140" s="247"/>
      <c r="AT33140" s="247"/>
    </row>
    <row r="33141">
      <c r="C33141" s="277"/>
      <c r="M33141" s="277"/>
      <c r="O33141" s="247"/>
      <c r="AC33141" s="247"/>
      <c r="AT33141" s="247"/>
    </row>
    <row r="33142">
      <c r="C33142" s="277"/>
      <c r="M33142" s="277"/>
      <c r="O33142" s="247"/>
      <c r="AC33142" s="247"/>
      <c r="AT33142" s="247"/>
    </row>
    <row r="33143">
      <c r="C33143" s="277"/>
      <c r="M33143" s="277"/>
      <c r="O33143" s="247"/>
      <c r="AC33143" s="247"/>
      <c r="AT33143" s="247"/>
    </row>
    <row r="33144">
      <c r="C33144" s="277"/>
      <c r="M33144" s="277"/>
      <c r="O33144" s="247"/>
      <c r="AC33144" s="247"/>
      <c r="AT33144" s="247"/>
    </row>
    <row r="33145">
      <c r="C33145" s="277"/>
      <c r="M33145" s="277"/>
      <c r="O33145" s="247"/>
      <c r="AC33145" s="247"/>
      <c r="AT33145" s="247"/>
    </row>
    <row r="33146">
      <c r="C33146" s="277"/>
      <c r="M33146" s="277"/>
      <c r="O33146" s="247"/>
      <c r="AC33146" s="247"/>
      <c r="AT33146" s="247"/>
    </row>
    <row r="33147">
      <c r="C33147" s="277"/>
      <c r="M33147" s="277"/>
      <c r="O33147" s="247"/>
      <c r="AC33147" s="247"/>
      <c r="AT33147" s="247"/>
    </row>
    <row r="33148">
      <c r="C33148" s="277"/>
      <c r="M33148" s="277"/>
      <c r="O33148" s="247"/>
      <c r="AC33148" s="247"/>
      <c r="AT33148" s="247"/>
    </row>
    <row r="33149">
      <c r="C33149" s="277"/>
      <c r="M33149" s="277"/>
      <c r="O33149" s="247"/>
      <c r="AC33149" s="247"/>
      <c r="AT33149" s="247"/>
    </row>
    <row r="33150">
      <c r="C33150" s="277"/>
      <c r="M33150" s="277"/>
      <c r="O33150" s="247"/>
      <c r="AC33150" s="247"/>
      <c r="AT33150" s="247"/>
    </row>
    <row r="33151">
      <c r="C33151" s="277"/>
      <c r="M33151" s="277"/>
      <c r="O33151" s="247"/>
      <c r="AC33151" s="247"/>
      <c r="AT33151" s="247"/>
    </row>
    <row r="33152">
      <c r="C33152" s="277"/>
      <c r="M33152" s="277"/>
      <c r="O33152" s="247"/>
      <c r="AC33152" s="247"/>
      <c r="AT33152" s="247"/>
    </row>
    <row r="33153">
      <c r="C33153" s="277"/>
      <c r="M33153" s="277"/>
      <c r="O33153" s="247"/>
      <c r="AC33153" s="247"/>
      <c r="AT33153" s="247"/>
    </row>
    <row r="33154">
      <c r="C33154" s="277"/>
      <c r="M33154" s="277"/>
      <c r="O33154" s="247"/>
      <c r="AC33154" s="247"/>
      <c r="AT33154" s="247"/>
    </row>
    <row r="33155">
      <c r="C33155" s="277"/>
      <c r="M33155" s="277"/>
      <c r="O33155" s="247"/>
      <c r="AC33155" s="247"/>
      <c r="AT33155" s="247"/>
    </row>
    <row r="33156">
      <c r="C33156" s="277"/>
      <c r="M33156" s="277"/>
      <c r="O33156" s="247"/>
      <c r="AC33156" s="247"/>
      <c r="AT33156" s="247"/>
    </row>
    <row r="33157">
      <c r="C33157" s="277"/>
      <c r="M33157" s="277"/>
      <c r="O33157" s="247"/>
      <c r="AC33157" s="247"/>
      <c r="AT33157" s="247"/>
    </row>
    <row r="33158">
      <c r="C33158" s="277"/>
      <c r="M33158" s="277"/>
      <c r="O33158" s="247"/>
      <c r="AC33158" s="247"/>
      <c r="AT33158" s="247"/>
    </row>
    <row r="33159">
      <c r="C33159" s="277"/>
      <c r="M33159" s="277"/>
      <c r="O33159" s="247"/>
      <c r="AC33159" s="247"/>
      <c r="AT33159" s="247"/>
    </row>
    <row r="33160">
      <c r="C33160" s="277"/>
      <c r="M33160" s="277"/>
      <c r="O33160" s="247"/>
      <c r="AC33160" s="247"/>
      <c r="AT33160" s="247"/>
    </row>
    <row r="33161">
      <c r="C33161" s="277"/>
      <c r="M33161" s="277"/>
      <c r="O33161" s="247"/>
      <c r="AC33161" s="247"/>
      <c r="AT33161" s="247"/>
    </row>
    <row r="33162">
      <c r="C33162" s="277"/>
      <c r="M33162" s="277"/>
      <c r="O33162" s="247"/>
      <c r="AC33162" s="247"/>
      <c r="AT33162" s="247"/>
    </row>
    <row r="33163">
      <c r="C33163" s="277"/>
      <c r="M33163" s="277"/>
      <c r="O33163" s="247"/>
      <c r="AC33163" s="247"/>
      <c r="AT33163" s="247"/>
    </row>
    <row r="33164">
      <c r="C33164" s="277"/>
      <c r="M33164" s="277"/>
      <c r="O33164" s="247"/>
      <c r="AC33164" s="247"/>
      <c r="AT33164" s="247"/>
    </row>
    <row r="33165">
      <c r="C33165" s="277"/>
      <c r="M33165" s="277"/>
      <c r="O33165" s="247"/>
      <c r="AC33165" s="247"/>
      <c r="AT33165" s="247"/>
    </row>
    <row r="33166">
      <c r="C33166" s="277"/>
      <c r="M33166" s="277"/>
      <c r="O33166" s="247"/>
      <c r="AC33166" s="247"/>
      <c r="AT33166" s="247"/>
    </row>
    <row r="33167">
      <c r="C33167" s="277"/>
      <c r="M33167" s="277"/>
      <c r="O33167" s="247"/>
      <c r="AC33167" s="247"/>
      <c r="AT33167" s="247"/>
    </row>
    <row r="33168">
      <c r="C33168" s="277"/>
      <c r="M33168" s="277"/>
      <c r="O33168" s="247"/>
      <c r="AC33168" s="247"/>
      <c r="AT33168" s="247"/>
    </row>
    <row r="33169">
      <c r="C33169" s="277"/>
      <c r="M33169" s="277"/>
      <c r="O33169" s="247"/>
      <c r="AC33169" s="247"/>
      <c r="AT33169" s="247"/>
    </row>
    <row r="33170">
      <c r="C33170" s="277"/>
      <c r="M33170" s="277"/>
      <c r="O33170" s="247"/>
      <c r="AC33170" s="247"/>
      <c r="AT33170" s="247"/>
    </row>
    <row r="33171">
      <c r="C33171" s="277"/>
      <c r="M33171" s="277"/>
      <c r="O33171" s="247"/>
      <c r="AC33171" s="247"/>
      <c r="AT33171" s="247"/>
    </row>
    <row r="33172">
      <c r="C33172" s="277"/>
      <c r="M33172" s="277"/>
      <c r="O33172" s="247"/>
      <c r="AC33172" s="247"/>
      <c r="AT33172" s="247"/>
    </row>
    <row r="33173">
      <c r="C33173" s="277"/>
      <c r="M33173" s="277"/>
      <c r="O33173" s="247"/>
      <c r="AC33173" s="247"/>
      <c r="AT33173" s="247"/>
    </row>
    <row r="33174">
      <c r="C33174" s="277"/>
      <c r="M33174" s="277"/>
      <c r="O33174" s="247"/>
      <c r="AC33174" s="247"/>
      <c r="AT33174" s="247"/>
    </row>
    <row r="33175">
      <c r="C33175" s="277"/>
      <c r="M33175" s="277"/>
      <c r="O33175" s="247"/>
      <c r="AC33175" s="247"/>
      <c r="AT33175" s="247"/>
    </row>
    <row r="33176">
      <c r="C33176" s="277"/>
      <c r="M33176" s="277"/>
      <c r="O33176" s="247"/>
      <c r="AC33176" s="247"/>
      <c r="AT33176" s="247"/>
    </row>
    <row r="33177">
      <c r="C33177" s="277"/>
      <c r="M33177" s="277"/>
      <c r="O33177" s="247"/>
      <c r="AC33177" s="247"/>
      <c r="AT33177" s="247"/>
    </row>
    <row r="33178">
      <c r="C33178" s="277"/>
      <c r="M33178" s="277"/>
      <c r="O33178" s="247"/>
      <c r="AC33178" s="247"/>
      <c r="AT33178" s="247"/>
    </row>
    <row r="33179">
      <c r="C33179" s="277"/>
      <c r="M33179" s="277"/>
      <c r="O33179" s="247"/>
      <c r="AC33179" s="247"/>
      <c r="AT33179" s="247"/>
    </row>
    <row r="33180">
      <c r="C33180" s="277"/>
      <c r="M33180" s="277"/>
      <c r="O33180" s="247"/>
      <c r="AC33180" s="247"/>
      <c r="AT33180" s="247"/>
    </row>
    <row r="33181">
      <c r="C33181" s="277"/>
      <c r="M33181" s="277"/>
      <c r="O33181" s="247"/>
      <c r="AC33181" s="247"/>
      <c r="AT33181" s="247"/>
    </row>
    <row r="33182">
      <c r="C33182" s="277"/>
      <c r="M33182" s="277"/>
      <c r="O33182" s="247"/>
      <c r="AC33182" s="247"/>
      <c r="AT33182" s="247"/>
    </row>
    <row r="33183">
      <c r="C33183" s="277"/>
      <c r="M33183" s="277"/>
      <c r="O33183" s="247"/>
      <c r="AC33183" s="247"/>
      <c r="AT33183" s="247"/>
    </row>
    <row r="33184">
      <c r="C33184" s="277"/>
      <c r="M33184" s="277"/>
      <c r="O33184" s="247"/>
      <c r="AC33184" s="247"/>
      <c r="AT33184" s="247"/>
    </row>
    <row r="33185">
      <c r="C33185" s="277"/>
      <c r="M33185" s="277"/>
      <c r="O33185" s="247"/>
      <c r="AC33185" s="247"/>
      <c r="AT33185" s="247"/>
    </row>
    <row r="33186">
      <c r="C33186" s="277"/>
      <c r="M33186" s="277"/>
      <c r="O33186" s="247"/>
      <c r="AC33186" s="247"/>
      <c r="AT33186" s="247"/>
    </row>
    <row r="33187">
      <c r="C33187" s="277"/>
      <c r="M33187" s="277"/>
      <c r="O33187" s="247"/>
      <c r="AC33187" s="247"/>
      <c r="AT33187" s="247"/>
    </row>
    <row r="33188">
      <c r="C33188" s="277"/>
      <c r="M33188" s="277"/>
      <c r="O33188" s="247"/>
      <c r="AC33188" s="247"/>
      <c r="AT33188" s="247"/>
    </row>
    <row r="33189">
      <c r="C33189" s="277"/>
      <c r="M33189" s="277"/>
      <c r="O33189" s="247"/>
      <c r="AC33189" s="247"/>
      <c r="AT33189" s="247"/>
    </row>
    <row r="33190">
      <c r="C33190" s="277"/>
      <c r="M33190" s="277"/>
      <c r="O33190" s="247"/>
      <c r="AC33190" s="247"/>
      <c r="AT33190" s="247"/>
    </row>
    <row r="33191">
      <c r="C33191" s="277"/>
      <c r="M33191" s="277"/>
      <c r="O33191" s="247"/>
      <c r="AC33191" s="247"/>
      <c r="AT33191" s="247"/>
    </row>
    <row r="33192">
      <c r="C33192" s="277"/>
      <c r="M33192" s="277"/>
      <c r="O33192" s="247"/>
      <c r="AC33192" s="247"/>
      <c r="AT33192" s="247"/>
    </row>
    <row r="33193">
      <c r="C33193" s="277"/>
      <c r="M33193" s="277"/>
      <c r="O33193" s="247"/>
      <c r="AC33193" s="247"/>
      <c r="AT33193" s="247"/>
    </row>
    <row r="33194">
      <c r="C33194" s="277"/>
      <c r="M33194" s="277"/>
      <c r="O33194" s="247"/>
      <c r="AC33194" s="247"/>
      <c r="AT33194" s="247"/>
    </row>
    <row r="33195">
      <c r="C33195" s="277"/>
      <c r="M33195" s="277"/>
      <c r="O33195" s="247"/>
      <c r="AC33195" s="247"/>
      <c r="AT33195" s="247"/>
    </row>
    <row r="33196">
      <c r="C33196" s="277"/>
      <c r="M33196" s="277"/>
      <c r="O33196" s="247"/>
      <c r="AC33196" s="247"/>
      <c r="AT33196" s="247"/>
    </row>
    <row r="33197">
      <c r="C33197" s="277"/>
      <c r="M33197" s="277"/>
      <c r="O33197" s="247"/>
      <c r="AC33197" s="247"/>
      <c r="AT33197" s="247"/>
    </row>
    <row r="33198">
      <c r="C33198" s="277"/>
      <c r="M33198" s="277"/>
      <c r="O33198" s="247"/>
      <c r="AC33198" s="247"/>
      <c r="AT33198" s="247"/>
    </row>
    <row r="33199">
      <c r="C33199" s="277"/>
      <c r="M33199" s="277"/>
      <c r="O33199" s="247"/>
      <c r="AC33199" s="247"/>
      <c r="AT33199" s="247"/>
    </row>
    <row r="33200">
      <c r="C33200" s="277"/>
      <c r="M33200" s="277"/>
      <c r="O33200" s="247"/>
      <c r="AC33200" s="247"/>
      <c r="AT33200" s="247"/>
    </row>
    <row r="33201">
      <c r="C33201" s="277"/>
      <c r="M33201" s="277"/>
      <c r="O33201" s="247"/>
      <c r="AC33201" s="247"/>
      <c r="AT33201" s="247"/>
    </row>
    <row r="33202">
      <c r="C33202" s="277"/>
      <c r="M33202" s="277"/>
      <c r="O33202" s="247"/>
      <c r="AC33202" s="247"/>
      <c r="AT33202" s="247"/>
    </row>
    <row r="33203">
      <c r="C33203" s="277"/>
      <c r="M33203" s="277"/>
      <c r="O33203" s="247"/>
      <c r="AC33203" s="247"/>
      <c r="AT33203" s="247"/>
    </row>
    <row r="33204">
      <c r="C33204" s="277"/>
      <c r="M33204" s="277"/>
      <c r="O33204" s="247"/>
      <c r="AC33204" s="247"/>
      <c r="AT33204" s="247"/>
    </row>
    <row r="33205">
      <c r="C33205" s="277"/>
      <c r="M33205" s="277"/>
      <c r="O33205" s="247"/>
      <c r="AC33205" s="247"/>
      <c r="AT33205" s="247"/>
    </row>
    <row r="33206">
      <c r="C33206" s="277"/>
      <c r="M33206" s="277"/>
      <c r="O33206" s="247"/>
      <c r="AC33206" s="247"/>
      <c r="AT33206" s="247"/>
    </row>
    <row r="33207">
      <c r="C33207" s="277"/>
      <c r="M33207" s="277"/>
      <c r="O33207" s="247"/>
      <c r="AC33207" s="247"/>
      <c r="AT33207" s="247"/>
    </row>
    <row r="33208">
      <c r="C33208" s="277"/>
      <c r="M33208" s="277"/>
      <c r="O33208" s="247"/>
      <c r="AC33208" s="247"/>
      <c r="AT33208" s="247"/>
    </row>
    <row r="33209">
      <c r="C33209" s="277"/>
      <c r="M33209" s="277"/>
      <c r="O33209" s="247"/>
      <c r="AC33209" s="247"/>
      <c r="AT33209" s="247"/>
    </row>
    <row r="33210">
      <c r="C33210" s="277"/>
      <c r="M33210" s="277"/>
      <c r="O33210" s="247"/>
      <c r="AC33210" s="247"/>
      <c r="AT33210" s="247"/>
    </row>
    <row r="33211">
      <c r="C33211" s="277"/>
      <c r="M33211" s="277"/>
      <c r="O33211" s="247"/>
      <c r="AC33211" s="247"/>
      <c r="AT33211" s="247"/>
    </row>
    <row r="33212">
      <c r="C33212" s="277"/>
      <c r="M33212" s="277"/>
      <c r="O33212" s="247"/>
      <c r="AC33212" s="247"/>
      <c r="AT33212" s="247"/>
    </row>
    <row r="33213">
      <c r="C33213" s="277"/>
      <c r="M33213" s="277"/>
      <c r="O33213" s="247"/>
      <c r="AC33213" s="247"/>
      <c r="AT33213" s="247"/>
    </row>
    <row r="33214">
      <c r="C33214" s="277"/>
      <c r="M33214" s="277"/>
      <c r="O33214" s="247"/>
      <c r="AC33214" s="247"/>
      <c r="AT33214" s="247"/>
    </row>
    <row r="33215">
      <c r="C33215" s="277"/>
      <c r="M33215" s="277"/>
      <c r="O33215" s="247"/>
      <c r="AC33215" s="247"/>
      <c r="AT33215" s="247"/>
    </row>
    <row r="33216">
      <c r="C33216" s="277"/>
      <c r="M33216" s="277"/>
      <c r="O33216" s="247"/>
      <c r="AC33216" s="247"/>
      <c r="AT33216" s="247"/>
    </row>
    <row r="33217">
      <c r="C33217" s="277"/>
      <c r="M33217" s="277"/>
      <c r="O33217" s="247"/>
      <c r="AC33217" s="247"/>
      <c r="AT33217" s="247"/>
    </row>
    <row r="33218">
      <c r="C33218" s="277"/>
      <c r="M33218" s="277"/>
      <c r="O33218" s="247"/>
      <c r="AC33218" s="247"/>
      <c r="AT33218" s="247"/>
    </row>
    <row r="33219">
      <c r="C33219" s="277"/>
      <c r="M33219" s="277"/>
      <c r="O33219" s="247"/>
      <c r="AC33219" s="247"/>
      <c r="AT33219" s="247"/>
    </row>
    <row r="33220">
      <c r="C33220" s="277"/>
      <c r="M33220" s="277"/>
      <c r="O33220" s="247"/>
      <c r="AC33220" s="247"/>
      <c r="AT33220" s="247"/>
    </row>
    <row r="33221">
      <c r="C33221" s="277"/>
      <c r="M33221" s="277"/>
      <c r="O33221" s="247"/>
      <c r="AC33221" s="247"/>
      <c r="AT33221" s="247"/>
    </row>
    <row r="33222">
      <c r="C33222" s="277"/>
      <c r="M33222" s="277"/>
      <c r="O33222" s="247"/>
      <c r="AC33222" s="247"/>
      <c r="AT33222" s="247"/>
    </row>
    <row r="33223">
      <c r="C33223" s="277"/>
      <c r="M33223" s="277"/>
      <c r="O33223" s="247"/>
      <c r="AC33223" s="247"/>
      <c r="AT33223" s="247"/>
    </row>
    <row r="33224">
      <c r="C33224" s="277"/>
      <c r="M33224" s="277"/>
      <c r="O33224" s="247"/>
      <c r="AC33224" s="247"/>
      <c r="AT33224" s="247"/>
    </row>
    <row r="33225">
      <c r="C33225" s="277"/>
      <c r="M33225" s="277"/>
      <c r="O33225" s="247"/>
      <c r="AC33225" s="247"/>
      <c r="AT33225" s="247"/>
    </row>
    <row r="33226">
      <c r="C33226" s="277"/>
      <c r="M33226" s="277"/>
      <c r="O33226" s="247"/>
      <c r="AC33226" s="247"/>
      <c r="AT33226" s="247"/>
    </row>
    <row r="33227">
      <c r="C33227" s="277"/>
      <c r="M33227" s="277"/>
      <c r="O33227" s="247"/>
      <c r="AC33227" s="247"/>
      <c r="AT33227" s="247"/>
    </row>
    <row r="33228">
      <c r="C33228" s="277"/>
      <c r="M33228" s="277"/>
      <c r="O33228" s="247"/>
      <c r="AC33228" s="247"/>
      <c r="AT33228" s="247"/>
    </row>
    <row r="33229">
      <c r="C33229" s="277"/>
      <c r="M33229" s="277"/>
      <c r="O33229" s="247"/>
      <c r="AC33229" s="247"/>
      <c r="AT33229" s="247"/>
    </row>
    <row r="33230">
      <c r="C33230" s="277"/>
      <c r="M33230" s="277"/>
      <c r="O33230" s="247"/>
      <c r="AC33230" s="247"/>
      <c r="AT33230" s="247"/>
    </row>
    <row r="33231">
      <c r="C33231" s="277"/>
      <c r="M33231" s="277"/>
      <c r="O33231" s="247"/>
      <c r="AC33231" s="247"/>
      <c r="AT33231" s="247"/>
    </row>
    <row r="33232">
      <c r="C33232" s="277"/>
      <c r="M33232" s="277"/>
      <c r="O33232" s="247"/>
      <c r="AC33232" s="247"/>
      <c r="AT33232" s="247"/>
    </row>
    <row r="33233">
      <c r="C33233" s="277"/>
      <c r="M33233" s="277"/>
      <c r="O33233" s="247"/>
      <c r="AC33233" s="247"/>
      <c r="AT33233" s="247"/>
    </row>
    <row r="33234">
      <c r="C33234" s="277"/>
      <c r="M33234" s="277"/>
      <c r="O33234" s="247"/>
      <c r="AC33234" s="247"/>
      <c r="AT33234" s="247"/>
    </row>
    <row r="33235">
      <c r="C33235" s="277"/>
      <c r="M33235" s="277"/>
      <c r="O33235" s="247"/>
      <c r="AC33235" s="247"/>
      <c r="AT33235" s="247"/>
    </row>
    <row r="33236">
      <c r="C33236" s="277"/>
      <c r="M33236" s="277"/>
      <c r="O33236" s="247"/>
      <c r="AC33236" s="247"/>
      <c r="AT33236" s="247"/>
    </row>
    <row r="33237">
      <c r="C33237" s="277"/>
      <c r="M33237" s="277"/>
      <c r="O33237" s="247"/>
      <c r="AC33237" s="247"/>
      <c r="AT33237" s="247"/>
    </row>
    <row r="33238">
      <c r="C33238" s="277"/>
      <c r="M33238" s="277"/>
      <c r="O33238" s="247"/>
      <c r="AC33238" s="247"/>
      <c r="AT33238" s="247"/>
    </row>
    <row r="33239">
      <c r="C33239" s="277"/>
      <c r="M33239" s="277"/>
      <c r="O33239" s="247"/>
      <c r="AC33239" s="247"/>
      <c r="AT33239" s="247"/>
    </row>
    <row r="33240">
      <c r="C33240" s="277"/>
      <c r="M33240" s="277"/>
      <c r="O33240" s="247"/>
      <c r="AC33240" s="247"/>
      <c r="AT33240" s="247"/>
    </row>
    <row r="33241">
      <c r="C33241" s="277"/>
      <c r="M33241" s="277"/>
      <c r="O33241" s="247"/>
      <c r="AC33241" s="247"/>
      <c r="AT33241" s="247"/>
    </row>
    <row r="33242">
      <c r="C33242" s="277"/>
      <c r="M33242" s="277"/>
      <c r="O33242" s="247"/>
      <c r="AC33242" s="247"/>
      <c r="AT33242" s="247"/>
    </row>
    <row r="33243">
      <c r="C33243" s="277"/>
      <c r="M33243" s="277"/>
      <c r="O33243" s="247"/>
      <c r="AC33243" s="247"/>
      <c r="AT33243" s="247"/>
    </row>
    <row r="33244">
      <c r="C33244" s="277"/>
      <c r="M33244" s="277"/>
      <c r="O33244" s="247"/>
      <c r="AC33244" s="247"/>
      <c r="AT33244" s="247"/>
    </row>
    <row r="33245">
      <c r="C33245" s="277"/>
      <c r="M33245" s="277"/>
      <c r="O33245" s="247"/>
      <c r="AC33245" s="247"/>
      <c r="AT33245" s="247"/>
    </row>
    <row r="33246">
      <c r="C33246" s="277"/>
      <c r="M33246" s="277"/>
      <c r="O33246" s="247"/>
      <c r="AC33246" s="247"/>
      <c r="AT33246" s="247"/>
    </row>
    <row r="33247">
      <c r="C33247" s="277"/>
      <c r="M33247" s="277"/>
      <c r="O33247" s="247"/>
      <c r="AC33247" s="247"/>
      <c r="AT33247" s="247"/>
    </row>
    <row r="33248">
      <c r="C33248" s="277"/>
      <c r="M33248" s="277"/>
      <c r="O33248" s="247"/>
      <c r="AC33248" s="247"/>
      <c r="AT33248" s="247"/>
    </row>
    <row r="33249">
      <c r="C33249" s="277"/>
      <c r="M33249" s="277"/>
      <c r="O33249" s="247"/>
      <c r="AC33249" s="247"/>
      <c r="AT33249" s="247"/>
    </row>
    <row r="33250">
      <c r="C33250" s="277"/>
      <c r="M33250" s="277"/>
      <c r="O33250" s="247"/>
      <c r="AC33250" s="247"/>
      <c r="AT33250" s="247"/>
    </row>
    <row r="33251">
      <c r="C33251" s="277"/>
      <c r="M33251" s="277"/>
      <c r="O33251" s="247"/>
      <c r="AC33251" s="247"/>
      <c r="AT33251" s="247"/>
    </row>
    <row r="33252">
      <c r="C33252" s="277"/>
      <c r="M33252" s="277"/>
      <c r="O33252" s="247"/>
      <c r="AC33252" s="247"/>
      <c r="AT33252" s="247"/>
    </row>
    <row r="33253">
      <c r="C33253" s="277"/>
      <c r="M33253" s="277"/>
      <c r="O33253" s="247"/>
      <c r="AC33253" s="247"/>
      <c r="AT33253" s="247"/>
    </row>
    <row r="33254">
      <c r="C33254" s="277"/>
      <c r="M33254" s="277"/>
      <c r="O33254" s="247"/>
      <c r="AC33254" s="247"/>
      <c r="AT33254" s="247"/>
    </row>
    <row r="33255">
      <c r="C33255" s="277"/>
      <c r="M33255" s="277"/>
      <c r="O33255" s="247"/>
      <c r="AC33255" s="247"/>
      <c r="AT33255" s="247"/>
    </row>
    <row r="33256">
      <c r="C33256" s="277"/>
      <c r="M33256" s="277"/>
      <c r="O33256" s="247"/>
      <c r="AC33256" s="247"/>
      <c r="AT33256" s="247"/>
    </row>
    <row r="33257">
      <c r="C33257" s="277"/>
      <c r="M33257" s="277"/>
      <c r="O33257" s="247"/>
      <c r="AC33257" s="247"/>
      <c r="AT33257" s="247"/>
    </row>
    <row r="33258">
      <c r="C33258" s="277"/>
      <c r="M33258" s="277"/>
      <c r="O33258" s="247"/>
      <c r="AC33258" s="247"/>
      <c r="AT33258" s="247"/>
    </row>
    <row r="33259">
      <c r="C33259" s="277"/>
      <c r="M33259" s="277"/>
      <c r="O33259" s="247"/>
      <c r="AC33259" s="247"/>
      <c r="AT33259" s="247"/>
    </row>
    <row r="33260">
      <c r="C33260" s="277"/>
      <c r="M33260" s="277"/>
      <c r="O33260" s="247"/>
      <c r="AC33260" s="247"/>
      <c r="AT33260" s="247"/>
    </row>
    <row r="33261">
      <c r="C33261" s="277"/>
      <c r="M33261" s="277"/>
      <c r="O33261" s="247"/>
      <c r="AC33261" s="247"/>
      <c r="AT33261" s="247"/>
    </row>
    <row r="33262">
      <c r="C33262" s="277"/>
      <c r="M33262" s="277"/>
      <c r="O33262" s="247"/>
      <c r="AC33262" s="247"/>
      <c r="AT33262" s="247"/>
    </row>
    <row r="33263">
      <c r="C33263" s="277"/>
      <c r="M33263" s="277"/>
      <c r="O33263" s="247"/>
      <c r="AC33263" s="247"/>
      <c r="AT33263" s="247"/>
    </row>
    <row r="33264">
      <c r="C33264" s="277"/>
      <c r="M33264" s="277"/>
      <c r="O33264" s="247"/>
      <c r="AC33264" s="247"/>
      <c r="AT33264" s="247"/>
    </row>
    <row r="33265">
      <c r="C33265" s="277"/>
      <c r="M33265" s="277"/>
      <c r="O33265" s="247"/>
      <c r="AC33265" s="247"/>
      <c r="AT33265" s="247"/>
    </row>
    <row r="33266">
      <c r="C33266" s="277"/>
      <c r="M33266" s="277"/>
      <c r="O33266" s="247"/>
      <c r="AC33266" s="247"/>
      <c r="AT33266" s="247"/>
    </row>
    <row r="33267">
      <c r="C33267" s="277"/>
      <c r="M33267" s="277"/>
      <c r="O33267" s="247"/>
      <c r="AC33267" s="247"/>
      <c r="AT33267" s="247"/>
    </row>
    <row r="33268">
      <c r="C33268" s="277"/>
      <c r="M33268" s="277"/>
      <c r="O33268" s="247"/>
      <c r="AC33268" s="247"/>
      <c r="AT33268" s="247"/>
    </row>
    <row r="33269">
      <c r="C33269" s="277"/>
      <c r="M33269" s="277"/>
      <c r="O33269" s="247"/>
      <c r="AC33269" s="247"/>
      <c r="AT33269" s="247"/>
    </row>
    <row r="33270">
      <c r="C33270" s="277"/>
      <c r="M33270" s="277"/>
      <c r="O33270" s="247"/>
      <c r="AC33270" s="247"/>
      <c r="AT33270" s="247"/>
    </row>
    <row r="33271">
      <c r="C33271" s="277"/>
      <c r="M33271" s="277"/>
      <c r="O33271" s="247"/>
      <c r="AC33271" s="247"/>
      <c r="AT33271" s="247"/>
    </row>
    <row r="33272">
      <c r="C33272" s="277"/>
      <c r="M33272" s="277"/>
      <c r="O33272" s="247"/>
      <c r="AC33272" s="247"/>
      <c r="AT33272" s="247"/>
    </row>
    <row r="33273">
      <c r="C33273" s="277"/>
      <c r="M33273" s="277"/>
      <c r="O33273" s="247"/>
      <c r="AC33273" s="247"/>
      <c r="AT33273" s="247"/>
    </row>
    <row r="33274">
      <c r="C33274" s="277"/>
      <c r="M33274" s="277"/>
      <c r="O33274" s="247"/>
      <c r="AC33274" s="247"/>
      <c r="AT33274" s="247"/>
    </row>
    <row r="33275">
      <c r="C33275" s="277"/>
      <c r="M33275" s="277"/>
      <c r="O33275" s="247"/>
      <c r="AC33275" s="247"/>
      <c r="AT33275" s="247"/>
    </row>
    <row r="33276">
      <c r="C33276" s="277"/>
      <c r="M33276" s="277"/>
      <c r="O33276" s="247"/>
      <c r="AC33276" s="247"/>
      <c r="AT33276" s="247"/>
    </row>
    <row r="33277">
      <c r="C33277" s="277"/>
      <c r="M33277" s="277"/>
      <c r="O33277" s="247"/>
      <c r="AC33277" s="247"/>
      <c r="AT33277" s="247"/>
    </row>
    <row r="33278">
      <c r="C33278" s="277"/>
      <c r="M33278" s="277"/>
      <c r="O33278" s="247"/>
      <c r="AC33278" s="247"/>
      <c r="AT33278" s="247"/>
    </row>
    <row r="33279">
      <c r="C33279" s="277"/>
      <c r="M33279" s="277"/>
      <c r="O33279" s="247"/>
      <c r="AC33279" s="247"/>
      <c r="AT33279" s="247"/>
    </row>
    <row r="33280">
      <c r="C33280" s="277"/>
      <c r="M33280" s="277"/>
      <c r="O33280" s="247"/>
      <c r="AC33280" s="247"/>
      <c r="AT33280" s="247"/>
    </row>
    <row r="33281">
      <c r="C33281" s="277"/>
      <c r="M33281" s="277"/>
      <c r="O33281" s="247"/>
      <c r="AC33281" s="247"/>
      <c r="AT33281" s="247"/>
    </row>
    <row r="33282">
      <c r="C33282" s="277"/>
      <c r="M33282" s="277"/>
      <c r="O33282" s="247"/>
      <c r="AC33282" s="247"/>
      <c r="AT33282" s="247"/>
    </row>
    <row r="33283">
      <c r="C33283" s="277"/>
      <c r="M33283" s="277"/>
      <c r="O33283" s="247"/>
      <c r="AC33283" s="247"/>
      <c r="AT33283" s="247"/>
    </row>
    <row r="33284">
      <c r="C33284" s="277"/>
      <c r="M33284" s="277"/>
      <c r="O33284" s="247"/>
      <c r="AC33284" s="247"/>
      <c r="AT33284" s="247"/>
    </row>
    <row r="33285">
      <c r="C33285" s="277"/>
      <c r="M33285" s="277"/>
      <c r="O33285" s="247"/>
      <c r="AC33285" s="247"/>
      <c r="AT33285" s="247"/>
    </row>
    <row r="33286">
      <c r="C33286" s="277"/>
      <c r="M33286" s="277"/>
      <c r="O33286" s="247"/>
      <c r="AC33286" s="247"/>
      <c r="AT33286" s="247"/>
    </row>
    <row r="33287">
      <c r="C33287" s="277"/>
      <c r="M33287" s="277"/>
      <c r="O33287" s="247"/>
      <c r="AC33287" s="247"/>
      <c r="AT33287" s="247"/>
    </row>
    <row r="33288">
      <c r="C33288" s="277"/>
      <c r="M33288" s="277"/>
      <c r="O33288" s="247"/>
      <c r="AC33288" s="247"/>
      <c r="AT33288" s="247"/>
    </row>
    <row r="33289">
      <c r="C33289" s="277"/>
      <c r="M33289" s="277"/>
      <c r="O33289" s="247"/>
      <c r="AC33289" s="247"/>
      <c r="AT33289" s="247"/>
    </row>
    <row r="33290">
      <c r="C33290" s="277"/>
      <c r="M33290" s="277"/>
      <c r="O33290" s="247"/>
      <c r="AC33290" s="247"/>
      <c r="AT33290" s="247"/>
    </row>
    <row r="33291">
      <c r="C33291" s="277"/>
      <c r="M33291" s="277"/>
      <c r="O33291" s="247"/>
      <c r="AC33291" s="247"/>
      <c r="AT33291" s="247"/>
    </row>
    <row r="33292">
      <c r="C33292" s="277"/>
      <c r="M33292" s="277"/>
      <c r="O33292" s="247"/>
      <c r="AC33292" s="247"/>
      <c r="AT33292" s="247"/>
    </row>
    <row r="33293">
      <c r="C33293" s="277"/>
      <c r="M33293" s="277"/>
      <c r="O33293" s="247"/>
      <c r="AC33293" s="247"/>
      <c r="AT33293" s="247"/>
    </row>
    <row r="33294">
      <c r="C33294" s="277"/>
      <c r="M33294" s="277"/>
      <c r="O33294" s="247"/>
      <c r="AC33294" s="247"/>
      <c r="AT33294" s="247"/>
    </row>
    <row r="33295">
      <c r="C33295" s="277"/>
      <c r="M33295" s="277"/>
      <c r="O33295" s="247"/>
      <c r="AC33295" s="247"/>
      <c r="AT33295" s="247"/>
    </row>
    <row r="33296">
      <c r="C33296" s="277"/>
      <c r="M33296" s="277"/>
      <c r="O33296" s="247"/>
      <c r="AC33296" s="247"/>
      <c r="AT33296" s="247"/>
    </row>
    <row r="33297">
      <c r="C33297" s="277"/>
      <c r="M33297" s="277"/>
      <c r="O33297" s="247"/>
      <c r="AC33297" s="247"/>
      <c r="AT33297" s="247"/>
    </row>
    <row r="33298">
      <c r="C33298" s="277"/>
      <c r="M33298" s="277"/>
      <c r="O33298" s="247"/>
      <c r="AC33298" s="247"/>
      <c r="AT33298" s="247"/>
    </row>
    <row r="33299">
      <c r="C33299" s="277"/>
      <c r="M33299" s="277"/>
      <c r="O33299" s="247"/>
      <c r="AC33299" s="247"/>
      <c r="AT33299" s="247"/>
    </row>
    <row r="33300">
      <c r="C33300" s="277"/>
      <c r="M33300" s="277"/>
      <c r="O33300" s="247"/>
      <c r="AC33300" s="247"/>
      <c r="AT33300" s="247"/>
    </row>
    <row r="33301">
      <c r="C33301" s="277"/>
      <c r="M33301" s="277"/>
      <c r="O33301" s="247"/>
      <c r="AC33301" s="247"/>
      <c r="AT33301" s="247"/>
    </row>
    <row r="33302">
      <c r="C33302" s="277"/>
      <c r="M33302" s="277"/>
      <c r="O33302" s="247"/>
      <c r="AC33302" s="247"/>
      <c r="AT33302" s="247"/>
    </row>
    <row r="33303">
      <c r="C33303" s="277"/>
      <c r="M33303" s="277"/>
      <c r="O33303" s="247"/>
      <c r="AC33303" s="247"/>
      <c r="AT33303" s="247"/>
    </row>
    <row r="33304">
      <c r="C33304" s="277"/>
      <c r="M33304" s="277"/>
      <c r="O33304" s="247"/>
      <c r="AC33304" s="247"/>
      <c r="AT33304" s="247"/>
    </row>
    <row r="33305">
      <c r="C33305" s="277"/>
      <c r="M33305" s="277"/>
      <c r="O33305" s="247"/>
      <c r="AC33305" s="247"/>
      <c r="AT33305" s="247"/>
    </row>
    <row r="33306">
      <c r="C33306" s="277"/>
      <c r="M33306" s="277"/>
      <c r="O33306" s="247"/>
      <c r="AC33306" s="247"/>
      <c r="AT33306" s="247"/>
    </row>
    <row r="33307">
      <c r="C33307" s="277"/>
      <c r="M33307" s="277"/>
      <c r="O33307" s="247"/>
      <c r="AC33307" s="247"/>
      <c r="AT33307" s="247"/>
    </row>
    <row r="33308">
      <c r="C33308" s="277"/>
      <c r="M33308" s="277"/>
      <c r="O33308" s="247"/>
      <c r="AC33308" s="247"/>
      <c r="AT33308" s="247"/>
    </row>
    <row r="33309">
      <c r="C33309" s="277"/>
      <c r="M33309" s="277"/>
      <c r="O33309" s="247"/>
      <c r="AC33309" s="247"/>
      <c r="AT33309" s="247"/>
    </row>
    <row r="33310">
      <c r="C33310" s="277"/>
      <c r="M33310" s="277"/>
      <c r="O33310" s="247"/>
      <c r="AC33310" s="247"/>
      <c r="AT33310" s="247"/>
    </row>
    <row r="33311">
      <c r="C33311" s="277"/>
      <c r="M33311" s="277"/>
      <c r="O33311" s="247"/>
      <c r="AC33311" s="247"/>
      <c r="AT33311" s="247"/>
    </row>
    <row r="33312">
      <c r="C33312" s="277"/>
      <c r="M33312" s="277"/>
      <c r="O33312" s="247"/>
      <c r="AC33312" s="247"/>
      <c r="AT33312" s="247"/>
    </row>
    <row r="33313">
      <c r="C33313" s="277"/>
      <c r="M33313" s="277"/>
      <c r="O33313" s="247"/>
      <c r="AC33313" s="247"/>
      <c r="AT33313" s="247"/>
    </row>
    <row r="33314">
      <c r="C33314" s="277"/>
      <c r="M33314" s="277"/>
      <c r="O33314" s="247"/>
      <c r="AC33314" s="247"/>
      <c r="AT33314" s="247"/>
    </row>
    <row r="33315">
      <c r="C33315" s="277"/>
      <c r="M33315" s="277"/>
      <c r="O33315" s="247"/>
      <c r="AC33315" s="247"/>
      <c r="AT33315" s="247"/>
    </row>
    <row r="33316">
      <c r="C33316" s="277"/>
      <c r="M33316" s="277"/>
      <c r="O33316" s="247"/>
      <c r="AC33316" s="247"/>
      <c r="AT33316" s="247"/>
    </row>
    <row r="33317">
      <c r="C33317" s="277"/>
      <c r="M33317" s="277"/>
      <c r="O33317" s="247"/>
      <c r="AC33317" s="247"/>
      <c r="AT33317" s="247"/>
    </row>
    <row r="33318">
      <c r="C33318" s="277"/>
      <c r="M33318" s="277"/>
      <c r="O33318" s="247"/>
      <c r="AC33318" s="247"/>
      <c r="AT33318" s="247"/>
    </row>
    <row r="33319">
      <c r="C33319" s="277"/>
      <c r="M33319" s="277"/>
      <c r="O33319" s="247"/>
      <c r="AC33319" s="247"/>
      <c r="AT33319" s="247"/>
    </row>
    <row r="33320">
      <c r="C33320" s="277"/>
      <c r="M33320" s="277"/>
      <c r="O33320" s="247"/>
      <c r="AC33320" s="247"/>
      <c r="AT33320" s="247"/>
    </row>
    <row r="33321">
      <c r="C33321" s="277"/>
      <c r="M33321" s="277"/>
      <c r="O33321" s="247"/>
      <c r="AC33321" s="247"/>
      <c r="AT33321" s="247"/>
    </row>
    <row r="33322">
      <c r="C33322" s="277"/>
      <c r="M33322" s="277"/>
      <c r="O33322" s="247"/>
      <c r="AC33322" s="247"/>
      <c r="AT33322" s="247"/>
    </row>
    <row r="33323">
      <c r="C33323" s="277"/>
      <c r="M33323" s="277"/>
      <c r="O33323" s="247"/>
      <c r="AC33323" s="247"/>
      <c r="AT33323" s="247"/>
    </row>
    <row r="33324">
      <c r="C33324" s="277"/>
      <c r="M33324" s="277"/>
      <c r="O33324" s="247"/>
      <c r="AC33324" s="247"/>
      <c r="AT33324" s="247"/>
    </row>
    <row r="33325">
      <c r="C33325" s="277"/>
      <c r="M33325" s="277"/>
      <c r="O33325" s="247"/>
      <c r="AC33325" s="247"/>
      <c r="AT33325" s="247"/>
    </row>
    <row r="33326">
      <c r="C33326" s="277"/>
      <c r="M33326" s="277"/>
      <c r="O33326" s="247"/>
      <c r="AC33326" s="247"/>
      <c r="AT33326" s="247"/>
    </row>
    <row r="33327">
      <c r="C33327" s="277"/>
      <c r="M33327" s="277"/>
      <c r="O33327" s="247"/>
      <c r="AC33327" s="247"/>
      <c r="AT33327" s="247"/>
    </row>
    <row r="33328">
      <c r="C33328" s="277"/>
      <c r="M33328" s="277"/>
      <c r="O33328" s="247"/>
      <c r="AC33328" s="247"/>
      <c r="AT33328" s="247"/>
    </row>
    <row r="33329">
      <c r="C33329" s="277"/>
      <c r="M33329" s="277"/>
      <c r="O33329" s="247"/>
      <c r="AC33329" s="247"/>
      <c r="AT33329" s="247"/>
    </row>
    <row r="33330">
      <c r="C33330" s="277"/>
      <c r="M33330" s="277"/>
      <c r="O33330" s="247"/>
      <c r="AC33330" s="247"/>
      <c r="AT33330" s="247"/>
    </row>
    <row r="33331">
      <c r="C33331" s="277"/>
      <c r="M33331" s="277"/>
      <c r="O33331" s="247"/>
      <c r="AC33331" s="247"/>
      <c r="AT33331" s="247"/>
    </row>
    <row r="33332">
      <c r="C33332" s="277"/>
      <c r="M33332" s="277"/>
      <c r="O33332" s="247"/>
      <c r="AC33332" s="247"/>
      <c r="AT33332" s="247"/>
    </row>
    <row r="33333">
      <c r="C33333" s="277"/>
      <c r="M33333" s="277"/>
      <c r="O33333" s="247"/>
      <c r="AC33333" s="247"/>
      <c r="AT33333" s="247"/>
    </row>
    <row r="33334">
      <c r="C33334" s="277"/>
      <c r="M33334" s="277"/>
      <c r="O33334" s="247"/>
      <c r="AC33334" s="247"/>
      <c r="AT33334" s="247"/>
    </row>
    <row r="33335">
      <c r="C33335" s="277"/>
      <c r="M33335" s="277"/>
      <c r="O33335" s="247"/>
      <c r="AC33335" s="247"/>
      <c r="AT33335" s="247"/>
    </row>
    <row r="33336">
      <c r="C33336" s="277"/>
      <c r="M33336" s="277"/>
      <c r="O33336" s="247"/>
      <c r="AC33336" s="247"/>
      <c r="AT33336" s="247"/>
    </row>
    <row r="33337">
      <c r="C33337" s="277"/>
      <c r="M33337" s="277"/>
      <c r="O33337" s="247"/>
      <c r="AC33337" s="247"/>
      <c r="AT33337" s="247"/>
    </row>
    <row r="33338">
      <c r="C33338" s="277"/>
      <c r="M33338" s="277"/>
      <c r="O33338" s="247"/>
      <c r="AC33338" s="247"/>
      <c r="AT33338" s="247"/>
    </row>
    <row r="33339">
      <c r="C33339" s="277"/>
      <c r="M33339" s="277"/>
      <c r="O33339" s="247"/>
      <c r="AC33339" s="247"/>
      <c r="AT33339" s="247"/>
    </row>
    <row r="33340">
      <c r="C33340" s="277"/>
      <c r="M33340" s="277"/>
      <c r="O33340" s="247"/>
      <c r="AC33340" s="247"/>
      <c r="AT33340" s="247"/>
    </row>
    <row r="33341">
      <c r="C33341" s="277"/>
      <c r="M33341" s="277"/>
      <c r="O33341" s="247"/>
      <c r="AC33341" s="247"/>
      <c r="AT33341" s="247"/>
    </row>
    <row r="33342">
      <c r="C33342" s="277"/>
      <c r="M33342" s="277"/>
      <c r="O33342" s="247"/>
      <c r="AC33342" s="247"/>
      <c r="AT33342" s="247"/>
    </row>
    <row r="33343">
      <c r="C33343" s="277"/>
      <c r="M33343" s="277"/>
      <c r="O33343" s="247"/>
      <c r="AC33343" s="247"/>
      <c r="AT33343" s="247"/>
    </row>
    <row r="33344">
      <c r="C33344" s="277"/>
      <c r="M33344" s="277"/>
      <c r="O33344" s="247"/>
      <c r="AC33344" s="247"/>
      <c r="AT33344" s="247"/>
    </row>
    <row r="33345">
      <c r="C33345" s="277"/>
      <c r="M33345" s="277"/>
      <c r="O33345" s="247"/>
      <c r="AC33345" s="247"/>
      <c r="AT33345" s="247"/>
    </row>
    <row r="33346">
      <c r="C33346" s="277"/>
      <c r="M33346" s="277"/>
      <c r="O33346" s="247"/>
      <c r="AC33346" s="247"/>
      <c r="AT33346" s="247"/>
    </row>
    <row r="33347">
      <c r="C33347" s="277"/>
      <c r="M33347" s="277"/>
      <c r="O33347" s="247"/>
      <c r="AC33347" s="247"/>
      <c r="AT33347" s="247"/>
    </row>
    <row r="33348">
      <c r="C33348" s="277"/>
      <c r="M33348" s="277"/>
      <c r="O33348" s="247"/>
      <c r="AC33348" s="247"/>
      <c r="AT33348" s="247"/>
    </row>
    <row r="33349">
      <c r="C33349" s="277"/>
      <c r="M33349" s="277"/>
      <c r="O33349" s="247"/>
      <c r="AC33349" s="247"/>
      <c r="AT33349" s="247"/>
    </row>
    <row r="33350">
      <c r="C33350" s="277"/>
      <c r="M33350" s="277"/>
      <c r="O33350" s="247"/>
      <c r="AC33350" s="247"/>
      <c r="AT33350" s="247"/>
    </row>
    <row r="33351">
      <c r="C33351" s="277"/>
      <c r="M33351" s="277"/>
      <c r="O33351" s="247"/>
      <c r="AC33351" s="247"/>
      <c r="AT33351" s="247"/>
    </row>
    <row r="33352">
      <c r="C33352" s="277"/>
      <c r="M33352" s="277"/>
      <c r="O33352" s="247"/>
      <c r="AC33352" s="247"/>
      <c r="AT33352" s="247"/>
    </row>
    <row r="33353">
      <c r="C33353" s="277"/>
      <c r="M33353" s="277"/>
      <c r="O33353" s="247"/>
      <c r="AC33353" s="247"/>
      <c r="AT33353" s="247"/>
    </row>
    <row r="33354">
      <c r="C33354" s="277"/>
      <c r="M33354" s="277"/>
      <c r="O33354" s="247"/>
      <c r="AC33354" s="247"/>
      <c r="AT33354" s="247"/>
    </row>
    <row r="33355">
      <c r="C33355" s="277"/>
      <c r="M33355" s="277"/>
      <c r="O33355" s="247"/>
      <c r="AC33355" s="247"/>
      <c r="AT33355" s="247"/>
    </row>
    <row r="33356">
      <c r="C33356" s="277"/>
      <c r="M33356" s="277"/>
      <c r="O33356" s="247"/>
      <c r="AC33356" s="247"/>
      <c r="AT33356" s="247"/>
    </row>
    <row r="33357">
      <c r="C33357" s="277"/>
      <c r="M33357" s="277"/>
      <c r="O33357" s="247"/>
      <c r="AC33357" s="247"/>
      <c r="AT33357" s="247"/>
    </row>
    <row r="33358">
      <c r="C33358" s="277"/>
      <c r="M33358" s="277"/>
      <c r="O33358" s="247"/>
      <c r="AC33358" s="247"/>
      <c r="AT33358" s="247"/>
    </row>
    <row r="33359">
      <c r="C33359" s="277"/>
      <c r="M33359" s="277"/>
      <c r="O33359" s="247"/>
      <c r="AC33359" s="247"/>
      <c r="AT33359" s="247"/>
    </row>
    <row r="33360">
      <c r="C33360" s="277"/>
      <c r="M33360" s="277"/>
      <c r="O33360" s="247"/>
      <c r="AC33360" s="247"/>
      <c r="AT33360" s="247"/>
    </row>
    <row r="33361">
      <c r="C33361" s="277"/>
      <c r="M33361" s="277"/>
      <c r="O33361" s="247"/>
      <c r="AC33361" s="247"/>
      <c r="AT33361" s="247"/>
    </row>
    <row r="33362">
      <c r="C33362" s="277"/>
      <c r="M33362" s="277"/>
      <c r="O33362" s="247"/>
      <c r="AC33362" s="247"/>
      <c r="AT33362" s="247"/>
    </row>
    <row r="33363">
      <c r="C33363" s="277"/>
      <c r="M33363" s="277"/>
      <c r="O33363" s="247"/>
      <c r="AC33363" s="247"/>
      <c r="AT33363" s="247"/>
    </row>
    <row r="33364">
      <c r="C33364" s="277"/>
      <c r="M33364" s="277"/>
      <c r="O33364" s="247"/>
      <c r="AC33364" s="247"/>
      <c r="AT33364" s="247"/>
    </row>
    <row r="33365">
      <c r="C33365" s="277"/>
      <c r="M33365" s="277"/>
      <c r="O33365" s="247"/>
      <c r="AC33365" s="247"/>
      <c r="AT33365" s="247"/>
    </row>
    <row r="33366">
      <c r="C33366" s="277"/>
      <c r="M33366" s="277"/>
      <c r="O33366" s="247"/>
      <c r="AC33366" s="247"/>
      <c r="AT33366" s="247"/>
    </row>
    <row r="33367">
      <c r="C33367" s="277"/>
      <c r="M33367" s="277"/>
      <c r="O33367" s="247"/>
      <c r="AC33367" s="247"/>
      <c r="AT33367" s="247"/>
    </row>
    <row r="33368">
      <c r="C33368" s="277"/>
      <c r="M33368" s="277"/>
      <c r="O33368" s="247"/>
      <c r="AC33368" s="247"/>
      <c r="AT33368" s="247"/>
    </row>
    <row r="33369">
      <c r="C33369" s="277"/>
      <c r="M33369" s="277"/>
      <c r="O33369" s="247"/>
      <c r="AC33369" s="247"/>
      <c r="AT33369" s="247"/>
    </row>
    <row r="33370">
      <c r="C33370" s="277"/>
      <c r="M33370" s="277"/>
      <c r="O33370" s="247"/>
      <c r="AC33370" s="247"/>
      <c r="AT33370" s="247"/>
    </row>
    <row r="33371">
      <c r="C33371" s="277"/>
      <c r="M33371" s="277"/>
      <c r="O33371" s="247"/>
      <c r="AC33371" s="247"/>
      <c r="AT33371" s="247"/>
    </row>
    <row r="33372">
      <c r="C33372" s="277"/>
      <c r="M33372" s="277"/>
      <c r="O33372" s="247"/>
      <c r="AC33372" s="247"/>
      <c r="AT33372" s="247"/>
    </row>
    <row r="33373">
      <c r="C33373" s="277"/>
      <c r="M33373" s="277"/>
      <c r="O33373" s="247"/>
      <c r="AC33373" s="247"/>
      <c r="AT33373" s="247"/>
    </row>
    <row r="33374">
      <c r="C33374" s="277"/>
      <c r="M33374" s="277"/>
      <c r="O33374" s="247"/>
      <c r="AC33374" s="247"/>
      <c r="AT33374" s="247"/>
    </row>
    <row r="33375">
      <c r="C33375" s="277"/>
      <c r="M33375" s="277"/>
      <c r="O33375" s="247"/>
      <c r="AC33375" s="247"/>
      <c r="AT33375" s="247"/>
    </row>
    <row r="33376">
      <c r="C33376" s="277"/>
      <c r="M33376" s="277"/>
      <c r="O33376" s="247"/>
      <c r="AC33376" s="247"/>
      <c r="AT33376" s="247"/>
    </row>
    <row r="33377">
      <c r="C33377" s="277"/>
      <c r="M33377" s="277"/>
      <c r="O33377" s="247"/>
      <c r="AC33377" s="247"/>
      <c r="AT33377" s="247"/>
    </row>
    <row r="33378">
      <c r="C33378" s="277"/>
      <c r="M33378" s="277"/>
      <c r="O33378" s="247"/>
      <c r="AC33378" s="247"/>
      <c r="AT33378" s="247"/>
    </row>
    <row r="33379">
      <c r="C33379" s="277"/>
      <c r="M33379" s="277"/>
      <c r="O33379" s="247"/>
      <c r="AC33379" s="247"/>
      <c r="AT33379" s="247"/>
    </row>
    <row r="33380">
      <c r="C33380" s="277"/>
      <c r="M33380" s="277"/>
      <c r="O33380" s="247"/>
      <c r="AC33380" s="247"/>
      <c r="AT33380" s="247"/>
    </row>
    <row r="33381">
      <c r="C33381" s="277"/>
      <c r="M33381" s="277"/>
      <c r="O33381" s="247"/>
      <c r="AC33381" s="247"/>
      <c r="AT33381" s="247"/>
    </row>
    <row r="33382">
      <c r="C33382" s="277"/>
      <c r="M33382" s="277"/>
      <c r="O33382" s="247"/>
      <c r="AC33382" s="247"/>
      <c r="AT33382" s="247"/>
    </row>
    <row r="33383">
      <c r="C33383" s="277"/>
      <c r="M33383" s="277"/>
      <c r="O33383" s="247"/>
      <c r="AC33383" s="247"/>
      <c r="AT33383" s="247"/>
    </row>
    <row r="33384">
      <c r="C33384" s="277"/>
      <c r="M33384" s="277"/>
      <c r="O33384" s="247"/>
      <c r="AC33384" s="247"/>
      <c r="AT33384" s="247"/>
    </row>
    <row r="33385">
      <c r="C33385" s="277"/>
      <c r="M33385" s="277"/>
      <c r="O33385" s="247"/>
      <c r="AC33385" s="247"/>
      <c r="AT33385" s="247"/>
    </row>
    <row r="33386">
      <c r="C33386" s="277"/>
      <c r="M33386" s="277"/>
      <c r="O33386" s="247"/>
      <c r="AC33386" s="247"/>
      <c r="AT33386" s="247"/>
    </row>
    <row r="33387">
      <c r="C33387" s="277"/>
      <c r="M33387" s="277"/>
      <c r="O33387" s="247"/>
      <c r="AC33387" s="247"/>
      <c r="AT33387" s="247"/>
    </row>
    <row r="33388">
      <c r="C33388" s="277"/>
      <c r="M33388" s="277"/>
      <c r="O33388" s="247"/>
      <c r="AC33388" s="247"/>
      <c r="AT33388" s="247"/>
    </row>
    <row r="33389">
      <c r="C33389" s="277"/>
      <c r="M33389" s="277"/>
      <c r="O33389" s="247"/>
      <c r="AC33389" s="247"/>
      <c r="AT33389" s="247"/>
    </row>
    <row r="33390">
      <c r="C33390" s="277"/>
      <c r="M33390" s="277"/>
      <c r="O33390" s="247"/>
      <c r="AC33390" s="247"/>
      <c r="AT33390" s="247"/>
    </row>
    <row r="33391">
      <c r="C33391" s="277"/>
      <c r="M33391" s="277"/>
      <c r="O33391" s="247"/>
      <c r="AC33391" s="247"/>
      <c r="AT33391" s="247"/>
    </row>
    <row r="33392">
      <c r="C33392" s="277"/>
      <c r="M33392" s="277"/>
      <c r="O33392" s="247"/>
      <c r="AC33392" s="247"/>
      <c r="AT33392" s="247"/>
    </row>
    <row r="33393">
      <c r="C33393" s="277"/>
      <c r="M33393" s="277"/>
      <c r="O33393" s="247"/>
      <c r="AC33393" s="247"/>
      <c r="AT33393" s="247"/>
    </row>
    <row r="33394">
      <c r="C33394" s="277"/>
      <c r="M33394" s="277"/>
      <c r="O33394" s="247"/>
      <c r="AC33394" s="247"/>
      <c r="AT33394" s="247"/>
    </row>
    <row r="33395">
      <c r="C33395" s="277"/>
      <c r="M33395" s="277"/>
      <c r="O33395" s="247"/>
      <c r="AC33395" s="247"/>
      <c r="AT33395" s="247"/>
    </row>
    <row r="33396">
      <c r="C33396" s="277"/>
      <c r="M33396" s="277"/>
      <c r="O33396" s="247"/>
      <c r="AC33396" s="247"/>
      <c r="AT33396" s="247"/>
    </row>
    <row r="33397">
      <c r="C33397" s="277"/>
      <c r="M33397" s="277"/>
      <c r="O33397" s="247"/>
      <c r="AC33397" s="247"/>
      <c r="AT33397" s="247"/>
    </row>
    <row r="33398">
      <c r="C33398" s="277"/>
      <c r="M33398" s="277"/>
      <c r="O33398" s="247"/>
      <c r="AC33398" s="247"/>
      <c r="AT33398" s="247"/>
    </row>
    <row r="33399">
      <c r="C33399" s="277"/>
      <c r="M33399" s="277"/>
      <c r="O33399" s="247"/>
      <c r="AC33399" s="247"/>
      <c r="AT33399" s="247"/>
    </row>
    <row r="33400">
      <c r="C33400" s="277"/>
      <c r="M33400" s="277"/>
      <c r="O33400" s="247"/>
      <c r="AC33400" s="247"/>
      <c r="AT33400" s="247"/>
    </row>
    <row r="33401">
      <c r="C33401" s="277"/>
      <c r="M33401" s="277"/>
      <c r="O33401" s="247"/>
      <c r="AC33401" s="247"/>
      <c r="AT33401" s="247"/>
    </row>
    <row r="33402">
      <c r="C33402" s="277"/>
      <c r="M33402" s="277"/>
      <c r="O33402" s="247"/>
      <c r="AC33402" s="247"/>
      <c r="AT33402" s="247"/>
    </row>
    <row r="33403">
      <c r="C33403" s="277"/>
      <c r="M33403" s="277"/>
      <c r="O33403" s="247"/>
      <c r="AC33403" s="247"/>
      <c r="AT33403" s="247"/>
    </row>
    <row r="33404">
      <c r="C33404" s="277"/>
      <c r="M33404" s="277"/>
      <c r="O33404" s="247"/>
      <c r="AC33404" s="247"/>
      <c r="AT33404" s="247"/>
    </row>
    <row r="33405">
      <c r="C33405" s="277"/>
      <c r="M33405" s="277"/>
      <c r="O33405" s="247"/>
      <c r="AC33405" s="247"/>
      <c r="AT33405" s="247"/>
    </row>
    <row r="33406">
      <c r="C33406" s="277"/>
      <c r="M33406" s="277"/>
      <c r="O33406" s="247"/>
      <c r="AC33406" s="247"/>
      <c r="AT33406" s="247"/>
    </row>
    <row r="33407">
      <c r="C33407" s="277"/>
      <c r="M33407" s="277"/>
      <c r="O33407" s="247"/>
      <c r="AC33407" s="247"/>
      <c r="AT33407" s="247"/>
    </row>
    <row r="33408">
      <c r="C33408" s="277"/>
      <c r="M33408" s="277"/>
      <c r="O33408" s="247"/>
      <c r="AC33408" s="247"/>
      <c r="AT33408" s="247"/>
    </row>
    <row r="33409">
      <c r="C33409" s="277"/>
      <c r="M33409" s="277"/>
      <c r="O33409" s="247"/>
      <c r="AC33409" s="247"/>
      <c r="AT33409" s="247"/>
    </row>
    <row r="33410">
      <c r="C33410" s="277"/>
      <c r="M33410" s="277"/>
      <c r="O33410" s="247"/>
      <c r="AC33410" s="247"/>
      <c r="AT33410" s="247"/>
    </row>
    <row r="33411">
      <c r="C33411" s="277"/>
      <c r="M33411" s="277"/>
      <c r="O33411" s="247"/>
      <c r="AC33411" s="247"/>
      <c r="AT33411" s="247"/>
    </row>
    <row r="33412">
      <c r="C33412" s="277"/>
      <c r="M33412" s="277"/>
      <c r="O33412" s="247"/>
      <c r="AC33412" s="247"/>
      <c r="AT33412" s="247"/>
    </row>
    <row r="33413">
      <c r="C33413" s="277"/>
      <c r="M33413" s="277"/>
      <c r="O33413" s="247"/>
      <c r="AC33413" s="247"/>
      <c r="AT33413" s="247"/>
    </row>
    <row r="33414">
      <c r="C33414" s="277"/>
      <c r="M33414" s="277"/>
      <c r="O33414" s="247"/>
      <c r="AC33414" s="247"/>
      <c r="AT33414" s="247"/>
    </row>
    <row r="33415">
      <c r="C33415" s="277"/>
      <c r="M33415" s="277"/>
      <c r="O33415" s="247"/>
      <c r="AC33415" s="247"/>
      <c r="AT33415" s="247"/>
    </row>
    <row r="33416">
      <c r="C33416" s="277"/>
      <c r="M33416" s="277"/>
      <c r="O33416" s="247"/>
      <c r="AC33416" s="247"/>
      <c r="AT33416" s="247"/>
    </row>
    <row r="33417">
      <c r="C33417" s="277"/>
      <c r="M33417" s="277"/>
      <c r="O33417" s="247"/>
      <c r="AC33417" s="247"/>
      <c r="AT33417" s="247"/>
    </row>
    <row r="33418">
      <c r="C33418" s="277"/>
      <c r="M33418" s="277"/>
      <c r="O33418" s="247"/>
      <c r="AC33418" s="247"/>
      <c r="AT33418" s="247"/>
    </row>
    <row r="33419">
      <c r="C33419" s="277"/>
      <c r="M33419" s="277"/>
      <c r="O33419" s="247"/>
      <c r="AC33419" s="247"/>
      <c r="AT33419" s="247"/>
    </row>
    <row r="33420">
      <c r="C33420" s="277"/>
      <c r="M33420" s="277"/>
      <c r="O33420" s="247"/>
      <c r="AC33420" s="247"/>
      <c r="AT33420" s="247"/>
    </row>
    <row r="33421">
      <c r="C33421" s="277"/>
      <c r="M33421" s="277"/>
      <c r="O33421" s="247"/>
      <c r="AC33421" s="247"/>
      <c r="AT33421" s="247"/>
    </row>
    <row r="33422">
      <c r="C33422" s="277"/>
      <c r="M33422" s="277"/>
      <c r="O33422" s="247"/>
      <c r="AC33422" s="247"/>
      <c r="AT33422" s="247"/>
    </row>
    <row r="33423">
      <c r="C33423" s="277"/>
      <c r="M33423" s="277"/>
      <c r="O33423" s="247"/>
      <c r="AC33423" s="247"/>
      <c r="AT33423" s="247"/>
    </row>
    <row r="33424">
      <c r="C33424" s="277"/>
      <c r="M33424" s="277"/>
      <c r="O33424" s="247"/>
      <c r="AC33424" s="247"/>
      <c r="AT33424" s="247"/>
    </row>
    <row r="33425">
      <c r="C33425" s="277"/>
      <c r="M33425" s="277"/>
      <c r="O33425" s="247"/>
      <c r="AC33425" s="247"/>
      <c r="AT33425" s="247"/>
    </row>
    <row r="33426">
      <c r="C33426" s="277"/>
      <c r="M33426" s="277"/>
      <c r="O33426" s="247"/>
      <c r="AC33426" s="247"/>
      <c r="AT33426" s="247"/>
    </row>
    <row r="33427">
      <c r="C33427" s="277"/>
      <c r="M33427" s="277"/>
      <c r="O33427" s="247"/>
      <c r="AC33427" s="247"/>
      <c r="AT33427" s="247"/>
    </row>
    <row r="33428">
      <c r="C33428" s="277"/>
      <c r="M33428" s="277"/>
      <c r="O33428" s="247"/>
      <c r="AC33428" s="247"/>
      <c r="AT33428" s="247"/>
    </row>
    <row r="33429">
      <c r="C33429" s="277"/>
      <c r="M33429" s="277"/>
      <c r="O33429" s="247"/>
      <c r="AC33429" s="247"/>
      <c r="AT33429" s="247"/>
    </row>
    <row r="33430">
      <c r="C33430" s="277"/>
      <c r="M33430" s="277"/>
      <c r="O33430" s="247"/>
      <c r="AC33430" s="247"/>
      <c r="AT33430" s="247"/>
    </row>
    <row r="33431">
      <c r="C33431" s="277"/>
      <c r="M33431" s="277"/>
      <c r="O33431" s="247"/>
      <c r="AC33431" s="247"/>
      <c r="AT33431" s="247"/>
    </row>
    <row r="33432">
      <c r="C33432" s="277"/>
      <c r="M33432" s="277"/>
      <c r="O33432" s="247"/>
      <c r="AC33432" s="247"/>
      <c r="AT33432" s="247"/>
    </row>
    <row r="33433">
      <c r="C33433" s="277"/>
      <c r="M33433" s="277"/>
      <c r="O33433" s="247"/>
      <c r="AC33433" s="247"/>
      <c r="AT33433" s="247"/>
    </row>
    <row r="33434">
      <c r="C33434" s="277"/>
      <c r="M33434" s="277"/>
      <c r="O33434" s="247"/>
      <c r="AC33434" s="247"/>
      <c r="AT33434" s="247"/>
    </row>
    <row r="33435">
      <c r="C33435" s="277"/>
      <c r="M33435" s="277"/>
      <c r="O33435" s="247"/>
      <c r="AC33435" s="247"/>
      <c r="AT33435" s="247"/>
    </row>
    <row r="33436">
      <c r="C33436" s="277"/>
      <c r="M33436" s="277"/>
      <c r="O33436" s="247"/>
      <c r="AC33436" s="247"/>
      <c r="AT33436" s="247"/>
    </row>
    <row r="33437">
      <c r="C33437" s="277"/>
      <c r="M33437" s="277"/>
      <c r="O33437" s="247"/>
      <c r="AC33437" s="247"/>
      <c r="AT33437" s="247"/>
    </row>
    <row r="33438">
      <c r="C33438" s="277"/>
      <c r="M33438" s="277"/>
      <c r="O33438" s="247"/>
      <c r="AC33438" s="247"/>
      <c r="AT33438" s="247"/>
    </row>
    <row r="33439">
      <c r="C33439" s="277"/>
      <c r="M33439" s="277"/>
      <c r="O33439" s="247"/>
      <c r="AC33439" s="247"/>
      <c r="AT33439" s="247"/>
    </row>
    <row r="33440">
      <c r="C33440" s="277"/>
      <c r="M33440" s="277"/>
      <c r="O33440" s="247"/>
      <c r="AC33440" s="247"/>
      <c r="AT33440" s="247"/>
    </row>
    <row r="33441">
      <c r="C33441" s="277"/>
      <c r="M33441" s="277"/>
      <c r="O33441" s="247"/>
      <c r="AC33441" s="247"/>
      <c r="AT33441" s="247"/>
    </row>
    <row r="33442">
      <c r="C33442" s="277"/>
      <c r="M33442" s="277"/>
      <c r="O33442" s="247"/>
      <c r="AC33442" s="247"/>
      <c r="AT33442" s="247"/>
    </row>
    <row r="33443">
      <c r="C33443" s="277"/>
      <c r="M33443" s="277"/>
      <c r="O33443" s="247"/>
      <c r="AC33443" s="247"/>
      <c r="AT33443" s="247"/>
    </row>
    <row r="33444">
      <c r="C33444" s="277"/>
      <c r="M33444" s="277"/>
      <c r="O33444" s="247"/>
      <c r="AC33444" s="247"/>
      <c r="AT33444" s="247"/>
    </row>
    <row r="33445">
      <c r="C33445" s="277"/>
      <c r="M33445" s="277"/>
      <c r="O33445" s="247"/>
      <c r="AC33445" s="247"/>
      <c r="AT33445" s="247"/>
    </row>
    <row r="33446">
      <c r="C33446" s="277"/>
      <c r="M33446" s="277"/>
      <c r="O33446" s="247"/>
      <c r="AC33446" s="247"/>
      <c r="AT33446" s="247"/>
    </row>
    <row r="33447">
      <c r="C33447" s="277"/>
      <c r="M33447" s="277"/>
      <c r="O33447" s="247"/>
      <c r="AC33447" s="247"/>
      <c r="AT33447" s="247"/>
    </row>
    <row r="33448">
      <c r="C33448" s="277"/>
      <c r="M33448" s="277"/>
      <c r="O33448" s="247"/>
      <c r="AC33448" s="247"/>
      <c r="AT33448" s="247"/>
    </row>
    <row r="33449">
      <c r="C33449" s="277"/>
      <c r="M33449" s="277"/>
      <c r="O33449" s="247"/>
      <c r="AC33449" s="247"/>
      <c r="AT33449" s="247"/>
    </row>
    <row r="33450">
      <c r="C33450" s="277"/>
      <c r="M33450" s="277"/>
      <c r="O33450" s="247"/>
      <c r="AC33450" s="247"/>
      <c r="AT33450" s="247"/>
    </row>
    <row r="33451">
      <c r="C33451" s="277"/>
      <c r="M33451" s="277"/>
      <c r="O33451" s="247"/>
      <c r="AC33451" s="247"/>
      <c r="AT33451" s="247"/>
    </row>
    <row r="33452">
      <c r="C33452" s="277"/>
      <c r="M33452" s="277"/>
      <c r="O33452" s="247"/>
      <c r="AC33452" s="247"/>
      <c r="AT33452" s="247"/>
    </row>
    <row r="33453">
      <c r="C33453" s="277"/>
      <c r="M33453" s="277"/>
      <c r="O33453" s="247"/>
      <c r="AC33453" s="247"/>
      <c r="AT33453" s="247"/>
    </row>
    <row r="33454">
      <c r="C33454" s="277"/>
      <c r="M33454" s="277"/>
      <c r="O33454" s="247"/>
      <c r="AC33454" s="247"/>
      <c r="AT33454" s="247"/>
    </row>
    <row r="33455">
      <c r="C33455" s="277"/>
      <c r="M33455" s="277"/>
      <c r="O33455" s="247"/>
      <c r="AC33455" s="247"/>
      <c r="AT33455" s="247"/>
    </row>
    <row r="33456">
      <c r="C33456" s="277"/>
      <c r="M33456" s="277"/>
      <c r="O33456" s="247"/>
      <c r="AC33456" s="247"/>
      <c r="AT33456" s="247"/>
    </row>
    <row r="33457">
      <c r="C33457" s="277"/>
      <c r="M33457" s="277"/>
      <c r="O33457" s="247"/>
      <c r="AC33457" s="247"/>
      <c r="AT33457" s="247"/>
    </row>
    <row r="33458">
      <c r="C33458" s="277"/>
      <c r="M33458" s="277"/>
      <c r="O33458" s="247"/>
      <c r="AC33458" s="247"/>
      <c r="AT33458" s="247"/>
    </row>
    <row r="33459">
      <c r="C33459" s="277"/>
      <c r="M33459" s="277"/>
      <c r="O33459" s="247"/>
      <c r="AC33459" s="247"/>
      <c r="AT33459" s="247"/>
    </row>
    <row r="33460">
      <c r="C33460" s="277"/>
      <c r="M33460" s="277"/>
      <c r="O33460" s="247"/>
      <c r="AC33460" s="247"/>
      <c r="AT33460" s="247"/>
    </row>
    <row r="33461">
      <c r="C33461" s="277"/>
      <c r="M33461" s="277"/>
      <c r="O33461" s="247"/>
      <c r="AC33461" s="247"/>
      <c r="AT33461" s="247"/>
    </row>
    <row r="33462">
      <c r="C33462" s="277"/>
      <c r="M33462" s="277"/>
      <c r="O33462" s="247"/>
      <c r="AC33462" s="247"/>
      <c r="AT33462" s="247"/>
    </row>
    <row r="33463">
      <c r="C33463" s="277"/>
      <c r="M33463" s="277"/>
      <c r="O33463" s="247"/>
      <c r="AC33463" s="247"/>
      <c r="AT33463" s="247"/>
    </row>
    <row r="33464">
      <c r="C33464" s="277"/>
      <c r="M33464" s="277"/>
      <c r="O33464" s="247"/>
      <c r="AC33464" s="247"/>
      <c r="AT33464" s="247"/>
    </row>
    <row r="33465">
      <c r="C33465" s="277"/>
      <c r="M33465" s="277"/>
      <c r="O33465" s="247"/>
      <c r="AC33465" s="247"/>
      <c r="AT33465" s="247"/>
    </row>
    <row r="33466">
      <c r="C33466" s="277"/>
      <c r="M33466" s="277"/>
      <c r="O33466" s="247"/>
      <c r="AC33466" s="247"/>
      <c r="AT33466" s="247"/>
    </row>
    <row r="33467">
      <c r="C33467" s="277"/>
      <c r="M33467" s="277"/>
      <c r="O33467" s="247"/>
      <c r="AC33467" s="247"/>
      <c r="AT33467" s="247"/>
    </row>
    <row r="33468">
      <c r="C33468" s="277"/>
      <c r="M33468" s="277"/>
      <c r="O33468" s="247"/>
      <c r="AC33468" s="247"/>
      <c r="AT33468" s="247"/>
    </row>
    <row r="33469">
      <c r="C33469" s="277"/>
      <c r="M33469" s="277"/>
      <c r="O33469" s="247"/>
      <c r="AC33469" s="247"/>
      <c r="AT33469" s="247"/>
    </row>
    <row r="33470">
      <c r="C33470" s="277"/>
      <c r="M33470" s="277"/>
      <c r="O33470" s="247"/>
      <c r="AC33470" s="247"/>
      <c r="AT33470" s="247"/>
    </row>
    <row r="33471">
      <c r="C33471" s="277"/>
      <c r="M33471" s="277"/>
      <c r="O33471" s="247"/>
      <c r="AC33471" s="247"/>
      <c r="AT33471" s="247"/>
    </row>
    <row r="33472">
      <c r="C33472" s="277"/>
      <c r="M33472" s="277"/>
      <c r="O33472" s="247"/>
      <c r="AC33472" s="247"/>
      <c r="AT33472" s="247"/>
    </row>
    <row r="33473">
      <c r="C33473" s="277"/>
      <c r="M33473" s="277"/>
      <c r="O33473" s="247"/>
      <c r="AC33473" s="247"/>
      <c r="AT33473" s="247"/>
    </row>
    <row r="33474">
      <c r="C33474" s="277"/>
      <c r="M33474" s="277"/>
      <c r="O33474" s="247"/>
      <c r="AC33474" s="247"/>
      <c r="AT33474" s="247"/>
    </row>
    <row r="33475">
      <c r="C33475" s="277"/>
      <c r="M33475" s="277"/>
      <c r="O33475" s="247"/>
      <c r="AC33475" s="247"/>
      <c r="AT33475" s="247"/>
    </row>
    <row r="33476">
      <c r="C33476" s="277"/>
      <c r="M33476" s="277"/>
      <c r="O33476" s="247"/>
      <c r="AC33476" s="247"/>
      <c r="AT33476" s="247"/>
    </row>
    <row r="33477">
      <c r="C33477" s="277"/>
      <c r="M33477" s="277"/>
      <c r="O33477" s="247"/>
      <c r="AC33477" s="247"/>
      <c r="AT33477" s="247"/>
    </row>
    <row r="33478">
      <c r="C33478" s="277"/>
      <c r="M33478" s="277"/>
      <c r="O33478" s="247"/>
      <c r="AC33478" s="247"/>
      <c r="AT33478" s="247"/>
    </row>
    <row r="33479">
      <c r="C33479" s="277"/>
      <c r="M33479" s="277"/>
      <c r="O33479" s="247"/>
      <c r="AC33479" s="247"/>
      <c r="AT33479" s="247"/>
    </row>
    <row r="33480">
      <c r="C33480" s="277"/>
      <c r="M33480" s="277"/>
      <c r="O33480" s="247"/>
      <c r="AC33480" s="247"/>
      <c r="AT33480" s="247"/>
    </row>
    <row r="33481">
      <c r="C33481" s="277"/>
      <c r="M33481" s="277"/>
      <c r="O33481" s="247"/>
      <c r="AC33481" s="247"/>
      <c r="AT33481" s="247"/>
    </row>
    <row r="33482">
      <c r="C33482" s="277"/>
      <c r="M33482" s="277"/>
      <c r="O33482" s="247"/>
      <c r="AC33482" s="247"/>
      <c r="AT33482" s="247"/>
    </row>
    <row r="33483">
      <c r="C33483" s="277"/>
      <c r="M33483" s="277"/>
      <c r="O33483" s="247"/>
      <c r="AC33483" s="247"/>
      <c r="AT33483" s="247"/>
    </row>
    <row r="33484">
      <c r="C33484" s="277"/>
      <c r="M33484" s="277"/>
      <c r="O33484" s="247"/>
      <c r="AC33484" s="247"/>
      <c r="AT33484" s="247"/>
    </row>
    <row r="33485">
      <c r="C33485" s="277"/>
      <c r="M33485" s="277"/>
      <c r="O33485" s="247"/>
      <c r="AC33485" s="247"/>
      <c r="AT33485" s="247"/>
    </row>
    <row r="33486">
      <c r="C33486" s="277"/>
      <c r="M33486" s="277"/>
      <c r="O33486" s="247"/>
      <c r="AC33486" s="247"/>
      <c r="AT33486" s="247"/>
    </row>
    <row r="33487">
      <c r="C33487" s="277"/>
      <c r="M33487" s="277"/>
      <c r="O33487" s="247"/>
      <c r="AC33487" s="247"/>
      <c r="AT33487" s="247"/>
    </row>
    <row r="33488">
      <c r="C33488" s="277"/>
      <c r="M33488" s="277"/>
      <c r="O33488" s="247"/>
      <c r="AC33488" s="247"/>
      <c r="AT33488" s="247"/>
    </row>
    <row r="33489">
      <c r="C33489" s="277"/>
      <c r="M33489" s="277"/>
      <c r="O33489" s="247"/>
      <c r="AC33489" s="247"/>
      <c r="AT33489" s="247"/>
    </row>
    <row r="33490">
      <c r="C33490" s="277"/>
      <c r="M33490" s="277"/>
      <c r="O33490" s="247"/>
      <c r="AC33490" s="247"/>
      <c r="AT33490" s="247"/>
    </row>
    <row r="33491">
      <c r="C33491" s="277"/>
      <c r="M33491" s="277"/>
      <c r="O33491" s="247"/>
      <c r="AC33491" s="247"/>
      <c r="AT33491" s="247"/>
    </row>
    <row r="33492">
      <c r="C33492" s="277"/>
      <c r="M33492" s="277"/>
      <c r="O33492" s="247"/>
      <c r="AC33492" s="247"/>
      <c r="AT33492" s="247"/>
    </row>
    <row r="33493">
      <c r="C33493" s="277"/>
      <c r="M33493" s="277"/>
      <c r="O33493" s="247"/>
      <c r="AC33493" s="247"/>
      <c r="AT33493" s="247"/>
    </row>
    <row r="33494">
      <c r="C33494" s="277"/>
      <c r="M33494" s="277"/>
      <c r="O33494" s="247"/>
      <c r="AC33494" s="247"/>
      <c r="AT33494" s="247"/>
    </row>
    <row r="33495">
      <c r="C33495" s="277"/>
      <c r="M33495" s="277"/>
      <c r="O33495" s="247"/>
      <c r="AC33495" s="247"/>
      <c r="AT33495" s="247"/>
    </row>
    <row r="33496">
      <c r="C33496" s="277"/>
      <c r="M33496" s="277"/>
      <c r="O33496" s="247"/>
      <c r="AC33496" s="247"/>
      <c r="AT33496" s="247"/>
    </row>
    <row r="33497">
      <c r="C33497" s="277"/>
      <c r="M33497" s="277"/>
      <c r="O33497" s="247"/>
      <c r="AC33497" s="247"/>
      <c r="AT33497" s="247"/>
    </row>
    <row r="33498">
      <c r="C33498" s="277"/>
      <c r="M33498" s="277"/>
      <c r="O33498" s="247"/>
      <c r="AC33498" s="247"/>
      <c r="AT33498" s="247"/>
    </row>
    <row r="33499">
      <c r="C33499" s="277"/>
      <c r="M33499" s="277"/>
      <c r="O33499" s="247"/>
      <c r="AC33499" s="247"/>
      <c r="AT33499" s="247"/>
    </row>
    <row r="33500">
      <c r="C33500" s="277"/>
      <c r="M33500" s="277"/>
      <c r="O33500" s="247"/>
      <c r="AC33500" s="247"/>
      <c r="AT33500" s="247"/>
    </row>
    <row r="33501">
      <c r="C33501" s="277"/>
      <c r="M33501" s="277"/>
      <c r="O33501" s="247"/>
      <c r="AC33501" s="247"/>
      <c r="AT33501" s="247"/>
    </row>
    <row r="33502">
      <c r="C33502" s="277"/>
      <c r="M33502" s="277"/>
      <c r="O33502" s="247"/>
      <c r="AC33502" s="247"/>
      <c r="AT33502" s="247"/>
    </row>
    <row r="33503">
      <c r="C33503" s="277"/>
      <c r="M33503" s="277"/>
      <c r="O33503" s="247"/>
      <c r="AC33503" s="247"/>
      <c r="AT33503" s="247"/>
    </row>
    <row r="33504">
      <c r="C33504" s="277"/>
      <c r="M33504" s="277"/>
      <c r="O33504" s="247"/>
      <c r="AC33504" s="247"/>
      <c r="AT33504" s="247"/>
    </row>
    <row r="33505">
      <c r="C33505" s="277"/>
      <c r="M33505" s="277"/>
      <c r="O33505" s="247"/>
      <c r="AC33505" s="247"/>
      <c r="AT33505" s="247"/>
    </row>
    <row r="33506">
      <c r="C33506" s="277"/>
      <c r="M33506" s="277"/>
      <c r="O33506" s="247"/>
      <c r="AC33506" s="247"/>
      <c r="AT33506" s="247"/>
    </row>
    <row r="33507">
      <c r="C33507" s="277"/>
      <c r="M33507" s="277"/>
      <c r="O33507" s="247"/>
      <c r="AC33507" s="247"/>
      <c r="AT33507" s="247"/>
    </row>
    <row r="33508">
      <c r="C33508" s="277"/>
      <c r="M33508" s="277"/>
      <c r="O33508" s="247"/>
      <c r="AC33508" s="247"/>
      <c r="AT33508" s="247"/>
    </row>
    <row r="33509">
      <c r="C33509" s="277"/>
      <c r="M33509" s="277"/>
      <c r="O33509" s="247"/>
      <c r="AC33509" s="247"/>
      <c r="AT33509" s="247"/>
    </row>
    <row r="33510">
      <c r="C33510" s="277"/>
      <c r="M33510" s="277"/>
      <c r="O33510" s="247"/>
      <c r="AC33510" s="247"/>
      <c r="AT33510" s="247"/>
    </row>
    <row r="33511">
      <c r="C33511" s="277"/>
      <c r="M33511" s="277"/>
      <c r="O33511" s="247"/>
      <c r="AC33511" s="247"/>
      <c r="AT33511" s="247"/>
    </row>
    <row r="33512">
      <c r="C33512" s="277"/>
      <c r="M33512" s="277"/>
      <c r="O33512" s="247"/>
      <c r="AC33512" s="247"/>
      <c r="AT33512" s="247"/>
    </row>
    <row r="33513">
      <c r="C33513" s="277"/>
      <c r="M33513" s="277"/>
      <c r="O33513" s="247"/>
      <c r="AC33513" s="247"/>
      <c r="AT33513" s="247"/>
    </row>
    <row r="33514">
      <c r="C33514" s="277"/>
      <c r="M33514" s="277"/>
      <c r="O33514" s="247"/>
      <c r="AC33514" s="247"/>
      <c r="AT33514" s="247"/>
    </row>
    <row r="33515">
      <c r="C33515" s="277"/>
      <c r="M33515" s="277"/>
      <c r="O33515" s="247"/>
      <c r="AC33515" s="247"/>
      <c r="AT33515" s="247"/>
    </row>
    <row r="33516">
      <c r="C33516" s="277"/>
      <c r="M33516" s="277"/>
      <c r="O33516" s="247"/>
      <c r="AC33516" s="247"/>
      <c r="AT33516" s="247"/>
    </row>
    <row r="33517">
      <c r="C33517" s="277"/>
      <c r="M33517" s="277"/>
      <c r="O33517" s="247"/>
      <c r="AC33517" s="247"/>
      <c r="AT33517" s="247"/>
    </row>
    <row r="33518">
      <c r="C33518" s="277"/>
      <c r="M33518" s="277"/>
      <c r="O33518" s="247"/>
      <c r="AC33518" s="247"/>
      <c r="AT33518" s="247"/>
    </row>
    <row r="33519">
      <c r="C33519" s="277"/>
      <c r="M33519" s="277"/>
      <c r="O33519" s="247"/>
      <c r="AC33519" s="247"/>
      <c r="AT33519" s="247"/>
    </row>
    <row r="33520">
      <c r="C33520" s="277"/>
      <c r="M33520" s="277"/>
      <c r="O33520" s="247"/>
      <c r="AC33520" s="247"/>
      <c r="AT33520" s="247"/>
    </row>
    <row r="33521">
      <c r="C33521" s="277"/>
      <c r="M33521" s="277"/>
      <c r="O33521" s="247"/>
      <c r="AC33521" s="247"/>
      <c r="AT33521" s="247"/>
    </row>
    <row r="33522">
      <c r="C33522" s="277"/>
      <c r="M33522" s="277"/>
      <c r="O33522" s="247"/>
      <c r="AC33522" s="247"/>
      <c r="AT33522" s="247"/>
    </row>
    <row r="33523">
      <c r="C33523" s="277"/>
      <c r="M33523" s="277"/>
      <c r="O33523" s="247"/>
      <c r="AC33523" s="247"/>
      <c r="AT33523" s="247"/>
    </row>
    <row r="33524">
      <c r="C33524" s="277"/>
      <c r="M33524" s="277"/>
      <c r="O33524" s="247"/>
      <c r="AC33524" s="247"/>
      <c r="AT33524" s="247"/>
    </row>
    <row r="33525">
      <c r="C33525" s="277"/>
      <c r="M33525" s="277"/>
      <c r="O33525" s="247"/>
      <c r="AC33525" s="247"/>
      <c r="AT33525" s="247"/>
    </row>
    <row r="33526">
      <c r="C33526" s="277"/>
      <c r="M33526" s="277"/>
      <c r="O33526" s="247"/>
      <c r="AC33526" s="247"/>
      <c r="AT33526" s="247"/>
    </row>
    <row r="33527">
      <c r="C33527" s="277"/>
      <c r="M33527" s="277"/>
      <c r="O33527" s="247"/>
      <c r="AC33527" s="247"/>
      <c r="AT33527" s="247"/>
    </row>
    <row r="33528">
      <c r="C33528" s="277"/>
      <c r="M33528" s="277"/>
      <c r="O33528" s="247"/>
      <c r="AC33528" s="247"/>
      <c r="AT33528" s="247"/>
    </row>
    <row r="33529">
      <c r="C33529" s="277"/>
      <c r="M33529" s="277"/>
      <c r="O33529" s="247"/>
      <c r="AC33529" s="247"/>
      <c r="AT33529" s="247"/>
    </row>
    <row r="33530">
      <c r="C33530" s="277"/>
      <c r="M33530" s="277"/>
      <c r="O33530" s="247"/>
      <c r="AC33530" s="247"/>
      <c r="AT33530" s="247"/>
    </row>
    <row r="33531">
      <c r="C33531" s="277"/>
      <c r="M33531" s="277"/>
      <c r="O33531" s="247"/>
      <c r="AC33531" s="247"/>
      <c r="AT33531" s="247"/>
    </row>
    <row r="33532">
      <c r="C33532" s="277"/>
      <c r="M33532" s="277"/>
      <c r="O33532" s="247"/>
      <c r="AC33532" s="247"/>
      <c r="AT33532" s="247"/>
    </row>
    <row r="33533">
      <c r="C33533" s="277"/>
      <c r="M33533" s="277"/>
      <c r="O33533" s="247"/>
      <c r="AC33533" s="247"/>
      <c r="AT33533" s="247"/>
    </row>
    <row r="33534">
      <c r="C33534" s="277"/>
      <c r="M33534" s="277"/>
      <c r="O33534" s="247"/>
      <c r="AC33534" s="247"/>
      <c r="AT33534" s="247"/>
    </row>
    <row r="33535">
      <c r="C33535" s="277"/>
      <c r="M33535" s="277"/>
      <c r="O33535" s="247"/>
      <c r="AC33535" s="247"/>
      <c r="AT33535" s="247"/>
    </row>
    <row r="33536">
      <c r="C33536" s="277"/>
      <c r="M33536" s="277"/>
      <c r="O33536" s="247"/>
      <c r="AC33536" s="247"/>
      <c r="AT33536" s="247"/>
    </row>
    <row r="33537">
      <c r="C33537" s="277"/>
      <c r="M33537" s="277"/>
      <c r="O33537" s="247"/>
      <c r="AC33537" s="247"/>
      <c r="AT33537" s="247"/>
    </row>
    <row r="33538">
      <c r="C33538" s="277"/>
      <c r="M33538" s="277"/>
      <c r="O33538" s="247"/>
      <c r="AC33538" s="247"/>
      <c r="AT33538" s="247"/>
    </row>
    <row r="33539">
      <c r="C33539" s="277"/>
      <c r="M33539" s="277"/>
      <c r="O33539" s="247"/>
      <c r="AC33539" s="247"/>
      <c r="AT33539" s="247"/>
    </row>
    <row r="33540">
      <c r="C33540" s="277"/>
      <c r="M33540" s="277"/>
      <c r="O33540" s="247"/>
      <c r="AC33540" s="247"/>
      <c r="AT33540" s="247"/>
    </row>
    <row r="33541">
      <c r="C33541" s="277"/>
      <c r="M33541" s="277"/>
      <c r="O33541" s="247"/>
      <c r="AC33541" s="247"/>
      <c r="AT33541" s="247"/>
    </row>
    <row r="33542">
      <c r="C33542" s="277"/>
      <c r="M33542" s="277"/>
      <c r="O33542" s="247"/>
      <c r="AC33542" s="247"/>
      <c r="AT33542" s="247"/>
    </row>
    <row r="33543">
      <c r="C33543" s="277"/>
      <c r="M33543" s="277"/>
      <c r="O33543" s="247"/>
      <c r="AC33543" s="247"/>
      <c r="AT33543" s="247"/>
    </row>
    <row r="33544">
      <c r="C33544" s="277"/>
      <c r="M33544" s="277"/>
      <c r="O33544" s="247"/>
      <c r="AC33544" s="247"/>
      <c r="AT33544" s="247"/>
    </row>
    <row r="33545">
      <c r="C33545" s="277"/>
      <c r="M33545" s="277"/>
      <c r="O33545" s="247"/>
      <c r="AC33545" s="247"/>
      <c r="AT33545" s="247"/>
    </row>
    <row r="33546">
      <c r="C33546" s="277"/>
      <c r="M33546" s="277"/>
      <c r="O33546" s="247"/>
      <c r="AC33546" s="247"/>
      <c r="AT33546" s="247"/>
    </row>
    <row r="33547">
      <c r="C33547" s="277"/>
      <c r="M33547" s="277"/>
      <c r="O33547" s="247"/>
      <c r="AC33547" s="247"/>
      <c r="AT33547" s="247"/>
    </row>
    <row r="33548">
      <c r="C33548" s="277"/>
      <c r="M33548" s="277"/>
      <c r="O33548" s="247"/>
      <c r="AC33548" s="247"/>
      <c r="AT33548" s="247"/>
    </row>
    <row r="33549">
      <c r="C33549" s="277"/>
      <c r="M33549" s="277"/>
      <c r="O33549" s="247"/>
      <c r="AC33549" s="247"/>
      <c r="AT33549" s="247"/>
    </row>
    <row r="33550">
      <c r="C33550" s="277"/>
      <c r="M33550" s="277"/>
      <c r="O33550" s="247"/>
      <c r="AC33550" s="247"/>
      <c r="AT33550" s="247"/>
    </row>
    <row r="33551">
      <c r="C33551" s="277"/>
      <c r="M33551" s="277"/>
      <c r="O33551" s="247"/>
      <c r="AC33551" s="247"/>
      <c r="AT33551" s="247"/>
    </row>
    <row r="33552">
      <c r="C33552" s="277"/>
      <c r="M33552" s="277"/>
      <c r="O33552" s="247"/>
      <c r="AC33552" s="247"/>
      <c r="AT33552" s="247"/>
    </row>
    <row r="33553">
      <c r="C33553" s="277"/>
      <c r="M33553" s="277"/>
      <c r="O33553" s="247"/>
      <c r="AC33553" s="247"/>
      <c r="AT33553" s="247"/>
    </row>
    <row r="33554">
      <c r="C33554" s="277"/>
      <c r="M33554" s="277"/>
      <c r="O33554" s="247"/>
      <c r="AC33554" s="247"/>
      <c r="AT33554" s="247"/>
    </row>
    <row r="33555">
      <c r="C33555" s="277"/>
      <c r="M33555" s="277"/>
      <c r="O33555" s="247"/>
      <c r="AC33555" s="247"/>
      <c r="AT33555" s="247"/>
    </row>
    <row r="33556">
      <c r="C33556" s="277"/>
      <c r="M33556" s="277"/>
      <c r="O33556" s="247"/>
      <c r="AC33556" s="247"/>
      <c r="AT33556" s="247"/>
    </row>
    <row r="33557">
      <c r="C33557" s="277"/>
      <c r="M33557" s="277"/>
      <c r="O33557" s="247"/>
      <c r="AC33557" s="247"/>
      <c r="AT33557" s="247"/>
    </row>
    <row r="33558">
      <c r="C33558" s="277"/>
      <c r="M33558" s="277"/>
      <c r="O33558" s="247"/>
      <c r="AC33558" s="247"/>
      <c r="AT33558" s="247"/>
    </row>
    <row r="33559">
      <c r="C33559" s="277"/>
      <c r="M33559" s="277"/>
      <c r="O33559" s="247"/>
      <c r="AC33559" s="247"/>
      <c r="AT33559" s="247"/>
    </row>
    <row r="33560">
      <c r="C33560" s="277"/>
      <c r="M33560" s="277"/>
      <c r="O33560" s="247"/>
      <c r="AC33560" s="247"/>
      <c r="AT33560" s="247"/>
    </row>
    <row r="33561">
      <c r="C33561" s="277"/>
      <c r="M33561" s="277"/>
      <c r="O33561" s="247"/>
      <c r="AC33561" s="247"/>
      <c r="AT33561" s="247"/>
    </row>
    <row r="33562">
      <c r="C33562" s="277"/>
      <c r="M33562" s="277"/>
      <c r="O33562" s="247"/>
      <c r="AC33562" s="247"/>
      <c r="AT33562" s="247"/>
    </row>
    <row r="33563">
      <c r="C33563" s="277"/>
      <c r="M33563" s="277"/>
      <c r="O33563" s="247"/>
      <c r="AC33563" s="247"/>
      <c r="AT33563" s="247"/>
    </row>
    <row r="33564">
      <c r="C33564" s="277"/>
      <c r="M33564" s="277"/>
      <c r="O33564" s="247"/>
      <c r="AC33564" s="247"/>
      <c r="AT33564" s="247"/>
    </row>
    <row r="33565">
      <c r="C33565" s="277"/>
      <c r="M33565" s="277"/>
      <c r="O33565" s="247"/>
      <c r="AC33565" s="247"/>
      <c r="AT33565" s="247"/>
    </row>
    <row r="33566">
      <c r="C33566" s="277"/>
      <c r="M33566" s="277"/>
      <c r="O33566" s="247"/>
      <c r="AC33566" s="247"/>
      <c r="AT33566" s="247"/>
    </row>
    <row r="33567">
      <c r="C33567" s="277"/>
      <c r="M33567" s="277"/>
      <c r="O33567" s="247"/>
      <c r="AC33567" s="247"/>
      <c r="AT33567" s="247"/>
    </row>
    <row r="33568">
      <c r="C33568" s="277"/>
      <c r="M33568" s="277"/>
      <c r="O33568" s="247"/>
      <c r="AC33568" s="247"/>
      <c r="AT33568" s="247"/>
    </row>
    <row r="33569">
      <c r="C33569" s="277"/>
      <c r="M33569" s="277"/>
      <c r="O33569" s="247"/>
      <c r="AC33569" s="247"/>
      <c r="AT33569" s="247"/>
    </row>
    <row r="33570">
      <c r="C33570" s="277"/>
      <c r="M33570" s="277"/>
      <c r="O33570" s="247"/>
      <c r="AC33570" s="247"/>
      <c r="AT33570" s="247"/>
    </row>
    <row r="33571">
      <c r="C33571" s="277"/>
      <c r="M33571" s="277"/>
      <c r="O33571" s="247"/>
      <c r="AC33571" s="247"/>
      <c r="AT33571" s="247"/>
    </row>
    <row r="33572">
      <c r="C33572" s="277"/>
      <c r="M33572" s="277"/>
      <c r="O33572" s="247"/>
      <c r="AC33572" s="247"/>
      <c r="AT33572" s="247"/>
    </row>
    <row r="33573">
      <c r="C33573" s="277"/>
      <c r="M33573" s="277"/>
      <c r="O33573" s="247"/>
      <c r="AC33573" s="247"/>
      <c r="AT33573" s="247"/>
    </row>
    <row r="33574">
      <c r="C33574" s="277"/>
      <c r="M33574" s="277"/>
      <c r="O33574" s="247"/>
      <c r="AC33574" s="247"/>
      <c r="AT33574" s="247"/>
    </row>
    <row r="33575">
      <c r="C33575" s="277"/>
      <c r="M33575" s="277"/>
      <c r="O33575" s="247"/>
      <c r="AC33575" s="247"/>
      <c r="AT33575" s="247"/>
    </row>
    <row r="33576">
      <c r="C33576" s="277"/>
      <c r="M33576" s="277"/>
      <c r="O33576" s="247"/>
      <c r="AC33576" s="247"/>
      <c r="AT33576" s="247"/>
    </row>
    <row r="33577">
      <c r="C33577" s="277"/>
      <c r="M33577" s="277"/>
      <c r="O33577" s="247"/>
      <c r="AC33577" s="247"/>
      <c r="AT33577" s="247"/>
    </row>
    <row r="33578">
      <c r="C33578" s="277"/>
      <c r="M33578" s="277"/>
      <c r="O33578" s="247"/>
      <c r="AC33578" s="247"/>
      <c r="AT33578" s="247"/>
    </row>
    <row r="33579">
      <c r="C33579" s="277"/>
      <c r="M33579" s="277"/>
      <c r="O33579" s="247"/>
      <c r="AC33579" s="247"/>
      <c r="AT33579" s="247"/>
    </row>
    <row r="33580">
      <c r="C33580" s="277"/>
      <c r="M33580" s="277"/>
      <c r="O33580" s="247"/>
      <c r="AC33580" s="247"/>
      <c r="AT33580" s="247"/>
    </row>
    <row r="33581">
      <c r="C33581" s="277"/>
      <c r="M33581" s="277"/>
      <c r="O33581" s="247"/>
      <c r="AC33581" s="247"/>
      <c r="AT33581" s="247"/>
    </row>
    <row r="33582">
      <c r="C33582" s="277"/>
      <c r="M33582" s="277"/>
      <c r="O33582" s="247"/>
      <c r="AC33582" s="247"/>
      <c r="AT33582" s="247"/>
    </row>
    <row r="33583">
      <c r="C33583" s="277"/>
      <c r="M33583" s="277"/>
      <c r="O33583" s="247"/>
      <c r="AC33583" s="247"/>
      <c r="AT33583" s="247"/>
    </row>
    <row r="33584">
      <c r="C33584" s="277"/>
      <c r="M33584" s="277"/>
      <c r="O33584" s="247"/>
      <c r="AC33584" s="247"/>
      <c r="AT33584" s="247"/>
    </row>
    <row r="33585">
      <c r="C33585" s="277"/>
      <c r="M33585" s="277"/>
      <c r="O33585" s="247"/>
      <c r="AC33585" s="247"/>
      <c r="AT33585" s="247"/>
    </row>
    <row r="33586">
      <c r="C33586" s="277"/>
      <c r="M33586" s="277"/>
      <c r="O33586" s="247"/>
      <c r="AC33586" s="247"/>
      <c r="AT33586" s="247"/>
    </row>
    <row r="33587">
      <c r="C33587" s="277"/>
      <c r="M33587" s="277"/>
      <c r="O33587" s="247"/>
      <c r="AC33587" s="247"/>
      <c r="AT33587" s="247"/>
    </row>
    <row r="33588">
      <c r="C33588" s="277"/>
      <c r="M33588" s="277"/>
      <c r="O33588" s="247"/>
      <c r="AC33588" s="247"/>
      <c r="AT33588" s="247"/>
    </row>
    <row r="33589">
      <c r="C33589" s="277"/>
      <c r="M33589" s="277"/>
      <c r="O33589" s="247"/>
      <c r="AC33589" s="247"/>
      <c r="AT33589" s="247"/>
    </row>
    <row r="33590">
      <c r="C33590" s="277"/>
      <c r="M33590" s="277"/>
      <c r="O33590" s="247"/>
      <c r="AC33590" s="247"/>
      <c r="AT33590" s="247"/>
    </row>
    <row r="33591">
      <c r="C33591" s="277"/>
      <c r="M33591" s="277"/>
      <c r="O33591" s="247"/>
      <c r="AC33591" s="247"/>
      <c r="AT33591" s="247"/>
    </row>
    <row r="33592">
      <c r="C33592" s="277"/>
      <c r="M33592" s="277"/>
      <c r="O33592" s="247"/>
      <c r="AC33592" s="247"/>
      <c r="AT33592" s="247"/>
    </row>
    <row r="33593">
      <c r="C33593" s="277"/>
      <c r="M33593" s="277"/>
      <c r="O33593" s="247"/>
      <c r="AC33593" s="247"/>
      <c r="AT33593" s="247"/>
    </row>
    <row r="33594">
      <c r="C33594" s="277"/>
      <c r="M33594" s="277"/>
      <c r="O33594" s="247"/>
      <c r="AC33594" s="247"/>
      <c r="AT33594" s="247"/>
    </row>
    <row r="33595">
      <c r="C33595" s="277"/>
      <c r="M33595" s="277"/>
      <c r="O33595" s="247"/>
      <c r="AC33595" s="247"/>
      <c r="AT33595" s="247"/>
    </row>
    <row r="33596">
      <c r="C33596" s="277"/>
      <c r="M33596" s="277"/>
      <c r="O33596" s="247"/>
      <c r="AC33596" s="247"/>
      <c r="AT33596" s="247"/>
    </row>
    <row r="33597">
      <c r="C33597" s="277"/>
      <c r="M33597" s="277"/>
      <c r="O33597" s="247"/>
      <c r="AC33597" s="247"/>
      <c r="AT33597" s="247"/>
    </row>
    <row r="33598">
      <c r="C33598" s="277"/>
      <c r="M33598" s="277"/>
      <c r="O33598" s="247"/>
      <c r="AC33598" s="247"/>
      <c r="AT33598" s="247"/>
    </row>
    <row r="33599">
      <c r="C33599" s="277"/>
      <c r="M33599" s="277"/>
      <c r="O33599" s="247"/>
      <c r="AC33599" s="247"/>
      <c r="AT33599" s="247"/>
    </row>
    <row r="33600">
      <c r="C33600" s="277"/>
      <c r="M33600" s="277"/>
      <c r="O33600" s="247"/>
      <c r="AC33600" s="247"/>
      <c r="AT33600" s="247"/>
    </row>
    <row r="33601">
      <c r="C33601" s="277"/>
      <c r="M33601" s="277"/>
      <c r="O33601" s="247"/>
      <c r="AC33601" s="247"/>
      <c r="AT33601" s="247"/>
    </row>
    <row r="33602">
      <c r="C33602" s="277"/>
      <c r="M33602" s="277"/>
      <c r="O33602" s="247"/>
      <c r="AC33602" s="247"/>
      <c r="AT33602" s="247"/>
    </row>
    <row r="33603">
      <c r="C33603" s="277"/>
      <c r="M33603" s="277"/>
      <c r="O33603" s="247"/>
      <c r="AC33603" s="247"/>
      <c r="AT33603" s="247"/>
    </row>
    <row r="33604">
      <c r="C33604" s="277"/>
      <c r="M33604" s="277"/>
      <c r="O33604" s="247"/>
      <c r="AC33604" s="247"/>
      <c r="AT33604" s="247"/>
    </row>
    <row r="33605">
      <c r="C33605" s="277"/>
      <c r="M33605" s="277"/>
      <c r="O33605" s="247"/>
      <c r="AC33605" s="247"/>
      <c r="AT33605" s="247"/>
    </row>
    <row r="33606">
      <c r="C33606" s="277"/>
      <c r="M33606" s="277"/>
      <c r="O33606" s="247"/>
      <c r="AC33606" s="247"/>
      <c r="AT33606" s="247"/>
    </row>
    <row r="33607">
      <c r="C33607" s="277"/>
      <c r="M33607" s="277"/>
      <c r="O33607" s="247"/>
      <c r="AC33607" s="247"/>
      <c r="AT33607" s="247"/>
    </row>
    <row r="33608">
      <c r="C33608" s="277"/>
      <c r="M33608" s="277"/>
      <c r="O33608" s="247"/>
      <c r="AC33608" s="247"/>
      <c r="AT33608" s="247"/>
    </row>
    <row r="33609">
      <c r="C33609" s="277"/>
      <c r="M33609" s="277"/>
      <c r="O33609" s="247"/>
      <c r="AC33609" s="247"/>
      <c r="AT33609" s="247"/>
    </row>
    <row r="33610">
      <c r="C33610" s="277"/>
      <c r="M33610" s="277"/>
      <c r="O33610" s="247"/>
      <c r="AC33610" s="247"/>
      <c r="AT33610" s="247"/>
    </row>
    <row r="33611">
      <c r="C33611" s="277"/>
      <c r="M33611" s="277"/>
      <c r="O33611" s="247"/>
      <c r="AC33611" s="247"/>
      <c r="AT33611" s="247"/>
    </row>
    <row r="33612">
      <c r="C33612" s="277"/>
      <c r="M33612" s="277"/>
      <c r="O33612" s="247"/>
      <c r="AC33612" s="247"/>
      <c r="AT33612" s="247"/>
    </row>
    <row r="33613">
      <c r="C33613" s="277"/>
      <c r="M33613" s="277"/>
      <c r="O33613" s="247"/>
      <c r="AC33613" s="247"/>
      <c r="AT33613" s="247"/>
    </row>
    <row r="33614">
      <c r="C33614" s="277"/>
      <c r="M33614" s="277"/>
      <c r="O33614" s="247"/>
      <c r="AC33614" s="247"/>
      <c r="AT33614" s="247"/>
    </row>
    <row r="33615">
      <c r="C33615" s="277"/>
      <c r="M33615" s="277"/>
      <c r="O33615" s="247"/>
      <c r="AC33615" s="247"/>
      <c r="AT33615" s="247"/>
    </row>
    <row r="33616">
      <c r="C33616" s="277"/>
      <c r="M33616" s="277"/>
      <c r="O33616" s="247"/>
      <c r="AC33616" s="247"/>
      <c r="AT33616" s="247"/>
    </row>
    <row r="33617">
      <c r="C33617" s="277"/>
      <c r="M33617" s="277"/>
      <c r="O33617" s="247"/>
      <c r="AC33617" s="247"/>
      <c r="AT33617" s="247"/>
    </row>
    <row r="33618">
      <c r="C33618" s="277"/>
      <c r="M33618" s="277"/>
      <c r="O33618" s="247"/>
      <c r="AC33618" s="247"/>
      <c r="AT33618" s="247"/>
    </row>
    <row r="33619">
      <c r="C33619" s="277"/>
      <c r="M33619" s="277"/>
      <c r="O33619" s="247"/>
      <c r="AC33619" s="247"/>
      <c r="AT33619" s="247"/>
    </row>
    <row r="33620">
      <c r="C33620" s="277"/>
      <c r="M33620" s="277"/>
      <c r="O33620" s="247"/>
      <c r="AC33620" s="247"/>
      <c r="AT33620" s="247"/>
    </row>
    <row r="33621">
      <c r="C33621" s="277"/>
      <c r="M33621" s="277"/>
      <c r="O33621" s="247"/>
      <c r="AC33621" s="247"/>
      <c r="AT33621" s="247"/>
    </row>
    <row r="33622">
      <c r="C33622" s="277"/>
      <c r="M33622" s="277"/>
      <c r="O33622" s="247"/>
      <c r="AC33622" s="247"/>
      <c r="AT33622" s="247"/>
    </row>
    <row r="33623">
      <c r="C33623" s="277"/>
      <c r="M33623" s="277"/>
      <c r="O33623" s="247"/>
      <c r="AC33623" s="247"/>
      <c r="AT33623" s="247"/>
    </row>
    <row r="33624">
      <c r="C33624" s="277"/>
      <c r="M33624" s="277"/>
      <c r="O33624" s="247"/>
      <c r="AC33624" s="247"/>
      <c r="AT33624" s="247"/>
    </row>
    <row r="33625">
      <c r="C33625" s="277"/>
      <c r="M33625" s="277"/>
      <c r="O33625" s="247"/>
      <c r="AC33625" s="247"/>
      <c r="AT33625" s="247"/>
    </row>
    <row r="33626">
      <c r="C33626" s="277"/>
      <c r="M33626" s="277"/>
      <c r="O33626" s="247"/>
      <c r="AC33626" s="247"/>
      <c r="AT33626" s="247"/>
    </row>
    <row r="33627">
      <c r="C33627" s="277"/>
      <c r="M33627" s="277"/>
      <c r="O33627" s="247"/>
      <c r="AC33627" s="247"/>
      <c r="AT33627" s="247"/>
    </row>
    <row r="33628">
      <c r="C33628" s="277"/>
      <c r="M33628" s="277"/>
      <c r="O33628" s="247"/>
      <c r="AC33628" s="247"/>
      <c r="AT33628" s="247"/>
    </row>
    <row r="33629">
      <c r="C33629" s="277"/>
      <c r="M33629" s="277"/>
      <c r="O33629" s="247"/>
      <c r="AC33629" s="247"/>
      <c r="AT33629" s="247"/>
    </row>
    <row r="33630">
      <c r="C33630" s="277"/>
      <c r="M33630" s="277"/>
      <c r="O33630" s="247"/>
      <c r="AC33630" s="247"/>
      <c r="AT33630" s="247"/>
    </row>
    <row r="33631">
      <c r="C33631" s="277"/>
      <c r="M33631" s="277"/>
      <c r="O33631" s="247"/>
      <c r="AC33631" s="247"/>
      <c r="AT33631" s="247"/>
    </row>
    <row r="33632">
      <c r="C33632" s="277"/>
      <c r="M33632" s="277"/>
      <c r="O33632" s="247"/>
      <c r="AC33632" s="247"/>
      <c r="AT33632" s="247"/>
    </row>
    <row r="33633">
      <c r="C33633" s="277"/>
      <c r="M33633" s="277"/>
      <c r="O33633" s="247"/>
      <c r="AC33633" s="247"/>
      <c r="AT33633" s="247"/>
    </row>
    <row r="33634">
      <c r="C33634" s="277"/>
      <c r="M33634" s="277"/>
      <c r="O33634" s="247"/>
      <c r="AC33634" s="247"/>
      <c r="AT33634" s="247"/>
    </row>
    <row r="33635">
      <c r="C33635" s="277"/>
      <c r="M33635" s="277"/>
      <c r="O33635" s="247"/>
      <c r="AC33635" s="247"/>
      <c r="AT33635" s="247"/>
    </row>
    <row r="33636">
      <c r="C33636" s="277"/>
      <c r="M33636" s="277"/>
      <c r="O33636" s="247"/>
      <c r="AC33636" s="247"/>
      <c r="AT33636" s="247"/>
    </row>
    <row r="33637">
      <c r="C33637" s="277"/>
      <c r="M33637" s="277"/>
      <c r="O33637" s="247"/>
      <c r="AC33637" s="247"/>
      <c r="AT33637" s="247"/>
    </row>
    <row r="33638">
      <c r="C33638" s="277"/>
      <c r="M33638" s="277"/>
      <c r="O33638" s="247"/>
      <c r="AC33638" s="247"/>
      <c r="AT33638" s="247"/>
    </row>
    <row r="33639">
      <c r="C33639" s="277"/>
      <c r="M33639" s="277"/>
      <c r="O33639" s="247"/>
      <c r="AC33639" s="247"/>
      <c r="AT33639" s="247"/>
    </row>
    <row r="33640">
      <c r="C33640" s="277"/>
      <c r="M33640" s="277"/>
      <c r="O33640" s="247"/>
      <c r="AC33640" s="247"/>
      <c r="AT33640" s="247"/>
    </row>
    <row r="33641">
      <c r="C33641" s="277"/>
      <c r="M33641" s="277"/>
      <c r="O33641" s="247"/>
      <c r="AC33641" s="247"/>
      <c r="AT33641" s="247"/>
    </row>
    <row r="33642">
      <c r="C33642" s="277"/>
      <c r="M33642" s="277"/>
      <c r="O33642" s="247"/>
      <c r="AC33642" s="247"/>
      <c r="AT33642" s="247"/>
    </row>
    <row r="33643">
      <c r="C33643" s="277"/>
      <c r="M33643" s="277"/>
      <c r="O33643" s="247"/>
      <c r="AC33643" s="247"/>
      <c r="AT33643" s="247"/>
    </row>
    <row r="33644">
      <c r="C33644" s="277"/>
      <c r="M33644" s="277"/>
      <c r="O33644" s="247"/>
      <c r="AC33644" s="247"/>
      <c r="AT33644" s="247"/>
    </row>
    <row r="33645">
      <c r="C33645" s="277"/>
      <c r="M33645" s="277"/>
      <c r="O33645" s="247"/>
      <c r="AC33645" s="247"/>
      <c r="AT33645" s="247"/>
    </row>
    <row r="33646">
      <c r="C33646" s="277"/>
      <c r="M33646" s="277"/>
      <c r="O33646" s="247"/>
      <c r="AC33646" s="247"/>
      <c r="AT33646" s="247"/>
    </row>
    <row r="33647">
      <c r="C33647" s="277"/>
      <c r="M33647" s="277"/>
      <c r="O33647" s="247"/>
      <c r="AC33647" s="247"/>
      <c r="AT33647" s="247"/>
    </row>
    <row r="33648">
      <c r="C33648" s="277"/>
      <c r="M33648" s="277"/>
      <c r="O33648" s="247"/>
      <c r="AC33648" s="247"/>
      <c r="AT33648" s="247"/>
    </row>
    <row r="33649">
      <c r="C33649" s="277"/>
      <c r="M33649" s="277"/>
      <c r="O33649" s="247"/>
      <c r="AC33649" s="247"/>
      <c r="AT33649" s="247"/>
    </row>
    <row r="33650">
      <c r="C33650" s="277"/>
      <c r="M33650" s="277"/>
      <c r="O33650" s="247"/>
      <c r="AC33650" s="247"/>
      <c r="AT33650" s="247"/>
    </row>
    <row r="33651">
      <c r="C33651" s="277"/>
      <c r="M33651" s="277"/>
      <c r="O33651" s="247"/>
      <c r="AC33651" s="247"/>
      <c r="AT33651" s="247"/>
    </row>
    <row r="33652">
      <c r="C33652" s="277"/>
      <c r="M33652" s="277"/>
      <c r="O33652" s="247"/>
      <c r="AC33652" s="247"/>
      <c r="AT33652" s="247"/>
    </row>
    <row r="33653">
      <c r="C33653" s="277"/>
      <c r="M33653" s="277"/>
      <c r="O33653" s="247"/>
      <c r="AC33653" s="247"/>
      <c r="AT33653" s="247"/>
    </row>
    <row r="33654">
      <c r="C33654" s="277"/>
      <c r="M33654" s="277"/>
      <c r="O33654" s="247"/>
      <c r="AC33654" s="247"/>
      <c r="AT33654" s="247"/>
    </row>
    <row r="33655">
      <c r="C33655" s="277"/>
      <c r="M33655" s="277"/>
      <c r="O33655" s="247"/>
      <c r="AC33655" s="247"/>
      <c r="AT33655" s="247"/>
    </row>
    <row r="33656">
      <c r="C33656" s="277"/>
      <c r="M33656" s="277"/>
      <c r="O33656" s="247"/>
      <c r="AC33656" s="247"/>
      <c r="AT33656" s="247"/>
    </row>
    <row r="33657">
      <c r="C33657" s="277"/>
      <c r="M33657" s="277"/>
      <c r="O33657" s="247"/>
      <c r="AC33657" s="247"/>
      <c r="AT33657" s="247"/>
    </row>
    <row r="33658">
      <c r="C33658" s="277"/>
      <c r="M33658" s="277"/>
      <c r="O33658" s="247"/>
      <c r="AC33658" s="247"/>
      <c r="AT33658" s="247"/>
    </row>
    <row r="33659">
      <c r="C33659" s="277"/>
      <c r="M33659" s="277"/>
      <c r="O33659" s="247"/>
      <c r="AC33659" s="247"/>
      <c r="AT33659" s="247"/>
    </row>
    <row r="33660">
      <c r="C33660" s="277"/>
      <c r="M33660" s="277"/>
      <c r="O33660" s="247"/>
      <c r="AC33660" s="247"/>
      <c r="AT33660" s="247"/>
    </row>
    <row r="33661">
      <c r="C33661" s="277"/>
      <c r="M33661" s="277"/>
      <c r="O33661" s="247"/>
      <c r="AC33661" s="247"/>
      <c r="AT33661" s="247"/>
    </row>
    <row r="33662">
      <c r="C33662" s="277"/>
      <c r="M33662" s="277"/>
      <c r="O33662" s="247"/>
      <c r="AC33662" s="247"/>
      <c r="AT33662" s="247"/>
    </row>
    <row r="33663">
      <c r="C33663" s="277"/>
      <c r="M33663" s="277"/>
      <c r="O33663" s="247"/>
      <c r="AC33663" s="247"/>
      <c r="AT33663" s="247"/>
    </row>
    <row r="33664">
      <c r="C33664" s="277"/>
      <c r="M33664" s="277"/>
      <c r="O33664" s="247"/>
      <c r="AC33664" s="247"/>
      <c r="AT33664" s="247"/>
    </row>
    <row r="33665">
      <c r="C33665" s="277"/>
      <c r="M33665" s="277"/>
      <c r="O33665" s="247"/>
      <c r="AC33665" s="247"/>
      <c r="AT33665" s="247"/>
    </row>
    <row r="33666">
      <c r="C33666" s="277"/>
      <c r="M33666" s="277"/>
      <c r="O33666" s="247"/>
      <c r="AC33666" s="247"/>
      <c r="AT33666" s="247"/>
    </row>
    <row r="33667">
      <c r="C33667" s="277"/>
      <c r="M33667" s="277"/>
      <c r="O33667" s="247"/>
      <c r="AC33667" s="247"/>
      <c r="AT33667" s="247"/>
    </row>
    <row r="33668">
      <c r="C33668" s="277"/>
      <c r="M33668" s="277"/>
      <c r="O33668" s="247"/>
      <c r="AC33668" s="247"/>
      <c r="AT33668" s="247"/>
    </row>
    <row r="33669">
      <c r="C33669" s="277"/>
      <c r="M33669" s="277"/>
      <c r="O33669" s="247"/>
      <c r="AC33669" s="247"/>
      <c r="AT33669" s="247"/>
    </row>
    <row r="33670">
      <c r="C33670" s="277"/>
      <c r="M33670" s="277"/>
      <c r="O33670" s="247"/>
      <c r="AC33670" s="247"/>
      <c r="AT33670" s="247"/>
    </row>
    <row r="33671">
      <c r="C33671" s="277"/>
      <c r="M33671" s="277"/>
      <c r="O33671" s="247"/>
      <c r="AC33671" s="247"/>
      <c r="AT33671" s="247"/>
    </row>
    <row r="33672">
      <c r="C33672" s="277"/>
      <c r="M33672" s="277"/>
      <c r="O33672" s="247"/>
      <c r="AC33672" s="247"/>
      <c r="AT33672" s="247"/>
    </row>
    <row r="33673">
      <c r="C33673" s="277"/>
      <c r="M33673" s="277"/>
      <c r="O33673" s="247"/>
      <c r="AC33673" s="247"/>
      <c r="AT33673" s="247"/>
    </row>
    <row r="33674">
      <c r="C33674" s="277"/>
      <c r="M33674" s="277"/>
      <c r="O33674" s="247"/>
      <c r="AC33674" s="247"/>
      <c r="AT33674" s="247"/>
    </row>
    <row r="33675">
      <c r="C33675" s="277"/>
      <c r="M33675" s="277"/>
      <c r="O33675" s="247"/>
      <c r="AC33675" s="247"/>
      <c r="AT33675" s="247"/>
    </row>
    <row r="33676">
      <c r="C33676" s="277"/>
      <c r="M33676" s="277"/>
      <c r="O33676" s="247"/>
      <c r="AC33676" s="247"/>
      <c r="AT33676" s="247"/>
    </row>
    <row r="33677">
      <c r="C33677" s="277"/>
      <c r="M33677" s="277"/>
      <c r="O33677" s="247"/>
      <c r="AC33677" s="247"/>
      <c r="AT33677" s="247"/>
    </row>
    <row r="33678">
      <c r="C33678" s="277"/>
      <c r="M33678" s="277"/>
      <c r="O33678" s="247"/>
      <c r="AC33678" s="247"/>
      <c r="AT33678" s="247"/>
    </row>
    <row r="33679">
      <c r="C33679" s="277"/>
      <c r="M33679" s="277"/>
      <c r="O33679" s="247"/>
      <c r="AC33679" s="247"/>
      <c r="AT33679" s="247"/>
    </row>
    <row r="33680">
      <c r="C33680" s="277"/>
      <c r="M33680" s="277"/>
      <c r="O33680" s="247"/>
      <c r="AC33680" s="247"/>
      <c r="AT33680" s="247"/>
    </row>
    <row r="33681">
      <c r="C33681" s="277"/>
      <c r="M33681" s="277"/>
      <c r="O33681" s="247"/>
      <c r="AC33681" s="247"/>
      <c r="AT33681" s="247"/>
    </row>
    <row r="33682">
      <c r="C33682" s="277"/>
      <c r="M33682" s="277"/>
      <c r="O33682" s="247"/>
      <c r="AC33682" s="247"/>
      <c r="AT33682" s="247"/>
    </row>
    <row r="33683">
      <c r="C33683" s="277"/>
      <c r="M33683" s="277"/>
      <c r="O33683" s="247"/>
      <c r="AC33683" s="247"/>
      <c r="AT33683" s="247"/>
    </row>
    <row r="33684">
      <c r="C33684" s="277"/>
      <c r="M33684" s="277"/>
      <c r="O33684" s="247"/>
      <c r="AC33684" s="247"/>
      <c r="AT33684" s="247"/>
    </row>
    <row r="33685">
      <c r="C33685" s="277"/>
      <c r="M33685" s="277"/>
      <c r="O33685" s="247"/>
      <c r="AC33685" s="247"/>
      <c r="AT33685" s="247"/>
    </row>
    <row r="33686">
      <c r="C33686" s="277"/>
      <c r="M33686" s="277"/>
      <c r="O33686" s="247"/>
      <c r="AC33686" s="247"/>
      <c r="AT33686" s="247"/>
    </row>
    <row r="33687">
      <c r="C33687" s="277"/>
      <c r="M33687" s="277"/>
      <c r="O33687" s="247"/>
      <c r="AC33687" s="247"/>
      <c r="AT33687" s="247"/>
    </row>
    <row r="33688">
      <c r="C33688" s="277"/>
      <c r="M33688" s="277"/>
      <c r="O33688" s="247"/>
      <c r="AC33688" s="247"/>
      <c r="AT33688" s="247"/>
    </row>
    <row r="33689">
      <c r="C33689" s="277"/>
      <c r="M33689" s="277"/>
      <c r="O33689" s="247"/>
      <c r="AC33689" s="247"/>
      <c r="AT33689" s="247"/>
    </row>
    <row r="33690">
      <c r="C33690" s="277"/>
      <c r="M33690" s="277"/>
      <c r="O33690" s="247"/>
      <c r="AC33690" s="247"/>
      <c r="AT33690" s="247"/>
    </row>
    <row r="33691">
      <c r="C33691" s="277"/>
      <c r="M33691" s="277"/>
      <c r="O33691" s="247"/>
      <c r="AC33691" s="247"/>
      <c r="AT33691" s="247"/>
    </row>
    <row r="33692">
      <c r="C33692" s="277"/>
      <c r="M33692" s="277"/>
      <c r="O33692" s="247"/>
      <c r="AC33692" s="247"/>
      <c r="AT33692" s="247"/>
    </row>
    <row r="33693">
      <c r="C33693" s="277"/>
      <c r="M33693" s="277"/>
      <c r="O33693" s="247"/>
      <c r="AC33693" s="247"/>
      <c r="AT33693" s="247"/>
    </row>
    <row r="33694">
      <c r="C33694" s="277"/>
      <c r="M33694" s="277"/>
      <c r="O33694" s="247"/>
      <c r="AC33694" s="247"/>
      <c r="AT33694" s="247"/>
    </row>
    <row r="33695">
      <c r="C33695" s="277"/>
      <c r="M33695" s="277"/>
      <c r="O33695" s="247"/>
      <c r="AC33695" s="247"/>
      <c r="AT33695" s="247"/>
    </row>
    <row r="33696">
      <c r="C33696" s="277"/>
      <c r="M33696" s="277"/>
      <c r="O33696" s="247"/>
      <c r="AC33696" s="247"/>
      <c r="AT33696" s="247"/>
    </row>
    <row r="33697">
      <c r="C33697" s="277"/>
      <c r="M33697" s="277"/>
      <c r="O33697" s="247"/>
      <c r="AC33697" s="247"/>
      <c r="AT33697" s="247"/>
    </row>
    <row r="33698">
      <c r="C33698" s="277"/>
      <c r="M33698" s="277"/>
      <c r="O33698" s="247"/>
      <c r="AC33698" s="247"/>
      <c r="AT33698" s="247"/>
    </row>
    <row r="33699">
      <c r="C33699" s="277"/>
      <c r="M33699" s="277"/>
      <c r="O33699" s="247"/>
      <c r="AC33699" s="247"/>
      <c r="AT33699" s="247"/>
    </row>
    <row r="33700">
      <c r="C33700" s="277"/>
      <c r="M33700" s="277"/>
      <c r="O33700" s="247"/>
      <c r="AC33700" s="247"/>
      <c r="AT33700" s="247"/>
    </row>
    <row r="33701">
      <c r="C33701" s="277"/>
      <c r="M33701" s="277"/>
      <c r="O33701" s="247"/>
      <c r="AC33701" s="247"/>
      <c r="AT33701" s="247"/>
    </row>
    <row r="33702">
      <c r="C33702" s="277"/>
      <c r="M33702" s="277"/>
      <c r="O33702" s="247"/>
      <c r="AC33702" s="247"/>
      <c r="AT33702" s="247"/>
    </row>
    <row r="33703">
      <c r="C33703" s="277"/>
      <c r="M33703" s="277"/>
      <c r="O33703" s="247"/>
      <c r="AC33703" s="247"/>
      <c r="AT33703" s="247"/>
    </row>
    <row r="33704">
      <c r="C33704" s="277"/>
      <c r="M33704" s="277"/>
      <c r="O33704" s="247"/>
      <c r="AC33704" s="247"/>
      <c r="AT33704" s="247"/>
    </row>
    <row r="33705">
      <c r="C33705" s="277"/>
      <c r="M33705" s="277"/>
      <c r="O33705" s="247"/>
      <c r="AC33705" s="247"/>
      <c r="AT33705" s="247"/>
    </row>
    <row r="33706">
      <c r="C33706" s="277"/>
      <c r="M33706" s="277"/>
      <c r="O33706" s="247"/>
      <c r="AC33706" s="247"/>
      <c r="AT33706" s="247"/>
    </row>
    <row r="33707">
      <c r="C33707" s="277"/>
      <c r="M33707" s="277"/>
      <c r="O33707" s="247"/>
      <c r="AC33707" s="247"/>
      <c r="AT33707" s="247"/>
    </row>
    <row r="33708">
      <c r="C33708" s="277"/>
      <c r="M33708" s="277"/>
      <c r="O33708" s="247"/>
      <c r="AC33708" s="247"/>
      <c r="AT33708" s="247"/>
    </row>
    <row r="33709">
      <c r="C33709" s="277"/>
      <c r="M33709" s="277"/>
      <c r="O33709" s="247"/>
      <c r="AC33709" s="247"/>
      <c r="AT33709" s="247"/>
    </row>
    <row r="33710">
      <c r="C33710" s="277"/>
      <c r="M33710" s="277"/>
      <c r="O33710" s="247"/>
      <c r="AC33710" s="247"/>
      <c r="AT33710" s="247"/>
    </row>
    <row r="33711">
      <c r="C33711" s="277"/>
      <c r="M33711" s="277"/>
      <c r="O33711" s="247"/>
      <c r="AC33711" s="247"/>
      <c r="AT33711" s="247"/>
    </row>
    <row r="33712">
      <c r="C33712" s="277"/>
      <c r="M33712" s="277"/>
      <c r="O33712" s="247"/>
      <c r="AC33712" s="247"/>
      <c r="AT33712" s="247"/>
    </row>
    <row r="33713">
      <c r="C33713" s="277"/>
      <c r="M33713" s="277"/>
      <c r="O33713" s="247"/>
      <c r="AC33713" s="247"/>
      <c r="AT33713" s="247"/>
    </row>
    <row r="33714">
      <c r="C33714" s="277"/>
      <c r="M33714" s="277"/>
      <c r="O33714" s="247"/>
      <c r="AC33714" s="247"/>
      <c r="AT33714" s="247"/>
    </row>
    <row r="33715">
      <c r="C33715" s="277"/>
      <c r="M33715" s="277"/>
      <c r="O33715" s="247"/>
      <c r="AC33715" s="247"/>
      <c r="AT33715" s="247"/>
    </row>
    <row r="33716">
      <c r="C33716" s="277"/>
      <c r="M33716" s="277"/>
      <c r="O33716" s="247"/>
      <c r="AC33716" s="247"/>
      <c r="AT33716" s="247"/>
    </row>
    <row r="33717">
      <c r="C33717" s="277"/>
      <c r="M33717" s="277"/>
      <c r="O33717" s="247"/>
      <c r="AC33717" s="247"/>
      <c r="AT33717" s="247"/>
    </row>
    <row r="33718">
      <c r="C33718" s="277"/>
      <c r="M33718" s="277"/>
      <c r="O33718" s="247"/>
      <c r="AC33718" s="247"/>
      <c r="AT33718" s="247"/>
    </row>
    <row r="33719">
      <c r="C33719" s="277"/>
      <c r="M33719" s="277"/>
      <c r="O33719" s="247"/>
      <c r="AC33719" s="247"/>
      <c r="AT33719" s="247"/>
    </row>
    <row r="33720">
      <c r="C33720" s="277"/>
      <c r="M33720" s="277"/>
      <c r="O33720" s="247"/>
      <c r="AC33720" s="247"/>
      <c r="AT33720" s="247"/>
    </row>
    <row r="33721">
      <c r="C33721" s="277"/>
      <c r="M33721" s="277"/>
      <c r="O33721" s="247"/>
      <c r="AC33721" s="247"/>
      <c r="AT33721" s="247"/>
    </row>
    <row r="33722">
      <c r="C33722" s="277"/>
      <c r="M33722" s="277"/>
      <c r="O33722" s="247"/>
      <c r="AC33722" s="247"/>
      <c r="AT33722" s="247"/>
    </row>
    <row r="33723">
      <c r="C33723" s="277"/>
      <c r="M33723" s="277"/>
      <c r="O33723" s="247"/>
      <c r="AC33723" s="247"/>
      <c r="AT33723" s="247"/>
    </row>
    <row r="33724">
      <c r="C33724" s="277"/>
      <c r="M33724" s="277"/>
      <c r="O33724" s="247"/>
      <c r="AC33724" s="247"/>
      <c r="AT33724" s="247"/>
    </row>
    <row r="33725">
      <c r="C33725" s="277"/>
      <c r="M33725" s="277"/>
      <c r="O33725" s="247"/>
      <c r="AC33725" s="247"/>
      <c r="AT33725" s="247"/>
    </row>
    <row r="33726">
      <c r="C33726" s="277"/>
      <c r="M33726" s="277"/>
      <c r="O33726" s="247"/>
      <c r="AC33726" s="247"/>
      <c r="AT33726" s="247"/>
    </row>
    <row r="33727">
      <c r="C33727" s="277"/>
      <c r="M33727" s="277"/>
      <c r="O33727" s="247"/>
      <c r="AC33727" s="247"/>
      <c r="AT33727" s="247"/>
    </row>
    <row r="33728">
      <c r="C33728" s="277"/>
      <c r="M33728" s="277"/>
      <c r="O33728" s="247"/>
      <c r="AC33728" s="247"/>
      <c r="AT33728" s="247"/>
    </row>
    <row r="33729">
      <c r="C33729" s="277"/>
      <c r="M33729" s="277"/>
      <c r="O33729" s="247"/>
      <c r="AC33729" s="247"/>
      <c r="AT33729" s="247"/>
    </row>
    <row r="33730">
      <c r="C33730" s="277"/>
      <c r="M33730" s="277"/>
      <c r="O33730" s="247"/>
      <c r="AC33730" s="247"/>
      <c r="AT33730" s="247"/>
    </row>
    <row r="33731">
      <c r="C33731" s="277"/>
      <c r="M33731" s="277"/>
      <c r="O33731" s="247"/>
      <c r="AC33731" s="247"/>
      <c r="AT33731" s="247"/>
    </row>
    <row r="33732">
      <c r="C33732" s="277"/>
      <c r="M33732" s="277"/>
      <c r="O33732" s="247"/>
      <c r="AC33732" s="247"/>
      <c r="AT33732" s="247"/>
    </row>
    <row r="33733">
      <c r="C33733" s="277"/>
      <c r="M33733" s="277"/>
      <c r="O33733" s="247"/>
      <c r="AC33733" s="247"/>
      <c r="AT33733" s="247"/>
    </row>
    <row r="33734">
      <c r="C33734" s="277"/>
      <c r="M33734" s="277"/>
      <c r="O33734" s="247"/>
      <c r="AC33734" s="247"/>
      <c r="AT33734" s="247"/>
    </row>
    <row r="33735">
      <c r="C33735" s="277"/>
      <c r="M33735" s="277"/>
      <c r="O33735" s="247"/>
      <c r="AC33735" s="247"/>
      <c r="AT33735" s="247"/>
    </row>
    <row r="33736">
      <c r="C33736" s="277"/>
      <c r="M33736" s="277"/>
      <c r="O33736" s="247"/>
      <c r="AC33736" s="247"/>
      <c r="AT33736" s="247"/>
    </row>
    <row r="33737">
      <c r="C33737" s="277"/>
      <c r="M33737" s="277"/>
      <c r="O33737" s="247"/>
      <c r="AC33737" s="247"/>
      <c r="AT33737" s="247"/>
    </row>
    <row r="33738">
      <c r="C33738" s="277"/>
      <c r="M33738" s="277"/>
      <c r="O33738" s="247"/>
      <c r="AC33738" s="247"/>
      <c r="AT33738" s="247"/>
    </row>
    <row r="33739">
      <c r="C33739" s="277"/>
      <c r="M33739" s="277"/>
      <c r="O33739" s="247"/>
      <c r="AC33739" s="247"/>
      <c r="AT33739" s="247"/>
    </row>
    <row r="33740">
      <c r="C33740" s="277"/>
      <c r="M33740" s="277"/>
      <c r="O33740" s="247"/>
      <c r="AC33740" s="247"/>
      <c r="AT33740" s="247"/>
    </row>
    <row r="33741">
      <c r="C33741" s="277"/>
      <c r="M33741" s="277"/>
      <c r="O33741" s="247"/>
      <c r="AC33741" s="247"/>
      <c r="AT33741" s="247"/>
    </row>
    <row r="33742">
      <c r="C33742" s="277"/>
      <c r="M33742" s="277"/>
      <c r="O33742" s="247"/>
      <c r="AC33742" s="247"/>
      <c r="AT33742" s="247"/>
    </row>
    <row r="33743">
      <c r="C33743" s="277"/>
      <c r="M33743" s="277"/>
      <c r="O33743" s="247"/>
      <c r="AC33743" s="247"/>
      <c r="AT33743" s="247"/>
    </row>
    <row r="33744">
      <c r="C33744" s="277"/>
      <c r="M33744" s="277"/>
      <c r="O33744" s="247"/>
      <c r="AC33744" s="247"/>
      <c r="AT33744" s="247"/>
    </row>
    <row r="33745">
      <c r="C33745" s="277"/>
      <c r="M33745" s="277"/>
      <c r="O33745" s="247"/>
      <c r="AC33745" s="247"/>
      <c r="AT33745" s="247"/>
    </row>
    <row r="33746">
      <c r="C33746" s="277"/>
      <c r="M33746" s="277"/>
      <c r="O33746" s="247"/>
      <c r="AC33746" s="247"/>
      <c r="AT33746" s="247"/>
    </row>
    <row r="33747">
      <c r="C33747" s="277"/>
      <c r="M33747" s="277"/>
      <c r="O33747" s="247"/>
      <c r="AC33747" s="247"/>
      <c r="AT33747" s="247"/>
    </row>
    <row r="33748">
      <c r="C33748" s="277"/>
      <c r="M33748" s="277"/>
      <c r="O33748" s="247"/>
      <c r="AC33748" s="247"/>
      <c r="AT33748" s="247"/>
    </row>
    <row r="33749">
      <c r="C33749" s="277"/>
      <c r="M33749" s="277"/>
      <c r="O33749" s="247"/>
      <c r="AC33749" s="247"/>
      <c r="AT33749" s="247"/>
    </row>
    <row r="33750">
      <c r="C33750" s="277"/>
      <c r="M33750" s="277"/>
      <c r="O33750" s="247"/>
      <c r="AC33750" s="247"/>
      <c r="AT33750" s="247"/>
    </row>
    <row r="33751">
      <c r="C33751" s="277"/>
      <c r="M33751" s="277"/>
      <c r="O33751" s="247"/>
      <c r="AC33751" s="247"/>
      <c r="AT33751" s="247"/>
    </row>
    <row r="33752">
      <c r="C33752" s="277"/>
      <c r="M33752" s="277"/>
      <c r="O33752" s="247"/>
      <c r="AC33752" s="247"/>
      <c r="AT33752" s="247"/>
    </row>
    <row r="33753">
      <c r="C33753" s="277"/>
      <c r="M33753" s="277"/>
      <c r="O33753" s="247"/>
      <c r="AC33753" s="247"/>
      <c r="AT33753" s="247"/>
    </row>
    <row r="33754">
      <c r="C33754" s="277"/>
      <c r="M33754" s="277"/>
      <c r="O33754" s="247"/>
      <c r="AC33754" s="247"/>
      <c r="AT33754" s="247"/>
    </row>
    <row r="33755">
      <c r="C33755" s="277"/>
      <c r="M33755" s="277"/>
      <c r="O33755" s="247"/>
      <c r="AC33755" s="247"/>
      <c r="AT33755" s="247"/>
    </row>
    <row r="33756">
      <c r="C33756" s="277"/>
      <c r="M33756" s="277"/>
      <c r="O33756" s="247"/>
      <c r="AC33756" s="247"/>
      <c r="AT33756" s="247"/>
    </row>
    <row r="33757">
      <c r="C33757" s="277"/>
      <c r="M33757" s="277"/>
      <c r="O33757" s="247"/>
      <c r="AC33757" s="247"/>
      <c r="AT33757" s="247"/>
    </row>
    <row r="33758">
      <c r="C33758" s="277"/>
      <c r="M33758" s="277"/>
      <c r="O33758" s="247"/>
      <c r="AC33758" s="247"/>
      <c r="AT33758" s="247"/>
    </row>
    <row r="33759">
      <c r="C33759" s="277"/>
      <c r="M33759" s="277"/>
      <c r="O33759" s="247"/>
      <c r="AC33759" s="247"/>
      <c r="AT33759" s="247"/>
    </row>
    <row r="33760">
      <c r="C33760" s="277"/>
      <c r="M33760" s="277"/>
      <c r="O33760" s="247"/>
      <c r="AC33760" s="247"/>
      <c r="AT33760" s="247"/>
    </row>
    <row r="33761">
      <c r="C33761" s="277"/>
      <c r="M33761" s="277"/>
      <c r="O33761" s="247"/>
      <c r="AC33761" s="247"/>
      <c r="AT33761" s="247"/>
    </row>
    <row r="33762">
      <c r="C33762" s="277"/>
      <c r="M33762" s="277"/>
      <c r="O33762" s="247"/>
      <c r="AC33762" s="247"/>
      <c r="AT33762" s="247"/>
    </row>
    <row r="33763">
      <c r="C33763" s="277"/>
      <c r="M33763" s="277"/>
      <c r="O33763" s="247"/>
      <c r="AC33763" s="247"/>
      <c r="AT33763" s="247"/>
    </row>
    <row r="33764">
      <c r="C33764" s="277"/>
      <c r="M33764" s="277"/>
      <c r="O33764" s="247"/>
      <c r="AC33764" s="247"/>
      <c r="AT33764" s="247"/>
    </row>
    <row r="33765">
      <c r="C33765" s="277"/>
      <c r="M33765" s="277"/>
      <c r="O33765" s="247"/>
      <c r="AC33765" s="247"/>
      <c r="AT33765" s="247"/>
    </row>
    <row r="33766">
      <c r="C33766" s="277"/>
      <c r="M33766" s="277"/>
      <c r="O33766" s="247"/>
      <c r="AC33766" s="247"/>
      <c r="AT33766" s="247"/>
    </row>
    <row r="33767">
      <c r="C33767" s="277"/>
      <c r="M33767" s="277"/>
      <c r="O33767" s="247"/>
      <c r="AC33767" s="247"/>
      <c r="AT33767" s="247"/>
    </row>
    <row r="33768">
      <c r="C33768" s="277"/>
      <c r="M33768" s="277"/>
      <c r="O33768" s="247"/>
      <c r="AC33768" s="247"/>
      <c r="AT33768" s="247"/>
    </row>
    <row r="33769">
      <c r="C33769" s="277"/>
      <c r="M33769" s="277"/>
      <c r="O33769" s="247"/>
      <c r="AC33769" s="247"/>
      <c r="AT33769" s="247"/>
    </row>
    <row r="33770">
      <c r="C33770" s="277"/>
      <c r="M33770" s="277"/>
      <c r="O33770" s="247"/>
      <c r="AC33770" s="247"/>
      <c r="AT33770" s="247"/>
    </row>
    <row r="33771">
      <c r="C33771" s="277"/>
      <c r="M33771" s="277"/>
      <c r="O33771" s="247"/>
      <c r="AC33771" s="247"/>
      <c r="AT33771" s="247"/>
    </row>
    <row r="33772">
      <c r="C33772" s="277"/>
      <c r="M33772" s="277"/>
      <c r="O33772" s="247"/>
      <c r="AC33772" s="247"/>
      <c r="AT33772" s="247"/>
    </row>
    <row r="33773">
      <c r="C33773" s="277"/>
      <c r="M33773" s="277"/>
      <c r="O33773" s="247"/>
      <c r="AC33773" s="247"/>
      <c r="AT33773" s="247"/>
    </row>
    <row r="33774">
      <c r="C33774" s="277"/>
      <c r="M33774" s="277"/>
      <c r="O33774" s="247"/>
      <c r="AC33774" s="247"/>
      <c r="AT33774" s="247"/>
    </row>
    <row r="33775">
      <c r="C33775" s="277"/>
      <c r="M33775" s="277"/>
      <c r="O33775" s="247"/>
      <c r="AC33775" s="247"/>
      <c r="AT33775" s="247"/>
    </row>
    <row r="33776">
      <c r="C33776" s="277"/>
      <c r="M33776" s="277"/>
      <c r="O33776" s="247"/>
      <c r="AC33776" s="247"/>
      <c r="AT33776" s="247"/>
    </row>
    <row r="33777">
      <c r="C33777" s="277"/>
      <c r="M33777" s="277"/>
      <c r="O33777" s="247"/>
      <c r="AC33777" s="247"/>
      <c r="AT33777" s="247"/>
    </row>
    <row r="33778">
      <c r="C33778" s="277"/>
      <c r="M33778" s="277"/>
      <c r="O33778" s="247"/>
      <c r="AC33778" s="247"/>
      <c r="AT33778" s="247"/>
    </row>
    <row r="33779">
      <c r="C33779" s="277"/>
      <c r="M33779" s="277"/>
      <c r="O33779" s="247"/>
      <c r="AC33779" s="247"/>
      <c r="AT33779" s="247"/>
    </row>
    <row r="33780">
      <c r="C33780" s="277"/>
      <c r="M33780" s="277"/>
      <c r="O33780" s="247"/>
      <c r="AC33780" s="247"/>
      <c r="AT33780" s="247"/>
    </row>
    <row r="33781">
      <c r="C33781" s="277"/>
      <c r="M33781" s="277"/>
      <c r="O33781" s="247"/>
      <c r="AC33781" s="247"/>
      <c r="AT33781" s="247"/>
    </row>
    <row r="33782">
      <c r="C33782" s="277"/>
      <c r="M33782" s="277"/>
      <c r="O33782" s="247"/>
      <c r="AC33782" s="247"/>
      <c r="AT33782" s="247"/>
    </row>
    <row r="33783">
      <c r="C33783" s="277"/>
      <c r="M33783" s="277"/>
      <c r="O33783" s="247"/>
      <c r="AC33783" s="247"/>
      <c r="AT33783" s="247"/>
    </row>
    <row r="33784">
      <c r="C33784" s="277"/>
      <c r="M33784" s="277"/>
      <c r="O33784" s="247"/>
      <c r="AC33784" s="247"/>
      <c r="AT33784" s="247"/>
    </row>
    <row r="33785">
      <c r="C33785" s="277"/>
      <c r="M33785" s="277"/>
      <c r="O33785" s="247"/>
      <c r="AC33785" s="247"/>
      <c r="AT33785" s="247"/>
    </row>
    <row r="33786">
      <c r="C33786" s="277"/>
      <c r="M33786" s="277"/>
      <c r="O33786" s="247"/>
      <c r="AC33786" s="247"/>
      <c r="AT33786" s="247"/>
    </row>
    <row r="33787">
      <c r="C33787" s="277"/>
      <c r="M33787" s="277"/>
      <c r="O33787" s="247"/>
      <c r="AC33787" s="247"/>
      <c r="AT33787" s="247"/>
    </row>
    <row r="33788">
      <c r="C33788" s="277"/>
      <c r="M33788" s="277"/>
      <c r="O33788" s="247"/>
      <c r="AC33788" s="247"/>
      <c r="AT33788" s="247"/>
    </row>
    <row r="33789">
      <c r="C33789" s="277"/>
      <c r="M33789" s="277"/>
      <c r="O33789" s="247"/>
      <c r="AC33789" s="247"/>
      <c r="AT33789" s="247"/>
    </row>
    <row r="33790">
      <c r="C33790" s="277"/>
      <c r="M33790" s="277"/>
      <c r="O33790" s="247"/>
      <c r="AC33790" s="247"/>
      <c r="AT33790" s="247"/>
    </row>
    <row r="33791">
      <c r="C33791" s="277"/>
      <c r="M33791" s="277"/>
      <c r="O33791" s="247"/>
      <c r="AC33791" s="247"/>
      <c r="AT33791" s="247"/>
    </row>
    <row r="33792">
      <c r="C33792" s="277"/>
      <c r="M33792" s="277"/>
      <c r="O33792" s="247"/>
      <c r="AC33792" s="247"/>
      <c r="AT33792" s="247"/>
    </row>
    <row r="33793">
      <c r="C33793" s="277"/>
      <c r="M33793" s="277"/>
      <c r="O33793" s="247"/>
      <c r="AC33793" s="247"/>
      <c r="AT33793" s="247"/>
    </row>
    <row r="33794">
      <c r="C33794" s="277"/>
      <c r="M33794" s="277"/>
      <c r="O33794" s="247"/>
      <c r="AC33794" s="247"/>
      <c r="AT33794" s="247"/>
    </row>
    <row r="33795">
      <c r="C33795" s="277"/>
      <c r="M33795" s="277"/>
      <c r="O33795" s="247"/>
      <c r="AC33795" s="247"/>
      <c r="AT33795" s="247"/>
    </row>
    <row r="33796">
      <c r="C33796" s="277"/>
      <c r="M33796" s="277"/>
      <c r="O33796" s="247"/>
      <c r="AC33796" s="247"/>
      <c r="AT33796" s="247"/>
    </row>
    <row r="33797">
      <c r="C33797" s="277"/>
      <c r="M33797" s="277"/>
      <c r="O33797" s="247"/>
      <c r="AC33797" s="247"/>
      <c r="AT33797" s="247"/>
    </row>
    <row r="33798">
      <c r="C33798" s="277"/>
      <c r="M33798" s="277"/>
      <c r="O33798" s="247"/>
      <c r="AC33798" s="247"/>
      <c r="AT33798" s="247"/>
    </row>
    <row r="33799">
      <c r="C33799" s="277"/>
      <c r="M33799" s="277"/>
      <c r="O33799" s="247"/>
      <c r="AC33799" s="247"/>
      <c r="AT33799" s="247"/>
    </row>
    <row r="33800">
      <c r="C33800" s="277"/>
      <c r="M33800" s="277"/>
      <c r="O33800" s="247"/>
      <c r="AC33800" s="247"/>
      <c r="AT33800" s="247"/>
    </row>
    <row r="33801">
      <c r="C33801" s="277"/>
      <c r="M33801" s="277"/>
      <c r="O33801" s="247"/>
      <c r="AC33801" s="247"/>
      <c r="AT33801" s="247"/>
    </row>
    <row r="33802">
      <c r="C33802" s="277"/>
      <c r="M33802" s="277"/>
      <c r="O33802" s="247"/>
      <c r="AC33802" s="247"/>
      <c r="AT33802" s="247"/>
    </row>
    <row r="33803">
      <c r="C33803" s="277"/>
      <c r="M33803" s="277"/>
      <c r="O33803" s="247"/>
      <c r="AC33803" s="247"/>
      <c r="AT33803" s="247"/>
    </row>
    <row r="33804">
      <c r="C33804" s="277"/>
      <c r="M33804" s="277"/>
      <c r="O33804" s="247"/>
      <c r="AC33804" s="247"/>
      <c r="AT33804" s="247"/>
    </row>
    <row r="33805">
      <c r="C33805" s="277"/>
      <c r="M33805" s="277"/>
      <c r="O33805" s="247"/>
      <c r="AC33805" s="247"/>
      <c r="AT33805" s="247"/>
    </row>
    <row r="33806">
      <c r="C33806" s="277"/>
      <c r="M33806" s="277"/>
      <c r="O33806" s="247"/>
      <c r="AC33806" s="247"/>
      <c r="AT33806" s="247"/>
    </row>
    <row r="33807">
      <c r="C33807" s="277"/>
      <c r="M33807" s="277"/>
      <c r="O33807" s="247"/>
      <c r="AC33807" s="247"/>
      <c r="AT33807" s="247"/>
    </row>
    <row r="33808">
      <c r="C33808" s="277"/>
      <c r="M33808" s="277"/>
      <c r="O33808" s="247"/>
      <c r="AC33808" s="247"/>
      <c r="AT33808" s="247"/>
    </row>
    <row r="33809">
      <c r="C33809" s="277"/>
      <c r="M33809" s="277"/>
      <c r="O33809" s="247"/>
      <c r="AC33809" s="247"/>
      <c r="AT33809" s="247"/>
    </row>
    <row r="33810">
      <c r="C33810" s="277"/>
      <c r="M33810" s="277"/>
      <c r="O33810" s="247"/>
      <c r="AC33810" s="247"/>
      <c r="AT33810" s="247"/>
    </row>
    <row r="33811">
      <c r="C33811" s="277"/>
      <c r="M33811" s="277"/>
      <c r="O33811" s="247"/>
      <c r="AC33811" s="247"/>
      <c r="AT33811" s="247"/>
    </row>
    <row r="33812">
      <c r="C33812" s="277"/>
      <c r="M33812" s="277"/>
      <c r="O33812" s="247"/>
      <c r="AC33812" s="247"/>
      <c r="AT33812" s="247"/>
    </row>
    <row r="33813">
      <c r="C33813" s="277"/>
      <c r="M33813" s="277"/>
      <c r="O33813" s="247"/>
      <c r="AC33813" s="247"/>
      <c r="AT33813" s="247"/>
    </row>
    <row r="33814">
      <c r="C33814" s="277"/>
      <c r="M33814" s="277"/>
      <c r="O33814" s="247"/>
      <c r="AC33814" s="247"/>
      <c r="AT33814" s="247"/>
    </row>
    <row r="33815">
      <c r="C33815" s="277"/>
      <c r="M33815" s="277"/>
      <c r="O33815" s="247"/>
      <c r="AC33815" s="247"/>
      <c r="AT33815" s="247"/>
    </row>
    <row r="33816">
      <c r="C33816" s="277"/>
      <c r="M33816" s="277"/>
      <c r="O33816" s="247"/>
      <c r="AC33816" s="247"/>
      <c r="AT33816" s="247"/>
    </row>
    <row r="33817">
      <c r="C33817" s="277"/>
      <c r="M33817" s="277"/>
      <c r="O33817" s="247"/>
      <c r="AC33817" s="247"/>
      <c r="AT33817" s="247"/>
    </row>
    <row r="33818">
      <c r="C33818" s="277"/>
      <c r="M33818" s="277"/>
      <c r="O33818" s="247"/>
      <c r="AC33818" s="247"/>
      <c r="AT33818" s="247"/>
    </row>
    <row r="33819">
      <c r="C33819" s="277"/>
      <c r="M33819" s="277"/>
      <c r="O33819" s="247"/>
      <c r="AC33819" s="247"/>
      <c r="AT33819" s="247"/>
    </row>
    <row r="33820">
      <c r="C33820" s="277"/>
      <c r="M33820" s="277"/>
      <c r="O33820" s="247"/>
      <c r="AC33820" s="247"/>
      <c r="AT33820" s="247"/>
    </row>
    <row r="33821">
      <c r="C33821" s="277"/>
      <c r="M33821" s="277"/>
      <c r="O33821" s="247"/>
      <c r="AC33821" s="247"/>
      <c r="AT33821" s="247"/>
    </row>
    <row r="33822">
      <c r="C33822" s="277"/>
      <c r="M33822" s="277"/>
      <c r="O33822" s="247"/>
      <c r="AC33822" s="247"/>
      <c r="AT33822" s="247"/>
    </row>
    <row r="33823">
      <c r="C33823" s="277"/>
      <c r="M33823" s="277"/>
      <c r="O33823" s="247"/>
      <c r="AC33823" s="247"/>
      <c r="AT33823" s="247"/>
    </row>
    <row r="33824">
      <c r="C33824" s="277"/>
      <c r="M33824" s="277"/>
      <c r="O33824" s="247"/>
      <c r="AC33824" s="247"/>
      <c r="AT33824" s="247"/>
    </row>
    <row r="33825">
      <c r="C33825" s="277"/>
      <c r="M33825" s="277"/>
      <c r="O33825" s="247"/>
      <c r="AC33825" s="247"/>
      <c r="AT33825" s="247"/>
    </row>
    <row r="33826">
      <c r="C33826" s="277"/>
      <c r="M33826" s="277"/>
      <c r="O33826" s="247"/>
      <c r="AC33826" s="247"/>
      <c r="AT33826" s="247"/>
    </row>
    <row r="33827">
      <c r="C33827" s="277"/>
      <c r="M33827" s="277"/>
      <c r="O33827" s="247"/>
      <c r="AC33827" s="247"/>
      <c r="AT33827" s="247"/>
    </row>
    <row r="33828">
      <c r="C33828" s="277"/>
      <c r="M33828" s="277"/>
      <c r="O33828" s="247"/>
      <c r="AC33828" s="247"/>
      <c r="AT33828" s="247"/>
    </row>
    <row r="33829">
      <c r="C33829" s="277"/>
      <c r="M33829" s="277"/>
      <c r="O33829" s="247"/>
      <c r="AC33829" s="247"/>
      <c r="AT33829" s="247"/>
    </row>
    <row r="33830">
      <c r="C33830" s="277"/>
      <c r="M33830" s="277"/>
      <c r="O33830" s="247"/>
      <c r="AC33830" s="247"/>
      <c r="AT33830" s="247"/>
    </row>
    <row r="33831">
      <c r="C33831" s="277"/>
      <c r="M33831" s="277"/>
      <c r="O33831" s="247"/>
      <c r="AC33831" s="247"/>
      <c r="AT33831" s="247"/>
    </row>
    <row r="33832">
      <c r="C33832" s="277"/>
      <c r="M33832" s="277"/>
      <c r="O33832" s="247"/>
      <c r="AC33832" s="247"/>
      <c r="AT33832" s="247"/>
    </row>
    <row r="33833">
      <c r="C33833" s="277"/>
      <c r="M33833" s="277"/>
      <c r="O33833" s="247"/>
      <c r="AC33833" s="247"/>
      <c r="AT33833" s="247"/>
    </row>
    <row r="33834">
      <c r="C33834" s="277"/>
      <c r="M33834" s="277"/>
      <c r="O33834" s="247"/>
      <c r="AC33834" s="247"/>
      <c r="AT33834" s="247"/>
    </row>
    <row r="33835">
      <c r="C33835" s="277"/>
      <c r="M33835" s="277"/>
      <c r="O33835" s="247"/>
      <c r="AC33835" s="247"/>
      <c r="AT33835" s="247"/>
    </row>
    <row r="33836">
      <c r="C33836" s="277"/>
      <c r="M33836" s="277"/>
      <c r="O33836" s="247"/>
      <c r="AC33836" s="247"/>
      <c r="AT33836" s="247"/>
    </row>
    <row r="33837">
      <c r="C33837" s="277"/>
      <c r="M33837" s="277"/>
      <c r="O33837" s="247"/>
      <c r="AC33837" s="247"/>
      <c r="AT33837" s="247"/>
    </row>
    <row r="33838">
      <c r="C33838" s="277"/>
      <c r="M33838" s="277"/>
      <c r="O33838" s="247"/>
      <c r="AC33838" s="247"/>
      <c r="AT33838" s="247"/>
    </row>
    <row r="33839">
      <c r="C33839" s="277"/>
      <c r="M33839" s="277"/>
      <c r="O33839" s="247"/>
      <c r="AC33839" s="247"/>
      <c r="AT33839" s="247"/>
    </row>
    <row r="33840">
      <c r="C33840" s="277"/>
      <c r="M33840" s="277"/>
      <c r="O33840" s="247"/>
      <c r="AC33840" s="247"/>
      <c r="AT33840" s="247"/>
    </row>
    <row r="33841">
      <c r="C33841" s="277"/>
      <c r="M33841" s="277"/>
      <c r="O33841" s="247"/>
      <c r="AC33841" s="247"/>
      <c r="AT33841" s="247"/>
    </row>
    <row r="33842">
      <c r="C33842" s="277"/>
      <c r="M33842" s="277"/>
      <c r="O33842" s="247"/>
      <c r="AC33842" s="247"/>
      <c r="AT33842" s="247"/>
    </row>
    <row r="33843">
      <c r="C33843" s="277"/>
      <c r="M33843" s="277"/>
      <c r="O33843" s="247"/>
      <c r="AC33843" s="247"/>
      <c r="AT33843" s="247"/>
    </row>
    <row r="33844">
      <c r="C33844" s="277"/>
      <c r="M33844" s="277"/>
      <c r="O33844" s="247"/>
      <c r="AC33844" s="247"/>
      <c r="AT33844" s="247"/>
    </row>
    <row r="33845">
      <c r="C33845" s="277"/>
      <c r="M33845" s="277"/>
      <c r="O33845" s="247"/>
      <c r="AC33845" s="247"/>
      <c r="AT33845" s="247"/>
    </row>
    <row r="33846">
      <c r="C33846" s="277"/>
      <c r="M33846" s="277"/>
      <c r="O33846" s="247"/>
      <c r="AC33846" s="247"/>
      <c r="AT33846" s="247"/>
    </row>
    <row r="33847">
      <c r="C33847" s="277"/>
      <c r="M33847" s="277"/>
      <c r="O33847" s="247"/>
      <c r="AC33847" s="247"/>
      <c r="AT33847" s="247"/>
    </row>
    <row r="33848">
      <c r="C33848" s="277"/>
      <c r="M33848" s="277"/>
      <c r="O33848" s="247"/>
      <c r="AC33848" s="247"/>
      <c r="AT33848" s="247"/>
    </row>
    <row r="33849">
      <c r="C33849" s="277"/>
      <c r="M33849" s="277"/>
      <c r="O33849" s="247"/>
      <c r="AC33849" s="247"/>
      <c r="AT33849" s="247"/>
    </row>
    <row r="33850">
      <c r="C33850" s="277"/>
      <c r="M33850" s="277"/>
      <c r="O33850" s="247"/>
      <c r="AC33850" s="247"/>
      <c r="AT33850" s="247"/>
    </row>
    <row r="33851">
      <c r="C33851" s="277"/>
      <c r="M33851" s="277"/>
      <c r="O33851" s="247"/>
      <c r="AC33851" s="247"/>
      <c r="AT33851" s="247"/>
    </row>
    <row r="33852">
      <c r="C33852" s="277"/>
      <c r="M33852" s="277"/>
      <c r="O33852" s="247"/>
      <c r="AC33852" s="247"/>
      <c r="AT33852" s="247"/>
    </row>
    <row r="33853">
      <c r="C33853" s="277"/>
      <c r="M33853" s="277"/>
      <c r="O33853" s="247"/>
      <c r="AC33853" s="247"/>
      <c r="AT33853" s="247"/>
    </row>
    <row r="33854">
      <c r="C33854" s="277"/>
      <c r="M33854" s="277"/>
      <c r="O33854" s="247"/>
      <c r="AC33854" s="247"/>
      <c r="AT33854" s="247"/>
    </row>
    <row r="33855">
      <c r="C33855" s="277"/>
      <c r="M33855" s="277"/>
      <c r="O33855" s="247"/>
      <c r="AC33855" s="247"/>
      <c r="AT33855" s="247"/>
    </row>
    <row r="33856">
      <c r="C33856" s="277"/>
      <c r="M33856" s="277"/>
      <c r="O33856" s="247"/>
      <c r="AC33856" s="247"/>
      <c r="AT33856" s="247"/>
    </row>
    <row r="33857">
      <c r="C33857" s="277"/>
      <c r="M33857" s="277"/>
      <c r="O33857" s="247"/>
      <c r="AC33857" s="247"/>
      <c r="AT33857" s="247"/>
    </row>
    <row r="33858">
      <c r="C33858" s="277"/>
      <c r="M33858" s="277"/>
      <c r="O33858" s="247"/>
      <c r="AC33858" s="247"/>
      <c r="AT33858" s="247"/>
    </row>
    <row r="33859">
      <c r="C33859" s="277"/>
      <c r="M33859" s="277"/>
      <c r="O33859" s="247"/>
      <c r="AC33859" s="247"/>
      <c r="AT33859" s="247"/>
    </row>
    <row r="33860">
      <c r="C33860" s="277"/>
      <c r="M33860" s="277"/>
      <c r="O33860" s="247"/>
      <c r="AC33860" s="247"/>
      <c r="AT33860" s="247"/>
    </row>
    <row r="33861">
      <c r="C33861" s="277"/>
      <c r="M33861" s="277"/>
      <c r="O33861" s="247"/>
      <c r="AC33861" s="247"/>
      <c r="AT33861" s="247"/>
    </row>
    <row r="33862">
      <c r="C33862" s="277"/>
      <c r="M33862" s="277"/>
      <c r="O33862" s="247"/>
      <c r="AC33862" s="247"/>
      <c r="AT33862" s="247"/>
    </row>
    <row r="33863">
      <c r="C33863" s="277"/>
      <c r="M33863" s="277"/>
      <c r="O33863" s="247"/>
      <c r="AC33863" s="247"/>
      <c r="AT33863" s="247"/>
    </row>
    <row r="33864">
      <c r="C33864" s="277"/>
      <c r="M33864" s="277"/>
      <c r="O33864" s="247"/>
      <c r="AC33864" s="247"/>
      <c r="AT33864" s="247"/>
    </row>
    <row r="33865">
      <c r="C33865" s="277"/>
      <c r="M33865" s="277"/>
      <c r="O33865" s="247"/>
      <c r="AC33865" s="247"/>
      <c r="AT33865" s="247"/>
    </row>
    <row r="33866">
      <c r="C33866" s="277"/>
      <c r="M33866" s="277"/>
      <c r="O33866" s="247"/>
      <c r="AC33866" s="247"/>
      <c r="AT33866" s="247"/>
    </row>
    <row r="33867">
      <c r="C33867" s="277"/>
      <c r="M33867" s="277"/>
      <c r="O33867" s="247"/>
      <c r="AC33867" s="247"/>
      <c r="AT33867" s="247"/>
    </row>
    <row r="33868">
      <c r="C33868" s="277"/>
      <c r="M33868" s="277"/>
      <c r="O33868" s="247"/>
      <c r="AC33868" s="247"/>
      <c r="AT33868" s="247"/>
    </row>
    <row r="33869">
      <c r="C33869" s="277"/>
      <c r="M33869" s="277"/>
      <c r="O33869" s="247"/>
      <c r="AC33869" s="247"/>
      <c r="AT33869" s="247"/>
    </row>
    <row r="33870">
      <c r="C33870" s="277"/>
      <c r="M33870" s="277"/>
      <c r="O33870" s="247"/>
      <c r="AC33870" s="247"/>
      <c r="AT33870" s="247"/>
    </row>
    <row r="33871">
      <c r="C33871" s="277"/>
      <c r="M33871" s="277"/>
      <c r="O33871" s="247"/>
      <c r="AC33871" s="247"/>
      <c r="AT33871" s="247"/>
    </row>
    <row r="33872">
      <c r="C33872" s="277"/>
      <c r="M33872" s="277"/>
      <c r="O33872" s="247"/>
      <c r="AC33872" s="247"/>
      <c r="AT33872" s="247"/>
    </row>
    <row r="33873">
      <c r="C33873" s="277"/>
      <c r="M33873" s="277"/>
      <c r="O33873" s="247"/>
      <c r="AC33873" s="247"/>
      <c r="AT33873" s="247"/>
    </row>
    <row r="33874">
      <c r="C33874" s="277"/>
      <c r="M33874" s="277"/>
      <c r="O33874" s="247"/>
      <c r="AC33874" s="247"/>
      <c r="AT33874" s="247"/>
    </row>
    <row r="33875">
      <c r="C33875" s="277"/>
      <c r="M33875" s="277"/>
      <c r="O33875" s="247"/>
      <c r="AC33875" s="247"/>
      <c r="AT33875" s="247"/>
    </row>
    <row r="33876">
      <c r="C33876" s="277"/>
      <c r="M33876" s="277"/>
      <c r="O33876" s="247"/>
      <c r="AC33876" s="247"/>
      <c r="AT33876" s="247"/>
    </row>
    <row r="33877">
      <c r="C33877" s="277"/>
      <c r="M33877" s="277"/>
      <c r="O33877" s="247"/>
      <c r="AC33877" s="247"/>
      <c r="AT33877" s="247"/>
    </row>
    <row r="33878">
      <c r="C33878" s="277"/>
      <c r="M33878" s="277"/>
      <c r="O33878" s="247"/>
      <c r="AC33878" s="247"/>
      <c r="AT33878" s="247"/>
    </row>
    <row r="33879">
      <c r="C33879" s="277"/>
      <c r="M33879" s="277"/>
      <c r="O33879" s="247"/>
      <c r="AC33879" s="247"/>
      <c r="AT33879" s="247"/>
    </row>
    <row r="33880">
      <c r="C33880" s="277"/>
      <c r="M33880" s="277"/>
      <c r="O33880" s="247"/>
      <c r="AC33880" s="247"/>
      <c r="AT33880" s="247"/>
    </row>
    <row r="33881">
      <c r="C33881" s="277"/>
      <c r="M33881" s="277"/>
      <c r="O33881" s="247"/>
      <c r="AC33881" s="247"/>
      <c r="AT33881" s="247"/>
    </row>
    <row r="33882">
      <c r="C33882" s="277"/>
      <c r="M33882" s="277"/>
      <c r="O33882" s="247"/>
      <c r="AC33882" s="247"/>
      <c r="AT33882" s="247"/>
    </row>
    <row r="33883">
      <c r="C33883" s="277"/>
      <c r="M33883" s="277"/>
      <c r="O33883" s="247"/>
      <c r="AC33883" s="247"/>
      <c r="AT33883" s="247"/>
    </row>
    <row r="33884">
      <c r="C33884" s="277"/>
      <c r="M33884" s="277"/>
      <c r="O33884" s="247"/>
      <c r="AC33884" s="247"/>
      <c r="AT33884" s="247"/>
    </row>
    <row r="33885">
      <c r="C33885" s="277"/>
      <c r="M33885" s="277"/>
      <c r="O33885" s="247"/>
      <c r="AC33885" s="247"/>
      <c r="AT33885" s="247"/>
    </row>
    <row r="33886">
      <c r="C33886" s="277"/>
      <c r="M33886" s="277"/>
      <c r="O33886" s="247"/>
      <c r="AC33886" s="247"/>
      <c r="AT33886" s="247"/>
    </row>
    <row r="33887">
      <c r="C33887" s="277"/>
      <c r="M33887" s="277"/>
      <c r="O33887" s="247"/>
      <c r="AC33887" s="247"/>
      <c r="AT33887" s="247"/>
    </row>
    <row r="33888">
      <c r="C33888" s="277"/>
      <c r="M33888" s="277"/>
      <c r="O33888" s="247"/>
      <c r="AC33888" s="247"/>
      <c r="AT33888" s="247"/>
    </row>
    <row r="33889">
      <c r="C33889" s="277"/>
      <c r="M33889" s="277"/>
      <c r="O33889" s="247"/>
      <c r="AC33889" s="247"/>
      <c r="AT33889" s="247"/>
    </row>
    <row r="33890">
      <c r="C33890" s="277"/>
      <c r="M33890" s="277"/>
      <c r="O33890" s="247"/>
      <c r="AC33890" s="247"/>
      <c r="AT33890" s="247"/>
    </row>
    <row r="33891">
      <c r="C33891" s="277"/>
      <c r="M33891" s="277"/>
      <c r="O33891" s="247"/>
      <c r="AC33891" s="247"/>
      <c r="AT33891" s="247"/>
    </row>
    <row r="33892">
      <c r="C33892" s="277"/>
      <c r="M33892" s="277"/>
      <c r="O33892" s="247"/>
      <c r="AC33892" s="247"/>
      <c r="AT33892" s="247"/>
    </row>
    <row r="33893">
      <c r="C33893" s="277"/>
      <c r="M33893" s="277"/>
      <c r="O33893" s="247"/>
      <c r="AC33893" s="247"/>
      <c r="AT33893" s="247"/>
    </row>
    <row r="33894">
      <c r="C33894" s="277"/>
      <c r="M33894" s="277"/>
      <c r="O33894" s="247"/>
      <c r="AC33894" s="247"/>
      <c r="AT33894" s="247"/>
    </row>
    <row r="33895">
      <c r="C33895" s="277"/>
      <c r="M33895" s="277"/>
      <c r="O33895" s="247"/>
      <c r="AC33895" s="247"/>
      <c r="AT33895" s="247"/>
    </row>
    <row r="33896">
      <c r="C33896" s="277"/>
      <c r="M33896" s="277"/>
      <c r="O33896" s="247"/>
      <c r="AC33896" s="247"/>
      <c r="AT33896" s="247"/>
    </row>
    <row r="33897">
      <c r="C33897" s="277"/>
      <c r="M33897" s="277"/>
      <c r="O33897" s="247"/>
      <c r="AC33897" s="247"/>
      <c r="AT33897" s="247"/>
    </row>
    <row r="33898">
      <c r="C33898" s="277"/>
      <c r="M33898" s="277"/>
      <c r="O33898" s="247"/>
      <c r="AC33898" s="247"/>
      <c r="AT33898" s="247"/>
    </row>
    <row r="33899">
      <c r="C33899" s="277"/>
      <c r="M33899" s="277"/>
      <c r="O33899" s="247"/>
      <c r="AC33899" s="247"/>
      <c r="AT33899" s="247"/>
    </row>
    <row r="33900">
      <c r="C33900" s="277"/>
      <c r="M33900" s="277"/>
      <c r="O33900" s="247"/>
      <c r="AC33900" s="247"/>
      <c r="AT33900" s="247"/>
    </row>
    <row r="33901">
      <c r="C33901" s="277"/>
      <c r="M33901" s="277"/>
      <c r="O33901" s="247"/>
      <c r="AC33901" s="247"/>
      <c r="AT33901" s="247"/>
    </row>
    <row r="33902">
      <c r="C33902" s="277"/>
      <c r="M33902" s="277"/>
      <c r="O33902" s="247"/>
      <c r="AC33902" s="247"/>
      <c r="AT33902" s="247"/>
    </row>
    <row r="33903">
      <c r="C33903" s="277"/>
      <c r="M33903" s="277"/>
      <c r="O33903" s="247"/>
      <c r="AC33903" s="247"/>
      <c r="AT33903" s="247"/>
    </row>
    <row r="33904">
      <c r="C33904" s="277"/>
      <c r="M33904" s="277"/>
      <c r="O33904" s="247"/>
      <c r="AC33904" s="247"/>
      <c r="AT33904" s="247"/>
    </row>
    <row r="33905">
      <c r="C33905" s="277"/>
      <c r="M33905" s="277"/>
      <c r="O33905" s="247"/>
      <c r="AC33905" s="247"/>
      <c r="AT33905" s="247"/>
    </row>
    <row r="33906">
      <c r="C33906" s="277"/>
      <c r="M33906" s="277"/>
      <c r="O33906" s="247"/>
      <c r="AC33906" s="247"/>
      <c r="AT33906" s="247"/>
    </row>
    <row r="33907">
      <c r="C33907" s="277"/>
      <c r="M33907" s="277"/>
      <c r="O33907" s="247"/>
      <c r="AC33907" s="247"/>
      <c r="AT33907" s="247"/>
    </row>
    <row r="33908">
      <c r="C33908" s="277"/>
      <c r="M33908" s="277"/>
      <c r="O33908" s="247"/>
      <c r="AC33908" s="247"/>
      <c r="AT33908" s="247"/>
    </row>
    <row r="33909">
      <c r="C33909" s="277"/>
      <c r="M33909" s="277"/>
      <c r="O33909" s="247"/>
      <c r="AC33909" s="247"/>
      <c r="AT33909" s="247"/>
    </row>
    <row r="33910">
      <c r="C33910" s="277"/>
      <c r="M33910" s="277"/>
      <c r="O33910" s="247"/>
      <c r="AC33910" s="247"/>
      <c r="AT33910" s="247"/>
    </row>
    <row r="33911">
      <c r="C33911" s="277"/>
      <c r="M33911" s="277"/>
      <c r="O33911" s="247"/>
      <c r="AC33911" s="247"/>
      <c r="AT33911" s="247"/>
    </row>
    <row r="33912">
      <c r="C33912" s="277"/>
      <c r="M33912" s="277"/>
      <c r="O33912" s="247"/>
      <c r="AC33912" s="247"/>
      <c r="AT33912" s="247"/>
    </row>
    <row r="33913">
      <c r="C33913" s="277"/>
      <c r="M33913" s="277"/>
      <c r="O33913" s="247"/>
      <c r="AC33913" s="247"/>
      <c r="AT33913" s="247"/>
    </row>
    <row r="33914">
      <c r="C33914" s="277"/>
      <c r="M33914" s="277"/>
      <c r="O33914" s="247"/>
      <c r="AC33914" s="247"/>
      <c r="AT33914" s="247"/>
    </row>
    <row r="33915">
      <c r="C33915" s="277"/>
      <c r="M33915" s="277"/>
      <c r="O33915" s="247"/>
      <c r="AC33915" s="247"/>
      <c r="AT33915" s="247"/>
    </row>
    <row r="33916">
      <c r="C33916" s="277"/>
      <c r="M33916" s="277"/>
      <c r="O33916" s="247"/>
      <c r="AC33916" s="247"/>
      <c r="AT33916" s="247"/>
    </row>
    <row r="33917">
      <c r="C33917" s="277"/>
      <c r="M33917" s="277"/>
      <c r="O33917" s="247"/>
      <c r="AC33917" s="247"/>
      <c r="AT33917" s="247"/>
    </row>
    <row r="33918">
      <c r="C33918" s="277"/>
      <c r="M33918" s="277"/>
      <c r="O33918" s="247"/>
      <c r="AC33918" s="247"/>
      <c r="AT33918" s="247"/>
    </row>
    <row r="33919">
      <c r="C33919" s="277"/>
      <c r="M33919" s="277"/>
      <c r="O33919" s="247"/>
      <c r="AC33919" s="247"/>
      <c r="AT33919" s="247"/>
    </row>
    <row r="33920">
      <c r="C33920" s="277"/>
      <c r="M33920" s="277"/>
      <c r="O33920" s="247"/>
      <c r="AC33920" s="247"/>
      <c r="AT33920" s="247"/>
    </row>
    <row r="33921">
      <c r="C33921" s="277"/>
      <c r="M33921" s="277"/>
      <c r="O33921" s="247"/>
      <c r="AC33921" s="247"/>
      <c r="AT33921" s="247"/>
    </row>
    <row r="33922">
      <c r="C33922" s="277"/>
      <c r="M33922" s="277"/>
      <c r="O33922" s="247"/>
      <c r="AC33922" s="247"/>
      <c r="AT33922" s="247"/>
    </row>
    <row r="33923">
      <c r="C33923" s="277"/>
      <c r="M33923" s="277"/>
      <c r="O33923" s="247"/>
      <c r="AC33923" s="247"/>
      <c r="AT33923" s="247"/>
    </row>
    <row r="33924">
      <c r="C33924" s="277"/>
      <c r="M33924" s="277"/>
      <c r="O33924" s="247"/>
      <c r="AC33924" s="247"/>
      <c r="AT33924" s="247"/>
    </row>
    <row r="33925">
      <c r="C33925" s="277"/>
      <c r="M33925" s="277"/>
      <c r="O33925" s="247"/>
      <c r="AC33925" s="247"/>
      <c r="AT33925" s="247"/>
    </row>
    <row r="33926">
      <c r="C33926" s="277"/>
      <c r="M33926" s="277"/>
      <c r="O33926" s="247"/>
      <c r="AC33926" s="247"/>
      <c r="AT33926" s="247"/>
    </row>
    <row r="33927">
      <c r="C33927" s="277"/>
      <c r="M33927" s="277"/>
      <c r="O33927" s="247"/>
      <c r="AC33927" s="247"/>
      <c r="AT33927" s="247"/>
    </row>
    <row r="33928">
      <c r="C33928" s="277"/>
      <c r="M33928" s="277"/>
      <c r="O33928" s="247"/>
      <c r="AC33928" s="247"/>
      <c r="AT33928" s="247"/>
    </row>
    <row r="33929">
      <c r="C33929" s="277"/>
      <c r="M33929" s="277"/>
      <c r="O33929" s="247"/>
      <c r="AC33929" s="247"/>
      <c r="AT33929" s="247"/>
    </row>
    <row r="33930">
      <c r="C33930" s="277"/>
      <c r="M33930" s="277"/>
      <c r="O33930" s="247"/>
      <c r="AC33930" s="247"/>
      <c r="AT33930" s="247"/>
    </row>
    <row r="33931">
      <c r="C33931" s="277"/>
      <c r="M33931" s="277"/>
      <c r="O33931" s="247"/>
      <c r="AC33931" s="247"/>
      <c r="AT33931" s="247"/>
    </row>
    <row r="33932">
      <c r="C33932" s="277"/>
      <c r="M33932" s="277"/>
      <c r="O33932" s="247"/>
      <c r="AC33932" s="247"/>
      <c r="AT33932" s="247"/>
    </row>
    <row r="33933">
      <c r="C33933" s="277"/>
      <c r="M33933" s="277"/>
      <c r="O33933" s="247"/>
      <c r="AC33933" s="247"/>
      <c r="AT33933" s="247"/>
    </row>
    <row r="33934">
      <c r="C33934" s="277"/>
      <c r="M33934" s="277"/>
      <c r="O33934" s="247"/>
      <c r="AC33934" s="247"/>
      <c r="AT33934" s="247"/>
    </row>
    <row r="33935">
      <c r="C33935" s="277"/>
      <c r="M33935" s="277"/>
      <c r="O33935" s="247"/>
      <c r="AC33935" s="247"/>
      <c r="AT33935" s="247"/>
    </row>
    <row r="33936">
      <c r="C33936" s="277"/>
      <c r="M33936" s="277"/>
      <c r="O33936" s="247"/>
      <c r="AC33936" s="247"/>
      <c r="AT33936" s="247"/>
    </row>
    <row r="33937">
      <c r="C33937" s="277"/>
      <c r="M33937" s="277"/>
      <c r="O33937" s="247"/>
      <c r="AC33937" s="247"/>
      <c r="AT33937" s="247"/>
    </row>
    <row r="33938">
      <c r="C33938" s="277"/>
      <c r="M33938" s="277"/>
      <c r="O33938" s="247"/>
      <c r="AC33938" s="247"/>
      <c r="AT33938" s="247"/>
    </row>
    <row r="33939">
      <c r="C33939" s="277"/>
      <c r="M33939" s="277"/>
      <c r="O33939" s="247"/>
      <c r="AC33939" s="247"/>
      <c r="AT33939" s="247"/>
    </row>
    <row r="33940">
      <c r="C33940" s="277"/>
      <c r="M33940" s="277"/>
      <c r="O33940" s="247"/>
      <c r="AC33940" s="247"/>
      <c r="AT33940" s="247"/>
    </row>
    <row r="33941">
      <c r="C33941" s="277"/>
      <c r="M33941" s="277"/>
      <c r="O33941" s="247"/>
      <c r="AC33941" s="247"/>
      <c r="AT33941" s="247"/>
    </row>
    <row r="33942">
      <c r="C33942" s="277"/>
      <c r="M33942" s="277"/>
      <c r="O33942" s="247"/>
      <c r="AC33942" s="247"/>
      <c r="AT33942" s="247"/>
    </row>
    <row r="33943">
      <c r="C33943" s="277"/>
      <c r="M33943" s="277"/>
      <c r="O33943" s="247"/>
      <c r="AC33943" s="247"/>
      <c r="AT33943" s="247"/>
    </row>
    <row r="33944">
      <c r="C33944" s="277"/>
      <c r="M33944" s="277"/>
      <c r="O33944" s="247"/>
      <c r="AC33944" s="247"/>
      <c r="AT33944" s="247"/>
    </row>
    <row r="33945">
      <c r="C33945" s="277"/>
      <c r="M33945" s="277"/>
      <c r="O33945" s="247"/>
      <c r="AC33945" s="247"/>
      <c r="AT33945" s="247"/>
    </row>
    <row r="33946">
      <c r="C33946" s="277"/>
      <c r="M33946" s="277"/>
      <c r="O33946" s="247"/>
      <c r="AC33946" s="247"/>
      <c r="AT33946" s="247"/>
    </row>
    <row r="33947">
      <c r="C33947" s="277"/>
      <c r="M33947" s="277"/>
      <c r="O33947" s="247"/>
      <c r="AC33947" s="247"/>
      <c r="AT33947" s="247"/>
    </row>
    <row r="33948">
      <c r="C33948" s="277"/>
      <c r="M33948" s="277"/>
      <c r="O33948" s="247"/>
      <c r="AC33948" s="247"/>
      <c r="AT33948" s="247"/>
    </row>
    <row r="33949">
      <c r="C33949" s="277"/>
      <c r="M33949" s="277"/>
      <c r="O33949" s="247"/>
      <c r="AC33949" s="247"/>
      <c r="AT33949" s="247"/>
    </row>
    <row r="33950">
      <c r="C33950" s="277"/>
      <c r="M33950" s="277"/>
      <c r="O33950" s="247"/>
      <c r="AC33950" s="247"/>
      <c r="AT33950" s="247"/>
    </row>
    <row r="33951">
      <c r="C33951" s="277"/>
      <c r="M33951" s="277"/>
      <c r="O33951" s="247"/>
      <c r="AC33951" s="247"/>
      <c r="AT33951" s="247"/>
    </row>
    <row r="33952">
      <c r="C33952" s="277"/>
      <c r="M33952" s="277"/>
      <c r="O33952" s="247"/>
      <c r="AC33952" s="247"/>
      <c r="AT33952" s="247"/>
    </row>
    <row r="33953">
      <c r="C33953" s="277"/>
      <c r="M33953" s="277"/>
      <c r="O33953" s="247"/>
      <c r="AC33953" s="247"/>
      <c r="AT33953" s="247"/>
    </row>
    <row r="33954">
      <c r="C33954" s="277"/>
      <c r="M33954" s="277"/>
      <c r="O33954" s="247"/>
      <c r="AC33954" s="247"/>
      <c r="AT33954" s="247"/>
    </row>
    <row r="33955">
      <c r="C33955" s="277"/>
      <c r="M33955" s="277"/>
      <c r="O33955" s="247"/>
      <c r="AC33955" s="247"/>
      <c r="AT33955" s="247"/>
    </row>
    <row r="33956">
      <c r="C33956" s="277"/>
      <c r="M33956" s="277"/>
      <c r="O33956" s="247"/>
      <c r="AC33956" s="247"/>
      <c r="AT33956" s="247"/>
    </row>
    <row r="33957">
      <c r="C33957" s="277"/>
      <c r="M33957" s="277"/>
      <c r="O33957" s="247"/>
      <c r="AC33957" s="247"/>
      <c r="AT33957" s="247"/>
    </row>
    <row r="33958">
      <c r="C33958" s="277"/>
      <c r="M33958" s="277"/>
      <c r="O33958" s="247"/>
      <c r="AC33958" s="247"/>
      <c r="AT33958" s="247"/>
    </row>
    <row r="33959">
      <c r="C33959" s="277"/>
      <c r="M33959" s="277"/>
      <c r="O33959" s="247"/>
      <c r="AC33959" s="247"/>
      <c r="AT33959" s="247"/>
    </row>
    <row r="33960">
      <c r="C33960" s="277"/>
      <c r="M33960" s="277"/>
      <c r="O33960" s="247"/>
      <c r="AC33960" s="247"/>
      <c r="AT33960" s="247"/>
    </row>
    <row r="33961">
      <c r="C33961" s="277"/>
      <c r="M33961" s="277"/>
      <c r="O33961" s="247"/>
      <c r="AC33961" s="247"/>
      <c r="AT33961" s="247"/>
    </row>
    <row r="33962">
      <c r="C33962" s="277"/>
      <c r="M33962" s="277"/>
      <c r="O33962" s="247"/>
      <c r="AC33962" s="247"/>
      <c r="AT33962" s="247"/>
    </row>
    <row r="33963">
      <c r="C33963" s="277"/>
      <c r="M33963" s="277"/>
      <c r="O33963" s="247"/>
      <c r="AC33963" s="247"/>
      <c r="AT33963" s="247"/>
    </row>
    <row r="33964">
      <c r="C33964" s="277"/>
      <c r="M33964" s="277"/>
      <c r="O33964" s="247"/>
      <c r="AC33964" s="247"/>
      <c r="AT33964" s="247"/>
    </row>
    <row r="33965">
      <c r="C33965" s="277"/>
      <c r="M33965" s="277"/>
      <c r="O33965" s="247"/>
      <c r="AC33965" s="247"/>
      <c r="AT33965" s="247"/>
    </row>
    <row r="33966">
      <c r="C33966" s="277"/>
      <c r="M33966" s="277"/>
      <c r="O33966" s="247"/>
      <c r="AC33966" s="247"/>
      <c r="AT33966" s="247"/>
    </row>
    <row r="33967">
      <c r="C33967" s="277"/>
      <c r="M33967" s="277"/>
      <c r="O33967" s="247"/>
      <c r="AC33967" s="247"/>
      <c r="AT33967" s="247"/>
    </row>
    <row r="33968">
      <c r="C33968" s="277"/>
      <c r="M33968" s="277"/>
      <c r="O33968" s="247"/>
      <c r="AC33968" s="247"/>
      <c r="AT33968" s="247"/>
    </row>
    <row r="33969">
      <c r="C33969" s="277"/>
      <c r="M33969" s="277"/>
      <c r="O33969" s="247"/>
      <c r="AC33969" s="247"/>
      <c r="AT33969" s="247"/>
    </row>
    <row r="33970">
      <c r="C33970" s="277"/>
      <c r="M33970" s="277"/>
      <c r="O33970" s="247"/>
      <c r="AC33970" s="247"/>
      <c r="AT33970" s="247"/>
    </row>
    <row r="33971">
      <c r="C33971" s="277"/>
      <c r="M33971" s="277"/>
      <c r="O33971" s="247"/>
      <c r="AC33971" s="247"/>
      <c r="AT33971" s="247"/>
    </row>
    <row r="33972">
      <c r="C33972" s="277"/>
      <c r="M33972" s="277"/>
      <c r="O33972" s="247"/>
      <c r="AC33972" s="247"/>
      <c r="AT33972" s="247"/>
    </row>
    <row r="33973">
      <c r="C33973" s="277"/>
      <c r="M33973" s="277"/>
      <c r="O33973" s="247"/>
      <c r="AC33973" s="247"/>
      <c r="AT33973" s="247"/>
    </row>
    <row r="33974">
      <c r="C33974" s="277"/>
      <c r="M33974" s="277"/>
      <c r="O33974" s="247"/>
      <c r="AC33974" s="247"/>
      <c r="AT33974" s="247"/>
    </row>
    <row r="33975">
      <c r="C33975" s="277"/>
      <c r="M33975" s="277"/>
      <c r="O33975" s="247"/>
      <c r="AC33975" s="247"/>
      <c r="AT33975" s="247"/>
    </row>
    <row r="33976">
      <c r="C33976" s="277"/>
      <c r="M33976" s="277"/>
      <c r="O33976" s="247"/>
      <c r="AC33976" s="247"/>
      <c r="AT33976" s="247"/>
    </row>
    <row r="33977">
      <c r="C33977" s="277"/>
      <c r="M33977" s="277"/>
      <c r="O33977" s="247"/>
      <c r="AC33977" s="247"/>
      <c r="AT33977" s="247"/>
    </row>
    <row r="33978">
      <c r="C33978" s="277"/>
      <c r="M33978" s="277"/>
      <c r="O33978" s="247"/>
      <c r="AC33978" s="247"/>
      <c r="AT33978" s="247"/>
    </row>
    <row r="33979">
      <c r="C33979" s="277"/>
      <c r="M33979" s="277"/>
      <c r="O33979" s="247"/>
      <c r="AC33979" s="247"/>
      <c r="AT33979" s="247"/>
    </row>
    <row r="33980">
      <c r="C33980" s="277"/>
      <c r="M33980" s="277"/>
      <c r="O33980" s="247"/>
      <c r="AC33980" s="247"/>
      <c r="AT33980" s="247"/>
    </row>
    <row r="33981">
      <c r="C33981" s="277"/>
      <c r="M33981" s="277"/>
      <c r="O33981" s="247"/>
      <c r="AC33981" s="247"/>
      <c r="AT33981" s="247"/>
    </row>
    <row r="33982">
      <c r="C33982" s="277"/>
      <c r="M33982" s="277"/>
      <c r="O33982" s="247"/>
      <c r="AC33982" s="247"/>
      <c r="AT33982" s="247"/>
    </row>
    <row r="33983">
      <c r="C33983" s="277"/>
      <c r="M33983" s="277"/>
      <c r="O33983" s="247"/>
      <c r="AC33983" s="247"/>
      <c r="AT33983" s="247"/>
    </row>
    <row r="33984">
      <c r="C33984" s="277"/>
      <c r="M33984" s="277"/>
      <c r="O33984" s="247"/>
      <c r="AC33984" s="247"/>
      <c r="AT33984" s="247"/>
    </row>
    <row r="33985">
      <c r="C33985" s="277"/>
      <c r="M33985" s="277"/>
      <c r="O33985" s="247"/>
      <c r="AC33985" s="247"/>
      <c r="AT33985" s="247"/>
    </row>
    <row r="33986">
      <c r="C33986" s="277"/>
      <c r="M33986" s="277"/>
      <c r="O33986" s="247"/>
      <c r="AC33986" s="247"/>
      <c r="AT33986" s="247"/>
    </row>
    <row r="33987">
      <c r="C33987" s="277"/>
      <c r="M33987" s="277"/>
      <c r="O33987" s="247"/>
      <c r="AC33987" s="247"/>
      <c r="AT33987" s="247"/>
    </row>
    <row r="33988">
      <c r="C33988" s="277"/>
      <c r="M33988" s="277"/>
      <c r="O33988" s="247"/>
      <c r="AC33988" s="247"/>
      <c r="AT33988" s="247"/>
    </row>
    <row r="33989">
      <c r="C33989" s="277"/>
      <c r="M33989" s="277"/>
      <c r="O33989" s="247"/>
      <c r="AC33989" s="247"/>
      <c r="AT33989" s="247"/>
    </row>
    <row r="33990">
      <c r="C33990" s="277"/>
      <c r="M33990" s="277"/>
      <c r="O33990" s="247"/>
      <c r="AC33990" s="247"/>
      <c r="AT33990" s="247"/>
    </row>
    <row r="33991">
      <c r="C33991" s="277"/>
      <c r="M33991" s="277"/>
      <c r="O33991" s="247"/>
      <c r="AC33991" s="247"/>
      <c r="AT33991" s="247"/>
    </row>
    <row r="33992">
      <c r="C33992" s="277"/>
      <c r="M33992" s="277"/>
      <c r="O33992" s="247"/>
      <c r="AC33992" s="247"/>
      <c r="AT33992" s="247"/>
    </row>
    <row r="33993">
      <c r="C33993" s="277"/>
      <c r="M33993" s="277"/>
      <c r="O33993" s="247"/>
      <c r="AC33993" s="247"/>
      <c r="AT33993" s="247"/>
    </row>
    <row r="33994">
      <c r="C33994" s="277"/>
      <c r="M33994" s="277"/>
      <c r="O33994" s="247"/>
      <c r="AC33994" s="247"/>
      <c r="AT33994" s="247"/>
    </row>
    <row r="33995">
      <c r="C33995" s="277"/>
      <c r="M33995" s="277"/>
      <c r="O33995" s="247"/>
      <c r="AC33995" s="247"/>
      <c r="AT33995" s="247"/>
    </row>
    <row r="33996">
      <c r="C33996" s="277"/>
      <c r="M33996" s="277"/>
      <c r="O33996" s="247"/>
      <c r="AC33996" s="247"/>
      <c r="AT33996" s="247"/>
    </row>
    <row r="33997">
      <c r="C33997" s="277"/>
      <c r="M33997" s="277"/>
      <c r="O33997" s="247"/>
      <c r="AC33997" s="247"/>
      <c r="AT33997" s="247"/>
    </row>
    <row r="33998">
      <c r="C33998" s="277"/>
      <c r="M33998" s="277"/>
      <c r="O33998" s="247"/>
      <c r="AC33998" s="247"/>
      <c r="AT33998" s="247"/>
    </row>
    <row r="33999">
      <c r="C33999" s="277"/>
      <c r="M33999" s="277"/>
      <c r="O33999" s="247"/>
      <c r="AC33999" s="247"/>
      <c r="AT33999" s="247"/>
    </row>
    <row r="34000">
      <c r="C34000" s="277"/>
      <c r="M34000" s="277"/>
      <c r="O34000" s="247"/>
      <c r="AC34000" s="247"/>
      <c r="AT34000" s="247"/>
    </row>
    <row r="34001">
      <c r="C34001" s="277"/>
      <c r="M34001" s="277"/>
      <c r="O34001" s="247"/>
      <c r="AC34001" s="247"/>
      <c r="AT34001" s="247"/>
    </row>
    <row r="34002">
      <c r="C34002" s="277"/>
      <c r="M34002" s="277"/>
      <c r="O34002" s="247"/>
      <c r="AC34002" s="247"/>
      <c r="AT34002" s="247"/>
    </row>
    <row r="34003">
      <c r="C34003" s="277"/>
      <c r="M34003" s="277"/>
      <c r="O34003" s="247"/>
      <c r="AC34003" s="247"/>
      <c r="AT34003" s="247"/>
    </row>
    <row r="34004">
      <c r="C34004" s="277"/>
      <c r="M34004" s="277"/>
      <c r="O34004" s="247"/>
      <c r="AC34004" s="247"/>
      <c r="AT34004" s="247"/>
    </row>
    <row r="34005">
      <c r="C34005" s="277"/>
      <c r="M34005" s="277"/>
      <c r="O34005" s="247"/>
      <c r="AC34005" s="247"/>
      <c r="AT34005" s="247"/>
    </row>
    <row r="34006">
      <c r="C34006" s="277"/>
      <c r="M34006" s="277"/>
      <c r="O34006" s="247"/>
      <c r="AC34006" s="247"/>
      <c r="AT34006" s="247"/>
    </row>
    <row r="34007">
      <c r="C34007" s="277"/>
      <c r="M34007" s="277"/>
      <c r="O34007" s="247"/>
      <c r="AC34007" s="247"/>
      <c r="AT34007" s="247"/>
    </row>
    <row r="34008">
      <c r="C34008" s="277"/>
      <c r="M34008" s="277"/>
      <c r="O34008" s="247"/>
      <c r="AC34008" s="247"/>
      <c r="AT34008" s="247"/>
    </row>
    <row r="34009">
      <c r="C34009" s="277"/>
      <c r="M34009" s="277"/>
      <c r="O34009" s="247"/>
      <c r="AC34009" s="247"/>
      <c r="AT34009" s="247"/>
    </row>
    <row r="34010">
      <c r="C34010" s="277"/>
      <c r="M34010" s="277"/>
      <c r="O34010" s="247"/>
      <c r="AC34010" s="247"/>
      <c r="AT34010" s="247"/>
    </row>
    <row r="34011">
      <c r="C34011" s="277"/>
      <c r="M34011" s="277"/>
      <c r="O34011" s="247"/>
      <c r="AC34011" s="247"/>
      <c r="AT34011" s="247"/>
    </row>
    <row r="34012">
      <c r="C34012" s="277"/>
      <c r="M34012" s="277"/>
      <c r="O34012" s="247"/>
      <c r="AC34012" s="247"/>
      <c r="AT34012" s="247"/>
    </row>
    <row r="34013">
      <c r="C34013" s="277"/>
      <c r="M34013" s="277"/>
      <c r="O34013" s="247"/>
      <c r="AC34013" s="247"/>
      <c r="AT34013" s="247"/>
    </row>
    <row r="34014">
      <c r="C34014" s="277"/>
      <c r="M34014" s="277"/>
      <c r="O34014" s="247"/>
      <c r="AC34014" s="247"/>
      <c r="AT34014" s="247"/>
    </row>
    <row r="34015">
      <c r="C34015" s="277"/>
      <c r="M34015" s="277"/>
      <c r="O34015" s="247"/>
      <c r="AC34015" s="247"/>
      <c r="AT34015" s="247"/>
    </row>
    <row r="34016">
      <c r="C34016" s="277"/>
      <c r="M34016" s="277"/>
      <c r="O34016" s="247"/>
      <c r="AC34016" s="247"/>
      <c r="AT34016" s="247"/>
    </row>
    <row r="34017">
      <c r="C34017" s="277"/>
      <c r="M34017" s="277"/>
      <c r="O34017" s="247"/>
      <c r="AC34017" s="247"/>
      <c r="AT34017" s="247"/>
    </row>
    <row r="34018">
      <c r="C34018" s="277"/>
      <c r="M34018" s="277"/>
      <c r="O34018" s="247"/>
      <c r="AC34018" s="247"/>
      <c r="AT34018" s="247"/>
    </row>
    <row r="34019">
      <c r="C34019" s="277"/>
      <c r="M34019" s="277"/>
      <c r="O34019" s="247"/>
      <c r="AC34019" s="247"/>
      <c r="AT34019" s="247"/>
    </row>
    <row r="34020">
      <c r="C34020" s="277"/>
      <c r="M34020" s="277"/>
      <c r="O34020" s="247"/>
      <c r="AC34020" s="247"/>
      <c r="AT34020" s="247"/>
    </row>
    <row r="34021">
      <c r="C34021" s="277"/>
      <c r="M34021" s="277"/>
      <c r="O34021" s="247"/>
      <c r="AC34021" s="247"/>
      <c r="AT34021" s="247"/>
    </row>
    <row r="34022">
      <c r="C34022" s="277"/>
      <c r="M34022" s="277"/>
      <c r="O34022" s="247"/>
      <c r="AC34022" s="247"/>
      <c r="AT34022" s="247"/>
    </row>
    <row r="34023">
      <c r="C34023" s="277"/>
      <c r="M34023" s="277"/>
      <c r="O34023" s="247"/>
      <c r="AC34023" s="247"/>
      <c r="AT34023" s="247"/>
    </row>
    <row r="34024">
      <c r="C34024" s="277"/>
      <c r="M34024" s="277"/>
      <c r="O34024" s="247"/>
      <c r="AC34024" s="247"/>
      <c r="AT34024" s="247"/>
    </row>
    <row r="34025">
      <c r="C34025" s="277"/>
      <c r="M34025" s="277"/>
      <c r="O34025" s="247"/>
      <c r="AC34025" s="247"/>
      <c r="AT34025" s="247"/>
    </row>
    <row r="34026">
      <c r="C34026" s="277"/>
      <c r="M34026" s="277"/>
      <c r="O34026" s="247"/>
      <c r="AC34026" s="247"/>
      <c r="AT34026" s="247"/>
    </row>
    <row r="34027">
      <c r="C34027" s="277"/>
      <c r="M34027" s="277"/>
      <c r="O34027" s="247"/>
      <c r="AC34027" s="247"/>
      <c r="AT34027" s="247"/>
    </row>
    <row r="34028">
      <c r="C34028" s="277"/>
      <c r="M34028" s="277"/>
      <c r="O34028" s="247"/>
      <c r="AC34028" s="247"/>
      <c r="AT34028" s="247"/>
    </row>
    <row r="34029">
      <c r="C34029" s="277"/>
      <c r="M34029" s="277"/>
      <c r="O34029" s="247"/>
      <c r="AC34029" s="247"/>
      <c r="AT34029" s="247"/>
    </row>
    <row r="34030">
      <c r="C34030" s="277"/>
      <c r="M34030" s="277"/>
      <c r="O34030" s="247"/>
      <c r="AC34030" s="247"/>
      <c r="AT34030" s="247"/>
    </row>
    <row r="34031">
      <c r="C34031" s="277"/>
      <c r="M34031" s="277"/>
      <c r="O34031" s="247"/>
      <c r="AC34031" s="247"/>
      <c r="AT34031" s="247"/>
    </row>
    <row r="34032">
      <c r="C34032" s="277"/>
      <c r="M34032" s="277"/>
      <c r="O34032" s="247"/>
      <c r="AC34032" s="247"/>
      <c r="AT34032" s="247"/>
    </row>
    <row r="34033">
      <c r="C34033" s="277"/>
      <c r="M34033" s="277"/>
      <c r="O34033" s="247"/>
      <c r="AC34033" s="247"/>
      <c r="AT34033" s="247"/>
    </row>
    <row r="34034">
      <c r="C34034" s="277"/>
      <c r="M34034" s="277"/>
      <c r="O34034" s="247"/>
      <c r="AC34034" s="247"/>
      <c r="AT34034" s="247"/>
    </row>
    <row r="34035">
      <c r="C34035" s="277"/>
      <c r="M34035" s="277"/>
      <c r="O34035" s="247"/>
      <c r="AC34035" s="247"/>
      <c r="AT34035" s="247"/>
    </row>
    <row r="34036">
      <c r="C34036" s="277"/>
      <c r="M34036" s="277"/>
      <c r="O34036" s="247"/>
      <c r="AC34036" s="247"/>
      <c r="AT34036" s="247"/>
    </row>
    <row r="34037">
      <c r="C34037" s="277"/>
      <c r="M34037" s="277"/>
      <c r="O34037" s="247"/>
      <c r="AC34037" s="247"/>
      <c r="AT34037" s="247"/>
    </row>
    <row r="34038">
      <c r="C34038" s="277"/>
      <c r="M34038" s="277"/>
      <c r="O34038" s="247"/>
      <c r="AC34038" s="247"/>
      <c r="AT34038" s="247"/>
    </row>
    <row r="34039">
      <c r="C34039" s="277"/>
      <c r="M34039" s="277"/>
      <c r="O34039" s="247"/>
      <c r="AC34039" s="247"/>
      <c r="AT34039" s="247"/>
    </row>
    <row r="34040">
      <c r="C34040" s="277"/>
      <c r="M34040" s="277"/>
      <c r="O34040" s="247"/>
      <c r="AC34040" s="247"/>
      <c r="AT34040" s="247"/>
    </row>
    <row r="34041">
      <c r="C34041" s="277"/>
      <c r="M34041" s="277"/>
      <c r="O34041" s="247"/>
      <c r="AC34041" s="247"/>
      <c r="AT34041" s="247"/>
    </row>
    <row r="34042">
      <c r="C34042" s="277"/>
      <c r="M34042" s="277"/>
      <c r="O34042" s="247"/>
      <c r="AC34042" s="247"/>
      <c r="AT34042" s="247"/>
    </row>
    <row r="34043">
      <c r="C34043" s="277"/>
      <c r="M34043" s="277"/>
      <c r="O34043" s="247"/>
      <c r="AC34043" s="247"/>
      <c r="AT34043" s="247"/>
    </row>
    <row r="34044">
      <c r="C34044" s="277"/>
      <c r="M34044" s="277"/>
      <c r="O34044" s="247"/>
      <c r="AC34044" s="247"/>
      <c r="AT34044" s="247"/>
    </row>
    <row r="34045">
      <c r="C34045" s="277"/>
      <c r="M34045" s="277"/>
      <c r="O34045" s="247"/>
      <c r="AC34045" s="247"/>
      <c r="AT34045" s="247"/>
    </row>
    <row r="34046">
      <c r="C34046" s="277"/>
      <c r="M34046" s="277"/>
      <c r="O34046" s="247"/>
      <c r="AC34046" s="247"/>
      <c r="AT34046" s="247"/>
    </row>
    <row r="34047">
      <c r="C34047" s="277"/>
      <c r="M34047" s="277"/>
      <c r="O34047" s="247"/>
      <c r="AC34047" s="247"/>
      <c r="AT34047" s="247"/>
    </row>
    <row r="34048">
      <c r="C34048" s="277"/>
      <c r="M34048" s="277"/>
      <c r="O34048" s="247"/>
      <c r="AC34048" s="247"/>
      <c r="AT34048" s="247"/>
    </row>
    <row r="34049">
      <c r="C34049" s="277"/>
      <c r="M34049" s="277"/>
      <c r="O34049" s="247"/>
      <c r="AC34049" s="247"/>
      <c r="AT34049" s="247"/>
    </row>
    <row r="34050">
      <c r="C34050" s="277"/>
      <c r="M34050" s="277"/>
      <c r="O34050" s="247"/>
      <c r="AC34050" s="247"/>
      <c r="AT34050" s="247"/>
    </row>
    <row r="34051">
      <c r="C34051" s="277"/>
      <c r="M34051" s="277"/>
      <c r="O34051" s="247"/>
      <c r="AC34051" s="247"/>
      <c r="AT34051" s="247"/>
    </row>
    <row r="34052">
      <c r="C34052" s="277"/>
      <c r="M34052" s="277"/>
      <c r="O34052" s="247"/>
      <c r="AC34052" s="247"/>
      <c r="AT34052" s="247"/>
    </row>
    <row r="34053">
      <c r="C34053" s="277"/>
      <c r="M34053" s="277"/>
      <c r="O34053" s="247"/>
      <c r="AC34053" s="247"/>
      <c r="AT34053" s="247"/>
    </row>
    <row r="34054">
      <c r="C34054" s="277"/>
      <c r="M34054" s="277"/>
      <c r="O34054" s="247"/>
      <c r="AC34054" s="247"/>
      <c r="AT34054" s="247"/>
    </row>
    <row r="34055">
      <c r="C34055" s="277"/>
      <c r="M34055" s="277"/>
      <c r="O34055" s="247"/>
      <c r="AC34055" s="247"/>
      <c r="AT34055" s="247"/>
    </row>
    <row r="34056">
      <c r="C34056" s="277"/>
      <c r="M34056" s="277"/>
      <c r="O34056" s="247"/>
      <c r="AC34056" s="247"/>
      <c r="AT34056" s="247"/>
    </row>
    <row r="34057">
      <c r="C34057" s="277"/>
      <c r="M34057" s="277"/>
      <c r="O34057" s="247"/>
      <c r="AC34057" s="247"/>
      <c r="AT34057" s="247"/>
    </row>
    <row r="34058">
      <c r="C34058" s="277"/>
      <c r="M34058" s="277"/>
      <c r="O34058" s="247"/>
      <c r="AC34058" s="247"/>
      <c r="AT34058" s="247"/>
    </row>
    <row r="34059">
      <c r="C34059" s="277"/>
      <c r="M34059" s="277"/>
      <c r="O34059" s="247"/>
      <c r="AC34059" s="247"/>
      <c r="AT34059" s="247"/>
    </row>
    <row r="34060">
      <c r="C34060" s="277"/>
      <c r="M34060" s="277"/>
      <c r="O34060" s="247"/>
      <c r="AC34060" s="247"/>
      <c r="AT34060" s="247"/>
    </row>
    <row r="34061">
      <c r="C34061" s="277"/>
      <c r="M34061" s="277"/>
      <c r="O34061" s="247"/>
      <c r="AC34061" s="247"/>
      <c r="AT34061" s="247"/>
    </row>
    <row r="34062">
      <c r="C34062" s="277"/>
      <c r="M34062" s="277"/>
      <c r="O34062" s="247"/>
      <c r="AC34062" s="247"/>
      <c r="AT34062" s="247"/>
    </row>
    <row r="34063">
      <c r="C34063" s="277"/>
      <c r="M34063" s="277"/>
      <c r="O34063" s="247"/>
      <c r="AC34063" s="247"/>
      <c r="AT34063" s="247"/>
    </row>
    <row r="34064">
      <c r="C34064" s="277"/>
      <c r="M34064" s="277"/>
      <c r="O34064" s="247"/>
      <c r="AC34064" s="247"/>
      <c r="AT34064" s="247"/>
    </row>
    <row r="34065">
      <c r="C34065" s="277"/>
      <c r="M34065" s="277"/>
      <c r="O34065" s="247"/>
      <c r="AC34065" s="247"/>
      <c r="AT34065" s="247"/>
    </row>
    <row r="34066">
      <c r="C34066" s="277"/>
      <c r="M34066" s="277"/>
      <c r="O34066" s="247"/>
      <c r="AC34066" s="247"/>
      <c r="AT34066" s="247"/>
    </row>
    <row r="34067">
      <c r="C34067" s="277"/>
      <c r="M34067" s="277"/>
      <c r="O34067" s="247"/>
      <c r="AC34067" s="247"/>
      <c r="AT34067" s="247"/>
    </row>
    <row r="34068">
      <c r="C34068" s="277"/>
      <c r="M34068" s="277"/>
      <c r="O34068" s="247"/>
      <c r="AC34068" s="247"/>
      <c r="AT34068" s="247"/>
    </row>
    <row r="34069">
      <c r="C34069" s="277"/>
      <c r="M34069" s="277"/>
      <c r="O34069" s="247"/>
      <c r="AC34069" s="247"/>
      <c r="AT34069" s="247"/>
    </row>
    <row r="34070">
      <c r="C34070" s="277"/>
      <c r="M34070" s="277"/>
      <c r="O34070" s="247"/>
      <c r="AC34070" s="247"/>
      <c r="AT34070" s="247"/>
    </row>
    <row r="34071">
      <c r="C34071" s="277"/>
      <c r="M34071" s="277"/>
      <c r="O34071" s="247"/>
      <c r="AC34071" s="247"/>
      <c r="AT34071" s="247"/>
    </row>
    <row r="34072">
      <c r="C34072" s="277"/>
      <c r="M34072" s="277"/>
      <c r="O34072" s="247"/>
      <c r="AC34072" s="247"/>
      <c r="AT34072" s="247"/>
    </row>
    <row r="34073">
      <c r="C34073" s="277"/>
      <c r="M34073" s="277"/>
      <c r="O34073" s="247"/>
      <c r="AC34073" s="247"/>
      <c r="AT34073" s="247"/>
    </row>
    <row r="34074">
      <c r="C34074" s="277"/>
      <c r="M34074" s="277"/>
      <c r="O34074" s="247"/>
      <c r="AC34074" s="247"/>
      <c r="AT34074" s="247"/>
    </row>
    <row r="34075">
      <c r="C34075" s="277"/>
      <c r="M34075" s="277"/>
      <c r="O34075" s="247"/>
      <c r="AC34075" s="247"/>
      <c r="AT34075" s="247"/>
    </row>
    <row r="34076">
      <c r="C34076" s="277"/>
      <c r="M34076" s="277"/>
      <c r="O34076" s="247"/>
      <c r="AC34076" s="247"/>
      <c r="AT34076" s="247"/>
    </row>
    <row r="34077">
      <c r="C34077" s="277"/>
      <c r="M34077" s="277"/>
      <c r="O34077" s="247"/>
      <c r="AC34077" s="247"/>
      <c r="AT34077" s="247"/>
    </row>
    <row r="34078">
      <c r="C34078" s="277"/>
      <c r="M34078" s="277"/>
      <c r="O34078" s="247"/>
      <c r="AC34078" s="247"/>
      <c r="AT34078" s="247"/>
    </row>
    <row r="34079">
      <c r="C34079" s="277"/>
      <c r="M34079" s="277"/>
      <c r="O34079" s="247"/>
      <c r="AC34079" s="247"/>
      <c r="AT34079" s="247"/>
    </row>
    <row r="34080">
      <c r="C34080" s="277"/>
      <c r="M34080" s="277"/>
      <c r="O34080" s="247"/>
      <c r="AC34080" s="247"/>
      <c r="AT34080" s="247"/>
    </row>
    <row r="34081">
      <c r="C34081" s="277"/>
      <c r="M34081" s="277"/>
      <c r="O34081" s="247"/>
      <c r="AC34081" s="247"/>
      <c r="AT34081" s="247"/>
    </row>
    <row r="34082">
      <c r="C34082" s="277"/>
      <c r="M34082" s="277"/>
      <c r="O34082" s="247"/>
      <c r="AC34082" s="247"/>
      <c r="AT34082" s="247"/>
    </row>
    <row r="34083">
      <c r="C34083" s="277"/>
      <c r="M34083" s="277"/>
      <c r="O34083" s="247"/>
      <c r="AC34083" s="247"/>
      <c r="AT34083" s="247"/>
    </row>
    <row r="34084">
      <c r="C34084" s="277"/>
      <c r="M34084" s="277"/>
      <c r="O34084" s="247"/>
      <c r="AC34084" s="247"/>
      <c r="AT34084" s="247"/>
    </row>
    <row r="34085">
      <c r="C34085" s="277"/>
      <c r="M34085" s="277"/>
      <c r="O34085" s="247"/>
      <c r="AC34085" s="247"/>
      <c r="AT34085" s="247"/>
    </row>
    <row r="34086">
      <c r="C34086" s="277"/>
      <c r="M34086" s="277"/>
      <c r="O34086" s="247"/>
      <c r="AC34086" s="247"/>
      <c r="AT34086" s="247"/>
    </row>
    <row r="34087">
      <c r="C34087" s="277"/>
      <c r="M34087" s="277"/>
      <c r="O34087" s="247"/>
      <c r="AC34087" s="247"/>
      <c r="AT34087" s="247"/>
    </row>
    <row r="34088">
      <c r="C34088" s="277"/>
      <c r="M34088" s="277"/>
      <c r="O34088" s="247"/>
      <c r="AC34088" s="247"/>
      <c r="AT34088" s="247"/>
    </row>
    <row r="34089">
      <c r="C34089" s="277"/>
      <c r="M34089" s="277"/>
      <c r="O34089" s="247"/>
      <c r="AC34089" s="247"/>
      <c r="AT34089" s="247"/>
    </row>
    <row r="34090">
      <c r="C34090" s="277"/>
      <c r="M34090" s="277"/>
      <c r="O34090" s="247"/>
      <c r="AC34090" s="247"/>
      <c r="AT34090" s="247"/>
    </row>
    <row r="34091">
      <c r="C34091" s="277"/>
      <c r="M34091" s="277"/>
      <c r="O34091" s="247"/>
      <c r="AC34091" s="247"/>
      <c r="AT34091" s="247"/>
    </row>
    <row r="34092">
      <c r="C34092" s="277"/>
      <c r="M34092" s="277"/>
      <c r="O34092" s="247"/>
      <c r="AC34092" s="247"/>
      <c r="AT34092" s="247"/>
    </row>
    <row r="34093">
      <c r="C34093" s="277"/>
      <c r="M34093" s="277"/>
      <c r="O34093" s="247"/>
      <c r="AC34093" s="247"/>
      <c r="AT34093" s="247"/>
    </row>
    <row r="34094">
      <c r="C34094" s="277"/>
      <c r="M34094" s="277"/>
      <c r="O34094" s="247"/>
      <c r="AC34094" s="247"/>
      <c r="AT34094" s="247"/>
    </row>
    <row r="34095">
      <c r="C34095" s="277"/>
      <c r="M34095" s="277"/>
      <c r="O34095" s="247"/>
      <c r="AC34095" s="247"/>
      <c r="AT34095" s="247"/>
    </row>
    <row r="34096">
      <c r="C34096" s="277"/>
      <c r="M34096" s="277"/>
      <c r="O34096" s="247"/>
      <c r="AC34096" s="247"/>
      <c r="AT34096" s="247"/>
    </row>
    <row r="34097">
      <c r="C34097" s="277"/>
      <c r="M34097" s="277"/>
      <c r="O34097" s="247"/>
      <c r="AC34097" s="247"/>
      <c r="AT34097" s="247"/>
    </row>
    <row r="34098">
      <c r="C34098" s="277"/>
      <c r="M34098" s="277"/>
      <c r="O34098" s="247"/>
      <c r="AC34098" s="247"/>
      <c r="AT34098" s="247"/>
    </row>
    <row r="34099">
      <c r="C34099" s="277"/>
      <c r="M34099" s="277"/>
      <c r="O34099" s="247"/>
      <c r="AC34099" s="247"/>
      <c r="AT34099" s="247"/>
    </row>
    <row r="34100">
      <c r="C34100" s="277"/>
      <c r="M34100" s="277"/>
      <c r="O34100" s="247"/>
      <c r="AC34100" s="247"/>
      <c r="AT34100" s="247"/>
    </row>
    <row r="34101">
      <c r="C34101" s="277"/>
      <c r="M34101" s="277"/>
      <c r="O34101" s="247"/>
      <c r="AC34101" s="247"/>
      <c r="AT34101" s="247"/>
    </row>
    <row r="34102">
      <c r="C34102" s="277"/>
      <c r="M34102" s="277"/>
      <c r="O34102" s="247"/>
      <c r="AC34102" s="247"/>
      <c r="AT34102" s="247"/>
    </row>
    <row r="34103">
      <c r="C34103" s="277"/>
      <c r="M34103" s="277"/>
      <c r="O34103" s="247"/>
      <c r="AC34103" s="247"/>
      <c r="AT34103" s="247"/>
    </row>
    <row r="34104">
      <c r="C34104" s="277"/>
      <c r="M34104" s="277"/>
      <c r="O34104" s="247"/>
      <c r="AC34104" s="247"/>
      <c r="AT34104" s="247"/>
    </row>
    <row r="34105">
      <c r="C34105" s="277"/>
      <c r="M34105" s="277"/>
      <c r="O34105" s="247"/>
      <c r="AC34105" s="247"/>
      <c r="AT34105" s="247"/>
    </row>
    <row r="34106">
      <c r="C34106" s="277"/>
      <c r="M34106" s="277"/>
      <c r="O34106" s="247"/>
      <c r="AC34106" s="247"/>
      <c r="AT34106" s="247"/>
    </row>
    <row r="34107">
      <c r="C34107" s="277"/>
      <c r="M34107" s="277"/>
      <c r="O34107" s="247"/>
      <c r="AC34107" s="247"/>
      <c r="AT34107" s="247"/>
    </row>
    <row r="34108">
      <c r="C34108" s="277"/>
      <c r="M34108" s="277"/>
      <c r="O34108" s="247"/>
      <c r="AC34108" s="247"/>
      <c r="AT34108" s="247"/>
    </row>
    <row r="34109">
      <c r="C34109" s="277"/>
      <c r="M34109" s="277"/>
      <c r="O34109" s="247"/>
      <c r="AC34109" s="247"/>
      <c r="AT34109" s="247"/>
    </row>
    <row r="34110">
      <c r="C34110" s="277"/>
      <c r="M34110" s="277"/>
      <c r="O34110" s="247"/>
      <c r="AC34110" s="247"/>
      <c r="AT34110" s="247"/>
    </row>
    <row r="34111">
      <c r="C34111" s="277"/>
      <c r="M34111" s="277"/>
      <c r="O34111" s="247"/>
      <c r="AC34111" s="247"/>
      <c r="AT34111" s="247"/>
    </row>
    <row r="34112">
      <c r="C34112" s="277"/>
      <c r="M34112" s="277"/>
      <c r="O34112" s="247"/>
      <c r="AC34112" s="247"/>
      <c r="AT34112" s="247"/>
    </row>
    <row r="34113">
      <c r="C34113" s="277"/>
      <c r="M34113" s="277"/>
      <c r="O34113" s="247"/>
      <c r="AC34113" s="247"/>
      <c r="AT34113" s="247"/>
    </row>
    <row r="34114">
      <c r="C34114" s="277"/>
      <c r="M34114" s="277"/>
      <c r="O34114" s="247"/>
      <c r="AC34114" s="247"/>
      <c r="AT34114" s="247"/>
    </row>
    <row r="34115">
      <c r="C34115" s="277"/>
      <c r="M34115" s="277"/>
      <c r="O34115" s="247"/>
      <c r="AC34115" s="247"/>
      <c r="AT34115" s="247"/>
    </row>
    <row r="34116">
      <c r="C34116" s="277"/>
      <c r="M34116" s="277"/>
      <c r="O34116" s="247"/>
      <c r="AC34116" s="247"/>
      <c r="AT34116" s="247"/>
    </row>
    <row r="34117">
      <c r="C34117" s="277"/>
      <c r="M34117" s="277"/>
      <c r="O34117" s="247"/>
      <c r="AC34117" s="247"/>
      <c r="AT34117" s="247"/>
    </row>
    <row r="34118">
      <c r="C34118" s="277"/>
      <c r="M34118" s="277"/>
      <c r="O34118" s="247"/>
      <c r="AC34118" s="247"/>
      <c r="AT34118" s="247"/>
    </row>
    <row r="34119">
      <c r="C34119" s="277"/>
      <c r="M34119" s="277"/>
      <c r="O34119" s="247"/>
      <c r="AC34119" s="247"/>
      <c r="AT34119" s="247"/>
    </row>
    <row r="34120">
      <c r="C34120" s="277"/>
      <c r="M34120" s="277"/>
      <c r="O34120" s="247"/>
      <c r="AC34120" s="247"/>
      <c r="AT34120" s="247"/>
    </row>
    <row r="34121">
      <c r="C34121" s="277"/>
      <c r="M34121" s="277"/>
      <c r="O34121" s="247"/>
      <c r="AC34121" s="247"/>
      <c r="AT34121" s="247"/>
    </row>
    <row r="34122">
      <c r="C34122" s="277"/>
      <c r="M34122" s="277"/>
      <c r="O34122" s="247"/>
      <c r="AC34122" s="247"/>
      <c r="AT34122" s="247"/>
    </row>
    <row r="34123">
      <c r="C34123" s="277"/>
      <c r="M34123" s="277"/>
      <c r="O34123" s="247"/>
      <c r="AC34123" s="247"/>
      <c r="AT34123" s="247"/>
    </row>
    <row r="34124">
      <c r="C34124" s="277"/>
      <c r="M34124" s="277"/>
      <c r="O34124" s="247"/>
      <c r="AC34124" s="247"/>
      <c r="AT34124" s="247"/>
    </row>
    <row r="34125">
      <c r="C34125" s="277"/>
      <c r="M34125" s="277"/>
      <c r="O34125" s="247"/>
      <c r="AC34125" s="247"/>
      <c r="AT34125" s="247"/>
    </row>
    <row r="34126">
      <c r="C34126" s="277"/>
      <c r="M34126" s="277"/>
      <c r="O34126" s="247"/>
      <c r="AC34126" s="247"/>
      <c r="AT34126" s="247"/>
    </row>
    <row r="34127">
      <c r="C34127" s="277"/>
      <c r="M34127" s="277"/>
      <c r="O34127" s="247"/>
      <c r="AC34127" s="247"/>
      <c r="AT34127" s="247"/>
    </row>
    <row r="34128">
      <c r="C34128" s="277"/>
      <c r="M34128" s="277"/>
      <c r="O34128" s="247"/>
      <c r="AC34128" s="247"/>
      <c r="AT34128" s="247"/>
    </row>
    <row r="34129">
      <c r="C34129" s="277"/>
      <c r="M34129" s="277"/>
      <c r="O34129" s="247"/>
      <c r="AC34129" s="247"/>
      <c r="AT34129" s="247"/>
    </row>
    <row r="34130">
      <c r="C34130" s="277"/>
      <c r="M34130" s="277"/>
      <c r="O34130" s="247"/>
      <c r="AC34130" s="247"/>
      <c r="AT34130" s="247"/>
    </row>
    <row r="34131">
      <c r="C34131" s="277"/>
      <c r="M34131" s="277"/>
      <c r="O34131" s="247"/>
      <c r="AC34131" s="247"/>
      <c r="AT34131" s="247"/>
    </row>
    <row r="34132">
      <c r="C34132" s="277"/>
      <c r="M34132" s="277"/>
      <c r="O34132" s="247"/>
      <c r="AC34132" s="247"/>
      <c r="AT34132" s="247"/>
    </row>
    <row r="34133">
      <c r="C34133" s="277"/>
      <c r="M34133" s="277"/>
      <c r="O34133" s="247"/>
      <c r="AC34133" s="247"/>
      <c r="AT34133" s="247"/>
    </row>
    <row r="34134">
      <c r="C34134" s="277"/>
      <c r="M34134" s="277"/>
      <c r="O34134" s="247"/>
      <c r="AC34134" s="247"/>
      <c r="AT34134" s="247"/>
    </row>
    <row r="34135">
      <c r="C34135" s="277"/>
      <c r="M34135" s="277"/>
      <c r="O34135" s="247"/>
      <c r="AC34135" s="247"/>
      <c r="AT34135" s="247"/>
    </row>
    <row r="34136">
      <c r="C34136" s="277"/>
      <c r="M34136" s="277"/>
      <c r="O34136" s="247"/>
      <c r="AC34136" s="247"/>
      <c r="AT34136" s="247"/>
    </row>
    <row r="34137">
      <c r="C34137" s="277"/>
      <c r="M34137" s="277"/>
      <c r="O34137" s="247"/>
      <c r="AC34137" s="247"/>
      <c r="AT34137" s="247"/>
    </row>
    <row r="34138">
      <c r="C34138" s="277"/>
      <c r="M34138" s="277"/>
      <c r="O34138" s="247"/>
      <c r="AC34138" s="247"/>
      <c r="AT34138" s="247"/>
    </row>
    <row r="34139">
      <c r="C34139" s="277"/>
      <c r="M34139" s="277"/>
      <c r="O34139" s="247"/>
      <c r="AC34139" s="247"/>
      <c r="AT34139" s="247"/>
    </row>
    <row r="34140">
      <c r="C34140" s="277"/>
      <c r="M34140" s="277"/>
      <c r="O34140" s="247"/>
      <c r="AC34140" s="247"/>
      <c r="AT34140" s="247"/>
    </row>
    <row r="34141">
      <c r="C34141" s="277"/>
      <c r="M34141" s="277"/>
      <c r="O34141" s="247"/>
      <c r="AC34141" s="247"/>
      <c r="AT34141" s="247"/>
    </row>
    <row r="34142">
      <c r="C34142" s="277"/>
      <c r="M34142" s="277"/>
      <c r="O34142" s="247"/>
      <c r="AC34142" s="247"/>
      <c r="AT34142" s="247"/>
    </row>
    <row r="34143">
      <c r="C34143" s="277"/>
      <c r="M34143" s="277"/>
      <c r="O34143" s="247"/>
      <c r="AC34143" s="247"/>
      <c r="AT34143" s="247"/>
    </row>
    <row r="34144">
      <c r="C34144" s="277"/>
      <c r="M34144" s="277"/>
      <c r="O34144" s="247"/>
      <c r="AC34144" s="247"/>
      <c r="AT34144" s="247"/>
    </row>
    <row r="34145">
      <c r="C34145" s="277"/>
      <c r="M34145" s="277"/>
      <c r="O34145" s="247"/>
      <c r="AC34145" s="247"/>
      <c r="AT34145" s="247"/>
    </row>
    <row r="34146">
      <c r="C34146" s="277"/>
      <c r="M34146" s="277"/>
      <c r="O34146" s="247"/>
      <c r="AC34146" s="247"/>
      <c r="AT34146" s="247"/>
    </row>
    <row r="34147">
      <c r="C34147" s="277"/>
      <c r="M34147" s="277"/>
      <c r="O34147" s="247"/>
      <c r="AC34147" s="247"/>
      <c r="AT34147" s="247"/>
    </row>
    <row r="34148">
      <c r="C34148" s="277"/>
      <c r="M34148" s="277"/>
      <c r="O34148" s="247"/>
      <c r="AC34148" s="247"/>
      <c r="AT34148" s="247"/>
    </row>
    <row r="34149">
      <c r="C34149" s="277"/>
      <c r="M34149" s="277"/>
      <c r="O34149" s="247"/>
      <c r="AC34149" s="247"/>
      <c r="AT34149" s="247"/>
    </row>
    <row r="34150">
      <c r="C34150" s="277"/>
      <c r="M34150" s="277"/>
      <c r="O34150" s="247"/>
      <c r="AC34150" s="247"/>
      <c r="AT34150" s="247"/>
    </row>
    <row r="34151">
      <c r="C34151" s="277"/>
      <c r="M34151" s="277"/>
      <c r="O34151" s="247"/>
      <c r="AC34151" s="247"/>
      <c r="AT34151" s="247"/>
    </row>
    <row r="34152">
      <c r="C34152" s="277"/>
      <c r="M34152" s="277"/>
      <c r="O34152" s="247"/>
      <c r="AC34152" s="247"/>
      <c r="AT34152" s="247"/>
    </row>
    <row r="34153">
      <c r="C34153" s="277"/>
      <c r="M34153" s="277"/>
      <c r="O34153" s="247"/>
      <c r="AC34153" s="247"/>
      <c r="AT34153" s="247"/>
    </row>
    <row r="34154">
      <c r="C34154" s="277"/>
      <c r="M34154" s="277"/>
      <c r="O34154" s="247"/>
      <c r="AC34154" s="247"/>
      <c r="AT34154" s="247"/>
    </row>
    <row r="34155">
      <c r="C34155" s="277"/>
      <c r="M34155" s="277"/>
      <c r="O34155" s="247"/>
      <c r="AC34155" s="247"/>
      <c r="AT34155" s="247"/>
    </row>
    <row r="34156">
      <c r="C34156" s="277"/>
      <c r="M34156" s="277"/>
      <c r="O34156" s="247"/>
      <c r="AC34156" s="247"/>
      <c r="AT34156" s="247"/>
    </row>
    <row r="34157">
      <c r="C34157" s="277"/>
      <c r="M34157" s="277"/>
      <c r="O34157" s="247"/>
      <c r="AC34157" s="247"/>
      <c r="AT34157" s="247"/>
    </row>
    <row r="34158">
      <c r="C34158" s="277"/>
      <c r="M34158" s="277"/>
      <c r="O34158" s="247"/>
      <c r="AC34158" s="247"/>
      <c r="AT34158" s="247"/>
    </row>
    <row r="34159">
      <c r="C34159" s="277"/>
      <c r="M34159" s="277"/>
      <c r="O34159" s="247"/>
      <c r="AC34159" s="247"/>
      <c r="AT34159" s="247"/>
    </row>
    <row r="34160">
      <c r="C34160" s="277"/>
      <c r="M34160" s="277"/>
      <c r="O34160" s="247"/>
      <c r="AC34160" s="247"/>
      <c r="AT34160" s="247"/>
    </row>
    <row r="34161">
      <c r="C34161" s="277"/>
      <c r="M34161" s="277"/>
      <c r="O34161" s="247"/>
      <c r="AC34161" s="247"/>
      <c r="AT34161" s="247"/>
    </row>
    <row r="34162">
      <c r="C34162" s="277"/>
      <c r="M34162" s="277"/>
      <c r="O34162" s="247"/>
      <c r="AC34162" s="247"/>
      <c r="AT34162" s="247"/>
    </row>
    <row r="34163">
      <c r="C34163" s="277"/>
      <c r="M34163" s="277"/>
      <c r="O34163" s="247"/>
      <c r="AC34163" s="247"/>
      <c r="AT34163" s="247"/>
    </row>
    <row r="34164">
      <c r="C34164" s="277"/>
      <c r="M34164" s="277"/>
      <c r="O34164" s="247"/>
      <c r="AC34164" s="247"/>
      <c r="AT34164" s="247"/>
    </row>
    <row r="34165">
      <c r="C34165" s="277"/>
      <c r="M34165" s="277"/>
      <c r="O34165" s="247"/>
      <c r="AC34165" s="247"/>
      <c r="AT34165" s="247"/>
    </row>
    <row r="34166">
      <c r="C34166" s="277"/>
      <c r="M34166" s="277"/>
      <c r="O34166" s="247"/>
      <c r="AC34166" s="247"/>
      <c r="AT34166" s="247"/>
    </row>
    <row r="34167">
      <c r="C34167" s="277"/>
      <c r="M34167" s="277"/>
      <c r="O34167" s="247"/>
      <c r="AC34167" s="247"/>
      <c r="AT34167" s="247"/>
    </row>
    <row r="34168">
      <c r="C34168" s="277"/>
      <c r="M34168" s="277"/>
      <c r="O34168" s="247"/>
      <c r="AC34168" s="247"/>
      <c r="AT34168" s="247"/>
    </row>
    <row r="34169">
      <c r="C34169" s="277"/>
      <c r="M34169" s="277"/>
      <c r="O34169" s="247"/>
      <c r="AC34169" s="247"/>
      <c r="AT34169" s="247"/>
    </row>
    <row r="34170">
      <c r="C34170" s="277"/>
      <c r="M34170" s="277"/>
      <c r="O34170" s="247"/>
      <c r="AC34170" s="247"/>
      <c r="AT34170" s="247"/>
    </row>
    <row r="34171">
      <c r="C34171" s="277"/>
      <c r="M34171" s="277"/>
      <c r="O34171" s="247"/>
      <c r="AC34171" s="247"/>
      <c r="AT34171" s="247"/>
    </row>
    <row r="34172">
      <c r="C34172" s="277"/>
      <c r="M34172" s="277"/>
      <c r="O34172" s="247"/>
      <c r="AC34172" s="247"/>
      <c r="AT34172" s="247"/>
    </row>
    <row r="34173">
      <c r="C34173" s="277"/>
      <c r="M34173" s="277"/>
      <c r="O34173" s="247"/>
      <c r="AC34173" s="247"/>
      <c r="AT34173" s="247"/>
    </row>
    <row r="34174">
      <c r="C34174" s="277"/>
      <c r="M34174" s="277"/>
      <c r="O34174" s="247"/>
      <c r="AC34174" s="247"/>
      <c r="AT34174" s="247"/>
    </row>
    <row r="34175">
      <c r="C34175" s="277"/>
      <c r="M34175" s="277"/>
      <c r="O34175" s="247"/>
      <c r="AC34175" s="247"/>
      <c r="AT34175" s="247"/>
    </row>
    <row r="34176">
      <c r="C34176" s="277"/>
      <c r="M34176" s="277"/>
      <c r="O34176" s="247"/>
      <c r="AC34176" s="247"/>
      <c r="AT34176" s="247"/>
    </row>
    <row r="34177">
      <c r="C34177" s="277"/>
      <c r="M34177" s="277"/>
      <c r="O34177" s="247"/>
      <c r="AC34177" s="247"/>
      <c r="AT34177" s="247"/>
    </row>
    <row r="34178">
      <c r="C34178" s="277"/>
      <c r="M34178" s="277"/>
      <c r="O34178" s="247"/>
      <c r="AC34178" s="247"/>
      <c r="AT34178" s="247"/>
    </row>
    <row r="34179">
      <c r="C34179" s="277"/>
      <c r="M34179" s="277"/>
      <c r="O34179" s="247"/>
      <c r="AC34179" s="247"/>
      <c r="AT34179" s="247"/>
    </row>
    <row r="34180">
      <c r="C34180" s="277"/>
      <c r="M34180" s="277"/>
      <c r="O34180" s="247"/>
      <c r="AC34180" s="247"/>
      <c r="AT34180" s="247"/>
    </row>
    <row r="34181">
      <c r="C34181" s="277"/>
      <c r="M34181" s="277"/>
      <c r="O34181" s="247"/>
      <c r="AC34181" s="247"/>
      <c r="AT34181" s="247"/>
    </row>
    <row r="34182">
      <c r="C34182" s="277"/>
      <c r="M34182" s="277"/>
      <c r="O34182" s="247"/>
      <c r="AC34182" s="247"/>
      <c r="AT34182" s="247"/>
    </row>
    <row r="34183">
      <c r="C34183" s="277"/>
      <c r="M34183" s="277"/>
      <c r="O34183" s="247"/>
      <c r="AC34183" s="247"/>
      <c r="AT34183" s="247"/>
    </row>
    <row r="34184">
      <c r="C34184" s="277"/>
      <c r="M34184" s="277"/>
      <c r="O34184" s="247"/>
      <c r="AC34184" s="247"/>
      <c r="AT34184" s="247"/>
    </row>
    <row r="34185">
      <c r="C34185" s="277"/>
      <c r="M34185" s="277"/>
      <c r="O34185" s="247"/>
      <c r="AC34185" s="247"/>
      <c r="AT34185" s="247"/>
    </row>
    <row r="34186">
      <c r="C34186" s="277"/>
      <c r="M34186" s="277"/>
      <c r="O34186" s="247"/>
      <c r="AC34186" s="247"/>
      <c r="AT34186" s="247"/>
    </row>
    <row r="34187">
      <c r="C34187" s="277"/>
      <c r="M34187" s="277"/>
      <c r="O34187" s="247"/>
      <c r="AC34187" s="247"/>
      <c r="AT34187" s="247"/>
    </row>
    <row r="34188">
      <c r="C34188" s="277"/>
      <c r="M34188" s="277"/>
      <c r="O34188" s="247"/>
      <c r="AC34188" s="247"/>
      <c r="AT34188" s="247"/>
    </row>
    <row r="34189">
      <c r="C34189" s="277"/>
      <c r="M34189" s="277"/>
      <c r="O34189" s="247"/>
      <c r="AC34189" s="247"/>
      <c r="AT34189" s="247"/>
    </row>
    <row r="34190">
      <c r="C34190" s="277"/>
      <c r="M34190" s="277"/>
      <c r="O34190" s="247"/>
      <c r="AC34190" s="247"/>
      <c r="AT34190" s="247"/>
    </row>
    <row r="34191">
      <c r="C34191" s="277"/>
      <c r="M34191" s="277"/>
      <c r="O34191" s="247"/>
      <c r="AC34191" s="247"/>
      <c r="AT34191" s="247"/>
    </row>
    <row r="34192">
      <c r="C34192" s="277"/>
      <c r="M34192" s="277"/>
      <c r="O34192" s="247"/>
      <c r="AC34192" s="247"/>
      <c r="AT34192" s="247"/>
    </row>
    <row r="34193">
      <c r="C34193" s="277"/>
      <c r="M34193" s="277"/>
      <c r="O34193" s="247"/>
      <c r="AC34193" s="247"/>
      <c r="AT34193" s="247"/>
    </row>
    <row r="34194">
      <c r="C34194" s="277"/>
      <c r="M34194" s="277"/>
      <c r="O34194" s="247"/>
      <c r="AC34194" s="247"/>
      <c r="AT34194" s="247"/>
    </row>
    <row r="34195">
      <c r="C34195" s="277"/>
      <c r="M34195" s="277"/>
      <c r="O34195" s="247"/>
      <c r="AC34195" s="247"/>
      <c r="AT34195" s="247"/>
    </row>
    <row r="34196">
      <c r="C34196" s="277"/>
      <c r="M34196" s="277"/>
      <c r="O34196" s="247"/>
      <c r="AC34196" s="247"/>
      <c r="AT34196" s="247"/>
    </row>
    <row r="34197">
      <c r="C34197" s="277"/>
      <c r="M34197" s="277"/>
      <c r="O34197" s="247"/>
      <c r="AC34197" s="247"/>
      <c r="AT34197" s="247"/>
    </row>
    <row r="34198">
      <c r="C34198" s="277"/>
      <c r="M34198" s="277"/>
      <c r="O34198" s="247"/>
      <c r="AC34198" s="247"/>
      <c r="AT34198" s="247"/>
    </row>
    <row r="34199">
      <c r="C34199" s="277"/>
      <c r="M34199" s="277"/>
      <c r="O34199" s="247"/>
      <c r="AC34199" s="247"/>
      <c r="AT34199" s="247"/>
    </row>
    <row r="34200">
      <c r="C34200" s="277"/>
      <c r="M34200" s="277"/>
      <c r="O34200" s="247"/>
      <c r="AC34200" s="247"/>
      <c r="AT34200" s="247"/>
    </row>
    <row r="34201">
      <c r="C34201" s="277"/>
      <c r="M34201" s="277"/>
      <c r="O34201" s="247"/>
      <c r="AC34201" s="247"/>
      <c r="AT34201" s="247"/>
    </row>
    <row r="34202">
      <c r="C34202" s="277"/>
      <c r="M34202" s="277"/>
      <c r="O34202" s="247"/>
      <c r="AC34202" s="247"/>
      <c r="AT34202" s="247"/>
    </row>
    <row r="34203">
      <c r="C34203" s="277"/>
      <c r="M34203" s="277"/>
      <c r="O34203" s="247"/>
      <c r="AC34203" s="247"/>
      <c r="AT34203" s="247"/>
    </row>
    <row r="34204">
      <c r="C34204" s="277"/>
      <c r="M34204" s="277"/>
      <c r="O34204" s="247"/>
      <c r="AC34204" s="247"/>
      <c r="AT34204" s="247"/>
    </row>
    <row r="34205">
      <c r="C34205" s="277"/>
      <c r="M34205" s="277"/>
      <c r="O34205" s="247"/>
      <c r="AC34205" s="247"/>
      <c r="AT34205" s="247"/>
    </row>
    <row r="34206">
      <c r="C34206" s="277"/>
      <c r="M34206" s="277"/>
      <c r="O34206" s="247"/>
      <c r="AC34206" s="247"/>
      <c r="AT34206" s="247"/>
    </row>
    <row r="34207">
      <c r="C34207" s="277"/>
      <c r="M34207" s="277"/>
      <c r="O34207" s="247"/>
      <c r="AC34207" s="247"/>
      <c r="AT34207" s="247"/>
    </row>
    <row r="34208">
      <c r="C34208" s="277"/>
      <c r="M34208" s="277"/>
      <c r="O34208" s="247"/>
      <c r="AC34208" s="247"/>
      <c r="AT34208" s="247"/>
    </row>
    <row r="34209">
      <c r="C34209" s="277"/>
      <c r="M34209" s="277"/>
      <c r="O34209" s="247"/>
      <c r="AC34209" s="247"/>
      <c r="AT34209" s="247"/>
    </row>
    <row r="34210">
      <c r="C34210" s="277"/>
      <c r="M34210" s="277"/>
      <c r="O34210" s="247"/>
      <c r="AC34210" s="247"/>
      <c r="AT34210" s="247"/>
    </row>
    <row r="34211">
      <c r="C34211" s="277"/>
      <c r="M34211" s="277"/>
      <c r="O34211" s="247"/>
      <c r="AC34211" s="247"/>
      <c r="AT34211" s="247"/>
    </row>
    <row r="34212">
      <c r="C34212" s="277"/>
      <c r="M34212" s="277"/>
      <c r="O34212" s="247"/>
      <c r="AC34212" s="247"/>
      <c r="AT34212" s="247"/>
    </row>
    <row r="34213">
      <c r="C34213" s="277"/>
      <c r="M34213" s="277"/>
      <c r="O34213" s="247"/>
      <c r="AC34213" s="247"/>
      <c r="AT34213" s="247"/>
    </row>
    <row r="34214">
      <c r="C34214" s="277"/>
      <c r="M34214" s="277"/>
      <c r="O34214" s="247"/>
      <c r="AC34214" s="247"/>
      <c r="AT34214" s="247"/>
    </row>
    <row r="34215">
      <c r="C34215" s="277"/>
      <c r="M34215" s="277"/>
      <c r="O34215" s="247"/>
      <c r="AC34215" s="247"/>
      <c r="AT34215" s="247"/>
    </row>
    <row r="34216">
      <c r="C34216" s="277"/>
      <c r="M34216" s="277"/>
      <c r="O34216" s="247"/>
      <c r="AC34216" s="247"/>
      <c r="AT34216" s="247"/>
    </row>
    <row r="34217">
      <c r="C34217" s="277"/>
      <c r="M34217" s="277"/>
      <c r="O34217" s="247"/>
      <c r="AC34217" s="247"/>
      <c r="AT34217" s="247"/>
    </row>
    <row r="34218">
      <c r="C34218" s="277"/>
      <c r="M34218" s="277"/>
      <c r="O34218" s="247"/>
      <c r="AC34218" s="247"/>
      <c r="AT34218" s="247"/>
    </row>
    <row r="34219">
      <c r="C34219" s="277"/>
      <c r="M34219" s="277"/>
      <c r="O34219" s="247"/>
      <c r="AC34219" s="247"/>
      <c r="AT34219" s="247"/>
    </row>
    <row r="34220">
      <c r="C34220" s="277"/>
      <c r="M34220" s="277"/>
      <c r="O34220" s="247"/>
      <c r="AC34220" s="247"/>
      <c r="AT34220" s="247"/>
    </row>
    <row r="34221">
      <c r="C34221" s="277"/>
      <c r="M34221" s="277"/>
      <c r="O34221" s="247"/>
      <c r="AC34221" s="247"/>
      <c r="AT34221" s="247"/>
    </row>
    <row r="34222">
      <c r="C34222" s="277"/>
      <c r="M34222" s="277"/>
      <c r="O34222" s="247"/>
      <c r="AC34222" s="247"/>
      <c r="AT34222" s="247"/>
    </row>
    <row r="34223">
      <c r="C34223" s="277"/>
      <c r="M34223" s="277"/>
      <c r="O34223" s="247"/>
      <c r="AC34223" s="247"/>
      <c r="AT34223" s="247"/>
    </row>
    <row r="34224">
      <c r="C34224" s="277"/>
      <c r="M34224" s="277"/>
      <c r="O34224" s="247"/>
      <c r="AC34224" s="247"/>
      <c r="AT34224" s="247"/>
    </row>
    <row r="34225">
      <c r="C34225" s="277"/>
      <c r="M34225" s="277"/>
      <c r="O34225" s="247"/>
      <c r="AC34225" s="247"/>
      <c r="AT34225" s="247"/>
    </row>
    <row r="34226">
      <c r="C34226" s="277"/>
      <c r="M34226" s="277"/>
      <c r="O34226" s="247"/>
      <c r="AC34226" s="247"/>
      <c r="AT34226" s="247"/>
    </row>
    <row r="34227">
      <c r="C34227" s="277"/>
      <c r="M34227" s="277"/>
      <c r="O34227" s="247"/>
      <c r="AC34227" s="247"/>
      <c r="AT34227" s="247"/>
    </row>
    <row r="34228">
      <c r="C34228" s="277"/>
      <c r="M34228" s="277"/>
      <c r="O34228" s="247"/>
      <c r="AC34228" s="247"/>
      <c r="AT34228" s="247"/>
    </row>
    <row r="34229">
      <c r="C34229" s="277"/>
      <c r="M34229" s="277"/>
      <c r="O34229" s="247"/>
      <c r="AC34229" s="247"/>
      <c r="AT34229" s="247"/>
    </row>
    <row r="34230">
      <c r="C34230" s="277"/>
      <c r="M34230" s="277"/>
      <c r="O34230" s="247"/>
      <c r="AC34230" s="247"/>
      <c r="AT34230" s="247"/>
    </row>
    <row r="34231">
      <c r="C34231" s="277"/>
      <c r="M34231" s="277"/>
      <c r="O34231" s="247"/>
      <c r="AC34231" s="247"/>
      <c r="AT34231" s="247"/>
    </row>
    <row r="34232">
      <c r="C34232" s="277"/>
      <c r="M34232" s="277"/>
      <c r="O34232" s="247"/>
      <c r="AC34232" s="247"/>
      <c r="AT34232" s="247"/>
    </row>
    <row r="34233">
      <c r="C34233" s="277"/>
      <c r="M34233" s="277"/>
      <c r="O34233" s="247"/>
      <c r="AC34233" s="247"/>
      <c r="AT34233" s="247"/>
    </row>
    <row r="34234">
      <c r="C34234" s="277"/>
      <c r="M34234" s="277"/>
      <c r="O34234" s="247"/>
      <c r="AC34234" s="247"/>
      <c r="AT34234" s="247"/>
    </row>
    <row r="34235">
      <c r="C34235" s="277"/>
      <c r="M34235" s="277"/>
      <c r="O34235" s="247"/>
      <c r="AC34235" s="247"/>
      <c r="AT34235" s="247"/>
    </row>
    <row r="34236">
      <c r="C34236" s="277"/>
      <c r="M34236" s="277"/>
      <c r="O34236" s="247"/>
      <c r="AC34236" s="247"/>
      <c r="AT34236" s="247"/>
    </row>
    <row r="34237">
      <c r="C34237" s="277"/>
      <c r="M34237" s="277"/>
      <c r="O34237" s="247"/>
      <c r="AC34237" s="247"/>
      <c r="AT34237" s="247"/>
    </row>
    <row r="34238">
      <c r="C34238" s="277"/>
      <c r="M34238" s="277"/>
      <c r="O34238" s="247"/>
      <c r="AC34238" s="247"/>
      <c r="AT34238" s="247"/>
    </row>
    <row r="34239">
      <c r="C34239" s="277"/>
      <c r="M34239" s="277"/>
      <c r="O34239" s="247"/>
      <c r="AC34239" s="247"/>
      <c r="AT34239" s="247"/>
    </row>
    <row r="34240">
      <c r="C34240" s="277"/>
      <c r="M34240" s="277"/>
      <c r="O34240" s="247"/>
      <c r="AC34240" s="247"/>
      <c r="AT34240" s="247"/>
    </row>
    <row r="34241">
      <c r="C34241" s="277"/>
      <c r="M34241" s="277"/>
      <c r="O34241" s="247"/>
      <c r="AC34241" s="247"/>
      <c r="AT34241" s="247"/>
    </row>
    <row r="34242">
      <c r="C34242" s="277"/>
      <c r="M34242" s="277"/>
      <c r="O34242" s="247"/>
      <c r="AC34242" s="247"/>
      <c r="AT34242" s="247"/>
    </row>
    <row r="34243">
      <c r="C34243" s="277"/>
      <c r="M34243" s="277"/>
      <c r="O34243" s="247"/>
      <c r="AC34243" s="247"/>
      <c r="AT34243" s="247"/>
    </row>
    <row r="34244">
      <c r="C34244" s="277"/>
      <c r="M34244" s="277"/>
      <c r="O34244" s="247"/>
      <c r="AC34244" s="247"/>
      <c r="AT34244" s="247"/>
    </row>
    <row r="34245">
      <c r="C34245" s="277"/>
      <c r="M34245" s="277"/>
      <c r="O34245" s="247"/>
      <c r="AC34245" s="247"/>
      <c r="AT34245" s="247"/>
    </row>
    <row r="34246">
      <c r="C34246" s="277"/>
      <c r="M34246" s="277"/>
      <c r="O34246" s="247"/>
      <c r="AC34246" s="247"/>
      <c r="AT34246" s="247"/>
    </row>
    <row r="34247">
      <c r="C34247" s="277"/>
      <c r="M34247" s="277"/>
      <c r="O34247" s="247"/>
      <c r="AC34247" s="247"/>
      <c r="AT34247" s="247"/>
    </row>
    <row r="34248">
      <c r="C34248" s="277"/>
      <c r="M34248" s="277"/>
      <c r="O34248" s="247"/>
      <c r="AC34248" s="247"/>
      <c r="AT34248" s="247"/>
    </row>
    <row r="34249">
      <c r="C34249" s="277"/>
      <c r="M34249" s="277"/>
      <c r="O34249" s="247"/>
      <c r="AC34249" s="247"/>
      <c r="AT34249" s="247"/>
    </row>
    <row r="34250">
      <c r="C34250" s="277"/>
      <c r="M34250" s="277"/>
      <c r="O34250" s="247"/>
      <c r="AC34250" s="247"/>
      <c r="AT34250" s="247"/>
    </row>
    <row r="34251">
      <c r="C34251" s="277"/>
      <c r="M34251" s="277"/>
      <c r="O34251" s="247"/>
      <c r="AC34251" s="247"/>
      <c r="AT34251" s="247"/>
    </row>
    <row r="34252">
      <c r="C34252" s="277"/>
      <c r="M34252" s="277"/>
      <c r="O34252" s="247"/>
      <c r="AC34252" s="247"/>
      <c r="AT34252" s="247"/>
    </row>
    <row r="34253">
      <c r="C34253" s="277"/>
      <c r="M34253" s="277"/>
      <c r="O34253" s="247"/>
      <c r="AC34253" s="247"/>
      <c r="AT34253" s="247"/>
    </row>
    <row r="34254">
      <c r="C34254" s="277"/>
      <c r="M34254" s="277"/>
      <c r="O34254" s="247"/>
      <c r="AC34254" s="247"/>
      <c r="AT34254" s="247"/>
    </row>
    <row r="34255">
      <c r="C34255" s="277"/>
      <c r="M34255" s="277"/>
      <c r="O34255" s="247"/>
      <c r="AC34255" s="247"/>
      <c r="AT34255" s="247"/>
    </row>
    <row r="34256">
      <c r="C34256" s="277"/>
      <c r="M34256" s="277"/>
      <c r="O34256" s="247"/>
      <c r="AC34256" s="247"/>
      <c r="AT34256" s="247"/>
    </row>
    <row r="34257">
      <c r="C34257" s="277"/>
      <c r="M34257" s="277"/>
      <c r="O34257" s="247"/>
      <c r="AC34257" s="247"/>
      <c r="AT34257" s="247"/>
    </row>
    <row r="34258">
      <c r="C34258" s="277"/>
      <c r="M34258" s="277"/>
      <c r="O34258" s="247"/>
      <c r="AC34258" s="247"/>
      <c r="AT34258" s="247"/>
    </row>
    <row r="34259">
      <c r="C34259" s="277"/>
      <c r="M34259" s="277"/>
      <c r="O34259" s="247"/>
      <c r="AC34259" s="247"/>
      <c r="AT34259" s="247"/>
    </row>
    <row r="34260">
      <c r="C34260" s="277"/>
      <c r="M34260" s="277"/>
      <c r="O34260" s="247"/>
      <c r="AC34260" s="247"/>
      <c r="AT34260" s="247"/>
    </row>
    <row r="34261">
      <c r="C34261" s="277"/>
      <c r="M34261" s="277"/>
      <c r="O34261" s="247"/>
      <c r="AC34261" s="247"/>
      <c r="AT34261" s="247"/>
    </row>
    <row r="34262">
      <c r="C34262" s="277"/>
      <c r="M34262" s="277"/>
      <c r="O34262" s="247"/>
      <c r="AC34262" s="247"/>
      <c r="AT34262" s="247"/>
    </row>
    <row r="34263">
      <c r="C34263" s="277"/>
      <c r="M34263" s="277"/>
      <c r="O34263" s="247"/>
      <c r="AC34263" s="247"/>
      <c r="AT34263" s="247"/>
    </row>
    <row r="34264">
      <c r="C34264" s="277"/>
      <c r="M34264" s="277"/>
      <c r="O34264" s="247"/>
      <c r="AC34264" s="247"/>
      <c r="AT34264" s="247"/>
    </row>
    <row r="34265">
      <c r="C34265" s="277"/>
      <c r="M34265" s="277"/>
      <c r="O34265" s="247"/>
      <c r="AC34265" s="247"/>
      <c r="AT34265" s="247"/>
    </row>
    <row r="34266">
      <c r="C34266" s="277"/>
      <c r="M34266" s="277"/>
      <c r="O34266" s="247"/>
      <c r="AC34266" s="247"/>
      <c r="AT34266" s="247"/>
    </row>
    <row r="34267">
      <c r="C34267" s="277"/>
      <c r="M34267" s="277"/>
      <c r="O34267" s="247"/>
      <c r="AC34267" s="247"/>
      <c r="AT34267" s="247"/>
    </row>
    <row r="34268">
      <c r="C34268" s="277"/>
      <c r="M34268" s="277"/>
      <c r="O34268" s="247"/>
      <c r="AC34268" s="247"/>
      <c r="AT34268" s="247"/>
    </row>
    <row r="34269">
      <c r="C34269" s="277"/>
      <c r="M34269" s="277"/>
      <c r="O34269" s="247"/>
      <c r="AC34269" s="247"/>
      <c r="AT34269" s="247"/>
    </row>
    <row r="34270">
      <c r="C34270" s="277"/>
      <c r="M34270" s="277"/>
      <c r="O34270" s="247"/>
      <c r="AC34270" s="247"/>
      <c r="AT34270" s="247"/>
    </row>
    <row r="34271">
      <c r="C34271" s="277"/>
      <c r="M34271" s="277"/>
      <c r="O34271" s="247"/>
      <c r="AC34271" s="247"/>
      <c r="AT34271" s="247"/>
    </row>
    <row r="34272">
      <c r="C34272" s="277"/>
      <c r="M34272" s="277"/>
      <c r="O34272" s="247"/>
      <c r="AC34272" s="247"/>
      <c r="AT34272" s="247"/>
    </row>
    <row r="34273">
      <c r="C34273" s="277"/>
      <c r="M34273" s="277"/>
      <c r="O34273" s="247"/>
      <c r="AC34273" s="247"/>
      <c r="AT34273" s="247"/>
    </row>
    <row r="34274">
      <c r="C34274" s="277"/>
      <c r="M34274" s="277"/>
      <c r="O34274" s="247"/>
      <c r="AC34274" s="247"/>
      <c r="AT34274" s="247"/>
    </row>
    <row r="34275">
      <c r="C34275" s="277"/>
      <c r="M34275" s="277"/>
      <c r="O34275" s="247"/>
      <c r="AC34275" s="247"/>
      <c r="AT34275" s="247"/>
    </row>
    <row r="34276">
      <c r="C34276" s="277"/>
      <c r="M34276" s="277"/>
      <c r="O34276" s="247"/>
      <c r="AC34276" s="247"/>
      <c r="AT34276" s="247"/>
    </row>
    <row r="34277">
      <c r="C34277" s="277"/>
      <c r="M34277" s="277"/>
      <c r="O34277" s="247"/>
      <c r="AC34277" s="247"/>
      <c r="AT34277" s="247"/>
    </row>
    <row r="34278">
      <c r="C34278" s="277"/>
      <c r="M34278" s="277"/>
      <c r="O34278" s="247"/>
      <c r="AC34278" s="247"/>
      <c r="AT34278" s="247"/>
    </row>
    <row r="34279">
      <c r="C34279" s="277"/>
      <c r="M34279" s="277"/>
      <c r="O34279" s="247"/>
      <c r="AC34279" s="247"/>
      <c r="AT34279" s="247"/>
    </row>
    <row r="34280">
      <c r="C34280" s="277"/>
      <c r="M34280" s="277"/>
      <c r="O34280" s="247"/>
      <c r="AC34280" s="247"/>
      <c r="AT34280" s="247"/>
    </row>
    <row r="34281">
      <c r="C34281" s="277"/>
      <c r="M34281" s="277"/>
      <c r="O34281" s="247"/>
      <c r="AC34281" s="247"/>
      <c r="AT34281" s="247"/>
    </row>
    <row r="34282">
      <c r="C34282" s="277"/>
      <c r="M34282" s="277"/>
      <c r="O34282" s="247"/>
      <c r="AC34282" s="247"/>
      <c r="AT34282" s="247"/>
    </row>
    <row r="34283">
      <c r="C34283" s="277"/>
      <c r="M34283" s="277"/>
      <c r="O34283" s="247"/>
      <c r="AC34283" s="247"/>
      <c r="AT34283" s="247"/>
    </row>
    <row r="34284">
      <c r="C34284" s="277"/>
      <c r="M34284" s="277"/>
      <c r="O34284" s="247"/>
      <c r="AC34284" s="247"/>
      <c r="AT34284" s="247"/>
    </row>
    <row r="34285">
      <c r="C34285" s="277"/>
      <c r="M34285" s="277"/>
      <c r="O34285" s="247"/>
      <c r="AC34285" s="247"/>
      <c r="AT34285" s="247"/>
    </row>
    <row r="34286">
      <c r="C34286" s="277"/>
      <c r="M34286" s="277"/>
      <c r="O34286" s="247"/>
      <c r="AC34286" s="247"/>
      <c r="AT34286" s="247"/>
    </row>
    <row r="34287">
      <c r="C34287" s="277"/>
      <c r="M34287" s="277"/>
      <c r="O34287" s="247"/>
      <c r="AC34287" s="247"/>
      <c r="AT34287" s="247"/>
    </row>
    <row r="34288">
      <c r="C34288" s="277"/>
      <c r="M34288" s="277"/>
      <c r="O34288" s="247"/>
      <c r="AC34288" s="247"/>
      <c r="AT34288" s="247"/>
    </row>
    <row r="34289">
      <c r="C34289" s="277"/>
      <c r="M34289" s="277"/>
      <c r="O34289" s="247"/>
      <c r="AC34289" s="247"/>
      <c r="AT34289" s="247"/>
    </row>
    <row r="34290">
      <c r="C34290" s="277"/>
      <c r="M34290" s="277"/>
      <c r="O34290" s="247"/>
      <c r="AC34290" s="247"/>
      <c r="AT34290" s="247"/>
    </row>
    <row r="34291">
      <c r="C34291" s="277"/>
      <c r="M34291" s="277"/>
      <c r="O34291" s="247"/>
      <c r="AC34291" s="247"/>
      <c r="AT34291" s="247"/>
    </row>
    <row r="34292">
      <c r="C34292" s="277"/>
      <c r="M34292" s="277"/>
      <c r="O34292" s="247"/>
      <c r="AC34292" s="247"/>
      <c r="AT34292" s="247"/>
    </row>
    <row r="34293">
      <c r="C34293" s="277"/>
      <c r="M34293" s="277"/>
      <c r="O34293" s="247"/>
      <c r="AC34293" s="247"/>
      <c r="AT34293" s="247"/>
    </row>
    <row r="34294">
      <c r="C34294" s="277"/>
      <c r="M34294" s="277"/>
      <c r="O34294" s="247"/>
      <c r="AC34294" s="247"/>
      <c r="AT34294" s="247"/>
    </row>
    <row r="34295">
      <c r="C34295" s="277"/>
      <c r="M34295" s="277"/>
      <c r="O34295" s="247"/>
      <c r="AC34295" s="247"/>
      <c r="AT34295" s="247"/>
    </row>
    <row r="34296">
      <c r="C34296" s="277"/>
      <c r="M34296" s="277"/>
      <c r="O34296" s="247"/>
      <c r="AC34296" s="247"/>
      <c r="AT34296" s="247"/>
    </row>
    <row r="34297">
      <c r="C34297" s="277"/>
      <c r="M34297" s="277"/>
      <c r="O34297" s="247"/>
      <c r="AC34297" s="247"/>
      <c r="AT34297" s="247"/>
    </row>
    <row r="34298">
      <c r="C34298" s="277"/>
      <c r="M34298" s="277"/>
      <c r="O34298" s="247"/>
      <c r="AC34298" s="247"/>
      <c r="AT34298" s="247"/>
    </row>
    <row r="34299">
      <c r="C34299" s="277"/>
      <c r="M34299" s="277"/>
      <c r="O34299" s="247"/>
      <c r="AC34299" s="247"/>
      <c r="AT34299" s="247"/>
    </row>
    <row r="34300">
      <c r="C34300" s="277"/>
      <c r="M34300" s="277"/>
      <c r="O34300" s="247"/>
      <c r="AC34300" s="247"/>
      <c r="AT34300" s="247"/>
    </row>
    <row r="34301">
      <c r="C34301" s="277"/>
      <c r="M34301" s="277"/>
      <c r="O34301" s="247"/>
      <c r="AC34301" s="247"/>
      <c r="AT34301" s="247"/>
    </row>
    <row r="34302">
      <c r="C34302" s="277"/>
      <c r="M34302" s="277"/>
      <c r="O34302" s="247"/>
      <c r="AC34302" s="247"/>
      <c r="AT34302" s="247"/>
    </row>
    <row r="34303">
      <c r="C34303" s="277"/>
      <c r="M34303" s="277"/>
      <c r="O34303" s="247"/>
      <c r="AC34303" s="247"/>
      <c r="AT34303" s="247"/>
    </row>
    <row r="34304">
      <c r="C34304" s="277"/>
      <c r="M34304" s="277"/>
      <c r="O34304" s="247"/>
      <c r="AC34304" s="247"/>
      <c r="AT34304" s="247"/>
    </row>
    <row r="34305">
      <c r="C34305" s="277"/>
      <c r="M34305" s="277"/>
      <c r="O34305" s="247"/>
      <c r="AC34305" s="247"/>
      <c r="AT34305" s="247"/>
    </row>
    <row r="34306">
      <c r="C34306" s="277"/>
      <c r="M34306" s="277"/>
      <c r="O34306" s="247"/>
      <c r="AC34306" s="247"/>
      <c r="AT34306" s="247"/>
    </row>
    <row r="34307">
      <c r="C34307" s="277"/>
      <c r="M34307" s="277"/>
      <c r="O34307" s="247"/>
      <c r="AC34307" s="247"/>
      <c r="AT34307" s="247"/>
    </row>
    <row r="34308">
      <c r="C34308" s="277"/>
      <c r="M34308" s="277"/>
      <c r="O34308" s="247"/>
      <c r="AC34308" s="247"/>
      <c r="AT34308" s="247"/>
    </row>
    <row r="34309">
      <c r="C34309" s="277"/>
      <c r="M34309" s="277"/>
      <c r="O34309" s="247"/>
      <c r="AC34309" s="247"/>
      <c r="AT34309" s="247"/>
    </row>
    <row r="34310">
      <c r="C34310" s="277"/>
      <c r="M34310" s="277"/>
      <c r="O34310" s="247"/>
      <c r="AC34310" s="247"/>
      <c r="AT34310" s="247"/>
    </row>
    <row r="34311">
      <c r="C34311" s="277"/>
      <c r="M34311" s="277"/>
      <c r="O34311" s="247"/>
      <c r="AC34311" s="247"/>
      <c r="AT34311" s="247"/>
    </row>
    <row r="34312">
      <c r="C34312" s="277"/>
      <c r="M34312" s="277"/>
      <c r="O34312" s="247"/>
      <c r="AC34312" s="247"/>
      <c r="AT34312" s="247"/>
    </row>
    <row r="34313">
      <c r="C34313" s="277"/>
      <c r="M34313" s="277"/>
      <c r="O34313" s="247"/>
      <c r="AC34313" s="247"/>
      <c r="AT34313" s="247"/>
    </row>
    <row r="34314">
      <c r="C34314" s="277"/>
      <c r="M34314" s="277"/>
      <c r="O34314" s="247"/>
      <c r="AC34314" s="247"/>
      <c r="AT34314" s="247"/>
    </row>
    <row r="34315">
      <c r="C34315" s="277"/>
      <c r="M34315" s="277"/>
      <c r="O34315" s="247"/>
      <c r="AC34315" s="247"/>
      <c r="AT34315" s="247"/>
    </row>
    <row r="34316">
      <c r="C34316" s="277"/>
      <c r="M34316" s="277"/>
      <c r="O34316" s="247"/>
      <c r="AC34316" s="247"/>
      <c r="AT34316" s="247"/>
    </row>
    <row r="34317">
      <c r="C34317" s="277"/>
      <c r="M34317" s="277"/>
      <c r="O34317" s="247"/>
      <c r="AC34317" s="247"/>
      <c r="AT34317" s="247"/>
    </row>
    <row r="34318">
      <c r="C34318" s="277"/>
      <c r="M34318" s="277"/>
      <c r="O34318" s="247"/>
      <c r="AC34318" s="247"/>
      <c r="AT34318" s="247"/>
    </row>
    <row r="34319">
      <c r="C34319" s="277"/>
      <c r="M34319" s="277"/>
      <c r="O34319" s="247"/>
      <c r="AC34319" s="247"/>
      <c r="AT34319" s="247"/>
    </row>
    <row r="34320">
      <c r="C34320" s="277"/>
      <c r="M34320" s="277"/>
      <c r="O34320" s="247"/>
      <c r="AC34320" s="247"/>
      <c r="AT34320" s="247"/>
    </row>
    <row r="34321">
      <c r="C34321" s="277"/>
      <c r="M34321" s="277"/>
      <c r="O34321" s="247"/>
      <c r="AC34321" s="247"/>
      <c r="AT34321" s="247"/>
    </row>
    <row r="34322">
      <c r="C34322" s="277"/>
      <c r="M34322" s="277"/>
      <c r="O34322" s="247"/>
      <c r="AC34322" s="247"/>
      <c r="AT34322" s="247"/>
    </row>
    <row r="34323">
      <c r="C34323" s="277"/>
      <c r="M34323" s="277"/>
      <c r="O34323" s="247"/>
      <c r="AC34323" s="247"/>
      <c r="AT34323" s="247"/>
    </row>
    <row r="34324">
      <c r="C34324" s="277"/>
      <c r="M34324" s="277"/>
      <c r="O34324" s="247"/>
      <c r="AC34324" s="247"/>
      <c r="AT34324" s="247"/>
    </row>
    <row r="34325">
      <c r="C34325" s="277"/>
      <c r="M34325" s="277"/>
      <c r="O34325" s="247"/>
      <c r="AC34325" s="247"/>
      <c r="AT34325" s="247"/>
    </row>
    <row r="34326">
      <c r="C34326" s="277"/>
      <c r="M34326" s="277"/>
      <c r="O34326" s="247"/>
      <c r="AC34326" s="247"/>
      <c r="AT34326" s="247"/>
    </row>
    <row r="34327">
      <c r="C34327" s="277"/>
      <c r="M34327" s="277"/>
      <c r="O34327" s="247"/>
      <c r="AC34327" s="247"/>
      <c r="AT34327" s="247"/>
    </row>
    <row r="34328">
      <c r="C34328" s="277"/>
      <c r="M34328" s="277"/>
      <c r="O34328" s="247"/>
      <c r="AC34328" s="247"/>
      <c r="AT34328" s="247"/>
    </row>
    <row r="34329">
      <c r="C34329" s="277"/>
      <c r="M34329" s="277"/>
      <c r="O34329" s="247"/>
      <c r="AC34329" s="247"/>
      <c r="AT34329" s="247"/>
    </row>
    <row r="34330">
      <c r="C34330" s="277"/>
      <c r="M34330" s="277"/>
      <c r="O34330" s="247"/>
      <c r="AC34330" s="247"/>
      <c r="AT34330" s="247"/>
    </row>
    <row r="34331">
      <c r="C34331" s="277"/>
      <c r="M34331" s="277"/>
      <c r="O34331" s="247"/>
      <c r="AC34331" s="247"/>
      <c r="AT34331" s="247"/>
    </row>
    <row r="34332">
      <c r="C34332" s="277"/>
      <c r="M34332" s="277"/>
      <c r="O34332" s="247"/>
      <c r="AC34332" s="247"/>
      <c r="AT34332" s="247"/>
    </row>
    <row r="34333">
      <c r="C34333" s="277"/>
      <c r="M34333" s="277"/>
      <c r="O34333" s="247"/>
      <c r="AC34333" s="247"/>
      <c r="AT34333" s="247"/>
    </row>
    <row r="34334">
      <c r="C34334" s="277"/>
      <c r="M34334" s="277"/>
      <c r="O34334" s="247"/>
      <c r="AC34334" s="247"/>
      <c r="AT34334" s="247"/>
    </row>
    <row r="34335">
      <c r="C34335" s="277"/>
      <c r="M34335" s="277"/>
      <c r="O34335" s="247"/>
      <c r="AC34335" s="247"/>
      <c r="AT34335" s="247"/>
    </row>
    <row r="34336">
      <c r="C34336" s="277"/>
      <c r="M34336" s="277"/>
      <c r="O34336" s="247"/>
      <c r="AC34336" s="247"/>
      <c r="AT34336" s="247"/>
    </row>
    <row r="34337">
      <c r="C34337" s="277"/>
      <c r="M34337" s="277"/>
      <c r="O34337" s="247"/>
      <c r="AC34337" s="247"/>
      <c r="AT34337" s="247"/>
    </row>
    <row r="34338">
      <c r="C34338" s="277"/>
      <c r="M34338" s="277"/>
      <c r="O34338" s="247"/>
      <c r="AC34338" s="247"/>
      <c r="AT34338" s="247"/>
    </row>
    <row r="34339">
      <c r="C34339" s="277"/>
      <c r="M34339" s="277"/>
      <c r="O34339" s="247"/>
      <c r="AC34339" s="247"/>
      <c r="AT34339" s="247"/>
    </row>
    <row r="34340">
      <c r="C34340" s="277"/>
      <c r="M34340" s="277"/>
      <c r="O34340" s="247"/>
      <c r="AC34340" s="247"/>
      <c r="AT34340" s="247"/>
    </row>
    <row r="34341">
      <c r="C34341" s="277"/>
      <c r="M34341" s="277"/>
      <c r="O34341" s="247"/>
      <c r="AC34341" s="247"/>
      <c r="AT34341" s="247"/>
    </row>
    <row r="34342">
      <c r="C34342" s="277"/>
      <c r="M34342" s="277"/>
      <c r="O34342" s="247"/>
      <c r="AC34342" s="247"/>
      <c r="AT34342" s="247"/>
    </row>
    <row r="34343">
      <c r="C34343" s="277"/>
      <c r="M34343" s="277"/>
      <c r="O34343" s="247"/>
      <c r="AC34343" s="247"/>
      <c r="AT34343" s="247"/>
    </row>
    <row r="34344">
      <c r="C34344" s="277"/>
      <c r="M34344" s="277"/>
      <c r="O34344" s="247"/>
      <c r="AC34344" s="247"/>
      <c r="AT34344" s="247"/>
    </row>
    <row r="34345">
      <c r="C34345" s="277"/>
      <c r="M34345" s="277"/>
      <c r="O34345" s="247"/>
      <c r="AC34345" s="247"/>
      <c r="AT34345" s="247"/>
    </row>
    <row r="34346">
      <c r="C34346" s="277"/>
      <c r="M34346" s="277"/>
      <c r="O34346" s="247"/>
      <c r="AC34346" s="247"/>
      <c r="AT34346" s="247"/>
    </row>
    <row r="34347">
      <c r="C34347" s="277"/>
      <c r="M34347" s="277"/>
      <c r="O34347" s="247"/>
      <c r="AC34347" s="247"/>
      <c r="AT34347" s="247"/>
    </row>
    <row r="34348">
      <c r="C34348" s="277"/>
      <c r="M34348" s="277"/>
      <c r="O34348" s="247"/>
      <c r="AC34348" s="247"/>
      <c r="AT34348" s="247"/>
    </row>
    <row r="34349">
      <c r="C34349" s="277"/>
      <c r="M34349" s="277"/>
      <c r="O34349" s="247"/>
      <c r="AC34349" s="247"/>
      <c r="AT34349" s="247"/>
    </row>
    <row r="34350">
      <c r="C34350" s="277"/>
      <c r="M34350" s="277"/>
      <c r="O34350" s="247"/>
      <c r="AC34350" s="247"/>
      <c r="AT34350" s="247"/>
    </row>
    <row r="34351">
      <c r="C34351" s="277"/>
      <c r="M34351" s="277"/>
      <c r="O34351" s="247"/>
      <c r="AC34351" s="247"/>
      <c r="AT34351" s="247"/>
    </row>
    <row r="34352">
      <c r="C34352" s="277"/>
      <c r="M34352" s="277"/>
      <c r="O34352" s="247"/>
      <c r="AC34352" s="247"/>
      <c r="AT34352" s="247"/>
    </row>
    <row r="34353">
      <c r="C34353" s="277"/>
      <c r="M34353" s="277"/>
      <c r="O34353" s="247"/>
      <c r="AC34353" s="247"/>
      <c r="AT34353" s="247"/>
    </row>
    <row r="34354">
      <c r="C34354" s="277"/>
      <c r="M34354" s="277"/>
      <c r="O34354" s="247"/>
      <c r="AC34354" s="247"/>
      <c r="AT34354" s="247"/>
    </row>
    <row r="34355">
      <c r="C34355" s="277"/>
      <c r="M34355" s="277"/>
      <c r="O34355" s="247"/>
      <c r="AC34355" s="247"/>
      <c r="AT34355" s="247"/>
    </row>
    <row r="34356">
      <c r="C34356" s="277"/>
      <c r="M34356" s="277"/>
      <c r="O34356" s="247"/>
      <c r="AC34356" s="247"/>
      <c r="AT34356" s="247"/>
    </row>
    <row r="34357">
      <c r="C34357" s="277"/>
      <c r="M34357" s="277"/>
      <c r="O34357" s="247"/>
      <c r="AC34357" s="247"/>
      <c r="AT34357" s="247"/>
    </row>
    <row r="34358">
      <c r="C34358" s="277"/>
      <c r="M34358" s="277"/>
      <c r="O34358" s="247"/>
      <c r="AC34358" s="247"/>
      <c r="AT34358" s="247"/>
    </row>
    <row r="34359">
      <c r="C34359" s="277"/>
      <c r="M34359" s="277"/>
      <c r="O34359" s="247"/>
      <c r="AC34359" s="247"/>
      <c r="AT34359" s="247"/>
    </row>
    <row r="34360">
      <c r="C34360" s="277"/>
      <c r="M34360" s="277"/>
      <c r="O34360" s="247"/>
      <c r="AC34360" s="247"/>
      <c r="AT34360" s="247"/>
    </row>
    <row r="34361">
      <c r="C34361" s="277"/>
      <c r="M34361" s="277"/>
      <c r="O34361" s="247"/>
      <c r="AC34361" s="247"/>
      <c r="AT34361" s="247"/>
    </row>
    <row r="34362">
      <c r="C34362" s="277"/>
      <c r="M34362" s="277"/>
      <c r="O34362" s="247"/>
      <c r="AC34362" s="247"/>
      <c r="AT34362" s="247"/>
    </row>
    <row r="34363">
      <c r="C34363" s="277"/>
      <c r="M34363" s="277"/>
      <c r="O34363" s="247"/>
      <c r="AC34363" s="247"/>
      <c r="AT34363" s="247"/>
    </row>
    <row r="34364">
      <c r="C34364" s="277"/>
      <c r="M34364" s="277"/>
      <c r="O34364" s="247"/>
      <c r="AC34364" s="247"/>
      <c r="AT34364" s="247"/>
    </row>
    <row r="34365">
      <c r="C34365" s="277"/>
      <c r="M34365" s="277"/>
      <c r="O34365" s="247"/>
      <c r="AC34365" s="247"/>
      <c r="AT34365" s="247"/>
    </row>
    <row r="34366">
      <c r="C34366" s="277"/>
      <c r="M34366" s="277"/>
      <c r="O34366" s="247"/>
      <c r="AC34366" s="247"/>
      <c r="AT34366" s="247"/>
    </row>
    <row r="34367">
      <c r="C34367" s="277"/>
      <c r="M34367" s="277"/>
      <c r="O34367" s="247"/>
      <c r="AC34367" s="247"/>
      <c r="AT34367" s="247"/>
    </row>
    <row r="34368">
      <c r="C34368" s="277"/>
      <c r="M34368" s="277"/>
      <c r="O34368" s="247"/>
      <c r="AC34368" s="247"/>
      <c r="AT34368" s="247"/>
    </row>
    <row r="34369">
      <c r="C34369" s="277"/>
      <c r="M34369" s="277"/>
      <c r="O34369" s="247"/>
      <c r="AC34369" s="247"/>
      <c r="AT34369" s="247"/>
    </row>
    <row r="34370">
      <c r="C34370" s="277"/>
      <c r="M34370" s="277"/>
      <c r="O34370" s="247"/>
      <c r="AC34370" s="247"/>
      <c r="AT34370" s="247"/>
    </row>
    <row r="34371">
      <c r="C34371" s="277"/>
      <c r="M34371" s="277"/>
      <c r="O34371" s="247"/>
      <c r="AC34371" s="247"/>
      <c r="AT34371" s="247"/>
    </row>
    <row r="34372">
      <c r="C34372" s="277"/>
      <c r="M34372" s="277"/>
      <c r="O34372" s="247"/>
      <c r="AC34372" s="247"/>
      <c r="AT34372" s="247"/>
    </row>
    <row r="34373">
      <c r="C34373" s="277"/>
      <c r="M34373" s="277"/>
      <c r="O34373" s="247"/>
      <c r="AC34373" s="247"/>
      <c r="AT34373" s="247"/>
    </row>
    <row r="34374">
      <c r="C34374" s="277"/>
      <c r="M34374" s="277"/>
      <c r="O34374" s="247"/>
      <c r="AC34374" s="247"/>
      <c r="AT34374" s="247"/>
    </row>
    <row r="34375">
      <c r="C34375" s="277"/>
      <c r="M34375" s="277"/>
      <c r="O34375" s="247"/>
      <c r="AC34375" s="247"/>
      <c r="AT34375" s="247"/>
    </row>
    <row r="34376">
      <c r="C34376" s="277"/>
      <c r="M34376" s="277"/>
      <c r="O34376" s="247"/>
      <c r="AC34376" s="247"/>
      <c r="AT34376" s="247"/>
    </row>
    <row r="34377">
      <c r="C34377" s="277"/>
      <c r="M34377" s="277"/>
      <c r="O34377" s="247"/>
      <c r="AC34377" s="247"/>
      <c r="AT34377" s="247"/>
    </row>
    <row r="34378">
      <c r="C34378" s="277"/>
      <c r="M34378" s="277"/>
      <c r="O34378" s="247"/>
      <c r="AC34378" s="247"/>
      <c r="AT34378" s="247"/>
    </row>
    <row r="34379">
      <c r="C34379" s="277"/>
      <c r="M34379" s="277"/>
      <c r="O34379" s="247"/>
      <c r="AC34379" s="247"/>
      <c r="AT34379" s="247"/>
    </row>
    <row r="34380">
      <c r="C34380" s="277"/>
      <c r="M34380" s="277"/>
      <c r="O34380" s="247"/>
      <c r="AC34380" s="247"/>
      <c r="AT34380" s="247"/>
    </row>
    <row r="34381">
      <c r="C34381" s="277"/>
      <c r="M34381" s="277"/>
      <c r="O34381" s="247"/>
      <c r="AC34381" s="247"/>
      <c r="AT34381" s="247"/>
    </row>
    <row r="34382">
      <c r="C34382" s="277"/>
      <c r="M34382" s="277"/>
      <c r="O34382" s="247"/>
      <c r="AC34382" s="247"/>
      <c r="AT34382" s="247"/>
    </row>
    <row r="34383">
      <c r="C34383" s="277"/>
      <c r="M34383" s="277"/>
      <c r="O34383" s="247"/>
      <c r="AC34383" s="247"/>
      <c r="AT34383" s="247"/>
    </row>
    <row r="34384">
      <c r="C34384" s="277"/>
      <c r="M34384" s="277"/>
      <c r="O34384" s="247"/>
      <c r="AC34384" s="247"/>
      <c r="AT34384" s="247"/>
    </row>
    <row r="34385">
      <c r="C34385" s="277"/>
      <c r="M34385" s="277"/>
      <c r="O34385" s="247"/>
      <c r="AC34385" s="247"/>
      <c r="AT34385" s="247"/>
    </row>
    <row r="34386">
      <c r="C34386" s="277"/>
      <c r="M34386" s="277"/>
      <c r="O34386" s="247"/>
      <c r="AC34386" s="247"/>
      <c r="AT34386" s="247"/>
    </row>
    <row r="34387">
      <c r="C34387" s="277"/>
      <c r="M34387" s="277"/>
      <c r="O34387" s="247"/>
      <c r="AC34387" s="247"/>
      <c r="AT34387" s="247"/>
    </row>
    <row r="34388">
      <c r="C34388" s="277"/>
      <c r="M34388" s="277"/>
      <c r="O34388" s="247"/>
      <c r="AC34388" s="247"/>
      <c r="AT34388" s="247"/>
    </row>
    <row r="34389">
      <c r="C34389" s="277"/>
      <c r="M34389" s="277"/>
      <c r="O34389" s="247"/>
      <c r="AC34389" s="247"/>
      <c r="AT34389" s="247"/>
    </row>
    <row r="34390">
      <c r="C34390" s="277"/>
      <c r="M34390" s="277"/>
      <c r="O34390" s="247"/>
      <c r="AC34390" s="247"/>
      <c r="AT34390" s="247"/>
    </row>
    <row r="34391">
      <c r="C34391" s="277"/>
      <c r="M34391" s="277"/>
      <c r="O34391" s="247"/>
      <c r="AC34391" s="247"/>
      <c r="AT34391" s="247"/>
    </row>
    <row r="34392">
      <c r="C34392" s="277"/>
      <c r="M34392" s="277"/>
      <c r="O34392" s="247"/>
      <c r="AC34392" s="247"/>
      <c r="AT34392" s="247"/>
    </row>
    <row r="34393">
      <c r="C34393" s="277"/>
      <c r="M34393" s="277"/>
      <c r="O34393" s="247"/>
      <c r="AC34393" s="247"/>
      <c r="AT34393" s="247"/>
    </row>
    <row r="34394">
      <c r="C34394" s="277"/>
      <c r="M34394" s="277"/>
      <c r="O34394" s="247"/>
      <c r="AC34394" s="247"/>
      <c r="AT34394" s="247"/>
    </row>
    <row r="34395">
      <c r="C34395" s="277"/>
      <c r="M34395" s="277"/>
      <c r="O34395" s="247"/>
      <c r="AC34395" s="247"/>
      <c r="AT34395" s="247"/>
    </row>
    <row r="34396">
      <c r="C34396" s="277"/>
      <c r="M34396" s="277"/>
      <c r="O34396" s="247"/>
      <c r="AC34396" s="247"/>
      <c r="AT34396" s="247"/>
    </row>
    <row r="34397">
      <c r="C34397" s="277"/>
      <c r="M34397" s="277"/>
      <c r="O34397" s="247"/>
      <c r="AC34397" s="247"/>
      <c r="AT34397" s="247"/>
    </row>
    <row r="34398">
      <c r="C34398" s="277"/>
      <c r="M34398" s="277"/>
      <c r="O34398" s="247"/>
      <c r="AC34398" s="247"/>
      <c r="AT34398" s="247"/>
    </row>
    <row r="34399">
      <c r="C34399" s="277"/>
      <c r="M34399" s="277"/>
      <c r="O34399" s="247"/>
      <c r="AC34399" s="247"/>
      <c r="AT34399" s="247"/>
    </row>
    <row r="34400">
      <c r="C34400" s="277"/>
      <c r="M34400" s="277"/>
      <c r="O34400" s="247"/>
      <c r="AC34400" s="247"/>
      <c r="AT34400" s="247"/>
    </row>
    <row r="34401">
      <c r="C34401" s="277"/>
      <c r="M34401" s="277"/>
      <c r="O34401" s="247"/>
      <c r="AC34401" s="247"/>
      <c r="AT34401" s="247"/>
    </row>
    <row r="34402">
      <c r="C34402" s="277"/>
      <c r="M34402" s="277"/>
      <c r="O34402" s="247"/>
      <c r="AC34402" s="247"/>
      <c r="AT34402" s="247"/>
    </row>
    <row r="34403">
      <c r="C34403" s="277"/>
      <c r="M34403" s="277"/>
      <c r="O34403" s="247"/>
      <c r="AC34403" s="247"/>
      <c r="AT34403" s="247"/>
    </row>
    <row r="34404">
      <c r="C34404" s="277"/>
      <c r="M34404" s="277"/>
      <c r="O34404" s="247"/>
      <c r="AC34404" s="247"/>
      <c r="AT34404" s="247"/>
    </row>
    <row r="34405">
      <c r="C34405" s="277"/>
      <c r="M34405" s="277"/>
      <c r="O34405" s="247"/>
      <c r="AC34405" s="247"/>
      <c r="AT34405" s="247"/>
    </row>
    <row r="34406">
      <c r="C34406" s="277"/>
      <c r="M34406" s="277"/>
      <c r="O34406" s="247"/>
      <c r="AC34406" s="247"/>
      <c r="AT34406" s="247"/>
    </row>
    <row r="34407">
      <c r="C34407" s="277"/>
      <c r="M34407" s="277"/>
      <c r="O34407" s="247"/>
      <c r="AC34407" s="247"/>
      <c r="AT34407" s="247"/>
    </row>
    <row r="34408">
      <c r="C34408" s="277"/>
      <c r="M34408" s="277"/>
      <c r="O34408" s="247"/>
      <c r="AC34408" s="247"/>
      <c r="AT34408" s="247"/>
    </row>
    <row r="34409">
      <c r="C34409" s="277"/>
      <c r="M34409" s="277"/>
      <c r="O34409" s="247"/>
      <c r="AC34409" s="247"/>
      <c r="AT34409" s="247"/>
    </row>
    <row r="34410">
      <c r="C34410" s="277"/>
      <c r="M34410" s="277"/>
      <c r="O34410" s="247"/>
      <c r="AC34410" s="247"/>
      <c r="AT34410" s="247"/>
    </row>
    <row r="34411">
      <c r="C34411" s="277"/>
      <c r="M34411" s="277"/>
      <c r="O34411" s="247"/>
      <c r="AC34411" s="247"/>
      <c r="AT34411" s="247"/>
    </row>
    <row r="34412">
      <c r="C34412" s="277"/>
      <c r="M34412" s="277"/>
      <c r="O34412" s="247"/>
      <c r="AC34412" s="247"/>
      <c r="AT34412" s="247"/>
    </row>
    <row r="34413">
      <c r="C34413" s="277"/>
      <c r="M34413" s="277"/>
      <c r="O34413" s="247"/>
      <c r="AC34413" s="247"/>
      <c r="AT34413" s="247"/>
    </row>
    <row r="34414">
      <c r="C34414" s="277"/>
      <c r="M34414" s="277"/>
      <c r="O34414" s="247"/>
      <c r="AC34414" s="247"/>
      <c r="AT34414" s="247"/>
    </row>
    <row r="34415">
      <c r="C34415" s="277"/>
      <c r="M34415" s="277"/>
      <c r="O34415" s="247"/>
      <c r="AC34415" s="247"/>
      <c r="AT34415" s="247"/>
    </row>
    <row r="34416">
      <c r="C34416" s="277"/>
      <c r="M34416" s="277"/>
      <c r="O34416" s="247"/>
      <c r="AC34416" s="247"/>
      <c r="AT34416" s="247"/>
    </row>
    <row r="34417">
      <c r="C34417" s="277"/>
      <c r="M34417" s="277"/>
      <c r="O34417" s="247"/>
      <c r="AC34417" s="247"/>
      <c r="AT34417" s="247"/>
    </row>
    <row r="34418">
      <c r="C34418" s="277"/>
      <c r="M34418" s="277"/>
      <c r="O34418" s="247"/>
      <c r="AC34418" s="247"/>
      <c r="AT34418" s="247"/>
    </row>
    <row r="34419">
      <c r="C34419" s="277"/>
      <c r="M34419" s="277"/>
      <c r="O34419" s="247"/>
      <c r="AC34419" s="247"/>
      <c r="AT34419" s="247"/>
    </row>
    <row r="34420">
      <c r="C34420" s="277"/>
      <c r="M34420" s="277"/>
      <c r="O34420" s="247"/>
      <c r="AC34420" s="247"/>
      <c r="AT34420" s="247"/>
    </row>
    <row r="34421">
      <c r="C34421" s="277"/>
      <c r="M34421" s="277"/>
      <c r="O34421" s="247"/>
      <c r="AC34421" s="247"/>
      <c r="AT34421" s="247"/>
    </row>
    <row r="34422">
      <c r="C34422" s="277"/>
      <c r="M34422" s="277"/>
      <c r="O34422" s="247"/>
      <c r="AC34422" s="247"/>
      <c r="AT34422" s="247"/>
    </row>
    <row r="34423">
      <c r="C34423" s="277"/>
      <c r="M34423" s="277"/>
      <c r="O34423" s="247"/>
      <c r="AC34423" s="247"/>
      <c r="AT34423" s="247"/>
    </row>
    <row r="34424">
      <c r="C34424" s="277"/>
      <c r="M34424" s="277"/>
      <c r="O34424" s="247"/>
      <c r="AC34424" s="247"/>
      <c r="AT34424" s="247"/>
    </row>
    <row r="34425">
      <c r="C34425" s="277"/>
      <c r="M34425" s="277"/>
      <c r="O34425" s="247"/>
      <c r="AC34425" s="247"/>
      <c r="AT34425" s="247"/>
    </row>
    <row r="34426">
      <c r="C34426" s="277"/>
      <c r="M34426" s="277"/>
      <c r="O34426" s="247"/>
      <c r="AC34426" s="247"/>
      <c r="AT34426" s="247"/>
    </row>
    <row r="34427">
      <c r="C34427" s="277"/>
      <c r="M34427" s="277"/>
      <c r="O34427" s="247"/>
      <c r="AC34427" s="247"/>
      <c r="AT34427" s="247"/>
    </row>
    <row r="34428">
      <c r="C34428" s="277"/>
      <c r="M34428" s="277"/>
      <c r="O34428" s="247"/>
      <c r="AC34428" s="247"/>
      <c r="AT34428" s="247"/>
    </row>
    <row r="34429">
      <c r="C34429" s="277"/>
      <c r="M34429" s="277"/>
      <c r="O34429" s="247"/>
      <c r="AC34429" s="247"/>
      <c r="AT34429" s="247"/>
    </row>
    <row r="34430">
      <c r="C34430" s="277"/>
      <c r="M34430" s="277"/>
      <c r="O34430" s="247"/>
      <c r="AC34430" s="247"/>
      <c r="AT34430" s="247"/>
    </row>
    <row r="34431">
      <c r="C34431" s="277"/>
      <c r="M34431" s="277"/>
      <c r="O34431" s="247"/>
      <c r="AC34431" s="247"/>
      <c r="AT34431" s="247"/>
    </row>
    <row r="34432">
      <c r="C34432" s="277"/>
      <c r="M34432" s="277"/>
      <c r="O34432" s="247"/>
      <c r="AC34432" s="247"/>
      <c r="AT34432" s="247"/>
    </row>
    <row r="34433">
      <c r="C34433" s="277"/>
      <c r="M34433" s="277"/>
      <c r="O34433" s="247"/>
      <c r="AC34433" s="247"/>
      <c r="AT34433" s="247"/>
    </row>
    <row r="34434">
      <c r="C34434" s="277"/>
      <c r="M34434" s="277"/>
      <c r="O34434" s="247"/>
      <c r="AC34434" s="247"/>
      <c r="AT34434" s="247"/>
    </row>
    <row r="34435">
      <c r="C34435" s="277"/>
      <c r="M34435" s="277"/>
      <c r="O34435" s="247"/>
      <c r="AC34435" s="247"/>
      <c r="AT34435" s="247"/>
    </row>
    <row r="34436">
      <c r="C34436" s="277"/>
      <c r="M34436" s="277"/>
      <c r="O34436" s="247"/>
      <c r="AC34436" s="247"/>
      <c r="AT34436" s="247"/>
    </row>
    <row r="34437">
      <c r="C34437" s="277"/>
      <c r="M34437" s="277"/>
      <c r="O34437" s="247"/>
      <c r="AC34437" s="247"/>
      <c r="AT34437" s="247"/>
    </row>
    <row r="34438">
      <c r="C34438" s="277"/>
      <c r="M34438" s="277"/>
      <c r="O34438" s="247"/>
      <c r="AC34438" s="247"/>
      <c r="AT34438" s="247"/>
    </row>
    <row r="34439">
      <c r="C34439" s="277"/>
      <c r="M34439" s="277"/>
      <c r="O34439" s="247"/>
      <c r="AC34439" s="247"/>
      <c r="AT34439" s="247"/>
    </row>
    <row r="34440">
      <c r="C34440" s="277"/>
      <c r="M34440" s="277"/>
      <c r="O34440" s="247"/>
      <c r="AC34440" s="247"/>
      <c r="AT34440" s="247"/>
    </row>
    <row r="34441">
      <c r="C34441" s="277"/>
      <c r="M34441" s="277"/>
      <c r="O34441" s="247"/>
      <c r="AC34441" s="247"/>
      <c r="AT34441" s="247"/>
    </row>
    <row r="34442">
      <c r="C34442" s="277"/>
      <c r="M34442" s="277"/>
      <c r="O34442" s="247"/>
      <c r="AC34442" s="247"/>
      <c r="AT34442" s="247"/>
    </row>
    <row r="34443">
      <c r="C34443" s="277"/>
      <c r="M34443" s="277"/>
      <c r="O34443" s="247"/>
      <c r="AC34443" s="247"/>
      <c r="AT34443" s="247"/>
    </row>
    <row r="34444">
      <c r="C34444" s="277"/>
      <c r="M34444" s="277"/>
      <c r="O34444" s="247"/>
      <c r="AC34444" s="247"/>
      <c r="AT34444" s="247"/>
    </row>
    <row r="34445">
      <c r="C34445" s="277"/>
      <c r="M34445" s="277"/>
      <c r="O34445" s="247"/>
      <c r="AC34445" s="247"/>
      <c r="AT34445" s="247"/>
    </row>
    <row r="34446">
      <c r="C34446" s="277"/>
      <c r="M34446" s="277"/>
      <c r="O34446" s="247"/>
      <c r="AC34446" s="247"/>
      <c r="AT34446" s="247"/>
    </row>
    <row r="34447">
      <c r="C34447" s="277"/>
      <c r="M34447" s="277"/>
      <c r="O34447" s="247"/>
      <c r="AC34447" s="247"/>
      <c r="AT34447" s="247"/>
    </row>
    <row r="34448">
      <c r="C34448" s="277"/>
      <c r="M34448" s="277"/>
      <c r="O34448" s="247"/>
      <c r="AC34448" s="247"/>
      <c r="AT34448" s="247"/>
    </row>
    <row r="34449">
      <c r="C34449" s="277"/>
      <c r="M34449" s="277"/>
      <c r="O34449" s="247"/>
      <c r="AC34449" s="247"/>
      <c r="AT34449" s="247"/>
    </row>
    <row r="34450">
      <c r="C34450" s="277"/>
      <c r="M34450" s="277"/>
      <c r="O34450" s="247"/>
      <c r="AC34450" s="247"/>
      <c r="AT34450" s="247"/>
    </row>
    <row r="34451">
      <c r="C34451" s="277"/>
      <c r="M34451" s="277"/>
      <c r="O34451" s="247"/>
      <c r="AC34451" s="247"/>
      <c r="AT34451" s="247"/>
    </row>
    <row r="34452">
      <c r="C34452" s="277"/>
      <c r="M34452" s="277"/>
      <c r="O34452" s="247"/>
      <c r="AC34452" s="247"/>
      <c r="AT34452" s="247"/>
    </row>
    <row r="34453">
      <c r="C34453" s="277"/>
      <c r="M34453" s="277"/>
      <c r="O34453" s="247"/>
      <c r="AC34453" s="247"/>
      <c r="AT34453" s="247"/>
    </row>
    <row r="34454">
      <c r="C34454" s="277"/>
      <c r="M34454" s="277"/>
      <c r="O34454" s="247"/>
      <c r="AC34454" s="247"/>
      <c r="AT34454" s="247"/>
    </row>
    <row r="34455">
      <c r="C34455" s="277"/>
      <c r="M34455" s="277"/>
      <c r="O34455" s="247"/>
      <c r="AC34455" s="247"/>
      <c r="AT34455" s="247"/>
    </row>
    <row r="34456">
      <c r="C34456" s="277"/>
      <c r="M34456" s="277"/>
      <c r="O34456" s="247"/>
      <c r="AC34456" s="247"/>
      <c r="AT34456" s="247"/>
    </row>
    <row r="34457">
      <c r="C34457" s="277"/>
      <c r="M34457" s="277"/>
      <c r="O34457" s="247"/>
      <c r="AC34457" s="247"/>
      <c r="AT34457" s="247"/>
    </row>
    <row r="34458">
      <c r="C34458" s="277"/>
      <c r="M34458" s="277"/>
      <c r="O34458" s="247"/>
      <c r="AC34458" s="247"/>
      <c r="AT34458" s="247"/>
    </row>
    <row r="34459">
      <c r="C34459" s="277"/>
      <c r="M34459" s="277"/>
      <c r="O34459" s="247"/>
      <c r="AC34459" s="247"/>
      <c r="AT34459" s="247"/>
    </row>
    <row r="34460">
      <c r="C34460" s="277"/>
      <c r="M34460" s="277"/>
      <c r="O34460" s="247"/>
      <c r="AC34460" s="247"/>
      <c r="AT34460" s="247"/>
    </row>
    <row r="34461">
      <c r="C34461" s="277"/>
      <c r="M34461" s="277"/>
      <c r="O34461" s="247"/>
      <c r="AC34461" s="247"/>
      <c r="AT34461" s="247"/>
    </row>
    <row r="34462">
      <c r="C34462" s="277"/>
      <c r="M34462" s="277"/>
      <c r="O34462" s="247"/>
      <c r="AC34462" s="247"/>
      <c r="AT34462" s="247"/>
    </row>
    <row r="34463">
      <c r="C34463" s="277"/>
      <c r="M34463" s="277"/>
      <c r="O34463" s="247"/>
      <c r="AC34463" s="247"/>
      <c r="AT34463" s="247"/>
    </row>
    <row r="34464">
      <c r="C34464" s="277"/>
      <c r="M34464" s="277"/>
      <c r="O34464" s="247"/>
      <c r="AC34464" s="247"/>
      <c r="AT34464" s="247"/>
    </row>
    <row r="34465">
      <c r="C34465" s="277"/>
      <c r="M34465" s="277"/>
      <c r="O34465" s="247"/>
      <c r="AC34465" s="247"/>
      <c r="AT34465" s="247"/>
    </row>
    <row r="34466">
      <c r="C34466" s="277"/>
      <c r="M34466" s="277"/>
      <c r="O34466" s="247"/>
      <c r="AC34466" s="247"/>
      <c r="AT34466" s="247"/>
    </row>
    <row r="34467">
      <c r="C34467" s="277"/>
      <c r="M34467" s="277"/>
      <c r="O34467" s="247"/>
      <c r="AC34467" s="247"/>
      <c r="AT34467" s="247"/>
    </row>
    <row r="34468">
      <c r="C34468" s="277"/>
      <c r="M34468" s="277"/>
      <c r="O34468" s="247"/>
      <c r="AC34468" s="247"/>
      <c r="AT34468" s="247"/>
    </row>
    <row r="34469">
      <c r="C34469" s="277"/>
      <c r="M34469" s="277"/>
      <c r="O34469" s="247"/>
      <c r="AC34469" s="247"/>
      <c r="AT34469" s="247"/>
    </row>
    <row r="34470">
      <c r="C34470" s="277"/>
      <c r="M34470" s="277"/>
      <c r="O34470" s="247"/>
      <c r="AC34470" s="247"/>
      <c r="AT34470" s="247"/>
    </row>
    <row r="34471">
      <c r="C34471" s="277"/>
      <c r="M34471" s="277"/>
      <c r="O34471" s="247"/>
      <c r="AC34471" s="247"/>
      <c r="AT34471" s="247"/>
    </row>
    <row r="34472">
      <c r="C34472" s="277"/>
      <c r="M34472" s="277"/>
      <c r="O34472" s="247"/>
      <c r="AC34472" s="247"/>
      <c r="AT34472" s="247"/>
    </row>
    <row r="34473">
      <c r="C34473" s="277"/>
      <c r="M34473" s="277"/>
      <c r="O34473" s="247"/>
      <c r="AC34473" s="247"/>
      <c r="AT34473" s="247"/>
    </row>
    <row r="34474">
      <c r="C34474" s="277"/>
      <c r="M34474" s="277"/>
      <c r="O34474" s="247"/>
      <c r="AC34474" s="247"/>
      <c r="AT34474" s="247"/>
    </row>
    <row r="34475">
      <c r="C34475" s="277"/>
      <c r="M34475" s="277"/>
      <c r="O34475" s="247"/>
      <c r="AC34475" s="247"/>
      <c r="AT34475" s="247"/>
    </row>
    <row r="34476">
      <c r="C34476" s="277"/>
      <c r="M34476" s="277"/>
      <c r="O34476" s="247"/>
      <c r="AC34476" s="247"/>
      <c r="AT34476" s="247"/>
    </row>
    <row r="34477">
      <c r="C34477" s="277"/>
      <c r="M34477" s="277"/>
      <c r="O34477" s="247"/>
      <c r="AC34477" s="247"/>
      <c r="AT34477" s="247"/>
    </row>
    <row r="34478">
      <c r="C34478" s="277"/>
      <c r="M34478" s="277"/>
      <c r="O34478" s="247"/>
      <c r="AC34478" s="247"/>
      <c r="AT34478" s="247"/>
    </row>
    <row r="34479">
      <c r="C34479" s="277"/>
      <c r="M34479" s="277"/>
      <c r="O34479" s="247"/>
      <c r="AC34479" s="247"/>
      <c r="AT34479" s="247"/>
    </row>
    <row r="34480">
      <c r="C34480" s="277"/>
      <c r="M34480" s="277"/>
      <c r="O34480" s="247"/>
      <c r="AC34480" s="247"/>
      <c r="AT34480" s="247"/>
    </row>
    <row r="34481">
      <c r="C34481" s="277"/>
      <c r="M34481" s="277"/>
      <c r="O34481" s="247"/>
      <c r="AC34481" s="247"/>
      <c r="AT34481" s="247"/>
    </row>
    <row r="34482">
      <c r="C34482" s="277"/>
      <c r="M34482" s="277"/>
      <c r="O34482" s="247"/>
      <c r="AC34482" s="247"/>
      <c r="AT34482" s="247"/>
    </row>
    <row r="34483">
      <c r="C34483" s="277"/>
      <c r="M34483" s="277"/>
      <c r="O34483" s="247"/>
      <c r="AC34483" s="247"/>
      <c r="AT34483" s="247"/>
    </row>
    <row r="34484">
      <c r="C34484" s="277"/>
      <c r="M34484" s="277"/>
      <c r="O34484" s="247"/>
      <c r="AC34484" s="247"/>
      <c r="AT34484" s="247"/>
    </row>
    <row r="34485">
      <c r="C34485" s="277"/>
      <c r="M34485" s="277"/>
      <c r="O34485" s="247"/>
      <c r="AC34485" s="247"/>
      <c r="AT34485" s="247"/>
    </row>
    <row r="34486">
      <c r="C34486" s="277"/>
      <c r="M34486" s="277"/>
      <c r="O34486" s="247"/>
      <c r="AC34486" s="247"/>
      <c r="AT34486" s="247"/>
    </row>
    <row r="34487">
      <c r="C34487" s="277"/>
      <c r="M34487" s="277"/>
      <c r="O34487" s="247"/>
      <c r="AC34487" s="247"/>
      <c r="AT34487" s="247"/>
    </row>
    <row r="34488">
      <c r="C34488" s="277"/>
      <c r="M34488" s="277"/>
      <c r="O34488" s="247"/>
      <c r="AC34488" s="247"/>
      <c r="AT34488" s="247"/>
    </row>
    <row r="34489">
      <c r="C34489" s="277"/>
      <c r="M34489" s="277"/>
      <c r="O34489" s="247"/>
      <c r="AC34489" s="247"/>
      <c r="AT34489" s="247"/>
    </row>
    <row r="34490">
      <c r="C34490" s="277"/>
      <c r="M34490" s="277"/>
      <c r="O34490" s="247"/>
      <c r="AC34490" s="247"/>
      <c r="AT34490" s="247"/>
    </row>
    <row r="34491">
      <c r="C34491" s="277"/>
      <c r="M34491" s="277"/>
      <c r="O34491" s="247"/>
      <c r="AC34491" s="247"/>
      <c r="AT34491" s="247"/>
    </row>
    <row r="34492">
      <c r="C34492" s="277"/>
      <c r="M34492" s="277"/>
      <c r="O34492" s="247"/>
      <c r="AC34492" s="247"/>
      <c r="AT34492" s="247"/>
    </row>
    <row r="34493">
      <c r="C34493" s="277"/>
      <c r="M34493" s="277"/>
      <c r="O34493" s="247"/>
      <c r="AC34493" s="247"/>
      <c r="AT34493" s="247"/>
    </row>
    <row r="34494">
      <c r="C34494" s="277"/>
      <c r="M34494" s="277"/>
      <c r="O34494" s="247"/>
      <c r="AC34494" s="247"/>
      <c r="AT34494" s="247"/>
    </row>
    <row r="34495">
      <c r="C34495" s="277"/>
      <c r="M34495" s="277"/>
      <c r="O34495" s="247"/>
      <c r="AC34495" s="247"/>
      <c r="AT34495" s="247"/>
    </row>
    <row r="34496">
      <c r="C34496" s="277"/>
      <c r="M34496" s="277"/>
      <c r="O34496" s="247"/>
      <c r="AC34496" s="247"/>
      <c r="AT34496" s="247"/>
    </row>
    <row r="34497">
      <c r="C34497" s="277"/>
      <c r="M34497" s="277"/>
      <c r="O34497" s="247"/>
      <c r="AC34497" s="247"/>
      <c r="AT34497" s="247"/>
    </row>
    <row r="34498">
      <c r="C34498" s="277"/>
      <c r="M34498" s="277"/>
      <c r="O34498" s="247"/>
      <c r="AC34498" s="247"/>
      <c r="AT34498" s="247"/>
    </row>
    <row r="34499">
      <c r="C34499" s="277"/>
      <c r="M34499" s="277"/>
      <c r="O34499" s="247"/>
      <c r="AC34499" s="247"/>
      <c r="AT34499" s="247"/>
    </row>
    <row r="34500">
      <c r="C34500" s="277"/>
      <c r="M34500" s="277"/>
      <c r="O34500" s="247"/>
      <c r="AC34500" s="247"/>
      <c r="AT34500" s="247"/>
    </row>
    <row r="34501">
      <c r="C34501" s="277"/>
      <c r="M34501" s="277"/>
      <c r="O34501" s="247"/>
      <c r="AC34501" s="247"/>
      <c r="AT34501" s="247"/>
    </row>
    <row r="34502">
      <c r="C34502" s="277"/>
      <c r="M34502" s="277"/>
      <c r="O34502" s="247"/>
      <c r="AC34502" s="247"/>
      <c r="AT34502" s="247"/>
    </row>
    <row r="34503">
      <c r="C34503" s="277"/>
      <c r="M34503" s="277"/>
      <c r="O34503" s="247"/>
      <c r="AC34503" s="247"/>
      <c r="AT34503" s="247"/>
    </row>
    <row r="34504">
      <c r="C34504" s="277"/>
      <c r="M34504" s="277"/>
      <c r="O34504" s="247"/>
      <c r="AC34504" s="247"/>
      <c r="AT34504" s="247"/>
    </row>
    <row r="34505">
      <c r="C34505" s="277"/>
      <c r="M34505" s="277"/>
      <c r="O34505" s="247"/>
      <c r="AC34505" s="247"/>
      <c r="AT34505" s="247"/>
    </row>
    <row r="34506">
      <c r="C34506" s="277"/>
      <c r="M34506" s="277"/>
      <c r="O34506" s="247"/>
      <c r="AC34506" s="247"/>
      <c r="AT34506" s="247"/>
    </row>
    <row r="34507">
      <c r="C34507" s="277"/>
      <c r="M34507" s="277"/>
      <c r="O34507" s="247"/>
      <c r="AC34507" s="247"/>
      <c r="AT34507" s="247"/>
    </row>
    <row r="34508">
      <c r="C34508" s="277"/>
      <c r="M34508" s="277"/>
      <c r="O34508" s="247"/>
      <c r="AC34508" s="247"/>
      <c r="AT34508" s="247"/>
    </row>
    <row r="34509">
      <c r="C34509" s="277"/>
      <c r="M34509" s="277"/>
      <c r="O34509" s="247"/>
      <c r="AC34509" s="247"/>
      <c r="AT34509" s="247"/>
    </row>
    <row r="34510">
      <c r="C34510" s="277"/>
      <c r="M34510" s="277"/>
      <c r="O34510" s="247"/>
      <c r="AC34510" s="247"/>
      <c r="AT34510" s="247"/>
    </row>
    <row r="34511">
      <c r="C34511" s="277"/>
      <c r="M34511" s="277"/>
      <c r="O34511" s="247"/>
      <c r="AC34511" s="247"/>
      <c r="AT34511" s="247"/>
    </row>
    <row r="34512">
      <c r="C34512" s="277"/>
      <c r="M34512" s="277"/>
      <c r="O34512" s="247"/>
      <c r="AC34512" s="247"/>
      <c r="AT34512" s="247"/>
    </row>
    <row r="34513">
      <c r="C34513" s="277"/>
      <c r="M34513" s="277"/>
      <c r="O34513" s="247"/>
      <c r="AC34513" s="247"/>
      <c r="AT34513" s="247"/>
    </row>
    <row r="34514">
      <c r="C34514" s="277"/>
      <c r="M34514" s="277"/>
      <c r="O34514" s="247"/>
      <c r="AC34514" s="247"/>
      <c r="AT34514" s="247"/>
    </row>
    <row r="34515">
      <c r="C34515" s="277"/>
      <c r="M34515" s="277"/>
      <c r="O34515" s="247"/>
      <c r="AC34515" s="247"/>
      <c r="AT34515" s="247"/>
    </row>
    <row r="34516">
      <c r="C34516" s="277"/>
      <c r="M34516" s="277"/>
      <c r="O34516" s="247"/>
      <c r="AC34516" s="247"/>
      <c r="AT34516" s="247"/>
    </row>
    <row r="34517">
      <c r="C34517" s="277"/>
      <c r="M34517" s="277"/>
      <c r="O34517" s="247"/>
      <c r="AC34517" s="247"/>
      <c r="AT34517" s="247"/>
    </row>
    <row r="34518">
      <c r="C34518" s="277"/>
      <c r="M34518" s="277"/>
      <c r="O34518" s="247"/>
      <c r="AC34518" s="247"/>
      <c r="AT34518" s="247"/>
    </row>
    <row r="34519">
      <c r="C34519" s="277"/>
      <c r="M34519" s="277"/>
      <c r="O34519" s="247"/>
      <c r="AC34519" s="247"/>
      <c r="AT34519" s="247"/>
    </row>
    <row r="34520">
      <c r="C34520" s="277"/>
      <c r="M34520" s="277"/>
      <c r="O34520" s="247"/>
      <c r="AC34520" s="247"/>
      <c r="AT34520" s="247"/>
    </row>
    <row r="34521">
      <c r="C34521" s="277"/>
      <c r="M34521" s="277"/>
      <c r="O34521" s="247"/>
      <c r="AC34521" s="247"/>
      <c r="AT34521" s="247"/>
    </row>
    <row r="34522">
      <c r="C34522" s="277"/>
      <c r="M34522" s="277"/>
      <c r="O34522" s="247"/>
      <c r="AC34522" s="247"/>
      <c r="AT34522" s="247"/>
    </row>
    <row r="34523">
      <c r="C34523" s="277"/>
      <c r="M34523" s="277"/>
      <c r="O34523" s="247"/>
      <c r="AC34523" s="247"/>
      <c r="AT34523" s="247"/>
    </row>
    <row r="34524">
      <c r="C34524" s="277"/>
      <c r="M34524" s="277"/>
      <c r="O34524" s="247"/>
      <c r="AC34524" s="247"/>
      <c r="AT34524" s="247"/>
    </row>
    <row r="34525">
      <c r="C34525" s="277"/>
      <c r="M34525" s="277"/>
      <c r="O34525" s="247"/>
      <c r="AC34525" s="247"/>
      <c r="AT34525" s="247"/>
    </row>
    <row r="34526">
      <c r="C34526" s="277"/>
      <c r="M34526" s="277"/>
      <c r="O34526" s="247"/>
      <c r="AC34526" s="247"/>
      <c r="AT34526" s="247"/>
    </row>
    <row r="34527">
      <c r="C34527" s="277"/>
      <c r="M34527" s="277"/>
      <c r="O34527" s="247"/>
      <c r="AC34527" s="247"/>
      <c r="AT34527" s="247"/>
    </row>
    <row r="34528">
      <c r="C34528" s="277"/>
      <c r="M34528" s="277"/>
      <c r="O34528" s="247"/>
      <c r="AC34528" s="247"/>
      <c r="AT34528" s="247"/>
    </row>
    <row r="34529">
      <c r="C34529" s="277"/>
      <c r="M34529" s="277"/>
      <c r="O34529" s="247"/>
      <c r="AC34529" s="247"/>
      <c r="AT34529" s="247"/>
    </row>
    <row r="34530">
      <c r="C34530" s="277"/>
      <c r="M34530" s="277"/>
      <c r="O34530" s="247"/>
      <c r="AC34530" s="247"/>
      <c r="AT34530" s="247"/>
    </row>
    <row r="34531">
      <c r="C34531" s="277"/>
      <c r="M34531" s="277"/>
      <c r="O34531" s="247"/>
      <c r="AC34531" s="247"/>
      <c r="AT34531" s="247"/>
    </row>
    <row r="34532">
      <c r="C34532" s="277"/>
      <c r="M34532" s="277"/>
      <c r="O34532" s="247"/>
      <c r="AC34532" s="247"/>
      <c r="AT34532" s="247"/>
    </row>
    <row r="34533">
      <c r="C34533" s="277"/>
      <c r="M34533" s="277"/>
      <c r="O34533" s="247"/>
      <c r="AC34533" s="247"/>
      <c r="AT34533" s="247"/>
    </row>
    <row r="34534">
      <c r="C34534" s="277"/>
      <c r="M34534" s="277"/>
      <c r="O34534" s="247"/>
      <c r="AC34534" s="247"/>
      <c r="AT34534" s="247"/>
    </row>
    <row r="34535">
      <c r="C34535" s="277"/>
      <c r="M34535" s="277"/>
      <c r="O34535" s="247"/>
      <c r="AC34535" s="247"/>
      <c r="AT34535" s="247"/>
    </row>
    <row r="34536">
      <c r="C34536" s="277"/>
      <c r="M34536" s="277"/>
      <c r="O34536" s="247"/>
      <c r="AC34536" s="247"/>
      <c r="AT34536" s="247"/>
    </row>
    <row r="34537">
      <c r="C34537" s="277"/>
      <c r="M34537" s="277"/>
      <c r="O34537" s="247"/>
      <c r="AC34537" s="247"/>
      <c r="AT34537" s="247"/>
    </row>
    <row r="34538">
      <c r="C34538" s="277"/>
      <c r="M34538" s="277"/>
      <c r="O34538" s="247"/>
      <c r="AC34538" s="247"/>
      <c r="AT34538" s="247"/>
    </row>
    <row r="34539">
      <c r="C34539" s="277"/>
      <c r="M34539" s="277"/>
      <c r="O34539" s="247"/>
      <c r="AC34539" s="247"/>
      <c r="AT34539" s="247"/>
    </row>
    <row r="34540">
      <c r="C34540" s="277"/>
      <c r="M34540" s="277"/>
      <c r="O34540" s="247"/>
      <c r="AC34540" s="247"/>
      <c r="AT34540" s="247"/>
    </row>
    <row r="34541">
      <c r="C34541" s="277"/>
      <c r="M34541" s="277"/>
      <c r="O34541" s="247"/>
      <c r="AC34541" s="247"/>
      <c r="AT34541" s="247"/>
    </row>
    <row r="34542">
      <c r="C34542" s="277"/>
      <c r="M34542" s="277"/>
      <c r="O34542" s="247"/>
      <c r="AC34542" s="247"/>
      <c r="AT34542" s="247"/>
    </row>
    <row r="34543">
      <c r="C34543" s="277"/>
      <c r="M34543" s="277"/>
      <c r="O34543" s="247"/>
      <c r="AC34543" s="247"/>
      <c r="AT34543" s="247"/>
    </row>
    <row r="34544">
      <c r="C34544" s="277"/>
      <c r="M34544" s="277"/>
      <c r="O34544" s="247"/>
      <c r="AC34544" s="247"/>
      <c r="AT34544" s="247"/>
    </row>
    <row r="34545">
      <c r="C34545" s="277"/>
      <c r="M34545" s="277"/>
      <c r="O34545" s="247"/>
      <c r="AC34545" s="247"/>
      <c r="AT34545" s="247"/>
    </row>
    <row r="34546">
      <c r="C34546" s="277"/>
      <c r="M34546" s="277"/>
      <c r="O34546" s="247"/>
      <c r="AC34546" s="247"/>
      <c r="AT34546" s="247"/>
    </row>
    <row r="34547">
      <c r="C34547" s="277"/>
      <c r="M34547" s="277"/>
      <c r="O34547" s="247"/>
      <c r="AC34547" s="247"/>
      <c r="AT34547" s="247"/>
    </row>
    <row r="34548">
      <c r="C34548" s="277"/>
      <c r="M34548" s="277"/>
      <c r="O34548" s="247"/>
      <c r="AC34548" s="247"/>
      <c r="AT34548" s="247"/>
    </row>
    <row r="34549">
      <c r="C34549" s="277"/>
      <c r="M34549" s="277"/>
      <c r="O34549" s="247"/>
      <c r="AC34549" s="247"/>
      <c r="AT34549" s="247"/>
    </row>
    <row r="34550">
      <c r="C34550" s="277"/>
      <c r="M34550" s="277"/>
      <c r="O34550" s="247"/>
      <c r="AC34550" s="247"/>
      <c r="AT34550" s="247"/>
    </row>
    <row r="34551">
      <c r="C34551" s="277"/>
      <c r="M34551" s="277"/>
      <c r="O34551" s="247"/>
      <c r="AC34551" s="247"/>
      <c r="AT34551" s="247"/>
    </row>
    <row r="34552">
      <c r="C34552" s="277"/>
      <c r="M34552" s="277"/>
      <c r="O34552" s="247"/>
      <c r="AC34552" s="247"/>
      <c r="AT34552" s="247"/>
    </row>
    <row r="34553">
      <c r="C34553" s="277"/>
      <c r="M34553" s="277"/>
      <c r="O34553" s="247"/>
      <c r="AC34553" s="247"/>
      <c r="AT34553" s="247"/>
    </row>
    <row r="34554">
      <c r="C34554" s="277"/>
      <c r="M34554" s="277"/>
      <c r="O34554" s="247"/>
      <c r="AC34554" s="247"/>
      <c r="AT34554" s="247"/>
    </row>
    <row r="34555">
      <c r="C34555" s="277"/>
      <c r="M34555" s="277"/>
      <c r="O34555" s="247"/>
      <c r="AC34555" s="247"/>
      <c r="AT34555" s="247"/>
    </row>
    <row r="34556">
      <c r="C34556" s="277"/>
      <c r="M34556" s="277"/>
      <c r="O34556" s="247"/>
      <c r="AC34556" s="247"/>
      <c r="AT34556" s="247"/>
    </row>
    <row r="34557">
      <c r="C34557" s="277"/>
      <c r="M34557" s="277"/>
      <c r="O34557" s="247"/>
      <c r="AC34557" s="247"/>
      <c r="AT34557" s="247"/>
    </row>
    <row r="34558">
      <c r="C34558" s="277"/>
      <c r="M34558" s="277"/>
      <c r="O34558" s="247"/>
      <c r="AC34558" s="247"/>
      <c r="AT34558" s="247"/>
    </row>
    <row r="34559">
      <c r="C34559" s="277"/>
      <c r="M34559" s="277"/>
      <c r="O34559" s="247"/>
      <c r="AC34559" s="247"/>
      <c r="AT34559" s="247"/>
    </row>
    <row r="34560">
      <c r="C34560" s="277"/>
      <c r="M34560" s="277"/>
      <c r="O34560" s="247"/>
      <c r="AC34560" s="247"/>
      <c r="AT34560" s="247"/>
    </row>
    <row r="34561">
      <c r="C34561" s="277"/>
      <c r="M34561" s="277"/>
      <c r="O34561" s="247"/>
      <c r="AC34561" s="247"/>
      <c r="AT34561" s="247"/>
    </row>
    <row r="34562">
      <c r="C34562" s="277"/>
      <c r="M34562" s="277"/>
      <c r="O34562" s="247"/>
      <c r="AC34562" s="247"/>
      <c r="AT34562" s="247"/>
    </row>
    <row r="34563">
      <c r="C34563" s="277"/>
      <c r="M34563" s="277"/>
      <c r="O34563" s="247"/>
      <c r="AC34563" s="247"/>
      <c r="AT34563" s="247"/>
    </row>
    <row r="34564">
      <c r="C34564" s="277"/>
      <c r="M34564" s="277"/>
      <c r="O34564" s="247"/>
      <c r="AC34564" s="247"/>
      <c r="AT34564" s="247"/>
    </row>
    <row r="34565">
      <c r="C34565" s="277"/>
      <c r="M34565" s="277"/>
      <c r="O34565" s="247"/>
      <c r="AC34565" s="247"/>
      <c r="AT34565" s="247"/>
    </row>
    <row r="34566">
      <c r="C34566" s="277"/>
      <c r="M34566" s="277"/>
      <c r="O34566" s="247"/>
      <c r="AC34566" s="247"/>
      <c r="AT34566" s="247"/>
    </row>
    <row r="34567">
      <c r="C34567" s="277"/>
      <c r="M34567" s="277"/>
      <c r="O34567" s="247"/>
      <c r="AC34567" s="247"/>
      <c r="AT34567" s="247"/>
    </row>
    <row r="34568">
      <c r="C34568" s="277"/>
      <c r="M34568" s="277"/>
      <c r="O34568" s="247"/>
      <c r="AC34568" s="247"/>
      <c r="AT34568" s="247"/>
    </row>
    <row r="34569">
      <c r="C34569" s="277"/>
      <c r="M34569" s="277"/>
      <c r="O34569" s="247"/>
      <c r="AC34569" s="247"/>
      <c r="AT34569" s="247"/>
    </row>
    <row r="34570">
      <c r="C34570" s="277"/>
      <c r="M34570" s="277"/>
      <c r="O34570" s="247"/>
      <c r="AC34570" s="247"/>
      <c r="AT34570" s="247"/>
    </row>
    <row r="34571">
      <c r="C34571" s="277"/>
      <c r="M34571" s="277"/>
      <c r="O34571" s="247"/>
      <c r="AC34571" s="247"/>
      <c r="AT34571" s="247"/>
    </row>
    <row r="34572">
      <c r="C34572" s="277"/>
      <c r="M34572" s="277"/>
      <c r="O34572" s="247"/>
      <c r="AC34572" s="247"/>
      <c r="AT34572" s="247"/>
    </row>
    <row r="34573">
      <c r="C34573" s="277"/>
      <c r="M34573" s="277"/>
      <c r="O34573" s="247"/>
      <c r="AC34573" s="247"/>
      <c r="AT34573" s="247"/>
    </row>
    <row r="34574">
      <c r="C34574" s="277"/>
      <c r="M34574" s="277"/>
      <c r="O34574" s="247"/>
      <c r="AC34574" s="247"/>
      <c r="AT34574" s="247"/>
    </row>
    <row r="34575">
      <c r="C34575" s="277"/>
      <c r="M34575" s="277"/>
      <c r="O34575" s="247"/>
      <c r="AC34575" s="247"/>
      <c r="AT34575" s="247"/>
    </row>
    <row r="34576">
      <c r="C34576" s="277"/>
      <c r="M34576" s="277"/>
      <c r="O34576" s="247"/>
      <c r="AC34576" s="247"/>
      <c r="AT34576" s="247"/>
    </row>
    <row r="34577">
      <c r="C34577" s="277"/>
      <c r="M34577" s="277"/>
      <c r="O34577" s="247"/>
      <c r="AC34577" s="247"/>
      <c r="AT34577" s="247"/>
    </row>
    <row r="34578">
      <c r="C34578" s="277"/>
      <c r="M34578" s="277"/>
      <c r="O34578" s="247"/>
      <c r="AC34578" s="247"/>
      <c r="AT34578" s="247"/>
    </row>
    <row r="34579">
      <c r="C34579" s="277"/>
      <c r="M34579" s="277"/>
      <c r="O34579" s="247"/>
      <c r="AC34579" s="247"/>
      <c r="AT34579" s="247"/>
    </row>
    <row r="34580">
      <c r="C34580" s="277"/>
      <c r="M34580" s="277"/>
      <c r="O34580" s="247"/>
      <c r="AC34580" s="247"/>
      <c r="AT34580" s="247"/>
    </row>
    <row r="34581">
      <c r="C34581" s="277"/>
      <c r="M34581" s="277"/>
      <c r="O34581" s="247"/>
      <c r="AC34581" s="247"/>
      <c r="AT34581" s="247"/>
    </row>
    <row r="34582">
      <c r="C34582" s="277"/>
      <c r="M34582" s="277"/>
      <c r="O34582" s="247"/>
      <c r="AC34582" s="247"/>
      <c r="AT34582" s="247"/>
    </row>
    <row r="34583">
      <c r="C34583" s="277"/>
      <c r="M34583" s="277"/>
      <c r="O34583" s="247"/>
      <c r="AC34583" s="247"/>
      <c r="AT34583" s="247"/>
    </row>
    <row r="34584">
      <c r="C34584" s="277"/>
      <c r="M34584" s="277"/>
      <c r="O34584" s="247"/>
      <c r="AC34584" s="247"/>
      <c r="AT34584" s="247"/>
    </row>
    <row r="34585">
      <c r="C34585" s="277"/>
      <c r="M34585" s="277"/>
      <c r="O34585" s="247"/>
      <c r="AC34585" s="247"/>
      <c r="AT34585" s="247"/>
    </row>
    <row r="34586">
      <c r="C34586" s="277"/>
      <c r="M34586" s="277"/>
      <c r="O34586" s="247"/>
      <c r="AC34586" s="247"/>
      <c r="AT34586" s="247"/>
    </row>
    <row r="34587">
      <c r="C34587" s="277"/>
      <c r="M34587" s="277"/>
      <c r="O34587" s="247"/>
      <c r="AC34587" s="247"/>
      <c r="AT34587" s="247"/>
    </row>
    <row r="34588">
      <c r="C34588" s="277"/>
      <c r="M34588" s="277"/>
      <c r="O34588" s="247"/>
      <c r="AC34588" s="247"/>
      <c r="AT34588" s="247"/>
    </row>
    <row r="34589">
      <c r="C34589" s="277"/>
      <c r="M34589" s="277"/>
      <c r="O34589" s="247"/>
      <c r="AC34589" s="247"/>
      <c r="AT34589" s="247"/>
    </row>
    <row r="34590">
      <c r="C34590" s="277"/>
      <c r="M34590" s="277"/>
      <c r="O34590" s="247"/>
      <c r="AC34590" s="247"/>
      <c r="AT34590" s="247"/>
    </row>
    <row r="34591">
      <c r="C34591" s="277"/>
      <c r="M34591" s="277"/>
      <c r="O34591" s="247"/>
      <c r="AC34591" s="247"/>
      <c r="AT34591" s="247"/>
    </row>
    <row r="34592">
      <c r="C34592" s="277"/>
      <c r="M34592" s="277"/>
      <c r="O34592" s="247"/>
      <c r="AC34592" s="247"/>
      <c r="AT34592" s="247"/>
    </row>
    <row r="34593">
      <c r="C34593" s="277"/>
      <c r="M34593" s="277"/>
      <c r="O34593" s="247"/>
      <c r="AC34593" s="247"/>
      <c r="AT34593" s="247"/>
    </row>
    <row r="34594">
      <c r="C34594" s="277"/>
      <c r="M34594" s="277"/>
      <c r="O34594" s="247"/>
      <c r="AC34594" s="247"/>
      <c r="AT34594" s="247"/>
    </row>
    <row r="34595">
      <c r="C34595" s="277"/>
      <c r="M34595" s="277"/>
      <c r="O34595" s="247"/>
      <c r="AC34595" s="247"/>
      <c r="AT34595" s="247"/>
    </row>
    <row r="34596">
      <c r="C34596" s="277"/>
      <c r="M34596" s="277"/>
      <c r="O34596" s="247"/>
      <c r="AC34596" s="247"/>
      <c r="AT34596" s="247"/>
    </row>
    <row r="34597">
      <c r="C34597" s="277"/>
      <c r="M34597" s="277"/>
      <c r="O34597" s="247"/>
      <c r="AC34597" s="247"/>
      <c r="AT34597" s="247"/>
    </row>
    <row r="34598">
      <c r="C34598" s="277"/>
      <c r="M34598" s="277"/>
      <c r="O34598" s="247"/>
      <c r="AC34598" s="247"/>
      <c r="AT34598" s="247"/>
    </row>
    <row r="34599">
      <c r="C34599" s="277"/>
      <c r="M34599" s="277"/>
      <c r="O34599" s="247"/>
      <c r="AC34599" s="247"/>
      <c r="AT34599" s="247"/>
    </row>
    <row r="34600">
      <c r="C34600" s="277"/>
      <c r="M34600" s="277"/>
      <c r="O34600" s="247"/>
      <c r="AC34600" s="247"/>
      <c r="AT34600" s="247"/>
    </row>
    <row r="34601">
      <c r="C34601" s="277"/>
      <c r="M34601" s="277"/>
      <c r="O34601" s="247"/>
      <c r="AC34601" s="247"/>
      <c r="AT34601" s="247"/>
    </row>
    <row r="34602">
      <c r="C34602" s="277"/>
      <c r="M34602" s="277"/>
      <c r="O34602" s="247"/>
      <c r="AC34602" s="247"/>
      <c r="AT34602" s="247"/>
    </row>
    <row r="34603">
      <c r="C34603" s="277"/>
      <c r="M34603" s="277"/>
      <c r="O34603" s="247"/>
      <c r="AC34603" s="247"/>
      <c r="AT34603" s="247"/>
    </row>
    <row r="34604">
      <c r="C34604" s="277"/>
      <c r="M34604" s="277"/>
      <c r="O34604" s="247"/>
      <c r="AC34604" s="247"/>
      <c r="AT34604" s="247"/>
    </row>
    <row r="34605">
      <c r="C34605" s="277"/>
      <c r="M34605" s="277"/>
      <c r="O34605" s="247"/>
      <c r="AC34605" s="247"/>
      <c r="AT34605" s="247"/>
    </row>
    <row r="34606">
      <c r="C34606" s="277"/>
      <c r="M34606" s="277"/>
      <c r="O34606" s="247"/>
      <c r="AC34606" s="247"/>
      <c r="AT34606" s="247"/>
    </row>
    <row r="34607">
      <c r="C34607" s="277"/>
      <c r="M34607" s="277"/>
      <c r="O34607" s="247"/>
      <c r="AC34607" s="247"/>
      <c r="AT34607" s="247"/>
    </row>
    <row r="34608">
      <c r="C34608" s="277"/>
      <c r="M34608" s="277"/>
      <c r="O34608" s="247"/>
      <c r="AC34608" s="247"/>
      <c r="AT34608" s="247"/>
    </row>
    <row r="34609">
      <c r="C34609" s="277"/>
      <c r="M34609" s="277"/>
      <c r="O34609" s="247"/>
      <c r="AC34609" s="247"/>
      <c r="AT34609" s="247"/>
    </row>
    <row r="34610">
      <c r="C34610" s="277"/>
      <c r="M34610" s="277"/>
      <c r="O34610" s="247"/>
      <c r="AC34610" s="247"/>
      <c r="AT34610" s="247"/>
    </row>
    <row r="34611">
      <c r="C34611" s="277"/>
      <c r="M34611" s="277"/>
      <c r="O34611" s="247"/>
      <c r="AC34611" s="247"/>
      <c r="AT34611" s="247"/>
    </row>
    <row r="34612">
      <c r="C34612" s="277"/>
      <c r="M34612" s="277"/>
      <c r="O34612" s="247"/>
      <c r="AC34612" s="247"/>
      <c r="AT34612" s="247"/>
    </row>
    <row r="34613">
      <c r="C34613" s="277"/>
      <c r="M34613" s="277"/>
      <c r="O34613" s="247"/>
      <c r="AC34613" s="247"/>
      <c r="AT34613" s="247"/>
    </row>
    <row r="34614">
      <c r="C34614" s="277"/>
      <c r="J34614" s="279"/>
      <c r="M34614" s="277"/>
      <c r="O34614" s="247"/>
      <c r="AC34614" s="247"/>
      <c r="AT34614" s="247"/>
    </row>
    <row r="34615">
      <c r="C34615" s="277"/>
      <c r="M34615" s="277"/>
      <c r="O34615" s="247"/>
      <c r="AC34615" s="247"/>
      <c r="AT34615" s="247"/>
    </row>
    <row r="34616">
      <c r="C34616" s="277"/>
      <c r="M34616" s="277"/>
      <c r="O34616" s="247"/>
      <c r="AC34616" s="247"/>
      <c r="AT34616" s="247"/>
    </row>
    <row r="34617">
      <c r="C34617" s="277"/>
      <c r="M34617" s="277"/>
      <c r="O34617" s="247"/>
      <c r="AC34617" s="247"/>
      <c r="AT34617" s="247"/>
    </row>
    <row r="34618">
      <c r="C34618" s="277"/>
      <c r="M34618" s="277"/>
      <c r="O34618" s="247"/>
      <c r="AC34618" s="247"/>
      <c r="AT34618" s="247"/>
    </row>
    <row r="34619">
      <c r="C34619" s="277"/>
      <c r="M34619" s="277"/>
      <c r="O34619" s="247"/>
      <c r="AC34619" s="247"/>
      <c r="AT34619" s="247"/>
    </row>
    <row r="34620">
      <c r="C34620" s="277"/>
      <c r="M34620" s="277"/>
      <c r="O34620" s="247"/>
      <c r="AC34620" s="247"/>
      <c r="AT34620" s="247"/>
    </row>
    <row r="34621">
      <c r="C34621" s="277"/>
      <c r="M34621" s="277"/>
      <c r="O34621" s="247"/>
      <c r="AC34621" s="247"/>
      <c r="AT34621" s="247"/>
    </row>
    <row r="34622">
      <c r="C34622" s="277"/>
      <c r="M34622" s="277"/>
      <c r="O34622" s="247"/>
      <c r="AC34622" s="247"/>
      <c r="AT34622" s="247"/>
    </row>
    <row r="34623">
      <c r="C34623" s="277"/>
      <c r="M34623" s="277"/>
      <c r="O34623" s="247"/>
      <c r="AC34623" s="247"/>
      <c r="AT34623" s="247"/>
    </row>
    <row r="34624">
      <c r="C34624" s="277"/>
      <c r="M34624" s="277"/>
      <c r="O34624" s="247"/>
      <c r="AC34624" s="247"/>
      <c r="AT34624" s="247"/>
    </row>
    <row r="34625">
      <c r="C34625" s="277"/>
      <c r="M34625" s="277"/>
      <c r="O34625" s="247"/>
      <c r="AC34625" s="247"/>
      <c r="AT34625" s="247"/>
    </row>
    <row r="34626">
      <c r="C34626" s="277"/>
      <c r="M34626" s="277"/>
      <c r="O34626" s="247"/>
      <c r="AC34626" s="247"/>
      <c r="AT34626" s="247"/>
    </row>
    <row r="34627">
      <c r="C34627" s="277"/>
      <c r="M34627" s="277"/>
      <c r="O34627" s="247"/>
      <c r="AC34627" s="247"/>
      <c r="AT34627" s="247"/>
    </row>
    <row r="34628">
      <c r="C34628" s="277"/>
      <c r="M34628" s="277"/>
      <c r="O34628" s="247"/>
      <c r="AC34628" s="247"/>
      <c r="AT34628" s="247"/>
    </row>
    <row r="34629">
      <c r="C34629" s="277"/>
      <c r="M34629" s="277"/>
      <c r="O34629" s="247"/>
      <c r="AC34629" s="247"/>
      <c r="AT34629" s="247"/>
    </row>
    <row r="34630">
      <c r="C34630" s="277"/>
      <c r="M34630" s="277"/>
      <c r="O34630" s="247"/>
      <c r="AC34630" s="247"/>
      <c r="AT34630" s="247"/>
    </row>
    <row r="34631">
      <c r="C34631" s="277"/>
      <c r="M34631" s="277"/>
      <c r="O34631" s="247"/>
      <c r="AC34631" s="247"/>
      <c r="AT34631" s="247"/>
    </row>
    <row r="34632">
      <c r="C34632" s="277"/>
      <c r="J34632" s="279"/>
      <c r="M34632" s="277"/>
      <c r="O34632" s="247"/>
      <c r="AC34632" s="247"/>
      <c r="AT34632" s="247"/>
    </row>
    <row r="34633">
      <c r="C34633" s="277"/>
      <c r="M34633" s="277"/>
      <c r="O34633" s="247"/>
      <c r="AC34633" s="247"/>
      <c r="AT34633" s="247"/>
    </row>
    <row r="34634">
      <c r="C34634" s="277"/>
      <c r="M34634" s="277"/>
      <c r="O34634" s="247"/>
      <c r="AC34634" s="247"/>
      <c r="AT34634" s="247"/>
    </row>
    <row r="34635">
      <c r="C34635" s="277"/>
      <c r="M34635" s="277"/>
      <c r="O34635" s="247"/>
      <c r="AC34635" s="247"/>
      <c r="AT34635" s="247"/>
    </row>
    <row r="34636">
      <c r="C34636" s="277"/>
      <c r="M34636" s="277"/>
      <c r="O34636" s="247"/>
      <c r="AC34636" s="247"/>
      <c r="AT34636" s="247"/>
    </row>
    <row r="34637">
      <c r="C34637" s="277"/>
      <c r="M34637" s="277"/>
      <c r="O34637" s="247"/>
      <c r="AC34637" s="247"/>
      <c r="AT34637" s="247"/>
    </row>
    <row r="34638">
      <c r="C34638" s="277"/>
      <c r="M34638" s="277"/>
      <c r="O34638" s="247"/>
      <c r="AC34638" s="247"/>
      <c r="AT34638" s="247"/>
    </row>
    <row r="34639">
      <c r="C34639" s="277"/>
      <c r="M34639" s="277"/>
      <c r="O34639" s="247"/>
      <c r="AC34639" s="247"/>
      <c r="AT34639" s="247"/>
    </row>
    <row r="34640">
      <c r="C34640" s="277"/>
      <c r="M34640" s="277"/>
      <c r="O34640" s="247"/>
      <c r="AC34640" s="247"/>
      <c r="AT34640" s="247"/>
    </row>
    <row r="34641">
      <c r="C34641" s="277"/>
      <c r="M34641" s="277"/>
      <c r="O34641" s="247"/>
      <c r="AC34641" s="247"/>
      <c r="AT34641" s="247"/>
    </row>
    <row r="34642">
      <c r="C34642" s="277"/>
      <c r="M34642" s="277"/>
      <c r="O34642" s="247"/>
      <c r="AC34642" s="247"/>
      <c r="AT34642" s="247"/>
    </row>
    <row r="34643">
      <c r="C34643" s="277"/>
      <c r="M34643" s="277"/>
      <c r="O34643" s="247"/>
      <c r="AC34643" s="247"/>
      <c r="AT34643" s="247"/>
    </row>
    <row r="34644">
      <c r="C34644" s="277"/>
      <c r="M34644" s="277"/>
      <c r="O34644" s="247"/>
      <c r="AC34644" s="247"/>
      <c r="AT34644" s="247"/>
    </row>
    <row r="34645">
      <c r="C34645" s="277"/>
      <c r="M34645" s="277"/>
      <c r="O34645" s="247"/>
      <c r="AC34645" s="247"/>
      <c r="AT34645" s="247"/>
    </row>
    <row r="34646">
      <c r="C34646" s="277"/>
      <c r="M34646" s="277"/>
      <c r="O34646" s="247"/>
      <c r="AC34646" s="247"/>
      <c r="AT34646" s="247"/>
    </row>
    <row r="34647">
      <c r="C34647" s="277"/>
      <c r="M34647" s="277"/>
      <c r="O34647" s="247"/>
      <c r="AC34647" s="247"/>
      <c r="AT34647" s="247"/>
    </row>
    <row r="34648">
      <c r="C34648" s="277"/>
      <c r="M34648" s="277"/>
      <c r="O34648" s="247"/>
      <c r="AC34648" s="247"/>
      <c r="AT34648" s="247"/>
    </row>
    <row r="34649">
      <c r="C34649" s="277"/>
      <c r="M34649" s="277"/>
      <c r="O34649" s="247"/>
      <c r="AC34649" s="247"/>
      <c r="AT34649" s="247"/>
    </row>
    <row r="34650">
      <c r="C34650" s="277"/>
      <c r="M34650" s="277"/>
      <c r="O34650" s="247"/>
      <c r="AC34650" s="247"/>
      <c r="AT34650" s="247"/>
    </row>
    <row r="34651">
      <c r="C34651" s="277"/>
      <c r="M34651" s="277"/>
      <c r="O34651" s="247"/>
      <c r="AC34651" s="247"/>
      <c r="AT34651" s="247"/>
    </row>
    <row r="34652">
      <c r="C34652" s="277"/>
      <c r="M34652" s="277"/>
      <c r="O34652" s="247"/>
      <c r="AC34652" s="247"/>
      <c r="AT34652" s="247"/>
    </row>
    <row r="34653">
      <c r="C34653" s="277"/>
      <c r="M34653" s="277"/>
      <c r="O34653" s="247"/>
      <c r="AC34653" s="247"/>
      <c r="AT34653" s="247"/>
    </row>
    <row r="34654">
      <c r="C34654" s="277"/>
      <c r="M34654" s="277"/>
      <c r="O34654" s="247"/>
      <c r="AC34654" s="247"/>
      <c r="AT34654" s="247"/>
    </row>
    <row r="34655">
      <c r="C34655" s="277"/>
      <c r="M34655" s="277"/>
      <c r="O34655" s="247"/>
      <c r="AC34655" s="247"/>
      <c r="AT34655" s="247"/>
    </row>
    <row r="34656">
      <c r="C34656" s="277"/>
      <c r="M34656" s="277"/>
      <c r="O34656" s="247"/>
      <c r="AC34656" s="247"/>
      <c r="AT34656" s="247"/>
    </row>
    <row r="34657">
      <c r="C34657" s="277"/>
      <c r="M34657" s="277"/>
      <c r="O34657" s="247"/>
      <c r="AC34657" s="247"/>
      <c r="AT34657" s="247"/>
    </row>
    <row r="34658">
      <c r="C34658" s="277"/>
      <c r="M34658" s="277"/>
      <c r="O34658" s="247"/>
      <c r="AC34658" s="247"/>
      <c r="AT34658" s="247"/>
    </row>
    <row r="34659">
      <c r="C34659" s="277"/>
      <c r="M34659" s="277"/>
      <c r="O34659" s="247"/>
      <c r="AC34659" s="247"/>
      <c r="AT34659" s="247"/>
    </row>
    <row r="34660">
      <c r="C34660" s="277"/>
      <c r="M34660" s="277"/>
      <c r="O34660" s="247"/>
      <c r="AC34660" s="247"/>
      <c r="AT34660" s="247"/>
    </row>
    <row r="34661">
      <c r="C34661" s="277"/>
      <c r="M34661" s="277"/>
      <c r="O34661" s="247"/>
      <c r="AC34661" s="247"/>
      <c r="AT34661" s="247"/>
    </row>
    <row r="34662">
      <c r="C34662" s="277"/>
      <c r="M34662" s="277"/>
      <c r="O34662" s="247"/>
      <c r="AC34662" s="247"/>
      <c r="AT34662" s="247"/>
    </row>
    <row r="34663">
      <c r="C34663" s="277"/>
      <c r="M34663" s="277"/>
      <c r="O34663" s="247"/>
      <c r="AC34663" s="247"/>
      <c r="AT34663" s="247"/>
    </row>
    <row r="34664">
      <c r="C34664" s="277"/>
      <c r="M34664" s="277"/>
      <c r="O34664" s="247"/>
      <c r="AC34664" s="247"/>
      <c r="AT34664" s="247"/>
    </row>
    <row r="34665">
      <c r="C34665" s="277"/>
      <c r="M34665" s="277"/>
      <c r="O34665" s="247"/>
      <c r="AC34665" s="247"/>
      <c r="AT34665" s="247"/>
    </row>
    <row r="34666">
      <c r="C34666" s="277"/>
      <c r="M34666" s="277"/>
      <c r="O34666" s="247"/>
      <c r="AC34666" s="247"/>
      <c r="AT34666" s="247"/>
    </row>
    <row r="34667">
      <c r="C34667" s="277"/>
      <c r="M34667" s="277"/>
      <c r="O34667" s="247"/>
      <c r="AC34667" s="247"/>
      <c r="AT34667" s="247"/>
    </row>
    <row r="34668">
      <c r="C34668" s="277"/>
      <c r="M34668" s="277"/>
      <c r="O34668" s="247"/>
      <c r="AC34668" s="247"/>
      <c r="AT34668" s="247"/>
    </row>
    <row r="34669">
      <c r="C34669" s="277"/>
      <c r="M34669" s="277"/>
      <c r="O34669" s="247"/>
      <c r="AC34669" s="247"/>
      <c r="AT34669" s="247"/>
    </row>
    <row r="34670">
      <c r="C34670" s="277"/>
      <c r="M34670" s="277"/>
      <c r="O34670" s="247"/>
      <c r="AC34670" s="247"/>
      <c r="AT34670" s="247"/>
    </row>
    <row r="34671">
      <c r="C34671" s="277"/>
      <c r="M34671" s="277"/>
      <c r="O34671" s="247"/>
      <c r="AC34671" s="247"/>
      <c r="AT34671" s="247"/>
    </row>
    <row r="34672">
      <c r="C34672" s="277"/>
      <c r="M34672" s="277"/>
      <c r="O34672" s="247"/>
      <c r="AC34672" s="247"/>
      <c r="AT34672" s="247"/>
    </row>
    <row r="34673">
      <c r="C34673" s="277"/>
      <c r="M34673" s="277"/>
      <c r="O34673" s="247"/>
      <c r="AC34673" s="247"/>
      <c r="AT34673" s="247"/>
    </row>
    <row r="34674">
      <c r="C34674" s="277"/>
      <c r="M34674" s="277"/>
      <c r="O34674" s="247"/>
      <c r="AC34674" s="247"/>
      <c r="AT34674" s="247"/>
    </row>
    <row r="34675">
      <c r="C34675" s="277"/>
      <c r="M34675" s="277"/>
      <c r="O34675" s="247"/>
      <c r="AC34675" s="247"/>
      <c r="AT34675" s="247"/>
    </row>
    <row r="34676">
      <c r="C34676" s="277"/>
      <c r="M34676" s="277"/>
      <c r="O34676" s="247"/>
      <c r="AC34676" s="247"/>
      <c r="AT34676" s="247"/>
    </row>
    <row r="34677">
      <c r="C34677" s="277"/>
      <c r="M34677" s="277"/>
      <c r="O34677" s="247"/>
      <c r="AC34677" s="247"/>
      <c r="AT34677" s="247"/>
    </row>
    <row r="34678">
      <c r="C34678" s="277"/>
      <c r="M34678" s="277"/>
      <c r="O34678" s="247"/>
      <c r="AC34678" s="247"/>
      <c r="AT34678" s="247"/>
    </row>
    <row r="34679">
      <c r="C34679" s="277"/>
      <c r="M34679" s="277"/>
      <c r="O34679" s="247"/>
      <c r="AC34679" s="247"/>
      <c r="AT34679" s="247"/>
    </row>
    <row r="34680">
      <c r="C34680" s="277"/>
      <c r="M34680" s="277"/>
      <c r="O34680" s="247"/>
      <c r="AC34680" s="247"/>
      <c r="AT34680" s="247"/>
    </row>
    <row r="34681">
      <c r="C34681" s="277"/>
      <c r="M34681" s="277"/>
      <c r="O34681" s="247"/>
      <c r="AC34681" s="247"/>
      <c r="AT34681" s="247"/>
    </row>
    <row r="34682">
      <c r="C34682" s="277"/>
      <c r="M34682" s="277"/>
      <c r="O34682" s="247"/>
      <c r="AC34682" s="247"/>
      <c r="AT34682" s="247"/>
    </row>
    <row r="34683">
      <c r="C34683" s="277"/>
      <c r="M34683" s="277"/>
      <c r="O34683" s="247"/>
      <c r="AC34683" s="247"/>
      <c r="AT34683" s="247"/>
    </row>
    <row r="34684">
      <c r="C34684" s="277"/>
      <c r="M34684" s="277"/>
      <c r="O34684" s="247"/>
      <c r="AC34684" s="247"/>
      <c r="AT34684" s="247"/>
    </row>
    <row r="34685">
      <c r="C34685" s="277"/>
      <c r="M34685" s="277"/>
      <c r="O34685" s="247"/>
      <c r="AC34685" s="247"/>
      <c r="AT34685" s="247"/>
    </row>
    <row r="34686">
      <c r="C34686" s="277"/>
      <c r="M34686" s="277"/>
      <c r="O34686" s="247"/>
      <c r="AC34686" s="247"/>
      <c r="AT34686" s="247"/>
    </row>
    <row r="34687">
      <c r="C34687" s="277"/>
      <c r="M34687" s="277"/>
      <c r="O34687" s="247"/>
      <c r="AC34687" s="247"/>
      <c r="AT34687" s="247"/>
    </row>
    <row r="34688">
      <c r="C34688" s="277"/>
      <c r="M34688" s="277"/>
      <c r="O34688" s="247"/>
      <c r="AC34688" s="247"/>
      <c r="AT34688" s="247"/>
    </row>
    <row r="34689">
      <c r="C34689" s="277"/>
      <c r="M34689" s="277"/>
      <c r="O34689" s="247"/>
      <c r="AC34689" s="247"/>
      <c r="AT34689" s="247"/>
    </row>
    <row r="34690">
      <c r="C34690" s="277"/>
      <c r="M34690" s="277"/>
      <c r="O34690" s="247"/>
      <c r="AC34690" s="247"/>
      <c r="AT34690" s="247"/>
    </row>
    <row r="34691">
      <c r="C34691" s="277"/>
      <c r="M34691" s="277"/>
      <c r="O34691" s="247"/>
      <c r="AC34691" s="247"/>
      <c r="AT34691" s="247"/>
    </row>
    <row r="34692">
      <c r="C34692" s="277"/>
      <c r="M34692" s="277"/>
      <c r="O34692" s="247"/>
      <c r="AC34692" s="247"/>
      <c r="AT34692" s="247"/>
    </row>
    <row r="34693">
      <c r="C34693" s="277"/>
      <c r="M34693" s="277"/>
      <c r="O34693" s="247"/>
      <c r="AC34693" s="247"/>
      <c r="AT34693" s="247"/>
    </row>
    <row r="34694">
      <c r="C34694" s="277"/>
      <c r="M34694" s="277"/>
      <c r="O34694" s="247"/>
      <c r="AC34694" s="247"/>
      <c r="AT34694" s="247"/>
    </row>
    <row r="34695">
      <c r="C34695" s="277"/>
      <c r="M34695" s="277"/>
      <c r="O34695" s="247"/>
      <c r="AC34695" s="247"/>
      <c r="AT34695" s="247"/>
    </row>
    <row r="34696">
      <c r="C34696" s="277"/>
      <c r="M34696" s="277"/>
      <c r="O34696" s="247"/>
      <c r="AC34696" s="247"/>
      <c r="AT34696" s="247"/>
    </row>
    <row r="34697">
      <c r="C34697" s="277"/>
      <c r="M34697" s="277"/>
      <c r="O34697" s="247"/>
      <c r="AC34697" s="247"/>
      <c r="AT34697" s="247"/>
    </row>
    <row r="34698">
      <c r="C34698" s="277"/>
      <c r="M34698" s="277"/>
      <c r="O34698" s="247"/>
      <c r="AC34698" s="247"/>
      <c r="AT34698" s="247"/>
    </row>
    <row r="34699">
      <c r="C34699" s="277"/>
      <c r="M34699" s="277"/>
      <c r="O34699" s="247"/>
      <c r="AC34699" s="247"/>
      <c r="AT34699" s="247"/>
    </row>
    <row r="34700">
      <c r="C34700" s="277"/>
      <c r="M34700" s="277"/>
      <c r="O34700" s="247"/>
      <c r="AC34700" s="247"/>
      <c r="AT34700" s="247"/>
    </row>
    <row r="34701">
      <c r="C34701" s="277"/>
      <c r="M34701" s="277"/>
      <c r="O34701" s="247"/>
      <c r="AC34701" s="247"/>
      <c r="AT34701" s="247"/>
    </row>
    <row r="34702">
      <c r="C34702" s="277"/>
      <c r="M34702" s="277"/>
      <c r="O34702" s="247"/>
      <c r="AC34702" s="247"/>
      <c r="AT34702" s="247"/>
    </row>
    <row r="34703">
      <c r="C34703" s="277"/>
      <c r="M34703" s="277"/>
      <c r="O34703" s="247"/>
      <c r="AC34703" s="247"/>
      <c r="AT34703" s="247"/>
    </row>
    <row r="34704">
      <c r="C34704" s="277"/>
      <c r="M34704" s="277"/>
      <c r="O34704" s="247"/>
      <c r="AC34704" s="247"/>
      <c r="AT34704" s="247"/>
    </row>
    <row r="34705">
      <c r="C34705" s="277"/>
      <c r="M34705" s="277"/>
      <c r="O34705" s="247"/>
      <c r="AC34705" s="247"/>
      <c r="AT34705" s="247"/>
    </row>
    <row r="34706">
      <c r="C34706" s="277"/>
      <c r="M34706" s="277"/>
      <c r="O34706" s="247"/>
      <c r="AC34706" s="247"/>
      <c r="AT34706" s="247"/>
    </row>
    <row r="34707">
      <c r="C34707" s="277"/>
      <c r="M34707" s="277"/>
      <c r="O34707" s="247"/>
      <c r="AC34707" s="247"/>
      <c r="AT34707" s="247"/>
    </row>
    <row r="34708">
      <c r="C34708" s="277"/>
      <c r="M34708" s="277"/>
      <c r="O34708" s="247"/>
      <c r="AC34708" s="247"/>
      <c r="AT34708" s="247"/>
    </row>
    <row r="34709">
      <c r="C34709" s="277"/>
      <c r="M34709" s="277"/>
      <c r="O34709" s="247"/>
      <c r="AC34709" s="247"/>
      <c r="AT34709" s="247"/>
    </row>
    <row r="34710">
      <c r="C34710" s="277"/>
      <c r="M34710" s="277"/>
      <c r="O34710" s="247"/>
      <c r="AC34710" s="247"/>
      <c r="AT34710" s="247"/>
    </row>
    <row r="34711">
      <c r="C34711" s="277"/>
      <c r="M34711" s="277"/>
      <c r="O34711" s="247"/>
      <c r="AC34711" s="247"/>
      <c r="AT34711" s="247"/>
    </row>
    <row r="34712">
      <c r="C34712" s="277"/>
      <c r="M34712" s="277"/>
      <c r="O34712" s="247"/>
      <c r="AC34712" s="247"/>
      <c r="AT34712" s="247"/>
    </row>
    <row r="34713">
      <c r="C34713" s="277"/>
      <c r="M34713" s="277"/>
      <c r="O34713" s="247"/>
      <c r="AC34713" s="247"/>
      <c r="AT34713" s="247"/>
    </row>
    <row r="34714">
      <c r="C34714" s="277"/>
      <c r="M34714" s="277"/>
      <c r="O34714" s="247"/>
      <c r="AC34714" s="247"/>
      <c r="AT34714" s="247"/>
    </row>
    <row r="34715">
      <c r="C34715" s="277"/>
      <c r="M34715" s="277"/>
      <c r="O34715" s="247"/>
      <c r="AC34715" s="247"/>
      <c r="AT34715" s="247"/>
    </row>
    <row r="34716">
      <c r="C34716" s="277"/>
      <c r="M34716" s="277"/>
      <c r="O34716" s="247"/>
      <c r="AC34716" s="247"/>
      <c r="AT34716" s="247"/>
    </row>
    <row r="34717">
      <c r="C34717" s="277"/>
      <c r="M34717" s="277"/>
      <c r="O34717" s="247"/>
      <c r="AC34717" s="247"/>
      <c r="AT34717" s="247"/>
    </row>
    <row r="34718">
      <c r="C34718" s="277"/>
      <c r="M34718" s="277"/>
      <c r="O34718" s="247"/>
      <c r="AC34718" s="247"/>
      <c r="AT34718" s="247"/>
    </row>
    <row r="34719">
      <c r="C34719" s="277"/>
      <c r="M34719" s="277"/>
      <c r="O34719" s="247"/>
      <c r="AC34719" s="247"/>
      <c r="AT34719" s="247"/>
    </row>
    <row r="34720">
      <c r="C34720" s="277"/>
      <c r="M34720" s="277"/>
      <c r="O34720" s="247"/>
      <c r="AC34720" s="247"/>
      <c r="AT34720" s="247"/>
    </row>
    <row r="34721">
      <c r="C34721" s="277"/>
      <c r="M34721" s="277"/>
      <c r="O34721" s="247"/>
      <c r="AC34721" s="247"/>
      <c r="AT34721" s="247"/>
    </row>
    <row r="34722">
      <c r="C34722" s="277"/>
      <c r="M34722" s="277"/>
      <c r="O34722" s="247"/>
      <c r="AC34722" s="247"/>
      <c r="AT34722" s="247"/>
    </row>
    <row r="34723">
      <c r="C34723" s="277"/>
      <c r="M34723" s="277"/>
      <c r="O34723" s="247"/>
      <c r="AC34723" s="247"/>
      <c r="AT34723" s="247"/>
    </row>
    <row r="34724">
      <c r="C34724" s="277"/>
      <c r="M34724" s="277"/>
      <c r="O34724" s="247"/>
      <c r="AC34724" s="247"/>
      <c r="AT34724" s="247"/>
    </row>
    <row r="34725">
      <c r="C34725" s="277"/>
      <c r="M34725" s="277"/>
      <c r="O34725" s="247"/>
      <c r="AC34725" s="247"/>
      <c r="AT34725" s="247"/>
    </row>
    <row r="34726">
      <c r="C34726" s="277"/>
      <c r="M34726" s="277"/>
      <c r="O34726" s="247"/>
      <c r="AC34726" s="247"/>
      <c r="AT34726" s="247"/>
    </row>
    <row r="34727">
      <c r="C34727" s="277"/>
      <c r="M34727" s="277"/>
      <c r="O34727" s="247"/>
      <c r="AC34727" s="247"/>
      <c r="AT34727" s="247"/>
    </row>
    <row r="34728">
      <c r="C34728" s="277"/>
      <c r="M34728" s="277"/>
      <c r="O34728" s="247"/>
      <c r="AC34728" s="247"/>
      <c r="AT34728" s="247"/>
    </row>
    <row r="34729">
      <c r="C34729" s="277"/>
      <c r="M34729" s="277"/>
      <c r="O34729" s="247"/>
      <c r="AC34729" s="247"/>
      <c r="AT34729" s="247"/>
    </row>
    <row r="34730">
      <c r="C34730" s="277"/>
      <c r="M34730" s="277"/>
      <c r="O34730" s="247"/>
      <c r="AC34730" s="247"/>
      <c r="AT34730" s="247"/>
    </row>
    <row r="34731">
      <c r="C34731" s="277"/>
      <c r="M34731" s="277"/>
      <c r="O34731" s="247"/>
      <c r="AC34731" s="247"/>
      <c r="AT34731" s="247"/>
    </row>
    <row r="34732">
      <c r="C34732" s="277"/>
      <c r="M34732" s="277"/>
      <c r="O34732" s="247"/>
      <c r="AC34732" s="247"/>
      <c r="AT34732" s="247"/>
    </row>
    <row r="34733">
      <c r="C34733" s="277"/>
      <c r="M34733" s="277"/>
      <c r="O34733" s="247"/>
      <c r="AC34733" s="247"/>
      <c r="AT34733" s="247"/>
    </row>
    <row r="34734">
      <c r="C34734" s="277"/>
      <c r="M34734" s="277"/>
      <c r="O34734" s="247"/>
      <c r="AC34734" s="247"/>
      <c r="AT34734" s="247"/>
    </row>
    <row r="34735">
      <c r="C34735" s="277"/>
      <c r="M34735" s="277"/>
      <c r="O34735" s="247"/>
      <c r="AC34735" s="247"/>
      <c r="AT34735" s="247"/>
    </row>
    <row r="34736">
      <c r="C34736" s="277"/>
      <c r="M34736" s="277"/>
      <c r="O34736" s="247"/>
      <c r="AC34736" s="247"/>
      <c r="AT34736" s="247"/>
    </row>
    <row r="34737">
      <c r="C34737" s="277"/>
      <c r="M34737" s="277"/>
      <c r="O34737" s="247"/>
      <c r="AC34737" s="247"/>
      <c r="AT34737" s="247"/>
    </row>
    <row r="34738">
      <c r="C34738" s="277"/>
      <c r="M34738" s="277"/>
      <c r="O34738" s="247"/>
      <c r="AC34738" s="247"/>
      <c r="AT34738" s="247"/>
    </row>
    <row r="34739">
      <c r="C34739" s="277"/>
      <c r="M34739" s="277"/>
      <c r="O34739" s="247"/>
      <c r="AC34739" s="247"/>
      <c r="AT34739" s="247"/>
    </row>
    <row r="34740">
      <c r="C34740" s="277"/>
      <c r="M34740" s="277"/>
      <c r="O34740" s="247"/>
      <c r="AC34740" s="247"/>
      <c r="AT34740" s="247"/>
    </row>
    <row r="34741">
      <c r="C34741" s="277"/>
      <c r="M34741" s="277"/>
      <c r="O34741" s="247"/>
      <c r="AC34741" s="247"/>
      <c r="AT34741" s="247"/>
    </row>
    <row r="34742">
      <c r="C34742" s="277"/>
      <c r="M34742" s="277"/>
      <c r="O34742" s="247"/>
      <c r="AC34742" s="247"/>
      <c r="AT34742" s="247"/>
    </row>
    <row r="34743">
      <c r="C34743" s="277"/>
      <c r="M34743" s="277"/>
      <c r="O34743" s="247"/>
      <c r="AC34743" s="247"/>
      <c r="AT34743" s="247"/>
    </row>
    <row r="34744">
      <c r="C34744" s="277"/>
      <c r="M34744" s="277"/>
      <c r="O34744" s="247"/>
      <c r="AC34744" s="247"/>
      <c r="AT34744" s="247"/>
    </row>
    <row r="34745">
      <c r="C34745" s="277"/>
      <c r="M34745" s="277"/>
      <c r="O34745" s="247"/>
      <c r="AC34745" s="247"/>
      <c r="AT34745" s="247"/>
    </row>
    <row r="34746">
      <c r="C34746" s="277"/>
      <c r="M34746" s="277"/>
      <c r="O34746" s="247"/>
      <c r="AC34746" s="247"/>
      <c r="AT34746" s="247"/>
    </row>
    <row r="34747">
      <c r="C34747" s="277"/>
      <c r="M34747" s="277"/>
      <c r="O34747" s="247"/>
      <c r="AC34747" s="247"/>
      <c r="AT34747" s="247"/>
    </row>
    <row r="34748">
      <c r="C34748" s="277"/>
      <c r="M34748" s="277"/>
      <c r="O34748" s="247"/>
      <c r="AC34748" s="247"/>
      <c r="AT34748" s="247"/>
    </row>
    <row r="34749">
      <c r="C34749" s="277"/>
      <c r="M34749" s="277"/>
      <c r="O34749" s="247"/>
      <c r="AC34749" s="247"/>
      <c r="AT34749" s="247"/>
    </row>
    <row r="34750">
      <c r="C34750" s="277"/>
      <c r="M34750" s="277"/>
      <c r="O34750" s="247"/>
      <c r="AC34750" s="247"/>
      <c r="AT34750" s="247"/>
    </row>
    <row r="34751">
      <c r="C34751" s="277"/>
      <c r="M34751" s="277"/>
      <c r="O34751" s="247"/>
      <c r="AC34751" s="247"/>
      <c r="AT34751" s="247"/>
    </row>
    <row r="34752">
      <c r="C34752" s="277"/>
      <c r="M34752" s="277"/>
      <c r="O34752" s="247"/>
      <c r="AC34752" s="247"/>
      <c r="AT34752" s="247"/>
    </row>
    <row r="34753">
      <c r="C34753" s="277"/>
      <c r="M34753" s="277"/>
      <c r="O34753" s="247"/>
      <c r="AC34753" s="247"/>
      <c r="AT34753" s="247"/>
    </row>
    <row r="34754">
      <c r="C34754" s="277"/>
      <c r="M34754" s="277"/>
      <c r="O34754" s="247"/>
      <c r="AC34754" s="247"/>
      <c r="AT34754" s="247"/>
    </row>
    <row r="34755">
      <c r="C34755" s="277"/>
      <c r="M34755" s="277"/>
      <c r="O34755" s="247"/>
      <c r="AC34755" s="247"/>
      <c r="AT34755" s="247"/>
    </row>
    <row r="34756">
      <c r="C34756" s="277"/>
      <c r="M34756" s="277"/>
      <c r="O34756" s="247"/>
      <c r="AC34756" s="247"/>
      <c r="AT34756" s="247"/>
    </row>
    <row r="34757">
      <c r="C34757" s="277"/>
      <c r="M34757" s="277"/>
      <c r="O34757" s="247"/>
      <c r="AC34757" s="247"/>
      <c r="AT34757" s="247"/>
    </row>
    <row r="34758">
      <c r="C34758" s="277"/>
      <c r="M34758" s="277"/>
      <c r="O34758" s="247"/>
      <c r="AC34758" s="247"/>
      <c r="AT34758" s="247"/>
    </row>
    <row r="34759">
      <c r="C34759" s="277"/>
      <c r="M34759" s="277"/>
      <c r="O34759" s="247"/>
      <c r="AC34759" s="247"/>
      <c r="AT34759" s="247"/>
    </row>
    <row r="34760">
      <c r="C34760" s="277"/>
      <c r="M34760" s="277"/>
      <c r="O34760" s="247"/>
      <c r="AC34760" s="247"/>
      <c r="AT34760" s="247"/>
    </row>
    <row r="34761">
      <c r="C34761" s="277"/>
      <c r="M34761" s="277"/>
      <c r="O34761" s="247"/>
      <c r="AC34761" s="247"/>
      <c r="AT34761" s="247"/>
    </row>
    <row r="34762">
      <c r="C34762" s="277"/>
      <c r="M34762" s="277"/>
      <c r="O34762" s="247"/>
      <c r="AC34762" s="247"/>
      <c r="AT34762" s="247"/>
    </row>
    <row r="34763">
      <c r="C34763" s="277"/>
      <c r="M34763" s="277"/>
      <c r="O34763" s="247"/>
      <c r="AC34763" s="247"/>
      <c r="AT34763" s="247"/>
    </row>
    <row r="34764">
      <c r="C34764" s="277"/>
      <c r="M34764" s="277"/>
      <c r="O34764" s="247"/>
      <c r="AC34764" s="247"/>
      <c r="AT34764" s="247"/>
    </row>
    <row r="34765">
      <c r="C34765" s="277"/>
      <c r="M34765" s="277"/>
      <c r="O34765" s="247"/>
      <c r="AC34765" s="247"/>
      <c r="AT34765" s="247"/>
    </row>
    <row r="34766">
      <c r="C34766" s="277"/>
      <c r="M34766" s="277"/>
      <c r="O34766" s="247"/>
      <c r="AC34766" s="247"/>
      <c r="AT34766" s="247"/>
    </row>
    <row r="34767">
      <c r="C34767" s="277"/>
      <c r="M34767" s="277"/>
      <c r="O34767" s="247"/>
      <c r="AC34767" s="247"/>
      <c r="AT34767" s="247"/>
    </row>
    <row r="34768">
      <c r="C34768" s="277"/>
      <c r="M34768" s="277"/>
      <c r="O34768" s="247"/>
      <c r="AC34768" s="247"/>
      <c r="AT34768" s="247"/>
    </row>
    <row r="34769">
      <c r="C34769" s="277"/>
      <c r="M34769" s="277"/>
      <c r="O34769" s="247"/>
      <c r="AC34769" s="247"/>
      <c r="AT34769" s="247"/>
    </row>
    <row r="34770">
      <c r="C34770" s="277"/>
      <c r="M34770" s="277"/>
      <c r="O34770" s="247"/>
      <c r="AC34770" s="247"/>
      <c r="AT34770" s="247"/>
    </row>
    <row r="34771">
      <c r="C34771" s="277"/>
      <c r="M34771" s="277"/>
      <c r="O34771" s="247"/>
      <c r="AC34771" s="247"/>
      <c r="AT34771" s="247"/>
    </row>
    <row r="34772">
      <c r="C34772" s="277"/>
      <c r="M34772" s="277"/>
      <c r="O34772" s="247"/>
      <c r="AC34772" s="247"/>
      <c r="AT34772" s="247"/>
    </row>
    <row r="34773">
      <c r="C34773" s="277"/>
      <c r="M34773" s="277"/>
      <c r="O34773" s="247"/>
      <c r="AC34773" s="247"/>
      <c r="AT34773" s="247"/>
    </row>
    <row r="34774">
      <c r="C34774" s="277"/>
      <c r="M34774" s="277"/>
      <c r="O34774" s="247"/>
      <c r="AC34774" s="247"/>
      <c r="AT34774" s="247"/>
    </row>
    <row r="34775">
      <c r="C34775" s="277"/>
      <c r="M34775" s="277"/>
      <c r="O34775" s="247"/>
      <c r="AC34775" s="247"/>
      <c r="AT34775" s="247"/>
    </row>
    <row r="34776">
      <c r="C34776" s="277"/>
      <c r="M34776" s="277"/>
      <c r="O34776" s="247"/>
      <c r="AC34776" s="247"/>
      <c r="AT34776" s="247"/>
    </row>
    <row r="34777">
      <c r="C34777" s="277"/>
      <c r="M34777" s="277"/>
      <c r="O34777" s="247"/>
      <c r="AC34777" s="247"/>
      <c r="AT34777" s="247"/>
    </row>
    <row r="34778">
      <c r="C34778" s="277"/>
      <c r="M34778" s="277"/>
      <c r="O34778" s="247"/>
      <c r="AC34778" s="247"/>
      <c r="AT34778" s="247"/>
    </row>
    <row r="34779">
      <c r="C34779" s="277"/>
      <c r="M34779" s="277"/>
      <c r="O34779" s="247"/>
      <c r="AC34779" s="247"/>
      <c r="AT34779" s="247"/>
    </row>
    <row r="34780">
      <c r="C34780" s="277"/>
      <c r="M34780" s="277"/>
      <c r="O34780" s="247"/>
      <c r="AC34780" s="247"/>
      <c r="AT34780" s="247"/>
    </row>
    <row r="34781">
      <c r="C34781" s="277"/>
      <c r="M34781" s="277"/>
      <c r="O34781" s="247"/>
      <c r="AC34781" s="247"/>
      <c r="AT34781" s="247"/>
    </row>
    <row r="34782">
      <c r="C34782" s="277"/>
      <c r="M34782" s="277"/>
      <c r="O34782" s="247"/>
      <c r="AC34782" s="247"/>
      <c r="AT34782" s="247"/>
    </row>
    <row r="34783">
      <c r="C34783" s="277"/>
      <c r="M34783" s="277"/>
      <c r="O34783" s="247"/>
      <c r="AC34783" s="247"/>
      <c r="AT34783" s="247"/>
    </row>
    <row r="34784">
      <c r="C34784" s="277"/>
      <c r="M34784" s="277"/>
      <c r="O34784" s="247"/>
      <c r="AC34784" s="247"/>
      <c r="AT34784" s="247"/>
    </row>
    <row r="34785">
      <c r="C34785" s="277"/>
      <c r="M34785" s="277"/>
      <c r="O34785" s="247"/>
      <c r="AC34785" s="247"/>
      <c r="AT34785" s="247"/>
    </row>
    <row r="34786">
      <c r="C34786" s="277"/>
      <c r="M34786" s="277"/>
      <c r="O34786" s="247"/>
      <c r="AC34786" s="247"/>
      <c r="AT34786" s="247"/>
    </row>
    <row r="34787">
      <c r="C34787" s="277"/>
      <c r="M34787" s="277"/>
      <c r="O34787" s="247"/>
      <c r="AC34787" s="247"/>
      <c r="AT34787" s="247"/>
    </row>
    <row r="34788">
      <c r="C34788" s="277"/>
      <c r="M34788" s="277"/>
      <c r="O34788" s="247"/>
      <c r="AC34788" s="247"/>
      <c r="AT34788" s="247"/>
    </row>
    <row r="34789">
      <c r="C34789" s="277"/>
      <c r="M34789" s="277"/>
      <c r="O34789" s="247"/>
      <c r="AC34789" s="247"/>
      <c r="AT34789" s="247"/>
    </row>
    <row r="34790">
      <c r="C34790" s="277"/>
      <c r="M34790" s="277"/>
      <c r="O34790" s="247"/>
      <c r="AC34790" s="247"/>
      <c r="AT34790" s="247"/>
    </row>
    <row r="34791">
      <c r="C34791" s="277"/>
      <c r="M34791" s="277"/>
      <c r="O34791" s="247"/>
      <c r="AC34791" s="247"/>
      <c r="AT34791" s="247"/>
    </row>
    <row r="34792">
      <c r="C34792" s="277"/>
      <c r="M34792" s="277"/>
      <c r="O34792" s="247"/>
      <c r="AC34792" s="247"/>
      <c r="AT34792" s="247"/>
    </row>
    <row r="34793">
      <c r="C34793" s="277"/>
      <c r="M34793" s="277"/>
      <c r="O34793" s="247"/>
      <c r="AC34793" s="247"/>
      <c r="AT34793" s="247"/>
    </row>
    <row r="34794">
      <c r="C34794" s="277"/>
      <c r="M34794" s="277"/>
      <c r="O34794" s="247"/>
      <c r="AC34794" s="247"/>
      <c r="AT34794" s="247"/>
    </row>
    <row r="34795">
      <c r="C34795" s="277"/>
      <c r="M34795" s="277"/>
      <c r="O34795" s="247"/>
      <c r="AC34795" s="247"/>
      <c r="AT34795" s="247"/>
    </row>
    <row r="34796">
      <c r="C34796" s="277"/>
      <c r="M34796" s="277"/>
      <c r="O34796" s="247"/>
      <c r="AC34796" s="247"/>
      <c r="AT34796" s="247"/>
    </row>
    <row r="34797">
      <c r="C34797" s="277"/>
      <c r="M34797" s="277"/>
      <c r="O34797" s="247"/>
      <c r="AC34797" s="247"/>
      <c r="AT34797" s="247"/>
    </row>
    <row r="34798">
      <c r="C34798" s="277"/>
      <c r="M34798" s="277"/>
      <c r="O34798" s="247"/>
      <c r="AC34798" s="247"/>
      <c r="AT34798" s="247"/>
    </row>
    <row r="34799">
      <c r="C34799" s="277"/>
      <c r="M34799" s="277"/>
      <c r="O34799" s="247"/>
      <c r="AC34799" s="247"/>
      <c r="AT34799" s="247"/>
    </row>
    <row r="34800">
      <c r="C34800" s="277"/>
      <c r="M34800" s="277"/>
      <c r="O34800" s="247"/>
      <c r="AC34800" s="247"/>
      <c r="AT34800" s="247"/>
    </row>
    <row r="34801">
      <c r="C34801" s="277"/>
      <c r="M34801" s="277"/>
      <c r="O34801" s="247"/>
      <c r="AC34801" s="247"/>
      <c r="AT34801" s="247"/>
    </row>
    <row r="34802">
      <c r="C34802" s="277"/>
      <c r="M34802" s="277"/>
      <c r="O34802" s="247"/>
      <c r="AC34802" s="247"/>
      <c r="AT34802" s="247"/>
    </row>
    <row r="34803">
      <c r="C34803" s="277"/>
      <c r="M34803" s="277"/>
      <c r="O34803" s="247"/>
      <c r="AC34803" s="247"/>
      <c r="AT34803" s="247"/>
    </row>
    <row r="34804">
      <c r="C34804" s="277"/>
      <c r="M34804" s="277"/>
      <c r="O34804" s="247"/>
      <c r="AC34804" s="247"/>
      <c r="AT34804" s="247"/>
    </row>
    <row r="34805">
      <c r="C34805" s="277"/>
      <c r="M34805" s="277"/>
      <c r="O34805" s="247"/>
      <c r="AC34805" s="247"/>
      <c r="AT34805" s="247"/>
    </row>
    <row r="34806">
      <c r="C34806" s="277"/>
      <c r="M34806" s="277"/>
      <c r="O34806" s="247"/>
      <c r="AC34806" s="247"/>
      <c r="AT34806" s="247"/>
    </row>
    <row r="34807">
      <c r="C34807" s="277"/>
      <c r="M34807" s="277"/>
      <c r="O34807" s="247"/>
      <c r="AC34807" s="247"/>
      <c r="AT34807" s="247"/>
    </row>
    <row r="34808">
      <c r="C34808" s="277"/>
      <c r="M34808" s="277"/>
      <c r="O34808" s="247"/>
      <c r="AC34808" s="247"/>
      <c r="AT34808" s="247"/>
    </row>
    <row r="34809">
      <c r="C34809" s="277"/>
      <c r="M34809" s="277"/>
      <c r="O34809" s="247"/>
      <c r="AC34809" s="247"/>
      <c r="AT34809" s="247"/>
    </row>
    <row r="34810">
      <c r="C34810" s="277"/>
      <c r="M34810" s="277"/>
      <c r="O34810" s="247"/>
      <c r="AC34810" s="247"/>
      <c r="AT34810" s="247"/>
    </row>
    <row r="34811">
      <c r="C34811" s="277"/>
      <c r="M34811" s="277"/>
      <c r="O34811" s="247"/>
      <c r="AC34811" s="247"/>
      <c r="AT34811" s="247"/>
    </row>
    <row r="34812">
      <c r="C34812" s="277"/>
      <c r="M34812" s="277"/>
      <c r="O34812" s="247"/>
      <c r="AC34812" s="247"/>
      <c r="AT34812" s="247"/>
    </row>
    <row r="34813">
      <c r="C34813" s="277"/>
      <c r="M34813" s="277"/>
      <c r="O34813" s="247"/>
      <c r="AC34813" s="247"/>
      <c r="AT34813" s="247"/>
    </row>
    <row r="34814">
      <c r="C34814" s="277"/>
      <c r="M34814" s="277"/>
      <c r="O34814" s="247"/>
      <c r="AC34814" s="247"/>
      <c r="AT34814" s="247"/>
    </row>
    <row r="34815">
      <c r="C34815" s="277"/>
      <c r="M34815" s="277"/>
      <c r="O34815" s="247"/>
      <c r="AC34815" s="247"/>
      <c r="AT34815" s="247"/>
    </row>
    <row r="34816">
      <c r="C34816" s="277"/>
      <c r="M34816" s="277"/>
      <c r="O34816" s="247"/>
      <c r="AC34816" s="247"/>
      <c r="AT34816" s="247"/>
    </row>
    <row r="34817">
      <c r="C34817" s="277"/>
      <c r="M34817" s="277"/>
      <c r="O34817" s="247"/>
      <c r="AC34817" s="247"/>
      <c r="AT34817" s="247"/>
    </row>
    <row r="34818">
      <c r="C34818" s="277"/>
      <c r="M34818" s="277"/>
      <c r="O34818" s="247"/>
      <c r="AC34818" s="247"/>
      <c r="AT34818" s="247"/>
    </row>
    <row r="34819">
      <c r="C34819" s="277"/>
      <c r="M34819" s="277"/>
      <c r="O34819" s="247"/>
      <c r="AC34819" s="247"/>
      <c r="AT34819" s="247"/>
    </row>
    <row r="34820">
      <c r="C34820" s="277"/>
      <c r="M34820" s="277"/>
      <c r="O34820" s="247"/>
      <c r="AC34820" s="247"/>
      <c r="AT34820" s="247"/>
    </row>
    <row r="34821">
      <c r="C34821" s="277"/>
      <c r="M34821" s="277"/>
      <c r="O34821" s="247"/>
      <c r="AC34821" s="247"/>
      <c r="AT34821" s="247"/>
    </row>
    <row r="34822">
      <c r="C34822" s="277"/>
      <c r="M34822" s="277"/>
      <c r="O34822" s="247"/>
      <c r="AC34822" s="247"/>
      <c r="AT34822" s="247"/>
    </row>
    <row r="34823">
      <c r="C34823" s="277"/>
      <c r="M34823" s="277"/>
      <c r="O34823" s="247"/>
      <c r="AC34823" s="247"/>
      <c r="AT34823" s="247"/>
    </row>
    <row r="34824">
      <c r="C34824" s="277"/>
      <c r="M34824" s="277"/>
      <c r="O34824" s="247"/>
      <c r="AC34824" s="247"/>
      <c r="AT34824" s="247"/>
    </row>
    <row r="34825">
      <c r="C34825" s="277"/>
      <c r="M34825" s="277"/>
      <c r="O34825" s="247"/>
      <c r="AC34825" s="247"/>
      <c r="AT34825" s="247"/>
    </row>
    <row r="34826">
      <c r="C34826" s="277"/>
      <c r="M34826" s="277"/>
      <c r="O34826" s="247"/>
      <c r="AC34826" s="247"/>
      <c r="AT34826" s="247"/>
    </row>
    <row r="34827">
      <c r="C34827" s="277"/>
      <c r="M34827" s="277"/>
      <c r="O34827" s="247"/>
      <c r="AC34827" s="247"/>
      <c r="AT34827" s="247"/>
    </row>
    <row r="34828">
      <c r="C34828" s="277"/>
      <c r="M34828" s="277"/>
      <c r="O34828" s="247"/>
      <c r="AC34828" s="247"/>
      <c r="AT34828" s="247"/>
    </row>
    <row r="34829">
      <c r="C34829" s="277"/>
      <c r="M34829" s="277"/>
      <c r="O34829" s="247"/>
      <c r="AC34829" s="247"/>
      <c r="AT34829" s="247"/>
    </row>
    <row r="34830">
      <c r="C34830" s="277"/>
      <c r="M34830" s="277"/>
      <c r="O34830" s="247"/>
      <c r="AC34830" s="247"/>
      <c r="AT34830" s="247"/>
    </row>
    <row r="34831">
      <c r="C34831" s="277"/>
      <c r="M34831" s="277"/>
      <c r="O34831" s="247"/>
      <c r="AC34831" s="247"/>
      <c r="AT34831" s="247"/>
    </row>
    <row r="34832">
      <c r="C34832" s="277"/>
      <c r="M34832" s="277"/>
      <c r="O34832" s="247"/>
      <c r="AC34832" s="247"/>
      <c r="AT34832" s="247"/>
    </row>
    <row r="34833">
      <c r="C34833" s="277"/>
      <c r="M34833" s="277"/>
      <c r="O34833" s="247"/>
      <c r="AC34833" s="247"/>
      <c r="AT34833" s="247"/>
    </row>
    <row r="34834">
      <c r="C34834" s="277"/>
      <c r="M34834" s="277"/>
      <c r="O34834" s="247"/>
      <c r="AC34834" s="247"/>
      <c r="AT34834" s="247"/>
    </row>
    <row r="34835">
      <c r="C34835" s="277"/>
      <c r="M34835" s="277"/>
      <c r="O34835" s="247"/>
      <c r="AC34835" s="247"/>
      <c r="AT34835" s="247"/>
    </row>
    <row r="34836">
      <c r="C34836" s="277"/>
      <c r="M34836" s="277"/>
      <c r="O34836" s="247"/>
      <c r="AC34836" s="247"/>
      <c r="AT34836" s="247"/>
    </row>
    <row r="34837">
      <c r="C34837" s="277"/>
      <c r="M34837" s="277"/>
      <c r="O34837" s="247"/>
      <c r="AC34837" s="247"/>
      <c r="AT34837" s="247"/>
    </row>
    <row r="34838">
      <c r="C34838" s="277"/>
      <c r="M34838" s="277"/>
      <c r="O34838" s="247"/>
      <c r="AC34838" s="247"/>
      <c r="AT34838" s="247"/>
    </row>
    <row r="34839">
      <c r="C34839" s="277"/>
      <c r="M34839" s="277"/>
      <c r="O34839" s="247"/>
      <c r="AC34839" s="247"/>
      <c r="AT34839" s="247"/>
    </row>
    <row r="34840">
      <c r="C34840" s="277"/>
      <c r="M34840" s="277"/>
      <c r="O34840" s="247"/>
      <c r="AC34840" s="247"/>
      <c r="AT34840" s="247"/>
    </row>
    <row r="34841">
      <c r="C34841" s="277"/>
      <c r="M34841" s="277"/>
      <c r="O34841" s="247"/>
      <c r="AC34841" s="247"/>
      <c r="AT34841" s="247"/>
    </row>
    <row r="34842">
      <c r="C34842" s="277"/>
      <c r="M34842" s="277"/>
      <c r="O34842" s="247"/>
      <c r="AC34842" s="247"/>
      <c r="AT34842" s="247"/>
    </row>
    <row r="34843">
      <c r="C34843" s="277"/>
      <c r="M34843" s="277"/>
      <c r="O34843" s="247"/>
      <c r="AC34843" s="247"/>
      <c r="AT34843" s="247"/>
    </row>
    <row r="34844">
      <c r="C34844" s="277"/>
      <c r="M34844" s="277"/>
      <c r="O34844" s="247"/>
      <c r="AC34844" s="247"/>
      <c r="AT34844" s="247"/>
    </row>
    <row r="34845">
      <c r="C34845" s="277"/>
      <c r="M34845" s="277"/>
      <c r="O34845" s="247"/>
      <c r="AC34845" s="247"/>
      <c r="AT34845" s="247"/>
    </row>
    <row r="34846">
      <c r="C34846" s="277"/>
      <c r="M34846" s="277"/>
      <c r="O34846" s="247"/>
      <c r="AC34846" s="247"/>
      <c r="AT34846" s="247"/>
    </row>
    <row r="34847">
      <c r="C34847" s="277"/>
      <c r="M34847" s="277"/>
      <c r="O34847" s="247"/>
      <c r="AC34847" s="247"/>
      <c r="AT34847" s="247"/>
    </row>
    <row r="34848">
      <c r="C34848" s="277"/>
      <c r="M34848" s="277"/>
      <c r="O34848" s="247"/>
      <c r="AC34848" s="247"/>
      <c r="AT34848" s="247"/>
    </row>
    <row r="34849">
      <c r="C34849" s="277"/>
      <c r="M34849" s="277"/>
      <c r="O34849" s="247"/>
      <c r="AC34849" s="247"/>
      <c r="AT34849" s="247"/>
    </row>
    <row r="34850">
      <c r="C34850" s="277"/>
      <c r="M34850" s="277"/>
      <c r="O34850" s="247"/>
      <c r="AC34850" s="247"/>
      <c r="AT34850" s="247"/>
    </row>
    <row r="34851">
      <c r="C34851" s="277"/>
      <c r="M34851" s="277"/>
      <c r="O34851" s="247"/>
      <c r="AC34851" s="247"/>
      <c r="AT34851" s="247"/>
    </row>
    <row r="34852">
      <c r="C34852" s="277"/>
      <c r="M34852" s="277"/>
      <c r="O34852" s="247"/>
      <c r="AC34852" s="247"/>
      <c r="AT34852" s="247"/>
    </row>
    <row r="34853">
      <c r="C34853" s="277"/>
      <c r="M34853" s="277"/>
      <c r="O34853" s="247"/>
      <c r="AC34853" s="247"/>
      <c r="AT34853" s="247"/>
    </row>
    <row r="34854">
      <c r="C34854" s="277"/>
      <c r="M34854" s="277"/>
      <c r="O34854" s="247"/>
      <c r="AC34854" s="247"/>
      <c r="AT34854" s="247"/>
    </row>
    <row r="34855">
      <c r="C34855" s="277"/>
      <c r="M34855" s="277"/>
      <c r="O34855" s="247"/>
      <c r="AC34855" s="247"/>
      <c r="AT34855" s="247"/>
    </row>
    <row r="34856">
      <c r="C34856" s="277"/>
      <c r="M34856" s="277"/>
      <c r="O34856" s="247"/>
      <c r="AC34856" s="247"/>
      <c r="AT34856" s="247"/>
    </row>
    <row r="34857">
      <c r="C34857" s="277"/>
      <c r="M34857" s="277"/>
      <c r="O34857" s="247"/>
      <c r="AC34857" s="247"/>
      <c r="AT34857" s="247"/>
    </row>
    <row r="34858">
      <c r="C34858" s="277"/>
      <c r="M34858" s="277"/>
      <c r="O34858" s="247"/>
      <c r="AC34858" s="247"/>
      <c r="AT34858" s="247"/>
    </row>
    <row r="34859">
      <c r="C34859" s="277"/>
      <c r="M34859" s="277"/>
      <c r="O34859" s="247"/>
      <c r="AC34859" s="247"/>
      <c r="AT34859" s="247"/>
    </row>
    <row r="34860">
      <c r="C34860" s="277"/>
      <c r="M34860" s="277"/>
      <c r="O34860" s="247"/>
      <c r="AC34860" s="247"/>
      <c r="AT34860" s="247"/>
    </row>
    <row r="34861">
      <c r="C34861" s="277"/>
      <c r="M34861" s="277"/>
      <c r="O34861" s="247"/>
      <c r="AC34861" s="247"/>
      <c r="AT34861" s="247"/>
    </row>
    <row r="34862">
      <c r="C34862" s="277"/>
      <c r="M34862" s="277"/>
      <c r="O34862" s="247"/>
      <c r="AC34862" s="247"/>
      <c r="AT34862" s="247"/>
    </row>
    <row r="34863">
      <c r="C34863" s="277"/>
      <c r="M34863" s="277"/>
      <c r="O34863" s="247"/>
      <c r="AC34863" s="247"/>
      <c r="AT34863" s="247"/>
    </row>
    <row r="34864">
      <c r="C34864" s="277"/>
      <c r="M34864" s="277"/>
      <c r="O34864" s="247"/>
      <c r="AC34864" s="247"/>
      <c r="AT34864" s="247"/>
    </row>
    <row r="34865">
      <c r="C34865" s="277"/>
      <c r="M34865" s="277"/>
      <c r="O34865" s="247"/>
      <c r="AC34865" s="247"/>
      <c r="AT34865" s="247"/>
    </row>
    <row r="34866">
      <c r="C34866" s="277"/>
      <c r="M34866" s="277"/>
      <c r="O34866" s="247"/>
      <c r="AC34866" s="247"/>
      <c r="AT34866" s="247"/>
    </row>
    <row r="34867">
      <c r="C34867" s="277"/>
      <c r="M34867" s="277"/>
      <c r="O34867" s="247"/>
      <c r="AC34867" s="247"/>
      <c r="AT34867" s="247"/>
    </row>
    <row r="34868">
      <c r="C34868" s="277"/>
      <c r="M34868" s="277"/>
      <c r="O34868" s="247"/>
      <c r="AC34868" s="247"/>
      <c r="AT34868" s="247"/>
    </row>
    <row r="34869">
      <c r="C34869" s="277"/>
      <c r="M34869" s="277"/>
      <c r="O34869" s="247"/>
      <c r="AC34869" s="247"/>
      <c r="AT34869" s="247"/>
    </row>
    <row r="34870">
      <c r="C34870" s="277"/>
      <c r="M34870" s="277"/>
      <c r="O34870" s="247"/>
      <c r="AC34870" s="247"/>
      <c r="AT34870" s="247"/>
    </row>
    <row r="34871">
      <c r="C34871" s="277"/>
      <c r="M34871" s="277"/>
      <c r="O34871" s="247"/>
      <c r="AC34871" s="247"/>
      <c r="AT34871" s="247"/>
    </row>
    <row r="34872">
      <c r="C34872" s="277"/>
      <c r="M34872" s="277"/>
      <c r="O34872" s="247"/>
      <c r="AC34872" s="247"/>
      <c r="AT34872" s="247"/>
    </row>
    <row r="34873">
      <c r="C34873" s="277"/>
      <c r="M34873" s="277"/>
      <c r="O34873" s="247"/>
      <c r="AC34873" s="247"/>
      <c r="AT34873" s="247"/>
    </row>
    <row r="34874">
      <c r="C34874" s="277"/>
      <c r="M34874" s="277"/>
      <c r="O34874" s="247"/>
      <c r="AC34874" s="247"/>
      <c r="AT34874" s="247"/>
    </row>
    <row r="34875">
      <c r="C34875" s="277"/>
      <c r="M34875" s="277"/>
      <c r="O34875" s="247"/>
      <c r="AC34875" s="247"/>
      <c r="AT34875" s="247"/>
    </row>
    <row r="34876">
      <c r="C34876" s="277"/>
      <c r="M34876" s="277"/>
      <c r="O34876" s="247"/>
      <c r="AC34876" s="247"/>
      <c r="AT34876" s="247"/>
    </row>
    <row r="34877">
      <c r="C34877" s="277"/>
      <c r="M34877" s="277"/>
      <c r="O34877" s="247"/>
      <c r="AC34877" s="247"/>
      <c r="AT34877" s="247"/>
    </row>
    <row r="34878">
      <c r="C34878" s="277"/>
      <c r="M34878" s="277"/>
      <c r="O34878" s="247"/>
      <c r="AC34878" s="247"/>
      <c r="AT34878" s="247"/>
    </row>
    <row r="34879">
      <c r="C34879" s="277"/>
      <c r="M34879" s="277"/>
      <c r="O34879" s="247"/>
      <c r="AC34879" s="247"/>
      <c r="AT34879" s="247"/>
    </row>
    <row r="34880">
      <c r="C34880" s="277"/>
      <c r="M34880" s="277"/>
      <c r="O34880" s="247"/>
      <c r="AC34880" s="247"/>
      <c r="AT34880" s="247"/>
    </row>
    <row r="34881">
      <c r="C34881" s="277"/>
      <c r="M34881" s="277"/>
      <c r="O34881" s="247"/>
      <c r="AC34881" s="247"/>
      <c r="AT34881" s="247"/>
    </row>
    <row r="34882">
      <c r="C34882" s="277"/>
      <c r="M34882" s="277"/>
      <c r="O34882" s="247"/>
      <c r="AC34882" s="247"/>
      <c r="AT34882" s="247"/>
    </row>
    <row r="34883">
      <c r="C34883" s="277"/>
      <c r="M34883" s="277"/>
      <c r="O34883" s="247"/>
      <c r="AC34883" s="247"/>
      <c r="AT34883" s="247"/>
    </row>
    <row r="34884">
      <c r="C34884" s="277"/>
      <c r="M34884" s="277"/>
      <c r="O34884" s="247"/>
      <c r="AC34884" s="247"/>
      <c r="AT34884" s="247"/>
    </row>
    <row r="34885">
      <c r="C34885" s="277"/>
      <c r="M34885" s="277"/>
      <c r="O34885" s="247"/>
      <c r="AC34885" s="247"/>
      <c r="AT34885" s="247"/>
    </row>
    <row r="34886">
      <c r="C34886" s="277"/>
      <c r="M34886" s="277"/>
      <c r="O34886" s="247"/>
      <c r="AC34886" s="247"/>
      <c r="AT34886" s="247"/>
    </row>
    <row r="34887">
      <c r="C34887" s="277"/>
      <c r="M34887" s="277"/>
      <c r="O34887" s="247"/>
      <c r="AC34887" s="247"/>
      <c r="AT34887" s="247"/>
    </row>
    <row r="34888">
      <c r="C34888" s="277"/>
      <c r="M34888" s="277"/>
      <c r="O34888" s="247"/>
      <c r="AC34888" s="247"/>
      <c r="AT34888" s="247"/>
    </row>
    <row r="34889">
      <c r="C34889" s="277"/>
      <c r="M34889" s="277"/>
      <c r="O34889" s="247"/>
      <c r="AC34889" s="247"/>
      <c r="AT34889" s="247"/>
    </row>
    <row r="34890">
      <c r="C34890" s="277"/>
      <c r="M34890" s="277"/>
      <c r="O34890" s="247"/>
      <c r="AC34890" s="247"/>
      <c r="AT34890" s="247"/>
    </row>
    <row r="34891">
      <c r="C34891" s="277"/>
      <c r="M34891" s="277"/>
      <c r="O34891" s="247"/>
      <c r="AC34891" s="247"/>
      <c r="AT34891" s="247"/>
    </row>
    <row r="34892">
      <c r="C34892" s="277"/>
      <c r="M34892" s="277"/>
      <c r="O34892" s="247"/>
      <c r="AC34892" s="247"/>
      <c r="AT34892" s="247"/>
    </row>
    <row r="34893">
      <c r="C34893" s="277"/>
      <c r="M34893" s="277"/>
      <c r="O34893" s="247"/>
      <c r="AC34893" s="247"/>
      <c r="AT34893" s="247"/>
    </row>
    <row r="34894">
      <c r="C34894" s="277"/>
      <c r="M34894" s="277"/>
      <c r="O34894" s="247"/>
      <c r="AC34894" s="247"/>
      <c r="AT34894" s="247"/>
    </row>
    <row r="34895">
      <c r="C34895" s="277"/>
      <c r="M34895" s="277"/>
      <c r="O34895" s="247"/>
      <c r="AC34895" s="247"/>
      <c r="AT34895" s="247"/>
    </row>
    <row r="34896">
      <c r="C34896" s="277"/>
      <c r="M34896" s="277"/>
      <c r="O34896" s="247"/>
      <c r="AC34896" s="247"/>
      <c r="AT34896" s="247"/>
    </row>
    <row r="34897">
      <c r="C34897" s="277"/>
      <c r="M34897" s="277"/>
      <c r="O34897" s="247"/>
      <c r="AC34897" s="247"/>
      <c r="AT34897" s="247"/>
    </row>
    <row r="34898">
      <c r="C34898" s="277"/>
      <c r="M34898" s="277"/>
      <c r="O34898" s="247"/>
      <c r="AC34898" s="247"/>
      <c r="AT34898" s="247"/>
    </row>
    <row r="34899">
      <c r="C34899" s="277"/>
      <c r="M34899" s="277"/>
      <c r="O34899" s="247"/>
      <c r="AC34899" s="247"/>
      <c r="AT34899" s="247"/>
    </row>
    <row r="34900">
      <c r="C34900" s="277"/>
      <c r="M34900" s="277"/>
      <c r="O34900" s="247"/>
      <c r="AC34900" s="247"/>
      <c r="AT34900" s="247"/>
    </row>
    <row r="34901">
      <c r="C34901" s="277"/>
      <c r="M34901" s="277"/>
      <c r="O34901" s="247"/>
      <c r="AC34901" s="247"/>
      <c r="AT34901" s="247"/>
    </row>
    <row r="34902">
      <c r="C34902" s="277"/>
      <c r="M34902" s="277"/>
      <c r="O34902" s="247"/>
      <c r="AC34902" s="247"/>
      <c r="AT34902" s="247"/>
    </row>
    <row r="34903">
      <c r="C34903" s="277"/>
      <c r="M34903" s="277"/>
      <c r="O34903" s="247"/>
      <c r="AC34903" s="247"/>
      <c r="AT34903" s="247"/>
    </row>
    <row r="34904">
      <c r="C34904" s="277"/>
      <c r="M34904" s="277"/>
      <c r="O34904" s="247"/>
      <c r="AC34904" s="247"/>
      <c r="AT34904" s="247"/>
    </row>
    <row r="34905">
      <c r="C34905" s="277"/>
      <c r="M34905" s="277"/>
      <c r="O34905" s="247"/>
      <c r="AC34905" s="247"/>
      <c r="AT34905" s="247"/>
    </row>
    <row r="34906">
      <c r="C34906" s="277"/>
      <c r="M34906" s="277"/>
      <c r="O34906" s="247"/>
      <c r="AC34906" s="247"/>
      <c r="AT34906" s="247"/>
    </row>
    <row r="34907">
      <c r="C34907" s="277"/>
      <c r="M34907" s="277"/>
      <c r="O34907" s="247"/>
      <c r="AC34907" s="247"/>
      <c r="AT34907" s="247"/>
    </row>
    <row r="34908">
      <c r="C34908" s="277"/>
      <c r="M34908" s="277"/>
      <c r="O34908" s="247"/>
      <c r="AC34908" s="247"/>
      <c r="AT34908" s="247"/>
    </row>
    <row r="34909">
      <c r="C34909" s="277"/>
      <c r="M34909" s="277"/>
      <c r="O34909" s="247"/>
      <c r="AC34909" s="247"/>
      <c r="AT34909" s="247"/>
    </row>
    <row r="34910">
      <c r="C34910" s="277"/>
      <c r="M34910" s="277"/>
      <c r="O34910" s="247"/>
      <c r="AC34910" s="247"/>
      <c r="AT34910" s="247"/>
    </row>
    <row r="34911">
      <c r="C34911" s="277"/>
      <c r="M34911" s="277"/>
      <c r="O34911" s="247"/>
      <c r="AC34911" s="247"/>
      <c r="AT34911" s="247"/>
    </row>
    <row r="34912">
      <c r="C34912" s="277"/>
      <c r="M34912" s="277"/>
      <c r="O34912" s="247"/>
      <c r="AC34912" s="247"/>
      <c r="AT34912" s="247"/>
    </row>
    <row r="34913">
      <c r="C34913" s="277"/>
      <c r="M34913" s="277"/>
      <c r="O34913" s="247"/>
      <c r="AC34913" s="247"/>
      <c r="AT34913" s="247"/>
    </row>
    <row r="34914">
      <c r="C34914" s="277"/>
      <c r="M34914" s="277"/>
      <c r="O34914" s="247"/>
      <c r="AC34914" s="247"/>
      <c r="AT34914" s="247"/>
    </row>
    <row r="34915">
      <c r="C34915" s="277"/>
      <c r="M34915" s="277"/>
      <c r="O34915" s="247"/>
      <c r="AC34915" s="247"/>
      <c r="AT34915" s="247"/>
    </row>
    <row r="34916">
      <c r="C34916" s="277"/>
      <c r="M34916" s="277"/>
      <c r="O34916" s="247"/>
      <c r="AC34916" s="247"/>
      <c r="AT34916" s="247"/>
    </row>
    <row r="34917">
      <c r="C34917" s="277"/>
      <c r="M34917" s="277"/>
      <c r="O34917" s="247"/>
      <c r="AC34917" s="247"/>
      <c r="AT34917" s="247"/>
    </row>
    <row r="34918">
      <c r="C34918" s="277"/>
      <c r="M34918" s="277"/>
      <c r="O34918" s="247"/>
      <c r="AC34918" s="247"/>
      <c r="AT34918" s="247"/>
    </row>
    <row r="34919">
      <c r="C34919" s="277"/>
      <c r="M34919" s="277"/>
      <c r="O34919" s="247"/>
      <c r="AC34919" s="247"/>
      <c r="AT34919" s="247"/>
    </row>
    <row r="34920">
      <c r="C34920" s="277"/>
      <c r="M34920" s="277"/>
      <c r="O34920" s="247"/>
      <c r="AC34920" s="247"/>
      <c r="AT34920" s="247"/>
    </row>
    <row r="34921">
      <c r="C34921" s="277"/>
      <c r="M34921" s="277"/>
      <c r="O34921" s="247"/>
      <c r="AC34921" s="247"/>
      <c r="AT34921" s="247"/>
    </row>
    <row r="34922">
      <c r="C34922" s="277"/>
      <c r="M34922" s="277"/>
      <c r="O34922" s="247"/>
      <c r="AC34922" s="247"/>
      <c r="AT34922" s="247"/>
    </row>
    <row r="34923">
      <c r="C34923" s="277"/>
      <c r="M34923" s="277"/>
      <c r="O34923" s="247"/>
      <c r="AC34923" s="247"/>
      <c r="AT34923" s="247"/>
    </row>
    <row r="34924">
      <c r="C34924" s="277"/>
      <c r="M34924" s="277"/>
      <c r="O34924" s="247"/>
      <c r="AC34924" s="247"/>
      <c r="AT34924" s="247"/>
    </row>
    <row r="34925">
      <c r="C34925" s="277"/>
      <c r="M34925" s="277"/>
      <c r="O34925" s="247"/>
      <c r="AC34925" s="247"/>
      <c r="AT34925" s="247"/>
    </row>
    <row r="34926">
      <c r="C34926" s="277"/>
      <c r="M34926" s="277"/>
      <c r="O34926" s="247"/>
      <c r="AC34926" s="247"/>
      <c r="AT34926" s="247"/>
    </row>
    <row r="34927">
      <c r="C34927" s="277"/>
      <c r="M34927" s="277"/>
      <c r="O34927" s="247"/>
      <c r="AC34927" s="247"/>
      <c r="AT34927" s="247"/>
    </row>
    <row r="34928">
      <c r="C34928" s="277"/>
      <c r="M34928" s="277"/>
      <c r="O34928" s="247"/>
      <c r="AC34928" s="247"/>
      <c r="AT34928" s="247"/>
    </row>
    <row r="34929">
      <c r="C34929" s="277"/>
      <c r="M34929" s="277"/>
      <c r="O34929" s="247"/>
      <c r="AC34929" s="247"/>
      <c r="AT34929" s="247"/>
    </row>
    <row r="34930">
      <c r="C34930" s="277"/>
      <c r="M34930" s="277"/>
      <c r="O34930" s="247"/>
      <c r="AC34930" s="247"/>
      <c r="AT34930" s="247"/>
    </row>
    <row r="34931">
      <c r="C34931" s="277"/>
      <c r="M34931" s="277"/>
      <c r="O34931" s="247"/>
      <c r="AC34931" s="247"/>
      <c r="AT34931" s="247"/>
    </row>
    <row r="34932">
      <c r="C34932" s="277"/>
      <c r="M34932" s="277"/>
      <c r="O34932" s="247"/>
      <c r="AC34932" s="247"/>
      <c r="AT34932" s="247"/>
    </row>
    <row r="34933">
      <c r="C34933" s="277"/>
      <c r="M34933" s="277"/>
      <c r="O34933" s="247"/>
      <c r="AC34933" s="247"/>
      <c r="AT34933" s="247"/>
    </row>
    <row r="34934">
      <c r="C34934" s="277"/>
      <c r="M34934" s="277"/>
      <c r="O34934" s="247"/>
      <c r="AC34934" s="247"/>
      <c r="AT34934" s="247"/>
    </row>
    <row r="34935">
      <c r="C34935" s="277"/>
      <c r="M34935" s="277"/>
      <c r="O34935" s="247"/>
      <c r="AC34935" s="247"/>
      <c r="AT34935" s="247"/>
    </row>
    <row r="34936">
      <c r="C34936" s="277"/>
      <c r="M34936" s="277"/>
      <c r="O34936" s="247"/>
      <c r="AC34936" s="247"/>
      <c r="AT34936" s="247"/>
    </row>
    <row r="34937">
      <c r="C34937" s="277"/>
      <c r="M34937" s="277"/>
      <c r="O34937" s="247"/>
      <c r="AC34937" s="247"/>
      <c r="AT34937" s="247"/>
    </row>
    <row r="34938">
      <c r="C34938" s="277"/>
      <c r="M34938" s="277"/>
      <c r="O34938" s="247"/>
      <c r="AC34938" s="247"/>
      <c r="AT34938" s="247"/>
    </row>
    <row r="34939">
      <c r="C34939" s="277"/>
      <c r="M34939" s="277"/>
      <c r="O34939" s="247"/>
      <c r="AC34939" s="247"/>
      <c r="AT34939" s="247"/>
    </row>
    <row r="34940">
      <c r="C34940" s="277"/>
      <c r="M34940" s="277"/>
      <c r="O34940" s="247"/>
      <c r="AC34940" s="247"/>
      <c r="AT34940" s="247"/>
    </row>
    <row r="34941">
      <c r="C34941" s="277"/>
      <c r="M34941" s="277"/>
      <c r="O34941" s="247"/>
      <c r="AC34941" s="247"/>
      <c r="AT34941" s="247"/>
    </row>
    <row r="34942">
      <c r="C34942" s="277"/>
      <c r="M34942" s="277"/>
      <c r="O34942" s="247"/>
      <c r="AC34942" s="247"/>
      <c r="AT34942" s="247"/>
    </row>
    <row r="34943">
      <c r="C34943" s="277"/>
      <c r="M34943" s="277"/>
      <c r="O34943" s="247"/>
      <c r="AC34943" s="247"/>
      <c r="AT34943" s="247"/>
    </row>
    <row r="34944">
      <c r="C34944" s="277"/>
      <c r="M34944" s="277"/>
      <c r="O34944" s="247"/>
      <c r="AC34944" s="247"/>
      <c r="AT34944" s="247"/>
    </row>
    <row r="34945">
      <c r="C34945" s="277"/>
      <c r="M34945" s="277"/>
      <c r="O34945" s="247"/>
      <c r="AC34945" s="247"/>
      <c r="AT34945" s="247"/>
    </row>
    <row r="34946">
      <c r="C34946" s="277"/>
      <c r="M34946" s="277"/>
      <c r="O34946" s="247"/>
      <c r="AC34946" s="247"/>
      <c r="AT34946" s="247"/>
    </row>
    <row r="34947">
      <c r="C34947" s="277"/>
      <c r="M34947" s="277"/>
      <c r="O34947" s="247"/>
      <c r="AC34947" s="247"/>
      <c r="AT34947" s="247"/>
    </row>
    <row r="34948">
      <c r="C34948" s="277"/>
      <c r="M34948" s="277"/>
      <c r="O34948" s="247"/>
      <c r="AC34948" s="247"/>
      <c r="AT34948" s="247"/>
    </row>
    <row r="34949">
      <c r="C34949" s="277"/>
      <c r="M34949" s="277"/>
      <c r="O34949" s="247"/>
      <c r="AC34949" s="247"/>
      <c r="AT34949" s="247"/>
    </row>
    <row r="34950">
      <c r="C34950" s="277"/>
      <c r="M34950" s="277"/>
      <c r="O34950" s="247"/>
      <c r="AC34950" s="247"/>
      <c r="AT34950" s="247"/>
    </row>
    <row r="34951">
      <c r="C34951" s="277"/>
      <c r="M34951" s="277"/>
      <c r="O34951" s="247"/>
      <c r="AC34951" s="247"/>
      <c r="AT34951" s="247"/>
    </row>
    <row r="34952">
      <c r="C34952" s="277"/>
      <c r="M34952" s="277"/>
      <c r="O34952" s="247"/>
      <c r="AC34952" s="247"/>
      <c r="AT34952" s="247"/>
    </row>
    <row r="34953">
      <c r="C34953" s="277"/>
      <c r="M34953" s="277"/>
      <c r="O34953" s="247"/>
      <c r="AC34953" s="247"/>
      <c r="AT34953" s="247"/>
    </row>
    <row r="34954">
      <c r="C34954" s="277"/>
      <c r="M34954" s="277"/>
      <c r="O34954" s="247"/>
      <c r="AC34954" s="247"/>
      <c r="AT34954" s="247"/>
    </row>
    <row r="34955">
      <c r="C34955" s="277"/>
      <c r="M34955" s="277"/>
      <c r="O34955" s="247"/>
      <c r="AC34955" s="247"/>
      <c r="AT34955" s="247"/>
    </row>
    <row r="34956">
      <c r="C34956" s="277"/>
      <c r="M34956" s="277"/>
      <c r="O34956" s="247"/>
      <c r="AC34956" s="247"/>
      <c r="AT34956" s="247"/>
    </row>
    <row r="34957">
      <c r="C34957" s="277"/>
      <c r="M34957" s="277"/>
      <c r="O34957" s="247"/>
      <c r="AC34957" s="247"/>
      <c r="AT34957" s="247"/>
    </row>
    <row r="34958">
      <c r="C34958" s="277"/>
      <c r="M34958" s="277"/>
      <c r="O34958" s="247"/>
      <c r="AC34958" s="247"/>
      <c r="AT34958" s="247"/>
    </row>
    <row r="34959">
      <c r="C34959" s="277"/>
      <c r="M34959" s="277"/>
      <c r="O34959" s="247"/>
      <c r="AC34959" s="247"/>
      <c r="AT34959" s="247"/>
    </row>
    <row r="34960">
      <c r="C34960" s="277"/>
      <c r="M34960" s="277"/>
      <c r="O34960" s="247"/>
      <c r="AC34960" s="247"/>
      <c r="AT34960" s="247"/>
    </row>
    <row r="34961">
      <c r="C34961" s="277"/>
      <c r="M34961" s="277"/>
      <c r="O34961" s="247"/>
      <c r="AC34961" s="247"/>
      <c r="AT34961" s="247"/>
    </row>
    <row r="34962">
      <c r="C34962" s="277"/>
      <c r="M34962" s="277"/>
      <c r="O34962" s="247"/>
      <c r="AC34962" s="247"/>
      <c r="AT34962" s="247"/>
    </row>
    <row r="34963">
      <c r="C34963" s="277"/>
      <c r="M34963" s="277"/>
      <c r="O34963" s="247"/>
      <c r="AC34963" s="247"/>
      <c r="AT34963" s="247"/>
    </row>
    <row r="34964">
      <c r="C34964" s="277"/>
      <c r="M34964" s="277"/>
      <c r="O34964" s="247"/>
      <c r="AC34964" s="247"/>
      <c r="AT34964" s="247"/>
    </row>
    <row r="34965">
      <c r="C34965" s="277"/>
      <c r="M34965" s="277"/>
      <c r="O34965" s="247"/>
      <c r="AC34965" s="247"/>
      <c r="AT34965" s="247"/>
    </row>
    <row r="34966">
      <c r="C34966" s="277"/>
      <c r="M34966" s="277"/>
      <c r="O34966" s="247"/>
      <c r="AC34966" s="247"/>
      <c r="AT34966" s="247"/>
    </row>
    <row r="34967">
      <c r="C34967" s="277"/>
      <c r="M34967" s="277"/>
      <c r="O34967" s="247"/>
      <c r="AC34967" s="247"/>
      <c r="AT34967" s="247"/>
    </row>
    <row r="34968">
      <c r="C34968" s="277"/>
      <c r="M34968" s="277"/>
      <c r="O34968" s="247"/>
      <c r="AC34968" s="247"/>
      <c r="AT34968" s="247"/>
    </row>
    <row r="34969">
      <c r="C34969" s="277"/>
      <c r="M34969" s="277"/>
      <c r="O34969" s="247"/>
      <c r="AC34969" s="247"/>
      <c r="AT34969" s="247"/>
    </row>
    <row r="34970">
      <c r="C34970" s="277"/>
      <c r="M34970" s="277"/>
      <c r="O34970" s="247"/>
      <c r="AC34970" s="247"/>
      <c r="AT34970" s="247"/>
    </row>
    <row r="34971">
      <c r="C34971" s="277"/>
      <c r="M34971" s="277"/>
      <c r="O34971" s="247"/>
      <c r="AC34971" s="247"/>
      <c r="AT34971" s="247"/>
    </row>
    <row r="34972">
      <c r="C34972" s="277"/>
      <c r="M34972" s="277"/>
      <c r="O34972" s="247"/>
      <c r="AC34972" s="247"/>
      <c r="AT34972" s="247"/>
    </row>
    <row r="34973">
      <c r="C34973" s="277"/>
      <c r="M34973" s="277"/>
      <c r="O34973" s="247"/>
      <c r="AC34973" s="247"/>
      <c r="AT34973" s="247"/>
    </row>
    <row r="34974">
      <c r="C34974" s="277"/>
      <c r="M34974" s="277"/>
      <c r="O34974" s="247"/>
      <c r="AC34974" s="247"/>
      <c r="AT34974" s="247"/>
    </row>
    <row r="34975">
      <c r="C34975" s="277"/>
      <c r="M34975" s="277"/>
      <c r="O34975" s="247"/>
      <c r="AC34975" s="247"/>
      <c r="AT34975" s="247"/>
    </row>
    <row r="34976">
      <c r="C34976" s="277"/>
      <c r="M34976" s="277"/>
      <c r="O34976" s="247"/>
      <c r="AC34976" s="247"/>
      <c r="AT34976" s="247"/>
    </row>
    <row r="34977">
      <c r="C34977" s="277"/>
      <c r="M34977" s="277"/>
      <c r="O34977" s="247"/>
      <c r="AC34977" s="247"/>
      <c r="AT34977" s="247"/>
    </row>
    <row r="34978">
      <c r="C34978" s="277"/>
      <c r="M34978" s="277"/>
      <c r="O34978" s="247"/>
      <c r="AC34978" s="247"/>
      <c r="AT34978" s="247"/>
    </row>
    <row r="34979">
      <c r="C34979" s="277"/>
      <c r="M34979" s="277"/>
      <c r="O34979" s="247"/>
      <c r="AC34979" s="247"/>
      <c r="AT34979" s="247"/>
    </row>
    <row r="34980">
      <c r="C34980" s="277"/>
      <c r="M34980" s="277"/>
      <c r="O34980" s="247"/>
      <c r="AC34980" s="247"/>
      <c r="AT34980" s="247"/>
    </row>
    <row r="34981">
      <c r="C34981" s="277"/>
      <c r="M34981" s="277"/>
      <c r="O34981" s="247"/>
      <c r="AC34981" s="247"/>
      <c r="AT34981" s="247"/>
    </row>
    <row r="34982">
      <c r="C34982" s="277"/>
      <c r="M34982" s="277"/>
      <c r="O34982" s="247"/>
      <c r="AC34982" s="247"/>
      <c r="AT34982" s="247"/>
    </row>
    <row r="34983">
      <c r="C34983" s="277"/>
      <c r="M34983" s="277"/>
      <c r="O34983" s="247"/>
      <c r="AC34983" s="247"/>
      <c r="AT34983" s="247"/>
    </row>
    <row r="34984">
      <c r="C34984" s="277"/>
      <c r="M34984" s="277"/>
      <c r="O34984" s="247"/>
      <c r="AC34984" s="247"/>
      <c r="AT34984" s="247"/>
    </row>
    <row r="34985">
      <c r="C34985" s="277"/>
      <c r="M34985" s="277"/>
      <c r="O34985" s="247"/>
      <c r="AC34985" s="247"/>
      <c r="AT34985" s="247"/>
    </row>
    <row r="34986">
      <c r="C34986" s="277"/>
      <c r="M34986" s="277"/>
      <c r="O34986" s="247"/>
      <c r="AC34986" s="247"/>
      <c r="AT34986" s="247"/>
    </row>
    <row r="34987">
      <c r="C34987" s="277"/>
      <c r="M34987" s="277"/>
      <c r="O34987" s="247"/>
      <c r="AC34987" s="247"/>
      <c r="AT34987" s="247"/>
    </row>
    <row r="34988">
      <c r="C34988" s="277"/>
      <c r="M34988" s="277"/>
      <c r="O34988" s="247"/>
      <c r="AC34988" s="247"/>
      <c r="AT34988" s="247"/>
    </row>
    <row r="34989">
      <c r="C34989" s="277"/>
      <c r="M34989" s="277"/>
      <c r="O34989" s="247"/>
      <c r="AC34989" s="247"/>
      <c r="AT34989" s="247"/>
    </row>
    <row r="34990">
      <c r="C34990" s="277"/>
      <c r="M34990" s="277"/>
      <c r="O34990" s="247"/>
      <c r="AC34990" s="247"/>
      <c r="AT34990" s="247"/>
    </row>
    <row r="34991">
      <c r="C34991" s="277"/>
      <c r="M34991" s="277"/>
      <c r="O34991" s="247"/>
      <c r="AC34991" s="247"/>
      <c r="AT34991" s="247"/>
    </row>
    <row r="34992">
      <c r="C34992" s="277"/>
      <c r="M34992" s="277"/>
      <c r="O34992" s="247"/>
      <c r="AC34992" s="247"/>
      <c r="AT34992" s="247"/>
    </row>
    <row r="34993">
      <c r="C34993" s="277"/>
      <c r="M34993" s="277"/>
      <c r="O34993" s="247"/>
      <c r="AC34993" s="247"/>
      <c r="AT34993" s="247"/>
    </row>
    <row r="34994">
      <c r="C34994" s="277"/>
      <c r="M34994" s="277"/>
      <c r="O34994" s="247"/>
      <c r="AC34994" s="247"/>
      <c r="AT34994" s="247"/>
    </row>
    <row r="34995">
      <c r="C34995" s="277"/>
      <c r="M34995" s="277"/>
      <c r="O34995" s="247"/>
      <c r="AC34995" s="247"/>
      <c r="AT34995" s="247"/>
    </row>
    <row r="34996">
      <c r="C34996" s="277"/>
      <c r="M34996" s="277"/>
      <c r="O34996" s="247"/>
      <c r="AC34996" s="247"/>
      <c r="AT34996" s="247"/>
    </row>
    <row r="34997">
      <c r="C34997" s="277"/>
      <c r="M34997" s="277"/>
      <c r="O34997" s="247"/>
      <c r="AC34997" s="247"/>
      <c r="AT34997" s="247"/>
    </row>
    <row r="34998">
      <c r="C34998" s="277"/>
      <c r="M34998" s="277"/>
      <c r="O34998" s="247"/>
      <c r="AC34998" s="247"/>
      <c r="AT34998" s="247"/>
    </row>
    <row r="34999">
      <c r="C34999" s="277"/>
      <c r="M34999" s="277"/>
      <c r="O34999" s="247"/>
      <c r="AC34999" s="247"/>
      <c r="AT34999" s="247"/>
    </row>
    <row r="35000">
      <c r="C35000" s="277"/>
      <c r="M35000" s="277"/>
      <c r="O35000" s="247"/>
      <c r="AC35000" s="247"/>
      <c r="AT35000" s="247"/>
    </row>
    <row r="35001">
      <c r="C35001" s="277"/>
      <c r="M35001" s="277"/>
      <c r="O35001" s="247"/>
      <c r="AC35001" s="247"/>
      <c r="AT35001" s="247"/>
    </row>
    <row r="35002">
      <c r="C35002" s="277"/>
      <c r="M35002" s="277"/>
      <c r="O35002" s="247"/>
      <c r="AC35002" s="247"/>
      <c r="AT35002" s="247"/>
    </row>
    <row r="35003">
      <c r="C35003" s="277"/>
      <c r="M35003" s="277"/>
      <c r="O35003" s="247"/>
      <c r="AC35003" s="247"/>
      <c r="AT35003" s="247"/>
    </row>
    <row r="35004">
      <c r="C35004" s="277"/>
      <c r="M35004" s="277"/>
      <c r="O35004" s="247"/>
      <c r="AC35004" s="247"/>
      <c r="AT35004" s="247"/>
    </row>
    <row r="35005">
      <c r="C35005" s="277"/>
      <c r="M35005" s="277"/>
      <c r="O35005" s="247"/>
      <c r="AC35005" s="247"/>
      <c r="AT35005" s="247"/>
    </row>
    <row r="35006">
      <c r="C35006" s="277"/>
      <c r="M35006" s="277"/>
      <c r="O35006" s="247"/>
      <c r="AC35006" s="247"/>
      <c r="AT35006" s="247"/>
    </row>
    <row r="35007">
      <c r="C35007" s="277"/>
      <c r="M35007" s="277"/>
      <c r="O35007" s="247"/>
      <c r="AC35007" s="247"/>
      <c r="AT35007" s="247"/>
    </row>
    <row r="35008">
      <c r="C35008" s="277"/>
      <c r="M35008" s="277"/>
      <c r="O35008" s="247"/>
      <c r="AC35008" s="247"/>
      <c r="AT35008" s="247"/>
    </row>
    <row r="35009">
      <c r="C35009" s="277"/>
      <c r="M35009" s="277"/>
      <c r="O35009" s="247"/>
      <c r="AC35009" s="247"/>
      <c r="AT35009" s="247"/>
    </row>
    <row r="35010">
      <c r="C35010" s="277"/>
      <c r="M35010" s="277"/>
      <c r="O35010" s="247"/>
      <c r="AC35010" s="247"/>
      <c r="AT35010" s="247"/>
    </row>
    <row r="35011">
      <c r="C35011" s="277"/>
      <c r="M35011" s="277"/>
      <c r="O35011" s="247"/>
      <c r="AC35011" s="247"/>
      <c r="AT35011" s="247"/>
    </row>
    <row r="35012">
      <c r="C35012" s="277"/>
      <c r="M35012" s="277"/>
      <c r="O35012" s="247"/>
      <c r="AC35012" s="247"/>
      <c r="AT35012" s="247"/>
    </row>
    <row r="35013">
      <c r="C35013" s="277"/>
      <c r="M35013" s="277"/>
      <c r="O35013" s="247"/>
      <c r="AC35013" s="247"/>
      <c r="AT35013" s="247"/>
    </row>
    <row r="35014">
      <c r="C35014" s="277"/>
      <c r="M35014" s="277"/>
      <c r="O35014" s="247"/>
      <c r="AC35014" s="247"/>
      <c r="AT35014" s="247"/>
    </row>
    <row r="35015">
      <c r="C35015" s="277"/>
      <c r="M35015" s="277"/>
      <c r="O35015" s="247"/>
      <c r="AC35015" s="247"/>
      <c r="AT35015" s="247"/>
    </row>
    <row r="35016">
      <c r="C35016" s="277"/>
      <c r="M35016" s="277"/>
      <c r="O35016" s="247"/>
      <c r="AC35016" s="247"/>
      <c r="AT35016" s="247"/>
    </row>
    <row r="35017">
      <c r="C35017" s="277"/>
      <c r="M35017" s="277"/>
      <c r="O35017" s="247"/>
      <c r="AC35017" s="247"/>
      <c r="AT35017" s="247"/>
    </row>
    <row r="35018">
      <c r="C35018" s="277"/>
      <c r="M35018" s="277"/>
      <c r="O35018" s="247"/>
      <c r="AC35018" s="247"/>
      <c r="AT35018" s="247"/>
    </row>
    <row r="35019">
      <c r="C35019" s="277"/>
      <c r="M35019" s="277"/>
      <c r="O35019" s="247"/>
      <c r="AC35019" s="247"/>
      <c r="AT35019" s="247"/>
    </row>
    <row r="35020">
      <c r="C35020" s="277"/>
      <c r="M35020" s="277"/>
      <c r="O35020" s="247"/>
      <c r="AC35020" s="247"/>
      <c r="AT35020" s="247"/>
    </row>
    <row r="35021">
      <c r="C35021" s="277"/>
      <c r="M35021" s="277"/>
      <c r="O35021" s="247"/>
      <c r="AC35021" s="247"/>
      <c r="AT35021" s="247"/>
    </row>
    <row r="35022">
      <c r="C35022" s="277"/>
      <c r="M35022" s="277"/>
      <c r="O35022" s="247"/>
      <c r="AC35022" s="247"/>
      <c r="AT35022" s="247"/>
    </row>
    <row r="35023">
      <c r="C35023" s="277"/>
      <c r="M35023" s="277"/>
      <c r="O35023" s="247"/>
      <c r="AC35023" s="247"/>
      <c r="AT35023" s="247"/>
    </row>
    <row r="35024">
      <c r="C35024" s="277"/>
      <c r="M35024" s="277"/>
      <c r="O35024" s="247"/>
      <c r="AC35024" s="247"/>
      <c r="AT35024" s="247"/>
    </row>
    <row r="35025">
      <c r="C35025" s="277"/>
      <c r="M35025" s="277"/>
      <c r="O35025" s="247"/>
      <c r="AC35025" s="247"/>
      <c r="AT35025" s="247"/>
    </row>
    <row r="35026">
      <c r="C35026" s="277"/>
      <c r="M35026" s="277"/>
      <c r="O35026" s="247"/>
      <c r="AC35026" s="247"/>
      <c r="AT35026" s="247"/>
    </row>
    <row r="35027">
      <c r="C35027" s="277"/>
      <c r="M35027" s="277"/>
      <c r="O35027" s="247"/>
      <c r="AC35027" s="247"/>
      <c r="AT35027" s="247"/>
    </row>
    <row r="35028">
      <c r="C35028" s="277"/>
      <c r="M35028" s="277"/>
      <c r="O35028" s="247"/>
      <c r="AC35028" s="247"/>
      <c r="AT35028" s="247"/>
    </row>
    <row r="35029">
      <c r="C35029" s="277"/>
      <c r="M35029" s="277"/>
      <c r="O35029" s="247"/>
      <c r="AC35029" s="247"/>
      <c r="AT35029" s="247"/>
    </row>
    <row r="35030">
      <c r="C35030" s="277"/>
      <c r="M35030" s="277"/>
      <c r="O35030" s="247"/>
      <c r="AC35030" s="247"/>
      <c r="AT35030" s="247"/>
    </row>
    <row r="35031">
      <c r="C35031" s="277"/>
      <c r="M35031" s="277"/>
      <c r="O35031" s="247"/>
      <c r="AC35031" s="247"/>
      <c r="AT35031" s="247"/>
    </row>
    <row r="35032">
      <c r="C35032" s="277"/>
      <c r="M35032" s="277"/>
      <c r="O35032" s="247"/>
      <c r="AC35032" s="247"/>
      <c r="AT35032" s="247"/>
    </row>
    <row r="35033">
      <c r="C35033" s="277"/>
      <c r="M35033" s="277"/>
      <c r="O35033" s="247"/>
      <c r="AC35033" s="247"/>
      <c r="AT35033" s="247"/>
    </row>
    <row r="35034">
      <c r="C35034" s="277"/>
      <c r="M35034" s="277"/>
      <c r="O35034" s="247"/>
      <c r="AC35034" s="247"/>
      <c r="AT35034" s="247"/>
    </row>
    <row r="35035">
      <c r="C35035" s="277"/>
      <c r="M35035" s="277"/>
      <c r="O35035" s="247"/>
      <c r="AC35035" s="247"/>
      <c r="AT35035" s="247"/>
    </row>
    <row r="35036">
      <c r="C35036" s="277"/>
      <c r="M35036" s="277"/>
      <c r="O35036" s="247"/>
      <c r="AC35036" s="247"/>
      <c r="AT35036" s="247"/>
    </row>
    <row r="35037">
      <c r="C35037" s="277"/>
      <c r="M35037" s="277"/>
      <c r="O35037" s="247"/>
      <c r="AC35037" s="247"/>
      <c r="AT35037" s="247"/>
    </row>
    <row r="35038">
      <c r="C35038" s="277"/>
      <c r="M35038" s="277"/>
      <c r="O35038" s="247"/>
      <c r="AC35038" s="247"/>
      <c r="AT35038" s="247"/>
    </row>
    <row r="35039">
      <c r="C35039" s="277"/>
      <c r="M35039" s="277"/>
      <c r="O35039" s="247"/>
      <c r="AC35039" s="247"/>
      <c r="AT35039" s="247"/>
    </row>
    <row r="35040">
      <c r="C35040" s="277"/>
      <c r="M35040" s="277"/>
      <c r="O35040" s="247"/>
      <c r="AC35040" s="247"/>
      <c r="AT35040" s="247"/>
    </row>
    <row r="35041">
      <c r="C35041" s="277"/>
      <c r="M35041" s="277"/>
      <c r="O35041" s="247"/>
      <c r="AC35041" s="247"/>
      <c r="AT35041" s="247"/>
    </row>
    <row r="35042">
      <c r="C35042" s="277"/>
      <c r="M35042" s="277"/>
      <c r="O35042" s="247"/>
      <c r="AC35042" s="247"/>
      <c r="AT35042" s="247"/>
    </row>
    <row r="35043">
      <c r="C35043" s="277"/>
      <c r="M35043" s="277"/>
      <c r="O35043" s="247"/>
      <c r="AC35043" s="247"/>
      <c r="AT35043" s="247"/>
    </row>
    <row r="35044">
      <c r="C35044" s="277"/>
      <c r="M35044" s="277"/>
      <c r="O35044" s="247"/>
      <c r="AC35044" s="247"/>
      <c r="AT35044" s="247"/>
    </row>
    <row r="35045">
      <c r="C35045" s="277"/>
      <c r="M35045" s="277"/>
      <c r="O35045" s="247"/>
      <c r="AC35045" s="247"/>
      <c r="AT35045" s="247"/>
    </row>
    <row r="35046">
      <c r="C35046" s="277"/>
      <c r="M35046" s="277"/>
      <c r="O35046" s="247"/>
      <c r="AC35046" s="247"/>
      <c r="AT35046" s="247"/>
    </row>
    <row r="35047">
      <c r="C35047" s="277"/>
      <c r="M35047" s="277"/>
      <c r="O35047" s="247"/>
      <c r="AC35047" s="247"/>
      <c r="AT35047" s="247"/>
    </row>
    <row r="35048">
      <c r="C35048" s="277"/>
      <c r="M35048" s="277"/>
      <c r="O35048" s="247"/>
      <c r="AC35048" s="247"/>
      <c r="AT35048" s="247"/>
    </row>
    <row r="35049">
      <c r="C35049" s="277"/>
      <c r="M35049" s="277"/>
      <c r="O35049" s="247"/>
      <c r="AC35049" s="247"/>
      <c r="AT35049" s="247"/>
    </row>
    <row r="35050">
      <c r="C35050" s="277"/>
      <c r="M35050" s="277"/>
      <c r="O35050" s="247"/>
      <c r="AC35050" s="247"/>
      <c r="AT35050" s="247"/>
    </row>
    <row r="35051">
      <c r="C35051" s="277"/>
      <c r="M35051" s="277"/>
      <c r="O35051" s="247"/>
      <c r="AC35051" s="247"/>
      <c r="AT35051" s="247"/>
    </row>
    <row r="35052">
      <c r="C35052" s="277"/>
      <c r="M35052" s="277"/>
      <c r="O35052" s="247"/>
      <c r="AC35052" s="247"/>
      <c r="AT35052" s="247"/>
    </row>
    <row r="35053">
      <c r="C35053" s="277"/>
      <c r="M35053" s="277"/>
      <c r="O35053" s="247"/>
      <c r="AC35053" s="247"/>
      <c r="AT35053" s="247"/>
    </row>
    <row r="35054">
      <c r="C35054" s="277"/>
      <c r="M35054" s="277"/>
      <c r="O35054" s="247"/>
      <c r="AC35054" s="247"/>
      <c r="AT35054" s="247"/>
    </row>
    <row r="35055">
      <c r="C35055" s="277"/>
      <c r="M35055" s="277"/>
      <c r="O35055" s="247"/>
      <c r="AC35055" s="247"/>
      <c r="AT35055" s="247"/>
    </row>
    <row r="35056">
      <c r="C35056" s="277"/>
      <c r="M35056" s="277"/>
      <c r="O35056" s="247"/>
      <c r="AC35056" s="247"/>
      <c r="AT35056" s="247"/>
    </row>
    <row r="35057">
      <c r="C35057" s="277"/>
      <c r="M35057" s="277"/>
      <c r="O35057" s="247"/>
      <c r="AC35057" s="247"/>
      <c r="AT35057" s="247"/>
    </row>
    <row r="35058">
      <c r="C35058" s="277"/>
      <c r="M35058" s="277"/>
      <c r="O35058" s="247"/>
      <c r="AC35058" s="247"/>
      <c r="AT35058" s="247"/>
    </row>
    <row r="35059">
      <c r="C35059" s="277"/>
      <c r="M35059" s="277"/>
      <c r="O35059" s="247"/>
      <c r="AC35059" s="247"/>
      <c r="AT35059" s="247"/>
    </row>
    <row r="35060">
      <c r="C35060" s="277"/>
      <c r="M35060" s="277"/>
      <c r="O35060" s="247"/>
      <c r="AC35060" s="247"/>
      <c r="AT35060" s="247"/>
    </row>
    <row r="35061">
      <c r="C35061" s="277"/>
      <c r="M35061" s="277"/>
      <c r="O35061" s="247"/>
      <c r="AC35061" s="247"/>
      <c r="AT35061" s="247"/>
    </row>
    <row r="35062">
      <c r="C35062" s="277"/>
      <c r="M35062" s="277"/>
      <c r="O35062" s="247"/>
      <c r="AC35062" s="247"/>
      <c r="AT35062" s="247"/>
    </row>
    <row r="35063">
      <c r="C35063" s="277"/>
      <c r="M35063" s="277"/>
      <c r="O35063" s="247"/>
      <c r="AC35063" s="247"/>
      <c r="AT35063" s="247"/>
    </row>
    <row r="35064">
      <c r="C35064" s="277"/>
      <c r="M35064" s="277"/>
      <c r="O35064" s="247"/>
      <c r="AC35064" s="247"/>
      <c r="AT35064" s="247"/>
    </row>
    <row r="35065">
      <c r="C35065" s="277"/>
      <c r="M35065" s="277"/>
      <c r="O35065" s="247"/>
      <c r="AC35065" s="247"/>
      <c r="AT35065" s="247"/>
    </row>
    <row r="35066">
      <c r="C35066" s="277"/>
      <c r="M35066" s="277"/>
      <c r="O35066" s="247"/>
      <c r="AC35066" s="247"/>
      <c r="AT35066" s="247"/>
    </row>
    <row r="35067">
      <c r="C35067" s="277"/>
      <c r="M35067" s="277"/>
      <c r="O35067" s="247"/>
      <c r="AC35067" s="247"/>
      <c r="AT35067" s="247"/>
    </row>
    <row r="35068">
      <c r="C35068" s="277"/>
      <c r="M35068" s="277"/>
      <c r="O35068" s="247"/>
      <c r="AC35068" s="247"/>
      <c r="AT35068" s="247"/>
    </row>
    <row r="35069">
      <c r="C35069" s="277"/>
      <c r="M35069" s="277"/>
      <c r="O35069" s="247"/>
      <c r="AC35069" s="247"/>
      <c r="AT35069" s="247"/>
    </row>
    <row r="35070">
      <c r="C35070" s="277"/>
      <c r="M35070" s="277"/>
      <c r="O35070" s="247"/>
      <c r="AC35070" s="247"/>
      <c r="AT35070" s="247"/>
    </row>
    <row r="35071">
      <c r="C35071" s="277"/>
      <c r="M35071" s="277"/>
      <c r="O35071" s="247"/>
      <c r="AC35071" s="247"/>
      <c r="AT35071" s="247"/>
    </row>
    <row r="35072">
      <c r="C35072" s="277"/>
      <c r="M35072" s="277"/>
      <c r="O35072" s="247"/>
      <c r="AC35072" s="247"/>
      <c r="AT35072" s="247"/>
    </row>
    <row r="35073">
      <c r="C35073" s="277"/>
      <c r="M35073" s="277"/>
      <c r="O35073" s="247"/>
      <c r="AC35073" s="247"/>
      <c r="AT35073" s="247"/>
    </row>
    <row r="35074">
      <c r="C35074" s="277"/>
      <c r="M35074" s="277"/>
      <c r="O35074" s="247"/>
      <c r="AC35074" s="247"/>
      <c r="AT35074" s="247"/>
    </row>
    <row r="35075">
      <c r="C35075" s="277"/>
      <c r="M35075" s="277"/>
      <c r="O35075" s="247"/>
      <c r="AC35075" s="247"/>
      <c r="AT35075" s="247"/>
    </row>
    <row r="35076">
      <c r="C35076" s="277"/>
      <c r="M35076" s="277"/>
      <c r="O35076" s="247"/>
      <c r="AC35076" s="247"/>
      <c r="AT35076" s="247"/>
    </row>
    <row r="35077">
      <c r="C35077" s="277"/>
      <c r="M35077" s="277"/>
      <c r="O35077" s="247"/>
      <c r="AC35077" s="247"/>
      <c r="AT35077" s="247"/>
    </row>
    <row r="35078">
      <c r="C35078" s="277"/>
      <c r="M35078" s="277"/>
      <c r="O35078" s="247"/>
      <c r="AC35078" s="247"/>
      <c r="AT35078" s="247"/>
    </row>
    <row r="35079">
      <c r="C35079" s="277"/>
      <c r="M35079" s="277"/>
      <c r="O35079" s="247"/>
      <c r="AC35079" s="247"/>
      <c r="AT35079" s="247"/>
    </row>
    <row r="35080">
      <c r="C35080" s="277"/>
      <c r="M35080" s="277"/>
      <c r="O35080" s="247"/>
      <c r="AC35080" s="247"/>
      <c r="AT35080" s="247"/>
    </row>
    <row r="35081">
      <c r="C35081" s="277"/>
      <c r="M35081" s="277"/>
      <c r="O35081" s="247"/>
      <c r="AC35081" s="247"/>
      <c r="AT35081" s="247"/>
    </row>
    <row r="35082">
      <c r="C35082" s="277"/>
      <c r="M35082" s="277"/>
      <c r="O35082" s="247"/>
      <c r="AC35082" s="247"/>
      <c r="AT35082" s="247"/>
    </row>
    <row r="35083">
      <c r="C35083" s="277"/>
      <c r="M35083" s="277"/>
      <c r="O35083" s="247"/>
      <c r="AC35083" s="247"/>
      <c r="AT35083" s="247"/>
    </row>
    <row r="35084">
      <c r="C35084" s="277"/>
      <c r="M35084" s="277"/>
      <c r="O35084" s="247"/>
      <c r="AC35084" s="247"/>
      <c r="AT35084" s="247"/>
    </row>
    <row r="35085">
      <c r="C35085" s="277"/>
      <c r="M35085" s="277"/>
      <c r="O35085" s="247"/>
      <c r="AC35085" s="247"/>
      <c r="AT35085" s="247"/>
    </row>
    <row r="35086">
      <c r="C35086" s="277"/>
      <c r="M35086" s="277"/>
      <c r="O35086" s="247"/>
      <c r="AC35086" s="247"/>
      <c r="AT35086" s="247"/>
    </row>
    <row r="35087">
      <c r="C35087" s="277"/>
      <c r="M35087" s="277"/>
      <c r="O35087" s="247"/>
      <c r="AC35087" s="247"/>
      <c r="AT35087" s="247"/>
    </row>
    <row r="35088">
      <c r="C35088" s="277"/>
      <c r="M35088" s="277"/>
      <c r="O35088" s="247"/>
      <c r="AC35088" s="247"/>
      <c r="AT35088" s="247"/>
    </row>
    <row r="35089">
      <c r="C35089" s="277"/>
      <c r="M35089" s="277"/>
      <c r="O35089" s="247"/>
      <c r="AC35089" s="247"/>
      <c r="AT35089" s="247"/>
    </row>
    <row r="35090">
      <c r="C35090" s="277"/>
      <c r="M35090" s="277"/>
      <c r="O35090" s="247"/>
      <c r="AC35090" s="247"/>
      <c r="AT35090" s="247"/>
    </row>
    <row r="35091">
      <c r="C35091" s="277"/>
      <c r="M35091" s="277"/>
      <c r="O35091" s="247"/>
      <c r="AC35091" s="247"/>
      <c r="AT35091" s="247"/>
    </row>
    <row r="35092">
      <c r="C35092" s="277"/>
      <c r="M35092" s="277"/>
      <c r="O35092" s="247"/>
      <c r="AC35092" s="247"/>
      <c r="AT35092" s="247"/>
    </row>
    <row r="35093">
      <c r="C35093" s="277"/>
      <c r="M35093" s="277"/>
      <c r="O35093" s="247"/>
      <c r="AC35093" s="247"/>
      <c r="AT35093" s="247"/>
    </row>
    <row r="35094">
      <c r="C35094" s="277"/>
      <c r="M35094" s="277"/>
      <c r="O35094" s="247"/>
      <c r="AC35094" s="247"/>
      <c r="AT35094" s="247"/>
    </row>
    <row r="35095">
      <c r="C35095" s="277"/>
      <c r="M35095" s="277"/>
      <c r="O35095" s="247"/>
      <c r="AC35095" s="247"/>
      <c r="AT35095" s="247"/>
    </row>
    <row r="35096">
      <c r="C35096" s="277"/>
      <c r="M35096" s="277"/>
      <c r="O35096" s="247"/>
      <c r="AC35096" s="247"/>
      <c r="AT35096" s="247"/>
    </row>
    <row r="35097">
      <c r="C35097" s="277"/>
      <c r="M35097" s="277"/>
      <c r="O35097" s="247"/>
      <c r="AC35097" s="247"/>
      <c r="AT35097" s="247"/>
    </row>
    <row r="35098">
      <c r="C35098" s="277"/>
      <c r="M35098" s="277"/>
      <c r="O35098" s="247"/>
      <c r="AC35098" s="247"/>
      <c r="AT35098" s="247"/>
    </row>
    <row r="35099">
      <c r="C35099" s="277"/>
      <c r="M35099" s="277"/>
      <c r="O35099" s="247"/>
      <c r="AC35099" s="247"/>
      <c r="AT35099" s="247"/>
    </row>
    <row r="35100">
      <c r="C35100" s="277"/>
      <c r="M35100" s="277"/>
      <c r="O35100" s="247"/>
      <c r="AC35100" s="247"/>
      <c r="AT35100" s="247"/>
    </row>
    <row r="35101">
      <c r="C35101" s="277"/>
      <c r="M35101" s="277"/>
      <c r="O35101" s="247"/>
      <c r="AC35101" s="247"/>
      <c r="AT35101" s="247"/>
    </row>
    <row r="35102">
      <c r="C35102" s="277"/>
      <c r="M35102" s="277"/>
      <c r="O35102" s="247"/>
      <c r="AC35102" s="247"/>
      <c r="AT35102" s="247"/>
    </row>
    <row r="35103">
      <c r="C35103" s="277"/>
      <c r="M35103" s="277"/>
      <c r="O35103" s="247"/>
      <c r="AC35103" s="247"/>
      <c r="AT35103" s="247"/>
    </row>
    <row r="35104">
      <c r="C35104" s="277"/>
      <c r="M35104" s="277"/>
      <c r="O35104" s="247"/>
      <c r="AC35104" s="247"/>
      <c r="AT35104" s="247"/>
    </row>
    <row r="35105">
      <c r="C35105" s="277"/>
      <c r="M35105" s="277"/>
      <c r="O35105" s="247"/>
      <c r="AC35105" s="247"/>
      <c r="AT35105" s="247"/>
    </row>
    <row r="35106">
      <c r="C35106" s="277"/>
      <c r="M35106" s="277"/>
      <c r="O35106" s="247"/>
      <c r="AC35106" s="247"/>
      <c r="AT35106" s="247"/>
    </row>
    <row r="35107">
      <c r="C35107" s="277"/>
      <c r="M35107" s="277"/>
      <c r="O35107" s="247"/>
      <c r="AC35107" s="247"/>
      <c r="AT35107" s="247"/>
    </row>
    <row r="35108">
      <c r="C35108" s="277"/>
      <c r="M35108" s="277"/>
      <c r="O35108" s="247"/>
      <c r="AC35108" s="247"/>
      <c r="AT35108" s="247"/>
    </row>
    <row r="35109">
      <c r="C35109" s="277"/>
      <c r="M35109" s="277"/>
      <c r="O35109" s="247"/>
      <c r="AC35109" s="247"/>
      <c r="AT35109" s="247"/>
    </row>
    <row r="35110">
      <c r="C35110" s="277"/>
      <c r="M35110" s="277"/>
      <c r="O35110" s="247"/>
      <c r="AC35110" s="247"/>
      <c r="AT35110" s="247"/>
    </row>
    <row r="35111">
      <c r="C35111" s="277"/>
      <c r="M35111" s="277"/>
      <c r="O35111" s="247"/>
      <c r="AC35111" s="247"/>
      <c r="AT35111" s="247"/>
    </row>
    <row r="35112">
      <c r="C35112" s="277"/>
      <c r="M35112" s="277"/>
      <c r="O35112" s="247"/>
      <c r="AC35112" s="247"/>
      <c r="AT35112" s="247"/>
    </row>
    <row r="35113">
      <c r="C35113" s="277"/>
      <c r="M35113" s="277"/>
      <c r="O35113" s="247"/>
      <c r="AC35113" s="247"/>
      <c r="AT35113" s="247"/>
    </row>
    <row r="35114">
      <c r="C35114" s="277"/>
      <c r="M35114" s="277"/>
      <c r="O35114" s="247"/>
      <c r="AC35114" s="247"/>
      <c r="AT35114" s="247"/>
    </row>
    <row r="35115">
      <c r="C35115" s="277"/>
      <c r="M35115" s="277"/>
      <c r="O35115" s="247"/>
      <c r="AC35115" s="247"/>
      <c r="AT35115" s="247"/>
    </row>
    <row r="35116">
      <c r="C35116" s="277"/>
      <c r="M35116" s="277"/>
      <c r="O35116" s="247"/>
      <c r="AC35116" s="247"/>
      <c r="AT35116" s="247"/>
    </row>
    <row r="35117">
      <c r="C35117" s="277"/>
      <c r="M35117" s="277"/>
      <c r="O35117" s="247"/>
      <c r="AC35117" s="247"/>
      <c r="AT35117" s="247"/>
    </row>
    <row r="35118">
      <c r="C35118" s="277"/>
      <c r="M35118" s="277"/>
      <c r="O35118" s="247"/>
      <c r="AC35118" s="247"/>
      <c r="AT35118" s="247"/>
    </row>
    <row r="35119">
      <c r="C35119" s="277"/>
      <c r="M35119" s="277"/>
      <c r="O35119" s="247"/>
      <c r="AC35119" s="247"/>
      <c r="AT35119" s="247"/>
    </row>
    <row r="35120">
      <c r="C35120" s="277"/>
      <c r="M35120" s="277"/>
      <c r="O35120" s="247"/>
      <c r="AC35120" s="247"/>
      <c r="AT35120" s="247"/>
    </row>
    <row r="35121">
      <c r="C35121" s="277"/>
      <c r="M35121" s="277"/>
      <c r="O35121" s="247"/>
      <c r="AC35121" s="247"/>
      <c r="AT35121" s="247"/>
    </row>
    <row r="35122">
      <c r="C35122" s="277"/>
      <c r="M35122" s="277"/>
      <c r="O35122" s="247"/>
      <c r="AC35122" s="247"/>
      <c r="AT35122" s="247"/>
    </row>
    <row r="35123">
      <c r="C35123" s="277"/>
      <c r="M35123" s="277"/>
      <c r="O35123" s="247"/>
      <c r="AC35123" s="247"/>
      <c r="AT35123" s="247"/>
    </row>
    <row r="35124">
      <c r="C35124" s="277"/>
      <c r="M35124" s="277"/>
      <c r="O35124" s="247"/>
      <c r="AC35124" s="247"/>
      <c r="AT35124" s="247"/>
    </row>
    <row r="35125">
      <c r="C35125" s="277"/>
      <c r="M35125" s="277"/>
      <c r="O35125" s="247"/>
      <c r="AC35125" s="247"/>
      <c r="AT35125" s="247"/>
    </row>
    <row r="35126">
      <c r="C35126" s="277"/>
      <c r="M35126" s="277"/>
      <c r="O35126" s="247"/>
      <c r="AC35126" s="247"/>
      <c r="AT35126" s="247"/>
    </row>
    <row r="35127">
      <c r="C35127" s="277"/>
      <c r="M35127" s="277"/>
      <c r="O35127" s="247"/>
      <c r="AC35127" s="247"/>
      <c r="AT35127" s="247"/>
    </row>
    <row r="35128">
      <c r="C35128" s="277"/>
      <c r="M35128" s="277"/>
      <c r="O35128" s="247"/>
      <c r="AC35128" s="247"/>
      <c r="AT35128" s="247"/>
    </row>
    <row r="35129">
      <c r="C35129" s="277"/>
      <c r="M35129" s="277"/>
      <c r="O35129" s="247"/>
      <c r="AC35129" s="247"/>
      <c r="AT35129" s="247"/>
    </row>
    <row r="35130">
      <c r="C35130" s="277"/>
      <c r="M35130" s="277"/>
      <c r="O35130" s="247"/>
      <c r="AC35130" s="247"/>
      <c r="AT35130" s="247"/>
    </row>
    <row r="35131">
      <c r="C35131" s="277"/>
      <c r="M35131" s="277"/>
      <c r="O35131" s="247"/>
      <c r="AC35131" s="247"/>
      <c r="AT35131" s="247"/>
    </row>
    <row r="35132">
      <c r="C35132" s="277"/>
      <c r="M35132" s="277"/>
      <c r="O35132" s="247"/>
      <c r="AC35132" s="247"/>
      <c r="AT35132" s="247"/>
    </row>
    <row r="35133">
      <c r="C35133" s="277"/>
      <c r="M35133" s="277"/>
      <c r="O35133" s="247"/>
      <c r="AC35133" s="247"/>
      <c r="AT35133" s="247"/>
    </row>
    <row r="35134">
      <c r="C35134" s="277"/>
      <c r="M35134" s="277"/>
      <c r="O35134" s="247"/>
      <c r="AC35134" s="247"/>
      <c r="AT35134" s="247"/>
    </row>
    <row r="35135">
      <c r="C35135" s="277"/>
      <c r="M35135" s="277"/>
      <c r="O35135" s="247"/>
      <c r="AC35135" s="247"/>
      <c r="AT35135" s="247"/>
    </row>
    <row r="35136">
      <c r="C35136" s="277"/>
      <c r="M35136" s="277"/>
      <c r="O35136" s="247"/>
      <c r="AC35136" s="247"/>
      <c r="AT35136" s="247"/>
    </row>
    <row r="35137">
      <c r="C35137" s="277"/>
      <c r="M35137" s="277"/>
      <c r="O35137" s="247"/>
      <c r="AC35137" s="247"/>
      <c r="AT35137" s="247"/>
    </row>
    <row r="35138">
      <c r="C35138" s="277"/>
      <c r="M35138" s="277"/>
      <c r="O35138" s="247"/>
      <c r="AC35138" s="247"/>
      <c r="AT35138" s="247"/>
    </row>
    <row r="35139">
      <c r="C35139" s="277"/>
      <c r="M35139" s="277"/>
      <c r="O35139" s="247"/>
      <c r="AC35139" s="247"/>
      <c r="AT35139" s="247"/>
    </row>
    <row r="35140">
      <c r="C35140" s="277"/>
      <c r="M35140" s="277"/>
      <c r="O35140" s="247"/>
      <c r="AC35140" s="247"/>
      <c r="AT35140" s="247"/>
    </row>
    <row r="35141">
      <c r="C35141" s="277"/>
      <c r="M35141" s="277"/>
      <c r="O35141" s="247"/>
      <c r="AC35141" s="247"/>
      <c r="AT35141" s="247"/>
    </row>
    <row r="35142">
      <c r="C35142" s="277"/>
      <c r="M35142" s="277"/>
      <c r="O35142" s="247"/>
      <c r="AC35142" s="247"/>
      <c r="AT35142" s="247"/>
    </row>
    <row r="35143">
      <c r="C35143" s="277"/>
      <c r="M35143" s="277"/>
      <c r="O35143" s="247"/>
      <c r="AC35143" s="247"/>
      <c r="AT35143" s="247"/>
    </row>
    <row r="35144">
      <c r="C35144" s="277"/>
      <c r="M35144" s="277"/>
      <c r="O35144" s="247"/>
      <c r="AC35144" s="247"/>
      <c r="AT35144" s="247"/>
    </row>
    <row r="35145">
      <c r="C35145" s="277"/>
      <c r="M35145" s="277"/>
      <c r="O35145" s="247"/>
      <c r="AC35145" s="247"/>
      <c r="AT35145" s="247"/>
    </row>
    <row r="35146">
      <c r="C35146" s="277"/>
      <c r="M35146" s="277"/>
      <c r="O35146" s="247"/>
      <c r="AC35146" s="247"/>
      <c r="AT35146" s="247"/>
    </row>
    <row r="35147">
      <c r="C35147" s="277"/>
      <c r="M35147" s="277"/>
      <c r="O35147" s="247"/>
      <c r="AC35147" s="247"/>
      <c r="AT35147" s="247"/>
    </row>
    <row r="35148">
      <c r="C35148" s="277"/>
      <c r="M35148" s="277"/>
      <c r="O35148" s="247"/>
      <c r="AC35148" s="247"/>
      <c r="AT35148" s="247"/>
    </row>
    <row r="35149">
      <c r="C35149" s="277"/>
      <c r="M35149" s="277"/>
      <c r="O35149" s="247"/>
      <c r="AC35149" s="247"/>
      <c r="AT35149" s="247"/>
    </row>
    <row r="35150">
      <c r="C35150" s="277"/>
      <c r="M35150" s="277"/>
      <c r="O35150" s="247"/>
      <c r="AC35150" s="247"/>
      <c r="AT35150" s="247"/>
    </row>
    <row r="35151">
      <c r="C35151" s="277"/>
      <c r="M35151" s="277"/>
      <c r="O35151" s="247"/>
      <c r="AC35151" s="247"/>
      <c r="AT35151" s="247"/>
    </row>
    <row r="35152">
      <c r="C35152" s="277"/>
      <c r="M35152" s="277"/>
      <c r="O35152" s="247"/>
      <c r="AC35152" s="247"/>
      <c r="AT35152" s="247"/>
    </row>
    <row r="35153">
      <c r="C35153" s="277"/>
      <c r="M35153" s="277"/>
      <c r="O35153" s="247"/>
      <c r="AC35153" s="247"/>
      <c r="AT35153" s="247"/>
    </row>
    <row r="35154">
      <c r="C35154" s="277"/>
      <c r="M35154" s="277"/>
      <c r="O35154" s="247"/>
      <c r="AC35154" s="247"/>
      <c r="AT35154" s="247"/>
    </row>
    <row r="35155">
      <c r="C35155" s="277"/>
      <c r="M35155" s="277"/>
      <c r="O35155" s="247"/>
      <c r="AC35155" s="247"/>
      <c r="AT35155" s="247"/>
    </row>
    <row r="35156">
      <c r="C35156" s="277"/>
      <c r="M35156" s="277"/>
      <c r="O35156" s="247"/>
      <c r="AC35156" s="247"/>
      <c r="AT35156" s="247"/>
    </row>
    <row r="35157">
      <c r="C35157" s="277"/>
      <c r="M35157" s="277"/>
      <c r="O35157" s="247"/>
      <c r="AC35157" s="247"/>
      <c r="AT35157" s="247"/>
    </row>
    <row r="35158">
      <c r="C35158" s="277"/>
      <c r="M35158" s="277"/>
      <c r="O35158" s="247"/>
      <c r="AC35158" s="247"/>
      <c r="AT35158" s="247"/>
    </row>
    <row r="35159">
      <c r="C35159" s="277"/>
      <c r="M35159" s="277"/>
      <c r="O35159" s="247"/>
      <c r="AC35159" s="247"/>
      <c r="AT35159" s="247"/>
    </row>
    <row r="35160">
      <c r="C35160" s="277"/>
      <c r="M35160" s="277"/>
      <c r="O35160" s="247"/>
      <c r="AC35160" s="247"/>
      <c r="AT35160" s="247"/>
    </row>
    <row r="35161">
      <c r="C35161" s="277"/>
      <c r="M35161" s="277"/>
      <c r="O35161" s="247"/>
      <c r="AC35161" s="247"/>
      <c r="AT35161" s="247"/>
    </row>
    <row r="35162">
      <c r="C35162" s="277"/>
      <c r="M35162" s="277"/>
      <c r="O35162" s="247"/>
      <c r="AC35162" s="247"/>
      <c r="AT35162" s="247"/>
    </row>
    <row r="35163">
      <c r="C35163" s="277"/>
      <c r="M35163" s="277"/>
      <c r="O35163" s="247"/>
      <c r="AC35163" s="247"/>
      <c r="AT35163" s="247"/>
    </row>
    <row r="35164">
      <c r="C35164" s="277"/>
      <c r="M35164" s="277"/>
      <c r="O35164" s="247"/>
      <c r="AC35164" s="247"/>
      <c r="AT35164" s="247"/>
    </row>
    <row r="35165">
      <c r="C35165" s="277"/>
      <c r="M35165" s="277"/>
      <c r="O35165" s="247"/>
      <c r="AC35165" s="247"/>
      <c r="AT35165" s="247"/>
    </row>
    <row r="35166">
      <c r="C35166" s="277"/>
      <c r="M35166" s="277"/>
      <c r="O35166" s="247"/>
      <c r="AC35166" s="247"/>
      <c r="AT35166" s="247"/>
    </row>
    <row r="35167">
      <c r="C35167" s="277"/>
      <c r="M35167" s="277"/>
      <c r="O35167" s="247"/>
      <c r="AC35167" s="247"/>
      <c r="AT35167" s="247"/>
    </row>
    <row r="35168">
      <c r="C35168" s="277"/>
      <c r="M35168" s="277"/>
      <c r="O35168" s="247"/>
      <c r="AC35168" s="247"/>
      <c r="AT35168" s="247"/>
    </row>
    <row r="35169">
      <c r="C35169" s="277"/>
      <c r="M35169" s="277"/>
      <c r="O35169" s="247"/>
      <c r="AC35169" s="247"/>
      <c r="AT35169" s="247"/>
    </row>
    <row r="35170">
      <c r="C35170" s="277"/>
      <c r="M35170" s="277"/>
      <c r="O35170" s="247"/>
      <c r="AC35170" s="247"/>
      <c r="AT35170" s="247"/>
    </row>
    <row r="35171">
      <c r="C35171" s="277"/>
      <c r="M35171" s="277"/>
      <c r="O35171" s="247"/>
      <c r="AC35171" s="247"/>
      <c r="AT35171" s="247"/>
    </row>
    <row r="35172">
      <c r="C35172" s="277"/>
      <c r="M35172" s="277"/>
      <c r="O35172" s="247"/>
      <c r="AC35172" s="247"/>
      <c r="AT35172" s="247"/>
    </row>
    <row r="35173">
      <c r="C35173" s="277"/>
      <c r="M35173" s="277"/>
      <c r="O35173" s="247"/>
      <c r="AC35173" s="247"/>
      <c r="AT35173" s="247"/>
    </row>
    <row r="35174">
      <c r="C35174" s="277"/>
      <c r="M35174" s="277"/>
      <c r="O35174" s="247"/>
      <c r="AC35174" s="247"/>
      <c r="AT35174" s="247"/>
    </row>
    <row r="35175">
      <c r="C35175" s="277"/>
      <c r="M35175" s="277"/>
      <c r="O35175" s="247"/>
      <c r="AC35175" s="247"/>
      <c r="AT35175" s="247"/>
    </row>
    <row r="35176">
      <c r="C35176" s="277"/>
      <c r="M35176" s="277"/>
      <c r="O35176" s="247"/>
      <c r="AC35176" s="247"/>
      <c r="AT35176" s="247"/>
    </row>
    <row r="35177">
      <c r="C35177" s="277"/>
      <c r="M35177" s="277"/>
      <c r="O35177" s="247"/>
      <c r="AC35177" s="247"/>
      <c r="AT35177" s="247"/>
    </row>
    <row r="35178">
      <c r="C35178" s="277"/>
      <c r="M35178" s="277"/>
      <c r="O35178" s="247"/>
      <c r="AC35178" s="247"/>
      <c r="AT35178" s="247"/>
    </row>
    <row r="35179">
      <c r="C35179" s="277"/>
      <c r="M35179" s="277"/>
      <c r="O35179" s="247"/>
      <c r="AC35179" s="247"/>
      <c r="AT35179" s="247"/>
    </row>
    <row r="35180">
      <c r="C35180" s="277"/>
      <c r="M35180" s="277"/>
      <c r="O35180" s="247"/>
      <c r="AC35180" s="247"/>
      <c r="AT35180" s="247"/>
    </row>
    <row r="35181">
      <c r="C35181" s="277"/>
      <c r="M35181" s="277"/>
      <c r="O35181" s="247"/>
      <c r="AC35181" s="247"/>
      <c r="AT35181" s="247"/>
    </row>
    <row r="35182">
      <c r="C35182" s="277"/>
      <c r="M35182" s="277"/>
      <c r="O35182" s="247"/>
      <c r="AC35182" s="247"/>
      <c r="AT35182" s="247"/>
    </row>
    <row r="35183">
      <c r="C35183" s="277"/>
      <c r="M35183" s="277"/>
      <c r="O35183" s="247"/>
      <c r="AC35183" s="247"/>
      <c r="AT35183" s="247"/>
    </row>
    <row r="35184">
      <c r="C35184" s="277"/>
      <c r="M35184" s="277"/>
      <c r="O35184" s="247"/>
      <c r="AC35184" s="247"/>
      <c r="AT35184" s="247"/>
    </row>
    <row r="35185">
      <c r="C35185" s="277"/>
      <c r="M35185" s="277"/>
      <c r="O35185" s="247"/>
      <c r="AC35185" s="247"/>
      <c r="AT35185" s="247"/>
    </row>
    <row r="35186">
      <c r="C35186" s="277"/>
      <c r="M35186" s="277"/>
      <c r="O35186" s="247"/>
      <c r="AC35186" s="247"/>
      <c r="AT35186" s="247"/>
    </row>
    <row r="35187">
      <c r="C35187" s="277"/>
      <c r="M35187" s="277"/>
      <c r="O35187" s="247"/>
      <c r="AC35187" s="247"/>
      <c r="AT35187" s="247"/>
    </row>
    <row r="35188">
      <c r="C35188" s="277"/>
      <c r="M35188" s="277"/>
      <c r="O35188" s="247"/>
      <c r="AC35188" s="247"/>
      <c r="AT35188" s="247"/>
    </row>
    <row r="35189">
      <c r="C35189" s="277"/>
      <c r="M35189" s="277"/>
      <c r="O35189" s="247"/>
      <c r="AC35189" s="247"/>
      <c r="AT35189" s="247"/>
    </row>
    <row r="35190">
      <c r="C35190" s="277"/>
      <c r="M35190" s="277"/>
      <c r="O35190" s="247"/>
      <c r="AC35190" s="247"/>
      <c r="AT35190" s="247"/>
    </row>
    <row r="35191">
      <c r="C35191" s="277"/>
      <c r="M35191" s="277"/>
      <c r="O35191" s="247"/>
      <c r="AC35191" s="247"/>
      <c r="AT35191" s="247"/>
    </row>
    <row r="35192">
      <c r="C35192" s="277"/>
      <c r="M35192" s="277"/>
      <c r="O35192" s="247"/>
      <c r="AC35192" s="247"/>
      <c r="AT35192" s="247"/>
    </row>
    <row r="35193">
      <c r="C35193" s="277"/>
      <c r="M35193" s="277"/>
      <c r="O35193" s="247"/>
      <c r="AC35193" s="247"/>
      <c r="AT35193" s="247"/>
    </row>
    <row r="35194">
      <c r="C35194" s="277"/>
      <c r="M35194" s="277"/>
      <c r="O35194" s="247"/>
      <c r="AC35194" s="247"/>
      <c r="AT35194" s="247"/>
    </row>
    <row r="35195">
      <c r="C35195" s="277"/>
      <c r="M35195" s="277"/>
      <c r="O35195" s="247"/>
      <c r="AC35195" s="247"/>
      <c r="AT35195" s="247"/>
    </row>
    <row r="35196">
      <c r="C35196" s="277"/>
      <c r="M35196" s="277"/>
      <c r="O35196" s="247"/>
      <c r="AC35196" s="247"/>
      <c r="AT35196" s="247"/>
    </row>
    <row r="35197">
      <c r="C35197" s="277"/>
      <c r="M35197" s="277"/>
      <c r="O35197" s="247"/>
      <c r="AC35197" s="247"/>
      <c r="AT35197" s="247"/>
    </row>
    <row r="35198">
      <c r="C35198" s="277"/>
      <c r="M35198" s="277"/>
      <c r="O35198" s="247"/>
      <c r="AC35198" s="247"/>
      <c r="AT35198" s="247"/>
    </row>
    <row r="35199">
      <c r="C35199" s="277"/>
      <c r="M35199" s="277"/>
      <c r="O35199" s="247"/>
      <c r="AC35199" s="247"/>
      <c r="AT35199" s="247"/>
    </row>
    <row r="35200">
      <c r="C35200" s="277"/>
      <c r="M35200" s="277"/>
      <c r="O35200" s="247"/>
      <c r="AC35200" s="247"/>
      <c r="AT35200" s="247"/>
    </row>
    <row r="35201">
      <c r="C35201" s="277"/>
      <c r="M35201" s="277"/>
      <c r="O35201" s="247"/>
      <c r="AC35201" s="247"/>
      <c r="AT35201" s="247"/>
    </row>
    <row r="35202">
      <c r="C35202" s="277"/>
      <c r="M35202" s="277"/>
      <c r="O35202" s="247"/>
      <c r="AC35202" s="247"/>
      <c r="AT35202" s="247"/>
    </row>
    <row r="35203">
      <c r="C35203" s="277"/>
      <c r="M35203" s="277"/>
      <c r="O35203" s="247"/>
      <c r="AC35203" s="247"/>
      <c r="AT35203" s="247"/>
    </row>
    <row r="35204">
      <c r="C35204" s="277"/>
      <c r="M35204" s="277"/>
      <c r="O35204" s="247"/>
      <c r="AC35204" s="247"/>
      <c r="AT35204" s="247"/>
    </row>
    <row r="35205">
      <c r="C35205" s="277"/>
      <c r="M35205" s="277"/>
      <c r="O35205" s="247"/>
      <c r="AC35205" s="247"/>
      <c r="AT35205" s="247"/>
    </row>
    <row r="35206">
      <c r="C35206" s="277"/>
      <c r="M35206" s="277"/>
      <c r="O35206" s="247"/>
      <c r="AC35206" s="247"/>
      <c r="AT35206" s="247"/>
    </row>
    <row r="35207">
      <c r="C35207" s="277"/>
      <c r="M35207" s="277"/>
      <c r="O35207" s="247"/>
      <c r="AC35207" s="247"/>
      <c r="AT35207" s="247"/>
    </row>
    <row r="35208">
      <c r="C35208" s="277"/>
      <c r="M35208" s="277"/>
      <c r="O35208" s="247"/>
      <c r="AC35208" s="247"/>
      <c r="AT35208" s="247"/>
    </row>
    <row r="35209">
      <c r="C35209" s="277"/>
      <c r="M35209" s="277"/>
      <c r="O35209" s="247"/>
      <c r="AC35209" s="247"/>
      <c r="AT35209" s="247"/>
    </row>
    <row r="35210">
      <c r="C35210" s="277"/>
      <c r="M35210" s="277"/>
      <c r="O35210" s="247"/>
      <c r="AC35210" s="247"/>
      <c r="AT35210" s="247"/>
    </row>
    <row r="35211">
      <c r="C35211" s="277"/>
      <c r="M35211" s="277"/>
      <c r="O35211" s="247"/>
      <c r="AC35211" s="247"/>
      <c r="AT35211" s="247"/>
    </row>
    <row r="35212">
      <c r="C35212" s="277"/>
      <c r="M35212" s="277"/>
      <c r="O35212" s="247"/>
      <c r="AC35212" s="247"/>
      <c r="AT35212" s="247"/>
    </row>
    <row r="35213">
      <c r="C35213" s="277"/>
      <c r="M35213" s="277"/>
      <c r="O35213" s="247"/>
      <c r="AC35213" s="247"/>
      <c r="AT35213" s="247"/>
    </row>
    <row r="35214">
      <c r="C35214" s="277"/>
      <c r="M35214" s="277"/>
      <c r="O35214" s="247"/>
      <c r="AC35214" s="247"/>
      <c r="AT35214" s="247"/>
    </row>
    <row r="35215">
      <c r="C35215" s="277"/>
      <c r="M35215" s="277"/>
      <c r="O35215" s="247"/>
      <c r="AC35215" s="247"/>
      <c r="AT35215" s="247"/>
    </row>
    <row r="35216">
      <c r="C35216" s="277"/>
      <c r="M35216" s="277"/>
      <c r="O35216" s="247"/>
      <c r="AC35216" s="247"/>
      <c r="AT35216" s="247"/>
    </row>
    <row r="35217">
      <c r="C35217" s="277"/>
      <c r="M35217" s="277"/>
      <c r="O35217" s="247"/>
      <c r="AC35217" s="247"/>
      <c r="AT35217" s="247"/>
    </row>
    <row r="35218">
      <c r="C35218" s="277"/>
      <c r="M35218" s="277"/>
      <c r="O35218" s="247"/>
      <c r="AC35218" s="247"/>
      <c r="AT35218" s="247"/>
    </row>
    <row r="35219">
      <c r="C35219" s="277"/>
      <c r="M35219" s="277"/>
      <c r="O35219" s="247"/>
      <c r="AC35219" s="247"/>
      <c r="AT35219" s="247"/>
    </row>
    <row r="35220">
      <c r="C35220" s="277"/>
      <c r="M35220" s="277"/>
      <c r="O35220" s="247"/>
      <c r="AC35220" s="247"/>
      <c r="AT35220" s="247"/>
    </row>
    <row r="35221">
      <c r="C35221" s="277"/>
      <c r="M35221" s="277"/>
      <c r="O35221" s="247"/>
      <c r="AC35221" s="247"/>
      <c r="AT35221" s="247"/>
    </row>
    <row r="35222">
      <c r="C35222" s="277"/>
      <c r="M35222" s="277"/>
      <c r="O35222" s="247"/>
      <c r="AC35222" s="247"/>
      <c r="AT35222" s="247"/>
    </row>
    <row r="35223">
      <c r="C35223" s="277"/>
      <c r="M35223" s="277"/>
      <c r="O35223" s="247"/>
      <c r="AC35223" s="247"/>
      <c r="AT35223" s="247"/>
    </row>
    <row r="35224">
      <c r="C35224" s="277"/>
      <c r="M35224" s="277"/>
      <c r="O35224" s="247"/>
      <c r="AC35224" s="247"/>
      <c r="AT35224" s="247"/>
    </row>
    <row r="35225">
      <c r="C35225" s="277"/>
      <c r="M35225" s="277"/>
      <c r="O35225" s="247"/>
      <c r="AC35225" s="247"/>
      <c r="AT35225" s="247"/>
    </row>
    <row r="35226">
      <c r="C35226" s="277"/>
      <c r="M35226" s="277"/>
      <c r="O35226" s="247"/>
      <c r="AC35226" s="247"/>
      <c r="AT35226" s="247"/>
    </row>
    <row r="35227">
      <c r="C35227" s="277"/>
      <c r="M35227" s="277"/>
      <c r="O35227" s="247"/>
      <c r="AC35227" s="247"/>
      <c r="AT35227" s="247"/>
    </row>
    <row r="35228">
      <c r="C35228" s="277"/>
      <c r="M35228" s="277"/>
      <c r="O35228" s="247"/>
      <c r="AC35228" s="247"/>
      <c r="AT35228" s="247"/>
    </row>
    <row r="35229">
      <c r="C35229" s="277"/>
      <c r="M35229" s="277"/>
      <c r="O35229" s="247"/>
      <c r="AC35229" s="247"/>
      <c r="AT35229" s="247"/>
    </row>
    <row r="35230">
      <c r="C35230" s="277"/>
      <c r="M35230" s="277"/>
      <c r="O35230" s="247"/>
      <c r="AC35230" s="247"/>
      <c r="AT35230" s="247"/>
    </row>
    <row r="35231">
      <c r="C35231" s="277"/>
      <c r="M35231" s="277"/>
      <c r="O35231" s="247"/>
      <c r="AC35231" s="247"/>
      <c r="AT35231" s="247"/>
    </row>
    <row r="35232">
      <c r="C35232" s="277"/>
      <c r="M35232" s="277"/>
      <c r="O35232" s="247"/>
      <c r="AC35232" s="247"/>
      <c r="AT35232" s="247"/>
    </row>
    <row r="35233">
      <c r="C35233" s="277"/>
      <c r="M35233" s="277"/>
      <c r="O35233" s="247"/>
      <c r="AC35233" s="247"/>
      <c r="AT35233" s="247"/>
    </row>
    <row r="35234">
      <c r="C35234" s="277"/>
      <c r="M35234" s="277"/>
      <c r="O35234" s="247"/>
      <c r="AC35234" s="247"/>
      <c r="AT35234" s="247"/>
    </row>
    <row r="35235">
      <c r="C35235" s="277"/>
      <c r="M35235" s="277"/>
      <c r="O35235" s="247"/>
      <c r="AC35235" s="247"/>
      <c r="AT35235" s="247"/>
    </row>
    <row r="35236">
      <c r="C35236" s="277"/>
      <c r="M35236" s="277"/>
      <c r="O35236" s="247"/>
      <c r="AC35236" s="247"/>
      <c r="AT35236" s="247"/>
    </row>
    <row r="35237">
      <c r="C35237" s="277"/>
      <c r="M35237" s="277"/>
      <c r="O35237" s="247"/>
      <c r="AC35237" s="247"/>
      <c r="AT35237" s="247"/>
    </row>
    <row r="35238">
      <c r="C35238" s="277"/>
      <c r="M35238" s="277"/>
      <c r="O35238" s="247"/>
      <c r="AC35238" s="247"/>
      <c r="AT35238" s="247"/>
    </row>
    <row r="35239">
      <c r="C35239" s="277"/>
      <c r="M35239" s="277"/>
      <c r="O35239" s="247"/>
      <c r="AC35239" s="247"/>
      <c r="AT35239" s="247"/>
    </row>
    <row r="35240">
      <c r="C35240" s="277"/>
      <c r="M35240" s="277"/>
      <c r="O35240" s="247"/>
      <c r="AC35240" s="247"/>
      <c r="AT35240" s="247"/>
    </row>
    <row r="35241">
      <c r="C35241" s="277"/>
      <c r="M35241" s="277"/>
      <c r="O35241" s="247"/>
      <c r="AC35241" s="247"/>
      <c r="AT35241" s="247"/>
    </row>
    <row r="35242">
      <c r="C35242" s="277"/>
      <c r="M35242" s="277"/>
      <c r="O35242" s="247"/>
      <c r="AC35242" s="247"/>
      <c r="AT35242" s="247"/>
    </row>
    <row r="35243">
      <c r="C35243" s="277"/>
      <c r="M35243" s="277"/>
      <c r="O35243" s="247"/>
      <c r="AC35243" s="247"/>
      <c r="AT35243" s="247"/>
    </row>
    <row r="35244">
      <c r="C35244" s="277"/>
      <c r="M35244" s="277"/>
      <c r="O35244" s="247"/>
      <c r="AC35244" s="247"/>
      <c r="AT35244" s="247"/>
    </row>
    <row r="35245">
      <c r="C35245" s="277"/>
      <c r="M35245" s="277"/>
      <c r="O35245" s="247"/>
      <c r="AC35245" s="247"/>
      <c r="AT35245" s="247"/>
    </row>
    <row r="35246">
      <c r="C35246" s="277"/>
      <c r="M35246" s="277"/>
      <c r="O35246" s="247"/>
      <c r="AC35246" s="247"/>
      <c r="AT35246" s="247"/>
    </row>
    <row r="35247">
      <c r="C35247" s="277"/>
      <c r="M35247" s="277"/>
      <c r="O35247" s="247"/>
      <c r="AC35247" s="247"/>
      <c r="AT35247" s="247"/>
    </row>
    <row r="35248">
      <c r="C35248" s="277"/>
      <c r="M35248" s="277"/>
      <c r="O35248" s="247"/>
      <c r="AC35248" s="247"/>
      <c r="AT35248" s="247"/>
    </row>
    <row r="35249">
      <c r="C35249" s="277"/>
      <c r="M35249" s="277"/>
      <c r="O35249" s="247"/>
      <c r="AC35249" s="247"/>
      <c r="AT35249" s="247"/>
    </row>
    <row r="35250">
      <c r="C35250" s="277"/>
      <c r="M35250" s="277"/>
      <c r="O35250" s="247"/>
      <c r="AC35250" s="247"/>
      <c r="AT35250" s="247"/>
    </row>
    <row r="35251">
      <c r="C35251" s="277"/>
      <c r="M35251" s="277"/>
      <c r="O35251" s="247"/>
      <c r="AC35251" s="247"/>
      <c r="AT35251" s="247"/>
    </row>
    <row r="35252">
      <c r="C35252" s="277"/>
      <c r="M35252" s="277"/>
      <c r="O35252" s="247"/>
      <c r="AC35252" s="247"/>
      <c r="AT35252" s="247"/>
    </row>
    <row r="35253">
      <c r="C35253" s="277"/>
      <c r="M35253" s="277"/>
      <c r="O35253" s="247"/>
      <c r="AC35253" s="247"/>
      <c r="AT35253" s="247"/>
    </row>
    <row r="35254">
      <c r="C35254" s="277"/>
      <c r="M35254" s="277"/>
      <c r="O35254" s="247"/>
      <c r="AC35254" s="247"/>
      <c r="AT35254" s="247"/>
    </row>
    <row r="35255">
      <c r="C35255" s="277"/>
      <c r="M35255" s="277"/>
      <c r="O35255" s="247"/>
      <c r="AC35255" s="247"/>
      <c r="AT35255" s="247"/>
    </row>
    <row r="35256">
      <c r="C35256" s="277"/>
      <c r="M35256" s="277"/>
      <c r="O35256" s="247"/>
      <c r="AC35256" s="247"/>
      <c r="AT35256" s="247"/>
    </row>
    <row r="35257">
      <c r="C35257" s="277"/>
      <c r="M35257" s="277"/>
      <c r="O35257" s="247"/>
      <c r="AC35257" s="247"/>
      <c r="AT35257" s="247"/>
    </row>
    <row r="35258">
      <c r="C35258" s="277"/>
      <c r="M35258" s="277"/>
      <c r="O35258" s="247"/>
      <c r="AC35258" s="247"/>
      <c r="AT35258" s="247"/>
    </row>
    <row r="35259">
      <c r="C35259" s="277"/>
      <c r="M35259" s="277"/>
      <c r="O35259" s="247"/>
      <c r="AC35259" s="247"/>
      <c r="AT35259" s="247"/>
    </row>
    <row r="35260">
      <c r="C35260" s="277"/>
      <c r="M35260" s="277"/>
      <c r="O35260" s="247"/>
      <c r="AC35260" s="247"/>
      <c r="AT35260" s="247"/>
    </row>
    <row r="35261">
      <c r="C35261" s="277"/>
      <c r="M35261" s="277"/>
      <c r="O35261" s="247"/>
      <c r="AC35261" s="247"/>
      <c r="AT35261" s="247"/>
    </row>
    <row r="35262">
      <c r="C35262" s="277"/>
      <c r="M35262" s="277"/>
      <c r="O35262" s="247"/>
      <c r="AC35262" s="247"/>
      <c r="AT35262" s="247"/>
    </row>
    <row r="35263">
      <c r="C35263" s="277"/>
      <c r="M35263" s="277"/>
      <c r="O35263" s="247"/>
      <c r="AC35263" s="247"/>
      <c r="AT35263" s="247"/>
    </row>
    <row r="35264">
      <c r="C35264" s="277"/>
      <c r="M35264" s="277"/>
      <c r="O35264" s="247"/>
      <c r="AC35264" s="247"/>
      <c r="AT35264" s="247"/>
    </row>
    <row r="35265">
      <c r="C35265" s="277"/>
      <c r="M35265" s="277"/>
      <c r="O35265" s="247"/>
      <c r="AC35265" s="247"/>
      <c r="AT35265" s="247"/>
    </row>
    <row r="35266">
      <c r="C35266" s="277"/>
      <c r="M35266" s="277"/>
      <c r="O35266" s="247"/>
      <c r="AC35266" s="247"/>
      <c r="AT35266" s="247"/>
    </row>
    <row r="35267">
      <c r="C35267" s="277"/>
      <c r="M35267" s="277"/>
      <c r="O35267" s="247"/>
      <c r="AC35267" s="247"/>
      <c r="AT35267" s="247"/>
    </row>
    <row r="35268">
      <c r="C35268" s="277"/>
      <c r="M35268" s="277"/>
      <c r="O35268" s="247"/>
      <c r="AC35268" s="247"/>
      <c r="AT35268" s="247"/>
    </row>
    <row r="35269">
      <c r="C35269" s="277"/>
      <c r="M35269" s="277"/>
      <c r="O35269" s="247"/>
      <c r="AC35269" s="247"/>
      <c r="AT35269" s="247"/>
    </row>
    <row r="35270">
      <c r="C35270" s="277"/>
      <c r="M35270" s="277"/>
      <c r="O35270" s="247"/>
      <c r="AC35270" s="247"/>
      <c r="AT35270" s="247"/>
    </row>
    <row r="35271">
      <c r="C35271" s="277"/>
      <c r="M35271" s="277"/>
      <c r="O35271" s="247"/>
      <c r="AC35271" s="247"/>
      <c r="AT35271" s="247"/>
    </row>
    <row r="35272">
      <c r="C35272" s="277"/>
      <c r="M35272" s="277"/>
      <c r="O35272" s="247"/>
      <c r="AC35272" s="247"/>
      <c r="AT35272" s="247"/>
    </row>
    <row r="35273">
      <c r="C35273" s="277"/>
      <c r="M35273" s="277"/>
      <c r="O35273" s="247"/>
      <c r="AC35273" s="247"/>
      <c r="AT35273" s="247"/>
    </row>
    <row r="35274">
      <c r="C35274" s="277"/>
      <c r="M35274" s="277"/>
      <c r="O35274" s="247"/>
      <c r="AC35274" s="247"/>
      <c r="AT35274" s="247"/>
    </row>
    <row r="35275">
      <c r="C35275" s="277"/>
      <c r="M35275" s="277"/>
      <c r="O35275" s="247"/>
      <c r="AC35275" s="247"/>
      <c r="AT35275" s="247"/>
    </row>
    <row r="35276">
      <c r="C35276" s="277"/>
      <c r="M35276" s="277"/>
      <c r="O35276" s="247"/>
      <c r="AC35276" s="247"/>
      <c r="AT35276" s="247"/>
    </row>
    <row r="35277">
      <c r="C35277" s="277"/>
      <c r="M35277" s="277"/>
      <c r="O35277" s="247"/>
      <c r="AC35277" s="247"/>
      <c r="AT35277" s="247"/>
    </row>
    <row r="35278">
      <c r="C35278" s="277"/>
      <c r="M35278" s="277"/>
      <c r="O35278" s="247"/>
      <c r="AC35278" s="247"/>
      <c r="AT35278" s="247"/>
    </row>
    <row r="35279">
      <c r="C35279" s="277"/>
      <c r="M35279" s="277"/>
      <c r="O35279" s="247"/>
      <c r="AC35279" s="247"/>
      <c r="AT35279" s="247"/>
    </row>
    <row r="35280">
      <c r="C35280" s="277"/>
      <c r="M35280" s="277"/>
      <c r="O35280" s="247"/>
      <c r="AC35280" s="247"/>
      <c r="AT35280" s="247"/>
    </row>
    <row r="35281">
      <c r="C35281" s="277"/>
      <c r="M35281" s="277"/>
      <c r="O35281" s="247"/>
      <c r="AC35281" s="247"/>
      <c r="AT35281" s="247"/>
    </row>
    <row r="35282">
      <c r="C35282" s="277"/>
      <c r="M35282" s="277"/>
      <c r="O35282" s="247"/>
      <c r="AC35282" s="247"/>
      <c r="AT35282" s="247"/>
    </row>
    <row r="35283">
      <c r="C35283" s="277"/>
      <c r="M35283" s="277"/>
      <c r="O35283" s="247"/>
      <c r="AC35283" s="247"/>
      <c r="AT35283" s="247"/>
    </row>
    <row r="35284">
      <c r="C35284" s="277"/>
      <c r="M35284" s="277"/>
      <c r="O35284" s="247"/>
      <c r="AC35284" s="247"/>
      <c r="AT35284" s="247"/>
    </row>
    <row r="35285">
      <c r="C35285" s="277"/>
      <c r="M35285" s="277"/>
      <c r="O35285" s="247"/>
      <c r="AC35285" s="247"/>
      <c r="AT35285" s="247"/>
    </row>
    <row r="35286">
      <c r="C35286" s="277"/>
      <c r="M35286" s="277"/>
      <c r="O35286" s="247"/>
      <c r="AC35286" s="247"/>
      <c r="AT35286" s="247"/>
    </row>
    <row r="35287">
      <c r="C35287" s="277"/>
      <c r="M35287" s="277"/>
      <c r="O35287" s="247"/>
      <c r="AC35287" s="247"/>
      <c r="AT35287" s="247"/>
    </row>
    <row r="35288">
      <c r="C35288" s="277"/>
      <c r="M35288" s="277"/>
      <c r="O35288" s="247"/>
      <c r="AC35288" s="247"/>
      <c r="AT35288" s="247"/>
    </row>
    <row r="35289">
      <c r="C35289" s="277"/>
      <c r="M35289" s="277"/>
      <c r="O35289" s="247"/>
      <c r="AC35289" s="247"/>
      <c r="AT35289" s="247"/>
    </row>
    <row r="35290">
      <c r="C35290" s="277"/>
      <c r="M35290" s="277"/>
      <c r="O35290" s="247"/>
      <c r="AC35290" s="247"/>
      <c r="AT35290" s="247"/>
    </row>
    <row r="35291">
      <c r="C35291" s="277"/>
      <c r="M35291" s="277"/>
      <c r="O35291" s="247"/>
      <c r="AC35291" s="247"/>
      <c r="AT35291" s="247"/>
    </row>
    <row r="35292">
      <c r="C35292" s="277"/>
      <c r="M35292" s="277"/>
      <c r="O35292" s="247"/>
      <c r="AC35292" s="247"/>
      <c r="AT35292" s="247"/>
    </row>
    <row r="35293">
      <c r="C35293" s="277"/>
      <c r="M35293" s="277"/>
      <c r="O35293" s="247"/>
      <c r="AC35293" s="247"/>
      <c r="AT35293" s="247"/>
    </row>
    <row r="35294">
      <c r="C35294" s="277"/>
      <c r="M35294" s="277"/>
      <c r="O35294" s="247"/>
      <c r="AC35294" s="247"/>
      <c r="AT35294" s="247"/>
    </row>
    <row r="35295">
      <c r="C35295" s="277"/>
      <c r="M35295" s="277"/>
      <c r="O35295" s="247"/>
      <c r="AC35295" s="247"/>
      <c r="AT35295" s="247"/>
    </row>
    <row r="35296">
      <c r="C35296" s="277"/>
      <c r="M35296" s="277"/>
      <c r="O35296" s="247"/>
      <c r="AC35296" s="247"/>
      <c r="AT35296" s="247"/>
    </row>
    <row r="35297">
      <c r="C35297" s="277"/>
      <c r="M35297" s="277"/>
      <c r="O35297" s="247"/>
      <c r="AC35297" s="247"/>
      <c r="AT35297" s="247"/>
    </row>
    <row r="35298">
      <c r="C35298" s="277"/>
      <c r="M35298" s="277"/>
      <c r="O35298" s="247"/>
      <c r="AC35298" s="247"/>
      <c r="AT35298" s="247"/>
    </row>
    <row r="35299">
      <c r="C35299" s="277"/>
      <c r="M35299" s="277"/>
      <c r="O35299" s="247"/>
      <c r="AC35299" s="247"/>
      <c r="AT35299" s="247"/>
    </row>
    <row r="35300">
      <c r="C35300" s="277"/>
      <c r="M35300" s="277"/>
      <c r="O35300" s="247"/>
      <c r="AC35300" s="247"/>
      <c r="AT35300" s="247"/>
    </row>
    <row r="35301">
      <c r="C35301" s="277"/>
      <c r="M35301" s="277"/>
      <c r="O35301" s="247"/>
      <c r="AC35301" s="247"/>
      <c r="AT35301" s="247"/>
    </row>
    <row r="35302">
      <c r="C35302" s="277"/>
      <c r="M35302" s="277"/>
      <c r="O35302" s="247"/>
      <c r="AC35302" s="247"/>
      <c r="AT35302" s="247"/>
    </row>
    <row r="35303">
      <c r="C35303" s="277"/>
      <c r="M35303" s="277"/>
      <c r="O35303" s="247"/>
      <c r="AC35303" s="247"/>
      <c r="AT35303" s="247"/>
    </row>
    <row r="35304">
      <c r="C35304" s="277"/>
      <c r="M35304" s="277"/>
      <c r="O35304" s="247"/>
      <c r="AC35304" s="247"/>
      <c r="AT35304" s="247"/>
    </row>
    <row r="35305">
      <c r="C35305" s="277"/>
      <c r="M35305" s="277"/>
      <c r="O35305" s="247"/>
      <c r="AC35305" s="247"/>
      <c r="AT35305" s="247"/>
    </row>
    <row r="35306">
      <c r="C35306" s="277"/>
      <c r="M35306" s="277"/>
      <c r="O35306" s="247"/>
      <c r="AC35306" s="247"/>
      <c r="AT35306" s="247"/>
    </row>
    <row r="35307">
      <c r="C35307" s="277"/>
      <c r="M35307" s="277"/>
      <c r="O35307" s="247"/>
      <c r="AC35307" s="247"/>
      <c r="AT35307" s="247"/>
    </row>
    <row r="35308">
      <c r="C35308" s="277"/>
      <c r="M35308" s="277"/>
      <c r="O35308" s="247"/>
      <c r="AC35308" s="247"/>
      <c r="AT35308" s="247"/>
    </row>
    <row r="35309">
      <c r="C35309" s="277"/>
      <c r="M35309" s="277"/>
      <c r="O35309" s="247"/>
      <c r="AC35309" s="247"/>
      <c r="AT35309" s="247"/>
    </row>
    <row r="35310">
      <c r="C35310" s="277"/>
      <c r="M35310" s="277"/>
      <c r="O35310" s="247"/>
      <c r="AC35310" s="247"/>
      <c r="AT35310" s="247"/>
    </row>
    <row r="35311">
      <c r="C35311" s="277"/>
      <c r="M35311" s="277"/>
      <c r="O35311" s="247"/>
      <c r="AC35311" s="247"/>
      <c r="AT35311" s="247"/>
    </row>
    <row r="35312">
      <c r="C35312" s="277"/>
      <c r="M35312" s="277"/>
      <c r="O35312" s="247"/>
      <c r="AC35312" s="247"/>
      <c r="AT35312" s="247"/>
    </row>
    <row r="35313">
      <c r="C35313" s="277"/>
      <c r="M35313" s="277"/>
      <c r="O35313" s="247"/>
      <c r="AC35313" s="247"/>
      <c r="AT35313" s="247"/>
    </row>
    <row r="35314">
      <c r="C35314" s="277"/>
      <c r="M35314" s="277"/>
      <c r="O35314" s="247"/>
      <c r="AC35314" s="247"/>
      <c r="AT35314" s="247"/>
    </row>
    <row r="35315">
      <c r="C35315" s="277"/>
      <c r="M35315" s="277"/>
      <c r="O35315" s="247"/>
      <c r="AC35315" s="247"/>
      <c r="AT35315" s="247"/>
    </row>
    <row r="35316">
      <c r="C35316" s="277"/>
      <c r="M35316" s="277"/>
      <c r="O35316" s="247"/>
      <c r="AC35316" s="247"/>
      <c r="AT35316" s="247"/>
    </row>
    <row r="35317">
      <c r="C35317" s="277"/>
      <c r="M35317" s="277"/>
      <c r="O35317" s="247"/>
      <c r="AC35317" s="247"/>
      <c r="AT35317" s="247"/>
    </row>
    <row r="35318">
      <c r="C35318" s="277"/>
      <c r="M35318" s="277"/>
      <c r="O35318" s="247"/>
      <c r="AC35318" s="247"/>
      <c r="AT35318" s="247"/>
    </row>
    <row r="35319">
      <c r="C35319" s="277"/>
      <c r="M35319" s="277"/>
      <c r="O35319" s="247"/>
      <c r="AC35319" s="247"/>
      <c r="AT35319" s="247"/>
    </row>
    <row r="35320">
      <c r="C35320" s="277"/>
      <c r="M35320" s="277"/>
      <c r="O35320" s="247"/>
      <c r="AC35320" s="247"/>
      <c r="AT35320" s="247"/>
    </row>
    <row r="35321">
      <c r="C35321" s="277"/>
      <c r="M35321" s="277"/>
      <c r="O35321" s="247"/>
      <c r="AC35321" s="247"/>
      <c r="AT35321" s="247"/>
    </row>
    <row r="35322">
      <c r="C35322" s="277"/>
      <c r="M35322" s="277"/>
      <c r="O35322" s="247"/>
      <c r="AC35322" s="247"/>
      <c r="AT35322" s="247"/>
    </row>
    <row r="35323">
      <c r="C35323" s="277"/>
      <c r="M35323" s="277"/>
      <c r="O35323" s="247"/>
      <c r="AC35323" s="247"/>
      <c r="AT35323" s="247"/>
    </row>
    <row r="35324">
      <c r="C35324" s="277"/>
      <c r="M35324" s="277"/>
      <c r="O35324" s="247"/>
      <c r="AC35324" s="247"/>
      <c r="AT35324" s="247"/>
    </row>
    <row r="35325">
      <c r="C35325" s="277"/>
      <c r="M35325" s="277"/>
      <c r="O35325" s="247"/>
      <c r="AC35325" s="247"/>
      <c r="AT35325" s="247"/>
    </row>
    <row r="35326">
      <c r="C35326" s="277"/>
      <c r="M35326" s="277"/>
      <c r="O35326" s="247"/>
      <c r="AC35326" s="247"/>
      <c r="AT35326" s="247"/>
    </row>
    <row r="35327">
      <c r="C35327" s="277"/>
      <c r="M35327" s="277"/>
      <c r="O35327" s="247"/>
      <c r="AC35327" s="247"/>
      <c r="AT35327" s="247"/>
    </row>
    <row r="35328">
      <c r="C35328" s="277"/>
      <c r="M35328" s="277"/>
      <c r="O35328" s="247"/>
      <c r="AC35328" s="247"/>
      <c r="AT35328" s="247"/>
    </row>
    <row r="35329">
      <c r="C35329" s="277"/>
      <c r="M35329" s="277"/>
      <c r="O35329" s="247"/>
      <c r="AC35329" s="247"/>
      <c r="AT35329" s="247"/>
    </row>
    <row r="35330">
      <c r="C35330" s="277"/>
      <c r="M35330" s="277"/>
      <c r="O35330" s="247"/>
      <c r="AC35330" s="247"/>
      <c r="AT35330" s="247"/>
    </row>
    <row r="35331">
      <c r="C35331" s="277"/>
      <c r="M35331" s="277"/>
      <c r="O35331" s="247"/>
      <c r="AC35331" s="247"/>
      <c r="AT35331" s="247"/>
    </row>
    <row r="35332">
      <c r="C35332" s="277"/>
      <c r="M35332" s="277"/>
      <c r="O35332" s="247"/>
      <c r="AC35332" s="247"/>
      <c r="AT35332" s="247"/>
    </row>
    <row r="35333">
      <c r="C35333" s="277"/>
      <c r="M35333" s="277"/>
      <c r="O35333" s="247"/>
      <c r="AC35333" s="247"/>
      <c r="AT35333" s="247"/>
    </row>
    <row r="35334">
      <c r="C35334" s="277"/>
      <c r="M35334" s="277"/>
      <c r="O35334" s="247"/>
      <c r="AC35334" s="247"/>
      <c r="AT35334" s="247"/>
    </row>
    <row r="35335">
      <c r="C35335" s="277"/>
      <c r="M35335" s="277"/>
      <c r="O35335" s="247"/>
      <c r="AC35335" s="247"/>
      <c r="AT35335" s="247"/>
    </row>
    <row r="35336">
      <c r="C35336" s="277"/>
      <c r="M35336" s="277"/>
      <c r="O35336" s="247"/>
      <c r="AC35336" s="247"/>
      <c r="AT35336" s="247"/>
    </row>
    <row r="35337">
      <c r="C35337" s="277"/>
      <c r="M35337" s="277"/>
      <c r="O35337" s="247"/>
      <c r="AC35337" s="247"/>
      <c r="AT35337" s="247"/>
    </row>
    <row r="35338">
      <c r="C35338" s="277"/>
      <c r="M35338" s="277"/>
      <c r="O35338" s="247"/>
      <c r="AC35338" s="247"/>
      <c r="AT35338" s="247"/>
    </row>
    <row r="35339">
      <c r="C35339" s="277"/>
      <c r="M35339" s="277"/>
      <c r="O35339" s="247"/>
      <c r="AC35339" s="247"/>
      <c r="AT35339" s="247"/>
    </row>
    <row r="35340">
      <c r="C35340" s="277"/>
      <c r="M35340" s="277"/>
      <c r="O35340" s="247"/>
      <c r="AC35340" s="247"/>
      <c r="AT35340" s="247"/>
    </row>
    <row r="35341">
      <c r="C35341" s="277"/>
      <c r="M35341" s="277"/>
      <c r="O35341" s="247"/>
      <c r="AC35341" s="247"/>
      <c r="AT35341" s="247"/>
    </row>
    <row r="35342">
      <c r="C35342" s="277"/>
      <c r="M35342" s="277"/>
      <c r="O35342" s="247"/>
      <c r="AC35342" s="247"/>
      <c r="AT35342" s="247"/>
    </row>
    <row r="35343">
      <c r="C35343" s="277"/>
      <c r="M35343" s="277"/>
      <c r="O35343" s="247"/>
      <c r="AC35343" s="247"/>
      <c r="AT35343" s="247"/>
    </row>
    <row r="35344">
      <c r="C35344" s="277"/>
      <c r="M35344" s="277"/>
      <c r="O35344" s="247"/>
      <c r="AC35344" s="247"/>
      <c r="AT35344" s="247"/>
    </row>
    <row r="35345">
      <c r="C35345" s="277"/>
      <c r="M35345" s="277"/>
      <c r="O35345" s="247"/>
      <c r="AC35345" s="247"/>
      <c r="AT35345" s="247"/>
    </row>
    <row r="35346">
      <c r="C35346" s="277"/>
      <c r="M35346" s="277"/>
      <c r="O35346" s="247"/>
      <c r="AC35346" s="247"/>
      <c r="AT35346" s="247"/>
    </row>
    <row r="35347">
      <c r="C35347" s="277"/>
      <c r="M35347" s="277"/>
      <c r="O35347" s="247"/>
      <c r="AC35347" s="247"/>
      <c r="AT35347" s="247"/>
    </row>
    <row r="35348">
      <c r="C35348" s="277"/>
      <c r="M35348" s="277"/>
      <c r="O35348" s="247"/>
      <c r="AC35348" s="247"/>
      <c r="AT35348" s="247"/>
    </row>
    <row r="35349">
      <c r="C35349" s="277"/>
      <c r="M35349" s="277"/>
      <c r="O35349" s="247"/>
      <c r="AC35349" s="247"/>
      <c r="AT35349" s="247"/>
    </row>
    <row r="35350">
      <c r="C35350" s="277"/>
      <c r="M35350" s="277"/>
      <c r="O35350" s="247"/>
      <c r="AC35350" s="247"/>
      <c r="AT35350" s="247"/>
    </row>
    <row r="35351">
      <c r="C35351" s="277"/>
      <c r="M35351" s="277"/>
      <c r="O35351" s="247"/>
      <c r="AC35351" s="247"/>
      <c r="AT35351" s="247"/>
    </row>
    <row r="35352">
      <c r="C35352" s="277"/>
      <c r="M35352" s="277"/>
      <c r="O35352" s="247"/>
      <c r="AC35352" s="247"/>
      <c r="AT35352" s="247"/>
    </row>
    <row r="35353">
      <c r="C35353" s="277"/>
      <c r="M35353" s="277"/>
      <c r="O35353" s="247"/>
      <c r="AC35353" s="247"/>
      <c r="AT35353" s="247"/>
    </row>
    <row r="35354">
      <c r="C35354" s="277"/>
      <c r="M35354" s="277"/>
      <c r="O35354" s="247"/>
      <c r="AC35354" s="247"/>
      <c r="AT35354" s="247"/>
    </row>
    <row r="35355">
      <c r="C35355" s="277"/>
      <c r="M35355" s="277"/>
      <c r="O35355" s="247"/>
      <c r="AC35355" s="247"/>
      <c r="AT35355" s="247"/>
    </row>
    <row r="35356">
      <c r="C35356" s="277"/>
      <c r="M35356" s="277"/>
      <c r="O35356" s="247"/>
      <c r="AC35356" s="247"/>
      <c r="AT35356" s="247"/>
    </row>
    <row r="35357">
      <c r="C35357" s="277"/>
      <c r="M35357" s="277"/>
      <c r="O35357" s="247"/>
      <c r="AC35357" s="247"/>
      <c r="AT35357" s="247"/>
    </row>
    <row r="35358">
      <c r="C35358" s="277"/>
      <c r="M35358" s="277"/>
      <c r="O35358" s="247"/>
      <c r="AC35358" s="247"/>
      <c r="AT35358" s="247"/>
    </row>
    <row r="35359">
      <c r="C35359" s="277"/>
      <c r="M35359" s="277"/>
      <c r="O35359" s="247"/>
      <c r="AC35359" s="247"/>
      <c r="AT35359" s="247"/>
    </row>
    <row r="35360">
      <c r="C35360" s="277"/>
      <c r="M35360" s="277"/>
      <c r="O35360" s="247"/>
      <c r="AC35360" s="247"/>
      <c r="AT35360" s="247"/>
    </row>
    <row r="35361">
      <c r="C35361" s="277"/>
      <c r="M35361" s="277"/>
      <c r="O35361" s="247"/>
      <c r="AC35361" s="247"/>
      <c r="AT35361" s="247"/>
    </row>
    <row r="35362">
      <c r="C35362" s="277"/>
      <c r="M35362" s="277"/>
      <c r="O35362" s="247"/>
      <c r="AC35362" s="247"/>
      <c r="AT35362" s="247"/>
    </row>
    <row r="35363">
      <c r="C35363" s="277"/>
      <c r="M35363" s="277"/>
      <c r="O35363" s="247"/>
      <c r="AC35363" s="247"/>
      <c r="AT35363" s="247"/>
    </row>
    <row r="35364">
      <c r="C35364" s="277"/>
      <c r="M35364" s="277"/>
      <c r="O35364" s="247"/>
      <c r="AC35364" s="247"/>
      <c r="AT35364" s="247"/>
    </row>
    <row r="35365">
      <c r="C35365" s="277"/>
      <c r="M35365" s="277"/>
      <c r="O35365" s="247"/>
      <c r="AC35365" s="247"/>
      <c r="AT35365" s="247"/>
    </row>
    <row r="35366">
      <c r="C35366" s="277"/>
      <c r="M35366" s="277"/>
      <c r="O35366" s="247"/>
      <c r="AC35366" s="247"/>
      <c r="AT35366" s="247"/>
    </row>
    <row r="35367">
      <c r="C35367" s="277"/>
      <c r="M35367" s="277"/>
      <c r="O35367" s="247"/>
      <c r="AC35367" s="247"/>
      <c r="AT35367" s="247"/>
    </row>
    <row r="35368">
      <c r="C35368" s="277"/>
      <c r="M35368" s="277"/>
      <c r="O35368" s="247"/>
      <c r="AC35368" s="247"/>
      <c r="AT35368" s="247"/>
    </row>
    <row r="35369">
      <c r="C35369" s="277"/>
      <c r="M35369" s="277"/>
      <c r="O35369" s="247"/>
      <c r="AC35369" s="247"/>
      <c r="AT35369" s="247"/>
    </row>
    <row r="35370">
      <c r="C35370" s="277"/>
      <c r="M35370" s="277"/>
      <c r="O35370" s="247"/>
      <c r="AC35370" s="247"/>
      <c r="AT35370" s="247"/>
    </row>
    <row r="35371">
      <c r="C35371" s="277"/>
      <c r="M35371" s="277"/>
      <c r="O35371" s="247"/>
      <c r="AC35371" s="247"/>
      <c r="AT35371" s="247"/>
    </row>
    <row r="35372">
      <c r="C35372" s="277"/>
      <c r="M35372" s="277"/>
      <c r="O35372" s="247"/>
      <c r="AC35372" s="247"/>
      <c r="AT35372" s="247"/>
    </row>
    <row r="35373">
      <c r="C35373" s="277"/>
      <c r="M35373" s="277"/>
      <c r="O35373" s="247"/>
      <c r="AC35373" s="247"/>
      <c r="AT35373" s="247"/>
    </row>
    <row r="35374">
      <c r="C35374" s="277"/>
      <c r="M35374" s="277"/>
      <c r="O35374" s="247"/>
      <c r="AC35374" s="247"/>
      <c r="AT35374" s="247"/>
    </row>
    <row r="35375">
      <c r="C35375" s="277"/>
      <c r="M35375" s="277"/>
      <c r="O35375" s="247"/>
      <c r="AC35375" s="247"/>
      <c r="AT35375" s="247"/>
    </row>
    <row r="35376">
      <c r="C35376" s="277"/>
      <c r="M35376" s="277"/>
      <c r="O35376" s="247"/>
      <c r="AC35376" s="247"/>
      <c r="AT35376" s="247"/>
    </row>
    <row r="35377">
      <c r="C35377" s="277"/>
      <c r="M35377" s="277"/>
      <c r="O35377" s="247"/>
      <c r="AC35377" s="247"/>
      <c r="AT35377" s="247"/>
    </row>
    <row r="35378">
      <c r="C35378" s="277"/>
      <c r="M35378" s="277"/>
      <c r="O35378" s="247"/>
      <c r="AC35378" s="247"/>
      <c r="AT35378" s="247"/>
    </row>
    <row r="35379">
      <c r="C35379" s="277"/>
      <c r="M35379" s="277"/>
      <c r="O35379" s="247"/>
      <c r="AC35379" s="247"/>
      <c r="AT35379" s="247"/>
    </row>
    <row r="35380">
      <c r="C35380" s="277"/>
      <c r="M35380" s="277"/>
      <c r="O35380" s="247"/>
      <c r="AC35380" s="247"/>
      <c r="AT35380" s="247"/>
    </row>
    <row r="35381">
      <c r="C35381" s="277"/>
      <c r="M35381" s="277"/>
      <c r="O35381" s="247"/>
      <c r="AC35381" s="247"/>
      <c r="AT35381" s="247"/>
    </row>
    <row r="35382">
      <c r="C35382" s="277"/>
      <c r="M35382" s="277"/>
      <c r="O35382" s="247"/>
      <c r="AC35382" s="247"/>
      <c r="AT35382" s="247"/>
    </row>
    <row r="35383">
      <c r="C35383" s="277"/>
      <c r="M35383" s="277"/>
      <c r="O35383" s="247"/>
      <c r="AC35383" s="247"/>
      <c r="AT35383" s="247"/>
    </row>
    <row r="35384">
      <c r="C35384" s="277"/>
      <c r="M35384" s="277"/>
      <c r="O35384" s="247"/>
      <c r="AC35384" s="247"/>
      <c r="AT35384" s="247"/>
    </row>
    <row r="35385">
      <c r="C35385" s="277"/>
      <c r="M35385" s="277"/>
      <c r="O35385" s="247"/>
      <c r="AC35385" s="247"/>
      <c r="AT35385" s="247"/>
    </row>
    <row r="35386">
      <c r="C35386" s="277"/>
      <c r="M35386" s="277"/>
      <c r="O35386" s="247"/>
      <c r="AC35386" s="247"/>
      <c r="AT35386" s="247"/>
    </row>
    <row r="35387">
      <c r="C35387" s="277"/>
      <c r="M35387" s="277"/>
      <c r="O35387" s="247"/>
      <c r="AC35387" s="247"/>
      <c r="AT35387" s="247"/>
    </row>
    <row r="35388">
      <c r="C35388" s="277"/>
      <c r="M35388" s="277"/>
      <c r="O35388" s="247"/>
      <c r="AC35388" s="247"/>
      <c r="AT35388" s="247"/>
    </row>
    <row r="35389">
      <c r="C35389" s="277"/>
      <c r="M35389" s="277"/>
      <c r="O35389" s="247"/>
      <c r="AC35389" s="247"/>
      <c r="AT35389" s="247"/>
    </row>
    <row r="35390">
      <c r="C35390" s="277"/>
      <c r="M35390" s="277"/>
      <c r="O35390" s="247"/>
      <c r="AC35390" s="247"/>
      <c r="AT35390" s="247"/>
    </row>
    <row r="35391">
      <c r="C35391" s="277"/>
      <c r="M35391" s="277"/>
      <c r="O35391" s="247"/>
      <c r="AC35391" s="247"/>
      <c r="AT35391" s="247"/>
    </row>
    <row r="35392">
      <c r="C35392" s="277"/>
      <c r="M35392" s="277"/>
      <c r="O35392" s="247"/>
      <c r="AC35392" s="247"/>
      <c r="AT35392" s="247"/>
    </row>
    <row r="35393">
      <c r="C35393" s="277"/>
      <c r="M35393" s="277"/>
      <c r="O35393" s="247"/>
      <c r="AC35393" s="247"/>
      <c r="AT35393" s="247"/>
    </row>
    <row r="35394">
      <c r="C35394" s="277"/>
      <c r="M35394" s="277"/>
      <c r="O35394" s="247"/>
      <c r="AC35394" s="247"/>
      <c r="AT35394" s="247"/>
    </row>
    <row r="35395">
      <c r="C35395" s="277"/>
      <c r="M35395" s="277"/>
      <c r="O35395" s="247"/>
      <c r="AC35395" s="247"/>
      <c r="AT35395" s="247"/>
    </row>
    <row r="35396">
      <c r="C35396" s="277"/>
      <c r="M35396" s="277"/>
      <c r="O35396" s="247"/>
      <c r="AC35396" s="247"/>
      <c r="AT35396" s="247"/>
    </row>
    <row r="35397">
      <c r="C35397" s="277"/>
      <c r="M35397" s="277"/>
      <c r="O35397" s="247"/>
      <c r="AC35397" s="247"/>
      <c r="AT35397" s="247"/>
    </row>
    <row r="35398">
      <c r="C35398" s="277"/>
      <c r="M35398" s="277"/>
      <c r="O35398" s="247"/>
      <c r="AC35398" s="247"/>
      <c r="AT35398" s="247"/>
    </row>
    <row r="35399">
      <c r="C35399" s="277"/>
      <c r="M35399" s="277"/>
      <c r="O35399" s="247"/>
      <c r="AC35399" s="247"/>
      <c r="AT35399" s="247"/>
    </row>
    <row r="35400">
      <c r="C35400" s="277"/>
      <c r="M35400" s="277"/>
      <c r="O35400" s="247"/>
      <c r="AC35400" s="247"/>
      <c r="AT35400" s="247"/>
    </row>
    <row r="35401">
      <c r="C35401" s="277"/>
      <c r="M35401" s="277"/>
      <c r="O35401" s="247"/>
      <c r="AC35401" s="247"/>
      <c r="AT35401" s="247"/>
    </row>
    <row r="35402">
      <c r="C35402" s="277"/>
      <c r="M35402" s="277"/>
      <c r="O35402" s="247"/>
      <c r="AC35402" s="247"/>
      <c r="AT35402" s="247"/>
    </row>
    <row r="35403">
      <c r="C35403" s="277"/>
      <c r="M35403" s="277"/>
      <c r="O35403" s="247"/>
      <c r="AC35403" s="247"/>
      <c r="AT35403" s="247"/>
    </row>
    <row r="35404">
      <c r="C35404" s="277"/>
      <c r="M35404" s="277"/>
      <c r="O35404" s="247"/>
      <c r="AC35404" s="247"/>
      <c r="AT35404" s="247"/>
    </row>
    <row r="35405">
      <c r="C35405" s="277"/>
      <c r="M35405" s="277"/>
      <c r="O35405" s="247"/>
      <c r="AC35405" s="247"/>
      <c r="AT35405" s="247"/>
    </row>
    <row r="35406">
      <c r="C35406" s="277"/>
      <c r="M35406" s="277"/>
      <c r="O35406" s="247"/>
      <c r="AC35406" s="247"/>
      <c r="AT35406" s="247"/>
    </row>
    <row r="35407">
      <c r="C35407" s="277"/>
      <c r="M35407" s="277"/>
      <c r="O35407" s="247"/>
      <c r="AC35407" s="247"/>
      <c r="AT35407" s="247"/>
    </row>
    <row r="35408">
      <c r="C35408" s="277"/>
      <c r="M35408" s="277"/>
      <c r="O35408" s="247"/>
      <c r="AC35408" s="247"/>
      <c r="AT35408" s="247"/>
    </row>
    <row r="35409">
      <c r="C35409" s="277"/>
      <c r="M35409" s="277"/>
      <c r="O35409" s="247"/>
      <c r="AC35409" s="247"/>
      <c r="AT35409" s="247"/>
    </row>
    <row r="35410">
      <c r="C35410" s="277"/>
      <c r="M35410" s="277"/>
      <c r="O35410" s="247"/>
      <c r="AC35410" s="247"/>
      <c r="AT35410" s="247"/>
    </row>
    <row r="35411">
      <c r="C35411" s="277"/>
      <c r="M35411" s="277"/>
      <c r="O35411" s="247"/>
      <c r="AC35411" s="247"/>
      <c r="AT35411" s="247"/>
    </row>
    <row r="35412">
      <c r="C35412" s="277"/>
      <c r="M35412" s="277"/>
      <c r="O35412" s="247"/>
      <c r="AC35412" s="247"/>
      <c r="AT35412" s="247"/>
    </row>
    <row r="35413">
      <c r="C35413" s="277"/>
      <c r="M35413" s="277"/>
      <c r="O35413" s="247"/>
      <c r="AC35413" s="247"/>
      <c r="AT35413" s="247"/>
    </row>
    <row r="35414">
      <c r="C35414" s="277"/>
      <c r="M35414" s="277"/>
      <c r="O35414" s="247"/>
      <c r="AC35414" s="247"/>
      <c r="AT35414" s="247"/>
    </row>
    <row r="35415">
      <c r="C35415" s="277"/>
      <c r="M35415" s="277"/>
      <c r="O35415" s="247"/>
      <c r="AC35415" s="247"/>
      <c r="AT35415" s="247"/>
    </row>
    <row r="35416">
      <c r="C35416" s="277"/>
      <c r="M35416" s="277"/>
      <c r="O35416" s="247"/>
      <c r="AC35416" s="247"/>
      <c r="AT35416" s="247"/>
    </row>
    <row r="35417">
      <c r="C35417" s="277"/>
      <c r="M35417" s="277"/>
      <c r="O35417" s="247"/>
      <c r="AC35417" s="247"/>
      <c r="AT35417" s="247"/>
    </row>
    <row r="35418">
      <c r="C35418" s="277"/>
      <c r="M35418" s="277"/>
      <c r="O35418" s="247"/>
      <c r="AC35418" s="247"/>
      <c r="AT35418" s="247"/>
    </row>
    <row r="35419">
      <c r="C35419" s="277"/>
      <c r="M35419" s="277"/>
      <c r="O35419" s="247"/>
      <c r="AC35419" s="247"/>
      <c r="AT35419" s="247"/>
    </row>
    <row r="35420">
      <c r="C35420" s="277"/>
      <c r="M35420" s="277"/>
      <c r="O35420" s="247"/>
      <c r="AC35420" s="247"/>
      <c r="AT35420" s="247"/>
    </row>
    <row r="35421">
      <c r="C35421" s="277"/>
      <c r="M35421" s="277"/>
      <c r="O35421" s="247"/>
      <c r="AC35421" s="247"/>
      <c r="AT35421" s="247"/>
    </row>
    <row r="35422">
      <c r="C35422" s="277"/>
      <c r="M35422" s="277"/>
      <c r="O35422" s="247"/>
      <c r="AC35422" s="247"/>
      <c r="AT35422" s="247"/>
    </row>
    <row r="35423">
      <c r="C35423" s="277"/>
      <c r="M35423" s="277"/>
      <c r="O35423" s="247"/>
      <c r="AC35423" s="247"/>
      <c r="AT35423" s="247"/>
    </row>
    <row r="35424">
      <c r="C35424" s="277"/>
      <c r="M35424" s="277"/>
      <c r="O35424" s="247"/>
      <c r="AC35424" s="247"/>
      <c r="AT35424" s="247"/>
    </row>
    <row r="35425">
      <c r="C35425" s="277"/>
      <c r="M35425" s="277"/>
      <c r="O35425" s="247"/>
      <c r="AC35425" s="247"/>
      <c r="AT35425" s="247"/>
    </row>
    <row r="35426">
      <c r="C35426" s="277"/>
      <c r="M35426" s="277"/>
      <c r="O35426" s="247"/>
      <c r="AC35426" s="247"/>
      <c r="AT35426" s="247"/>
    </row>
    <row r="35427">
      <c r="C35427" s="277"/>
      <c r="M35427" s="277"/>
      <c r="O35427" s="247"/>
      <c r="AC35427" s="247"/>
      <c r="AT35427" s="247"/>
    </row>
    <row r="35428">
      <c r="C35428" s="277"/>
      <c r="M35428" s="277"/>
      <c r="O35428" s="247"/>
      <c r="AC35428" s="247"/>
      <c r="AT35428" s="247"/>
    </row>
    <row r="35429">
      <c r="C35429" s="277"/>
      <c r="M35429" s="277"/>
      <c r="O35429" s="247"/>
      <c r="AC35429" s="247"/>
      <c r="AT35429" s="247"/>
    </row>
    <row r="35430">
      <c r="C35430" s="277"/>
      <c r="M35430" s="277"/>
      <c r="O35430" s="247"/>
      <c r="AC35430" s="247"/>
      <c r="AT35430" s="247"/>
    </row>
    <row r="35431">
      <c r="C35431" s="277"/>
      <c r="M35431" s="277"/>
      <c r="O35431" s="247"/>
      <c r="AC35431" s="247"/>
      <c r="AT35431" s="247"/>
    </row>
    <row r="35432">
      <c r="C35432" s="277"/>
      <c r="M35432" s="277"/>
      <c r="O35432" s="247"/>
      <c r="AC35432" s="247"/>
      <c r="AT35432" s="247"/>
    </row>
    <row r="35433">
      <c r="C35433" s="277"/>
      <c r="M35433" s="277"/>
      <c r="O35433" s="247"/>
      <c r="AC35433" s="247"/>
      <c r="AT35433" s="247"/>
    </row>
    <row r="35434">
      <c r="C35434" s="277"/>
      <c r="M35434" s="277"/>
      <c r="O35434" s="247"/>
      <c r="AC35434" s="247"/>
      <c r="AT35434" s="247"/>
    </row>
    <row r="35435">
      <c r="C35435" s="277"/>
      <c r="M35435" s="277"/>
      <c r="O35435" s="247"/>
      <c r="AC35435" s="247"/>
      <c r="AT35435" s="247"/>
    </row>
    <row r="35436">
      <c r="C35436" s="277"/>
      <c r="M35436" s="277"/>
      <c r="O35436" s="247"/>
      <c r="AC35436" s="247"/>
      <c r="AT35436" s="247"/>
    </row>
    <row r="35437">
      <c r="C35437" s="277"/>
      <c r="M35437" s="277"/>
      <c r="O35437" s="247"/>
      <c r="AC35437" s="247"/>
      <c r="AT35437" s="247"/>
    </row>
    <row r="35438">
      <c r="C35438" s="277"/>
      <c r="M35438" s="277"/>
      <c r="O35438" s="247"/>
      <c r="AC35438" s="247"/>
      <c r="AT35438" s="247"/>
    </row>
    <row r="35439">
      <c r="C35439" s="277"/>
      <c r="M35439" s="277"/>
      <c r="O35439" s="247"/>
      <c r="AC35439" s="247"/>
      <c r="AT35439" s="247"/>
    </row>
    <row r="35440">
      <c r="C35440" s="277"/>
      <c r="M35440" s="277"/>
      <c r="O35440" s="247"/>
      <c r="AC35440" s="247"/>
      <c r="AT35440" s="247"/>
    </row>
    <row r="35441">
      <c r="C35441" s="277"/>
      <c r="M35441" s="277"/>
      <c r="O35441" s="247"/>
      <c r="AC35441" s="247"/>
      <c r="AT35441" s="247"/>
    </row>
    <row r="35442">
      <c r="C35442" s="277"/>
      <c r="M35442" s="277"/>
      <c r="O35442" s="247"/>
      <c r="AC35442" s="247"/>
      <c r="AT35442" s="247"/>
    </row>
    <row r="35443">
      <c r="C35443" s="277"/>
      <c r="M35443" s="277"/>
      <c r="O35443" s="247"/>
      <c r="AC35443" s="247"/>
      <c r="AT35443" s="247"/>
    </row>
    <row r="35444">
      <c r="C35444" s="277"/>
      <c r="M35444" s="277"/>
      <c r="O35444" s="247"/>
      <c r="AC35444" s="247"/>
      <c r="AT35444" s="247"/>
    </row>
    <row r="35445">
      <c r="C35445" s="277"/>
      <c r="M35445" s="277"/>
      <c r="O35445" s="247"/>
      <c r="AC35445" s="247"/>
      <c r="AT35445" s="247"/>
    </row>
    <row r="35446">
      <c r="C35446" s="277"/>
      <c r="M35446" s="277"/>
      <c r="O35446" s="247"/>
      <c r="AC35446" s="247"/>
      <c r="AT35446" s="247"/>
    </row>
    <row r="35447">
      <c r="C35447" s="277"/>
      <c r="M35447" s="277"/>
      <c r="O35447" s="247"/>
      <c r="AC35447" s="247"/>
      <c r="AT35447" s="247"/>
    </row>
    <row r="35448">
      <c r="C35448" s="277"/>
      <c r="M35448" s="277"/>
      <c r="O35448" s="247"/>
      <c r="AC35448" s="247"/>
      <c r="AT35448" s="247"/>
    </row>
    <row r="35449">
      <c r="C35449" s="277"/>
      <c r="M35449" s="277"/>
      <c r="O35449" s="247"/>
      <c r="AC35449" s="247"/>
      <c r="AT35449" s="247"/>
    </row>
    <row r="35450">
      <c r="C35450" s="277"/>
      <c r="M35450" s="277"/>
      <c r="O35450" s="247"/>
      <c r="AC35450" s="247"/>
      <c r="AT35450" s="247"/>
    </row>
    <row r="35451">
      <c r="C35451" s="277"/>
      <c r="M35451" s="277"/>
      <c r="O35451" s="247"/>
      <c r="AC35451" s="247"/>
      <c r="AT35451" s="247"/>
    </row>
    <row r="35452">
      <c r="C35452" s="277"/>
      <c r="M35452" s="277"/>
      <c r="O35452" s="247"/>
      <c r="AC35452" s="247"/>
      <c r="AT35452" s="247"/>
    </row>
    <row r="35453">
      <c r="C35453" s="277"/>
      <c r="M35453" s="277"/>
      <c r="O35453" s="247"/>
      <c r="AC35453" s="247"/>
      <c r="AT35453" s="247"/>
    </row>
    <row r="35454">
      <c r="C35454" s="277"/>
      <c r="M35454" s="277"/>
      <c r="O35454" s="247"/>
      <c r="AC35454" s="247"/>
      <c r="AT35454" s="247"/>
    </row>
    <row r="35455">
      <c r="C35455" s="277"/>
      <c r="M35455" s="277"/>
      <c r="O35455" s="247"/>
      <c r="AC35455" s="247"/>
      <c r="AT35455" s="247"/>
    </row>
    <row r="35456">
      <c r="C35456" s="277"/>
      <c r="M35456" s="277"/>
      <c r="O35456" s="247"/>
      <c r="AC35456" s="247"/>
      <c r="AT35456" s="247"/>
    </row>
    <row r="35457">
      <c r="C35457" s="277"/>
      <c r="M35457" s="277"/>
      <c r="O35457" s="247"/>
      <c r="AC35457" s="247"/>
      <c r="AT35457" s="247"/>
    </row>
    <row r="35458">
      <c r="C35458" s="277"/>
      <c r="M35458" s="277"/>
      <c r="O35458" s="247"/>
      <c r="AC35458" s="247"/>
      <c r="AT35458" s="247"/>
    </row>
    <row r="35459">
      <c r="C35459" s="277"/>
      <c r="M35459" s="277"/>
      <c r="O35459" s="247"/>
      <c r="AC35459" s="247"/>
      <c r="AT35459" s="247"/>
    </row>
    <row r="35460">
      <c r="C35460" s="277"/>
      <c r="M35460" s="277"/>
      <c r="O35460" s="247"/>
      <c r="AC35460" s="247"/>
      <c r="AT35460" s="247"/>
    </row>
    <row r="35461">
      <c r="C35461" s="277"/>
      <c r="M35461" s="277"/>
      <c r="O35461" s="247"/>
      <c r="AC35461" s="247"/>
      <c r="AT35461" s="247"/>
    </row>
    <row r="35462">
      <c r="C35462" s="277"/>
      <c r="M35462" s="277"/>
      <c r="O35462" s="247"/>
      <c r="AC35462" s="247"/>
      <c r="AT35462" s="247"/>
    </row>
    <row r="35463">
      <c r="C35463" s="277"/>
      <c r="M35463" s="277"/>
      <c r="O35463" s="247"/>
      <c r="AC35463" s="247"/>
      <c r="AT35463" s="247"/>
    </row>
    <row r="35464">
      <c r="C35464" s="277"/>
      <c r="M35464" s="277"/>
      <c r="O35464" s="247"/>
      <c r="AC35464" s="247"/>
      <c r="AT35464" s="247"/>
    </row>
    <row r="35465">
      <c r="C35465" s="277"/>
      <c r="M35465" s="277"/>
      <c r="O35465" s="247"/>
      <c r="AC35465" s="247"/>
      <c r="AT35465" s="247"/>
    </row>
    <row r="35466">
      <c r="C35466" s="277"/>
      <c r="M35466" s="277"/>
      <c r="O35466" s="247"/>
      <c r="AC35466" s="247"/>
      <c r="AT35466" s="247"/>
    </row>
    <row r="35467">
      <c r="C35467" s="277"/>
      <c r="M35467" s="277"/>
      <c r="O35467" s="247"/>
      <c r="AC35467" s="247"/>
      <c r="AT35467" s="247"/>
    </row>
    <row r="35468">
      <c r="C35468" s="277"/>
      <c r="M35468" s="277"/>
      <c r="O35468" s="247"/>
      <c r="AC35468" s="247"/>
      <c r="AT35468" s="247"/>
    </row>
    <row r="35469">
      <c r="C35469" s="277"/>
      <c r="M35469" s="277"/>
      <c r="O35469" s="247"/>
      <c r="AC35469" s="247"/>
      <c r="AT35469" s="247"/>
    </row>
    <row r="35470">
      <c r="C35470" s="277"/>
      <c r="M35470" s="277"/>
      <c r="O35470" s="247"/>
      <c r="AC35470" s="247"/>
      <c r="AT35470" s="247"/>
    </row>
    <row r="35471">
      <c r="C35471" s="277"/>
      <c r="M35471" s="277"/>
      <c r="O35471" s="247"/>
      <c r="AC35471" s="247"/>
      <c r="AT35471" s="247"/>
    </row>
    <row r="35472">
      <c r="C35472" s="277"/>
      <c r="M35472" s="277"/>
      <c r="O35472" s="247"/>
      <c r="AC35472" s="247"/>
      <c r="AT35472" s="247"/>
    </row>
    <row r="35473">
      <c r="C35473" s="277"/>
      <c r="M35473" s="277"/>
      <c r="O35473" s="247"/>
      <c r="AC35473" s="247"/>
      <c r="AT35473" s="247"/>
    </row>
    <row r="35474">
      <c r="C35474" s="277"/>
      <c r="M35474" s="277"/>
      <c r="O35474" s="247"/>
      <c r="AC35474" s="247"/>
      <c r="AT35474" s="247"/>
    </row>
    <row r="35475">
      <c r="C35475" s="277"/>
      <c r="M35475" s="277"/>
      <c r="O35475" s="247"/>
      <c r="AC35475" s="247"/>
      <c r="AT35475" s="247"/>
    </row>
    <row r="35476">
      <c r="C35476" s="277"/>
      <c r="M35476" s="277"/>
      <c r="O35476" s="247"/>
      <c r="AC35476" s="247"/>
      <c r="AT35476" s="247"/>
    </row>
    <row r="35477">
      <c r="C35477" s="277"/>
      <c r="M35477" s="277"/>
      <c r="O35477" s="247"/>
      <c r="AC35477" s="247"/>
      <c r="AT35477" s="247"/>
    </row>
    <row r="35478">
      <c r="C35478" s="277"/>
      <c r="M35478" s="277"/>
      <c r="O35478" s="247"/>
      <c r="AC35478" s="247"/>
      <c r="AT35478" s="247"/>
    </row>
    <row r="35479">
      <c r="C35479" s="277"/>
      <c r="M35479" s="277"/>
      <c r="O35479" s="247"/>
      <c r="AC35479" s="247"/>
      <c r="AT35479" s="247"/>
    </row>
    <row r="35480">
      <c r="C35480" s="277"/>
      <c r="M35480" s="277"/>
      <c r="O35480" s="247"/>
      <c r="AC35480" s="247"/>
      <c r="AT35480" s="247"/>
    </row>
    <row r="35481">
      <c r="C35481" s="277"/>
      <c r="M35481" s="277"/>
      <c r="O35481" s="247"/>
      <c r="AC35481" s="247"/>
      <c r="AT35481" s="247"/>
    </row>
    <row r="35482">
      <c r="C35482" s="277"/>
      <c r="M35482" s="277"/>
      <c r="O35482" s="247"/>
      <c r="AC35482" s="247"/>
      <c r="AT35482" s="247"/>
    </row>
    <row r="35483">
      <c r="C35483" s="277"/>
      <c r="M35483" s="277"/>
      <c r="O35483" s="247"/>
      <c r="AC35483" s="247"/>
      <c r="AT35483" s="247"/>
    </row>
    <row r="35484">
      <c r="C35484" s="277"/>
      <c r="M35484" s="277"/>
      <c r="O35484" s="247"/>
      <c r="AC35484" s="247"/>
      <c r="AT35484" s="247"/>
    </row>
    <row r="35485">
      <c r="C35485" s="277"/>
      <c r="M35485" s="277"/>
      <c r="O35485" s="247"/>
      <c r="AC35485" s="247"/>
      <c r="AT35485" s="247"/>
    </row>
    <row r="35486">
      <c r="C35486" s="277"/>
      <c r="M35486" s="277"/>
      <c r="O35486" s="247"/>
      <c r="AC35486" s="247"/>
      <c r="AT35486" s="247"/>
    </row>
    <row r="35487">
      <c r="C35487" s="277"/>
      <c r="M35487" s="277"/>
      <c r="O35487" s="247"/>
      <c r="AC35487" s="247"/>
      <c r="AT35487" s="247"/>
    </row>
    <row r="35488">
      <c r="C35488" s="277"/>
      <c r="M35488" s="277"/>
      <c r="O35488" s="247"/>
      <c r="AC35488" s="247"/>
      <c r="AT35488" s="247"/>
    </row>
    <row r="35489">
      <c r="C35489" s="277"/>
      <c r="M35489" s="277"/>
      <c r="O35489" s="247"/>
      <c r="AC35489" s="247"/>
      <c r="AT35489" s="247"/>
    </row>
    <row r="35490">
      <c r="C35490" s="277"/>
      <c r="M35490" s="277"/>
      <c r="O35490" s="247"/>
      <c r="AC35490" s="247"/>
      <c r="AT35490" s="247"/>
    </row>
    <row r="35491">
      <c r="C35491" s="277"/>
      <c r="M35491" s="277"/>
      <c r="O35491" s="247"/>
      <c r="AC35491" s="247"/>
      <c r="AT35491" s="247"/>
    </row>
    <row r="35492">
      <c r="C35492" s="277"/>
      <c r="M35492" s="277"/>
      <c r="O35492" s="247"/>
      <c r="AC35492" s="247"/>
      <c r="AT35492" s="247"/>
    </row>
    <row r="35493">
      <c r="C35493" s="277"/>
      <c r="M35493" s="277"/>
      <c r="O35493" s="247"/>
      <c r="AC35493" s="247"/>
      <c r="AT35493" s="247"/>
    </row>
    <row r="35494">
      <c r="C35494" s="277"/>
      <c r="M35494" s="277"/>
      <c r="O35494" s="247"/>
      <c r="AC35494" s="247"/>
      <c r="AT35494" s="247"/>
    </row>
    <row r="35495">
      <c r="C35495" s="277"/>
      <c r="M35495" s="277"/>
      <c r="O35495" s="247"/>
      <c r="AC35495" s="247"/>
      <c r="AT35495" s="247"/>
    </row>
    <row r="35496">
      <c r="C35496" s="277"/>
      <c r="M35496" s="277"/>
      <c r="O35496" s="247"/>
      <c r="AC35496" s="247"/>
      <c r="AT35496" s="247"/>
    </row>
    <row r="35497">
      <c r="C35497" s="277"/>
      <c r="M35497" s="277"/>
      <c r="O35497" s="247"/>
      <c r="AC35497" s="247"/>
      <c r="AT35497" s="247"/>
    </row>
    <row r="35498">
      <c r="C35498" s="277"/>
      <c r="M35498" s="277"/>
      <c r="O35498" s="247"/>
      <c r="AC35498" s="247"/>
      <c r="AT35498" s="247"/>
    </row>
    <row r="35499">
      <c r="C35499" s="277"/>
      <c r="M35499" s="277"/>
      <c r="O35499" s="247"/>
      <c r="AC35499" s="247"/>
      <c r="AT35499" s="247"/>
    </row>
    <row r="35500">
      <c r="C35500" s="277"/>
      <c r="M35500" s="277"/>
      <c r="O35500" s="247"/>
      <c r="AC35500" s="247"/>
      <c r="AT35500" s="247"/>
    </row>
    <row r="35501">
      <c r="C35501" s="277"/>
      <c r="M35501" s="277"/>
      <c r="O35501" s="247"/>
      <c r="AC35501" s="247"/>
      <c r="AT35501" s="247"/>
    </row>
    <row r="35502">
      <c r="C35502" s="277"/>
      <c r="M35502" s="277"/>
      <c r="O35502" s="247"/>
      <c r="AC35502" s="247"/>
      <c r="AT35502" s="247"/>
    </row>
    <row r="35503">
      <c r="C35503" s="277"/>
      <c r="M35503" s="277"/>
      <c r="O35503" s="247"/>
      <c r="AC35503" s="247"/>
      <c r="AT35503" s="247"/>
    </row>
    <row r="35504">
      <c r="C35504" s="277"/>
      <c r="M35504" s="277"/>
      <c r="O35504" s="247"/>
      <c r="AC35504" s="247"/>
      <c r="AT35504" s="247"/>
    </row>
    <row r="35505">
      <c r="C35505" s="277"/>
      <c r="M35505" s="277"/>
      <c r="O35505" s="247"/>
      <c r="AC35505" s="247"/>
      <c r="AT35505" s="247"/>
    </row>
    <row r="35506">
      <c r="C35506" s="277"/>
      <c r="M35506" s="277"/>
      <c r="O35506" s="247"/>
      <c r="AC35506" s="247"/>
      <c r="AT35506" s="247"/>
    </row>
    <row r="35507">
      <c r="C35507" s="277"/>
      <c r="M35507" s="277"/>
      <c r="O35507" s="247"/>
      <c r="AC35507" s="247"/>
      <c r="AT35507" s="247"/>
    </row>
    <row r="35508">
      <c r="C35508" s="277"/>
      <c r="M35508" s="277"/>
      <c r="O35508" s="247"/>
      <c r="AC35508" s="247"/>
      <c r="AT35508" s="247"/>
    </row>
    <row r="35509">
      <c r="C35509" s="277"/>
      <c r="M35509" s="277"/>
      <c r="O35509" s="247"/>
      <c r="AC35509" s="247"/>
      <c r="AT35509" s="247"/>
    </row>
    <row r="35510">
      <c r="C35510" s="277"/>
      <c r="M35510" s="277"/>
      <c r="O35510" s="247"/>
      <c r="AC35510" s="247"/>
      <c r="AT35510" s="247"/>
    </row>
    <row r="35511">
      <c r="C35511" s="277"/>
      <c r="M35511" s="277"/>
      <c r="O35511" s="247"/>
      <c r="AC35511" s="247"/>
      <c r="AT35511" s="247"/>
    </row>
    <row r="35512">
      <c r="C35512" s="277"/>
      <c r="M35512" s="277"/>
      <c r="O35512" s="247"/>
      <c r="AC35512" s="247"/>
      <c r="AT35512" s="247"/>
    </row>
    <row r="35513">
      <c r="C35513" s="277"/>
      <c r="M35513" s="277"/>
      <c r="O35513" s="247"/>
      <c r="AC35513" s="247"/>
      <c r="AT35513" s="247"/>
    </row>
    <row r="35514">
      <c r="C35514" s="277"/>
      <c r="M35514" s="277"/>
      <c r="O35514" s="247"/>
      <c r="AC35514" s="247"/>
      <c r="AT35514" s="247"/>
    </row>
    <row r="35515">
      <c r="C35515" s="277"/>
      <c r="M35515" s="277"/>
      <c r="O35515" s="247"/>
      <c r="AC35515" s="247"/>
      <c r="AT35515" s="247"/>
    </row>
    <row r="35516">
      <c r="C35516" s="277"/>
      <c r="M35516" s="277"/>
      <c r="O35516" s="247"/>
      <c r="AC35516" s="247"/>
      <c r="AT35516" s="247"/>
    </row>
    <row r="35517">
      <c r="C35517" s="277"/>
      <c r="M35517" s="277"/>
      <c r="O35517" s="247"/>
      <c r="AC35517" s="247"/>
      <c r="AT35517" s="247"/>
    </row>
    <row r="35518">
      <c r="C35518" s="277"/>
      <c r="M35518" s="277"/>
      <c r="O35518" s="247"/>
      <c r="AC35518" s="247"/>
      <c r="AT35518" s="247"/>
    </row>
    <row r="35519">
      <c r="C35519" s="277"/>
      <c r="M35519" s="277"/>
      <c r="O35519" s="247"/>
      <c r="AC35519" s="247"/>
      <c r="AT35519" s="247"/>
    </row>
    <row r="35520">
      <c r="C35520" s="277"/>
      <c r="M35520" s="277"/>
      <c r="O35520" s="247"/>
      <c r="AC35520" s="247"/>
      <c r="AT35520" s="247"/>
    </row>
    <row r="35521">
      <c r="C35521" s="277"/>
      <c r="M35521" s="277"/>
      <c r="O35521" s="247"/>
      <c r="AC35521" s="247"/>
      <c r="AT35521" s="247"/>
    </row>
    <row r="35522">
      <c r="C35522" s="277"/>
      <c r="M35522" s="277"/>
      <c r="O35522" s="247"/>
      <c r="AC35522" s="247"/>
      <c r="AT35522" s="247"/>
    </row>
    <row r="35523">
      <c r="C35523" s="277"/>
      <c r="M35523" s="277"/>
      <c r="O35523" s="247"/>
      <c r="AC35523" s="247"/>
      <c r="AT35523" s="247"/>
    </row>
    <row r="35524">
      <c r="C35524" s="277"/>
      <c r="M35524" s="277"/>
      <c r="O35524" s="247"/>
      <c r="AC35524" s="247"/>
      <c r="AT35524" s="247"/>
    </row>
    <row r="35525">
      <c r="C35525" s="277"/>
      <c r="M35525" s="277"/>
      <c r="O35525" s="247"/>
      <c r="AC35525" s="247"/>
      <c r="AT35525" s="247"/>
    </row>
    <row r="35526">
      <c r="C35526" s="277"/>
      <c r="M35526" s="277"/>
      <c r="O35526" s="247"/>
      <c r="AC35526" s="247"/>
      <c r="AT35526" s="247"/>
    </row>
    <row r="35527">
      <c r="C35527" s="277"/>
      <c r="M35527" s="277"/>
      <c r="O35527" s="247"/>
      <c r="AC35527" s="247"/>
      <c r="AT35527" s="247"/>
    </row>
    <row r="35528">
      <c r="C35528" s="277"/>
      <c r="M35528" s="277"/>
      <c r="O35528" s="247"/>
      <c r="AC35528" s="247"/>
      <c r="AT35528" s="247"/>
    </row>
    <row r="35529">
      <c r="C35529" s="277"/>
      <c r="M35529" s="277"/>
      <c r="O35529" s="247"/>
      <c r="AC35529" s="247"/>
      <c r="AT35529" s="247"/>
    </row>
    <row r="35530">
      <c r="C35530" s="277"/>
      <c r="M35530" s="277"/>
      <c r="O35530" s="247"/>
      <c r="AC35530" s="247"/>
      <c r="AT35530" s="247"/>
    </row>
    <row r="35531">
      <c r="C35531" s="277"/>
      <c r="M35531" s="277"/>
      <c r="O35531" s="247"/>
      <c r="AC35531" s="247"/>
      <c r="AT35531" s="247"/>
    </row>
    <row r="35532">
      <c r="C35532" s="277"/>
      <c r="M35532" s="277"/>
      <c r="O35532" s="247"/>
      <c r="AC35532" s="247"/>
      <c r="AT35532" s="247"/>
    </row>
    <row r="35533">
      <c r="C35533" s="277"/>
      <c r="M35533" s="277"/>
      <c r="O35533" s="247"/>
      <c r="AC35533" s="247"/>
      <c r="AT35533" s="247"/>
    </row>
    <row r="35534">
      <c r="C35534" s="277"/>
      <c r="M35534" s="277"/>
      <c r="O35534" s="247"/>
      <c r="AC35534" s="247"/>
      <c r="AT35534" s="247"/>
    </row>
    <row r="35535">
      <c r="C35535" s="277"/>
      <c r="M35535" s="277"/>
      <c r="O35535" s="247"/>
      <c r="AC35535" s="247"/>
      <c r="AT35535" s="247"/>
    </row>
    <row r="35536">
      <c r="C35536" s="277"/>
      <c r="M35536" s="277"/>
      <c r="O35536" s="247"/>
      <c r="AC35536" s="247"/>
      <c r="AT35536" s="247"/>
    </row>
    <row r="35537">
      <c r="C35537" s="277"/>
      <c r="M35537" s="277"/>
      <c r="O35537" s="247"/>
      <c r="AC35537" s="247"/>
      <c r="AT35537" s="247"/>
    </row>
    <row r="35538">
      <c r="C35538" s="277"/>
      <c r="M35538" s="277"/>
      <c r="O35538" s="247"/>
      <c r="AC35538" s="247"/>
      <c r="AT35538" s="247"/>
    </row>
    <row r="35539">
      <c r="C35539" s="277"/>
      <c r="M35539" s="277"/>
      <c r="O35539" s="247"/>
      <c r="AC35539" s="247"/>
      <c r="AT35539" s="247"/>
    </row>
    <row r="35540">
      <c r="C35540" s="277"/>
      <c r="M35540" s="277"/>
      <c r="O35540" s="247"/>
      <c r="AC35540" s="247"/>
      <c r="AT35540" s="247"/>
    </row>
    <row r="35541">
      <c r="C35541" s="277"/>
      <c r="M35541" s="277"/>
      <c r="O35541" s="247"/>
      <c r="AC35541" s="247"/>
      <c r="AT35541" s="247"/>
    </row>
    <row r="35542">
      <c r="C35542" s="277"/>
      <c r="M35542" s="277"/>
      <c r="O35542" s="247"/>
      <c r="AC35542" s="247"/>
      <c r="AT35542" s="247"/>
    </row>
    <row r="35543">
      <c r="C35543" s="277"/>
      <c r="M35543" s="277"/>
      <c r="O35543" s="247"/>
      <c r="AC35543" s="247"/>
      <c r="AT35543" s="247"/>
    </row>
    <row r="35544">
      <c r="C35544" s="277"/>
      <c r="M35544" s="277"/>
      <c r="O35544" s="247"/>
      <c r="AC35544" s="247"/>
      <c r="AT35544" s="247"/>
    </row>
    <row r="35545">
      <c r="C35545" s="277"/>
      <c r="M35545" s="277"/>
      <c r="O35545" s="247"/>
      <c r="AC35545" s="247"/>
      <c r="AT35545" s="247"/>
    </row>
    <row r="35546">
      <c r="C35546" s="277"/>
      <c r="M35546" s="277"/>
      <c r="O35546" s="247"/>
      <c r="AC35546" s="247"/>
      <c r="AT35546" s="247"/>
    </row>
    <row r="35547">
      <c r="C35547" s="277"/>
      <c r="M35547" s="277"/>
      <c r="O35547" s="247"/>
      <c r="AC35547" s="247"/>
      <c r="AT35547" s="247"/>
    </row>
    <row r="35548">
      <c r="C35548" s="277"/>
      <c r="M35548" s="277"/>
      <c r="O35548" s="247"/>
      <c r="AC35548" s="247"/>
      <c r="AT35548" s="247"/>
    </row>
    <row r="35549">
      <c r="C35549" s="277"/>
      <c r="M35549" s="277"/>
      <c r="O35549" s="247"/>
      <c r="AC35549" s="247"/>
      <c r="AT35549" s="247"/>
    </row>
    <row r="35550">
      <c r="C35550" s="277"/>
      <c r="M35550" s="277"/>
      <c r="O35550" s="247"/>
      <c r="AC35550" s="247"/>
      <c r="AT35550" s="247"/>
    </row>
    <row r="35551">
      <c r="C35551" s="277"/>
      <c r="M35551" s="277"/>
      <c r="O35551" s="247"/>
      <c r="AC35551" s="247"/>
      <c r="AT35551" s="247"/>
    </row>
    <row r="35552">
      <c r="C35552" s="277"/>
      <c r="M35552" s="277"/>
      <c r="O35552" s="247"/>
      <c r="AC35552" s="247"/>
      <c r="AT35552" s="247"/>
    </row>
    <row r="35553">
      <c r="C35553" s="277"/>
      <c r="M35553" s="277"/>
      <c r="O35553" s="247"/>
      <c r="AC35553" s="247"/>
      <c r="AT35553" s="247"/>
    </row>
    <row r="35554">
      <c r="C35554" s="277"/>
      <c r="M35554" s="277"/>
      <c r="O35554" s="247"/>
      <c r="AC35554" s="247"/>
      <c r="AT35554" s="247"/>
    </row>
    <row r="35555">
      <c r="C35555" s="277"/>
      <c r="M35555" s="277"/>
      <c r="O35555" s="247"/>
      <c r="AC35555" s="247"/>
      <c r="AT35555" s="247"/>
    </row>
    <row r="35556">
      <c r="C35556" s="277"/>
      <c r="M35556" s="277"/>
      <c r="O35556" s="247"/>
      <c r="AC35556" s="247"/>
      <c r="AT35556" s="247"/>
    </row>
    <row r="35557">
      <c r="C35557" s="277"/>
      <c r="M35557" s="277"/>
      <c r="O35557" s="247"/>
      <c r="AC35557" s="247"/>
      <c r="AT35557" s="247"/>
    </row>
    <row r="35558">
      <c r="C35558" s="277"/>
      <c r="M35558" s="277"/>
      <c r="O35558" s="247"/>
      <c r="AC35558" s="247"/>
      <c r="AT35558" s="247"/>
    </row>
    <row r="35559">
      <c r="C35559" s="277"/>
      <c r="M35559" s="277"/>
      <c r="O35559" s="247"/>
      <c r="AC35559" s="247"/>
      <c r="AT35559" s="247"/>
    </row>
    <row r="35560">
      <c r="C35560" s="277"/>
      <c r="M35560" s="277"/>
      <c r="O35560" s="247"/>
      <c r="AC35560" s="247"/>
      <c r="AT35560" s="247"/>
    </row>
    <row r="35561">
      <c r="C35561" s="277"/>
      <c r="M35561" s="277"/>
      <c r="O35561" s="247"/>
      <c r="AC35561" s="247"/>
      <c r="AT35561" s="247"/>
    </row>
    <row r="35562">
      <c r="C35562" s="277"/>
      <c r="M35562" s="277"/>
      <c r="O35562" s="247"/>
      <c r="AC35562" s="247"/>
      <c r="AT35562" s="247"/>
    </row>
    <row r="35563">
      <c r="C35563" s="277"/>
      <c r="M35563" s="277"/>
      <c r="O35563" s="247"/>
      <c r="AC35563" s="247"/>
      <c r="AT35563" s="247"/>
    </row>
    <row r="35564">
      <c r="C35564" s="277"/>
      <c r="M35564" s="277"/>
      <c r="O35564" s="247"/>
      <c r="AC35564" s="247"/>
      <c r="AT35564" s="247"/>
    </row>
    <row r="35565">
      <c r="C35565" s="277"/>
      <c r="M35565" s="277"/>
      <c r="O35565" s="247"/>
      <c r="AC35565" s="247"/>
      <c r="AT35565" s="247"/>
    </row>
    <row r="35566">
      <c r="C35566" s="277"/>
      <c r="M35566" s="277"/>
      <c r="O35566" s="247"/>
      <c r="AC35566" s="247"/>
      <c r="AT35566" s="247"/>
    </row>
    <row r="35567">
      <c r="C35567" s="277"/>
      <c r="M35567" s="277"/>
      <c r="O35567" s="247"/>
      <c r="AC35567" s="247"/>
      <c r="AT35567" s="247"/>
    </row>
    <row r="35568">
      <c r="C35568" s="277"/>
      <c r="M35568" s="277"/>
      <c r="O35568" s="247"/>
      <c r="AC35568" s="247"/>
      <c r="AT35568" s="247"/>
    </row>
    <row r="35569">
      <c r="C35569" s="277"/>
      <c r="M35569" s="277"/>
      <c r="O35569" s="247"/>
      <c r="AC35569" s="247"/>
      <c r="AT35569" s="247"/>
    </row>
    <row r="35570">
      <c r="C35570" s="277"/>
      <c r="M35570" s="277"/>
      <c r="O35570" s="247"/>
      <c r="AC35570" s="247"/>
      <c r="AT35570" s="247"/>
    </row>
    <row r="35571">
      <c r="C35571" s="277"/>
      <c r="M35571" s="277"/>
      <c r="O35571" s="247"/>
      <c r="AC35571" s="247"/>
      <c r="AT35571" s="247"/>
    </row>
    <row r="35572">
      <c r="C35572" s="277"/>
      <c r="M35572" s="277"/>
      <c r="O35572" s="247"/>
      <c r="AC35572" s="247"/>
      <c r="AT35572" s="247"/>
    </row>
    <row r="35573">
      <c r="C35573" s="277"/>
      <c r="M35573" s="277"/>
      <c r="O35573" s="247"/>
      <c r="AC35573" s="247"/>
      <c r="AT35573" s="247"/>
    </row>
    <row r="35574">
      <c r="C35574" s="277"/>
      <c r="M35574" s="277"/>
      <c r="O35574" s="247"/>
      <c r="AC35574" s="247"/>
      <c r="AT35574" s="247"/>
    </row>
    <row r="35575">
      <c r="C35575" s="277"/>
      <c r="M35575" s="277"/>
      <c r="O35575" s="247"/>
      <c r="AC35575" s="247"/>
      <c r="AT35575" s="247"/>
    </row>
    <row r="35576">
      <c r="C35576" s="277"/>
      <c r="M35576" s="277"/>
      <c r="O35576" s="247"/>
      <c r="AC35576" s="247"/>
      <c r="AT35576" s="247"/>
    </row>
    <row r="35577">
      <c r="C35577" s="277"/>
      <c r="M35577" s="277"/>
      <c r="O35577" s="247"/>
      <c r="AC35577" s="247"/>
      <c r="AT35577" s="247"/>
    </row>
    <row r="35578">
      <c r="C35578" s="277"/>
      <c r="M35578" s="277"/>
      <c r="O35578" s="247"/>
      <c r="AC35578" s="247"/>
      <c r="AT35578" s="247"/>
    </row>
    <row r="35579">
      <c r="C35579" s="277"/>
      <c r="M35579" s="277"/>
      <c r="O35579" s="247"/>
      <c r="AC35579" s="247"/>
      <c r="AT35579" s="247"/>
    </row>
    <row r="35580">
      <c r="C35580" s="277"/>
      <c r="M35580" s="277"/>
      <c r="O35580" s="247"/>
      <c r="AC35580" s="247"/>
      <c r="AT35580" s="247"/>
    </row>
    <row r="35581">
      <c r="C35581" s="277"/>
      <c r="M35581" s="277"/>
      <c r="O35581" s="247"/>
      <c r="AC35581" s="247"/>
      <c r="AT35581" s="247"/>
    </row>
    <row r="35582">
      <c r="C35582" s="277"/>
      <c r="M35582" s="277"/>
      <c r="O35582" s="247"/>
      <c r="AC35582" s="247"/>
      <c r="AT35582" s="247"/>
    </row>
    <row r="35583">
      <c r="C35583" s="277"/>
      <c r="M35583" s="277"/>
      <c r="O35583" s="247"/>
      <c r="AC35583" s="247"/>
      <c r="AT35583" s="247"/>
    </row>
    <row r="35584">
      <c r="C35584" s="277"/>
      <c r="M35584" s="277"/>
      <c r="O35584" s="247"/>
      <c r="AC35584" s="247"/>
      <c r="AT35584" s="247"/>
    </row>
    <row r="35585">
      <c r="C35585" s="277"/>
      <c r="M35585" s="277"/>
      <c r="O35585" s="247"/>
      <c r="AC35585" s="247"/>
      <c r="AT35585" s="247"/>
    </row>
    <row r="35586">
      <c r="C35586" s="277"/>
      <c r="M35586" s="277"/>
      <c r="O35586" s="247"/>
      <c r="AC35586" s="247"/>
      <c r="AT35586" s="247"/>
    </row>
    <row r="35587">
      <c r="C35587" s="277"/>
      <c r="M35587" s="277"/>
      <c r="O35587" s="247"/>
      <c r="AC35587" s="247"/>
      <c r="AT35587" s="247"/>
    </row>
    <row r="35588">
      <c r="C35588" s="277"/>
      <c r="M35588" s="277"/>
      <c r="O35588" s="247"/>
      <c r="AC35588" s="247"/>
      <c r="AT35588" s="247"/>
    </row>
    <row r="35589">
      <c r="C35589" s="277"/>
      <c r="M35589" s="277"/>
      <c r="O35589" s="247"/>
      <c r="AC35589" s="247"/>
      <c r="AT35589" s="247"/>
    </row>
    <row r="35590">
      <c r="C35590" s="277"/>
      <c r="M35590" s="277"/>
      <c r="O35590" s="247"/>
      <c r="AC35590" s="247"/>
      <c r="AT35590" s="247"/>
    </row>
    <row r="35591">
      <c r="C35591" s="277"/>
      <c r="M35591" s="277"/>
      <c r="O35591" s="247"/>
      <c r="AC35591" s="247"/>
      <c r="AT35591" s="247"/>
    </row>
    <row r="35592">
      <c r="C35592" s="277"/>
      <c r="M35592" s="277"/>
      <c r="O35592" s="247"/>
      <c r="AC35592" s="247"/>
      <c r="AT35592" s="247"/>
    </row>
    <row r="35593">
      <c r="C35593" s="277"/>
      <c r="M35593" s="277"/>
      <c r="O35593" s="247"/>
      <c r="AC35593" s="247"/>
      <c r="AT35593" s="247"/>
    </row>
    <row r="35594">
      <c r="C35594" s="277"/>
      <c r="M35594" s="277"/>
      <c r="O35594" s="247"/>
      <c r="AC35594" s="247"/>
      <c r="AT35594" s="247"/>
    </row>
    <row r="35595">
      <c r="C35595" s="277"/>
      <c r="M35595" s="277"/>
      <c r="O35595" s="247"/>
      <c r="AC35595" s="247"/>
      <c r="AT35595" s="247"/>
    </row>
    <row r="35596">
      <c r="C35596" s="277"/>
      <c r="M35596" s="277"/>
      <c r="O35596" s="247"/>
      <c r="AC35596" s="247"/>
      <c r="AT35596" s="247"/>
    </row>
    <row r="35597">
      <c r="C35597" s="277"/>
      <c r="M35597" s="277"/>
      <c r="O35597" s="247"/>
      <c r="AC35597" s="247"/>
      <c r="AT35597" s="247"/>
    </row>
    <row r="35598">
      <c r="C35598" s="277"/>
      <c r="M35598" s="277"/>
      <c r="O35598" s="247"/>
      <c r="AC35598" s="247"/>
      <c r="AT35598" s="247"/>
    </row>
    <row r="35599">
      <c r="C35599" s="277"/>
      <c r="M35599" s="277"/>
      <c r="O35599" s="247"/>
      <c r="AC35599" s="247"/>
      <c r="AT35599" s="247"/>
    </row>
    <row r="35600">
      <c r="C35600" s="277"/>
      <c r="M35600" s="277"/>
      <c r="O35600" s="247"/>
      <c r="AC35600" s="247"/>
      <c r="AT35600" s="247"/>
    </row>
    <row r="35601">
      <c r="C35601" s="277"/>
      <c r="M35601" s="277"/>
      <c r="O35601" s="247"/>
      <c r="AC35601" s="247"/>
      <c r="AT35601" s="247"/>
    </row>
    <row r="35602">
      <c r="C35602" s="277"/>
      <c r="M35602" s="277"/>
      <c r="O35602" s="247"/>
      <c r="AC35602" s="247"/>
      <c r="AT35602" s="247"/>
    </row>
    <row r="35603">
      <c r="C35603" s="277"/>
      <c r="M35603" s="277"/>
      <c r="O35603" s="247"/>
      <c r="AC35603" s="247"/>
      <c r="AT35603" s="247"/>
    </row>
    <row r="35604">
      <c r="C35604" s="277"/>
      <c r="M35604" s="277"/>
      <c r="O35604" s="247"/>
      <c r="AC35604" s="247"/>
      <c r="AT35604" s="247"/>
    </row>
    <row r="35605">
      <c r="C35605" s="277"/>
      <c r="M35605" s="277"/>
      <c r="O35605" s="247"/>
      <c r="AC35605" s="247"/>
      <c r="AT35605" s="247"/>
    </row>
    <row r="35606">
      <c r="C35606" s="277"/>
      <c r="M35606" s="277"/>
      <c r="O35606" s="247"/>
      <c r="AC35606" s="247"/>
      <c r="AT35606" s="247"/>
    </row>
    <row r="35607">
      <c r="C35607" s="277"/>
      <c r="M35607" s="277"/>
      <c r="O35607" s="247"/>
      <c r="AC35607" s="247"/>
      <c r="AT35607" s="247"/>
    </row>
    <row r="35608">
      <c r="C35608" s="277"/>
      <c r="M35608" s="277"/>
      <c r="O35608" s="247"/>
      <c r="AC35608" s="247"/>
      <c r="AT35608" s="247"/>
    </row>
    <row r="35609">
      <c r="C35609" s="277"/>
      <c r="M35609" s="277"/>
      <c r="O35609" s="247"/>
      <c r="AC35609" s="247"/>
      <c r="AT35609" s="247"/>
    </row>
    <row r="35610">
      <c r="C35610" s="277"/>
      <c r="M35610" s="277"/>
      <c r="O35610" s="247"/>
      <c r="AC35610" s="247"/>
      <c r="AT35610" s="247"/>
    </row>
    <row r="35611">
      <c r="C35611" s="277"/>
      <c r="M35611" s="277"/>
      <c r="O35611" s="247"/>
      <c r="AC35611" s="247"/>
      <c r="AT35611" s="247"/>
    </row>
    <row r="35612">
      <c r="C35612" s="277"/>
      <c r="M35612" s="277"/>
      <c r="O35612" s="247"/>
      <c r="AC35612" s="247"/>
      <c r="AT35612" s="247"/>
    </row>
    <row r="35613">
      <c r="C35613" s="277"/>
      <c r="M35613" s="277"/>
      <c r="O35613" s="247"/>
      <c r="AC35613" s="247"/>
      <c r="AT35613" s="247"/>
    </row>
    <row r="35614">
      <c r="C35614" s="277"/>
      <c r="M35614" s="277"/>
      <c r="O35614" s="247"/>
      <c r="AC35614" s="247"/>
      <c r="AT35614" s="247"/>
    </row>
    <row r="35615">
      <c r="C35615" s="277"/>
      <c r="M35615" s="277"/>
      <c r="O35615" s="247"/>
      <c r="AC35615" s="247"/>
      <c r="AT35615" s="247"/>
    </row>
    <row r="35616">
      <c r="C35616" s="277"/>
      <c r="M35616" s="277"/>
      <c r="O35616" s="247"/>
      <c r="AC35616" s="247"/>
      <c r="AT35616" s="247"/>
    </row>
    <row r="35617">
      <c r="C35617" s="277"/>
      <c r="M35617" s="277"/>
      <c r="O35617" s="247"/>
      <c r="AC35617" s="247"/>
      <c r="AT35617" s="247"/>
    </row>
    <row r="35618">
      <c r="C35618" s="277"/>
      <c r="M35618" s="277"/>
      <c r="O35618" s="247"/>
      <c r="AC35618" s="247"/>
      <c r="AT35618" s="247"/>
    </row>
    <row r="35619">
      <c r="C35619" s="277"/>
      <c r="M35619" s="277"/>
      <c r="O35619" s="247"/>
      <c r="AC35619" s="247"/>
      <c r="AT35619" s="247"/>
    </row>
    <row r="35620">
      <c r="C35620" s="277"/>
      <c r="M35620" s="277"/>
      <c r="O35620" s="247"/>
      <c r="AC35620" s="247"/>
      <c r="AT35620" s="247"/>
    </row>
    <row r="35621">
      <c r="C35621" s="277"/>
      <c r="M35621" s="277"/>
      <c r="O35621" s="247"/>
      <c r="AC35621" s="247"/>
      <c r="AT35621" s="247"/>
    </row>
    <row r="35622">
      <c r="C35622" s="277"/>
      <c r="M35622" s="277"/>
      <c r="O35622" s="247"/>
      <c r="AC35622" s="247"/>
      <c r="AT35622" s="247"/>
    </row>
    <row r="35623">
      <c r="C35623" s="277"/>
      <c r="M35623" s="277"/>
      <c r="O35623" s="247"/>
      <c r="AC35623" s="247"/>
      <c r="AT35623" s="247"/>
    </row>
    <row r="35624">
      <c r="C35624" s="277"/>
      <c r="M35624" s="277"/>
      <c r="O35624" s="247"/>
      <c r="AC35624" s="247"/>
      <c r="AT35624" s="247"/>
    </row>
    <row r="35625">
      <c r="C35625" s="277"/>
      <c r="M35625" s="277"/>
      <c r="O35625" s="247"/>
      <c r="AC35625" s="247"/>
      <c r="AT35625" s="247"/>
    </row>
    <row r="35626">
      <c r="C35626" s="277"/>
      <c r="M35626" s="277"/>
      <c r="O35626" s="247"/>
      <c r="AC35626" s="247"/>
      <c r="AT35626" s="247"/>
    </row>
    <row r="35627">
      <c r="C35627" s="277"/>
      <c r="M35627" s="277"/>
      <c r="O35627" s="247"/>
      <c r="AC35627" s="247"/>
      <c r="AT35627" s="247"/>
    </row>
    <row r="35628">
      <c r="C35628" s="277"/>
      <c r="M35628" s="277"/>
      <c r="O35628" s="247"/>
      <c r="AC35628" s="247"/>
      <c r="AT35628" s="247"/>
    </row>
    <row r="35629">
      <c r="C35629" s="277"/>
      <c r="M35629" s="277"/>
      <c r="O35629" s="247"/>
      <c r="AC35629" s="247"/>
      <c r="AT35629" s="247"/>
    </row>
    <row r="35630">
      <c r="C35630" s="277"/>
      <c r="M35630" s="277"/>
      <c r="O35630" s="247"/>
      <c r="AC35630" s="247"/>
      <c r="AT35630" s="247"/>
    </row>
    <row r="35631">
      <c r="C35631" s="277"/>
      <c r="M35631" s="277"/>
      <c r="O35631" s="247"/>
      <c r="AC35631" s="247"/>
      <c r="AT35631" s="247"/>
    </row>
    <row r="35632">
      <c r="C35632" s="277"/>
      <c r="M35632" s="277"/>
      <c r="O35632" s="247"/>
      <c r="AC35632" s="247"/>
      <c r="AT35632" s="247"/>
    </row>
    <row r="35633">
      <c r="C35633" s="277"/>
      <c r="M35633" s="277"/>
      <c r="O35633" s="247"/>
      <c r="AC35633" s="247"/>
      <c r="AT35633" s="247"/>
    </row>
    <row r="35634">
      <c r="C35634" s="277"/>
      <c r="M35634" s="277"/>
      <c r="O35634" s="247"/>
      <c r="AC35634" s="247"/>
      <c r="AT35634" s="247"/>
    </row>
    <row r="35635">
      <c r="C35635" s="277"/>
      <c r="M35635" s="277"/>
      <c r="O35635" s="247"/>
      <c r="AC35635" s="247"/>
      <c r="AT35635" s="247"/>
    </row>
    <row r="35636">
      <c r="C35636" s="277"/>
      <c r="M35636" s="277"/>
      <c r="O35636" s="247"/>
      <c r="AC35636" s="247"/>
      <c r="AT35636" s="247"/>
    </row>
    <row r="35637">
      <c r="C35637" s="277"/>
      <c r="M35637" s="277"/>
      <c r="O35637" s="247"/>
      <c r="AC35637" s="247"/>
      <c r="AT35637" s="247"/>
    </row>
    <row r="35638">
      <c r="C35638" s="277"/>
      <c r="M35638" s="277"/>
      <c r="O35638" s="247"/>
      <c r="AC35638" s="247"/>
      <c r="AT35638" s="247"/>
    </row>
    <row r="35639">
      <c r="C35639" s="277"/>
      <c r="M35639" s="277"/>
      <c r="O35639" s="247"/>
      <c r="AC35639" s="247"/>
      <c r="AT35639" s="247"/>
    </row>
    <row r="35640">
      <c r="C35640" s="277"/>
      <c r="M35640" s="277"/>
      <c r="O35640" s="247"/>
      <c r="AC35640" s="247"/>
      <c r="AT35640" s="247"/>
    </row>
    <row r="35641">
      <c r="C35641" s="277"/>
      <c r="M35641" s="277"/>
      <c r="O35641" s="247"/>
      <c r="AC35641" s="247"/>
      <c r="AT35641" s="247"/>
    </row>
    <row r="35642">
      <c r="C35642" s="277"/>
      <c r="M35642" s="277"/>
      <c r="O35642" s="247"/>
      <c r="AC35642" s="247"/>
      <c r="AT35642" s="247"/>
    </row>
    <row r="35643">
      <c r="C35643" s="277"/>
      <c r="M35643" s="277"/>
      <c r="O35643" s="247"/>
      <c r="AC35643" s="247"/>
      <c r="AT35643" s="247"/>
    </row>
    <row r="35644">
      <c r="C35644" s="277"/>
      <c r="M35644" s="277"/>
      <c r="O35644" s="247"/>
      <c r="AC35644" s="247"/>
      <c r="AT35644" s="247"/>
    </row>
    <row r="35645">
      <c r="C35645" s="277"/>
      <c r="M35645" s="277"/>
      <c r="O35645" s="247"/>
      <c r="AC35645" s="247"/>
      <c r="AT35645" s="247"/>
    </row>
    <row r="35646">
      <c r="C35646" s="277"/>
      <c r="M35646" s="277"/>
      <c r="O35646" s="247"/>
      <c r="AC35646" s="247"/>
      <c r="AT35646" s="247"/>
    </row>
    <row r="35647">
      <c r="C35647" s="277"/>
      <c r="M35647" s="277"/>
      <c r="O35647" s="247"/>
      <c r="AC35647" s="247"/>
      <c r="AT35647" s="247"/>
    </row>
    <row r="35648">
      <c r="C35648" s="277"/>
      <c r="M35648" s="277"/>
      <c r="O35648" s="247"/>
      <c r="AC35648" s="247"/>
      <c r="AT35648" s="247"/>
    </row>
    <row r="35649">
      <c r="C35649" s="277"/>
      <c r="M35649" s="277"/>
      <c r="O35649" s="247"/>
      <c r="AC35649" s="247"/>
      <c r="AT35649" s="247"/>
    </row>
    <row r="35650">
      <c r="C35650" s="277"/>
      <c r="M35650" s="277"/>
      <c r="O35650" s="247"/>
      <c r="AC35650" s="247"/>
      <c r="AT35650" s="247"/>
    </row>
    <row r="35651">
      <c r="C35651" s="277"/>
      <c r="M35651" s="277"/>
      <c r="O35651" s="247"/>
      <c r="AC35651" s="247"/>
      <c r="AT35651" s="247"/>
    </row>
    <row r="35652">
      <c r="C35652" s="277"/>
      <c r="M35652" s="277"/>
      <c r="O35652" s="247"/>
      <c r="AC35652" s="247"/>
      <c r="AT35652" s="247"/>
    </row>
    <row r="35653">
      <c r="C35653" s="277"/>
      <c r="M35653" s="277"/>
      <c r="O35653" s="247"/>
      <c r="AC35653" s="247"/>
      <c r="AT35653" s="247"/>
    </row>
    <row r="35654">
      <c r="C35654" s="277"/>
      <c r="M35654" s="277"/>
      <c r="O35654" s="247"/>
      <c r="AC35654" s="247"/>
      <c r="AT35654" s="247"/>
    </row>
    <row r="35655">
      <c r="C35655" s="277"/>
      <c r="M35655" s="277"/>
      <c r="O35655" s="247"/>
      <c r="AC35655" s="247"/>
      <c r="AT35655" s="247"/>
    </row>
    <row r="35656">
      <c r="C35656" s="277"/>
      <c r="M35656" s="277"/>
      <c r="O35656" s="247"/>
      <c r="AC35656" s="247"/>
      <c r="AT35656" s="247"/>
    </row>
    <row r="35657">
      <c r="C35657" s="277"/>
      <c r="M35657" s="277"/>
      <c r="O35657" s="247"/>
      <c r="AC35657" s="247"/>
      <c r="AT35657" s="247"/>
    </row>
    <row r="35658">
      <c r="C35658" s="277"/>
      <c r="M35658" s="277"/>
      <c r="O35658" s="247"/>
      <c r="AC35658" s="247"/>
      <c r="AT35658" s="247"/>
    </row>
    <row r="35659">
      <c r="C35659" s="277"/>
      <c r="M35659" s="277"/>
      <c r="O35659" s="247"/>
      <c r="AC35659" s="247"/>
      <c r="AT35659" s="247"/>
    </row>
    <row r="35660">
      <c r="C35660" s="277"/>
      <c r="M35660" s="277"/>
      <c r="O35660" s="247"/>
      <c r="AC35660" s="247"/>
      <c r="AT35660" s="247"/>
    </row>
    <row r="35661">
      <c r="C35661" s="277"/>
      <c r="M35661" s="277"/>
      <c r="O35661" s="247"/>
      <c r="AC35661" s="247"/>
      <c r="AT35661" s="247"/>
    </row>
    <row r="35662">
      <c r="C35662" s="277"/>
      <c r="M35662" s="277"/>
      <c r="O35662" s="247"/>
      <c r="AC35662" s="247"/>
      <c r="AT35662" s="247"/>
    </row>
    <row r="35663">
      <c r="C35663" s="277"/>
      <c r="M35663" s="277"/>
      <c r="O35663" s="247"/>
      <c r="AC35663" s="247"/>
      <c r="AT35663" s="247"/>
    </row>
    <row r="35664">
      <c r="C35664" s="277"/>
      <c r="M35664" s="277"/>
      <c r="O35664" s="247"/>
      <c r="AC35664" s="247"/>
      <c r="AT35664" s="247"/>
    </row>
    <row r="35665">
      <c r="C35665" s="277"/>
      <c r="M35665" s="277"/>
      <c r="O35665" s="247"/>
      <c r="AC35665" s="247"/>
      <c r="AT35665" s="247"/>
    </row>
    <row r="35666">
      <c r="C35666" s="277"/>
      <c r="M35666" s="277"/>
      <c r="O35666" s="247"/>
      <c r="AC35666" s="247"/>
      <c r="AT35666" s="247"/>
    </row>
    <row r="35667">
      <c r="C35667" s="277"/>
      <c r="M35667" s="277"/>
      <c r="O35667" s="247"/>
      <c r="AC35667" s="247"/>
      <c r="AT35667" s="247"/>
    </row>
    <row r="35668">
      <c r="C35668" s="277"/>
      <c r="M35668" s="277"/>
      <c r="O35668" s="247"/>
      <c r="AC35668" s="247"/>
      <c r="AT35668" s="247"/>
    </row>
    <row r="35669">
      <c r="C35669" s="277"/>
      <c r="M35669" s="277"/>
      <c r="O35669" s="247"/>
      <c r="AC35669" s="247"/>
      <c r="AT35669" s="247"/>
    </row>
    <row r="35670">
      <c r="C35670" s="277"/>
      <c r="M35670" s="277"/>
      <c r="O35670" s="247"/>
      <c r="AC35670" s="247"/>
      <c r="AT35670" s="247"/>
    </row>
    <row r="35671">
      <c r="C35671" s="277"/>
      <c r="M35671" s="277"/>
      <c r="O35671" s="247"/>
      <c r="AC35671" s="247"/>
      <c r="AT35671" s="247"/>
    </row>
    <row r="35672">
      <c r="C35672" s="277"/>
      <c r="M35672" s="277"/>
      <c r="O35672" s="247"/>
      <c r="AC35672" s="247"/>
      <c r="AT35672" s="247"/>
    </row>
    <row r="35673">
      <c r="C35673" s="277"/>
      <c r="M35673" s="277"/>
      <c r="O35673" s="247"/>
      <c r="AC35673" s="247"/>
      <c r="AT35673" s="247"/>
    </row>
    <row r="35674">
      <c r="C35674" s="277"/>
      <c r="M35674" s="277"/>
      <c r="O35674" s="247"/>
      <c r="AC35674" s="247"/>
      <c r="AT35674" s="247"/>
    </row>
    <row r="35675">
      <c r="C35675" s="277"/>
      <c r="M35675" s="277"/>
      <c r="O35675" s="247"/>
      <c r="AC35675" s="247"/>
      <c r="AT35675" s="247"/>
    </row>
    <row r="35676">
      <c r="C35676" s="277"/>
      <c r="M35676" s="277"/>
      <c r="O35676" s="247"/>
      <c r="AC35676" s="247"/>
      <c r="AT35676" s="247"/>
    </row>
    <row r="35677">
      <c r="C35677" s="277"/>
      <c r="M35677" s="277"/>
      <c r="O35677" s="247"/>
      <c r="AC35677" s="247"/>
      <c r="AT35677" s="247"/>
    </row>
    <row r="35678">
      <c r="C35678" s="277"/>
      <c r="M35678" s="277"/>
      <c r="O35678" s="247"/>
      <c r="AC35678" s="247"/>
      <c r="AT35678" s="247"/>
    </row>
    <row r="35679">
      <c r="C35679" s="277"/>
      <c r="M35679" s="277"/>
      <c r="O35679" s="247"/>
      <c r="AC35679" s="247"/>
      <c r="AT35679" s="247"/>
    </row>
    <row r="35680">
      <c r="C35680" s="277"/>
      <c r="M35680" s="277"/>
      <c r="O35680" s="247"/>
      <c r="AC35680" s="247"/>
      <c r="AT35680" s="247"/>
    </row>
    <row r="35681">
      <c r="C35681" s="277"/>
      <c r="M35681" s="277"/>
      <c r="O35681" s="247"/>
      <c r="AC35681" s="247"/>
      <c r="AT35681" s="247"/>
    </row>
    <row r="35682">
      <c r="C35682" s="277"/>
      <c r="M35682" s="277"/>
      <c r="O35682" s="247"/>
      <c r="AC35682" s="247"/>
      <c r="AT35682" s="247"/>
    </row>
    <row r="35683">
      <c r="C35683" s="277"/>
      <c r="M35683" s="277"/>
      <c r="O35683" s="247"/>
      <c r="AC35683" s="247"/>
      <c r="AT35683" s="247"/>
    </row>
    <row r="35684">
      <c r="C35684" s="277"/>
      <c r="M35684" s="277"/>
      <c r="O35684" s="247"/>
      <c r="AC35684" s="247"/>
      <c r="AT35684" s="247"/>
    </row>
    <row r="35685">
      <c r="C35685" s="277"/>
      <c r="M35685" s="277"/>
      <c r="O35685" s="247"/>
      <c r="AC35685" s="247"/>
      <c r="AT35685" s="247"/>
    </row>
    <row r="35686">
      <c r="C35686" s="277"/>
      <c r="M35686" s="277"/>
      <c r="O35686" s="247"/>
      <c r="AC35686" s="247"/>
      <c r="AT35686" s="247"/>
    </row>
    <row r="35687">
      <c r="C35687" s="277"/>
      <c r="M35687" s="277"/>
      <c r="O35687" s="247"/>
      <c r="AC35687" s="247"/>
      <c r="AT35687" s="247"/>
    </row>
    <row r="35688">
      <c r="C35688" s="277"/>
      <c r="M35688" s="277"/>
      <c r="O35688" s="247"/>
      <c r="AC35688" s="247"/>
      <c r="AT35688" s="247"/>
    </row>
    <row r="35689">
      <c r="C35689" s="277"/>
      <c r="M35689" s="277"/>
      <c r="O35689" s="247"/>
      <c r="AC35689" s="247"/>
      <c r="AT35689" s="247"/>
    </row>
    <row r="35690">
      <c r="C35690" s="277"/>
      <c r="M35690" s="277"/>
      <c r="O35690" s="247"/>
      <c r="AC35690" s="247"/>
      <c r="AT35690" s="247"/>
    </row>
    <row r="35691">
      <c r="C35691" s="277"/>
      <c r="M35691" s="277"/>
      <c r="O35691" s="247"/>
      <c r="AC35691" s="247"/>
      <c r="AT35691" s="247"/>
    </row>
    <row r="35692">
      <c r="C35692" s="277"/>
      <c r="M35692" s="277"/>
      <c r="O35692" s="247"/>
      <c r="AC35692" s="247"/>
      <c r="AT35692" s="247"/>
    </row>
    <row r="35693">
      <c r="C35693" s="277"/>
      <c r="M35693" s="277"/>
      <c r="O35693" s="247"/>
      <c r="AC35693" s="247"/>
      <c r="AT35693" s="247"/>
    </row>
    <row r="35694">
      <c r="C35694" s="277"/>
      <c r="M35694" s="277"/>
      <c r="O35694" s="247"/>
      <c r="AC35694" s="247"/>
      <c r="AT35694" s="247"/>
    </row>
    <row r="35695">
      <c r="C35695" s="277"/>
      <c r="M35695" s="277"/>
      <c r="O35695" s="247"/>
      <c r="AC35695" s="247"/>
      <c r="AT35695" s="247"/>
    </row>
    <row r="35696">
      <c r="C35696" s="277"/>
      <c r="M35696" s="277"/>
      <c r="O35696" s="247"/>
      <c r="AC35696" s="247"/>
      <c r="AT35696" s="247"/>
    </row>
    <row r="35697">
      <c r="C35697" s="277"/>
      <c r="M35697" s="277"/>
      <c r="O35697" s="247"/>
      <c r="AC35697" s="247"/>
      <c r="AT35697" s="247"/>
    </row>
    <row r="35698">
      <c r="C35698" s="277"/>
      <c r="M35698" s="277"/>
      <c r="O35698" s="247"/>
      <c r="AC35698" s="247"/>
      <c r="AT35698" s="247"/>
    </row>
    <row r="35699">
      <c r="C35699" s="277"/>
      <c r="M35699" s="277"/>
      <c r="O35699" s="247"/>
      <c r="AC35699" s="247"/>
      <c r="AT35699" s="247"/>
    </row>
    <row r="35700">
      <c r="C35700" s="277"/>
      <c r="M35700" s="277"/>
      <c r="O35700" s="247"/>
      <c r="AC35700" s="247"/>
      <c r="AT35700" s="247"/>
    </row>
    <row r="35701">
      <c r="C35701" s="277"/>
      <c r="M35701" s="277"/>
      <c r="O35701" s="247"/>
      <c r="AC35701" s="247"/>
      <c r="AT35701" s="247"/>
    </row>
    <row r="35702">
      <c r="C35702" s="277"/>
      <c r="M35702" s="277"/>
      <c r="O35702" s="247"/>
      <c r="AC35702" s="247"/>
      <c r="AT35702" s="247"/>
    </row>
    <row r="35703">
      <c r="C35703" s="277"/>
      <c r="M35703" s="277"/>
      <c r="O35703" s="247"/>
      <c r="AC35703" s="247"/>
      <c r="AT35703" s="247"/>
    </row>
    <row r="35704">
      <c r="C35704" s="277"/>
      <c r="M35704" s="277"/>
      <c r="O35704" s="247"/>
      <c r="AC35704" s="247"/>
      <c r="AT35704" s="247"/>
    </row>
    <row r="35705">
      <c r="C35705" s="277"/>
      <c r="M35705" s="277"/>
      <c r="O35705" s="247"/>
      <c r="AC35705" s="247"/>
      <c r="AT35705" s="247"/>
    </row>
    <row r="35706">
      <c r="C35706" s="277"/>
      <c r="M35706" s="277"/>
      <c r="O35706" s="247"/>
      <c r="AC35706" s="247"/>
      <c r="AT35706" s="247"/>
    </row>
    <row r="35707">
      <c r="C35707" s="277"/>
      <c r="M35707" s="277"/>
      <c r="O35707" s="247"/>
      <c r="AC35707" s="247"/>
      <c r="AT35707" s="247"/>
    </row>
    <row r="35708">
      <c r="C35708" s="277"/>
      <c r="M35708" s="277"/>
      <c r="O35708" s="247"/>
      <c r="AC35708" s="247"/>
      <c r="AT35708" s="247"/>
    </row>
    <row r="35709">
      <c r="C35709" s="277"/>
      <c r="M35709" s="277"/>
      <c r="O35709" s="247"/>
      <c r="AC35709" s="247"/>
      <c r="AT35709" s="247"/>
    </row>
    <row r="35710">
      <c r="C35710" s="277"/>
      <c r="M35710" s="277"/>
      <c r="O35710" s="247"/>
      <c r="AC35710" s="247"/>
      <c r="AT35710" s="247"/>
    </row>
    <row r="35711">
      <c r="C35711" s="277"/>
      <c r="M35711" s="277"/>
      <c r="O35711" s="247"/>
      <c r="AC35711" s="247"/>
      <c r="AT35711" s="247"/>
    </row>
    <row r="35712">
      <c r="C35712" s="277"/>
      <c r="M35712" s="277"/>
      <c r="O35712" s="247"/>
      <c r="AC35712" s="247"/>
      <c r="AT35712" s="247"/>
    </row>
    <row r="35713">
      <c r="C35713" s="277"/>
      <c r="M35713" s="277"/>
      <c r="O35713" s="247"/>
      <c r="AC35713" s="247"/>
      <c r="AT35713" s="247"/>
    </row>
    <row r="35714">
      <c r="C35714" s="277"/>
      <c r="M35714" s="277"/>
      <c r="O35714" s="247"/>
      <c r="AC35714" s="247"/>
      <c r="AT35714" s="247"/>
    </row>
    <row r="35715">
      <c r="C35715" s="277"/>
      <c r="M35715" s="277"/>
      <c r="O35715" s="247"/>
      <c r="AC35715" s="247"/>
      <c r="AT35715" s="247"/>
    </row>
    <row r="35716">
      <c r="C35716" s="277"/>
      <c r="M35716" s="277"/>
      <c r="O35716" s="247"/>
      <c r="AC35716" s="247"/>
      <c r="AT35716" s="247"/>
    </row>
    <row r="35717">
      <c r="C35717" s="277"/>
      <c r="M35717" s="277"/>
      <c r="O35717" s="247"/>
      <c r="AC35717" s="247"/>
      <c r="AT35717" s="247"/>
    </row>
    <row r="35718">
      <c r="C35718" s="277"/>
      <c r="M35718" s="277"/>
      <c r="O35718" s="247"/>
      <c r="AC35718" s="247"/>
      <c r="AT35718" s="247"/>
    </row>
    <row r="35719">
      <c r="C35719" s="277"/>
      <c r="M35719" s="277"/>
      <c r="O35719" s="247"/>
      <c r="AC35719" s="247"/>
      <c r="AT35719" s="247"/>
    </row>
    <row r="35720">
      <c r="C35720" s="277"/>
      <c r="M35720" s="277"/>
      <c r="O35720" s="247"/>
      <c r="AC35720" s="247"/>
      <c r="AT35720" s="247"/>
    </row>
  </sheetData>
  <mergeCells count="11">
    <mergeCell ref="BI1:BU1"/>
    <mergeCell ref="BI2:BU2"/>
    <mergeCell ref="AD1555:AS1555"/>
    <mergeCell ref="AD1556:AS1556"/>
    <mergeCell ref="A1:M1"/>
    <mergeCell ref="P1:AB1"/>
    <mergeCell ref="AD1:AS1"/>
    <mergeCell ref="AU1:BG1"/>
    <mergeCell ref="P2:AB2"/>
    <mergeCell ref="AD2:AS2"/>
    <mergeCell ref="AU2:B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4.5"/>
    <col customWidth="1" min="3" max="3" width="9.25"/>
    <col customWidth="1" min="4" max="4" width="29.38"/>
    <col customWidth="1" min="5" max="5" width="23.5"/>
    <col customWidth="1" min="6" max="6" width="50.88"/>
    <col customWidth="1" min="7" max="7" width="35.88"/>
    <col customWidth="1" min="8" max="8" width="3.75"/>
    <col customWidth="1" min="9" max="9" width="10.38"/>
    <col customWidth="1" min="10" max="10" width="23.5"/>
    <col customWidth="1" min="11" max="11" width="22.13"/>
    <col customWidth="1" min="12" max="12" width="15.88"/>
    <col customWidth="1" min="13" max="13" width="23.0"/>
  </cols>
  <sheetData>
    <row r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>
      <c r="A2" s="280"/>
      <c r="B2" s="281" t="s">
        <v>860</v>
      </c>
      <c r="C2" s="280"/>
      <c r="D2" s="282" t="s">
        <v>861</v>
      </c>
      <c r="E2" s="280"/>
      <c r="F2" s="283"/>
      <c r="G2" s="280"/>
      <c r="H2" s="280"/>
      <c r="I2" s="280"/>
      <c r="J2" s="280"/>
      <c r="K2" s="280"/>
      <c r="L2" s="280"/>
      <c r="M2" s="280"/>
    </row>
    <row r="3">
      <c r="A3" s="280"/>
      <c r="B3" s="284" t="s">
        <v>91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</row>
    <row r="4">
      <c r="A4" s="280"/>
      <c r="B4" s="280"/>
      <c r="C4" s="280"/>
      <c r="D4" s="285" t="s">
        <v>34</v>
      </c>
      <c r="E4" s="286">
        <f>'5. CISA Internal Workings'!E4</f>
        <v>46189</v>
      </c>
      <c r="F4" s="280"/>
      <c r="G4" s="280"/>
      <c r="H4" s="280"/>
      <c r="I4" s="280"/>
      <c r="J4" s="280"/>
      <c r="K4" s="280"/>
      <c r="L4" s="280"/>
      <c r="M4" s="280"/>
    </row>
    <row r="5">
      <c r="A5" s="280"/>
      <c r="B5" s="280"/>
      <c r="C5" s="280"/>
      <c r="D5" s="280"/>
      <c r="E5" s="280"/>
      <c r="F5" s="287"/>
      <c r="G5" s="287"/>
      <c r="H5" s="287"/>
      <c r="I5" s="287"/>
      <c r="J5" s="287"/>
      <c r="K5" s="287"/>
      <c r="L5" s="280"/>
      <c r="M5" s="280"/>
    </row>
    <row r="6" ht="107.25" customHeight="1">
      <c r="A6" s="280"/>
      <c r="B6" s="288" t="s">
        <v>862</v>
      </c>
      <c r="D6" s="289" t="s">
        <v>863</v>
      </c>
      <c r="E6" s="290">
        <f>'7. CISA External Workings'!O24-E37+E29</f>
        <v>-4393.6743</v>
      </c>
      <c r="F6" s="291" t="str">
        <f>IFERROR(__xludf.DUMMYFUNCTION("LET(
  valE6, IFERROR(ROUND(E6, 2), 0),
  all_cells, {'5. CISA Internal Workings'!E80:E82; '5. CISA Internal Workings'!H80:H82},
  clean_cells, FILTER(all_cells, all_cells &lt;&gt; """"),
  details, CHAR(10) &amp; ""-"" &amp; JOIN(CHAR(10) &amp; ""-"", clean_cells),
  "&amp;"IF(valE6 = 0, ""Conclusion: No Internal Breaks"",
  IF(valE6 &lt; 0, ""Conclusion: Overall Shortfall of £"" &amp; ABS(valE6) &amp; details,
                ""Conclusion: Overall Surplus of £"" &amp; ABS(valE6) &amp; details)
  )
)"),"Conclusion: Overall Shortfall of £4393.67
-Amount of £4,393.67 residual interest paid to users as part of the transfer out process
-To be moved from CISA corporate interest to CM 17/06")</f>
        <v>Conclusion: Overall Shortfall of £4393.67
-Amount of £4,393.67 residual interest paid to users as part of the transfer out process
-To be moved from CISA corporate interest to CM 17/06</v>
      </c>
      <c r="G6" s="292"/>
      <c r="H6" s="292"/>
      <c r="I6" s="292"/>
      <c r="J6" s="292"/>
      <c r="K6" s="293"/>
      <c r="L6" s="294"/>
      <c r="M6" s="295"/>
    </row>
    <row r="7" ht="6.0" customHeight="1">
      <c r="A7" s="280"/>
      <c r="B7" s="280"/>
      <c r="C7" s="280"/>
      <c r="D7" s="280"/>
      <c r="E7" s="280"/>
      <c r="F7" s="296"/>
      <c r="G7" s="296"/>
      <c r="H7" s="296"/>
      <c r="I7" s="296"/>
      <c r="J7" s="296"/>
      <c r="K7" s="296"/>
      <c r="L7" s="280"/>
      <c r="M7" s="280"/>
    </row>
    <row r="8" ht="13.5" customHeight="1">
      <c r="A8" s="280"/>
      <c r="B8" s="280"/>
      <c r="C8" s="280"/>
      <c r="D8" s="297" t="s">
        <v>864</v>
      </c>
      <c r="E8" s="280"/>
      <c r="F8" s="280"/>
      <c r="G8" s="280"/>
      <c r="H8" s="280"/>
      <c r="I8" s="280"/>
      <c r="J8" s="280"/>
      <c r="K8" s="280"/>
      <c r="L8" s="280"/>
      <c r="M8" s="280"/>
    </row>
    <row r="9">
      <c r="A9" s="280"/>
      <c r="B9" s="280"/>
      <c r="D9" s="298" t="s">
        <v>865</v>
      </c>
      <c r="E9" s="6"/>
      <c r="F9" s="299" t="s">
        <v>866</v>
      </c>
      <c r="G9" s="300" t="s">
        <v>867</v>
      </c>
      <c r="H9" s="280"/>
      <c r="I9" s="280"/>
      <c r="J9" s="280"/>
      <c r="K9" s="280"/>
      <c r="L9" s="280"/>
      <c r="M9" s="280"/>
    </row>
    <row r="10" ht="33.0" customHeight="1">
      <c r="A10" s="280"/>
      <c r="B10" s="280"/>
      <c r="C10" s="301" t="s">
        <v>868</v>
      </c>
      <c r="D10" s="302" t="s">
        <v>869</v>
      </c>
      <c r="E10" s="303">
        <f>VLOOKUP(C10,'5. CISA Internal Workings'!$D$38:$M$101,10,FALSE)</f>
        <v>0</v>
      </c>
      <c r="F10" s="304" t="s">
        <v>95</v>
      </c>
      <c r="G10" s="304" t="s">
        <v>95</v>
      </c>
      <c r="H10" s="280"/>
      <c r="I10" s="280"/>
      <c r="J10" s="280"/>
      <c r="K10" s="280"/>
      <c r="L10" s="280"/>
      <c r="M10" s="280"/>
    </row>
    <row r="11" ht="99.0" customHeight="1">
      <c r="A11" s="280"/>
      <c r="B11" s="280"/>
      <c r="C11" s="305" t="s">
        <v>870</v>
      </c>
      <c r="D11" s="302" t="s">
        <v>871</v>
      </c>
      <c r="E11" s="303">
        <f>VLOOKUP(C11,'5. CISA Internal Workings'!$D$38:$M$101,10,FALSE)</f>
        <v>-4393.67</v>
      </c>
      <c r="F11" s="306" t="str">
        <f>IFERROR(__xludf.DUMMYFUNCTION("LET(
  valE6, IFERROR(ROUND(E6, 2), 0),
  all_cells, '5. CISA Internal Workings'!E80:E82,
  clean_cells, FILTER(all_cells, all_cells &lt;&gt; """"),
  details, ""-"" &amp; JOIN(CHAR(10) &amp; ""-"", clean_cells),
  IF(valE6 = 0, ""N/A"", details)
)"),"-Amount of £4,393.67 residual interest paid to users as part of the transfer out process")</f>
        <v>-Amount of £4,393.67 residual interest paid to users as part of the transfer out process</v>
      </c>
      <c r="G11" s="306" t="str">
        <f>IFERROR(__xludf.DUMMYFUNCTION("LET(
  valE6, IFERROR(ROUND(E6, 2), 0),
  all_cells, '5. CISA Internal Workings'!H80:H82,
  clean_cells, FILTER(all_cells, all_cells &lt;&gt; """"),
  details, ""-"" &amp; JOIN(CHAR(10) &amp; ""-"", clean_cells),
  IF(valE6 = 0, ""N/A"", details)
)"),"-To be moved from CISA corporate interest to CM 17/06")</f>
        <v>-To be moved from CISA corporate interest to CM 17/06</v>
      </c>
      <c r="H11" s="280"/>
      <c r="I11" s="280"/>
      <c r="J11" s="280"/>
      <c r="K11" s="280"/>
      <c r="L11" s="280"/>
      <c r="M11" s="280"/>
    </row>
    <row r="12" ht="45.0" customHeight="1">
      <c r="A12" s="280"/>
      <c r="B12" s="280"/>
      <c r="C12" s="301" t="s">
        <v>872</v>
      </c>
      <c r="D12" s="307" t="s">
        <v>873</v>
      </c>
      <c r="E12" s="303">
        <f>VLOOKUP(C12,'5. CISA Internal Workings'!$D$40:$M$101,10,FALSE)</f>
        <v>2958695.42</v>
      </c>
      <c r="F12" s="304" t="s">
        <v>874</v>
      </c>
      <c r="G12" s="304" t="s">
        <v>875</v>
      </c>
      <c r="H12" s="280"/>
      <c r="I12" s="280"/>
      <c r="J12" s="280"/>
      <c r="K12" s="280"/>
      <c r="L12" s="280"/>
      <c r="M12" s="280"/>
    </row>
    <row r="13" ht="39.0" customHeight="1">
      <c r="A13" s="280"/>
      <c r="B13" s="280"/>
      <c r="C13" s="301" t="s">
        <v>876</v>
      </c>
      <c r="D13" s="302" t="s">
        <v>877</v>
      </c>
      <c r="E13" s="303">
        <f>VLOOKUP(C13,'5. CISA Internal Workings'!$D$38:$M$101,10,FALSE)</f>
        <v>0</v>
      </c>
      <c r="F13" s="304" t="s">
        <v>95</v>
      </c>
      <c r="G13" s="304" t="s">
        <v>95</v>
      </c>
      <c r="H13" s="280"/>
      <c r="I13" s="280"/>
      <c r="J13" s="280"/>
      <c r="K13" s="280"/>
      <c r="L13" s="280"/>
      <c r="M13" s="280"/>
    </row>
    <row r="14">
      <c r="A14" s="280"/>
      <c r="B14" s="280"/>
      <c r="C14" s="280"/>
      <c r="D14" s="308" t="s">
        <v>878</v>
      </c>
      <c r="E14" s="309">
        <f>SUM(E10:E13)</f>
        <v>2954301.75</v>
      </c>
      <c r="F14" s="280"/>
      <c r="G14" s="280"/>
      <c r="H14" s="280"/>
      <c r="I14" s="280"/>
      <c r="J14" s="280"/>
      <c r="K14" s="280"/>
      <c r="L14" s="280"/>
      <c r="M14" s="280"/>
    </row>
    <row r="15">
      <c r="A15" s="280"/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</row>
    <row r="16">
      <c r="A16" s="280"/>
      <c r="B16" s="280"/>
      <c r="C16" s="280"/>
      <c r="D16" s="310" t="s">
        <v>879</v>
      </c>
      <c r="E16" s="311"/>
      <c r="F16" s="280"/>
      <c r="G16" s="280"/>
      <c r="H16" s="280"/>
      <c r="I16" s="280"/>
      <c r="J16" s="280"/>
      <c r="K16" s="280"/>
      <c r="L16" s="280"/>
      <c r="M16" s="280"/>
    </row>
    <row r="17">
      <c r="A17" s="280"/>
      <c r="B17" s="280"/>
      <c r="C17" s="280"/>
      <c r="D17" s="295"/>
      <c r="E17" s="312"/>
      <c r="F17" s="280"/>
      <c r="G17" s="280"/>
      <c r="H17" s="280"/>
      <c r="I17" s="280"/>
      <c r="J17" s="280"/>
      <c r="K17" s="280"/>
      <c r="L17" s="280"/>
      <c r="M17" s="280"/>
    </row>
    <row r="18">
      <c r="A18" s="280"/>
      <c r="B18" s="313" t="s">
        <v>880</v>
      </c>
      <c r="C18" s="314" t="s">
        <v>881</v>
      </c>
      <c r="D18" s="315" t="s">
        <v>882</v>
      </c>
      <c r="E18" s="316" t="s">
        <v>883</v>
      </c>
      <c r="F18" s="280"/>
      <c r="G18" s="280"/>
      <c r="H18" s="280"/>
      <c r="I18" s="280"/>
      <c r="J18" s="280"/>
      <c r="K18" s="280"/>
      <c r="L18" s="280"/>
      <c r="M18" s="280"/>
    </row>
    <row r="19">
      <c r="A19" s="280"/>
      <c r="B19" s="280"/>
      <c r="C19" s="295"/>
      <c r="D19" s="295"/>
      <c r="E19" s="312"/>
      <c r="F19" s="317" t="s">
        <v>866</v>
      </c>
      <c r="G19" s="318" t="s">
        <v>867</v>
      </c>
      <c r="H19" s="280"/>
      <c r="I19" s="280"/>
      <c r="J19" s="280"/>
      <c r="K19" s="280"/>
      <c r="L19" s="280"/>
      <c r="M19" s="280"/>
    </row>
    <row r="20" ht="12.75" customHeight="1">
      <c r="A20" s="280"/>
      <c r="B20" s="319" t="s">
        <v>884</v>
      </c>
      <c r="C20" s="320" t="s">
        <v>885</v>
      </c>
      <c r="D20" s="321" t="s">
        <v>886</v>
      </c>
      <c r="E20" s="303">
        <f>'5. CISA Internal Workings'!F42</f>
        <v>2387522999</v>
      </c>
      <c r="F20" s="322"/>
      <c r="G20" s="323"/>
      <c r="H20" s="280"/>
      <c r="I20" s="280"/>
      <c r="J20" s="280"/>
      <c r="K20" s="280"/>
      <c r="L20" s="280"/>
      <c r="M20" s="280"/>
    </row>
    <row r="21" ht="15.75" customHeight="1">
      <c r="A21" s="280"/>
      <c r="B21" s="19"/>
      <c r="C21" s="19"/>
      <c r="D21" s="321" t="s">
        <v>887</v>
      </c>
      <c r="E21" s="303">
        <f>'3. Unalloc Rec'!M18</f>
        <v>294085.7</v>
      </c>
      <c r="F21" s="324"/>
      <c r="G21" s="325"/>
      <c r="H21" s="280"/>
      <c r="I21" s="280"/>
      <c r="J21" s="280"/>
      <c r="K21" s="280"/>
      <c r="L21" s="280"/>
      <c r="M21" s="280"/>
    </row>
    <row r="22" ht="15.75" customHeight="1">
      <c r="A22" s="280"/>
      <c r="B22" s="19"/>
      <c r="C22" s="19"/>
      <c r="D22" s="321" t="s">
        <v>888</v>
      </c>
      <c r="E22" s="303">
        <f>'5. CISA Internal Workings'!M53</f>
        <v>2958695.42</v>
      </c>
      <c r="F22" s="324"/>
      <c r="G22" s="323"/>
      <c r="H22" s="280"/>
      <c r="I22" s="280"/>
      <c r="J22" s="280"/>
      <c r="K22" s="280"/>
      <c r="L22" s="280"/>
      <c r="M22" s="280"/>
    </row>
    <row r="23" ht="15.75" customHeight="1">
      <c r="A23" s="280"/>
      <c r="B23" s="19"/>
      <c r="C23" s="19"/>
      <c r="D23" s="326" t="s">
        <v>889</v>
      </c>
      <c r="E23" s="327">
        <f>SUM(E20:E22)</f>
        <v>2390775780</v>
      </c>
      <c r="F23" s="295"/>
      <c r="G23" s="280"/>
      <c r="H23" s="280"/>
      <c r="I23" s="280"/>
      <c r="J23" s="280"/>
      <c r="K23" s="280"/>
      <c r="L23" s="280"/>
      <c r="M23" s="280"/>
    </row>
    <row r="24" ht="15.75" customHeight="1">
      <c r="A24" s="280"/>
      <c r="B24" s="19"/>
      <c r="C24" s="19"/>
      <c r="D24" s="295"/>
      <c r="E24" s="295"/>
      <c r="F24" s="328" t="s">
        <v>866</v>
      </c>
      <c r="G24" s="329" t="s">
        <v>890</v>
      </c>
      <c r="H24" s="280"/>
      <c r="I24" s="280"/>
      <c r="J24" s="280"/>
      <c r="K24" s="280"/>
      <c r="L24" s="280"/>
      <c r="M24" s="280"/>
    </row>
    <row r="25" ht="15.75" customHeight="1">
      <c r="A25" s="280"/>
      <c r="B25" s="19"/>
      <c r="C25" s="19"/>
      <c r="D25" s="326" t="s">
        <v>891</v>
      </c>
      <c r="E25" s="327">
        <f>-E21</f>
        <v>-294085.7</v>
      </c>
      <c r="F25" s="324"/>
      <c r="G25" s="330"/>
      <c r="H25" s="280"/>
      <c r="I25" s="280"/>
      <c r="J25" s="280"/>
      <c r="K25" s="280"/>
      <c r="L25" s="280"/>
      <c r="M25" s="280"/>
    </row>
    <row r="26" ht="15.75" customHeight="1">
      <c r="A26" s="280"/>
      <c r="B26" s="19"/>
      <c r="C26" s="19"/>
      <c r="D26" s="295"/>
      <c r="E26" s="295"/>
      <c r="F26" s="280"/>
      <c r="G26" s="280"/>
      <c r="H26" s="280"/>
      <c r="I26" s="280"/>
      <c r="J26" s="280"/>
      <c r="K26" s="280"/>
      <c r="L26" s="280"/>
      <c r="M26" s="280"/>
    </row>
    <row r="27" ht="15.75" customHeight="1">
      <c r="A27" s="280"/>
      <c r="B27" s="19"/>
      <c r="C27" s="19"/>
      <c r="D27" s="331" t="s">
        <v>892</v>
      </c>
      <c r="E27" s="332">
        <f>'CISA Funding'!G2</f>
        <v>-81188.22</v>
      </c>
      <c r="F27" s="303" t="s">
        <v>893</v>
      </c>
      <c r="G27" s="303" t="s">
        <v>894</v>
      </c>
      <c r="H27" s="280"/>
      <c r="I27" s="280"/>
      <c r="J27" s="280"/>
      <c r="K27" s="280"/>
      <c r="L27" s="280"/>
      <c r="M27" s="280"/>
    </row>
    <row r="28" ht="15.75" customHeight="1">
      <c r="A28" s="280"/>
      <c r="B28" s="19"/>
      <c r="C28" s="19"/>
      <c r="D28" s="321" t="s">
        <v>895</v>
      </c>
      <c r="E28" s="332">
        <v>0.0</v>
      </c>
      <c r="F28" s="303"/>
      <c r="G28" s="330"/>
      <c r="H28" s="280"/>
      <c r="I28" s="280"/>
      <c r="J28" s="280"/>
      <c r="K28" s="280"/>
      <c r="L28" s="280"/>
      <c r="M28" s="280"/>
    </row>
    <row r="29" ht="15.75" customHeight="1">
      <c r="A29" s="280"/>
      <c r="B29" s="19"/>
      <c r="C29" s="19"/>
      <c r="D29" s="331" t="s">
        <v>896</v>
      </c>
      <c r="E29" s="333">
        <v>0.0</v>
      </c>
      <c r="F29" s="303"/>
      <c r="G29" s="330"/>
      <c r="H29" s="280"/>
      <c r="I29" s="280"/>
      <c r="J29" s="280"/>
      <c r="K29" s="280"/>
      <c r="L29" s="280"/>
      <c r="M29" s="280"/>
    </row>
    <row r="30" ht="15.75" customHeight="1">
      <c r="A30" s="280"/>
      <c r="B30" s="19"/>
      <c r="C30" s="19"/>
      <c r="D30" s="326" t="s">
        <v>897</v>
      </c>
      <c r="E30" s="327">
        <f>SUM(E27:E29)</f>
        <v>-81188.22</v>
      </c>
      <c r="F30" s="280"/>
      <c r="G30" s="280"/>
      <c r="H30" s="280"/>
      <c r="I30" s="280"/>
      <c r="J30" s="280"/>
      <c r="K30" s="280"/>
      <c r="L30" s="280"/>
      <c r="M30" s="280"/>
    </row>
    <row r="31" ht="27.75" customHeight="1">
      <c r="A31" s="280"/>
      <c r="B31" s="19"/>
      <c r="C31" s="19"/>
      <c r="D31" s="295"/>
      <c r="E31" s="295"/>
      <c r="F31" s="334" t="s">
        <v>865</v>
      </c>
      <c r="G31" s="334" t="s">
        <v>898</v>
      </c>
      <c r="H31" s="280"/>
      <c r="I31" s="280"/>
      <c r="J31" s="280"/>
      <c r="K31" s="280"/>
      <c r="L31" s="280"/>
      <c r="M31" s="280"/>
    </row>
    <row r="32" ht="15.75" customHeight="1">
      <c r="A32" s="280"/>
      <c r="B32" s="19"/>
      <c r="C32" s="19"/>
      <c r="D32" s="335" t="s">
        <v>899</v>
      </c>
      <c r="E32" s="336">
        <f>E23+E25</f>
        <v>2390481694</v>
      </c>
      <c r="F32" s="337">
        <f>E14-'5. CISA Internal Workings'!M53</f>
        <v>-4393.67</v>
      </c>
      <c r="G32" s="337">
        <f>E32+F32</f>
        <v>2390477301</v>
      </c>
      <c r="H32" s="280"/>
      <c r="I32" s="280"/>
      <c r="J32" s="280"/>
      <c r="K32" s="280"/>
      <c r="L32" s="280"/>
      <c r="M32" s="280"/>
    </row>
    <row r="33" ht="15.75" customHeight="1">
      <c r="A33" s="280"/>
      <c r="B33" s="19"/>
      <c r="C33" s="19"/>
      <c r="D33" s="295"/>
      <c r="E33" s="312"/>
      <c r="F33" s="338"/>
      <c r="G33" s="280"/>
      <c r="H33" s="280"/>
      <c r="I33" s="280"/>
      <c r="J33" s="280"/>
      <c r="K33" s="280"/>
      <c r="L33" s="280"/>
      <c r="M33" s="280"/>
    </row>
    <row r="34" ht="30.0" customHeight="1">
      <c r="A34" s="280"/>
      <c r="B34" s="19"/>
      <c r="C34" s="19"/>
      <c r="D34" s="331" t="s">
        <v>900</v>
      </c>
      <c r="E34" s="303">
        <v>0.0</v>
      </c>
      <c r="F34" s="339" t="s">
        <v>901</v>
      </c>
      <c r="G34" s="280"/>
      <c r="H34" s="280"/>
      <c r="I34" s="280"/>
      <c r="J34" s="280"/>
      <c r="K34" s="280"/>
      <c r="L34" s="280"/>
      <c r="M34" s="280"/>
    </row>
    <row r="35" ht="15.75" customHeight="1">
      <c r="A35" s="280"/>
      <c r="B35" s="19"/>
      <c r="C35" s="19"/>
      <c r="D35" s="340" t="s">
        <v>902</v>
      </c>
      <c r="E35" s="341">
        <f>SUM(E34)</f>
        <v>0</v>
      </c>
      <c r="F35" s="45"/>
      <c r="G35" s="280"/>
      <c r="H35" s="342"/>
      <c r="I35" s="280"/>
      <c r="J35" s="280"/>
      <c r="K35" s="280"/>
      <c r="L35" s="280"/>
      <c r="M35" s="280"/>
    </row>
    <row r="36" ht="15.75" customHeight="1">
      <c r="A36" s="280"/>
      <c r="B36" s="19"/>
      <c r="C36" s="19"/>
      <c r="D36" s="280"/>
      <c r="E36" s="295"/>
      <c r="F36" s="280"/>
      <c r="G36" s="280"/>
      <c r="H36" s="280"/>
      <c r="I36" s="280"/>
      <c r="J36" s="280"/>
      <c r="K36" s="280"/>
      <c r="L36" s="280"/>
      <c r="M36" s="280"/>
    </row>
    <row r="37" ht="24.75" customHeight="1">
      <c r="A37" s="280"/>
      <c r="B37" s="45"/>
      <c r="C37" s="45"/>
      <c r="D37" s="343" t="s">
        <v>879</v>
      </c>
      <c r="E37" s="344">
        <f>E32+E35</f>
        <v>2390481694</v>
      </c>
      <c r="F37" s="280"/>
      <c r="G37" s="345"/>
      <c r="H37" s="280"/>
      <c r="I37" s="280"/>
      <c r="J37" s="280"/>
      <c r="K37" s="280"/>
      <c r="L37" s="280"/>
      <c r="M37" s="280"/>
    </row>
    <row r="38" ht="15.75" customHeight="1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</row>
    <row r="39" ht="15.75" customHeight="1">
      <c r="A39" s="280"/>
      <c r="B39" s="280"/>
      <c r="C39" s="280"/>
      <c r="D39" s="280"/>
      <c r="E39" s="280"/>
      <c r="F39" s="338"/>
      <c r="G39" s="338"/>
      <c r="H39" s="280"/>
      <c r="I39" s="280"/>
      <c r="J39" s="280"/>
      <c r="K39" s="280"/>
      <c r="L39" s="280"/>
      <c r="M39" s="280"/>
    </row>
    <row r="40" ht="15.75" customHeight="1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</row>
    <row r="41" ht="15.75" customHeight="1">
      <c r="A41" s="280"/>
      <c r="B41" s="280"/>
      <c r="C41" s="280"/>
      <c r="D41" s="345"/>
      <c r="E41" s="280"/>
      <c r="F41" s="280"/>
      <c r="G41" s="280"/>
      <c r="H41" s="280"/>
      <c r="I41" s="280"/>
      <c r="J41" s="280"/>
      <c r="K41" s="280"/>
      <c r="L41" s="280"/>
      <c r="M41" s="280"/>
    </row>
    <row r="42" ht="15.75" customHeight="1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</row>
    <row r="43" ht="15.75" customHeight="1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</row>
    <row r="44" ht="15.75" customHeight="1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</row>
    <row r="45" ht="16.5" customHeight="1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</row>
    <row r="46" ht="21.75" customHeight="1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</row>
    <row r="47" ht="15.75" customHeight="1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</row>
    <row r="48" ht="15.75" customHeight="1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</row>
    <row r="49" ht="15.75" customHeight="1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</row>
    <row r="50" ht="15.75" customHeight="1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</row>
  </sheetData>
  <mergeCells count="7">
    <mergeCell ref="B6:C6"/>
    <mergeCell ref="F6:K6"/>
    <mergeCell ref="D9:E9"/>
    <mergeCell ref="D16:E16"/>
    <mergeCell ref="B20:B37"/>
    <mergeCell ref="C20:C37"/>
    <mergeCell ref="F34:F3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3.63"/>
    <col customWidth="1" min="4" max="4" width="25.0"/>
    <col customWidth="1" min="5" max="5" width="41.75"/>
    <col customWidth="1" min="6" max="6" width="42.38"/>
    <col customWidth="1" min="7" max="7" width="29.5"/>
    <col customWidth="1" min="8" max="8" width="48.13"/>
    <col customWidth="1" min="9" max="9" width="24.88"/>
    <col customWidth="1" min="10" max="10" width="17.25"/>
    <col customWidth="1" min="11" max="11" width="19.75"/>
    <col customWidth="1" min="12" max="12" width="4.25"/>
    <col customWidth="1" min="13" max="13" width="25.5"/>
    <col customWidth="1" min="14" max="14" width="36.0"/>
    <col customWidth="1" min="15" max="15" width="27.38"/>
    <col customWidth="1" min="16" max="16" width="31.38"/>
    <col customWidth="1" min="17" max="17" width="13.25"/>
  </cols>
  <sheetData>
    <row r="1" ht="15.0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M1" s="98"/>
      <c r="N1" s="98"/>
      <c r="O1" s="98"/>
    </row>
    <row r="2" ht="23.25" customHeight="1">
      <c r="A2" s="94"/>
      <c r="B2" s="346" t="s">
        <v>903</v>
      </c>
      <c r="C2" s="94"/>
      <c r="D2" s="94"/>
      <c r="E2" s="94"/>
      <c r="F2" s="94"/>
      <c r="M2" s="98"/>
      <c r="N2" s="98"/>
      <c r="O2" s="98"/>
    </row>
    <row r="3" ht="15.0" customHeight="1">
      <c r="A3" s="94"/>
      <c r="B3" s="347"/>
      <c r="D3" s="94"/>
      <c r="E3" s="94"/>
      <c r="F3" s="94"/>
      <c r="I3" s="94"/>
      <c r="J3" s="94"/>
      <c r="M3" s="98"/>
      <c r="N3" s="98"/>
      <c r="O3" s="98"/>
    </row>
    <row r="4" ht="15.0" customHeight="1">
      <c r="A4" s="94"/>
      <c r="D4" s="348" t="s">
        <v>126</v>
      </c>
      <c r="E4" s="349">
        <f>'6. CISA - CASS External Rec'!E4</f>
        <v>46189</v>
      </c>
      <c r="F4" s="94"/>
      <c r="G4" s="94"/>
      <c r="H4" s="350"/>
      <c r="I4" s="94"/>
      <c r="J4" s="94"/>
      <c r="M4" s="98"/>
      <c r="N4" s="98"/>
      <c r="O4" s="98"/>
    </row>
    <row r="5" ht="11.25" customHeight="1">
      <c r="A5" s="94"/>
      <c r="B5" s="351"/>
      <c r="E5" s="352"/>
      <c r="F5" s="94"/>
      <c r="G5" s="94"/>
      <c r="H5" s="350"/>
      <c r="I5" s="94"/>
      <c r="J5" s="94"/>
      <c r="M5" s="98"/>
      <c r="N5" s="98"/>
      <c r="O5" s="98"/>
      <c r="Q5" s="353"/>
    </row>
    <row r="6">
      <c r="A6" s="94"/>
      <c r="B6" s="354" t="s">
        <v>904</v>
      </c>
      <c r="E6" s="355"/>
      <c r="F6" s="356"/>
      <c r="G6" s="94"/>
      <c r="H6" s="350"/>
      <c r="I6" s="94"/>
      <c r="J6" s="94"/>
      <c r="M6" s="98"/>
      <c r="N6" s="353"/>
      <c r="O6" s="98"/>
      <c r="Q6" s="353"/>
    </row>
    <row r="7" ht="15.75" customHeight="1">
      <c r="A7" s="94"/>
      <c r="B7" s="357"/>
      <c r="E7" s="355"/>
      <c r="F7" s="356"/>
      <c r="G7" s="94"/>
      <c r="H7" s="350"/>
      <c r="I7" s="94"/>
      <c r="J7" s="94"/>
      <c r="M7" s="98"/>
      <c r="N7" s="353"/>
      <c r="O7" s="98"/>
      <c r="P7" s="98"/>
      <c r="Q7" s="98"/>
    </row>
    <row r="8" ht="15.75" customHeight="1">
      <c r="A8" s="94"/>
      <c r="B8" s="357"/>
      <c r="D8" s="358" t="s">
        <v>905</v>
      </c>
      <c r="E8" s="359" t="s">
        <v>906</v>
      </c>
      <c r="F8" s="356"/>
      <c r="H8" s="360"/>
      <c r="I8" s="94"/>
      <c r="M8" s="98"/>
      <c r="N8" s="353"/>
      <c r="O8" s="98"/>
      <c r="P8" s="98"/>
      <c r="Q8" s="98"/>
    </row>
    <row r="9" ht="15.75" customHeight="1">
      <c r="A9" s="94"/>
      <c r="B9" s="94"/>
      <c r="D9" s="361" t="s">
        <v>907</v>
      </c>
      <c r="E9" s="362" t="s">
        <v>908</v>
      </c>
      <c r="F9" s="352"/>
      <c r="H9" s="360"/>
      <c r="I9" s="94"/>
      <c r="M9" s="98"/>
      <c r="N9" s="353"/>
      <c r="O9" s="98"/>
      <c r="P9" s="128"/>
      <c r="Q9" s="98"/>
    </row>
    <row r="10" ht="15.75" customHeight="1">
      <c r="A10" s="94"/>
      <c r="B10" s="94"/>
      <c r="D10" s="361" t="s">
        <v>909</v>
      </c>
      <c r="E10" s="363" t="s">
        <v>908</v>
      </c>
      <c r="F10" s="352"/>
      <c r="H10" s="364"/>
      <c r="I10" s="94"/>
      <c r="J10" s="94"/>
      <c r="M10" s="98"/>
      <c r="N10" s="353"/>
      <c r="O10" s="98"/>
      <c r="P10" s="128"/>
      <c r="Q10" s="98"/>
    </row>
    <row r="11" ht="15.75" customHeight="1">
      <c r="A11" s="94"/>
      <c r="B11" s="94"/>
      <c r="D11" s="361" t="s">
        <v>910</v>
      </c>
      <c r="E11" s="362" t="s">
        <v>908</v>
      </c>
      <c r="F11" s="352"/>
      <c r="G11" s="94"/>
      <c r="H11" s="364"/>
      <c r="I11" s="94"/>
      <c r="J11" s="94"/>
      <c r="M11" s="98"/>
      <c r="N11" s="353"/>
      <c r="O11" s="98"/>
      <c r="P11" s="128"/>
      <c r="Q11" s="98"/>
    </row>
    <row r="12" ht="15.75" customHeight="1">
      <c r="A12" s="94"/>
      <c r="B12" s="94"/>
      <c r="D12" s="365" t="s">
        <v>911</v>
      </c>
      <c r="E12" s="366" t="s">
        <v>908</v>
      </c>
      <c r="F12" s="352"/>
      <c r="G12" s="94"/>
      <c r="H12" s="364"/>
      <c r="I12" s="94"/>
      <c r="J12" s="94"/>
      <c r="M12" s="98"/>
      <c r="N12" s="353"/>
      <c r="O12" s="98"/>
      <c r="P12" s="128"/>
      <c r="Q12" s="98"/>
    </row>
    <row r="13" ht="15.75" customHeight="1">
      <c r="A13" s="94"/>
      <c r="B13" s="94"/>
      <c r="G13" s="94"/>
      <c r="H13" s="364"/>
      <c r="I13" s="94"/>
      <c r="J13" s="94"/>
      <c r="M13" s="98"/>
      <c r="N13" s="353"/>
      <c r="O13" s="98"/>
      <c r="P13" s="128"/>
      <c r="Q13" s="98"/>
    </row>
    <row r="14" ht="15.75" customHeight="1">
      <c r="A14" s="94"/>
      <c r="B14" s="354" t="s">
        <v>912</v>
      </c>
      <c r="E14" s="364"/>
      <c r="F14" s="364"/>
      <c r="G14" s="364"/>
      <c r="H14" s="364"/>
      <c r="I14" s="364"/>
      <c r="J14" s="364"/>
      <c r="K14" s="364"/>
      <c r="L14" s="94"/>
      <c r="M14" s="94"/>
      <c r="N14" s="353"/>
      <c r="O14" s="98"/>
      <c r="P14" s="128"/>
      <c r="Q14" s="98"/>
    </row>
    <row r="15" ht="15.75" customHeight="1">
      <c r="A15" s="94"/>
      <c r="B15" s="351"/>
      <c r="E15" s="364"/>
      <c r="F15" s="364"/>
      <c r="G15" s="364"/>
      <c r="H15" s="364"/>
      <c r="I15" s="364"/>
      <c r="J15" s="364"/>
      <c r="K15" s="364"/>
      <c r="L15" s="94"/>
      <c r="M15" s="94"/>
      <c r="N15" s="353"/>
      <c r="O15" s="98"/>
      <c r="P15" s="128"/>
      <c r="Q15" s="98"/>
    </row>
    <row r="16" ht="15.75" customHeight="1">
      <c r="A16" s="94"/>
      <c r="B16" s="94"/>
      <c r="D16" s="357" t="s">
        <v>913</v>
      </c>
      <c r="E16" s="364"/>
      <c r="F16" s="364"/>
      <c r="G16" s="364"/>
      <c r="H16" s="364"/>
      <c r="I16" s="364"/>
      <c r="J16" s="364"/>
      <c r="K16" s="364"/>
      <c r="L16" s="94"/>
      <c r="M16" s="94"/>
      <c r="N16" s="353"/>
      <c r="O16" s="98"/>
      <c r="P16" s="128"/>
      <c r="Q16" s="98"/>
    </row>
    <row r="17" ht="15.75" customHeight="1">
      <c r="A17" s="94"/>
      <c r="B17" s="94"/>
      <c r="D17" s="367" t="s">
        <v>914</v>
      </c>
      <c r="E17" s="368" t="s">
        <v>915</v>
      </c>
      <c r="F17" s="368" t="s">
        <v>886</v>
      </c>
      <c r="G17" s="368" t="s">
        <v>916</v>
      </c>
      <c r="H17" s="369" t="s">
        <v>917</v>
      </c>
      <c r="I17" s="364"/>
      <c r="J17" s="364"/>
      <c r="K17" s="370" t="s">
        <v>918</v>
      </c>
      <c r="L17" s="371"/>
      <c r="N17" s="98"/>
      <c r="O17" s="128"/>
      <c r="P17" s="98"/>
      <c r="Q17" s="98"/>
    </row>
    <row r="18" ht="15.75" customHeight="1">
      <c r="A18" s="94"/>
      <c r="B18" s="94"/>
      <c r="C18" s="372"/>
      <c r="D18" s="373">
        <v>46189.0</v>
      </c>
      <c r="E18" s="374" t="s">
        <v>919</v>
      </c>
      <c r="F18" s="374">
        <v>2.3875330392843E9</v>
      </c>
      <c r="G18" s="374">
        <v>2.39048318837E9</v>
      </c>
      <c r="H18" s="375">
        <f t="shared" ref="H18:H19" si="1">G18-F18</f>
        <v>2950149.086</v>
      </c>
      <c r="I18" s="364"/>
      <c r="J18" s="364"/>
      <c r="K18" s="376"/>
      <c r="L18" s="153"/>
      <c r="N18" s="98"/>
      <c r="O18" s="128"/>
      <c r="P18" s="98"/>
      <c r="Q18" s="98"/>
    </row>
    <row r="19" ht="15.0" hidden="1" customHeight="1">
      <c r="A19" s="94"/>
      <c r="B19" s="94"/>
      <c r="C19" s="372"/>
      <c r="D19" s="373">
        <v>46188.0</v>
      </c>
      <c r="E19" s="374" t="s">
        <v>919</v>
      </c>
      <c r="F19" s="374">
        <v>2.3861242975543E9</v>
      </c>
      <c r="G19" s="374">
        <v>2.391451638E9</v>
      </c>
      <c r="H19" s="375">
        <f t="shared" si="1"/>
        <v>5327340.446</v>
      </c>
      <c r="K19" s="94"/>
      <c r="L19" s="94"/>
      <c r="M19" s="94"/>
      <c r="N19" s="98"/>
      <c r="O19" s="128"/>
      <c r="P19" s="98"/>
      <c r="Q19" s="98"/>
    </row>
    <row r="20" ht="15.0" customHeight="1">
      <c r="A20" s="94"/>
      <c r="B20" s="94"/>
      <c r="K20" s="94"/>
      <c r="L20" s="94"/>
      <c r="M20" s="94"/>
      <c r="N20" s="98"/>
      <c r="O20" s="128"/>
      <c r="P20" s="98"/>
      <c r="Q20" s="98"/>
    </row>
    <row r="21" ht="15.75" customHeight="1">
      <c r="A21" s="94"/>
      <c r="B21" s="94"/>
      <c r="D21" s="377" t="s">
        <v>920</v>
      </c>
      <c r="E21" s="378"/>
      <c r="F21" s="378"/>
      <c r="G21" s="378"/>
      <c r="H21" s="378"/>
      <c r="I21" s="378"/>
      <c r="J21" s="378"/>
      <c r="K21" s="378"/>
      <c r="L21" s="378"/>
      <c r="M21" s="378"/>
      <c r="N21" s="379"/>
      <c r="O21" s="128"/>
      <c r="P21" s="98"/>
      <c r="Q21" s="98"/>
    </row>
    <row r="22" ht="15.75" customHeight="1">
      <c r="A22" s="94"/>
      <c r="B22" s="380" t="s">
        <v>921</v>
      </c>
      <c r="C22" s="381" t="s">
        <v>922</v>
      </c>
      <c r="D22" s="380" t="s">
        <v>914</v>
      </c>
      <c r="E22" s="382" t="s">
        <v>923</v>
      </c>
      <c r="F22" s="382" t="s">
        <v>886</v>
      </c>
      <c r="G22" s="382" t="s">
        <v>916</v>
      </c>
      <c r="H22" s="383" t="s">
        <v>924</v>
      </c>
      <c r="I22" s="5"/>
      <c r="J22" s="5"/>
      <c r="K22" s="6"/>
      <c r="L22" s="384" t="s">
        <v>925</v>
      </c>
      <c r="M22" s="5"/>
      <c r="N22" s="385"/>
      <c r="O22" s="128"/>
      <c r="P22" s="98"/>
      <c r="Q22" s="98"/>
    </row>
    <row r="23" ht="33.0" customHeight="1">
      <c r="A23" s="165"/>
      <c r="B23" s="386" t="s">
        <v>926</v>
      </c>
      <c r="C23" s="387"/>
      <c r="D23" s="388">
        <v>46112.0</v>
      </c>
      <c r="E23" s="389" t="s">
        <v>140</v>
      </c>
      <c r="F23" s="387">
        <v>15.91</v>
      </c>
      <c r="G23" s="387">
        <v>0.0</v>
      </c>
      <c r="H23" s="390" t="s">
        <v>927</v>
      </c>
      <c r="I23" s="5"/>
      <c r="J23" s="5"/>
      <c r="K23" s="6"/>
      <c r="L23" s="390" t="s">
        <v>928</v>
      </c>
      <c r="M23" s="5"/>
      <c r="N23" s="385"/>
      <c r="O23" s="34"/>
      <c r="P23" s="165"/>
      <c r="Q23" s="165"/>
    </row>
    <row r="24" ht="33.0" customHeight="1">
      <c r="A24" s="165"/>
      <c r="B24" s="386" t="s">
        <v>926</v>
      </c>
      <c r="C24" s="387"/>
      <c r="D24" s="388">
        <v>46140.0</v>
      </c>
      <c r="E24" s="389" t="s">
        <v>140</v>
      </c>
      <c r="F24" s="387">
        <v>1.21</v>
      </c>
      <c r="G24" s="387">
        <v>0.0</v>
      </c>
      <c r="H24" s="390" t="s">
        <v>929</v>
      </c>
      <c r="I24" s="5"/>
      <c r="J24" s="5"/>
      <c r="K24" s="6"/>
      <c r="L24" s="390" t="s">
        <v>928</v>
      </c>
      <c r="M24" s="5"/>
      <c r="N24" s="385"/>
      <c r="O24" s="34"/>
      <c r="P24" s="391"/>
      <c r="Q24" s="165"/>
    </row>
    <row r="25" ht="33.0" customHeight="1">
      <c r="A25" s="165"/>
      <c r="B25" s="386" t="s">
        <v>930</v>
      </c>
      <c r="C25" s="392"/>
      <c r="D25" s="388">
        <v>46157.0</v>
      </c>
      <c r="E25" s="389" t="s">
        <v>140</v>
      </c>
      <c r="F25" s="387">
        <v>-2634.0</v>
      </c>
      <c r="G25" s="387">
        <v>-2634.0</v>
      </c>
      <c r="H25" s="390" t="s">
        <v>931</v>
      </c>
      <c r="I25" s="5"/>
      <c r="J25" s="5"/>
      <c r="K25" s="6"/>
      <c r="L25" s="390" t="s">
        <v>932</v>
      </c>
      <c r="M25" s="5"/>
      <c r="N25" s="385"/>
      <c r="O25" s="34"/>
      <c r="P25" s="391"/>
      <c r="Q25" s="165"/>
    </row>
    <row r="26" ht="33.0" customHeight="1">
      <c r="A26" s="165"/>
      <c r="B26" s="386" t="s">
        <v>930</v>
      </c>
      <c r="C26" s="392"/>
      <c r="D26" s="388">
        <v>46162.0</v>
      </c>
      <c r="E26" s="389" t="s">
        <v>140</v>
      </c>
      <c r="F26" s="387">
        <v>-59986.67</v>
      </c>
      <c r="G26" s="387">
        <v>0.0</v>
      </c>
      <c r="H26" s="393" t="s">
        <v>933</v>
      </c>
      <c r="I26" s="5"/>
      <c r="J26" s="5"/>
      <c r="K26" s="6"/>
      <c r="L26" s="390" t="s">
        <v>932</v>
      </c>
      <c r="M26" s="5"/>
      <c r="N26" s="385"/>
      <c r="O26" s="34"/>
      <c r="P26" s="391"/>
      <c r="Q26" s="165"/>
    </row>
    <row r="27" ht="33.0" customHeight="1">
      <c r="A27" s="165"/>
      <c r="B27" s="386" t="s">
        <v>930</v>
      </c>
      <c r="C27" s="392"/>
      <c r="D27" s="388">
        <v>46163.0</v>
      </c>
      <c r="E27" s="389" t="s">
        <v>140</v>
      </c>
      <c r="F27" s="387">
        <v>80.0</v>
      </c>
      <c r="G27" s="387">
        <v>0.0</v>
      </c>
      <c r="H27" s="390" t="s">
        <v>934</v>
      </c>
      <c r="I27" s="5"/>
      <c r="J27" s="5"/>
      <c r="K27" s="6"/>
      <c r="L27" s="390" t="s">
        <v>928</v>
      </c>
      <c r="M27" s="5"/>
      <c r="N27" s="385"/>
      <c r="O27" s="34"/>
      <c r="P27" s="391"/>
      <c r="Q27" s="165"/>
    </row>
    <row r="28" ht="33.0" customHeight="1">
      <c r="A28" s="165"/>
      <c r="B28" s="386" t="s">
        <v>930</v>
      </c>
      <c r="C28" s="392"/>
      <c r="D28" s="388">
        <v>46163.0</v>
      </c>
      <c r="E28" s="389" t="s">
        <v>140</v>
      </c>
      <c r="F28" s="387">
        <v>62377.29</v>
      </c>
      <c r="G28" s="387">
        <v>0.0</v>
      </c>
      <c r="H28" s="390" t="s">
        <v>935</v>
      </c>
      <c r="I28" s="5"/>
      <c r="J28" s="5"/>
      <c r="K28" s="6"/>
      <c r="L28" s="390" t="s">
        <v>932</v>
      </c>
      <c r="M28" s="5"/>
      <c r="N28" s="385"/>
      <c r="O28" s="34"/>
      <c r="P28" s="391"/>
      <c r="Q28" s="165"/>
    </row>
    <row r="29" ht="33.0" customHeight="1">
      <c r="A29" s="165"/>
      <c r="B29" s="386" t="s">
        <v>930</v>
      </c>
      <c r="C29" s="392"/>
      <c r="D29" s="388">
        <v>46163.0</v>
      </c>
      <c r="E29" s="389" t="s">
        <v>140</v>
      </c>
      <c r="F29" s="387">
        <v>7555.56</v>
      </c>
      <c r="G29" s="387">
        <v>0.0</v>
      </c>
      <c r="H29" s="390" t="s">
        <v>936</v>
      </c>
      <c r="I29" s="5"/>
      <c r="J29" s="5"/>
      <c r="K29" s="6"/>
      <c r="L29" s="390" t="s">
        <v>928</v>
      </c>
      <c r="M29" s="5"/>
      <c r="N29" s="385"/>
      <c r="O29" s="34"/>
      <c r="P29" s="391"/>
      <c r="Q29" s="165"/>
    </row>
    <row r="30" ht="33.0" customHeight="1">
      <c r="A30" s="165"/>
      <c r="B30" s="386" t="s">
        <v>930</v>
      </c>
      <c r="C30" s="392"/>
      <c r="D30" s="388">
        <v>46177.0</v>
      </c>
      <c r="E30" s="389" t="s">
        <v>140</v>
      </c>
      <c r="F30" s="387">
        <v>0.5</v>
      </c>
      <c r="G30" s="387">
        <v>0.0</v>
      </c>
      <c r="H30" s="394" t="s">
        <v>937</v>
      </c>
      <c r="I30" s="5"/>
      <c r="J30" s="5"/>
      <c r="K30" s="6"/>
      <c r="L30" s="390" t="s">
        <v>938</v>
      </c>
      <c r="M30" s="5"/>
      <c r="N30" s="385"/>
      <c r="O30" s="34"/>
      <c r="P30" s="391"/>
      <c r="Q30" s="165"/>
    </row>
    <row r="31" ht="33.0" customHeight="1">
      <c r="A31" s="165"/>
      <c r="B31" s="386" t="s">
        <v>930</v>
      </c>
      <c r="C31" s="392"/>
      <c r="D31" s="388">
        <v>46181.0</v>
      </c>
      <c r="E31" s="389" t="s">
        <v>140</v>
      </c>
      <c r="F31" s="387">
        <v>20050.0</v>
      </c>
      <c r="G31" s="387">
        <v>0.0</v>
      </c>
      <c r="H31" s="390" t="s">
        <v>939</v>
      </c>
      <c r="I31" s="5"/>
      <c r="J31" s="5"/>
      <c r="K31" s="6"/>
      <c r="L31" s="390" t="s">
        <v>940</v>
      </c>
      <c r="M31" s="5"/>
      <c r="N31" s="385"/>
      <c r="O31" s="34"/>
      <c r="P31" s="391"/>
      <c r="Q31" s="165"/>
    </row>
    <row r="32" ht="33.0" customHeight="1">
      <c r="A32" s="165"/>
      <c r="B32" s="386" t="s">
        <v>930</v>
      </c>
      <c r="C32" s="392"/>
      <c r="D32" s="388">
        <v>46181.0</v>
      </c>
      <c r="E32" s="389" t="s">
        <v>140</v>
      </c>
      <c r="F32" s="387">
        <v>-20988.41</v>
      </c>
      <c r="G32" s="387">
        <v>0.0</v>
      </c>
      <c r="H32" s="390" t="s">
        <v>941</v>
      </c>
      <c r="I32" s="5"/>
      <c r="J32" s="5"/>
      <c r="K32" s="6"/>
      <c r="L32" s="390" t="s">
        <v>942</v>
      </c>
      <c r="M32" s="5"/>
      <c r="N32" s="385"/>
      <c r="O32" s="34"/>
      <c r="P32" s="391"/>
      <c r="Q32" s="165"/>
    </row>
    <row r="33" ht="33.0" customHeight="1">
      <c r="A33" s="165"/>
      <c r="B33" s="386" t="s">
        <v>930</v>
      </c>
      <c r="C33" s="392"/>
      <c r="D33" s="388">
        <v>46182.0</v>
      </c>
      <c r="E33" s="389" t="s">
        <v>140</v>
      </c>
      <c r="F33" s="387">
        <v>-20000.0</v>
      </c>
      <c r="G33" s="387">
        <v>0.0</v>
      </c>
      <c r="H33" s="390" t="s">
        <v>943</v>
      </c>
      <c r="I33" s="5"/>
      <c r="J33" s="5"/>
      <c r="K33" s="6"/>
      <c r="L33" s="390" t="s">
        <v>944</v>
      </c>
      <c r="M33" s="5"/>
      <c r="N33" s="385"/>
      <c r="O33" s="34"/>
      <c r="P33" s="391"/>
      <c r="Q33" s="165"/>
    </row>
    <row r="34" ht="33.0" customHeight="1">
      <c r="A34" s="165"/>
      <c r="B34" s="386" t="s">
        <v>930</v>
      </c>
      <c r="C34" s="392"/>
      <c r="D34" s="388">
        <v>46189.0</v>
      </c>
      <c r="E34" s="389" t="s">
        <v>140</v>
      </c>
      <c r="F34" s="387">
        <v>-18184.43</v>
      </c>
      <c r="G34" s="387">
        <v>0.0</v>
      </c>
      <c r="H34" s="390" t="s">
        <v>945</v>
      </c>
      <c r="I34" s="5"/>
      <c r="J34" s="5"/>
      <c r="K34" s="6"/>
      <c r="L34" s="390" t="s">
        <v>946</v>
      </c>
      <c r="M34" s="5"/>
      <c r="N34" s="385"/>
      <c r="O34" s="34"/>
      <c r="P34" s="391"/>
      <c r="Q34" s="165"/>
    </row>
    <row r="35" ht="33.0" customHeight="1">
      <c r="A35" s="165"/>
      <c r="B35" s="386" t="s">
        <v>930</v>
      </c>
      <c r="C35" s="392"/>
      <c r="D35" s="388">
        <v>46189.0</v>
      </c>
      <c r="E35" s="389" t="s">
        <v>140</v>
      </c>
      <c r="F35" s="387">
        <v>21672.66</v>
      </c>
      <c r="G35" s="387">
        <v>0.0</v>
      </c>
      <c r="H35" s="390" t="s">
        <v>947</v>
      </c>
      <c r="I35" s="5"/>
      <c r="J35" s="5"/>
      <c r="K35" s="6"/>
      <c r="L35" s="395" t="s">
        <v>948</v>
      </c>
      <c r="M35" s="5"/>
      <c r="N35" s="385"/>
      <c r="O35" s="34"/>
      <c r="P35" s="391"/>
      <c r="Q35" s="165"/>
    </row>
    <row r="36" ht="33.0" customHeight="1">
      <c r="A36" s="165"/>
      <c r="B36" s="386" t="s">
        <v>930</v>
      </c>
      <c r="C36" s="392"/>
      <c r="D36" s="388">
        <v>46189.0</v>
      </c>
      <c r="E36" s="389" t="s">
        <v>140</v>
      </c>
      <c r="F36" s="387">
        <v>0.0</v>
      </c>
      <c r="G36" s="387">
        <v>-18184.43</v>
      </c>
      <c r="H36" s="390" t="s">
        <v>949</v>
      </c>
      <c r="I36" s="5"/>
      <c r="J36" s="5"/>
      <c r="K36" s="6"/>
      <c r="L36" s="390" t="s">
        <v>950</v>
      </c>
      <c r="M36" s="5"/>
      <c r="N36" s="385"/>
      <c r="O36" s="34"/>
      <c r="P36" s="391"/>
      <c r="Q36" s="165"/>
    </row>
    <row r="37" ht="33.0" customHeight="1">
      <c r="A37" s="165"/>
      <c r="B37" s="386" t="s">
        <v>930</v>
      </c>
      <c r="C37" s="392"/>
      <c r="D37" s="388">
        <v>46189.0</v>
      </c>
      <c r="E37" s="389" t="s">
        <v>140</v>
      </c>
      <c r="F37" s="387">
        <v>0.0</v>
      </c>
      <c r="G37" s="387">
        <v>14930.71</v>
      </c>
      <c r="H37" s="390" t="s">
        <v>951</v>
      </c>
      <c r="I37" s="5"/>
      <c r="J37" s="5"/>
      <c r="K37" s="6"/>
      <c r="L37" s="390" t="s">
        <v>946</v>
      </c>
      <c r="M37" s="5"/>
      <c r="N37" s="385"/>
      <c r="O37" s="34"/>
      <c r="P37" s="391"/>
      <c r="Q37" s="165"/>
    </row>
    <row r="38" ht="15.75" customHeight="1">
      <c r="A38" s="94"/>
      <c r="C38" s="357"/>
      <c r="D38" s="357"/>
      <c r="F38" s="396"/>
      <c r="H38" s="22"/>
      <c r="K38" s="94"/>
      <c r="L38" s="94"/>
      <c r="O38" s="397"/>
      <c r="P38" s="98"/>
      <c r="Q38" s="98"/>
    </row>
    <row r="39" ht="15.75" customHeight="1">
      <c r="A39" s="94"/>
      <c r="C39" s="357"/>
      <c r="D39" s="357"/>
      <c r="H39" s="22"/>
      <c r="K39" s="94"/>
      <c r="L39" s="94"/>
      <c r="O39" s="397"/>
      <c r="P39" s="98"/>
      <c r="Q39" s="98"/>
    </row>
    <row r="40" ht="15.75" customHeight="1">
      <c r="A40" s="94"/>
      <c r="C40" s="357"/>
      <c r="D40" s="357" t="s">
        <v>952</v>
      </c>
      <c r="K40" s="94"/>
      <c r="L40" s="94"/>
      <c r="O40" s="397"/>
      <c r="P40" s="128"/>
      <c r="Q40" s="98"/>
    </row>
    <row r="41" ht="26.25" customHeight="1">
      <c r="A41" s="94"/>
      <c r="C41" s="357"/>
      <c r="D41" s="398" t="s">
        <v>914</v>
      </c>
      <c r="E41" s="399" t="s">
        <v>915</v>
      </c>
      <c r="F41" s="399" t="s">
        <v>886</v>
      </c>
      <c r="G41" s="399" t="s">
        <v>916</v>
      </c>
      <c r="H41" s="400" t="s">
        <v>917</v>
      </c>
      <c r="I41" s="397"/>
      <c r="J41" s="397"/>
      <c r="K41" s="94"/>
      <c r="L41" s="94"/>
      <c r="O41" s="397"/>
      <c r="P41" s="128"/>
      <c r="Q41" s="98"/>
    </row>
    <row r="42" ht="15.75" customHeight="1">
      <c r="A42" s="94"/>
      <c r="C42" s="357"/>
      <c r="D42" s="401">
        <f>D18</f>
        <v>46189</v>
      </c>
      <c r="E42" s="402" t="s">
        <v>919</v>
      </c>
      <c r="F42" s="402">
        <f t="shared" ref="F42:G42" si="2">F18+SUM(F23:F37)</f>
        <v>2387522999</v>
      </c>
      <c r="G42" s="402">
        <f t="shared" si="2"/>
        <v>2390477301</v>
      </c>
      <c r="H42" s="403">
        <f>G42-F42</f>
        <v>2954301.746</v>
      </c>
      <c r="I42" s="404"/>
      <c r="J42" s="94"/>
      <c r="K42" s="131"/>
      <c r="O42" s="397"/>
      <c r="P42" s="98"/>
      <c r="Q42" s="98"/>
    </row>
    <row r="43" ht="15.75" customHeight="1">
      <c r="A43" s="94"/>
      <c r="C43" s="357"/>
      <c r="J43" s="350"/>
      <c r="K43" s="94"/>
      <c r="L43" s="94"/>
      <c r="O43" s="405"/>
      <c r="P43" s="94"/>
      <c r="Q43" s="98"/>
    </row>
    <row r="44" ht="15.75" customHeight="1">
      <c r="A44" s="94"/>
      <c r="C44" s="357"/>
      <c r="E44" s="22"/>
      <c r="F44" s="22"/>
      <c r="H44" s="358" t="s">
        <v>953</v>
      </c>
      <c r="I44" s="406">
        <f>M57-M66-M75+M83</f>
        <v>2954301.75</v>
      </c>
      <c r="J44" s="364"/>
      <c r="K44" s="94"/>
      <c r="L44" s="407" t="s">
        <v>954</v>
      </c>
      <c r="M44" s="5"/>
      <c r="N44" s="6"/>
      <c r="O44" s="405"/>
      <c r="P44" s="94"/>
      <c r="Q44" s="98"/>
    </row>
    <row r="45" ht="15.75" customHeight="1">
      <c r="A45" s="94"/>
      <c r="C45" s="357"/>
      <c r="E45" s="408"/>
      <c r="F45" s="409"/>
      <c r="H45" s="365" t="s">
        <v>955</v>
      </c>
      <c r="I45" s="410">
        <f>H42-I44-M71</f>
        <v>-0.00429964019</v>
      </c>
      <c r="J45" s="94"/>
      <c r="K45" s="94"/>
      <c r="O45" s="405"/>
      <c r="P45" s="94"/>
      <c r="Q45" s="98"/>
    </row>
    <row r="46" ht="15.75" customHeight="1">
      <c r="A46" s="94"/>
      <c r="B46" s="94"/>
      <c r="C46" s="357"/>
      <c r="F46" s="22"/>
      <c r="G46" s="22"/>
      <c r="H46" s="94"/>
      <c r="I46" s="94"/>
      <c r="J46" s="94"/>
      <c r="K46" s="94"/>
      <c r="L46" s="94"/>
      <c r="O46" s="405"/>
      <c r="P46" s="94"/>
      <c r="Q46" s="98"/>
    </row>
    <row r="47" ht="15.75" customHeight="1">
      <c r="A47" s="94"/>
      <c r="B47" s="94"/>
      <c r="C47" s="357"/>
      <c r="F47" s="22"/>
      <c r="G47" s="22"/>
      <c r="H47" s="411"/>
      <c r="I47" s="22"/>
      <c r="J47" s="94"/>
      <c r="O47" s="22"/>
      <c r="P47" s="128"/>
      <c r="Q47" s="98"/>
    </row>
    <row r="48" ht="15.75" customHeight="1">
      <c r="A48" s="94"/>
      <c r="C48" s="357"/>
      <c r="D48" s="354" t="s">
        <v>864</v>
      </c>
      <c r="G48" s="22"/>
      <c r="H48" s="412"/>
      <c r="I48" s="94"/>
      <c r="J48" s="94"/>
      <c r="P48" s="128"/>
      <c r="Q48" s="98"/>
    </row>
    <row r="49" ht="15.75" customHeight="1">
      <c r="A49" s="94"/>
      <c r="B49" s="351"/>
      <c r="C49" s="357"/>
      <c r="D49" s="412"/>
      <c r="E49" s="412"/>
      <c r="F49" s="412"/>
      <c r="G49" s="412"/>
      <c r="M49" s="98"/>
      <c r="N49" s="397"/>
      <c r="P49" s="128"/>
      <c r="Q49" s="98"/>
    </row>
    <row r="50" ht="15.75" customHeight="1">
      <c r="A50" s="94"/>
      <c r="B50" s="98"/>
      <c r="C50" s="357"/>
      <c r="D50" s="357" t="s">
        <v>956</v>
      </c>
      <c r="E50" s="94"/>
      <c r="F50" s="94"/>
      <c r="G50" s="94"/>
      <c r="H50" s="94"/>
      <c r="I50" s="94"/>
      <c r="J50" s="397"/>
      <c r="K50" s="94"/>
      <c r="L50" s="94"/>
      <c r="M50" s="94"/>
      <c r="N50" s="353"/>
      <c r="P50" s="128"/>
      <c r="Q50" s="98"/>
    </row>
    <row r="51" ht="6.0" customHeight="1">
      <c r="A51" s="94"/>
      <c r="B51" s="98"/>
      <c r="C51" s="357"/>
      <c r="N51" s="353"/>
      <c r="O51" s="98"/>
      <c r="P51" s="128"/>
      <c r="Q51" s="98"/>
    </row>
    <row r="52" ht="15.75" customHeight="1">
      <c r="A52" s="94"/>
      <c r="B52" s="98"/>
      <c r="C52" s="357"/>
      <c r="D52" s="413" t="s">
        <v>34</v>
      </c>
      <c r="E52" s="414" t="s">
        <v>957</v>
      </c>
      <c r="F52" s="415"/>
      <c r="G52" s="416" t="s">
        <v>958</v>
      </c>
      <c r="H52" s="417" t="s">
        <v>959</v>
      </c>
      <c r="I52" s="415"/>
      <c r="J52" s="418" t="s">
        <v>960</v>
      </c>
      <c r="K52" s="415"/>
      <c r="L52" s="419"/>
      <c r="M52" s="420" t="s">
        <v>961</v>
      </c>
      <c r="N52" s="353"/>
      <c r="O52" s="98"/>
      <c r="P52" s="128"/>
      <c r="Q52" s="98"/>
    </row>
    <row r="53" ht="15.75" customHeight="1">
      <c r="A53" s="94"/>
      <c r="B53" s="98"/>
      <c r="C53" s="357"/>
      <c r="D53" s="421">
        <f>E4</f>
        <v>46189</v>
      </c>
      <c r="E53" s="364" t="s">
        <v>962</v>
      </c>
      <c r="G53" s="422"/>
      <c r="H53" s="423"/>
      <c r="J53" s="423"/>
      <c r="L53" s="422"/>
      <c r="M53" s="424">
        <f>VLOOKUP("TOTAL INTERNAL CREDIT:", '8. CISA Citi v Ledger'!M:N, 2, FALSE)</f>
        <v>2958695.42</v>
      </c>
      <c r="N53" s="353"/>
      <c r="O53" s="128"/>
      <c r="P53" s="128"/>
      <c r="Q53" s="98"/>
    </row>
    <row r="54" ht="15.75" customHeight="1">
      <c r="A54" s="94"/>
      <c r="B54" s="98"/>
      <c r="C54" s="357"/>
      <c r="D54" s="421"/>
      <c r="E54" s="364"/>
      <c r="H54" s="423"/>
      <c r="J54" s="423"/>
      <c r="M54" s="424"/>
      <c r="N54" s="353"/>
      <c r="O54" s="128"/>
      <c r="P54" s="128"/>
      <c r="Q54" s="98"/>
    </row>
    <row r="55" ht="15.75" customHeight="1">
      <c r="A55" s="94"/>
      <c r="B55" s="98"/>
      <c r="C55" s="357"/>
      <c r="D55" s="425"/>
      <c r="E55" s="423"/>
      <c r="G55" s="426"/>
      <c r="H55" s="423"/>
      <c r="J55" s="423"/>
      <c r="L55" s="426"/>
      <c r="M55" s="424"/>
      <c r="N55" s="353"/>
      <c r="O55" s="128"/>
      <c r="P55" s="128"/>
      <c r="Q55" s="98"/>
    </row>
    <row r="56" ht="15.75" customHeight="1">
      <c r="A56" s="94"/>
      <c r="B56" s="98"/>
      <c r="C56" s="357"/>
      <c r="D56" s="427"/>
      <c r="E56" s="423"/>
      <c r="G56" s="128"/>
      <c r="H56" s="423"/>
      <c r="J56" s="423"/>
      <c r="L56" s="94"/>
      <c r="M56" s="428"/>
      <c r="N56" s="353"/>
      <c r="O56" s="128"/>
      <c r="P56" s="128"/>
      <c r="Q56" s="98"/>
    </row>
    <row r="57" ht="15.75" customHeight="1">
      <c r="A57" s="94"/>
      <c r="B57" s="98"/>
      <c r="C57" s="357"/>
      <c r="D57" s="429" t="s">
        <v>872</v>
      </c>
      <c r="E57" s="430"/>
      <c r="F57" s="430"/>
      <c r="G57" s="431"/>
      <c r="H57" s="430"/>
      <c r="I57" s="430"/>
      <c r="J57" s="430"/>
      <c r="K57" s="430"/>
      <c r="L57" s="432" t="s">
        <v>42</v>
      </c>
      <c r="M57" s="433">
        <f>SUM(M53:M56)</f>
        <v>2958695.42</v>
      </c>
      <c r="N57" s="353"/>
      <c r="O57" s="98"/>
      <c r="P57" s="128"/>
      <c r="Q57" s="98"/>
    </row>
    <row r="58" ht="15.75" customHeight="1">
      <c r="A58" s="94"/>
      <c r="B58" s="98"/>
      <c r="C58" s="357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353"/>
      <c r="O58" s="98"/>
      <c r="P58" s="128"/>
      <c r="Q58" s="98"/>
    </row>
    <row r="59" ht="15.75" customHeight="1">
      <c r="A59" s="94"/>
      <c r="B59" s="98"/>
      <c r="C59" s="357"/>
      <c r="D59" s="357" t="s">
        <v>963</v>
      </c>
      <c r="E59" s="94"/>
      <c r="F59" s="94"/>
      <c r="G59" s="94"/>
      <c r="H59" s="94"/>
      <c r="I59" s="94"/>
      <c r="J59" s="94"/>
      <c r="K59" s="94"/>
      <c r="L59" s="94"/>
      <c r="M59" s="94"/>
      <c r="N59" s="353"/>
      <c r="O59" s="98"/>
      <c r="P59" s="128"/>
      <c r="Q59" s="98"/>
    </row>
    <row r="60" ht="5.25" customHeight="1">
      <c r="A60" s="94"/>
      <c r="B60" s="98"/>
      <c r="C60" s="357"/>
      <c r="N60" s="353"/>
      <c r="O60" s="98"/>
      <c r="P60" s="128"/>
      <c r="Q60" s="98"/>
    </row>
    <row r="61" ht="15.75" customHeight="1">
      <c r="A61" s="94"/>
      <c r="B61" s="98"/>
      <c r="C61" s="357"/>
      <c r="D61" s="413" t="s">
        <v>34</v>
      </c>
      <c r="E61" s="414" t="s">
        <v>957</v>
      </c>
      <c r="F61" s="415"/>
      <c r="G61" s="416" t="s">
        <v>958</v>
      </c>
      <c r="H61" s="417" t="s">
        <v>959</v>
      </c>
      <c r="I61" s="415"/>
      <c r="J61" s="418" t="s">
        <v>960</v>
      </c>
      <c r="K61" s="415"/>
      <c r="L61" s="419"/>
      <c r="M61" s="420" t="s">
        <v>961</v>
      </c>
      <c r="N61" s="353"/>
      <c r="O61" s="98"/>
      <c r="P61" s="128"/>
      <c r="Q61" s="98"/>
    </row>
    <row r="62" ht="15.75" customHeight="1">
      <c r="A62" s="94"/>
      <c r="B62" s="98"/>
      <c r="C62" s="434"/>
      <c r="D62" s="435"/>
      <c r="E62" s="422"/>
      <c r="G62" s="423"/>
      <c r="H62" s="423"/>
      <c r="J62" s="423"/>
      <c r="L62" s="422"/>
      <c r="M62" s="436"/>
      <c r="N62" s="353"/>
      <c r="O62" s="98"/>
      <c r="P62" s="128"/>
      <c r="Q62" s="98"/>
    </row>
    <row r="63" ht="15.75" customHeight="1">
      <c r="A63" s="94"/>
      <c r="B63" s="98"/>
      <c r="C63" s="426"/>
      <c r="D63" s="425"/>
      <c r="E63" s="423"/>
      <c r="G63" s="422"/>
      <c r="H63" s="423"/>
      <c r="J63" s="423"/>
      <c r="L63" s="422"/>
      <c r="M63" s="424"/>
      <c r="N63" s="353"/>
      <c r="O63" s="98"/>
      <c r="P63" s="128"/>
      <c r="Q63" s="98"/>
    </row>
    <row r="64" ht="15.75" customHeight="1">
      <c r="A64" s="94"/>
      <c r="B64" s="98"/>
      <c r="C64" s="426"/>
      <c r="D64" s="425"/>
      <c r="E64" s="423"/>
      <c r="G64" s="426"/>
      <c r="H64" s="423"/>
      <c r="J64" s="423"/>
      <c r="L64" s="426"/>
      <c r="M64" s="428"/>
      <c r="N64" s="353"/>
      <c r="O64" s="98"/>
      <c r="P64" s="128"/>
      <c r="Q64" s="98"/>
    </row>
    <row r="65" ht="15.75" customHeight="1">
      <c r="A65" s="94"/>
      <c r="B65" s="98"/>
      <c r="C65" s="357"/>
      <c r="D65" s="427"/>
      <c r="E65" s="423"/>
      <c r="G65" s="128"/>
      <c r="H65" s="423"/>
      <c r="J65" s="423"/>
      <c r="L65" s="94"/>
      <c r="M65" s="437"/>
      <c r="N65" s="353"/>
      <c r="O65" s="98"/>
      <c r="P65" s="128"/>
      <c r="Q65" s="98"/>
    </row>
    <row r="66" ht="15.75" customHeight="1">
      <c r="A66" s="94"/>
      <c r="B66" s="98"/>
      <c r="C66" s="357"/>
      <c r="D66" s="429" t="s">
        <v>876</v>
      </c>
      <c r="E66" s="430"/>
      <c r="F66" s="430"/>
      <c r="G66" s="430"/>
      <c r="H66" s="430"/>
      <c r="I66" s="430"/>
      <c r="J66" s="430"/>
      <c r="K66" s="430"/>
      <c r="L66" s="432" t="s">
        <v>42</v>
      </c>
      <c r="M66" s="433">
        <f>SUM(M63:M65)</f>
        <v>0</v>
      </c>
      <c r="N66" s="353"/>
      <c r="O66" s="98"/>
      <c r="P66" s="128"/>
      <c r="Q66" s="98"/>
    </row>
    <row r="67" ht="15.75" customHeight="1">
      <c r="B67" s="98"/>
      <c r="C67" s="357"/>
      <c r="D67" s="98"/>
      <c r="E67" s="94"/>
      <c r="F67" s="94"/>
      <c r="G67" s="94"/>
      <c r="H67" s="94"/>
      <c r="I67" s="94"/>
      <c r="J67" s="94"/>
      <c r="K67" s="94"/>
      <c r="L67" s="438"/>
      <c r="M67" s="439"/>
      <c r="N67" s="353"/>
      <c r="O67" s="98"/>
      <c r="P67" s="128"/>
      <c r="Q67" s="98"/>
    </row>
    <row r="68" ht="15.75" customHeight="1">
      <c r="B68" s="351"/>
      <c r="C68" s="357"/>
      <c r="D68" s="357" t="s">
        <v>964</v>
      </c>
      <c r="E68" s="94"/>
      <c r="F68" s="94"/>
      <c r="G68" s="94"/>
      <c r="H68" s="94"/>
      <c r="I68" s="94"/>
      <c r="J68" s="94"/>
      <c r="K68" s="94"/>
      <c r="L68" s="94"/>
      <c r="M68" s="94"/>
      <c r="N68" s="353"/>
      <c r="O68" s="98"/>
      <c r="P68" s="128"/>
      <c r="Q68" s="98"/>
    </row>
    <row r="69" ht="6.0" customHeight="1">
      <c r="B69" s="98"/>
      <c r="C69" s="357"/>
      <c r="D69" s="426"/>
      <c r="E69" s="426"/>
      <c r="F69" s="426"/>
      <c r="G69" s="426"/>
      <c r="H69" s="426"/>
      <c r="I69" s="426"/>
      <c r="J69" s="426"/>
      <c r="K69" s="426"/>
      <c r="L69" s="426"/>
      <c r="M69" s="426"/>
      <c r="N69" s="353"/>
      <c r="O69" s="98"/>
      <c r="P69" s="128"/>
      <c r="Q69" s="98"/>
    </row>
    <row r="70" ht="15.75" customHeight="1">
      <c r="B70" s="98"/>
      <c r="C70" s="357"/>
      <c r="D70" s="413" t="s">
        <v>34</v>
      </c>
      <c r="E70" s="414" t="s">
        <v>957</v>
      </c>
      <c r="F70" s="415"/>
      <c r="G70" s="416" t="s">
        <v>958</v>
      </c>
      <c r="H70" s="417" t="s">
        <v>959</v>
      </c>
      <c r="I70" s="415"/>
      <c r="J70" s="418" t="s">
        <v>960</v>
      </c>
      <c r="K70" s="415"/>
      <c r="L70" s="419"/>
      <c r="M70" s="440" t="s">
        <v>961</v>
      </c>
      <c r="N70" s="353"/>
      <c r="O70" s="98"/>
      <c r="P70" s="128"/>
      <c r="Q70" s="98"/>
    </row>
    <row r="71" ht="12.0" customHeight="1">
      <c r="B71" s="98"/>
      <c r="C71" s="357"/>
      <c r="D71" s="421"/>
      <c r="E71" s="441"/>
      <c r="G71" s="128"/>
      <c r="H71" s="442"/>
      <c r="J71" s="423"/>
      <c r="L71" s="426"/>
      <c r="M71" s="443"/>
      <c r="N71" s="353"/>
      <c r="O71" s="98"/>
      <c r="P71" s="98"/>
      <c r="Q71" s="98"/>
    </row>
    <row r="72" ht="12.0" customHeight="1">
      <c r="B72" s="98"/>
      <c r="C72" s="357"/>
      <c r="D72" s="435"/>
      <c r="E72" s="422"/>
      <c r="G72" s="422"/>
      <c r="H72" s="422"/>
      <c r="J72" s="423"/>
      <c r="L72" s="422"/>
      <c r="M72" s="444"/>
      <c r="N72" s="353"/>
      <c r="O72" s="98"/>
      <c r="P72" s="98"/>
      <c r="Q72" s="98"/>
    </row>
    <row r="73" ht="15.75" customHeight="1">
      <c r="B73" s="98"/>
      <c r="C73" s="357"/>
      <c r="D73" s="425"/>
      <c r="E73" s="423"/>
      <c r="G73" s="426"/>
      <c r="H73" s="423"/>
      <c r="J73" s="423"/>
      <c r="L73" s="426"/>
      <c r="M73" s="428"/>
      <c r="N73" s="353"/>
      <c r="O73" s="98"/>
      <c r="P73" s="98"/>
      <c r="Q73" s="98"/>
    </row>
    <row r="74" ht="15.75" customHeight="1">
      <c r="C74" s="357"/>
      <c r="D74" s="427"/>
      <c r="E74" s="423"/>
      <c r="G74" s="128"/>
      <c r="H74" s="423"/>
      <c r="J74" s="423"/>
      <c r="L74" s="94"/>
      <c r="M74" s="437"/>
      <c r="N74" s="353"/>
      <c r="O74" s="445"/>
      <c r="P74" s="98"/>
      <c r="Q74" s="98"/>
    </row>
    <row r="75" ht="15.75" customHeight="1">
      <c r="C75" s="357"/>
      <c r="D75" s="429" t="s">
        <v>868</v>
      </c>
      <c r="E75" s="430"/>
      <c r="F75" s="430"/>
      <c r="G75" s="430"/>
      <c r="H75" s="430"/>
      <c r="I75" s="430"/>
      <c r="J75" s="430"/>
      <c r="K75" s="430"/>
      <c r="L75" s="432" t="s">
        <v>42</v>
      </c>
      <c r="M75" s="433">
        <f>SUM(M71:M74)</f>
        <v>0</v>
      </c>
      <c r="N75" s="353"/>
      <c r="O75" s="445"/>
      <c r="P75" s="98"/>
      <c r="Q75" s="98"/>
    </row>
    <row r="76" ht="15.75" customHeight="1">
      <c r="B76" s="98"/>
      <c r="C76" s="357"/>
      <c r="D76" s="94"/>
      <c r="E76" s="94"/>
      <c r="F76" s="94"/>
      <c r="G76" s="94"/>
      <c r="H76" s="94"/>
      <c r="I76" s="94"/>
      <c r="J76" s="94"/>
      <c r="K76" s="94"/>
      <c r="L76" s="94"/>
      <c r="M76" s="94"/>
      <c r="O76" s="98"/>
      <c r="P76" s="98"/>
      <c r="Q76" s="98"/>
    </row>
    <row r="77" ht="15.75" customHeight="1">
      <c r="B77" s="98"/>
      <c r="C77" s="357"/>
      <c r="D77" s="357" t="s">
        <v>965</v>
      </c>
      <c r="E77" s="94"/>
      <c r="F77" s="94"/>
      <c r="G77" s="94"/>
      <c r="H77" s="94"/>
      <c r="I77" s="94"/>
      <c r="J77" s="94"/>
      <c r="K77" s="94"/>
      <c r="L77" s="94"/>
      <c r="M77" s="94"/>
      <c r="O77" s="98"/>
      <c r="P77" s="98"/>
      <c r="Q77" s="98"/>
    </row>
    <row r="78" ht="5.25" customHeight="1">
      <c r="B78" s="98"/>
      <c r="C78" s="357"/>
      <c r="D78" s="98"/>
      <c r="E78" s="94"/>
      <c r="F78" s="94"/>
      <c r="G78" s="94"/>
      <c r="H78" s="94"/>
      <c r="I78" s="94"/>
      <c r="J78" s="94"/>
      <c r="K78" s="94"/>
      <c r="L78" s="94"/>
      <c r="M78" s="94"/>
      <c r="O78" s="98"/>
      <c r="P78" s="98"/>
      <c r="Q78" s="98"/>
    </row>
    <row r="79" ht="15.75" customHeight="1">
      <c r="B79" s="98"/>
      <c r="C79" s="357"/>
      <c r="D79" s="413" t="s">
        <v>34</v>
      </c>
      <c r="E79" s="414" t="s">
        <v>957</v>
      </c>
      <c r="F79" s="415"/>
      <c r="G79" s="416" t="s">
        <v>958</v>
      </c>
      <c r="H79" s="417" t="s">
        <v>959</v>
      </c>
      <c r="I79" s="415"/>
      <c r="J79" s="418" t="s">
        <v>960</v>
      </c>
      <c r="K79" s="415"/>
      <c r="L79" s="419"/>
      <c r="M79" s="420" t="s">
        <v>961</v>
      </c>
      <c r="O79" s="98"/>
      <c r="P79" s="98"/>
      <c r="Q79" s="98"/>
    </row>
    <row r="80" ht="15.75" customHeight="1">
      <c r="B80" s="98"/>
      <c r="C80" s="357"/>
      <c r="D80" s="446">
        <f>E4</f>
        <v>46189</v>
      </c>
      <c r="E80" s="173" t="s">
        <v>966</v>
      </c>
      <c r="F80" s="173"/>
      <c r="G80" s="165"/>
      <c r="H80" s="173" t="s">
        <v>967</v>
      </c>
      <c r="I80" s="173"/>
      <c r="J80" s="447"/>
      <c r="K80" s="447"/>
      <c r="L80" s="165"/>
      <c r="M80" s="448">
        <v>-4393.67</v>
      </c>
      <c r="O80" s="98"/>
      <c r="P80" s="98"/>
      <c r="Q80" s="98"/>
    </row>
    <row r="81" ht="15.75" customHeight="1">
      <c r="B81" s="98"/>
      <c r="C81" s="357"/>
      <c r="D81" s="446"/>
      <c r="E81" s="391"/>
      <c r="F81" s="34"/>
      <c r="G81" s="34"/>
      <c r="H81" s="442"/>
      <c r="I81" s="449"/>
      <c r="J81" s="447"/>
      <c r="K81" s="447"/>
      <c r="L81" s="165"/>
      <c r="M81" s="448"/>
      <c r="O81" s="98"/>
      <c r="P81" s="98"/>
      <c r="Q81" s="98"/>
    </row>
    <row r="82" ht="15.75" customHeight="1">
      <c r="B82" s="98"/>
      <c r="C82" s="357"/>
      <c r="D82" s="450"/>
      <c r="E82" s="451"/>
      <c r="G82" s="447"/>
      <c r="H82" s="451"/>
      <c r="J82" s="447"/>
      <c r="L82" s="165"/>
      <c r="M82" s="452"/>
      <c r="N82" s="98"/>
      <c r="O82" s="98"/>
      <c r="P82" s="98"/>
      <c r="Q82" s="98"/>
    </row>
    <row r="83" ht="15.75" customHeight="1">
      <c r="B83" s="98"/>
      <c r="C83" s="357"/>
      <c r="D83" s="429" t="s">
        <v>870</v>
      </c>
      <c r="E83" s="430"/>
      <c r="F83" s="430"/>
      <c r="G83" s="430"/>
      <c r="H83" s="430"/>
      <c r="I83" s="430"/>
      <c r="J83" s="430"/>
      <c r="K83" s="430"/>
      <c r="L83" s="432" t="s">
        <v>42</v>
      </c>
      <c r="M83" s="433">
        <f>SUM(M72:M82)</f>
        <v>-4393.67</v>
      </c>
      <c r="N83" s="98"/>
      <c r="O83" s="98"/>
      <c r="P83" s="98"/>
      <c r="Q83" s="98"/>
    </row>
    <row r="84" ht="15.75" customHeight="1">
      <c r="C84" s="357"/>
      <c r="K84" s="98"/>
      <c r="L84" s="98"/>
      <c r="M84" s="98"/>
      <c r="N84" s="98"/>
      <c r="O84" s="98"/>
      <c r="P84" s="98"/>
      <c r="Q84" s="98"/>
    </row>
    <row r="85" ht="15.75" customHeight="1">
      <c r="K85" s="98"/>
      <c r="L85" s="98"/>
      <c r="M85" s="397"/>
      <c r="N85" s="98"/>
      <c r="O85" s="98"/>
      <c r="P85" s="98"/>
      <c r="Q85" s="98"/>
    </row>
    <row r="86" ht="15.75" customHeight="1">
      <c r="F86" s="98"/>
      <c r="H86" s="98"/>
      <c r="K86" s="98"/>
      <c r="L86" s="98"/>
      <c r="M86" s="397"/>
      <c r="N86" s="98"/>
      <c r="O86" s="98"/>
      <c r="P86" s="98"/>
      <c r="Q86" s="98"/>
    </row>
    <row r="87" ht="18.75" customHeight="1">
      <c r="N87" s="98"/>
      <c r="O87" s="98"/>
      <c r="P87" s="98"/>
      <c r="Q87" s="98"/>
    </row>
    <row r="88" ht="15.0" customHeight="1">
      <c r="N88" s="98"/>
      <c r="O88" s="98"/>
      <c r="P88" s="98"/>
      <c r="Q88" s="98"/>
    </row>
    <row r="89" ht="15.0" customHeight="1">
      <c r="N89" s="98"/>
      <c r="O89" s="98"/>
      <c r="P89" s="98"/>
      <c r="Q89" s="98"/>
    </row>
    <row r="90" ht="15.0" customHeight="1">
      <c r="N90" s="98"/>
      <c r="O90" s="98"/>
      <c r="P90" s="98"/>
      <c r="Q90" s="98"/>
    </row>
    <row r="91" ht="15.0" customHeight="1">
      <c r="N91" s="98"/>
      <c r="O91" s="98"/>
      <c r="P91" s="98"/>
      <c r="Q91" s="98"/>
    </row>
    <row r="92" ht="15.0" customHeight="1">
      <c r="N92" s="98"/>
      <c r="O92" s="98"/>
      <c r="P92" s="98"/>
      <c r="Q92" s="98"/>
    </row>
    <row r="93" ht="18.75" customHeight="1">
      <c r="N93" s="128"/>
      <c r="O93" s="128"/>
      <c r="P93" s="128"/>
      <c r="Q93" s="128"/>
    </row>
    <row r="94" ht="15.75" customHeight="1">
      <c r="N94" s="128"/>
      <c r="O94" s="128"/>
      <c r="P94" s="128"/>
      <c r="Q94" s="128"/>
    </row>
    <row r="95" ht="15.75" customHeight="1">
      <c r="N95" s="128"/>
      <c r="O95" s="128"/>
      <c r="P95" s="128"/>
      <c r="Q95" s="128"/>
    </row>
    <row r="96" ht="15.75" customHeight="1">
      <c r="N96" s="128"/>
      <c r="O96" s="128"/>
      <c r="P96" s="128"/>
      <c r="Q96" s="128"/>
    </row>
    <row r="97" ht="15.75" customHeight="1">
      <c r="N97" s="128"/>
      <c r="O97" s="128"/>
      <c r="P97" s="128"/>
      <c r="Q97" s="128"/>
    </row>
    <row r="98" ht="15.75" customHeight="1">
      <c r="N98" s="128"/>
      <c r="O98" s="128"/>
      <c r="P98" s="128"/>
      <c r="Q98" s="128"/>
    </row>
    <row r="99" ht="15.75" customHeight="1">
      <c r="N99" s="128"/>
      <c r="O99" s="128"/>
      <c r="P99" s="128"/>
      <c r="Q99" s="128"/>
    </row>
    <row r="100" ht="15.75" customHeight="1">
      <c r="N100" s="128"/>
      <c r="O100" s="128"/>
      <c r="P100" s="128"/>
      <c r="Q100" s="128"/>
    </row>
    <row r="101" ht="15.75" customHeight="1">
      <c r="N101" s="128"/>
      <c r="O101" s="128"/>
      <c r="P101" s="128"/>
      <c r="Q101" s="128"/>
    </row>
    <row r="102" ht="15.75" customHeight="1">
      <c r="N102" s="128"/>
      <c r="O102" s="128"/>
      <c r="P102" s="128"/>
      <c r="Q102" s="128"/>
    </row>
    <row r="103" ht="15.75" customHeight="1">
      <c r="N103" s="128"/>
      <c r="O103" s="128"/>
      <c r="P103" s="128"/>
      <c r="Q103" s="128"/>
    </row>
    <row r="104" ht="15.75" customHeight="1">
      <c r="N104" s="128"/>
      <c r="O104" s="128"/>
      <c r="P104" s="128"/>
      <c r="Q104" s="128"/>
    </row>
    <row r="105" ht="15.75" customHeight="1">
      <c r="N105" s="128"/>
      <c r="O105" s="128"/>
      <c r="P105" s="128"/>
      <c r="Q105" s="128"/>
    </row>
    <row r="106" ht="15.75" customHeight="1">
      <c r="N106" s="128"/>
      <c r="O106" s="128"/>
      <c r="P106" s="128"/>
      <c r="Q106" s="128"/>
    </row>
  </sheetData>
  <mergeCells count="97">
    <mergeCell ref="E53:F53"/>
    <mergeCell ref="E54:F54"/>
    <mergeCell ref="H54:I54"/>
    <mergeCell ref="J54:K54"/>
    <mergeCell ref="E55:F55"/>
    <mergeCell ref="J55:K55"/>
    <mergeCell ref="E56:F56"/>
    <mergeCell ref="J56:K56"/>
    <mergeCell ref="H55:I55"/>
    <mergeCell ref="H56:I56"/>
    <mergeCell ref="E61:F61"/>
    <mergeCell ref="H61:I61"/>
    <mergeCell ref="J61:K61"/>
    <mergeCell ref="H62:I62"/>
    <mergeCell ref="J62:K62"/>
    <mergeCell ref="E62:F62"/>
    <mergeCell ref="E63:F63"/>
    <mergeCell ref="H63:I63"/>
    <mergeCell ref="J63:K63"/>
    <mergeCell ref="E64:F64"/>
    <mergeCell ref="J64:K64"/>
    <mergeCell ref="E65:F65"/>
    <mergeCell ref="J65:K65"/>
    <mergeCell ref="H64:I64"/>
    <mergeCell ref="H65:I65"/>
    <mergeCell ref="E70:F70"/>
    <mergeCell ref="H70:I70"/>
    <mergeCell ref="J70:K70"/>
    <mergeCell ref="H71:I71"/>
    <mergeCell ref="J71:K71"/>
    <mergeCell ref="H73:I73"/>
    <mergeCell ref="H74:I74"/>
    <mergeCell ref="E79:F79"/>
    <mergeCell ref="H79:I79"/>
    <mergeCell ref="J79:K79"/>
    <mergeCell ref="E82:F82"/>
    <mergeCell ref="H82:I82"/>
    <mergeCell ref="J82:K82"/>
    <mergeCell ref="E71:F71"/>
    <mergeCell ref="E72:F72"/>
    <mergeCell ref="H72:I72"/>
    <mergeCell ref="J72:K72"/>
    <mergeCell ref="E73:F73"/>
    <mergeCell ref="J73:K73"/>
    <mergeCell ref="E74:F74"/>
    <mergeCell ref="J74:K74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E52:F52"/>
    <mergeCell ref="H52:I52"/>
    <mergeCell ref="J52:K52"/>
    <mergeCell ref="H53:I53"/>
    <mergeCell ref="J53:K53"/>
    <mergeCell ref="H2:K2"/>
    <mergeCell ref="K17:L18"/>
    <mergeCell ref="D21:N21"/>
    <mergeCell ref="H22:K22"/>
    <mergeCell ref="L22:N22"/>
    <mergeCell ref="H23:K23"/>
    <mergeCell ref="L23:N23"/>
    <mergeCell ref="H24:K24"/>
    <mergeCell ref="L24:N24"/>
    <mergeCell ref="H25:K25"/>
    <mergeCell ref="L25:N25"/>
    <mergeCell ref="H26:K26"/>
    <mergeCell ref="L26:N26"/>
    <mergeCell ref="L27:N27"/>
    <mergeCell ref="H27:K27"/>
    <mergeCell ref="H28:K28"/>
    <mergeCell ref="L28:N28"/>
    <mergeCell ref="H29:K29"/>
    <mergeCell ref="L29:N29"/>
    <mergeCell ref="H30:K30"/>
    <mergeCell ref="L30:N30"/>
    <mergeCell ref="H34:K34"/>
    <mergeCell ref="H35:K35"/>
    <mergeCell ref="L35:N35"/>
    <mergeCell ref="H36:K36"/>
    <mergeCell ref="L36:N36"/>
    <mergeCell ref="H37:K37"/>
    <mergeCell ref="L37:N37"/>
    <mergeCell ref="H31:K31"/>
    <mergeCell ref="L31:N31"/>
    <mergeCell ref="H32:K32"/>
    <mergeCell ref="L32:N32"/>
    <mergeCell ref="H33:K33"/>
    <mergeCell ref="L33:N33"/>
    <mergeCell ref="L34:N34"/>
    <mergeCell ref="L38:N38"/>
    <mergeCell ref="L39:N39"/>
  </mergeCells>
  <dataValidations>
    <dataValidation type="list" allowBlank="1" showErrorMessage="1" sqref="B23:B37">
      <formula1>"Aggregate Difference,Transfer error,Citi api issue,Late payment,Stuck pending status"</formula1>
    </dataValidation>
  </dataValidations>
  <hyperlinks>
    <hyperlink r:id="rId1" ref="E8"/>
    <hyperlink r:id="rId2" ref="E9"/>
    <hyperlink r:id="rId3" ref="E10"/>
    <hyperlink r:id="rId4" ref="E11"/>
    <hyperlink r:id="rId5" ref="E12"/>
    <hyperlink r:id="rId6" ref="L35"/>
  </hyperlinks>
  <printOptions/>
  <pageMargins bottom="0.75" footer="0.0" header="0.0" left="0.7" right="0.7" top="0.75"/>
  <pageSetup orientation="portrait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3.38"/>
    <col customWidth="1" min="3" max="3" width="31.88"/>
    <col customWidth="1" min="4" max="5" width="27.88"/>
    <col customWidth="1" min="6" max="6" width="29.0"/>
    <col customWidth="1" min="7" max="7" width="46.5"/>
  </cols>
  <sheetData>
    <row r="1">
      <c r="A1" s="453"/>
      <c r="B1" s="453"/>
      <c r="C1" s="453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>
      <c r="A2" s="454"/>
      <c r="B2" s="281" t="s">
        <v>860</v>
      </c>
      <c r="C2" s="453"/>
      <c r="D2" s="282" t="s">
        <v>968</v>
      </c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</row>
    <row r="3">
      <c r="A3" s="454"/>
      <c r="B3" s="284" t="s">
        <v>91</v>
      </c>
      <c r="C3" s="453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</row>
    <row r="4">
      <c r="A4" s="454"/>
      <c r="B4" s="453"/>
      <c r="C4" s="453"/>
      <c r="D4" s="455" t="s">
        <v>34</v>
      </c>
      <c r="E4" s="286">
        <f>'7. CISA External Workings'!D4</f>
        <v>46189</v>
      </c>
      <c r="F4" s="280"/>
      <c r="G4" s="280"/>
      <c r="H4" s="280"/>
      <c r="I4" s="280"/>
      <c r="J4" s="280"/>
      <c r="K4" s="280"/>
      <c r="L4" s="280"/>
      <c r="M4" s="280"/>
      <c r="N4" s="280"/>
      <c r="O4" s="280"/>
    </row>
    <row r="5">
      <c r="A5" s="454"/>
      <c r="B5" s="453"/>
      <c r="C5" s="453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</row>
    <row r="6" ht="45.0" customHeight="1">
      <c r="A6" s="454"/>
      <c r="B6" s="453"/>
      <c r="C6" s="453"/>
      <c r="D6" s="456" t="s">
        <v>969</v>
      </c>
      <c r="E6" s="457">
        <f>G23</f>
        <v>0</v>
      </c>
      <c r="F6" s="458" t="s">
        <v>970</v>
      </c>
      <c r="G6" s="311"/>
      <c r="H6" s="280"/>
      <c r="I6" s="280"/>
      <c r="J6" s="280"/>
      <c r="K6" s="280"/>
      <c r="L6" s="280"/>
      <c r="M6" s="280"/>
      <c r="N6" s="280"/>
      <c r="O6" s="280"/>
    </row>
    <row r="7">
      <c r="A7" s="453"/>
      <c r="B7" s="453"/>
      <c r="C7" s="453"/>
      <c r="D7" s="453"/>
      <c r="E7" s="453"/>
      <c r="F7" s="453"/>
      <c r="G7" s="453"/>
      <c r="H7" s="453"/>
      <c r="I7" s="280"/>
      <c r="J7" s="280"/>
      <c r="K7" s="280"/>
      <c r="L7" s="280"/>
      <c r="M7" s="280"/>
      <c r="N7" s="280"/>
      <c r="O7" s="280"/>
    </row>
    <row r="8">
      <c r="A8" s="453"/>
      <c r="B8" s="453"/>
      <c r="C8" s="453"/>
      <c r="D8" s="453"/>
      <c r="E8" s="453"/>
      <c r="F8" s="453"/>
      <c r="G8" s="453"/>
      <c r="H8" s="453"/>
      <c r="I8" s="280"/>
      <c r="J8" s="280"/>
      <c r="K8" s="280"/>
      <c r="L8" s="280"/>
      <c r="M8" s="280"/>
      <c r="N8" s="280"/>
      <c r="O8" s="280"/>
    </row>
    <row r="9">
      <c r="A9" s="453"/>
      <c r="B9" s="453"/>
      <c r="C9" s="459" t="s">
        <v>971</v>
      </c>
      <c r="D9" s="459" t="s">
        <v>972</v>
      </c>
      <c r="E9" s="459" t="s">
        <v>973</v>
      </c>
      <c r="F9" s="459" t="s">
        <v>974</v>
      </c>
      <c r="G9" s="460" t="s">
        <v>50</v>
      </c>
      <c r="H9" s="280"/>
      <c r="I9" s="280"/>
      <c r="J9" s="280"/>
      <c r="K9" s="280"/>
      <c r="L9" s="280"/>
      <c r="M9" s="280"/>
      <c r="N9" s="280"/>
      <c r="O9" s="280"/>
    </row>
    <row r="10">
      <c r="A10" s="453"/>
      <c r="B10" s="453"/>
      <c r="C10" s="461" t="s">
        <v>975</v>
      </c>
      <c r="D10" s="461" t="s">
        <v>976</v>
      </c>
      <c r="E10" s="303">
        <f>'7. CISA External Workings'!H30</f>
        <v>176021153.4</v>
      </c>
      <c r="F10" s="303">
        <f>'7. CISA External Workings'!I30</f>
        <v>176021153.4</v>
      </c>
      <c r="G10" s="303">
        <f t="shared" ref="G10:G22" si="1">E10-F10</f>
        <v>0</v>
      </c>
      <c r="H10" s="280"/>
      <c r="I10" s="280"/>
      <c r="J10" s="280"/>
      <c r="K10" s="280"/>
      <c r="L10" s="280"/>
      <c r="M10" s="280"/>
      <c r="N10" s="280"/>
      <c r="O10" s="280"/>
    </row>
    <row r="11">
      <c r="A11" s="453"/>
      <c r="B11" s="453"/>
      <c r="C11" s="461" t="s">
        <v>977</v>
      </c>
      <c r="D11" s="461" t="s">
        <v>978</v>
      </c>
      <c r="E11" s="462">
        <f>'7. CISA External Workings'!H35</f>
        <v>3959844.1</v>
      </c>
      <c r="F11" s="462">
        <f>'7. CISA External Workings'!I35</f>
        <v>3959844.1</v>
      </c>
      <c r="G11" s="303">
        <f t="shared" si="1"/>
        <v>0</v>
      </c>
      <c r="H11" s="280"/>
      <c r="I11" s="280"/>
      <c r="J11" s="280"/>
      <c r="K11" s="280"/>
      <c r="L11" s="280"/>
      <c r="M11" s="280"/>
      <c r="N11" s="280"/>
      <c r="O11" s="280"/>
    </row>
    <row r="12">
      <c r="A12" s="453"/>
      <c r="B12" s="453"/>
      <c r="C12" s="461" t="s">
        <v>977</v>
      </c>
      <c r="D12" s="461" t="s">
        <v>979</v>
      </c>
      <c r="E12" s="462">
        <f>'7. CISA External Workings'!H40</f>
        <v>747535672</v>
      </c>
      <c r="F12" s="462">
        <f>'7. CISA External Workings'!I40</f>
        <v>747535672</v>
      </c>
      <c r="G12" s="303">
        <f t="shared" si="1"/>
        <v>0</v>
      </c>
      <c r="H12" s="280"/>
      <c r="I12" s="280"/>
      <c r="J12" s="280"/>
      <c r="K12" s="280"/>
      <c r="L12" s="280"/>
      <c r="M12" s="280"/>
      <c r="N12" s="280"/>
      <c r="O12" s="280"/>
    </row>
    <row r="13">
      <c r="A13" s="453"/>
      <c r="B13" s="453"/>
      <c r="C13" s="461" t="s">
        <v>67</v>
      </c>
      <c r="D13" s="461" t="s">
        <v>979</v>
      </c>
      <c r="E13" s="462">
        <f>'7. CISA External Workings'!H45</f>
        <v>1168000000</v>
      </c>
      <c r="F13" s="462">
        <f>'7. CISA External Workings'!I45</f>
        <v>1168000000</v>
      </c>
      <c r="G13" s="303">
        <f t="shared" si="1"/>
        <v>0</v>
      </c>
      <c r="H13" s="280"/>
      <c r="I13" s="280"/>
      <c r="J13" s="280"/>
      <c r="K13" s="280"/>
      <c r="L13" s="280"/>
      <c r="M13" s="280"/>
      <c r="N13" s="280"/>
      <c r="O13" s="280"/>
    </row>
    <row r="14">
      <c r="A14" s="453"/>
      <c r="B14" s="453"/>
      <c r="C14" s="461" t="s">
        <v>980</v>
      </c>
      <c r="D14" s="461" t="s">
        <v>978</v>
      </c>
      <c r="E14" s="462">
        <f>'7. CISA External Workings'!H50</f>
        <v>0</v>
      </c>
      <c r="F14" s="462">
        <f>'7. CISA External Workings'!I50</f>
        <v>0</v>
      </c>
      <c r="G14" s="303">
        <f t="shared" si="1"/>
        <v>0</v>
      </c>
      <c r="H14" s="280"/>
      <c r="I14" s="280"/>
      <c r="J14" s="280"/>
      <c r="K14" s="280"/>
      <c r="L14" s="280"/>
      <c r="M14" s="280"/>
      <c r="N14" s="280"/>
      <c r="O14" s="280"/>
    </row>
    <row r="15">
      <c r="A15" s="453"/>
      <c r="B15" s="453"/>
      <c r="C15" s="461" t="s">
        <v>981</v>
      </c>
      <c r="D15" s="461" t="s">
        <v>982</v>
      </c>
      <c r="E15" s="303">
        <f>'7. CISA External Workings'!H55</f>
        <v>0</v>
      </c>
      <c r="F15" s="303">
        <f>'7. CISA External Workings'!I55</f>
        <v>0</v>
      </c>
      <c r="G15" s="303">
        <f t="shared" si="1"/>
        <v>0</v>
      </c>
      <c r="H15" s="280"/>
      <c r="I15" s="280"/>
      <c r="J15" s="280"/>
      <c r="K15" s="280"/>
      <c r="L15" s="280"/>
      <c r="M15" s="280"/>
      <c r="N15" s="280"/>
      <c r="O15" s="280"/>
    </row>
    <row r="16">
      <c r="A16" s="453"/>
      <c r="B16" s="463"/>
      <c r="C16" s="461" t="s">
        <v>71</v>
      </c>
      <c r="D16" s="461" t="s">
        <v>983</v>
      </c>
      <c r="E16" s="303">
        <f>'7. CISA External Workings'!H60</f>
        <v>294960631.1</v>
      </c>
      <c r="F16" s="303">
        <f>'7. CISA External Workings'!I60</f>
        <v>294960631.1</v>
      </c>
      <c r="G16" s="303">
        <f t="shared" si="1"/>
        <v>0</v>
      </c>
      <c r="H16" s="294"/>
      <c r="I16" s="280"/>
      <c r="J16" s="280"/>
      <c r="K16" s="280"/>
      <c r="L16" s="280"/>
      <c r="M16" s="280"/>
      <c r="N16" s="280"/>
      <c r="O16" s="280"/>
    </row>
    <row r="17">
      <c r="A17" s="453"/>
      <c r="B17" s="463"/>
      <c r="C17" s="461" t="s">
        <v>71</v>
      </c>
      <c r="D17" s="461" t="s">
        <v>984</v>
      </c>
      <c r="E17" s="303">
        <f>'7. CISA External Workings'!H65</f>
        <v>0</v>
      </c>
      <c r="F17" s="303">
        <f>'7. CISA External Workings'!I65</f>
        <v>0</v>
      </c>
      <c r="G17" s="303">
        <f t="shared" si="1"/>
        <v>0</v>
      </c>
      <c r="H17" s="294"/>
      <c r="I17" s="280"/>
      <c r="J17" s="280"/>
      <c r="K17" s="280"/>
      <c r="L17" s="280"/>
      <c r="M17" s="280"/>
      <c r="N17" s="280"/>
      <c r="O17" s="280"/>
    </row>
    <row r="18">
      <c r="A18" s="453"/>
      <c r="B18" s="463"/>
      <c r="C18" s="461" t="s">
        <v>985</v>
      </c>
      <c r="D18" s="461" t="s">
        <v>986</v>
      </c>
      <c r="E18" s="303">
        <f>'7. CISA External Workings'!H70</f>
        <v>0</v>
      </c>
      <c r="F18" s="303">
        <f>'7. CISA External Workings'!I70</f>
        <v>0</v>
      </c>
      <c r="G18" s="303">
        <f t="shared" si="1"/>
        <v>0</v>
      </c>
      <c r="H18" s="294"/>
      <c r="I18" s="280"/>
      <c r="J18" s="280"/>
      <c r="K18" s="280"/>
      <c r="L18" s="280"/>
      <c r="M18" s="280"/>
      <c r="N18" s="280"/>
      <c r="O18" s="280"/>
    </row>
    <row r="19">
      <c r="A19" s="453"/>
      <c r="B19" s="463"/>
      <c r="C19" s="461" t="s">
        <v>985</v>
      </c>
      <c r="D19" s="461" t="s">
        <v>987</v>
      </c>
      <c r="E19" s="303">
        <f>'7. CISA External Workings'!H75</f>
        <v>0</v>
      </c>
      <c r="F19" s="303">
        <f>'7. CISA External Workings'!I75</f>
        <v>0</v>
      </c>
      <c r="G19" s="303">
        <f t="shared" si="1"/>
        <v>0</v>
      </c>
      <c r="H19" s="294"/>
      <c r="I19" s="280"/>
      <c r="J19" s="280"/>
      <c r="K19" s="280"/>
      <c r="L19" s="280"/>
      <c r="M19" s="280"/>
      <c r="N19" s="280"/>
      <c r="O19" s="280"/>
    </row>
    <row r="20">
      <c r="A20" s="453"/>
      <c r="B20" s="463"/>
      <c r="C20" s="461" t="s">
        <v>985</v>
      </c>
      <c r="D20" s="461" t="s">
        <v>988</v>
      </c>
      <c r="E20" s="303">
        <f>'7. CISA External Workings'!H80</f>
        <v>0</v>
      </c>
      <c r="F20" s="303">
        <f>'7. CISA External Workings'!I80</f>
        <v>0</v>
      </c>
      <c r="G20" s="303">
        <f t="shared" si="1"/>
        <v>0</v>
      </c>
      <c r="H20" s="294"/>
      <c r="I20" s="280"/>
      <c r="J20" s="280"/>
      <c r="K20" s="280"/>
      <c r="L20" s="280"/>
      <c r="M20" s="280"/>
      <c r="N20" s="280"/>
      <c r="O20" s="280"/>
    </row>
    <row r="21">
      <c r="A21" s="453"/>
      <c r="B21" s="463"/>
      <c r="C21" s="461" t="s">
        <v>985</v>
      </c>
      <c r="D21" s="461" t="s">
        <v>989</v>
      </c>
      <c r="E21" s="303">
        <f>'7. CISA External Workings'!H85</f>
        <v>0</v>
      </c>
      <c r="F21" s="303">
        <f>'7. CISA External Workings'!I85</f>
        <v>0</v>
      </c>
      <c r="G21" s="303">
        <f t="shared" si="1"/>
        <v>0</v>
      </c>
      <c r="H21" s="294"/>
      <c r="I21" s="280"/>
      <c r="J21" s="280"/>
      <c r="K21" s="280"/>
      <c r="L21" s="280"/>
      <c r="M21" s="280"/>
      <c r="N21" s="280"/>
      <c r="O21" s="280"/>
    </row>
    <row r="22">
      <c r="A22" s="453"/>
      <c r="B22" s="463"/>
      <c r="C22" s="461" t="s">
        <v>81</v>
      </c>
      <c r="D22" s="461" t="s">
        <v>990</v>
      </c>
      <c r="E22" s="303">
        <f>'7. CISA External Workings'!H90</f>
        <v>0</v>
      </c>
      <c r="F22" s="303">
        <f>'7. CISA External Workings'!I90</f>
        <v>0</v>
      </c>
      <c r="G22" s="303">
        <f t="shared" si="1"/>
        <v>0</v>
      </c>
      <c r="H22" s="294"/>
      <c r="I22" s="280"/>
      <c r="J22" s="280"/>
      <c r="K22" s="280"/>
      <c r="L22" s="280"/>
      <c r="M22" s="280"/>
      <c r="N22" s="280"/>
      <c r="O22" s="280"/>
    </row>
    <row r="23">
      <c r="A23" s="453"/>
      <c r="B23" s="453"/>
      <c r="C23" s="464"/>
      <c r="D23" s="465" t="s">
        <v>991</v>
      </c>
      <c r="E23" s="466">
        <f t="shared" ref="E23:G23" si="2">SUM(E10:E22)</f>
        <v>2390477301</v>
      </c>
      <c r="F23" s="327">
        <f t="shared" si="2"/>
        <v>2390477301</v>
      </c>
      <c r="G23" s="467">
        <f t="shared" si="2"/>
        <v>0</v>
      </c>
      <c r="H23" s="280"/>
      <c r="I23" s="280"/>
      <c r="J23" s="280"/>
      <c r="K23" s="280"/>
      <c r="L23" s="280"/>
      <c r="M23" s="280"/>
      <c r="N23" s="280"/>
      <c r="O23" s="280"/>
    </row>
    <row r="24">
      <c r="A24" s="453"/>
      <c r="B24" s="453"/>
      <c r="C24" s="453"/>
      <c r="D24" s="453"/>
      <c r="E24" s="453"/>
      <c r="F24" s="453"/>
      <c r="G24" s="453"/>
      <c r="H24" s="453"/>
      <c r="I24" s="453"/>
      <c r="J24" s="280"/>
      <c r="K24" s="280"/>
      <c r="L24" s="280"/>
      <c r="M24" s="280"/>
      <c r="N24" s="280"/>
      <c r="O24" s="280"/>
    </row>
    <row r="25">
      <c r="A25" s="453"/>
      <c r="B25" s="453"/>
      <c r="C25" s="453"/>
      <c r="D25" s="453"/>
      <c r="E25" s="453"/>
      <c r="F25" s="453"/>
      <c r="G25" s="453"/>
      <c r="H25" s="280"/>
      <c r="I25" s="280"/>
      <c r="J25" s="280"/>
      <c r="K25" s="280"/>
      <c r="L25" s="280"/>
      <c r="M25" s="280"/>
      <c r="N25" s="280"/>
      <c r="O25" s="280"/>
    </row>
    <row r="26">
      <c r="A26" s="453"/>
      <c r="B26" s="453"/>
      <c r="C26" s="459" t="s">
        <v>971</v>
      </c>
      <c r="D26" s="459" t="s">
        <v>972</v>
      </c>
      <c r="E26" s="459" t="s">
        <v>973</v>
      </c>
      <c r="F26" s="459" t="s">
        <v>974</v>
      </c>
      <c r="G26" s="460" t="s">
        <v>50</v>
      </c>
      <c r="H26" s="280"/>
      <c r="I26" s="280"/>
      <c r="J26" s="280"/>
      <c r="K26" s="280"/>
      <c r="L26" s="280"/>
      <c r="M26" s="280"/>
      <c r="N26" s="280"/>
      <c r="O26" s="280"/>
    </row>
    <row r="27">
      <c r="A27" s="453"/>
      <c r="B27" s="453"/>
      <c r="C27" s="461" t="s">
        <v>975</v>
      </c>
      <c r="D27" s="461" t="s">
        <v>978</v>
      </c>
      <c r="E27" s="303" t="s">
        <v>992</v>
      </c>
      <c r="F27" s="303" t="s">
        <v>993</v>
      </c>
      <c r="G27" s="468" t="s">
        <v>121</v>
      </c>
      <c r="H27" s="280"/>
      <c r="I27" s="280"/>
      <c r="J27" s="280"/>
      <c r="K27" s="280"/>
      <c r="L27" s="280"/>
      <c r="M27" s="280"/>
      <c r="N27" s="280"/>
      <c r="O27" s="280"/>
    </row>
    <row r="28">
      <c r="A28" s="453"/>
      <c r="B28" s="453"/>
      <c r="C28" s="295"/>
      <c r="D28" s="465" t="s">
        <v>991</v>
      </c>
      <c r="E28" s="466" t="str">
        <f t="shared" ref="E28:F28" si="3">E27</f>
        <v>€0</v>
      </c>
      <c r="F28" s="327" t="str">
        <f t="shared" si="3"/>
        <v>€0</v>
      </c>
      <c r="G28" s="469" t="s">
        <v>121</v>
      </c>
      <c r="H28" s="280"/>
      <c r="I28" s="280"/>
      <c r="J28" s="280"/>
      <c r="K28" s="280"/>
      <c r="L28" s="280"/>
      <c r="M28" s="280"/>
      <c r="N28" s="280"/>
      <c r="O28" s="280"/>
    </row>
    <row r="29">
      <c r="A29" s="453"/>
      <c r="B29" s="453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</row>
    <row r="30">
      <c r="A30" s="453"/>
      <c r="B30" s="453"/>
      <c r="C30" s="453"/>
      <c r="D30" s="453"/>
      <c r="E30" s="453"/>
      <c r="F30" s="453"/>
      <c r="G30" s="453"/>
      <c r="H30" s="280"/>
      <c r="I30" s="280"/>
      <c r="J30" s="280"/>
      <c r="K30" s="280"/>
      <c r="L30" s="280"/>
      <c r="M30" s="280"/>
      <c r="N30" s="280"/>
      <c r="O30" s="280"/>
    </row>
    <row r="31">
      <c r="A31" s="453"/>
      <c r="B31" s="453"/>
      <c r="C31" s="459" t="s">
        <v>864</v>
      </c>
      <c r="D31" s="470" t="s">
        <v>994</v>
      </c>
      <c r="E31" s="6"/>
      <c r="F31" s="459" t="s">
        <v>995</v>
      </c>
      <c r="G31" s="471" t="s">
        <v>867</v>
      </c>
      <c r="H31" s="280"/>
      <c r="I31" s="280"/>
      <c r="J31" s="280"/>
      <c r="K31" s="280"/>
      <c r="L31" s="280"/>
      <c r="M31" s="280"/>
      <c r="N31" s="280"/>
      <c r="O31" s="280"/>
    </row>
    <row r="32" ht="26.25" customHeight="1">
      <c r="A32" s="472"/>
      <c r="B32" s="453"/>
      <c r="C32" s="473" t="s">
        <v>872</v>
      </c>
      <c r="D32" s="474" t="s">
        <v>996</v>
      </c>
      <c r="E32" s="462" t="str">
        <f>VLOOKUP(C32,'7. CISA External Workings'!$C$27:$N$155,10,FALSE)</f>
        <v/>
      </c>
      <c r="F32" s="475"/>
      <c r="G32" s="475"/>
      <c r="H32" s="280"/>
      <c r="I32" s="280"/>
      <c r="J32" s="280"/>
      <c r="K32" s="280"/>
      <c r="L32" s="280"/>
      <c r="M32" s="280"/>
      <c r="N32" s="280"/>
      <c r="O32" s="280"/>
    </row>
    <row r="33" ht="26.25" customHeight="1">
      <c r="A33" s="472"/>
      <c r="B33" s="453"/>
      <c r="C33" s="473" t="s">
        <v>876</v>
      </c>
      <c r="D33" s="476" t="s">
        <v>997</v>
      </c>
      <c r="E33" s="477" t="str">
        <f>VLOOKUP(C33,'7. CISA External Workings'!$C$27:$N$155,10,FALSE)</f>
        <v/>
      </c>
      <c r="F33" s="475"/>
      <c r="G33" s="475"/>
      <c r="H33" s="280"/>
      <c r="I33" s="280"/>
      <c r="J33" s="280"/>
      <c r="K33" s="280"/>
      <c r="L33" s="280"/>
      <c r="M33" s="280"/>
      <c r="N33" s="280"/>
      <c r="O33" s="280"/>
    </row>
    <row r="34" ht="26.25" customHeight="1">
      <c r="A34" s="472"/>
      <c r="B34" s="453"/>
      <c r="C34" s="473" t="s">
        <v>868</v>
      </c>
      <c r="D34" s="478" t="s">
        <v>998</v>
      </c>
      <c r="E34" s="462" t="str">
        <f>VLOOKUP(C34,'7. CISA External Workings'!$C$27:$N$155,10,FALSE)</f>
        <v/>
      </c>
      <c r="F34" s="325"/>
      <c r="G34" s="475"/>
      <c r="H34" s="280"/>
      <c r="I34" s="280"/>
      <c r="J34" s="280"/>
      <c r="K34" s="280"/>
      <c r="L34" s="280"/>
      <c r="M34" s="280"/>
      <c r="N34" s="280"/>
      <c r="O34" s="280"/>
    </row>
    <row r="35" ht="26.25" customHeight="1">
      <c r="A35" s="472"/>
      <c r="B35" s="453"/>
      <c r="C35" s="473" t="s">
        <v>870</v>
      </c>
      <c r="D35" s="474" t="s">
        <v>999</v>
      </c>
      <c r="E35" s="462" t="str">
        <f>VLOOKUP(C35,'7. CISA External Workings'!$C$27:$N$155,10,FALSE)</f>
        <v/>
      </c>
      <c r="F35" s="479"/>
      <c r="G35" s="325"/>
      <c r="H35" s="280"/>
      <c r="I35" s="280"/>
      <c r="J35" s="280"/>
      <c r="K35" s="280"/>
      <c r="L35" s="280"/>
      <c r="M35" s="280"/>
      <c r="N35" s="280"/>
      <c r="O35" s="280"/>
    </row>
    <row r="36" ht="15.75" customHeight="1">
      <c r="A36" s="295"/>
      <c r="B36" s="453"/>
      <c r="C36" s="480"/>
      <c r="D36" s="481" t="s">
        <v>1000</v>
      </c>
      <c r="E36" s="482">
        <f>G23-SUM(E32:E35)</f>
        <v>0</v>
      </c>
      <c r="F36" s="325"/>
      <c r="G36" s="483"/>
      <c r="H36" s="280"/>
      <c r="I36" s="280"/>
      <c r="J36" s="280"/>
      <c r="K36" s="280"/>
      <c r="L36" s="280"/>
      <c r="M36" s="280"/>
      <c r="N36" s="280"/>
      <c r="O36" s="280"/>
    </row>
    <row r="37" ht="15.75" customHeight="1">
      <c r="A37" s="453"/>
      <c r="B37" s="453"/>
      <c r="C37" s="453"/>
      <c r="D37" s="484" t="s">
        <v>42</v>
      </c>
      <c r="E37" s="485">
        <f>SUM(E32:E36)</f>
        <v>0</v>
      </c>
      <c r="F37" s="280"/>
      <c r="G37" s="280"/>
      <c r="H37" s="280"/>
      <c r="I37" s="280"/>
      <c r="J37" s="280"/>
      <c r="K37" s="280"/>
      <c r="L37" s="280"/>
      <c r="M37" s="280"/>
      <c r="N37" s="280"/>
      <c r="O37" s="280"/>
    </row>
    <row r="38" ht="15.75" customHeight="1">
      <c r="A38" s="453"/>
      <c r="B38" s="453"/>
      <c r="C38" s="453"/>
      <c r="D38" s="280"/>
      <c r="E38" s="486"/>
      <c r="F38" s="280"/>
      <c r="H38" s="280"/>
      <c r="I38" s="280"/>
      <c r="J38" s="280"/>
      <c r="K38" s="280"/>
      <c r="L38" s="280"/>
      <c r="M38" s="280"/>
      <c r="N38" s="280"/>
      <c r="O38" s="280"/>
    </row>
    <row r="39" ht="15.75" customHeight="1">
      <c r="A39" s="453"/>
      <c r="B39" s="453"/>
      <c r="C39" s="453"/>
      <c r="D39" s="453"/>
      <c r="E39" s="453"/>
      <c r="F39" s="453"/>
      <c r="G39" s="453"/>
      <c r="H39" s="280"/>
      <c r="I39" s="280"/>
      <c r="J39" s="280"/>
      <c r="K39" s="280"/>
      <c r="L39" s="280"/>
      <c r="M39" s="280"/>
      <c r="N39" s="280"/>
      <c r="O39" s="280"/>
    </row>
    <row r="40" ht="15.75" customHeight="1">
      <c r="A40" s="453"/>
      <c r="B40" s="453"/>
      <c r="C40" s="453"/>
      <c r="D40" s="453"/>
      <c r="E40" s="453"/>
      <c r="F40" s="453"/>
      <c r="G40" s="453"/>
      <c r="H40" s="280"/>
      <c r="I40" s="280"/>
      <c r="J40" s="280"/>
      <c r="K40" s="280"/>
      <c r="L40" s="280"/>
      <c r="M40" s="280"/>
      <c r="N40" s="280"/>
      <c r="O40" s="280"/>
    </row>
    <row r="41" ht="15.75" customHeight="1">
      <c r="A41" s="453"/>
      <c r="B41" s="453"/>
      <c r="C41" s="453"/>
      <c r="D41" s="453"/>
      <c r="E41" s="453"/>
      <c r="F41" s="453"/>
      <c r="G41" s="453"/>
      <c r="H41" s="280"/>
      <c r="I41" s="280"/>
      <c r="J41" s="280"/>
      <c r="K41" s="280"/>
      <c r="L41" s="280"/>
      <c r="M41" s="280"/>
      <c r="N41" s="280"/>
      <c r="O41" s="280"/>
    </row>
    <row r="42" ht="15.75" customHeight="1">
      <c r="A42" s="453"/>
      <c r="B42" s="453"/>
      <c r="C42" s="453"/>
      <c r="D42" s="453"/>
      <c r="E42" s="453"/>
      <c r="F42" s="453"/>
      <c r="G42" s="453"/>
      <c r="H42" s="280"/>
      <c r="I42" s="280"/>
      <c r="J42" s="280"/>
      <c r="K42" s="280"/>
      <c r="L42" s="280"/>
      <c r="M42" s="280"/>
      <c r="N42" s="280"/>
      <c r="O42" s="280"/>
    </row>
    <row r="43" ht="15.75" customHeight="1">
      <c r="A43" s="453"/>
      <c r="B43" s="453"/>
      <c r="C43" s="453"/>
      <c r="D43" s="453"/>
      <c r="E43" s="453"/>
      <c r="F43" s="453"/>
      <c r="G43" s="453"/>
      <c r="H43" s="280"/>
      <c r="I43" s="280"/>
      <c r="J43" s="280"/>
      <c r="K43" s="280"/>
      <c r="L43" s="280"/>
      <c r="M43" s="280"/>
      <c r="N43" s="280"/>
      <c r="O43" s="280"/>
    </row>
    <row r="44" ht="15.75" customHeight="1">
      <c r="A44" s="487"/>
      <c r="B44" s="487"/>
      <c r="C44" s="453"/>
      <c r="D44" s="453"/>
      <c r="E44" s="453"/>
      <c r="F44" s="453"/>
      <c r="G44" s="453"/>
      <c r="H44" s="280"/>
      <c r="I44" s="280"/>
      <c r="J44" s="280"/>
      <c r="K44" s="280"/>
      <c r="L44" s="280"/>
      <c r="M44" s="280"/>
      <c r="N44" s="280"/>
      <c r="O44" s="280"/>
    </row>
    <row r="45" ht="15.75" customHeight="1">
      <c r="A45" s="487"/>
      <c r="B45" s="487"/>
      <c r="C45" s="453"/>
      <c r="D45" s="453"/>
      <c r="E45" s="453"/>
      <c r="F45" s="453"/>
      <c r="G45" s="453"/>
      <c r="H45" s="280"/>
      <c r="I45" s="280"/>
      <c r="J45" s="280"/>
      <c r="K45" s="280"/>
      <c r="L45" s="280"/>
      <c r="M45" s="280"/>
      <c r="N45" s="280"/>
      <c r="O45" s="280"/>
    </row>
    <row r="46" ht="15.75" customHeight="1">
      <c r="A46" s="453"/>
      <c r="B46" s="453"/>
      <c r="C46" s="453"/>
      <c r="D46" s="453"/>
      <c r="E46" s="453"/>
      <c r="F46" s="453"/>
      <c r="G46" s="453"/>
      <c r="H46" s="280"/>
      <c r="I46" s="280"/>
      <c r="J46" s="280"/>
      <c r="K46" s="280"/>
      <c r="L46" s="280"/>
      <c r="M46" s="280"/>
      <c r="N46" s="280"/>
      <c r="O46" s="280"/>
    </row>
    <row r="47" ht="15.75" customHeight="1">
      <c r="A47" s="453"/>
      <c r="B47" s="453"/>
      <c r="C47" s="453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</row>
    <row r="48" ht="15.75" customHeight="1">
      <c r="A48" s="453"/>
      <c r="B48" s="453"/>
      <c r="C48" s="453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</row>
    <row r="49" ht="15.75" customHeight="1">
      <c r="A49" s="453"/>
      <c r="B49" s="453"/>
      <c r="C49" s="488"/>
      <c r="D49" s="486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</row>
    <row r="50" ht="15.75" customHeight="1">
      <c r="A50" s="453"/>
      <c r="B50" s="453"/>
      <c r="C50" s="488"/>
      <c r="D50" s="486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</row>
  </sheetData>
  <mergeCells count="2">
    <mergeCell ref="F6:G6"/>
    <mergeCell ref="D31:E3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3.5"/>
    <col customWidth="1" min="3" max="3" width="23.5"/>
    <col customWidth="1" min="4" max="4" width="47.5"/>
    <col customWidth="1" min="5" max="5" width="33.63"/>
    <col customWidth="1" min="6" max="6" width="28.25"/>
    <col customWidth="1" min="7" max="7" width="3.38"/>
    <col customWidth="1" min="8" max="8" width="27.5"/>
    <col customWidth="1" min="9" max="9" width="32.13"/>
    <col customWidth="1" min="10" max="10" width="32.25"/>
    <col customWidth="1" min="11" max="12" width="34.88"/>
    <col customWidth="1" min="13" max="13" width="30.25"/>
    <col customWidth="1" min="14" max="14" width="18.0"/>
    <col customWidth="1" min="15" max="15" width="28.88"/>
    <col customWidth="1" min="16" max="16" width="25.75"/>
    <col customWidth="1" min="17" max="17" width="15.13"/>
    <col customWidth="1" min="18" max="18" width="45.75"/>
    <col customWidth="1" min="19" max="19" width="51.0"/>
    <col customWidth="1" min="20" max="20" width="17.0"/>
    <col customWidth="1" min="21" max="21" width="32.0"/>
    <col customWidth="1" min="22" max="25" width="16.5"/>
    <col customWidth="1" min="26" max="26" width="19.38"/>
    <col customWidth="1" min="27" max="27" width="15.0"/>
  </cols>
  <sheetData>
    <row r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397"/>
      <c r="R1" s="350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</row>
    <row r="2">
      <c r="A2" s="94"/>
      <c r="B2" s="346" t="s">
        <v>1001</v>
      </c>
      <c r="C2" s="346"/>
      <c r="D2" s="94"/>
      <c r="E2" s="94"/>
      <c r="I2" s="94"/>
      <c r="J2" s="94"/>
      <c r="K2" s="94"/>
      <c r="L2" s="94"/>
      <c r="M2" s="94"/>
      <c r="N2" s="94"/>
      <c r="O2" s="397"/>
      <c r="P2" s="94"/>
      <c r="Q2" s="397"/>
      <c r="R2" s="350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</row>
    <row r="3" ht="15.0" customHeight="1">
      <c r="A3" s="94"/>
      <c r="B3" s="347"/>
      <c r="C3" s="94"/>
      <c r="D3" s="94"/>
      <c r="E3" s="94"/>
      <c r="I3" s="94"/>
      <c r="J3" s="94"/>
      <c r="K3" s="94"/>
      <c r="L3" s="94"/>
      <c r="M3" s="94"/>
      <c r="N3" s="94"/>
      <c r="O3" s="94"/>
      <c r="P3" s="94"/>
      <c r="Q3" s="397"/>
      <c r="R3" s="350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</row>
    <row r="4" ht="15.0" customHeight="1">
      <c r="A4" s="94"/>
      <c r="C4" s="348" t="s">
        <v>126</v>
      </c>
      <c r="D4" s="349">
        <f>'8. CISA Citi v Ledger'!D4</f>
        <v>46189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397"/>
      <c r="R4" s="350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</row>
    <row r="5" ht="15.0" customHeight="1">
      <c r="A5" s="94"/>
      <c r="B5" s="351"/>
      <c r="D5" s="352"/>
      <c r="E5" s="94"/>
      <c r="F5" s="94"/>
      <c r="G5" s="94"/>
      <c r="H5" s="350"/>
      <c r="I5" s="94"/>
      <c r="J5" s="94"/>
      <c r="K5" s="94"/>
      <c r="L5" s="94"/>
      <c r="M5" s="94"/>
      <c r="N5" s="94"/>
      <c r="O5" s="94"/>
      <c r="P5" s="94"/>
      <c r="Q5" s="397"/>
      <c r="R5" s="350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</row>
    <row r="6" ht="15.0" customHeight="1">
      <c r="A6" s="94"/>
      <c r="B6" s="354" t="s">
        <v>904</v>
      </c>
      <c r="D6" s="355"/>
      <c r="E6" s="356"/>
      <c r="F6" s="94"/>
      <c r="G6" s="94"/>
      <c r="H6" s="350"/>
      <c r="I6" s="94"/>
      <c r="J6" s="94"/>
      <c r="K6" s="94"/>
      <c r="L6" s="94"/>
      <c r="M6" s="397"/>
      <c r="N6" s="94"/>
      <c r="O6" s="94"/>
      <c r="P6" s="94"/>
      <c r="Q6" s="397"/>
      <c r="R6" s="350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</row>
    <row r="7" ht="15.0" customHeight="1">
      <c r="A7" s="94"/>
      <c r="B7" s="357"/>
      <c r="D7" s="355"/>
      <c r="E7" s="356"/>
      <c r="F7" s="94"/>
      <c r="G7" s="94"/>
      <c r="H7" s="350"/>
      <c r="I7" s="94"/>
      <c r="J7" s="94"/>
      <c r="K7" s="94"/>
      <c r="L7" s="94"/>
      <c r="M7" s="94"/>
      <c r="N7" s="94"/>
      <c r="O7" s="94"/>
      <c r="P7" s="94"/>
      <c r="Q7" s="397"/>
      <c r="R7" s="350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</row>
    <row r="8">
      <c r="A8" s="94"/>
      <c r="B8" s="357"/>
      <c r="C8" s="358" t="s">
        <v>905</v>
      </c>
      <c r="D8" s="489" t="s">
        <v>906</v>
      </c>
      <c r="E8" s="94"/>
      <c r="H8" s="396"/>
      <c r="I8" s="94"/>
      <c r="M8" s="94"/>
      <c r="N8" s="94"/>
      <c r="O8" s="94"/>
      <c r="P8" s="94"/>
      <c r="Q8" s="397"/>
      <c r="R8" s="350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</row>
    <row r="9" ht="15.0" customHeight="1">
      <c r="A9" s="94"/>
      <c r="B9" s="94"/>
      <c r="C9" s="361" t="s">
        <v>1002</v>
      </c>
      <c r="D9" s="490" t="s">
        <v>908</v>
      </c>
      <c r="E9" s="94"/>
      <c r="I9" s="94"/>
      <c r="M9" s="94"/>
      <c r="N9" s="94"/>
      <c r="O9" s="94"/>
      <c r="P9" s="94"/>
      <c r="Q9" s="397"/>
      <c r="R9" s="350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</row>
    <row r="10">
      <c r="A10" s="94"/>
      <c r="B10" s="94"/>
      <c r="C10" s="361" t="s">
        <v>909</v>
      </c>
      <c r="D10" s="490" t="s">
        <v>908</v>
      </c>
      <c r="E10" s="94"/>
      <c r="I10" s="94"/>
      <c r="J10" s="94"/>
      <c r="K10" s="94"/>
      <c r="L10" s="94"/>
      <c r="M10" s="94"/>
      <c r="N10" s="94"/>
      <c r="O10" s="94"/>
      <c r="P10" s="94"/>
      <c r="Q10" s="397"/>
      <c r="R10" s="350"/>
      <c r="S10" s="94"/>
      <c r="T10" s="94"/>
      <c r="U10" s="353"/>
      <c r="V10" s="94"/>
      <c r="W10" s="94"/>
      <c r="X10" s="94"/>
      <c r="Y10" s="94"/>
      <c r="Z10" s="94"/>
      <c r="AA10" s="94"/>
      <c r="AB10" s="94"/>
      <c r="AC10" s="94"/>
    </row>
    <row r="11" ht="17.25" customHeight="1">
      <c r="A11" s="94"/>
      <c r="B11" s="94"/>
      <c r="C11" s="361" t="s">
        <v>910</v>
      </c>
      <c r="D11" s="490" t="s">
        <v>908</v>
      </c>
      <c r="E11" s="94"/>
      <c r="F11" s="94"/>
      <c r="G11" s="94"/>
      <c r="H11" s="350"/>
      <c r="I11" s="94"/>
      <c r="J11" s="94"/>
      <c r="K11" s="94"/>
      <c r="L11" s="94"/>
      <c r="M11" s="94"/>
      <c r="N11" s="397"/>
      <c r="O11" s="94"/>
      <c r="P11" s="94"/>
      <c r="Q11" s="397"/>
      <c r="R11" s="350"/>
      <c r="S11" s="94"/>
      <c r="T11" s="94"/>
      <c r="U11" s="353"/>
      <c r="V11" s="353"/>
      <c r="W11" s="353"/>
      <c r="X11" s="94"/>
      <c r="Y11" s="94"/>
      <c r="Z11" s="94"/>
      <c r="AA11" s="94"/>
      <c r="AB11" s="94"/>
      <c r="AC11" s="94"/>
    </row>
    <row r="12">
      <c r="A12" s="94"/>
      <c r="B12" s="94"/>
      <c r="C12" s="361" t="s">
        <v>911</v>
      </c>
      <c r="D12" s="490" t="s">
        <v>908</v>
      </c>
      <c r="E12" s="94"/>
      <c r="F12" s="94"/>
      <c r="G12" s="94"/>
      <c r="H12" s="350"/>
      <c r="I12" s="94"/>
      <c r="J12" s="94"/>
      <c r="K12" s="94"/>
      <c r="L12" s="94"/>
      <c r="M12" s="94"/>
      <c r="N12" s="94"/>
      <c r="O12" s="94"/>
      <c r="P12" s="94"/>
      <c r="Q12" s="397"/>
      <c r="R12" s="350"/>
      <c r="S12" s="94"/>
      <c r="T12" s="94"/>
      <c r="U12" s="94"/>
      <c r="V12" s="94"/>
      <c r="W12" s="94"/>
      <c r="X12" s="94"/>
      <c r="Y12" s="353"/>
      <c r="Z12" s="94"/>
      <c r="AA12" s="94"/>
      <c r="AB12" s="94"/>
      <c r="AC12" s="94"/>
    </row>
    <row r="13" ht="15.75" customHeight="1">
      <c r="A13" s="94"/>
      <c r="B13" s="94"/>
      <c r="C13" s="361" t="s">
        <v>1003</v>
      </c>
      <c r="D13" s="490" t="s">
        <v>1004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397"/>
      <c r="R13" s="350"/>
      <c r="S13" s="94"/>
      <c r="T13" s="94"/>
      <c r="U13" s="94"/>
      <c r="V13" s="94"/>
      <c r="W13" s="94"/>
      <c r="X13" s="94"/>
      <c r="Y13" s="353"/>
      <c r="Z13" s="353"/>
      <c r="AA13" s="353"/>
      <c r="AB13" s="94"/>
      <c r="AC13" s="131"/>
    </row>
    <row r="14" ht="15.75" customHeight="1">
      <c r="A14" s="94"/>
      <c r="B14" s="94"/>
      <c r="C14" s="361" t="s">
        <v>1005</v>
      </c>
      <c r="D14" s="490" t="s">
        <v>1006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397"/>
      <c r="R14" s="350"/>
      <c r="S14" s="94"/>
      <c r="T14" s="94"/>
      <c r="U14" s="94"/>
      <c r="V14" s="94"/>
      <c r="W14" s="94"/>
      <c r="X14" s="94"/>
      <c r="Y14" s="353"/>
      <c r="Z14" s="353"/>
      <c r="AA14" s="353"/>
      <c r="AB14" s="131"/>
      <c r="AC14" s="94"/>
    </row>
    <row r="15" ht="15.75" customHeight="1">
      <c r="A15" s="94"/>
      <c r="B15" s="94"/>
      <c r="C15" s="365" t="s">
        <v>980</v>
      </c>
      <c r="D15" s="491" t="s">
        <v>1007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397"/>
      <c r="R15" s="350"/>
      <c r="S15" s="94"/>
      <c r="T15" s="94"/>
      <c r="U15" s="94"/>
      <c r="V15" s="94"/>
      <c r="W15" s="94"/>
      <c r="X15" s="94"/>
      <c r="Y15" s="353"/>
      <c r="Z15" s="353"/>
      <c r="AA15" s="353"/>
      <c r="AB15" s="94"/>
      <c r="AC15" s="94"/>
    </row>
    <row r="16" ht="15.7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397"/>
      <c r="R16" s="350"/>
      <c r="S16" s="94"/>
      <c r="T16" s="94"/>
      <c r="U16" s="94"/>
      <c r="V16" s="94"/>
      <c r="W16" s="353"/>
      <c r="X16" s="353"/>
      <c r="Y16" s="353"/>
      <c r="Z16" s="94"/>
      <c r="AA16" s="94"/>
      <c r="AB16" s="94"/>
      <c r="AC16" s="94"/>
    </row>
    <row r="17" ht="15.75" customHeight="1">
      <c r="A17" s="94"/>
      <c r="B17" s="354" t="s">
        <v>1008</v>
      </c>
      <c r="D17" s="364"/>
      <c r="E17" s="364"/>
      <c r="F17" s="364"/>
      <c r="G17" s="364"/>
      <c r="H17" s="364"/>
      <c r="I17" s="364"/>
      <c r="J17" s="364"/>
      <c r="K17" s="94"/>
      <c r="L17" s="94"/>
      <c r="M17" s="94"/>
      <c r="N17" s="94"/>
      <c r="O17" s="94"/>
      <c r="P17" s="94"/>
      <c r="Q17" s="397"/>
      <c r="R17" s="350"/>
      <c r="S17" s="94"/>
      <c r="T17" s="94"/>
      <c r="U17" s="94"/>
      <c r="V17" s="94"/>
      <c r="W17" s="353"/>
      <c r="X17" s="353"/>
      <c r="Y17" s="353"/>
      <c r="Z17" s="94"/>
      <c r="AA17" s="94"/>
      <c r="AB17" s="94"/>
      <c r="AC17" s="94"/>
    </row>
    <row r="18" ht="15.75" customHeight="1">
      <c r="A18" s="94"/>
      <c r="B18" s="351"/>
      <c r="D18" s="364"/>
      <c r="E18" s="364"/>
      <c r="F18" s="364"/>
      <c r="G18" s="364"/>
      <c r="H18" s="364"/>
      <c r="I18" s="364"/>
      <c r="J18" s="364"/>
      <c r="K18" s="364"/>
      <c r="L18" s="364"/>
      <c r="M18" s="94"/>
      <c r="N18" s="94"/>
      <c r="O18" s="94"/>
      <c r="P18" s="94"/>
      <c r="Q18" s="397"/>
      <c r="R18" s="350"/>
      <c r="S18" s="94"/>
      <c r="T18" s="94"/>
      <c r="U18" s="94"/>
      <c r="V18" s="94"/>
      <c r="W18" s="353"/>
      <c r="X18" s="353"/>
      <c r="Y18" s="353"/>
      <c r="Z18" s="94"/>
      <c r="AA18" s="94"/>
      <c r="AB18" s="94"/>
      <c r="AC18" s="94"/>
    </row>
    <row r="19" ht="15.75" customHeight="1">
      <c r="A19" s="94"/>
      <c r="B19" s="94"/>
      <c r="C19" s="357" t="s">
        <v>1009</v>
      </c>
      <c r="D19" s="364"/>
      <c r="E19" s="364"/>
      <c r="F19" s="364"/>
      <c r="G19" s="364"/>
      <c r="H19" s="364"/>
      <c r="I19" s="364"/>
      <c r="J19" s="364"/>
      <c r="K19" s="364"/>
      <c r="L19" s="364"/>
      <c r="M19" s="94"/>
      <c r="N19" s="94"/>
      <c r="O19" s="94"/>
      <c r="P19" s="94"/>
      <c r="Q19" s="397"/>
      <c r="R19" s="350"/>
      <c r="S19" s="94"/>
      <c r="T19" s="94"/>
      <c r="U19" s="94"/>
      <c r="V19" s="94"/>
      <c r="W19" s="353"/>
      <c r="X19" s="353"/>
      <c r="Y19" s="353"/>
      <c r="Z19" s="94"/>
      <c r="AA19" s="94"/>
      <c r="AB19" s="94"/>
      <c r="AC19" s="94"/>
    </row>
    <row r="20" ht="27.0" customHeight="1">
      <c r="A20" s="94"/>
      <c r="B20" s="94"/>
      <c r="C20" s="398" t="s">
        <v>914</v>
      </c>
      <c r="D20" s="399" t="s">
        <v>1010</v>
      </c>
      <c r="E20" s="399" t="s">
        <v>1011</v>
      </c>
      <c r="F20" s="492" t="s">
        <v>1012</v>
      </c>
      <c r="G20" s="493"/>
      <c r="H20" s="399" t="s">
        <v>1013</v>
      </c>
      <c r="I20" s="399" t="s">
        <v>1014</v>
      </c>
      <c r="J20" s="494" t="s">
        <v>1015</v>
      </c>
      <c r="K20" s="494" t="s">
        <v>1016</v>
      </c>
      <c r="L20" s="494" t="s">
        <v>1017</v>
      </c>
      <c r="M20" s="494" t="s">
        <v>1018</v>
      </c>
      <c r="N20" s="494" t="s">
        <v>1019</v>
      </c>
      <c r="O20" s="494" t="s">
        <v>1020</v>
      </c>
      <c r="P20" s="494" t="s">
        <v>1021</v>
      </c>
      <c r="Q20" s="397"/>
      <c r="R20" s="396"/>
      <c r="S20" s="495" t="s">
        <v>1022</v>
      </c>
      <c r="T20" s="371"/>
      <c r="U20" s="94"/>
      <c r="V20" s="94"/>
      <c r="W20" s="353"/>
      <c r="X20" s="353"/>
      <c r="Y20" s="353"/>
      <c r="Z20" s="94"/>
      <c r="AA20" s="94"/>
      <c r="AB20" s="94"/>
      <c r="AC20" s="94"/>
    </row>
    <row r="21" ht="15.75" customHeight="1">
      <c r="A21" s="94"/>
      <c r="B21" s="94"/>
      <c r="C21" s="496">
        <f>D4</f>
        <v>46189</v>
      </c>
      <c r="D21" s="402">
        <f>I30</f>
        <v>176021153.4</v>
      </c>
      <c r="E21" s="402">
        <f>I35</f>
        <v>3959844.1</v>
      </c>
      <c r="F21" s="497">
        <f>I40</f>
        <v>747535672</v>
      </c>
      <c r="G21" s="498"/>
      <c r="H21" s="402">
        <f>I45</f>
        <v>1168000000</v>
      </c>
      <c r="I21" s="402">
        <f>I55</f>
        <v>0</v>
      </c>
      <c r="J21" s="402">
        <f>I60</f>
        <v>294960631.1</v>
      </c>
      <c r="K21" s="402">
        <f>I65</f>
        <v>0</v>
      </c>
      <c r="L21" s="402">
        <f>I70</f>
        <v>0</v>
      </c>
      <c r="M21" s="402">
        <f>I75</f>
        <v>0</v>
      </c>
      <c r="N21" s="402">
        <f>I80</f>
        <v>0</v>
      </c>
      <c r="O21" s="402">
        <f>I85</f>
        <v>0</v>
      </c>
      <c r="P21" s="402">
        <f>I90</f>
        <v>0</v>
      </c>
      <c r="Q21" s="397"/>
      <c r="R21" s="396"/>
      <c r="S21" s="376"/>
      <c r="T21" s="153"/>
      <c r="U21" s="94"/>
      <c r="V21" s="94"/>
      <c r="W21" s="353"/>
      <c r="X21" s="353"/>
      <c r="Y21" s="353"/>
      <c r="Z21" s="94"/>
      <c r="AA21" s="94"/>
      <c r="AB21" s="94"/>
      <c r="AC21" s="94"/>
    </row>
    <row r="22" ht="15.75" customHeight="1">
      <c r="A22" s="94"/>
      <c r="B22" s="94"/>
      <c r="C22" s="165"/>
      <c r="D22" s="165"/>
      <c r="E22" s="165"/>
      <c r="F22" s="165"/>
      <c r="G22" s="165"/>
      <c r="H22" s="165"/>
      <c r="I22" s="165"/>
      <c r="J22" s="38"/>
      <c r="K22" s="38"/>
      <c r="L22" s="38"/>
      <c r="M22" s="38"/>
      <c r="N22" s="38"/>
      <c r="O22" s="38"/>
      <c r="P22" s="165"/>
      <c r="Q22" s="397"/>
      <c r="R22" s="396"/>
      <c r="S22" s="94"/>
      <c r="T22" s="94"/>
      <c r="U22" s="94"/>
      <c r="V22" s="94"/>
      <c r="W22" s="94"/>
      <c r="X22" s="94"/>
      <c r="Y22" s="353"/>
      <c r="Z22" s="353"/>
      <c r="AA22" s="353"/>
      <c r="AB22" s="94"/>
      <c r="AC22" s="94"/>
      <c r="AD22" s="94"/>
      <c r="AE22" s="94"/>
    </row>
    <row r="23" ht="15.75" customHeight="1">
      <c r="A23" s="94"/>
      <c r="B23" s="94"/>
      <c r="C23" s="165"/>
      <c r="D23" s="165"/>
      <c r="E23" s="165"/>
      <c r="F23" s="165"/>
      <c r="G23" s="165"/>
      <c r="H23" s="165"/>
      <c r="I23" s="165"/>
      <c r="J23" s="38"/>
      <c r="K23" s="38"/>
      <c r="L23" s="38"/>
      <c r="M23" s="38"/>
      <c r="N23" s="499" t="s">
        <v>1023</v>
      </c>
      <c r="O23" s="500" t="s">
        <v>1024</v>
      </c>
      <c r="P23" s="400" t="s">
        <v>917</v>
      </c>
      <c r="Q23" s="397"/>
      <c r="R23" s="396"/>
      <c r="S23" s="495" t="s">
        <v>954</v>
      </c>
      <c r="T23" s="371"/>
      <c r="V23" s="94"/>
      <c r="W23" s="94"/>
      <c r="X23" s="353"/>
      <c r="Y23" s="353"/>
      <c r="Z23" s="353"/>
      <c r="AA23" s="94"/>
      <c r="AB23" s="94"/>
      <c r="AC23" s="94"/>
      <c r="AD23" s="94"/>
    </row>
    <row r="24" ht="15.75" customHeight="1">
      <c r="A24" s="94"/>
      <c r="B24" s="94"/>
      <c r="C24" s="38"/>
      <c r="D24" s="38"/>
      <c r="E24" s="34"/>
      <c r="F24" s="38"/>
      <c r="G24" s="38"/>
      <c r="H24" s="38"/>
      <c r="I24" s="34"/>
      <c r="J24" s="38"/>
      <c r="K24" s="38"/>
      <c r="L24" s="38"/>
      <c r="M24" s="38"/>
      <c r="N24" s="402">
        <f>H30+H35+H40+H45+H60+H65+H70+H75+H80+H85+H90</f>
        <v>2390477301</v>
      </c>
      <c r="O24" s="402">
        <f>D21+E21+F21+H21+I21+J21+K21+L21+M21+N21+O21+P21+Q21</f>
        <v>2390477301</v>
      </c>
      <c r="P24" s="501">
        <f>O24-N24</f>
        <v>0</v>
      </c>
      <c r="Q24" s="397"/>
      <c r="R24" s="396"/>
      <c r="S24" s="376"/>
      <c r="T24" s="153"/>
      <c r="V24" s="94"/>
      <c r="W24" s="94"/>
      <c r="X24" s="353"/>
      <c r="Y24" s="353"/>
      <c r="Z24" s="353"/>
      <c r="AA24" s="94"/>
      <c r="AB24" s="94"/>
      <c r="AC24" s="94"/>
      <c r="AD24" s="94"/>
    </row>
    <row r="25" ht="15.75" customHeight="1">
      <c r="A25" s="94"/>
      <c r="B25" s="502"/>
      <c r="C25" s="38"/>
      <c r="D25" s="38"/>
      <c r="E25" s="34"/>
      <c r="F25" s="38"/>
      <c r="G25" s="38"/>
      <c r="H25" s="34"/>
      <c r="I25" s="34"/>
      <c r="J25" s="38"/>
      <c r="K25" s="38"/>
      <c r="L25" s="38"/>
      <c r="M25" s="243"/>
      <c r="N25" s="243"/>
      <c r="O25" s="503" t="s">
        <v>953</v>
      </c>
      <c r="P25" s="504">
        <f>-N109+N118+N127+N136</f>
        <v>0</v>
      </c>
      <c r="Q25" s="397"/>
      <c r="R25" s="396"/>
      <c r="S25" s="94"/>
      <c r="T25" s="94"/>
      <c r="U25" s="94"/>
      <c r="V25" s="94"/>
      <c r="W25" s="94"/>
      <c r="X25" s="94"/>
      <c r="Y25" s="353"/>
      <c r="Z25" s="353"/>
      <c r="AA25" s="353"/>
      <c r="AB25" s="94"/>
      <c r="AC25" s="94"/>
      <c r="AD25" s="94"/>
      <c r="AE25" s="94"/>
    </row>
    <row r="26" ht="15.75" customHeight="1">
      <c r="A26" s="94"/>
      <c r="B26" s="354" t="s">
        <v>1025</v>
      </c>
      <c r="C26" s="38"/>
      <c r="D26" s="38"/>
      <c r="E26" s="38"/>
      <c r="F26" s="38"/>
      <c r="G26" s="38"/>
      <c r="H26" s="34"/>
      <c r="I26" s="34"/>
      <c r="J26" s="166"/>
      <c r="K26" s="243"/>
      <c r="L26" s="243"/>
      <c r="M26" s="243"/>
      <c r="N26" s="243"/>
      <c r="O26" s="505" t="s">
        <v>955</v>
      </c>
      <c r="P26" s="506">
        <f>P24-P25</f>
        <v>0</v>
      </c>
      <c r="Q26" s="397"/>
      <c r="R26" s="396"/>
      <c r="S26" s="94"/>
      <c r="T26" s="94"/>
      <c r="U26" s="94"/>
      <c r="V26" s="94"/>
      <c r="W26" s="353"/>
      <c r="X26" s="353"/>
      <c r="Y26" s="353"/>
      <c r="Z26" s="94"/>
      <c r="AA26" s="94"/>
      <c r="AB26" s="94"/>
      <c r="AC26" s="94"/>
    </row>
    <row r="27" ht="19.5" customHeight="1">
      <c r="A27" s="94"/>
      <c r="B27" s="502"/>
      <c r="H27" s="502"/>
      <c r="I27" s="502"/>
      <c r="J27" s="502"/>
      <c r="K27" s="502"/>
      <c r="L27" s="502"/>
      <c r="M27" s="502"/>
      <c r="N27" s="502"/>
      <c r="O27" s="94"/>
      <c r="P27" s="94"/>
      <c r="Q27" s="397"/>
      <c r="R27" s="396"/>
      <c r="S27" s="370" t="s">
        <v>1026</v>
      </c>
      <c r="T27" s="371"/>
      <c r="U27" s="94"/>
      <c r="V27" s="94"/>
      <c r="W27" s="353"/>
      <c r="X27" s="353"/>
      <c r="Y27" s="353"/>
      <c r="Z27" s="94"/>
      <c r="AA27" s="94"/>
      <c r="AB27" s="94"/>
      <c r="AC27" s="94"/>
    </row>
    <row r="28" ht="15.75" customHeight="1">
      <c r="A28" s="94"/>
      <c r="B28" s="507"/>
      <c r="C28" s="508" t="s">
        <v>1027</v>
      </c>
      <c r="D28" s="509"/>
      <c r="E28" s="509"/>
      <c r="F28" s="509"/>
      <c r="G28" s="507"/>
      <c r="H28" s="502"/>
      <c r="I28" s="502"/>
      <c r="J28" s="502"/>
      <c r="K28" s="502"/>
      <c r="L28" s="502"/>
      <c r="M28" s="502"/>
      <c r="N28" s="502"/>
      <c r="O28" s="94"/>
      <c r="P28" s="94"/>
      <c r="Q28" s="397"/>
      <c r="R28" s="396"/>
      <c r="S28" s="376"/>
      <c r="T28" s="153"/>
      <c r="U28" s="94"/>
      <c r="V28" s="94"/>
      <c r="W28" s="94"/>
      <c r="X28" s="94"/>
      <c r="Y28" s="94"/>
      <c r="Z28" s="94"/>
      <c r="AA28" s="94"/>
      <c r="AB28" s="94"/>
      <c r="AC28" s="94"/>
    </row>
    <row r="29">
      <c r="A29" s="94"/>
      <c r="B29" s="510"/>
      <c r="C29" s="511" t="s">
        <v>914</v>
      </c>
      <c r="D29" s="512" t="s">
        <v>1028</v>
      </c>
      <c r="E29" s="512" t="s">
        <v>1010</v>
      </c>
      <c r="F29" s="513" t="s">
        <v>1029</v>
      </c>
      <c r="G29" s="514"/>
      <c r="H29" s="367" t="s">
        <v>1030</v>
      </c>
      <c r="I29" s="368" t="s">
        <v>1031</v>
      </c>
      <c r="J29" s="368" t="s">
        <v>1032</v>
      </c>
      <c r="K29" s="515" t="s">
        <v>164</v>
      </c>
      <c r="L29" s="378"/>
      <c r="M29" s="378"/>
      <c r="N29" s="378"/>
      <c r="O29" s="379"/>
      <c r="P29" s="94"/>
      <c r="Q29" s="397"/>
      <c r="R29" s="350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</row>
    <row r="30">
      <c r="A30" s="94"/>
      <c r="B30" s="510"/>
      <c r="C30" s="516">
        <v>46189.0</v>
      </c>
      <c r="D30" s="517">
        <v>1.7602704115E8</v>
      </c>
      <c r="E30" s="517">
        <v>1.7602115343E8</v>
      </c>
      <c r="F30" s="518">
        <f t="shared" ref="F30:F31" si="1">E30-D30</f>
        <v>-5887.72</v>
      </c>
      <c r="G30" s="519"/>
      <c r="H30" s="520">
        <f>D30 - 2634 -18184.43+14930.71</f>
        <v>176021153.4</v>
      </c>
      <c r="I30" s="521">
        <f t="shared" ref="I30:I31" si="2">E30</f>
        <v>176021153.4</v>
      </c>
      <c r="J30" s="522">
        <f t="shared" ref="J30:J31" si="3">I30-H30</f>
        <v>0</v>
      </c>
      <c r="K30" s="523" t="s">
        <v>1033</v>
      </c>
      <c r="L30" s="5"/>
      <c r="M30" s="5"/>
      <c r="N30" s="5"/>
      <c r="O30" s="385"/>
      <c r="P30" s="94"/>
      <c r="Q30" s="397"/>
      <c r="R30" s="350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</row>
    <row r="31">
      <c r="A31" s="94"/>
      <c r="B31" s="510"/>
      <c r="C31" s="524">
        <v>46188.0</v>
      </c>
      <c r="D31" s="525">
        <v>1.7699549123E8</v>
      </c>
      <c r="E31" s="525">
        <v>1.7699285723E8</v>
      </c>
      <c r="F31" s="518">
        <f t="shared" si="1"/>
        <v>-2634</v>
      </c>
      <c r="G31" s="519"/>
      <c r="H31" s="520">
        <f>D31 - 2634</f>
        <v>176992857.2</v>
      </c>
      <c r="I31" s="521">
        <f t="shared" si="2"/>
        <v>176992857.2</v>
      </c>
      <c r="J31" s="402">
        <f t="shared" si="3"/>
        <v>0</v>
      </c>
      <c r="K31" s="523" t="s">
        <v>1034</v>
      </c>
      <c r="L31" s="5"/>
      <c r="M31" s="5"/>
      <c r="N31" s="5"/>
      <c r="O31" s="385"/>
      <c r="P31" s="94"/>
      <c r="Q31" s="397"/>
      <c r="R31" s="350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</row>
    <row r="32" ht="15.75" customHeight="1">
      <c r="A32" s="94"/>
      <c r="B32" s="507"/>
      <c r="C32" s="526"/>
      <c r="D32" s="527"/>
      <c r="E32" s="527"/>
      <c r="F32" s="527"/>
      <c r="G32" s="507"/>
      <c r="H32" s="502"/>
      <c r="I32" s="502"/>
      <c r="J32" s="502"/>
      <c r="K32" s="502"/>
      <c r="L32" s="502"/>
      <c r="M32" s="502"/>
      <c r="N32" s="502"/>
      <c r="P32" s="94"/>
      <c r="Q32" s="397"/>
      <c r="R32" s="350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</row>
    <row r="33" ht="15.75" customHeight="1">
      <c r="A33" s="94"/>
      <c r="B33" s="507"/>
      <c r="C33" s="528" t="s">
        <v>1035</v>
      </c>
      <c r="D33" s="529"/>
      <c r="E33" s="529"/>
      <c r="F33" s="529"/>
      <c r="G33" s="507"/>
      <c r="H33" s="502"/>
      <c r="I33" s="502"/>
      <c r="J33" s="502"/>
      <c r="K33" s="502"/>
      <c r="L33" s="502"/>
      <c r="M33" s="502"/>
      <c r="N33" s="502"/>
      <c r="P33" s="94"/>
      <c r="Q33" s="397"/>
      <c r="R33" s="350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</row>
    <row r="34">
      <c r="A34" s="94"/>
      <c r="B34" s="507"/>
      <c r="C34" s="511" t="s">
        <v>914</v>
      </c>
      <c r="D34" s="512" t="s">
        <v>1036</v>
      </c>
      <c r="E34" s="512" t="s">
        <v>1011</v>
      </c>
      <c r="F34" s="513" t="s">
        <v>1037</v>
      </c>
      <c r="G34" s="530"/>
      <c r="H34" s="367" t="s">
        <v>1030</v>
      </c>
      <c r="I34" s="368" t="s">
        <v>1038</v>
      </c>
      <c r="J34" s="368" t="s">
        <v>1039</v>
      </c>
      <c r="K34" s="515" t="s">
        <v>164</v>
      </c>
      <c r="L34" s="378"/>
      <c r="M34" s="378"/>
      <c r="N34" s="378"/>
      <c r="O34" s="379"/>
      <c r="P34" s="94"/>
      <c r="Q34" s="94"/>
      <c r="R34" s="397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</row>
    <row r="35" ht="15.75" customHeight="1">
      <c r="A35" s="94"/>
      <c r="B35" s="507"/>
      <c r="C35" s="516">
        <v>46189.0</v>
      </c>
      <c r="D35" s="525">
        <v>3959844.1</v>
      </c>
      <c r="E35" s="525">
        <v>3959844.1</v>
      </c>
      <c r="F35" s="518">
        <f t="shared" ref="F35:F36" si="5">E35-D35</f>
        <v>0</v>
      </c>
      <c r="G35" s="531"/>
      <c r="H35" s="532">
        <f t="shared" ref="H35:I35" si="4">D35</f>
        <v>3959844.1</v>
      </c>
      <c r="I35" s="533">
        <f t="shared" si="4"/>
        <v>3959844.1</v>
      </c>
      <c r="J35" s="534">
        <f t="shared" ref="J35:J36" si="7">I35-H35</f>
        <v>0</v>
      </c>
      <c r="K35" s="535" t="s">
        <v>95</v>
      </c>
      <c r="L35" s="5"/>
      <c r="M35" s="5"/>
      <c r="N35" s="5"/>
      <c r="O35" s="385"/>
      <c r="P35" s="94"/>
      <c r="Q35" s="94"/>
      <c r="R35" s="397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</row>
    <row r="36" ht="15.75" customHeight="1">
      <c r="A36" s="94"/>
      <c r="B36" s="507"/>
      <c r="C36" s="524">
        <v>46188.0</v>
      </c>
      <c r="D36" s="525">
        <v>3959844.1</v>
      </c>
      <c r="E36" s="525">
        <v>3959844.1</v>
      </c>
      <c r="F36" s="402">
        <f t="shared" si="5"/>
        <v>0</v>
      </c>
      <c r="G36" s="531"/>
      <c r="H36" s="536">
        <f t="shared" ref="H36:I36" si="6">D36</f>
        <v>3959844.1</v>
      </c>
      <c r="I36" s="537">
        <f t="shared" si="6"/>
        <v>3959844.1</v>
      </c>
      <c r="J36" s="538">
        <f t="shared" si="7"/>
        <v>0</v>
      </c>
      <c r="K36" s="535" t="s">
        <v>95</v>
      </c>
      <c r="L36" s="5"/>
      <c r="M36" s="5"/>
      <c r="N36" s="5"/>
      <c r="O36" s="385"/>
      <c r="P36" s="94"/>
      <c r="Q36" s="94"/>
      <c r="R36" s="397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</row>
    <row r="37" ht="15.75" customHeight="1">
      <c r="A37" s="94"/>
      <c r="B37" s="507"/>
      <c r="C37" s="539"/>
      <c r="D37" s="539"/>
      <c r="E37" s="539"/>
      <c r="F37" s="539"/>
      <c r="G37" s="540"/>
      <c r="H37" s="502"/>
      <c r="I37" s="502"/>
      <c r="J37" s="502"/>
      <c r="K37" s="502"/>
      <c r="L37" s="502"/>
      <c r="M37" s="502"/>
      <c r="N37" s="502"/>
      <c r="O37" s="94"/>
      <c r="P37" s="94"/>
      <c r="Q37" s="94"/>
      <c r="R37" s="397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</row>
    <row r="38" ht="15.75" customHeight="1">
      <c r="A38" s="94"/>
      <c r="B38" s="507"/>
      <c r="C38" s="528" t="s">
        <v>1040</v>
      </c>
      <c r="D38" s="539"/>
      <c r="E38" s="539"/>
      <c r="F38" s="539"/>
      <c r="G38" s="540"/>
      <c r="H38" s="502"/>
      <c r="I38" s="502"/>
      <c r="J38" s="502"/>
      <c r="K38" s="502"/>
      <c r="L38" s="502"/>
      <c r="M38" s="502"/>
      <c r="N38" s="502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</row>
    <row r="39">
      <c r="A39" s="94"/>
      <c r="B39" s="507"/>
      <c r="C39" s="511" t="s">
        <v>914</v>
      </c>
      <c r="D39" s="512" t="s">
        <v>1041</v>
      </c>
      <c r="E39" s="512" t="s">
        <v>1042</v>
      </c>
      <c r="F39" s="513" t="s">
        <v>1043</v>
      </c>
      <c r="G39" s="541"/>
      <c r="H39" s="367" t="s">
        <v>1030</v>
      </c>
      <c r="I39" s="368" t="s">
        <v>1044</v>
      </c>
      <c r="J39" s="368" t="s">
        <v>1045</v>
      </c>
      <c r="K39" s="515" t="s">
        <v>164</v>
      </c>
      <c r="L39" s="378"/>
      <c r="M39" s="378"/>
      <c r="N39" s="378"/>
      <c r="O39" s="379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</row>
    <row r="40" ht="15.75" customHeight="1">
      <c r="A40" s="94"/>
      <c r="B40" s="507"/>
      <c r="C40" s="516">
        <v>46189.0</v>
      </c>
      <c r="D40" s="542">
        <v>7.47535672E8</v>
      </c>
      <c r="E40" s="525">
        <v>7.47535672E8</v>
      </c>
      <c r="F40" s="518">
        <f t="shared" ref="F40:F41" si="9">E40-D40</f>
        <v>0</v>
      </c>
      <c r="G40" s="543"/>
      <c r="H40" s="532">
        <f t="shared" ref="H40:I40" si="8">D40</f>
        <v>747535672</v>
      </c>
      <c r="I40" s="533">
        <f t="shared" si="8"/>
        <v>747535672</v>
      </c>
      <c r="J40" s="534">
        <f t="shared" ref="J40:J41" si="11">I40-H40</f>
        <v>0</v>
      </c>
      <c r="K40" s="535" t="s">
        <v>95</v>
      </c>
      <c r="L40" s="5"/>
      <c r="M40" s="5"/>
      <c r="N40" s="5"/>
      <c r="O40" s="385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544"/>
      <c r="AA40" s="544"/>
      <c r="AB40" s="94"/>
      <c r="AC40" s="94"/>
    </row>
    <row r="41" ht="15.75" customHeight="1">
      <c r="A41" s="94"/>
      <c r="B41" s="507"/>
      <c r="C41" s="524">
        <v>46188.0</v>
      </c>
      <c r="D41" s="542">
        <v>7.47535672E8</v>
      </c>
      <c r="E41" s="525">
        <v>7.47535672E8</v>
      </c>
      <c r="F41" s="545">
        <f t="shared" si="9"/>
        <v>0</v>
      </c>
      <c r="G41" s="543"/>
      <c r="H41" s="536">
        <f t="shared" ref="H41:I41" si="10">D41</f>
        <v>747535672</v>
      </c>
      <c r="I41" s="537">
        <f t="shared" si="10"/>
        <v>747535672</v>
      </c>
      <c r="J41" s="538">
        <f t="shared" si="11"/>
        <v>0</v>
      </c>
      <c r="K41" s="535" t="s">
        <v>95</v>
      </c>
      <c r="L41" s="5"/>
      <c r="M41" s="5"/>
      <c r="N41" s="5"/>
      <c r="O41" s="385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544"/>
      <c r="AA41" s="544"/>
      <c r="AB41" s="94"/>
      <c r="AC41" s="94"/>
    </row>
    <row r="42" ht="15.75" customHeight="1">
      <c r="A42" s="94"/>
      <c r="B42" s="507"/>
      <c r="C42" s="529"/>
      <c r="D42" s="529"/>
      <c r="E42" s="529"/>
      <c r="F42" s="529"/>
      <c r="G42" s="507"/>
      <c r="H42" s="502"/>
      <c r="I42" s="502"/>
      <c r="J42" s="502"/>
      <c r="K42" s="502"/>
      <c r="L42" s="502"/>
      <c r="M42" s="502"/>
      <c r="N42" s="502"/>
      <c r="O42" s="94"/>
      <c r="P42" s="94"/>
      <c r="Q42" s="94"/>
      <c r="R42" s="94"/>
      <c r="S42" s="94"/>
      <c r="T42" s="546"/>
      <c r="U42" s="94"/>
      <c r="V42" s="94"/>
      <c r="W42" s="94"/>
      <c r="X42" s="94"/>
      <c r="Y42" s="94"/>
      <c r="Z42" s="544"/>
      <c r="AA42" s="544"/>
      <c r="AB42" s="94"/>
      <c r="AC42" s="94"/>
    </row>
    <row r="43" ht="15.75" customHeight="1">
      <c r="A43" s="94"/>
      <c r="B43" s="507"/>
      <c r="C43" s="528" t="s">
        <v>1046</v>
      </c>
      <c r="D43" s="539"/>
      <c r="E43" s="539"/>
      <c r="F43" s="539"/>
      <c r="G43" s="540"/>
      <c r="H43" s="502"/>
      <c r="I43" s="502"/>
      <c r="J43" s="502"/>
      <c r="K43" s="502"/>
      <c r="L43" s="502"/>
      <c r="M43" s="502"/>
      <c r="N43" s="502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</row>
    <row r="44">
      <c r="A44" s="94"/>
      <c r="B44" s="507"/>
      <c r="C44" s="511" t="s">
        <v>914</v>
      </c>
      <c r="D44" s="512" t="s">
        <v>1047</v>
      </c>
      <c r="E44" s="512" t="s">
        <v>1013</v>
      </c>
      <c r="F44" s="513" t="s">
        <v>1048</v>
      </c>
      <c r="G44" s="541"/>
      <c r="H44" s="367" t="s">
        <v>1030</v>
      </c>
      <c r="I44" s="368" t="s">
        <v>1049</v>
      </c>
      <c r="J44" s="368" t="s">
        <v>1050</v>
      </c>
      <c r="K44" s="515" t="s">
        <v>164</v>
      </c>
      <c r="L44" s="378"/>
      <c r="M44" s="378"/>
      <c r="N44" s="378"/>
      <c r="O44" s="379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</row>
    <row r="45" ht="21.0" customHeight="1">
      <c r="A45" s="94"/>
      <c r="B45" s="507"/>
      <c r="C45" s="524">
        <v>46189.0</v>
      </c>
      <c r="D45" s="542">
        <v>1.168E9</v>
      </c>
      <c r="E45" s="525">
        <v>1.168E9</v>
      </c>
      <c r="F45" s="518">
        <f t="shared" ref="F45:F46" si="13">E45-D45</f>
        <v>0</v>
      </c>
      <c r="G45" s="543"/>
      <c r="H45" s="532">
        <f t="shared" ref="H45:I45" si="12">D45</f>
        <v>1168000000</v>
      </c>
      <c r="I45" s="533">
        <f t="shared" si="12"/>
        <v>1168000000</v>
      </c>
      <c r="J45" s="534">
        <f t="shared" ref="J45:J46" si="15">I45-H45</f>
        <v>0</v>
      </c>
      <c r="K45" s="535" t="s">
        <v>95</v>
      </c>
      <c r="L45" s="5"/>
      <c r="M45" s="5"/>
      <c r="N45" s="5"/>
      <c r="O45" s="385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</row>
    <row r="46" ht="15.75" customHeight="1">
      <c r="A46" s="94"/>
      <c r="B46" s="507"/>
      <c r="C46" s="547">
        <v>46188.0</v>
      </c>
      <c r="D46" s="542">
        <v>1.168E9</v>
      </c>
      <c r="E46" s="525">
        <v>1.168E9</v>
      </c>
      <c r="F46" s="545">
        <f t="shared" si="13"/>
        <v>0</v>
      </c>
      <c r="G46" s="543"/>
      <c r="H46" s="536">
        <f t="shared" ref="H46:I46" si="14">D46</f>
        <v>1168000000</v>
      </c>
      <c r="I46" s="537">
        <f t="shared" si="14"/>
        <v>1168000000</v>
      </c>
      <c r="J46" s="538">
        <f t="shared" si="15"/>
        <v>0</v>
      </c>
      <c r="K46" s="535" t="s">
        <v>95</v>
      </c>
      <c r="L46" s="5"/>
      <c r="M46" s="5"/>
      <c r="N46" s="5"/>
      <c r="O46" s="385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</row>
    <row r="47" ht="15.75" hidden="1" customHeight="1">
      <c r="A47" s="94"/>
      <c r="B47" s="507"/>
      <c r="C47" s="539"/>
      <c r="D47" s="539"/>
      <c r="E47" s="539"/>
      <c r="F47" s="539"/>
      <c r="G47" s="540"/>
      <c r="H47" s="502"/>
      <c r="I47" s="502"/>
      <c r="J47" s="502"/>
      <c r="K47" s="502"/>
      <c r="L47" s="502"/>
      <c r="M47" s="502"/>
      <c r="N47" s="502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</row>
    <row r="48" ht="15.75" hidden="1" customHeight="1">
      <c r="A48" s="94"/>
      <c r="B48" s="507"/>
      <c r="C48" s="528" t="s">
        <v>1051</v>
      </c>
      <c r="D48" s="539"/>
      <c r="E48" s="539"/>
      <c r="F48" s="539"/>
      <c r="G48" s="540"/>
      <c r="H48" s="502"/>
      <c r="I48" s="502"/>
      <c r="J48" s="502"/>
      <c r="K48" s="502"/>
      <c r="L48" s="502"/>
      <c r="M48" s="502"/>
      <c r="N48" s="502"/>
      <c r="P48" s="94"/>
      <c r="Q48" s="94"/>
      <c r="R48" s="357"/>
      <c r="S48" s="357"/>
      <c r="T48" s="357"/>
      <c r="U48" s="94"/>
      <c r="V48" s="94"/>
      <c r="W48" s="94"/>
      <c r="X48" s="94"/>
      <c r="Y48" s="94"/>
      <c r="Z48" s="94"/>
      <c r="AA48" s="94"/>
      <c r="AB48" s="94"/>
      <c r="AC48" s="94"/>
    </row>
    <row r="49" hidden="1">
      <c r="A49" s="94"/>
      <c r="B49" s="507"/>
      <c r="C49" s="511" t="s">
        <v>914</v>
      </c>
      <c r="D49" s="512" t="s">
        <v>1052</v>
      </c>
      <c r="E49" s="512" t="s">
        <v>1053</v>
      </c>
      <c r="F49" s="513" t="s">
        <v>1054</v>
      </c>
      <c r="G49" s="541"/>
      <c r="H49" s="367" t="s">
        <v>1030</v>
      </c>
      <c r="I49" s="368" t="s">
        <v>1055</v>
      </c>
      <c r="J49" s="368" t="s">
        <v>1056</v>
      </c>
      <c r="K49" s="515" t="s">
        <v>164</v>
      </c>
      <c r="L49" s="378"/>
      <c r="M49" s="378"/>
      <c r="N49" s="378"/>
      <c r="O49" s="379"/>
      <c r="P49" s="94"/>
      <c r="Q49" s="94"/>
      <c r="R49" s="357"/>
      <c r="S49" s="357"/>
      <c r="T49" s="357"/>
      <c r="U49" s="94"/>
      <c r="V49" s="94"/>
      <c r="W49" s="94"/>
      <c r="X49" s="94"/>
      <c r="Y49" s="94"/>
      <c r="Z49" s="94"/>
      <c r="AA49" s="94"/>
      <c r="AB49" s="94"/>
      <c r="AC49" s="94"/>
    </row>
    <row r="50" ht="15.75" hidden="1" customHeight="1">
      <c r="A50" s="94"/>
      <c r="B50" s="507"/>
      <c r="C50" s="516">
        <f t="shared" ref="C50:C51" si="17">C30</f>
        <v>46189</v>
      </c>
      <c r="D50" s="548">
        <v>0.0</v>
      </c>
      <c r="E50" s="548">
        <v>0.0</v>
      </c>
      <c r="F50" s="549">
        <f t="shared" ref="F50:F51" si="18">E50-D50</f>
        <v>0</v>
      </c>
      <c r="G50" s="543"/>
      <c r="H50" s="532">
        <f t="shared" ref="H50:I50" si="16">D50</f>
        <v>0</v>
      </c>
      <c r="I50" s="533">
        <f t="shared" si="16"/>
        <v>0</v>
      </c>
      <c r="J50" s="534">
        <f t="shared" ref="J50:J51" si="20">I50-H50</f>
        <v>0</v>
      </c>
      <c r="K50" s="535" t="s">
        <v>95</v>
      </c>
      <c r="L50" s="5"/>
      <c r="M50" s="5"/>
      <c r="N50" s="5"/>
      <c r="O50" s="385"/>
      <c r="P50" s="94"/>
      <c r="Q50" s="94"/>
      <c r="R50" s="94"/>
      <c r="S50" s="94"/>
      <c r="T50" s="94"/>
      <c r="U50" s="353"/>
      <c r="V50" s="94"/>
      <c r="W50" s="94"/>
      <c r="X50" s="94"/>
      <c r="Y50" s="94"/>
      <c r="Z50" s="94"/>
      <c r="AA50" s="94"/>
      <c r="AB50" s="94"/>
      <c r="AC50" s="94"/>
    </row>
    <row r="51" ht="15.75" hidden="1" customHeight="1">
      <c r="A51" s="94"/>
      <c r="B51" s="507"/>
      <c r="C51" s="516">
        <f t="shared" si="17"/>
        <v>46188</v>
      </c>
      <c r="D51" s="550">
        <v>0.0</v>
      </c>
      <c r="E51" s="550">
        <v>0.0</v>
      </c>
      <c r="F51" s="551">
        <f t="shared" si="18"/>
        <v>0</v>
      </c>
      <c r="G51" s="543"/>
      <c r="H51" s="536">
        <f t="shared" ref="H51:I51" si="19">D51</f>
        <v>0</v>
      </c>
      <c r="I51" s="537">
        <f t="shared" si="19"/>
        <v>0</v>
      </c>
      <c r="J51" s="538">
        <f t="shared" si="20"/>
        <v>0</v>
      </c>
      <c r="K51" s="535" t="s">
        <v>95</v>
      </c>
      <c r="L51" s="5"/>
      <c r="M51" s="5"/>
      <c r="N51" s="5"/>
      <c r="O51" s="385"/>
      <c r="P51" s="94"/>
      <c r="Q51" s="94"/>
      <c r="R51" s="94"/>
      <c r="S51" s="94"/>
      <c r="T51" s="94"/>
      <c r="U51" s="353"/>
      <c r="V51" s="94"/>
      <c r="W51" s="94"/>
      <c r="X51" s="94"/>
      <c r="Y51" s="94"/>
      <c r="Z51" s="94"/>
      <c r="AA51" s="94"/>
      <c r="AB51" s="94"/>
      <c r="AC51" s="94"/>
    </row>
    <row r="52" ht="15.75" customHeight="1">
      <c r="A52" s="94"/>
      <c r="B52" s="507"/>
      <c r="C52" s="539"/>
      <c r="D52" s="539"/>
      <c r="E52" s="539"/>
      <c r="F52" s="539"/>
      <c r="G52" s="540"/>
      <c r="H52" s="502"/>
      <c r="I52" s="502"/>
      <c r="J52" s="502"/>
      <c r="K52" s="502"/>
      <c r="L52" s="502"/>
      <c r="M52" s="502"/>
      <c r="N52" s="502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</row>
    <row r="53" ht="14.25" customHeight="1">
      <c r="A53" s="94"/>
      <c r="B53" s="507"/>
      <c r="C53" s="508" t="s">
        <v>1057</v>
      </c>
      <c r="D53" s="552"/>
      <c r="E53" s="552"/>
      <c r="F53" s="552"/>
      <c r="G53" s="540"/>
      <c r="H53" s="502"/>
      <c r="I53" s="502"/>
      <c r="J53" s="502"/>
      <c r="K53" s="98"/>
      <c r="L53" s="98"/>
      <c r="M53" s="98"/>
      <c r="N53" s="94"/>
      <c r="P53" s="94"/>
      <c r="Q53" s="94"/>
      <c r="R53" s="94"/>
      <c r="S53" s="94"/>
      <c r="T53" s="94"/>
      <c r="U53" s="94"/>
      <c r="V53" s="353"/>
      <c r="W53" s="353"/>
      <c r="X53" s="353"/>
      <c r="Y53" s="94"/>
      <c r="Z53" s="94"/>
      <c r="AA53" s="94"/>
      <c r="AB53" s="94"/>
    </row>
    <row r="54" ht="14.25" customHeight="1">
      <c r="A54" s="94"/>
      <c r="B54" s="510"/>
      <c r="C54" s="367" t="s">
        <v>914</v>
      </c>
      <c r="D54" s="368" t="s">
        <v>1058</v>
      </c>
      <c r="E54" s="368" t="s">
        <v>1014</v>
      </c>
      <c r="F54" s="369" t="s">
        <v>1059</v>
      </c>
      <c r="G54" s="553"/>
      <c r="H54" s="367" t="s">
        <v>1030</v>
      </c>
      <c r="I54" s="368" t="s">
        <v>1060</v>
      </c>
      <c r="J54" s="368" t="s">
        <v>1061</v>
      </c>
      <c r="K54" s="515" t="s">
        <v>164</v>
      </c>
      <c r="L54" s="378"/>
      <c r="M54" s="378"/>
      <c r="N54" s="378"/>
      <c r="O54" s="379"/>
      <c r="P54" s="94"/>
      <c r="Q54" s="94"/>
      <c r="R54" s="94"/>
      <c r="S54" s="94"/>
      <c r="T54" s="94"/>
      <c r="U54" s="94"/>
      <c r="V54" s="353"/>
      <c r="W54" s="353"/>
      <c r="X54" s="353"/>
      <c r="Y54" s="94"/>
      <c r="Z54" s="94"/>
      <c r="AA54" s="94"/>
      <c r="AB54" s="94"/>
    </row>
    <row r="55" ht="14.25" customHeight="1">
      <c r="A55" s="94"/>
      <c r="B55" s="510"/>
      <c r="C55" s="516">
        <f t="shared" ref="C55:C56" si="22">C30</f>
        <v>46189</v>
      </c>
      <c r="D55" s="548">
        <v>0.0</v>
      </c>
      <c r="E55" s="548">
        <v>0.0</v>
      </c>
      <c r="F55" s="518">
        <f t="shared" ref="F55:F56" si="23">E55-D55</f>
        <v>0</v>
      </c>
      <c r="G55" s="553"/>
      <c r="H55" s="532">
        <f t="shared" ref="H55:I55" si="21">D55</f>
        <v>0</v>
      </c>
      <c r="I55" s="533">
        <f t="shared" si="21"/>
        <v>0</v>
      </c>
      <c r="J55" s="534">
        <f t="shared" ref="J55:J56" si="25">I55-H55</f>
        <v>0</v>
      </c>
      <c r="K55" s="535" t="s">
        <v>95</v>
      </c>
      <c r="L55" s="5"/>
      <c r="M55" s="5"/>
      <c r="N55" s="5"/>
      <c r="O55" s="385"/>
      <c r="P55" s="94"/>
      <c r="Q55" s="94"/>
      <c r="R55" s="94"/>
      <c r="S55" s="94"/>
      <c r="T55" s="94"/>
      <c r="U55" s="94"/>
      <c r="V55" s="353"/>
      <c r="W55" s="353"/>
      <c r="X55" s="353"/>
      <c r="Y55" s="94"/>
      <c r="Z55" s="94"/>
      <c r="AA55" s="94"/>
      <c r="AB55" s="94"/>
    </row>
    <row r="56" ht="14.25" customHeight="1">
      <c r="A56" s="94"/>
      <c r="B56" s="510"/>
      <c r="C56" s="516">
        <f t="shared" si="22"/>
        <v>46188</v>
      </c>
      <c r="D56" s="550">
        <v>0.0</v>
      </c>
      <c r="E56" s="550">
        <v>0.0</v>
      </c>
      <c r="F56" s="545">
        <f t="shared" si="23"/>
        <v>0</v>
      </c>
      <c r="G56" s="553"/>
      <c r="H56" s="536">
        <f t="shared" ref="H56:I56" si="24">D56</f>
        <v>0</v>
      </c>
      <c r="I56" s="537">
        <f t="shared" si="24"/>
        <v>0</v>
      </c>
      <c r="J56" s="538">
        <f t="shared" si="25"/>
        <v>0</v>
      </c>
      <c r="K56" s="535" t="s">
        <v>95</v>
      </c>
      <c r="L56" s="5"/>
      <c r="M56" s="5"/>
      <c r="N56" s="5"/>
      <c r="O56" s="385"/>
      <c r="P56" s="94"/>
      <c r="Q56" s="94"/>
      <c r="R56" s="94"/>
      <c r="S56" s="94"/>
      <c r="T56" s="94"/>
      <c r="U56" s="94"/>
      <c r="V56" s="353"/>
      <c r="W56" s="353"/>
      <c r="X56" s="353"/>
      <c r="Y56" s="94"/>
      <c r="Z56" s="94"/>
      <c r="AA56" s="94"/>
      <c r="AB56" s="94"/>
    </row>
    <row r="57" ht="14.25" customHeight="1">
      <c r="A57" s="94"/>
      <c r="B57" s="507"/>
      <c r="C57" s="554"/>
      <c r="D57" s="554"/>
      <c r="E57" s="554"/>
      <c r="F57" s="554"/>
      <c r="G57" s="507"/>
      <c r="H57" s="502"/>
      <c r="I57" s="502"/>
      <c r="J57" s="502"/>
      <c r="K57" s="502"/>
      <c r="L57" s="502"/>
      <c r="M57" s="502"/>
      <c r="N57" s="94"/>
      <c r="O57" s="94"/>
      <c r="P57" s="94"/>
      <c r="Q57" s="94"/>
      <c r="R57" s="94"/>
      <c r="S57" s="94"/>
      <c r="T57" s="94"/>
      <c r="U57" s="94"/>
      <c r="V57" s="353"/>
      <c r="W57" s="353"/>
      <c r="X57" s="353"/>
      <c r="Y57" s="94"/>
      <c r="Z57" s="94"/>
      <c r="AA57" s="94"/>
      <c r="AB57" s="94"/>
    </row>
    <row r="58" ht="14.25" customHeight="1">
      <c r="A58" s="94"/>
      <c r="B58" s="507"/>
      <c r="C58" s="508" t="s">
        <v>1062</v>
      </c>
      <c r="D58" s="552"/>
      <c r="E58" s="552"/>
      <c r="F58" s="552"/>
      <c r="G58" s="540"/>
      <c r="H58" s="502"/>
      <c r="I58" s="502"/>
      <c r="J58" s="502"/>
      <c r="K58" s="98"/>
      <c r="L58" s="98"/>
      <c r="M58" s="98"/>
      <c r="N58" s="94"/>
      <c r="O58" s="94"/>
      <c r="P58" s="94"/>
      <c r="Q58" s="94"/>
      <c r="R58" s="94"/>
      <c r="S58" s="94"/>
      <c r="T58" s="94"/>
      <c r="U58" s="94"/>
      <c r="V58" s="353"/>
      <c r="W58" s="353"/>
      <c r="X58" s="353"/>
      <c r="Y58" s="94"/>
      <c r="Z58" s="94"/>
      <c r="AA58" s="94"/>
      <c r="AB58" s="94"/>
    </row>
    <row r="59" ht="14.25" customHeight="1">
      <c r="A59" s="94"/>
      <c r="B59" s="510"/>
      <c r="C59" s="367" t="s">
        <v>914</v>
      </c>
      <c r="D59" s="368" t="s">
        <v>1063</v>
      </c>
      <c r="E59" s="368" t="s">
        <v>1064</v>
      </c>
      <c r="F59" s="369" t="s">
        <v>1065</v>
      </c>
      <c r="G59" s="553"/>
      <c r="H59" s="367" t="s">
        <v>1030</v>
      </c>
      <c r="I59" s="368" t="s">
        <v>1066</v>
      </c>
      <c r="J59" s="368" t="s">
        <v>1067</v>
      </c>
      <c r="K59" s="515" t="s">
        <v>164</v>
      </c>
      <c r="L59" s="378"/>
      <c r="M59" s="378"/>
      <c r="N59" s="378"/>
      <c r="O59" s="379"/>
      <c r="P59" s="94"/>
      <c r="Q59" s="94"/>
      <c r="R59" s="94"/>
      <c r="S59" s="94"/>
      <c r="T59" s="94"/>
      <c r="U59" s="94"/>
      <c r="V59" s="353"/>
      <c r="W59" s="353"/>
      <c r="X59" s="353"/>
      <c r="Y59" s="94"/>
      <c r="Z59" s="94"/>
      <c r="AA59" s="94"/>
      <c r="AB59" s="94"/>
    </row>
    <row r="60" ht="14.25" customHeight="1">
      <c r="A60" s="94"/>
      <c r="B60" s="510"/>
      <c r="C60" s="524">
        <v>46189.0</v>
      </c>
      <c r="D60" s="555">
        <v>2.9496063112E8</v>
      </c>
      <c r="E60" s="555">
        <v>2.9496063112E8</v>
      </c>
      <c r="F60" s="518">
        <f t="shared" ref="F60:F61" si="27">E60-D60</f>
        <v>0</v>
      </c>
      <c r="G60" s="553"/>
      <c r="H60" s="532">
        <f t="shared" ref="H60:I60" si="26">D60</f>
        <v>294960631.1</v>
      </c>
      <c r="I60" s="533">
        <f t="shared" si="26"/>
        <v>294960631.1</v>
      </c>
      <c r="J60" s="534">
        <f t="shared" ref="J60:J61" si="29">I60-H60</f>
        <v>0</v>
      </c>
      <c r="K60" s="535" t="s">
        <v>95</v>
      </c>
      <c r="L60" s="5"/>
      <c r="M60" s="5"/>
      <c r="N60" s="5"/>
      <c r="O60" s="385"/>
      <c r="P60" s="94"/>
      <c r="Q60" s="94"/>
      <c r="R60" s="94"/>
      <c r="S60" s="94"/>
      <c r="T60" s="94"/>
      <c r="U60" s="94"/>
      <c r="V60" s="353"/>
      <c r="W60" s="353"/>
      <c r="X60" s="353"/>
      <c r="Y60" s="94"/>
      <c r="Z60" s="94"/>
      <c r="AA60" s="94"/>
      <c r="AB60" s="94"/>
    </row>
    <row r="61" ht="14.25" customHeight="1">
      <c r="A61" s="94"/>
      <c r="B61" s="510"/>
      <c r="C61" s="547">
        <v>46188.0</v>
      </c>
      <c r="D61" s="555">
        <v>2.9496063112E8</v>
      </c>
      <c r="E61" s="555">
        <v>2.9496063112E8</v>
      </c>
      <c r="F61" s="545">
        <f t="shared" si="27"/>
        <v>0</v>
      </c>
      <c r="G61" s="553"/>
      <c r="H61" s="536">
        <f t="shared" ref="H61:I61" si="28">D61</f>
        <v>294960631.1</v>
      </c>
      <c r="I61" s="537">
        <f t="shared" si="28"/>
        <v>294960631.1</v>
      </c>
      <c r="J61" s="538">
        <f t="shared" si="29"/>
        <v>0</v>
      </c>
      <c r="K61" s="535" t="s">
        <v>95</v>
      </c>
      <c r="L61" s="5"/>
      <c r="M61" s="5"/>
      <c r="N61" s="5"/>
      <c r="O61" s="385"/>
      <c r="P61" s="94"/>
      <c r="Q61" s="94"/>
      <c r="R61" s="94"/>
      <c r="S61" s="94"/>
      <c r="T61" s="94"/>
      <c r="U61" s="94"/>
      <c r="V61" s="353"/>
      <c r="W61" s="353"/>
      <c r="X61" s="353"/>
      <c r="Y61" s="94"/>
      <c r="Z61" s="94"/>
      <c r="AA61" s="94"/>
      <c r="AB61" s="94"/>
    </row>
    <row r="62" ht="14.25" customHeight="1">
      <c r="A62" s="94"/>
      <c r="B62" s="510"/>
      <c r="C62" s="556"/>
      <c r="D62" s="556"/>
      <c r="E62" s="556"/>
      <c r="F62" s="556"/>
      <c r="G62" s="556"/>
      <c r="H62" s="502"/>
      <c r="I62" s="502"/>
      <c r="J62" s="502"/>
      <c r="K62" s="502"/>
      <c r="L62" s="502"/>
      <c r="M62" s="502"/>
      <c r="N62" s="94"/>
      <c r="O62" s="94"/>
      <c r="P62" s="94"/>
      <c r="Q62" s="94"/>
      <c r="R62" s="94"/>
      <c r="S62" s="94"/>
      <c r="T62" s="94"/>
      <c r="U62" s="94"/>
      <c r="V62" s="353"/>
      <c r="W62" s="353"/>
      <c r="X62" s="353"/>
      <c r="Y62" s="94"/>
      <c r="Z62" s="94"/>
      <c r="AA62" s="94"/>
      <c r="AB62" s="94"/>
    </row>
    <row r="63" ht="14.25" customHeight="1">
      <c r="A63" s="94"/>
      <c r="B63" s="510"/>
      <c r="C63" s="508" t="s">
        <v>1068</v>
      </c>
      <c r="D63" s="552"/>
      <c r="E63" s="552"/>
      <c r="F63" s="552"/>
      <c r="G63" s="540"/>
      <c r="H63" s="502"/>
      <c r="I63" s="502"/>
      <c r="J63" s="502"/>
      <c r="K63" s="98"/>
      <c r="L63" s="98"/>
      <c r="M63" s="98"/>
      <c r="N63" s="94"/>
      <c r="O63" s="94"/>
      <c r="P63" s="94"/>
      <c r="Q63" s="94"/>
      <c r="R63" s="94"/>
      <c r="S63" s="94"/>
      <c r="T63" s="94"/>
      <c r="U63" s="94"/>
      <c r="V63" s="353"/>
      <c r="W63" s="353"/>
      <c r="X63" s="353"/>
      <c r="Y63" s="94"/>
      <c r="Z63" s="94"/>
      <c r="AA63" s="94"/>
      <c r="AB63" s="94"/>
    </row>
    <row r="64" ht="14.25" customHeight="1">
      <c r="A64" s="94"/>
      <c r="B64" s="510"/>
      <c r="C64" s="367" t="s">
        <v>914</v>
      </c>
      <c r="D64" s="368" t="s">
        <v>1063</v>
      </c>
      <c r="E64" s="368" t="s">
        <v>1064</v>
      </c>
      <c r="F64" s="369" t="s">
        <v>1065</v>
      </c>
      <c r="G64" s="553"/>
      <c r="H64" s="367" t="s">
        <v>1030</v>
      </c>
      <c r="I64" s="557" t="s">
        <v>1069</v>
      </c>
      <c r="J64" s="368" t="s">
        <v>1067</v>
      </c>
      <c r="K64" s="515" t="s">
        <v>164</v>
      </c>
      <c r="L64" s="378"/>
      <c r="M64" s="378"/>
      <c r="N64" s="378"/>
      <c r="O64" s="379"/>
      <c r="P64" s="94"/>
      <c r="Q64" s="94"/>
      <c r="R64" s="94"/>
      <c r="S64" s="94"/>
      <c r="T64" s="94"/>
      <c r="U64" s="94"/>
      <c r="V64" s="353"/>
      <c r="W64" s="353"/>
      <c r="X64" s="353"/>
      <c r="Y64" s="94"/>
      <c r="Z64" s="94"/>
      <c r="AA64" s="94"/>
      <c r="AB64" s="94"/>
    </row>
    <row r="65" ht="14.25" customHeight="1">
      <c r="A65" s="94"/>
      <c r="B65" s="510"/>
      <c r="C65" s="524">
        <v>46189.0</v>
      </c>
      <c r="D65" s="558">
        <v>0.0</v>
      </c>
      <c r="E65" s="517">
        <v>0.0</v>
      </c>
      <c r="F65" s="518">
        <f t="shared" ref="F65:F66" si="31">E65-D65</f>
        <v>0</v>
      </c>
      <c r="G65" s="553"/>
      <c r="H65" s="532">
        <f t="shared" ref="H65:I65" si="30">D65</f>
        <v>0</v>
      </c>
      <c r="I65" s="533">
        <f t="shared" si="30"/>
        <v>0</v>
      </c>
      <c r="J65" s="534">
        <f t="shared" ref="J65:J66" si="33">I65-H65</f>
        <v>0</v>
      </c>
      <c r="K65" s="535" t="s">
        <v>95</v>
      </c>
      <c r="L65" s="5"/>
      <c r="M65" s="5"/>
      <c r="N65" s="5"/>
      <c r="O65" s="385"/>
      <c r="P65" s="94"/>
      <c r="Q65" s="94"/>
      <c r="R65" s="94"/>
      <c r="S65" s="94"/>
      <c r="T65" s="94"/>
      <c r="U65" s="94"/>
      <c r="V65" s="353"/>
      <c r="W65" s="353"/>
      <c r="X65" s="353"/>
      <c r="Y65" s="94"/>
      <c r="Z65" s="94"/>
      <c r="AA65" s="94"/>
      <c r="AB65" s="94"/>
    </row>
    <row r="66" ht="14.25" customHeight="1">
      <c r="A66" s="94"/>
      <c r="B66" s="510"/>
      <c r="C66" s="547">
        <v>46188.0</v>
      </c>
      <c r="D66" s="559">
        <v>0.0</v>
      </c>
      <c r="E66" s="555">
        <v>0.0</v>
      </c>
      <c r="F66" s="545">
        <f t="shared" si="31"/>
        <v>0</v>
      </c>
      <c r="G66" s="553"/>
      <c r="H66" s="536">
        <f t="shared" ref="H66:I66" si="32">D66</f>
        <v>0</v>
      </c>
      <c r="I66" s="537">
        <f t="shared" si="32"/>
        <v>0</v>
      </c>
      <c r="J66" s="538">
        <f t="shared" si="33"/>
        <v>0</v>
      </c>
      <c r="K66" s="535" t="s">
        <v>95</v>
      </c>
      <c r="L66" s="5"/>
      <c r="M66" s="5"/>
      <c r="N66" s="5"/>
      <c r="O66" s="385"/>
      <c r="P66" s="94"/>
      <c r="Q66" s="94"/>
      <c r="R66" s="94"/>
      <c r="S66" s="94"/>
      <c r="T66" s="94"/>
      <c r="U66" s="94"/>
      <c r="V66" s="353"/>
      <c r="W66" s="353"/>
      <c r="X66" s="353"/>
      <c r="Y66" s="94"/>
      <c r="Z66" s="94"/>
      <c r="AA66" s="94"/>
      <c r="AB66" s="94"/>
    </row>
    <row r="67" ht="14.25" customHeight="1">
      <c r="A67" s="94"/>
      <c r="B67" s="510"/>
      <c r="C67" s="556"/>
      <c r="D67" s="556"/>
      <c r="E67" s="556"/>
      <c r="F67" s="556"/>
      <c r="G67" s="556"/>
      <c r="H67" s="502"/>
      <c r="I67" s="502"/>
      <c r="J67" s="502"/>
      <c r="K67" s="502"/>
      <c r="L67" s="502"/>
      <c r="M67" s="502"/>
      <c r="N67" s="94"/>
      <c r="O67" s="94"/>
      <c r="P67" s="94"/>
      <c r="Q67" s="94"/>
      <c r="R67" s="94"/>
      <c r="S67" s="94"/>
      <c r="T67" s="94"/>
      <c r="U67" s="94"/>
      <c r="V67" s="353"/>
      <c r="W67" s="353"/>
      <c r="X67" s="353"/>
      <c r="Y67" s="94"/>
      <c r="Z67" s="94"/>
      <c r="AA67" s="94"/>
      <c r="AB67" s="94"/>
    </row>
    <row r="68" ht="14.25" customHeight="1">
      <c r="A68" s="94"/>
      <c r="B68" s="510"/>
      <c r="C68" s="508" t="s">
        <v>1070</v>
      </c>
      <c r="D68" s="552"/>
      <c r="E68" s="552"/>
      <c r="F68" s="552"/>
      <c r="G68" s="540"/>
      <c r="H68" s="502"/>
      <c r="I68" s="502"/>
      <c r="J68" s="502"/>
      <c r="K68" s="98"/>
      <c r="L68" s="98"/>
      <c r="M68" s="98"/>
      <c r="N68" s="94"/>
      <c r="O68" s="94"/>
      <c r="P68" s="94"/>
      <c r="Q68" s="94"/>
      <c r="R68" s="94"/>
      <c r="S68" s="94"/>
      <c r="T68" s="94"/>
      <c r="U68" s="94"/>
      <c r="V68" s="353"/>
      <c r="W68" s="353"/>
      <c r="X68" s="353"/>
      <c r="Y68" s="94"/>
      <c r="Z68" s="94"/>
      <c r="AA68" s="94"/>
      <c r="AB68" s="94"/>
    </row>
    <row r="69" ht="14.25" customHeight="1">
      <c r="A69" s="94"/>
      <c r="B69" s="510"/>
      <c r="C69" s="367" t="s">
        <v>914</v>
      </c>
      <c r="D69" s="368" t="s">
        <v>1071</v>
      </c>
      <c r="E69" s="368" t="s">
        <v>1072</v>
      </c>
      <c r="F69" s="560" t="s">
        <v>1073</v>
      </c>
      <c r="G69" s="561"/>
      <c r="H69" s="367" t="s">
        <v>1030</v>
      </c>
      <c r="I69" s="557" t="s">
        <v>1069</v>
      </c>
      <c r="J69" s="557" t="s">
        <v>1074</v>
      </c>
      <c r="K69" s="515" t="s">
        <v>164</v>
      </c>
      <c r="L69" s="378"/>
      <c r="M69" s="378"/>
      <c r="N69" s="378"/>
      <c r="O69" s="379"/>
      <c r="P69" s="94"/>
      <c r="Q69" s="94"/>
      <c r="R69" s="94"/>
      <c r="S69" s="94"/>
      <c r="T69" s="94"/>
      <c r="U69" s="94"/>
      <c r="V69" s="353"/>
      <c r="W69" s="353"/>
      <c r="X69" s="353"/>
      <c r="Y69" s="94"/>
      <c r="Z69" s="94"/>
      <c r="AA69" s="94"/>
      <c r="AB69" s="94"/>
    </row>
    <row r="70" ht="14.25" customHeight="1">
      <c r="A70" s="94"/>
      <c r="B70" s="510"/>
      <c r="C70" s="516">
        <f t="shared" ref="C70:C71" si="35">C30</f>
        <v>46189</v>
      </c>
      <c r="D70" s="548">
        <v>0.0</v>
      </c>
      <c r="E70" s="548">
        <v>0.0</v>
      </c>
      <c r="F70" s="518">
        <f t="shared" ref="F70:F71" si="36">E70-D70</f>
        <v>0</v>
      </c>
      <c r="G70" s="561"/>
      <c r="H70" s="532">
        <f t="shared" ref="H70:I70" si="34">D70</f>
        <v>0</v>
      </c>
      <c r="I70" s="533">
        <f t="shared" si="34"/>
        <v>0</v>
      </c>
      <c r="J70" s="534">
        <f t="shared" ref="J70:J71" si="38">I70-H70</f>
        <v>0</v>
      </c>
      <c r="K70" s="535" t="s">
        <v>95</v>
      </c>
      <c r="L70" s="5"/>
      <c r="M70" s="5"/>
      <c r="N70" s="5"/>
      <c r="O70" s="385"/>
      <c r="P70" s="94"/>
      <c r="Q70" s="94"/>
      <c r="R70" s="94"/>
      <c r="S70" s="94"/>
      <c r="T70" s="94"/>
      <c r="U70" s="94"/>
      <c r="V70" s="353"/>
      <c r="W70" s="353"/>
      <c r="X70" s="353"/>
      <c r="Y70" s="94"/>
      <c r="Z70" s="94"/>
      <c r="AA70" s="94"/>
      <c r="AB70" s="94"/>
    </row>
    <row r="71" ht="14.25" customHeight="1">
      <c r="A71" s="94"/>
      <c r="B71" s="510"/>
      <c r="C71" s="516">
        <f t="shared" si="35"/>
        <v>46188</v>
      </c>
      <c r="D71" s="550">
        <v>0.0</v>
      </c>
      <c r="E71" s="550">
        <v>0.0</v>
      </c>
      <c r="F71" s="545">
        <f t="shared" si="36"/>
        <v>0</v>
      </c>
      <c r="G71" s="561"/>
      <c r="H71" s="536">
        <f t="shared" ref="H71:I71" si="37">D71</f>
        <v>0</v>
      </c>
      <c r="I71" s="537">
        <f t="shared" si="37"/>
        <v>0</v>
      </c>
      <c r="J71" s="538">
        <f t="shared" si="38"/>
        <v>0</v>
      </c>
      <c r="K71" s="562" t="s">
        <v>95</v>
      </c>
      <c r="L71" s="563"/>
      <c r="M71" s="563"/>
      <c r="N71" s="563"/>
      <c r="O71" s="564"/>
      <c r="P71" s="94"/>
      <c r="Q71" s="94"/>
      <c r="R71" s="94"/>
      <c r="S71" s="94"/>
      <c r="T71" s="94"/>
      <c r="U71" s="94"/>
      <c r="V71" s="353"/>
      <c r="W71" s="353"/>
      <c r="X71" s="353"/>
      <c r="Y71" s="94"/>
      <c r="Z71" s="94"/>
      <c r="AA71" s="94"/>
      <c r="AB71" s="94"/>
    </row>
    <row r="72" ht="14.25" customHeight="1">
      <c r="A72" s="94"/>
      <c r="B72" s="510"/>
      <c r="C72" s="556"/>
      <c r="D72" s="556"/>
      <c r="E72" s="556"/>
      <c r="F72" s="556"/>
      <c r="G72" s="556"/>
      <c r="H72" s="502"/>
      <c r="I72" s="502"/>
      <c r="J72" s="502"/>
      <c r="K72" s="502"/>
      <c r="L72" s="502"/>
      <c r="M72" s="502"/>
      <c r="N72" s="94"/>
      <c r="O72" s="94"/>
      <c r="P72" s="94"/>
      <c r="Q72" s="94"/>
      <c r="R72" s="94"/>
      <c r="S72" s="94"/>
      <c r="T72" s="94"/>
      <c r="U72" s="94"/>
      <c r="V72" s="353"/>
      <c r="W72" s="353"/>
      <c r="X72" s="353"/>
      <c r="Y72" s="94"/>
      <c r="Z72" s="94"/>
      <c r="AA72" s="94"/>
      <c r="AB72" s="94"/>
    </row>
    <row r="73" ht="14.25" customHeight="1">
      <c r="A73" s="94"/>
      <c r="B73" s="510"/>
      <c r="C73" s="508" t="s">
        <v>1075</v>
      </c>
      <c r="D73" s="552"/>
      <c r="E73" s="552"/>
      <c r="F73" s="552"/>
      <c r="G73" s="540"/>
      <c r="H73" s="502"/>
      <c r="I73" s="502"/>
      <c r="J73" s="502"/>
      <c r="K73" s="98"/>
      <c r="L73" s="98"/>
      <c r="M73" s="98"/>
      <c r="N73" s="94"/>
      <c r="O73" s="94"/>
      <c r="P73" s="94"/>
      <c r="Q73" s="94"/>
      <c r="R73" s="94"/>
      <c r="S73" s="94"/>
      <c r="T73" s="94"/>
      <c r="U73" s="94"/>
      <c r="V73" s="353"/>
      <c r="W73" s="353"/>
      <c r="X73" s="353"/>
      <c r="Y73" s="94"/>
      <c r="Z73" s="94"/>
      <c r="AA73" s="94"/>
      <c r="AB73" s="94"/>
    </row>
    <row r="74" ht="14.25" customHeight="1">
      <c r="A74" s="94"/>
      <c r="B74" s="510"/>
      <c r="C74" s="367" t="s">
        <v>914</v>
      </c>
      <c r="D74" s="368" t="s">
        <v>1071</v>
      </c>
      <c r="E74" s="368" t="s">
        <v>1072</v>
      </c>
      <c r="F74" s="560" t="s">
        <v>1073</v>
      </c>
      <c r="G74" s="553"/>
      <c r="H74" s="367" t="s">
        <v>1030</v>
      </c>
      <c r="I74" s="557" t="s">
        <v>1069</v>
      </c>
      <c r="J74" s="557" t="s">
        <v>1074</v>
      </c>
      <c r="K74" s="515" t="s">
        <v>164</v>
      </c>
      <c r="L74" s="378"/>
      <c r="M74" s="378"/>
      <c r="N74" s="378"/>
      <c r="O74" s="379"/>
      <c r="P74" s="94"/>
      <c r="Q74" s="94"/>
      <c r="R74" s="94"/>
      <c r="S74" s="94"/>
      <c r="T74" s="94"/>
      <c r="U74" s="94"/>
      <c r="V74" s="353"/>
      <c r="W74" s="353"/>
      <c r="X74" s="353"/>
      <c r="Y74" s="94"/>
      <c r="Z74" s="94"/>
      <c r="AA74" s="94"/>
      <c r="AB74" s="94"/>
    </row>
    <row r="75" ht="14.25" customHeight="1">
      <c r="A75" s="94"/>
      <c r="B75" s="510"/>
      <c r="C75" s="516">
        <f t="shared" ref="C75:C76" si="40">C30</f>
        <v>46189</v>
      </c>
      <c r="D75" s="548">
        <v>0.0</v>
      </c>
      <c r="E75" s="548">
        <v>0.0</v>
      </c>
      <c r="F75" s="518">
        <f t="shared" ref="F75:F76" si="41">E75-D75</f>
        <v>0</v>
      </c>
      <c r="G75" s="553"/>
      <c r="H75" s="532">
        <f t="shared" ref="H75:I75" si="39">D75</f>
        <v>0</v>
      </c>
      <c r="I75" s="533">
        <f t="shared" si="39"/>
        <v>0</v>
      </c>
      <c r="J75" s="534">
        <f t="shared" ref="J75:J76" si="43">I75-H75</f>
        <v>0</v>
      </c>
      <c r="K75" s="535" t="s">
        <v>95</v>
      </c>
      <c r="L75" s="5"/>
      <c r="M75" s="5"/>
      <c r="N75" s="5"/>
      <c r="O75" s="385"/>
      <c r="P75" s="94"/>
      <c r="Q75" s="94"/>
      <c r="R75" s="94"/>
      <c r="S75" s="94"/>
      <c r="T75" s="94"/>
      <c r="U75" s="94"/>
      <c r="V75" s="353"/>
      <c r="W75" s="353"/>
      <c r="X75" s="353"/>
      <c r="Y75" s="94"/>
      <c r="Z75" s="94"/>
      <c r="AA75" s="94"/>
      <c r="AB75" s="94"/>
    </row>
    <row r="76" ht="14.25" customHeight="1">
      <c r="A76" s="94"/>
      <c r="B76" s="510"/>
      <c r="C76" s="516">
        <f t="shared" si="40"/>
        <v>46188</v>
      </c>
      <c r="D76" s="550">
        <v>0.0</v>
      </c>
      <c r="E76" s="550">
        <v>0.0</v>
      </c>
      <c r="F76" s="545">
        <f t="shared" si="41"/>
        <v>0</v>
      </c>
      <c r="G76" s="553"/>
      <c r="H76" s="536">
        <f t="shared" ref="H76:I76" si="42">D76</f>
        <v>0</v>
      </c>
      <c r="I76" s="537">
        <f t="shared" si="42"/>
        <v>0</v>
      </c>
      <c r="J76" s="538">
        <f t="shared" si="43"/>
        <v>0</v>
      </c>
      <c r="K76" s="535" t="s">
        <v>95</v>
      </c>
      <c r="L76" s="5"/>
      <c r="M76" s="5"/>
      <c r="N76" s="5"/>
      <c r="O76" s="385"/>
      <c r="P76" s="94"/>
      <c r="Q76" s="94"/>
      <c r="R76" s="94"/>
      <c r="S76" s="94"/>
      <c r="T76" s="94"/>
      <c r="U76" s="94"/>
      <c r="V76" s="353"/>
      <c r="W76" s="353"/>
      <c r="X76" s="353"/>
      <c r="Y76" s="94"/>
      <c r="Z76" s="94"/>
      <c r="AA76" s="94"/>
      <c r="AB76" s="94"/>
    </row>
    <row r="77" ht="14.25" customHeight="1">
      <c r="A77" s="94"/>
      <c r="B77" s="510"/>
      <c r="C77" s="556"/>
      <c r="D77" s="556"/>
      <c r="E77" s="556"/>
      <c r="F77" s="556"/>
      <c r="G77" s="556"/>
      <c r="H77" s="502"/>
      <c r="I77" s="502"/>
      <c r="J77" s="502"/>
      <c r="K77" s="502"/>
      <c r="L77" s="502"/>
      <c r="M77" s="502"/>
      <c r="N77" s="94"/>
      <c r="O77" s="94"/>
      <c r="P77" s="94"/>
      <c r="Q77" s="94"/>
      <c r="R77" s="94"/>
      <c r="S77" s="94"/>
      <c r="T77" s="94"/>
      <c r="U77" s="94"/>
      <c r="V77" s="353"/>
      <c r="W77" s="353"/>
      <c r="X77" s="353"/>
      <c r="Y77" s="94"/>
      <c r="Z77" s="94"/>
      <c r="AA77" s="94"/>
      <c r="AB77" s="94"/>
    </row>
    <row r="78" ht="14.25" customHeight="1">
      <c r="A78" s="94"/>
      <c r="B78" s="510"/>
      <c r="C78" s="508" t="s">
        <v>1076</v>
      </c>
      <c r="D78" s="552"/>
      <c r="E78" s="552"/>
      <c r="F78" s="552"/>
      <c r="G78" s="540"/>
      <c r="H78" s="502"/>
      <c r="I78" s="502"/>
      <c r="J78" s="502"/>
      <c r="K78" s="98"/>
      <c r="L78" s="98"/>
      <c r="M78" s="98"/>
      <c r="N78" s="94"/>
      <c r="O78" s="94"/>
      <c r="P78" s="94"/>
      <c r="Q78" s="94"/>
      <c r="R78" s="94"/>
      <c r="S78" s="94"/>
      <c r="T78" s="94"/>
      <c r="U78" s="94"/>
      <c r="V78" s="353"/>
      <c r="W78" s="353"/>
      <c r="X78" s="353"/>
      <c r="Y78" s="94"/>
      <c r="Z78" s="94"/>
      <c r="AA78" s="94"/>
      <c r="AB78" s="94"/>
    </row>
    <row r="79" ht="14.25" customHeight="1">
      <c r="A79" s="94"/>
      <c r="B79" s="510"/>
      <c r="C79" s="367" t="s">
        <v>914</v>
      </c>
      <c r="D79" s="368" t="s">
        <v>1071</v>
      </c>
      <c r="E79" s="368" t="s">
        <v>1072</v>
      </c>
      <c r="F79" s="560" t="s">
        <v>1073</v>
      </c>
      <c r="G79" s="553"/>
      <c r="H79" s="367" t="s">
        <v>1030</v>
      </c>
      <c r="I79" s="557" t="s">
        <v>1069</v>
      </c>
      <c r="J79" s="557" t="s">
        <v>1074</v>
      </c>
      <c r="K79" s="515" t="s">
        <v>164</v>
      </c>
      <c r="L79" s="378"/>
      <c r="M79" s="378"/>
      <c r="N79" s="378"/>
      <c r="O79" s="379"/>
      <c r="P79" s="94"/>
      <c r="Q79" s="94"/>
      <c r="R79" s="94"/>
      <c r="S79" s="94"/>
      <c r="T79" s="94"/>
      <c r="U79" s="94"/>
      <c r="V79" s="353"/>
      <c r="W79" s="353"/>
      <c r="X79" s="353"/>
      <c r="Y79" s="94"/>
      <c r="Z79" s="94"/>
      <c r="AA79" s="94"/>
      <c r="AB79" s="94"/>
    </row>
    <row r="80" ht="14.25" customHeight="1">
      <c r="A80" s="94"/>
      <c r="B80" s="510"/>
      <c r="C80" s="516">
        <f t="shared" ref="C80:C81" si="45">C30</f>
        <v>46189</v>
      </c>
      <c r="D80" s="548">
        <v>0.0</v>
      </c>
      <c r="E80" s="548">
        <v>0.0</v>
      </c>
      <c r="F80" s="518">
        <f t="shared" ref="F80:F81" si="46">E80-D80</f>
        <v>0</v>
      </c>
      <c r="G80" s="553"/>
      <c r="H80" s="532">
        <f t="shared" ref="H80:I80" si="44">D80</f>
        <v>0</v>
      </c>
      <c r="I80" s="533">
        <f t="shared" si="44"/>
        <v>0</v>
      </c>
      <c r="J80" s="534">
        <f t="shared" ref="J80:J81" si="48">I80-H80</f>
        <v>0</v>
      </c>
      <c r="K80" s="535" t="s">
        <v>95</v>
      </c>
      <c r="L80" s="5"/>
      <c r="M80" s="5"/>
      <c r="N80" s="5"/>
      <c r="O80" s="385"/>
      <c r="P80" s="94"/>
      <c r="Q80" s="94"/>
      <c r="R80" s="94"/>
      <c r="S80" s="94"/>
      <c r="T80" s="94"/>
      <c r="U80" s="94"/>
      <c r="V80" s="353"/>
      <c r="W80" s="353"/>
      <c r="X80" s="353"/>
      <c r="Y80" s="94"/>
      <c r="Z80" s="94"/>
      <c r="AA80" s="94"/>
      <c r="AB80" s="94"/>
    </row>
    <row r="81" ht="14.25" customHeight="1">
      <c r="A81" s="94"/>
      <c r="B81" s="510"/>
      <c r="C81" s="516">
        <f t="shared" si="45"/>
        <v>46188</v>
      </c>
      <c r="D81" s="550">
        <v>0.0</v>
      </c>
      <c r="E81" s="550">
        <v>0.0</v>
      </c>
      <c r="F81" s="545">
        <f t="shared" si="46"/>
        <v>0</v>
      </c>
      <c r="G81" s="553"/>
      <c r="H81" s="536">
        <f t="shared" ref="H81:I81" si="47">D81</f>
        <v>0</v>
      </c>
      <c r="I81" s="537">
        <f t="shared" si="47"/>
        <v>0</v>
      </c>
      <c r="J81" s="538">
        <f t="shared" si="48"/>
        <v>0</v>
      </c>
      <c r="K81" s="535" t="s">
        <v>95</v>
      </c>
      <c r="L81" s="5"/>
      <c r="M81" s="5"/>
      <c r="N81" s="5"/>
      <c r="O81" s="385"/>
      <c r="P81" s="94"/>
      <c r="Q81" s="94"/>
      <c r="R81" s="94"/>
      <c r="S81" s="94"/>
      <c r="T81" s="94"/>
      <c r="U81" s="94"/>
      <c r="V81" s="353"/>
      <c r="W81" s="353"/>
      <c r="X81" s="353"/>
      <c r="Y81" s="94"/>
      <c r="Z81" s="94"/>
      <c r="AA81" s="94"/>
      <c r="AB81" s="94"/>
    </row>
    <row r="82" ht="14.25" customHeight="1">
      <c r="A82" s="94"/>
      <c r="B82" s="556"/>
      <c r="C82" s="556"/>
      <c r="D82" s="556"/>
      <c r="E82" s="556"/>
      <c r="F82" s="556"/>
      <c r="G82" s="556"/>
      <c r="H82" s="502"/>
      <c r="I82" s="502"/>
      <c r="J82" s="502"/>
      <c r="K82" s="502"/>
      <c r="L82" s="502"/>
      <c r="M82" s="502"/>
      <c r="N82" s="94"/>
      <c r="O82" s="94"/>
      <c r="P82" s="94"/>
      <c r="Q82" s="94"/>
      <c r="R82" s="94"/>
      <c r="S82" s="94"/>
      <c r="T82" s="94"/>
      <c r="U82" s="94"/>
      <c r="V82" s="353"/>
      <c r="W82" s="353"/>
      <c r="X82" s="353"/>
      <c r="Y82" s="94"/>
      <c r="Z82" s="94"/>
      <c r="AA82" s="94"/>
      <c r="AB82" s="94"/>
    </row>
    <row r="83" ht="14.25" customHeight="1">
      <c r="A83" s="94"/>
      <c r="B83" s="510"/>
      <c r="C83" s="508" t="s">
        <v>1077</v>
      </c>
      <c r="D83" s="552"/>
      <c r="E83" s="552"/>
      <c r="F83" s="552"/>
      <c r="G83" s="540"/>
      <c r="H83" s="502"/>
      <c r="I83" s="502"/>
      <c r="J83" s="502"/>
      <c r="K83" s="98"/>
      <c r="L83" s="98"/>
      <c r="M83" s="98"/>
      <c r="N83" s="94"/>
      <c r="O83" s="94"/>
      <c r="P83" s="94"/>
      <c r="Q83" s="94"/>
      <c r="R83" s="94"/>
      <c r="S83" s="94"/>
      <c r="T83" s="94"/>
      <c r="U83" s="94"/>
      <c r="V83" s="353"/>
      <c r="W83" s="353"/>
      <c r="X83" s="353"/>
      <c r="Y83" s="94"/>
      <c r="Z83" s="94"/>
      <c r="AA83" s="94"/>
      <c r="AB83" s="94"/>
    </row>
    <row r="84" ht="14.25" customHeight="1">
      <c r="A84" s="94"/>
      <c r="B84" s="510"/>
      <c r="C84" s="367" t="s">
        <v>914</v>
      </c>
      <c r="D84" s="368" t="s">
        <v>1071</v>
      </c>
      <c r="E84" s="368" t="s">
        <v>1072</v>
      </c>
      <c r="F84" s="560" t="s">
        <v>1073</v>
      </c>
      <c r="G84" s="553"/>
      <c r="H84" s="367" t="s">
        <v>1030</v>
      </c>
      <c r="I84" s="557" t="s">
        <v>1069</v>
      </c>
      <c r="J84" s="557" t="s">
        <v>1074</v>
      </c>
      <c r="K84" s="515" t="s">
        <v>164</v>
      </c>
      <c r="L84" s="378"/>
      <c r="M84" s="378"/>
      <c r="N84" s="378"/>
      <c r="O84" s="379"/>
      <c r="P84" s="94"/>
      <c r="Q84" s="94"/>
      <c r="R84" s="94"/>
      <c r="S84" s="94"/>
      <c r="T84" s="94"/>
      <c r="U84" s="94"/>
      <c r="V84" s="353"/>
      <c r="W84" s="353"/>
      <c r="X84" s="353"/>
      <c r="Y84" s="94"/>
      <c r="Z84" s="94"/>
      <c r="AA84" s="94"/>
      <c r="AB84" s="94"/>
    </row>
    <row r="85" ht="14.25" customHeight="1">
      <c r="A85" s="94"/>
      <c r="B85" s="510"/>
      <c r="C85" s="516">
        <f t="shared" ref="C85:C86" si="50">C30</f>
        <v>46189</v>
      </c>
      <c r="D85" s="548">
        <v>0.0</v>
      </c>
      <c r="E85" s="548">
        <v>0.0</v>
      </c>
      <c r="F85" s="518">
        <f t="shared" ref="F85:F86" si="51">E85-D85</f>
        <v>0</v>
      </c>
      <c r="G85" s="553"/>
      <c r="H85" s="532">
        <f t="shared" ref="H85:I85" si="49">D85</f>
        <v>0</v>
      </c>
      <c r="I85" s="533">
        <f t="shared" si="49"/>
        <v>0</v>
      </c>
      <c r="J85" s="534">
        <f t="shared" ref="J85:J86" si="53">I85-H85</f>
        <v>0</v>
      </c>
      <c r="K85" s="535" t="s">
        <v>95</v>
      </c>
      <c r="L85" s="5"/>
      <c r="M85" s="5"/>
      <c r="N85" s="5"/>
      <c r="O85" s="385"/>
      <c r="P85" s="94"/>
      <c r="Q85" s="94"/>
      <c r="R85" s="94"/>
      <c r="S85" s="94"/>
      <c r="T85" s="94"/>
      <c r="U85" s="94"/>
      <c r="V85" s="353"/>
      <c r="W85" s="353"/>
      <c r="X85" s="353"/>
      <c r="Y85" s="94"/>
      <c r="Z85" s="94"/>
      <c r="AA85" s="94"/>
      <c r="AB85" s="94"/>
    </row>
    <row r="86" ht="14.25" customHeight="1">
      <c r="A86" s="94"/>
      <c r="B86" s="510"/>
      <c r="C86" s="516">
        <f t="shared" si="50"/>
        <v>46188</v>
      </c>
      <c r="D86" s="550">
        <v>0.0</v>
      </c>
      <c r="E86" s="550">
        <v>0.0</v>
      </c>
      <c r="F86" s="545">
        <f t="shared" si="51"/>
        <v>0</v>
      </c>
      <c r="G86" s="553"/>
      <c r="H86" s="536">
        <f t="shared" ref="H86:I86" si="52">D86</f>
        <v>0</v>
      </c>
      <c r="I86" s="537">
        <f t="shared" si="52"/>
        <v>0</v>
      </c>
      <c r="J86" s="538">
        <f t="shared" si="53"/>
        <v>0</v>
      </c>
      <c r="K86" s="535" t="s">
        <v>95</v>
      </c>
      <c r="L86" s="5"/>
      <c r="M86" s="5"/>
      <c r="N86" s="5"/>
      <c r="O86" s="385"/>
      <c r="P86" s="94"/>
      <c r="Q86" s="94"/>
      <c r="R86" s="94"/>
      <c r="S86" s="94"/>
      <c r="T86" s="94"/>
      <c r="U86" s="94"/>
      <c r="V86" s="353"/>
      <c r="W86" s="353"/>
      <c r="X86" s="353"/>
      <c r="Y86" s="94"/>
      <c r="Z86" s="94"/>
      <c r="AA86" s="94"/>
      <c r="AB86" s="94"/>
    </row>
    <row r="87" ht="14.25" customHeight="1">
      <c r="A87" s="94"/>
      <c r="B87" s="556"/>
      <c r="C87" s="556"/>
      <c r="D87" s="556"/>
      <c r="E87" s="556"/>
      <c r="F87" s="556"/>
      <c r="G87" s="556"/>
      <c r="H87" s="502"/>
      <c r="I87" s="502"/>
      <c r="J87" s="502"/>
      <c r="K87" s="502"/>
      <c r="L87" s="502"/>
      <c r="M87" s="502"/>
      <c r="N87" s="94"/>
      <c r="O87" s="94"/>
      <c r="P87" s="94"/>
      <c r="Q87" s="94"/>
      <c r="R87" s="94"/>
      <c r="S87" s="94"/>
      <c r="T87" s="94"/>
      <c r="U87" s="94"/>
      <c r="V87" s="353"/>
      <c r="W87" s="353"/>
      <c r="X87" s="353"/>
      <c r="Y87" s="94"/>
      <c r="Z87" s="94"/>
      <c r="AA87" s="94"/>
      <c r="AB87" s="94"/>
    </row>
    <row r="88" ht="14.25" customHeight="1">
      <c r="A88" s="94"/>
      <c r="B88" s="510"/>
      <c r="C88" s="508" t="s">
        <v>1078</v>
      </c>
      <c r="D88" s="552"/>
      <c r="E88" s="552"/>
      <c r="F88" s="552"/>
      <c r="G88" s="540"/>
      <c r="H88" s="502"/>
      <c r="I88" s="502"/>
      <c r="J88" s="502"/>
      <c r="K88" s="98"/>
      <c r="L88" s="98"/>
      <c r="M88" s="98"/>
      <c r="N88" s="94"/>
      <c r="O88" s="94"/>
      <c r="P88" s="94"/>
      <c r="Q88" s="94"/>
      <c r="R88" s="94"/>
      <c r="S88" s="94"/>
      <c r="T88" s="94"/>
      <c r="U88" s="94"/>
      <c r="V88" s="353"/>
      <c r="W88" s="353"/>
      <c r="X88" s="353"/>
      <c r="Y88" s="94"/>
      <c r="Z88" s="94"/>
      <c r="AA88" s="94"/>
      <c r="AB88" s="94"/>
    </row>
    <row r="89" ht="14.25" customHeight="1">
      <c r="A89" s="94"/>
      <c r="B89" s="510"/>
      <c r="C89" s="367" t="s">
        <v>914</v>
      </c>
      <c r="D89" s="368" t="s">
        <v>1079</v>
      </c>
      <c r="E89" s="368" t="s">
        <v>1080</v>
      </c>
      <c r="F89" s="560" t="s">
        <v>1081</v>
      </c>
      <c r="G89" s="553"/>
      <c r="H89" s="367" t="s">
        <v>1030</v>
      </c>
      <c r="I89" s="557" t="s">
        <v>1082</v>
      </c>
      <c r="J89" s="557" t="s">
        <v>1083</v>
      </c>
      <c r="K89" s="515" t="s">
        <v>164</v>
      </c>
      <c r="L89" s="378"/>
      <c r="M89" s="378"/>
      <c r="N89" s="378"/>
      <c r="O89" s="379"/>
      <c r="P89" s="94"/>
      <c r="Q89" s="94"/>
      <c r="R89" s="94"/>
      <c r="S89" s="94"/>
      <c r="T89" s="94"/>
      <c r="U89" s="94"/>
      <c r="V89" s="353"/>
      <c r="W89" s="353"/>
      <c r="X89" s="353"/>
      <c r="Y89" s="94"/>
      <c r="Z89" s="94"/>
      <c r="AA89" s="94"/>
      <c r="AB89" s="94"/>
    </row>
    <row r="90" ht="14.25" customHeight="1">
      <c r="A90" s="94"/>
      <c r="B90" s="510"/>
      <c r="C90" s="516">
        <f t="shared" ref="C90:C91" si="55">C30</f>
        <v>46189</v>
      </c>
      <c r="D90" s="548">
        <v>0.0</v>
      </c>
      <c r="E90" s="548">
        <v>0.0</v>
      </c>
      <c r="F90" s="518">
        <f t="shared" ref="F90:F91" si="56">E90-D90</f>
        <v>0</v>
      </c>
      <c r="G90" s="553"/>
      <c r="H90" s="532">
        <f t="shared" ref="H90:I90" si="54">D90</f>
        <v>0</v>
      </c>
      <c r="I90" s="533">
        <f t="shared" si="54"/>
        <v>0</v>
      </c>
      <c r="J90" s="534">
        <f t="shared" ref="J90:J91" si="58">I90-H90</f>
        <v>0</v>
      </c>
      <c r="K90" s="535" t="s">
        <v>95</v>
      </c>
      <c r="L90" s="5"/>
      <c r="M90" s="5"/>
      <c r="N90" s="5"/>
      <c r="O90" s="385"/>
      <c r="P90" s="94"/>
      <c r="Q90" s="94"/>
      <c r="R90" s="94"/>
      <c r="S90" s="94"/>
      <c r="T90" s="94"/>
      <c r="U90" s="94"/>
      <c r="V90" s="353"/>
      <c r="W90" s="353"/>
      <c r="X90" s="353"/>
      <c r="Y90" s="94"/>
      <c r="Z90" s="94"/>
      <c r="AA90" s="94"/>
      <c r="AB90" s="94"/>
    </row>
    <row r="91" ht="14.25" customHeight="1">
      <c r="A91" s="94"/>
      <c r="B91" s="510"/>
      <c r="C91" s="516">
        <f t="shared" si="55"/>
        <v>46188</v>
      </c>
      <c r="D91" s="550">
        <v>0.0</v>
      </c>
      <c r="E91" s="550">
        <v>0.0</v>
      </c>
      <c r="F91" s="545">
        <f t="shared" si="56"/>
        <v>0</v>
      </c>
      <c r="G91" s="553"/>
      <c r="H91" s="536">
        <f t="shared" ref="H91:I91" si="57">D91</f>
        <v>0</v>
      </c>
      <c r="I91" s="537">
        <f t="shared" si="57"/>
        <v>0</v>
      </c>
      <c r="J91" s="538">
        <f t="shared" si="58"/>
        <v>0</v>
      </c>
      <c r="K91" s="535" t="s">
        <v>95</v>
      </c>
      <c r="L91" s="5"/>
      <c r="M91" s="5"/>
      <c r="N91" s="5"/>
      <c r="O91" s="385"/>
      <c r="P91" s="94"/>
      <c r="Q91" s="94"/>
      <c r="R91" s="94"/>
      <c r="S91" s="94"/>
      <c r="T91" s="94"/>
      <c r="U91" s="94"/>
      <c r="V91" s="353"/>
      <c r="W91" s="353"/>
      <c r="X91" s="353"/>
      <c r="Y91" s="94"/>
      <c r="Z91" s="94"/>
      <c r="AA91" s="94"/>
      <c r="AB91" s="94"/>
    </row>
    <row r="92" ht="14.25" customHeight="1">
      <c r="A92" s="94"/>
      <c r="B92" s="556"/>
      <c r="C92" s="556"/>
      <c r="D92" s="556"/>
      <c r="E92" s="556"/>
      <c r="F92" s="556"/>
      <c r="G92" s="556"/>
      <c r="H92" s="502"/>
      <c r="I92" s="502"/>
      <c r="J92" s="502"/>
      <c r="K92" s="502"/>
      <c r="L92" s="502"/>
      <c r="M92" s="502"/>
      <c r="N92" s="94"/>
      <c r="O92" s="94"/>
      <c r="P92" s="94"/>
      <c r="Q92" s="94"/>
      <c r="R92" s="94"/>
      <c r="S92" s="94"/>
      <c r="T92" s="94"/>
      <c r="U92" s="94"/>
      <c r="V92" s="353"/>
      <c r="W92" s="353"/>
      <c r="X92" s="353"/>
      <c r="Y92" s="94"/>
      <c r="Z92" s="94"/>
      <c r="AA92" s="94"/>
      <c r="AB92" s="94"/>
    </row>
    <row r="93" ht="15.75" customHeight="1">
      <c r="A93" s="94"/>
      <c r="B93" s="502"/>
      <c r="H93" s="502"/>
      <c r="I93" s="502"/>
      <c r="J93" s="502"/>
      <c r="K93" s="502"/>
      <c r="L93" s="502"/>
      <c r="M93" s="502"/>
      <c r="N93" s="502"/>
      <c r="O93" s="94"/>
      <c r="P93" s="94"/>
      <c r="Q93" s="94"/>
      <c r="R93" s="94"/>
      <c r="S93" s="94"/>
      <c r="T93" s="94"/>
      <c r="U93" s="353"/>
      <c r="V93" s="94"/>
      <c r="W93" s="94"/>
      <c r="X93" s="94"/>
      <c r="Y93" s="94"/>
      <c r="Z93" s="94"/>
      <c r="AA93" s="94"/>
      <c r="AB93" s="94"/>
      <c r="AC93" s="94"/>
    </row>
    <row r="94" ht="15.75" customHeight="1">
      <c r="C94" s="565" t="s">
        <v>1084</v>
      </c>
      <c r="D94" s="94"/>
      <c r="E94" s="94"/>
      <c r="F94" s="94"/>
    </row>
    <row r="95" ht="15.75" customHeight="1">
      <c r="C95" s="367" t="s">
        <v>914</v>
      </c>
      <c r="D95" s="369" t="s">
        <v>1085</v>
      </c>
      <c r="F95" s="566" t="s">
        <v>1086</v>
      </c>
      <c r="G95" s="371"/>
    </row>
    <row r="96" ht="15.75" customHeight="1">
      <c r="C96" s="516">
        <f t="shared" ref="C96:C97" si="59">C30</f>
        <v>46189</v>
      </c>
      <c r="D96" s="548">
        <v>0.0</v>
      </c>
      <c r="F96" s="376"/>
      <c r="G96" s="153"/>
    </row>
    <row r="97" ht="15.75" customHeight="1">
      <c r="C97" s="516">
        <f t="shared" si="59"/>
        <v>46188</v>
      </c>
      <c r="D97" s="550">
        <v>0.0</v>
      </c>
    </row>
    <row r="98" ht="15.75" customHeight="1"/>
    <row r="99" ht="15.75" customHeight="1"/>
    <row r="100" ht="15.75" customHeight="1">
      <c r="A100" s="94"/>
      <c r="B100" s="354" t="s">
        <v>864</v>
      </c>
      <c r="C100" s="357"/>
      <c r="H100" s="502"/>
      <c r="I100" s="502"/>
      <c r="M100" s="502"/>
      <c r="N100" s="502"/>
      <c r="O100" s="94"/>
      <c r="P100" s="94"/>
      <c r="Q100" s="94"/>
      <c r="R100" s="94"/>
      <c r="S100" s="94"/>
      <c r="T100" s="94"/>
      <c r="U100" s="353"/>
      <c r="V100" s="94"/>
      <c r="W100" s="94"/>
      <c r="X100" s="94"/>
      <c r="Y100" s="94"/>
      <c r="Z100" s="94"/>
      <c r="AA100" s="94"/>
      <c r="AB100" s="94"/>
      <c r="AC100" s="94"/>
    </row>
    <row r="101" ht="15.75" customHeight="1">
      <c r="A101" s="94"/>
      <c r="B101" s="502"/>
      <c r="H101" s="502"/>
      <c r="I101" s="502"/>
      <c r="J101" s="502"/>
      <c r="K101" s="502"/>
      <c r="L101" s="502"/>
      <c r="M101" s="502"/>
      <c r="N101" s="502"/>
      <c r="O101" s="94"/>
      <c r="P101" s="94"/>
      <c r="Q101" s="94"/>
      <c r="R101" s="94"/>
      <c r="S101" s="94"/>
      <c r="T101" s="94"/>
      <c r="U101" s="353"/>
      <c r="V101" s="94"/>
      <c r="W101" s="94"/>
      <c r="X101" s="94"/>
      <c r="Y101" s="94"/>
      <c r="Z101" s="94"/>
      <c r="AA101" s="94"/>
      <c r="AB101" s="94"/>
      <c r="AC101" s="94"/>
    </row>
    <row r="102" ht="15.75" customHeight="1">
      <c r="A102" s="94"/>
      <c r="B102" s="94"/>
      <c r="C102" s="357" t="s">
        <v>996</v>
      </c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353"/>
      <c r="V102" s="94"/>
      <c r="W102" s="94"/>
      <c r="X102" s="94"/>
      <c r="Y102" s="94"/>
      <c r="Z102" s="94"/>
      <c r="AA102" s="94"/>
      <c r="AB102" s="94"/>
      <c r="AC102" s="94"/>
    </row>
    <row r="103" ht="15.75" customHeight="1">
      <c r="A103" s="94"/>
      <c r="B103" s="94"/>
      <c r="O103" s="94"/>
      <c r="P103" s="94"/>
      <c r="Q103" s="94"/>
      <c r="R103" s="94"/>
      <c r="S103" s="94"/>
      <c r="T103" s="94"/>
      <c r="U103" s="353"/>
      <c r="V103" s="94"/>
      <c r="W103" s="94"/>
      <c r="X103" s="94"/>
      <c r="Y103" s="94"/>
      <c r="Z103" s="94"/>
      <c r="AA103" s="94"/>
      <c r="AB103" s="94"/>
      <c r="AC103" s="94"/>
    </row>
    <row r="104" ht="15.75" customHeight="1">
      <c r="A104" s="94"/>
      <c r="B104" s="567"/>
      <c r="C104" s="413" t="s">
        <v>34</v>
      </c>
      <c r="D104" s="414" t="s">
        <v>957</v>
      </c>
      <c r="E104" s="415"/>
      <c r="F104" s="416" t="s">
        <v>958</v>
      </c>
      <c r="G104" s="417" t="s">
        <v>959</v>
      </c>
      <c r="H104" s="415"/>
      <c r="I104" s="415"/>
      <c r="J104" s="418" t="s">
        <v>960</v>
      </c>
      <c r="K104" s="415"/>
      <c r="L104" s="418"/>
      <c r="M104" s="419"/>
      <c r="N104" s="420" t="s">
        <v>961</v>
      </c>
      <c r="O104" s="131"/>
      <c r="P104" s="94"/>
      <c r="Q104" s="94"/>
      <c r="R104" s="94"/>
      <c r="S104" s="94"/>
      <c r="T104" s="94"/>
      <c r="U104" s="353"/>
      <c r="V104" s="94"/>
      <c r="W104" s="94"/>
      <c r="X104" s="94"/>
      <c r="Y104" s="94"/>
      <c r="Z104" s="94"/>
      <c r="AA104" s="94"/>
      <c r="AB104" s="94"/>
      <c r="AC104" s="94"/>
    </row>
    <row r="105" ht="15.75" customHeight="1">
      <c r="A105" s="94"/>
      <c r="B105" s="94"/>
      <c r="C105" s="425"/>
      <c r="D105" s="423"/>
      <c r="F105" s="422"/>
      <c r="G105" s="423"/>
      <c r="J105" s="423"/>
      <c r="L105" s="423"/>
      <c r="M105" s="422"/>
      <c r="N105" s="428"/>
      <c r="O105" s="131"/>
      <c r="P105" s="94"/>
      <c r="Q105" s="94"/>
      <c r="R105" s="94"/>
      <c r="S105" s="94"/>
      <c r="T105" s="94"/>
      <c r="U105" s="353"/>
      <c r="V105" s="94"/>
      <c r="W105" s="94"/>
      <c r="X105" s="94"/>
      <c r="Y105" s="94"/>
      <c r="Z105" s="94"/>
      <c r="AA105" s="94"/>
      <c r="AB105" s="94"/>
      <c r="AC105" s="94"/>
    </row>
    <row r="106" ht="15.75" customHeight="1">
      <c r="A106" s="94"/>
      <c r="B106" s="94"/>
      <c r="C106" s="425"/>
      <c r="D106" s="423"/>
      <c r="F106" s="422"/>
      <c r="G106" s="423"/>
      <c r="J106" s="423"/>
      <c r="L106" s="423"/>
      <c r="M106" s="422"/>
      <c r="N106" s="428"/>
      <c r="O106" s="131"/>
      <c r="P106" s="94"/>
      <c r="Q106" s="94"/>
      <c r="R106" s="94"/>
      <c r="S106" s="94"/>
      <c r="T106" s="94"/>
      <c r="U106" s="353"/>
      <c r="V106" s="94"/>
      <c r="W106" s="94"/>
      <c r="X106" s="94"/>
      <c r="Y106" s="94"/>
      <c r="Z106" s="94"/>
      <c r="AA106" s="94"/>
      <c r="AB106" s="94"/>
      <c r="AC106" s="94"/>
    </row>
    <row r="107" ht="15.75" customHeight="1">
      <c r="A107" s="94"/>
      <c r="B107" s="94"/>
      <c r="C107" s="425"/>
      <c r="D107" s="423"/>
      <c r="F107" s="426"/>
      <c r="G107" s="423"/>
      <c r="J107" s="423"/>
      <c r="L107" s="423"/>
      <c r="M107" s="426"/>
      <c r="N107" s="428"/>
      <c r="O107" s="131"/>
      <c r="P107" s="94"/>
      <c r="Q107" s="94"/>
      <c r="R107" s="94"/>
      <c r="S107" s="94"/>
      <c r="T107" s="94"/>
      <c r="U107" s="353"/>
      <c r="V107" s="94"/>
      <c r="W107" s="94"/>
      <c r="X107" s="94"/>
      <c r="Y107" s="94"/>
      <c r="Z107" s="94"/>
      <c r="AA107" s="94"/>
      <c r="AB107" s="94"/>
      <c r="AC107" s="94"/>
    </row>
    <row r="108" ht="15.75" customHeight="1">
      <c r="A108" s="94"/>
      <c r="B108" s="94"/>
      <c r="C108" s="427"/>
      <c r="D108" s="423"/>
      <c r="F108" s="128"/>
      <c r="G108" s="423"/>
      <c r="J108" s="423"/>
      <c r="L108" s="423"/>
      <c r="M108" s="94"/>
      <c r="N108" s="437"/>
      <c r="O108" s="94"/>
      <c r="P108" s="94"/>
      <c r="Q108" s="94"/>
      <c r="R108" s="94"/>
      <c r="S108" s="94"/>
      <c r="T108" s="94"/>
      <c r="U108" s="353"/>
      <c r="V108" s="94"/>
      <c r="W108" s="94"/>
      <c r="X108" s="94"/>
      <c r="Y108" s="94"/>
      <c r="Z108" s="94"/>
      <c r="AA108" s="94"/>
      <c r="AB108" s="94"/>
      <c r="AC108" s="94"/>
    </row>
    <row r="109" ht="15.75" customHeight="1">
      <c r="A109" s="94"/>
      <c r="B109" s="94"/>
      <c r="C109" s="429" t="s">
        <v>872</v>
      </c>
      <c r="D109" s="430"/>
      <c r="E109" s="430"/>
      <c r="F109" s="431"/>
      <c r="G109" s="431"/>
      <c r="H109" s="430"/>
      <c r="I109" s="430"/>
      <c r="J109" s="430"/>
      <c r="K109" s="430"/>
      <c r="L109" s="430"/>
      <c r="M109" s="432" t="s">
        <v>42</v>
      </c>
      <c r="N109" s="433">
        <f>SUM(N104:N108)</f>
        <v>0</v>
      </c>
      <c r="O109" s="94"/>
      <c r="P109" s="94"/>
      <c r="Q109" s="94"/>
      <c r="R109" s="94"/>
      <c r="S109" s="94"/>
      <c r="T109" s="94"/>
      <c r="U109" s="353"/>
      <c r="V109" s="94"/>
      <c r="W109" s="94"/>
      <c r="X109" s="94"/>
      <c r="Y109" s="94"/>
      <c r="Z109" s="94"/>
      <c r="AA109" s="94"/>
      <c r="AB109" s="94"/>
      <c r="AC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353"/>
      <c r="V110" s="94"/>
      <c r="W110" s="94"/>
      <c r="X110" s="94"/>
      <c r="Y110" s="94"/>
      <c r="Z110" s="94"/>
      <c r="AA110" s="94"/>
      <c r="AB110" s="94"/>
      <c r="AC110" s="94"/>
    </row>
    <row r="111" ht="15.75" customHeight="1">
      <c r="A111" s="94"/>
      <c r="B111" s="94"/>
      <c r="C111" s="357" t="s">
        <v>997</v>
      </c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353"/>
      <c r="V111" s="94"/>
      <c r="W111" s="94"/>
      <c r="X111" s="94"/>
      <c r="Y111" s="94"/>
      <c r="Z111" s="94"/>
      <c r="AA111" s="94"/>
      <c r="AB111" s="94"/>
      <c r="AC111" s="94"/>
    </row>
    <row r="112" ht="15.75" customHeight="1">
      <c r="A112" s="94"/>
      <c r="B112" s="94"/>
      <c r="O112" s="94"/>
      <c r="P112" s="94"/>
      <c r="Q112" s="94"/>
      <c r="R112" s="94"/>
      <c r="S112" s="94"/>
      <c r="T112" s="94"/>
      <c r="U112" s="353"/>
      <c r="V112" s="94"/>
      <c r="W112" s="94"/>
      <c r="X112" s="94"/>
      <c r="Y112" s="94"/>
      <c r="Z112" s="94"/>
      <c r="AA112" s="94"/>
      <c r="AB112" s="94"/>
      <c r="AC112" s="94"/>
    </row>
    <row r="113" ht="15.75" customHeight="1">
      <c r="A113" s="94"/>
      <c r="B113" s="567"/>
      <c r="C113" s="413" t="s">
        <v>34</v>
      </c>
      <c r="D113" s="414" t="s">
        <v>957</v>
      </c>
      <c r="E113" s="415"/>
      <c r="F113" s="416" t="s">
        <v>958</v>
      </c>
      <c r="G113" s="417" t="s">
        <v>959</v>
      </c>
      <c r="H113" s="415"/>
      <c r="I113" s="415"/>
      <c r="J113" s="418" t="s">
        <v>960</v>
      </c>
      <c r="K113" s="415"/>
      <c r="L113" s="418"/>
      <c r="M113" s="419"/>
      <c r="N113" s="420" t="s">
        <v>961</v>
      </c>
      <c r="O113" s="94"/>
      <c r="P113" s="94"/>
      <c r="Q113" s="94"/>
      <c r="R113" s="94"/>
      <c r="S113" s="94"/>
      <c r="T113" s="94"/>
      <c r="U113" s="353"/>
      <c r="V113" s="94"/>
      <c r="W113" s="94"/>
      <c r="X113" s="94"/>
      <c r="Y113" s="94"/>
      <c r="Z113" s="94"/>
      <c r="AA113" s="94"/>
      <c r="AB113" s="94"/>
      <c r="AC113" s="94"/>
    </row>
    <row r="114" ht="15.75" customHeight="1">
      <c r="A114" s="94"/>
      <c r="B114" s="94"/>
      <c r="C114" s="425"/>
      <c r="D114" s="423"/>
      <c r="F114" s="422"/>
      <c r="G114" s="423"/>
      <c r="J114" s="423"/>
      <c r="L114" s="423"/>
      <c r="M114" s="422"/>
      <c r="N114" s="428"/>
      <c r="O114" s="94"/>
      <c r="P114" s="94"/>
      <c r="Q114" s="94"/>
      <c r="R114" s="94"/>
      <c r="S114" s="94"/>
      <c r="T114" s="94"/>
      <c r="U114" s="568"/>
      <c r="V114" s="569"/>
      <c r="W114" s="569"/>
      <c r="X114" s="569"/>
      <c r="Y114" s="569"/>
      <c r="Z114" s="569"/>
      <c r="AA114" s="94"/>
      <c r="AB114" s="94"/>
      <c r="AC114" s="94"/>
    </row>
    <row r="115" ht="15.75" customHeight="1">
      <c r="A115" s="94"/>
      <c r="B115" s="94"/>
      <c r="C115" s="425"/>
      <c r="D115" s="423"/>
      <c r="F115" s="422"/>
      <c r="G115" s="423"/>
      <c r="J115" s="423"/>
      <c r="L115" s="423"/>
      <c r="M115" s="422"/>
      <c r="N115" s="428"/>
      <c r="O115" s="94"/>
      <c r="P115" s="94"/>
      <c r="Q115" s="94"/>
      <c r="R115" s="94"/>
      <c r="S115" s="94"/>
      <c r="T115" s="94"/>
      <c r="U115" s="353"/>
      <c r="V115" s="94"/>
      <c r="W115" s="94"/>
      <c r="X115" s="94"/>
      <c r="Y115" s="94"/>
      <c r="Z115" s="94"/>
      <c r="AA115" s="94"/>
      <c r="AB115" s="94"/>
      <c r="AC115" s="94"/>
    </row>
    <row r="116" ht="15.75" customHeight="1">
      <c r="A116" s="94"/>
      <c r="B116" s="94"/>
      <c r="C116" s="425"/>
      <c r="D116" s="423"/>
      <c r="F116" s="426"/>
      <c r="G116" s="423"/>
      <c r="J116" s="423"/>
      <c r="L116" s="423"/>
      <c r="M116" s="426"/>
      <c r="N116" s="428"/>
      <c r="O116" s="94"/>
      <c r="P116" s="94"/>
      <c r="Q116" s="94"/>
      <c r="R116" s="94"/>
      <c r="S116" s="353"/>
      <c r="T116" s="353"/>
      <c r="U116" s="353"/>
      <c r="V116" s="94"/>
      <c r="W116" s="94"/>
      <c r="X116" s="94"/>
      <c r="Y116" s="94"/>
      <c r="Z116" s="94"/>
      <c r="AA116" s="94"/>
      <c r="AB116" s="94"/>
      <c r="AC116" s="94"/>
    </row>
    <row r="117" ht="15.75" customHeight="1">
      <c r="A117" s="94"/>
      <c r="B117" s="94"/>
      <c r="C117" s="427"/>
      <c r="D117" s="423"/>
      <c r="F117" s="128"/>
      <c r="G117" s="423"/>
      <c r="J117" s="423"/>
      <c r="L117" s="423"/>
      <c r="M117" s="94"/>
      <c r="N117" s="437"/>
      <c r="O117" s="94"/>
      <c r="P117" s="94"/>
      <c r="Q117" s="94"/>
      <c r="R117" s="94"/>
      <c r="S117" s="353"/>
      <c r="T117" s="353"/>
      <c r="U117" s="353"/>
      <c r="V117" s="94"/>
      <c r="W117" s="94"/>
      <c r="X117" s="94"/>
      <c r="Y117" s="94"/>
      <c r="Z117" s="94"/>
      <c r="AA117" s="94"/>
      <c r="AB117" s="94"/>
      <c r="AC117" s="94"/>
    </row>
    <row r="118" ht="15.75" customHeight="1">
      <c r="A118" s="94"/>
      <c r="B118" s="94"/>
      <c r="C118" s="429" t="s">
        <v>876</v>
      </c>
      <c r="D118" s="430"/>
      <c r="E118" s="430"/>
      <c r="F118" s="431"/>
      <c r="G118" s="431"/>
      <c r="H118" s="430"/>
      <c r="I118" s="430"/>
      <c r="J118" s="430"/>
      <c r="K118" s="430"/>
      <c r="L118" s="430"/>
      <c r="M118" s="432" t="s">
        <v>42</v>
      </c>
      <c r="N118" s="433">
        <f>SUM(N113:N116)</f>
        <v>0</v>
      </c>
      <c r="O118" s="94"/>
      <c r="P118" s="94"/>
      <c r="Q118" s="94"/>
      <c r="R118" s="94"/>
      <c r="S118" s="353"/>
      <c r="T118" s="353"/>
      <c r="U118" s="353"/>
      <c r="V118" s="94"/>
      <c r="W118" s="94"/>
      <c r="X118" s="94"/>
      <c r="Y118" s="94"/>
      <c r="Z118" s="94"/>
      <c r="AA118" s="94"/>
      <c r="AB118" s="94"/>
      <c r="AC118" s="94"/>
    </row>
    <row r="119" ht="15.75" customHeight="1">
      <c r="A119" s="94"/>
      <c r="B119" s="94"/>
      <c r="C119" s="98"/>
      <c r="D119" s="94"/>
      <c r="E119" s="94"/>
      <c r="F119" s="94"/>
      <c r="G119" s="94"/>
      <c r="H119" s="94"/>
      <c r="I119" s="94"/>
      <c r="J119" s="94"/>
      <c r="K119" s="94"/>
      <c r="L119" s="94"/>
      <c r="M119" s="438"/>
      <c r="N119" s="439"/>
      <c r="O119" s="94"/>
      <c r="P119" s="94"/>
      <c r="Q119" s="94"/>
      <c r="R119" s="94"/>
      <c r="S119" s="353"/>
      <c r="T119" s="353"/>
      <c r="U119" s="353"/>
      <c r="V119" s="94"/>
      <c r="W119" s="94"/>
      <c r="X119" s="94"/>
      <c r="Y119" s="94"/>
      <c r="Z119" s="94"/>
      <c r="AA119" s="94"/>
      <c r="AB119" s="94"/>
      <c r="AC119" s="94"/>
    </row>
    <row r="120" ht="15.75" customHeight="1">
      <c r="A120" s="94"/>
      <c r="B120" s="94"/>
      <c r="C120" s="357" t="s">
        <v>998</v>
      </c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353"/>
      <c r="S120" s="353"/>
      <c r="T120" s="353"/>
      <c r="U120" s="353"/>
      <c r="V120" s="94"/>
      <c r="W120" s="94"/>
      <c r="X120" s="94"/>
      <c r="Y120" s="94"/>
      <c r="Z120" s="94"/>
      <c r="AA120" s="94"/>
      <c r="AB120" s="94"/>
      <c r="AC120" s="94"/>
    </row>
    <row r="121" ht="15.75" customHeight="1">
      <c r="A121" s="94"/>
      <c r="B121" s="94"/>
      <c r="C121" s="426"/>
      <c r="D121" s="426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94"/>
      <c r="P121" s="94"/>
      <c r="Q121" s="94"/>
      <c r="R121" s="353"/>
      <c r="S121" s="353"/>
      <c r="T121" s="353"/>
      <c r="U121" s="353"/>
      <c r="V121" s="94"/>
      <c r="W121" s="94"/>
      <c r="X121" s="94"/>
      <c r="Y121" s="94"/>
      <c r="Z121" s="94"/>
      <c r="AA121" s="94"/>
      <c r="AB121" s="94"/>
      <c r="AC121" s="94"/>
    </row>
    <row r="122" ht="15.75" customHeight="1">
      <c r="A122" s="94"/>
      <c r="B122" s="94"/>
      <c r="C122" s="413" t="s">
        <v>34</v>
      </c>
      <c r="D122" s="414" t="s">
        <v>957</v>
      </c>
      <c r="E122" s="415"/>
      <c r="F122" s="416" t="s">
        <v>958</v>
      </c>
      <c r="G122" s="417" t="s">
        <v>959</v>
      </c>
      <c r="H122" s="415"/>
      <c r="I122" s="415"/>
      <c r="J122" s="418" t="s">
        <v>960</v>
      </c>
      <c r="K122" s="415"/>
      <c r="L122" s="418"/>
      <c r="M122" s="419"/>
      <c r="N122" s="420" t="s">
        <v>961</v>
      </c>
      <c r="O122" s="94"/>
      <c r="P122" s="94"/>
      <c r="Q122" s="94"/>
      <c r="R122" s="353"/>
      <c r="S122" s="353"/>
      <c r="T122" s="353"/>
      <c r="U122" s="353"/>
      <c r="V122" s="94"/>
      <c r="W122" s="94"/>
      <c r="X122" s="94"/>
      <c r="Y122" s="94"/>
      <c r="Z122" s="94"/>
      <c r="AA122" s="94"/>
      <c r="AB122" s="94"/>
      <c r="AC122" s="94"/>
    </row>
    <row r="123" ht="15.75" customHeight="1">
      <c r="A123" s="94"/>
      <c r="B123" s="94"/>
      <c r="C123" s="425"/>
      <c r="D123" s="423"/>
      <c r="F123" s="422"/>
      <c r="G123" s="423"/>
      <c r="J123" s="423"/>
      <c r="L123" s="423"/>
      <c r="M123" s="422"/>
      <c r="N123" s="428"/>
      <c r="O123" s="94"/>
      <c r="P123" s="94"/>
      <c r="Q123" s="94"/>
      <c r="R123" s="353"/>
      <c r="S123" s="353"/>
      <c r="T123" s="353"/>
      <c r="U123" s="353"/>
      <c r="V123" s="94"/>
      <c r="W123" s="94"/>
      <c r="X123" s="94"/>
      <c r="Y123" s="94"/>
      <c r="Z123" s="94"/>
      <c r="AA123" s="94"/>
      <c r="AB123" s="94"/>
      <c r="AC123" s="94"/>
    </row>
    <row r="124" ht="15.75" customHeight="1">
      <c r="A124" s="94"/>
      <c r="B124" s="94"/>
      <c r="C124" s="425"/>
      <c r="D124" s="423"/>
      <c r="F124" s="422"/>
      <c r="G124" s="423"/>
      <c r="J124" s="423"/>
      <c r="L124" s="423"/>
      <c r="M124" s="422"/>
      <c r="N124" s="428"/>
      <c r="O124" s="94"/>
      <c r="P124" s="94"/>
      <c r="Q124" s="94"/>
      <c r="R124" s="353"/>
      <c r="S124" s="353"/>
      <c r="T124" s="353"/>
      <c r="U124" s="353"/>
      <c r="V124" s="94"/>
      <c r="W124" s="94"/>
      <c r="X124" s="94"/>
      <c r="Y124" s="94"/>
      <c r="Z124" s="94"/>
      <c r="AA124" s="94"/>
      <c r="AB124" s="94"/>
      <c r="AC124" s="94"/>
    </row>
    <row r="125" ht="15.75" customHeight="1">
      <c r="A125" s="94"/>
      <c r="B125" s="94"/>
      <c r="C125" s="425"/>
      <c r="D125" s="423"/>
      <c r="F125" s="426"/>
      <c r="G125" s="423"/>
      <c r="J125" s="423"/>
      <c r="L125" s="423"/>
      <c r="M125" s="426"/>
      <c r="N125" s="428"/>
      <c r="O125" s="94"/>
      <c r="P125" s="94"/>
      <c r="Q125" s="94"/>
      <c r="R125" s="353"/>
      <c r="S125" s="353"/>
      <c r="T125" s="353"/>
      <c r="U125" s="353"/>
      <c r="V125" s="94"/>
      <c r="W125" s="94"/>
      <c r="X125" s="94"/>
      <c r="Y125" s="94"/>
      <c r="Z125" s="94"/>
      <c r="AA125" s="94"/>
      <c r="AB125" s="94"/>
      <c r="AC125" s="94"/>
    </row>
    <row r="126" ht="15.75" customHeight="1">
      <c r="A126" s="94"/>
      <c r="B126" s="94"/>
      <c r="C126" s="427"/>
      <c r="D126" s="423"/>
      <c r="F126" s="128"/>
      <c r="G126" s="423"/>
      <c r="J126" s="423"/>
      <c r="L126" s="423"/>
      <c r="M126" s="94"/>
      <c r="N126" s="437"/>
      <c r="O126" s="94"/>
      <c r="P126" s="94"/>
      <c r="Q126" s="94"/>
      <c r="R126" s="353"/>
      <c r="S126" s="353"/>
      <c r="T126" s="353"/>
      <c r="U126" s="353"/>
      <c r="V126" s="94"/>
      <c r="W126" s="94"/>
      <c r="X126" s="94"/>
      <c r="Y126" s="94"/>
      <c r="Z126" s="94"/>
      <c r="AA126" s="94"/>
      <c r="AB126" s="94"/>
      <c r="AC126" s="94"/>
    </row>
    <row r="127" ht="15.75" customHeight="1">
      <c r="A127" s="94"/>
      <c r="B127" s="94"/>
      <c r="C127" s="429" t="s">
        <v>868</v>
      </c>
      <c r="D127" s="430"/>
      <c r="E127" s="430"/>
      <c r="F127" s="431"/>
      <c r="G127" s="431"/>
      <c r="H127" s="430"/>
      <c r="I127" s="430"/>
      <c r="J127" s="430"/>
      <c r="K127" s="430"/>
      <c r="L127" s="430"/>
      <c r="M127" s="432" t="s">
        <v>42</v>
      </c>
      <c r="N127" s="433">
        <f>SUM(N120:N126)</f>
        <v>0</v>
      </c>
      <c r="O127" s="94"/>
      <c r="P127" s="94"/>
      <c r="Q127" s="94"/>
      <c r="R127" s="353"/>
      <c r="S127" s="353"/>
      <c r="T127" s="353"/>
      <c r="U127" s="353"/>
      <c r="V127" s="94"/>
      <c r="W127" s="94"/>
      <c r="X127" s="94"/>
      <c r="Y127" s="94"/>
      <c r="Z127" s="94"/>
      <c r="AA127" s="94"/>
      <c r="AB127" s="94"/>
      <c r="AC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353"/>
      <c r="S128" s="353"/>
      <c r="T128" s="353"/>
      <c r="U128" s="353"/>
      <c r="V128" s="94"/>
      <c r="W128" s="94"/>
      <c r="X128" s="94"/>
      <c r="Y128" s="94"/>
      <c r="Z128" s="94"/>
      <c r="AA128" s="94"/>
      <c r="AB128" s="94"/>
      <c r="AC128" s="94"/>
    </row>
    <row r="129" ht="15.75" customHeight="1">
      <c r="A129" s="94"/>
      <c r="B129" s="94"/>
      <c r="C129" s="357" t="s">
        <v>999</v>
      </c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353"/>
      <c r="S129" s="353"/>
      <c r="T129" s="353"/>
      <c r="U129" s="353"/>
      <c r="V129" s="94"/>
      <c r="W129" s="94"/>
      <c r="X129" s="94"/>
      <c r="Y129" s="94"/>
      <c r="Z129" s="94"/>
      <c r="AA129" s="94"/>
      <c r="AB129" s="94"/>
      <c r="AC129" s="94"/>
    </row>
    <row r="130" ht="15.75" customHeight="1">
      <c r="A130" s="94"/>
      <c r="B130" s="94"/>
      <c r="C130" s="98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353"/>
      <c r="S130" s="353"/>
      <c r="T130" s="353"/>
      <c r="U130" s="353"/>
      <c r="V130" s="94"/>
      <c r="W130" s="94"/>
      <c r="X130" s="94"/>
      <c r="Y130" s="94"/>
      <c r="Z130" s="94"/>
      <c r="AA130" s="94"/>
      <c r="AB130" s="94"/>
      <c r="AC130" s="94"/>
    </row>
    <row r="131" ht="15.75" customHeight="1">
      <c r="A131" s="94"/>
      <c r="B131" s="94"/>
      <c r="C131" s="413" t="s">
        <v>34</v>
      </c>
      <c r="D131" s="414" t="s">
        <v>957</v>
      </c>
      <c r="E131" s="415"/>
      <c r="F131" s="416" t="s">
        <v>958</v>
      </c>
      <c r="G131" s="417" t="s">
        <v>959</v>
      </c>
      <c r="H131" s="415"/>
      <c r="I131" s="415"/>
      <c r="J131" s="418" t="s">
        <v>960</v>
      </c>
      <c r="K131" s="415"/>
      <c r="L131" s="418"/>
      <c r="M131" s="419"/>
      <c r="N131" s="420" t="s">
        <v>961</v>
      </c>
      <c r="O131" s="94"/>
      <c r="P131" s="94"/>
      <c r="Q131" s="94"/>
      <c r="R131" s="353"/>
      <c r="S131" s="353"/>
      <c r="T131" s="353"/>
      <c r="U131" s="353"/>
      <c r="V131" s="94"/>
      <c r="W131" s="94"/>
      <c r="X131" s="94"/>
      <c r="Y131" s="94"/>
      <c r="Z131" s="94"/>
      <c r="AA131" s="94"/>
      <c r="AB131" s="94"/>
      <c r="AC131" s="94"/>
    </row>
    <row r="132" ht="15.75" customHeight="1">
      <c r="A132" s="94"/>
      <c r="B132" s="94"/>
      <c r="C132" s="425"/>
      <c r="D132" s="423"/>
      <c r="F132" s="422"/>
      <c r="G132" s="423"/>
      <c r="J132" s="423"/>
      <c r="L132" s="423"/>
      <c r="M132" s="422"/>
      <c r="N132" s="428"/>
      <c r="O132" s="94"/>
      <c r="P132" s="94"/>
      <c r="Q132" s="94"/>
      <c r="R132" s="353"/>
      <c r="S132" s="353"/>
      <c r="T132" s="353"/>
      <c r="U132" s="353"/>
      <c r="V132" s="94"/>
      <c r="W132" s="94"/>
      <c r="X132" s="94"/>
      <c r="Y132" s="94"/>
      <c r="Z132" s="94"/>
      <c r="AA132" s="94"/>
      <c r="AB132" s="94"/>
      <c r="AC132" s="94"/>
    </row>
    <row r="133" ht="15.75" customHeight="1">
      <c r="A133" s="94"/>
      <c r="B133" s="94"/>
      <c r="C133" s="425"/>
      <c r="D133" s="423"/>
      <c r="F133" s="422"/>
      <c r="G133" s="423"/>
      <c r="J133" s="423"/>
      <c r="L133" s="423"/>
      <c r="M133" s="422"/>
      <c r="N133" s="428"/>
      <c r="O133" s="94"/>
      <c r="P133" s="94"/>
      <c r="Q133" s="94"/>
      <c r="R133" s="353"/>
      <c r="S133" s="353"/>
      <c r="T133" s="353"/>
      <c r="U133" s="353"/>
      <c r="V133" s="94"/>
      <c r="W133" s="94"/>
      <c r="X133" s="94"/>
      <c r="Y133" s="94"/>
      <c r="Z133" s="94"/>
      <c r="AA133" s="94"/>
      <c r="AB133" s="94"/>
      <c r="AC133" s="94"/>
    </row>
    <row r="134" ht="15.75" customHeight="1">
      <c r="A134" s="94"/>
      <c r="B134" s="94"/>
      <c r="C134" s="425"/>
      <c r="D134" s="423"/>
      <c r="F134" s="426"/>
      <c r="G134" s="423"/>
      <c r="J134" s="423"/>
      <c r="L134" s="423"/>
      <c r="M134" s="426"/>
      <c r="N134" s="428"/>
      <c r="O134" s="94"/>
      <c r="P134" s="94"/>
      <c r="Q134" s="94"/>
      <c r="R134" s="353"/>
      <c r="S134" s="353"/>
      <c r="T134" s="353"/>
      <c r="U134" s="353"/>
      <c r="V134" s="94"/>
      <c r="W134" s="94"/>
      <c r="X134" s="94"/>
      <c r="Y134" s="94"/>
      <c r="Z134" s="94"/>
      <c r="AA134" s="94"/>
      <c r="AB134" s="94"/>
      <c r="AC134" s="94"/>
    </row>
    <row r="135" ht="15.75" customHeight="1">
      <c r="A135" s="94"/>
      <c r="B135" s="94"/>
      <c r="C135" s="427"/>
      <c r="D135" s="423"/>
      <c r="F135" s="128"/>
      <c r="G135" s="423"/>
      <c r="J135" s="423"/>
      <c r="L135" s="423"/>
      <c r="M135" s="94"/>
      <c r="N135" s="437"/>
      <c r="O135" s="94"/>
      <c r="P135" s="94"/>
      <c r="Q135" s="94"/>
      <c r="R135" s="353"/>
      <c r="S135" s="353"/>
      <c r="T135" s="353"/>
      <c r="U135" s="353"/>
      <c r="V135" s="94"/>
      <c r="W135" s="94"/>
      <c r="X135" s="94"/>
      <c r="Y135" s="94"/>
      <c r="Z135" s="94"/>
      <c r="AA135" s="94"/>
      <c r="AB135" s="94"/>
      <c r="AC135" s="94"/>
    </row>
    <row r="136" ht="15.75" customHeight="1">
      <c r="A136" s="94"/>
      <c r="B136" s="94"/>
      <c r="C136" s="429" t="s">
        <v>870</v>
      </c>
      <c r="D136" s="430"/>
      <c r="E136" s="430"/>
      <c r="F136" s="431"/>
      <c r="G136" s="431"/>
      <c r="H136" s="430"/>
      <c r="I136" s="430"/>
      <c r="J136" s="430"/>
      <c r="K136" s="430"/>
      <c r="L136" s="430"/>
      <c r="M136" s="432" t="s">
        <v>42</v>
      </c>
      <c r="N136" s="433">
        <f>SUM(N130:N135)</f>
        <v>0</v>
      </c>
      <c r="O136" s="94"/>
      <c r="P136" s="569"/>
      <c r="Q136" s="569"/>
      <c r="R136" s="568"/>
      <c r="S136" s="568"/>
      <c r="T136" s="568"/>
      <c r="U136" s="353"/>
      <c r="V136" s="94"/>
      <c r="W136" s="94"/>
      <c r="X136" s="94"/>
      <c r="Y136" s="94"/>
      <c r="Z136" s="94"/>
      <c r="AA136" s="94"/>
      <c r="AB136" s="94"/>
      <c r="AC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353"/>
      <c r="S137" s="353"/>
      <c r="T137" s="353"/>
      <c r="U137" s="353"/>
      <c r="V137" s="94"/>
      <c r="W137" s="94"/>
      <c r="X137" s="94"/>
      <c r="Y137" s="94"/>
      <c r="Z137" s="94"/>
      <c r="AA137" s="94"/>
      <c r="AB137" s="94"/>
      <c r="AC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353"/>
      <c r="S138" s="353"/>
      <c r="T138" s="353"/>
      <c r="U138" s="353"/>
      <c r="V138" s="94"/>
      <c r="W138" s="94"/>
      <c r="X138" s="94"/>
      <c r="Y138" s="94"/>
      <c r="Z138" s="94"/>
      <c r="AA138" s="94"/>
      <c r="AB138" s="94"/>
      <c r="AC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353"/>
      <c r="S139" s="353"/>
      <c r="T139" s="353"/>
      <c r="U139" s="353"/>
      <c r="V139" s="94"/>
      <c r="W139" s="94"/>
      <c r="X139" s="94"/>
      <c r="Y139" s="94"/>
      <c r="Z139" s="94"/>
      <c r="AA139" s="94"/>
      <c r="AB139" s="94"/>
      <c r="AC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353"/>
      <c r="S140" s="353"/>
      <c r="T140" s="353"/>
      <c r="U140" s="353"/>
      <c r="V140" s="94"/>
      <c r="W140" s="94"/>
      <c r="X140" s="94"/>
      <c r="Y140" s="94"/>
      <c r="Z140" s="94"/>
      <c r="AA140" s="94"/>
      <c r="AB140" s="94"/>
      <c r="AC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353"/>
      <c r="S141" s="353"/>
      <c r="T141" s="353"/>
      <c r="U141" s="353"/>
      <c r="V141" s="94"/>
      <c r="W141" s="94"/>
      <c r="X141" s="94"/>
      <c r="Y141" s="94"/>
      <c r="Z141" s="94"/>
      <c r="AA141" s="94"/>
      <c r="AB141" s="94"/>
      <c r="AC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353"/>
      <c r="S142" s="353"/>
      <c r="T142" s="353"/>
      <c r="U142" s="353"/>
      <c r="V142" s="94"/>
      <c r="W142" s="94"/>
      <c r="X142" s="94"/>
      <c r="Y142" s="94"/>
      <c r="Z142" s="94"/>
      <c r="AA142" s="94"/>
      <c r="AB142" s="94"/>
      <c r="AC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353"/>
      <c r="S143" s="353"/>
      <c r="T143" s="353"/>
      <c r="U143" s="353"/>
      <c r="V143" s="94"/>
      <c r="W143" s="94"/>
      <c r="X143" s="94"/>
      <c r="Y143" s="94"/>
      <c r="Z143" s="94"/>
      <c r="AA143" s="94"/>
      <c r="AB143" s="94"/>
      <c r="AC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353"/>
      <c r="S144" s="353"/>
      <c r="T144" s="353"/>
      <c r="U144" s="353"/>
      <c r="V144" s="94"/>
      <c r="W144" s="94"/>
      <c r="X144" s="94"/>
      <c r="Y144" s="94"/>
      <c r="Z144" s="94"/>
      <c r="AA144" s="94"/>
      <c r="AB144" s="94"/>
      <c r="AC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353"/>
      <c r="S145" s="353"/>
      <c r="T145" s="353"/>
      <c r="U145" s="353"/>
      <c r="V145" s="94"/>
      <c r="W145" s="94"/>
      <c r="X145" s="94"/>
      <c r="Y145" s="94"/>
      <c r="Z145" s="94"/>
      <c r="AA145" s="94"/>
      <c r="AB145" s="94"/>
      <c r="AC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353"/>
      <c r="S146" s="353"/>
      <c r="T146" s="353"/>
      <c r="U146" s="353"/>
      <c r="V146" s="94"/>
      <c r="W146" s="94"/>
      <c r="X146" s="94"/>
      <c r="Y146" s="94"/>
      <c r="Z146" s="94"/>
      <c r="AA146" s="94"/>
      <c r="AB146" s="94"/>
      <c r="AC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353"/>
      <c r="S147" s="353"/>
      <c r="T147" s="353"/>
      <c r="U147" s="353"/>
      <c r="V147" s="94"/>
      <c r="W147" s="94"/>
      <c r="X147" s="94"/>
      <c r="Y147" s="94"/>
      <c r="Z147" s="94"/>
      <c r="AA147" s="94"/>
      <c r="AB147" s="94"/>
      <c r="AC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353"/>
      <c r="S148" s="353"/>
      <c r="T148" s="353"/>
      <c r="U148" s="353"/>
      <c r="V148" s="94"/>
      <c r="W148" s="94"/>
      <c r="X148" s="94"/>
      <c r="Y148" s="94"/>
      <c r="Z148" s="94"/>
      <c r="AA148" s="94"/>
      <c r="AB148" s="94"/>
      <c r="AC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353"/>
      <c r="S149" s="353"/>
      <c r="T149" s="353"/>
      <c r="U149" s="353"/>
      <c r="V149" s="94"/>
      <c r="W149" s="94"/>
      <c r="X149" s="94"/>
      <c r="Y149" s="94"/>
      <c r="Z149" s="94"/>
      <c r="AA149" s="94"/>
      <c r="AB149" s="94"/>
      <c r="AC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353"/>
      <c r="S150" s="353"/>
      <c r="T150" s="353"/>
      <c r="U150" s="353"/>
      <c r="V150" s="94"/>
      <c r="W150" s="94"/>
      <c r="X150" s="94"/>
      <c r="Y150" s="94"/>
      <c r="Z150" s="94"/>
      <c r="AA150" s="94"/>
      <c r="AB150" s="94"/>
      <c r="AC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353"/>
      <c r="S151" s="353"/>
      <c r="T151" s="353"/>
      <c r="U151" s="353"/>
      <c r="V151" s="94"/>
      <c r="W151" s="94"/>
      <c r="X151" s="94"/>
      <c r="Y151" s="94"/>
      <c r="Z151" s="94"/>
      <c r="AA151" s="94"/>
      <c r="AB151" s="94"/>
      <c r="AC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353"/>
      <c r="S152" s="353"/>
      <c r="T152" s="353"/>
      <c r="U152" s="353"/>
      <c r="V152" s="94"/>
      <c r="W152" s="94"/>
      <c r="X152" s="94"/>
      <c r="Y152" s="94"/>
      <c r="Z152" s="94"/>
      <c r="AA152" s="94"/>
      <c r="AB152" s="94"/>
      <c r="AC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353"/>
      <c r="S153" s="353"/>
      <c r="T153" s="353"/>
      <c r="U153" s="353"/>
      <c r="V153" s="94"/>
      <c r="W153" s="94"/>
      <c r="X153" s="94"/>
      <c r="Y153" s="94"/>
      <c r="Z153" s="94"/>
      <c r="AA153" s="94"/>
      <c r="AB153" s="94"/>
      <c r="AC153" s="94"/>
    </row>
    <row r="154" ht="15.75" customHeight="1">
      <c r="A154" s="94"/>
      <c r="B154" s="94"/>
      <c r="C154" s="94"/>
      <c r="D154" s="569"/>
      <c r="E154" s="569"/>
      <c r="F154" s="570"/>
      <c r="G154" s="570"/>
      <c r="H154" s="570"/>
      <c r="I154" s="570"/>
      <c r="J154" s="570"/>
      <c r="K154" s="569"/>
      <c r="L154" s="569"/>
      <c r="M154" s="569"/>
      <c r="N154" s="569"/>
      <c r="O154" s="94"/>
      <c r="P154" s="94"/>
      <c r="Q154" s="94"/>
      <c r="R154" s="353"/>
      <c r="S154" s="353"/>
      <c r="T154" s="353"/>
      <c r="U154" s="353"/>
      <c r="V154" s="94"/>
      <c r="W154" s="94"/>
      <c r="X154" s="94"/>
      <c r="Y154" s="94"/>
      <c r="Z154" s="94"/>
      <c r="AA154" s="94"/>
      <c r="AB154" s="94"/>
      <c r="AC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353"/>
      <c r="S155" s="353"/>
      <c r="T155" s="353"/>
      <c r="U155" s="353"/>
      <c r="V155" s="94"/>
      <c r="W155" s="94"/>
      <c r="X155" s="94"/>
      <c r="Y155" s="94"/>
      <c r="Z155" s="94"/>
      <c r="AA155" s="94"/>
      <c r="AB155" s="94"/>
      <c r="AC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353"/>
      <c r="S156" s="353"/>
      <c r="T156" s="353"/>
      <c r="U156" s="353"/>
      <c r="V156" s="94"/>
      <c r="W156" s="94"/>
      <c r="X156" s="94"/>
      <c r="Y156" s="94"/>
      <c r="Z156" s="94"/>
      <c r="AA156" s="94"/>
      <c r="AB156" s="94"/>
      <c r="AC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353"/>
      <c r="S157" s="353"/>
      <c r="T157" s="353"/>
      <c r="U157" s="353"/>
      <c r="V157" s="94"/>
      <c r="W157" s="94"/>
      <c r="X157" s="94"/>
      <c r="Y157" s="94"/>
      <c r="Z157" s="94"/>
      <c r="AA157" s="94"/>
      <c r="AB157" s="94"/>
      <c r="AC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353"/>
      <c r="S158" s="353"/>
      <c r="T158" s="353"/>
      <c r="U158" s="353"/>
      <c r="V158" s="94"/>
      <c r="W158" s="94"/>
      <c r="X158" s="94"/>
      <c r="Y158" s="94"/>
      <c r="Z158" s="94"/>
      <c r="AA158" s="94"/>
      <c r="AB158" s="94"/>
      <c r="AC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353"/>
      <c r="S159" s="353"/>
      <c r="T159" s="353"/>
      <c r="U159" s="353"/>
      <c r="V159" s="94"/>
      <c r="W159" s="94"/>
      <c r="X159" s="94"/>
      <c r="Y159" s="94"/>
      <c r="Z159" s="94"/>
      <c r="AA159" s="94"/>
      <c r="AB159" s="94"/>
      <c r="AC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353"/>
      <c r="S160" s="353"/>
      <c r="T160" s="353"/>
      <c r="U160" s="353"/>
      <c r="V160" s="94"/>
      <c r="W160" s="94"/>
      <c r="X160" s="94"/>
      <c r="Y160" s="94"/>
      <c r="Z160" s="94"/>
      <c r="AA160" s="94"/>
      <c r="AB160" s="94"/>
      <c r="AC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353"/>
      <c r="S161" s="353"/>
      <c r="T161" s="353"/>
      <c r="U161" s="353"/>
      <c r="V161" s="94"/>
      <c r="W161" s="94"/>
      <c r="X161" s="94"/>
      <c r="Y161" s="94"/>
      <c r="Z161" s="94"/>
      <c r="AA161" s="94"/>
      <c r="AB161" s="94"/>
      <c r="AC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353"/>
      <c r="S162" s="353"/>
      <c r="T162" s="353"/>
      <c r="U162" s="353"/>
      <c r="V162" s="94"/>
      <c r="W162" s="94"/>
      <c r="X162" s="94"/>
      <c r="Y162" s="94"/>
      <c r="Z162" s="94"/>
      <c r="AA162" s="94"/>
      <c r="AB162" s="94"/>
      <c r="AC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353"/>
      <c r="S163" s="353"/>
      <c r="T163" s="353"/>
      <c r="U163" s="353"/>
      <c r="V163" s="94"/>
      <c r="W163" s="94"/>
      <c r="X163" s="94"/>
      <c r="Y163" s="94"/>
      <c r="Z163" s="94"/>
      <c r="AA163" s="94"/>
      <c r="AB163" s="94"/>
      <c r="AC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353"/>
      <c r="S164" s="353"/>
      <c r="T164" s="353"/>
      <c r="U164" s="353"/>
      <c r="V164" s="94"/>
      <c r="W164" s="94"/>
      <c r="X164" s="94"/>
      <c r="Y164" s="94"/>
      <c r="Z164" s="94"/>
      <c r="AA164" s="94"/>
      <c r="AB164" s="94"/>
      <c r="AC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353"/>
      <c r="S165" s="353"/>
      <c r="T165" s="353"/>
      <c r="U165" s="353"/>
      <c r="V165" s="94"/>
      <c r="W165" s="94"/>
      <c r="X165" s="94"/>
      <c r="Y165" s="94"/>
      <c r="Z165" s="94"/>
      <c r="AA165" s="94"/>
      <c r="AB165" s="94"/>
      <c r="AC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353"/>
      <c r="S166" s="353"/>
      <c r="T166" s="353"/>
      <c r="U166" s="353"/>
      <c r="V166" s="94"/>
      <c r="W166" s="94"/>
      <c r="X166" s="94"/>
      <c r="Y166" s="94"/>
      <c r="Z166" s="94"/>
      <c r="AA166" s="94"/>
      <c r="AB166" s="94"/>
      <c r="AC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353"/>
      <c r="S167" s="353"/>
      <c r="T167" s="353"/>
      <c r="U167" s="353"/>
      <c r="V167" s="94"/>
      <c r="W167" s="94"/>
      <c r="X167" s="94"/>
      <c r="Y167" s="94"/>
      <c r="Z167" s="94"/>
      <c r="AA167" s="94"/>
      <c r="AB167" s="94"/>
      <c r="AC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353"/>
      <c r="S168" s="353"/>
      <c r="T168" s="353"/>
      <c r="U168" s="353"/>
      <c r="V168" s="94"/>
      <c r="W168" s="94"/>
      <c r="X168" s="94"/>
      <c r="Y168" s="94"/>
      <c r="Z168" s="94"/>
      <c r="AA168" s="94"/>
      <c r="AB168" s="94"/>
      <c r="AC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353"/>
      <c r="S169" s="353"/>
      <c r="T169" s="353"/>
      <c r="U169" s="353"/>
      <c r="V169" s="94"/>
      <c r="W169" s="94"/>
      <c r="X169" s="94"/>
      <c r="Y169" s="94"/>
      <c r="Z169" s="94"/>
      <c r="AA169" s="94"/>
      <c r="AB169" s="94"/>
      <c r="AC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353"/>
      <c r="S170" s="353"/>
      <c r="T170" s="353"/>
      <c r="U170" s="353"/>
      <c r="V170" s="94"/>
      <c r="W170" s="94"/>
      <c r="X170" s="94"/>
      <c r="Y170" s="94"/>
      <c r="Z170" s="94"/>
      <c r="AA170" s="94"/>
      <c r="AB170" s="94"/>
      <c r="AC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353"/>
      <c r="S171" s="353"/>
      <c r="T171" s="353"/>
      <c r="U171" s="353"/>
      <c r="V171" s="94"/>
      <c r="W171" s="94"/>
      <c r="X171" s="94"/>
      <c r="Y171" s="94"/>
      <c r="Z171" s="94"/>
      <c r="AA171" s="94"/>
      <c r="AB171" s="94"/>
      <c r="AC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353"/>
      <c r="S172" s="353"/>
      <c r="T172" s="353"/>
      <c r="U172" s="353"/>
      <c r="V172" s="94"/>
      <c r="W172" s="94"/>
      <c r="X172" s="94"/>
      <c r="Y172" s="94"/>
      <c r="Z172" s="94"/>
      <c r="AA172" s="94"/>
      <c r="AB172" s="94"/>
      <c r="AC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353"/>
      <c r="S173" s="353"/>
      <c r="T173" s="353"/>
      <c r="U173" s="353"/>
      <c r="V173" s="94"/>
      <c r="W173" s="94"/>
      <c r="X173" s="94"/>
      <c r="Y173" s="94"/>
      <c r="Z173" s="94"/>
      <c r="AA173" s="94"/>
      <c r="AB173" s="94"/>
      <c r="AC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353"/>
      <c r="S174" s="353"/>
      <c r="T174" s="353"/>
      <c r="U174" s="353"/>
      <c r="V174" s="94"/>
      <c r="W174" s="94"/>
      <c r="X174" s="94"/>
      <c r="Y174" s="94"/>
      <c r="Z174" s="94"/>
      <c r="AA174" s="94"/>
      <c r="AB174" s="94"/>
      <c r="AC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353"/>
      <c r="S175" s="353"/>
      <c r="T175" s="353"/>
      <c r="U175" s="353"/>
      <c r="V175" s="94"/>
      <c r="W175" s="94"/>
      <c r="X175" s="94"/>
      <c r="Y175" s="94"/>
      <c r="Z175" s="94"/>
      <c r="AA175" s="94"/>
      <c r="AB175" s="94"/>
      <c r="AC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353"/>
      <c r="S176" s="353"/>
      <c r="T176" s="353"/>
      <c r="U176" s="353"/>
      <c r="V176" s="94"/>
      <c r="W176" s="94"/>
      <c r="X176" s="94"/>
      <c r="Y176" s="94"/>
      <c r="Z176" s="94"/>
      <c r="AA176" s="94"/>
      <c r="AB176" s="94"/>
      <c r="AC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353"/>
      <c r="S177" s="353"/>
      <c r="T177" s="353"/>
      <c r="U177" s="353"/>
      <c r="V177" s="94"/>
      <c r="W177" s="94"/>
      <c r="X177" s="94"/>
      <c r="Y177" s="94"/>
      <c r="Z177" s="94"/>
      <c r="AA177" s="94"/>
      <c r="AB177" s="94"/>
      <c r="AC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353"/>
      <c r="S178" s="353"/>
      <c r="T178" s="353"/>
      <c r="U178" s="353"/>
      <c r="V178" s="94"/>
      <c r="W178" s="94"/>
      <c r="X178" s="94"/>
      <c r="Y178" s="94"/>
      <c r="Z178" s="94"/>
      <c r="AA178" s="94"/>
      <c r="AB178" s="94"/>
      <c r="AC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353"/>
      <c r="S179" s="353"/>
      <c r="T179" s="353"/>
      <c r="U179" s="353"/>
      <c r="V179" s="94"/>
      <c r="W179" s="94"/>
      <c r="X179" s="94"/>
      <c r="Y179" s="94"/>
      <c r="Z179" s="94"/>
      <c r="AA179" s="94"/>
      <c r="AB179" s="94"/>
      <c r="AC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353"/>
      <c r="S180" s="353"/>
      <c r="T180" s="353"/>
      <c r="U180" s="353"/>
      <c r="V180" s="94"/>
      <c r="W180" s="94"/>
      <c r="X180" s="94"/>
      <c r="Y180" s="94"/>
      <c r="Z180" s="94"/>
      <c r="AA180" s="94"/>
      <c r="AB180" s="94"/>
      <c r="AC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353"/>
      <c r="S181" s="353"/>
      <c r="T181" s="353"/>
      <c r="U181" s="353"/>
      <c r="V181" s="94"/>
      <c r="W181" s="94"/>
      <c r="X181" s="94"/>
      <c r="Y181" s="94"/>
      <c r="Z181" s="94"/>
      <c r="AA181" s="94"/>
      <c r="AB181" s="94"/>
      <c r="AC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353"/>
      <c r="S182" s="353"/>
      <c r="T182" s="353"/>
      <c r="U182" s="353"/>
      <c r="V182" s="94"/>
      <c r="W182" s="94"/>
      <c r="X182" s="94"/>
      <c r="Y182" s="94"/>
      <c r="Z182" s="94"/>
      <c r="AA182" s="94"/>
      <c r="AB182" s="94"/>
      <c r="AC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353"/>
      <c r="S183" s="353"/>
      <c r="T183" s="353"/>
      <c r="U183" s="353"/>
      <c r="V183" s="94"/>
      <c r="W183" s="94"/>
      <c r="X183" s="94"/>
      <c r="Y183" s="94"/>
      <c r="Z183" s="94"/>
      <c r="AA183" s="94"/>
      <c r="AB183" s="94"/>
      <c r="AC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353"/>
      <c r="S184" s="353"/>
      <c r="T184" s="353"/>
      <c r="U184" s="353"/>
      <c r="V184" s="94"/>
      <c r="W184" s="94"/>
      <c r="X184" s="94"/>
      <c r="Y184" s="94"/>
      <c r="Z184" s="94"/>
      <c r="AA184" s="94"/>
      <c r="AB184" s="94"/>
      <c r="AC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353"/>
      <c r="S185" s="353"/>
      <c r="T185" s="353"/>
      <c r="U185" s="353"/>
      <c r="V185" s="94"/>
      <c r="W185" s="94"/>
      <c r="X185" s="94"/>
      <c r="Y185" s="94"/>
      <c r="Z185" s="94"/>
      <c r="AA185" s="94"/>
      <c r="AB185" s="94"/>
      <c r="AC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353"/>
      <c r="S186" s="353"/>
      <c r="T186" s="353"/>
      <c r="U186" s="353"/>
      <c r="V186" s="94"/>
      <c r="W186" s="94"/>
      <c r="X186" s="94"/>
      <c r="Y186" s="94"/>
      <c r="Z186" s="94"/>
      <c r="AA186" s="94"/>
      <c r="AB186" s="94"/>
      <c r="AC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353"/>
      <c r="S187" s="353"/>
      <c r="T187" s="353"/>
      <c r="U187" s="353"/>
      <c r="V187" s="94"/>
      <c r="W187" s="94"/>
      <c r="X187" s="94"/>
      <c r="Y187" s="94"/>
      <c r="Z187" s="94"/>
      <c r="AA187" s="94"/>
      <c r="AB187" s="94"/>
      <c r="AC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353"/>
      <c r="S188" s="353"/>
      <c r="T188" s="353"/>
      <c r="U188" s="353"/>
      <c r="V188" s="94"/>
      <c r="W188" s="94"/>
      <c r="X188" s="94"/>
      <c r="Y188" s="94"/>
      <c r="Z188" s="94"/>
      <c r="AA188" s="94"/>
      <c r="AB188" s="94"/>
      <c r="AC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353"/>
      <c r="S189" s="353"/>
      <c r="T189" s="353"/>
      <c r="U189" s="353"/>
      <c r="V189" s="94"/>
      <c r="W189" s="94"/>
      <c r="X189" s="94"/>
      <c r="Y189" s="94"/>
      <c r="Z189" s="94"/>
      <c r="AA189" s="94"/>
      <c r="AB189" s="94"/>
      <c r="AC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353"/>
      <c r="S190" s="353"/>
      <c r="T190" s="353"/>
      <c r="U190" s="353"/>
      <c r="V190" s="94"/>
      <c r="W190" s="94"/>
      <c r="X190" s="94"/>
      <c r="Y190" s="94"/>
      <c r="Z190" s="94"/>
      <c r="AA190" s="94"/>
      <c r="AB190" s="94"/>
      <c r="AC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353"/>
      <c r="S191" s="353"/>
      <c r="T191" s="353"/>
      <c r="U191" s="353"/>
      <c r="V191" s="94"/>
      <c r="W191" s="94"/>
      <c r="X191" s="94"/>
      <c r="Y191" s="94"/>
      <c r="Z191" s="94"/>
      <c r="AA191" s="94"/>
      <c r="AB191" s="94"/>
      <c r="AC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353"/>
      <c r="S192" s="353"/>
      <c r="T192" s="353"/>
      <c r="U192" s="353"/>
      <c r="V192" s="94"/>
      <c r="W192" s="94"/>
      <c r="X192" s="94"/>
      <c r="Y192" s="94"/>
      <c r="Z192" s="94"/>
      <c r="AA192" s="94"/>
      <c r="AB192" s="94"/>
      <c r="AC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353"/>
      <c r="S193" s="353"/>
      <c r="T193" s="353"/>
      <c r="U193" s="353"/>
      <c r="V193" s="94"/>
      <c r="W193" s="94"/>
      <c r="X193" s="94"/>
      <c r="Y193" s="94"/>
      <c r="Z193" s="94"/>
      <c r="AA193" s="94"/>
      <c r="AB193" s="94"/>
      <c r="AC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353"/>
      <c r="S194" s="353"/>
      <c r="T194" s="353"/>
      <c r="U194" s="353"/>
      <c r="V194" s="94"/>
      <c r="W194" s="94"/>
      <c r="X194" s="94"/>
      <c r="Y194" s="94"/>
      <c r="Z194" s="94"/>
      <c r="AA194" s="94"/>
      <c r="AB194" s="94"/>
      <c r="AC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353"/>
      <c r="S195" s="353"/>
      <c r="T195" s="353"/>
      <c r="U195" s="353"/>
      <c r="V195" s="94"/>
      <c r="W195" s="94"/>
      <c r="X195" s="94"/>
      <c r="Y195" s="94"/>
      <c r="Z195" s="94"/>
      <c r="AA195" s="94"/>
      <c r="AB195" s="94"/>
      <c r="AC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353"/>
      <c r="S196" s="353"/>
      <c r="T196" s="353"/>
      <c r="U196" s="353"/>
      <c r="V196" s="94"/>
      <c r="W196" s="94"/>
      <c r="X196" s="94"/>
      <c r="Y196" s="94"/>
      <c r="Z196" s="94"/>
      <c r="AA196" s="94"/>
      <c r="AB196" s="94"/>
      <c r="AC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353"/>
      <c r="S197" s="353"/>
      <c r="T197" s="353"/>
      <c r="U197" s="353"/>
      <c r="V197" s="94"/>
      <c r="W197" s="94"/>
      <c r="X197" s="94"/>
      <c r="Y197" s="94"/>
      <c r="Z197" s="94"/>
      <c r="AA197" s="94"/>
      <c r="AB197" s="94"/>
      <c r="AC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353"/>
      <c r="S198" s="353"/>
      <c r="T198" s="353"/>
      <c r="U198" s="353"/>
      <c r="V198" s="94"/>
      <c r="W198" s="94"/>
      <c r="X198" s="94"/>
      <c r="Y198" s="94"/>
      <c r="Z198" s="94"/>
      <c r="AA198" s="94"/>
      <c r="AB198" s="94"/>
      <c r="AC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353"/>
      <c r="S199" s="353"/>
      <c r="T199" s="353"/>
      <c r="U199" s="353"/>
      <c r="V199" s="94"/>
      <c r="W199" s="94"/>
      <c r="X199" s="94"/>
      <c r="Y199" s="94"/>
      <c r="Z199" s="94"/>
      <c r="AA199" s="94"/>
      <c r="AB199" s="94"/>
      <c r="AC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353"/>
      <c r="S200" s="353"/>
      <c r="T200" s="353"/>
      <c r="U200" s="353"/>
      <c r="V200" s="94"/>
      <c r="W200" s="94"/>
      <c r="X200" s="94"/>
      <c r="Y200" s="94"/>
      <c r="Z200" s="94"/>
      <c r="AA200" s="94"/>
      <c r="AB200" s="94"/>
      <c r="AC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353"/>
      <c r="S201" s="353"/>
      <c r="T201" s="353"/>
      <c r="U201" s="353"/>
      <c r="V201" s="94"/>
      <c r="W201" s="94"/>
      <c r="X201" s="94"/>
      <c r="Y201" s="94"/>
      <c r="Z201" s="94"/>
      <c r="AA201" s="94"/>
      <c r="AB201" s="94"/>
      <c r="AC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353"/>
      <c r="S202" s="353"/>
      <c r="T202" s="353"/>
      <c r="U202" s="353"/>
      <c r="V202" s="94"/>
      <c r="W202" s="94"/>
      <c r="X202" s="94"/>
      <c r="Y202" s="94"/>
      <c r="Z202" s="94"/>
      <c r="AA202" s="94"/>
      <c r="AB202" s="94"/>
      <c r="AC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353"/>
      <c r="S203" s="353"/>
      <c r="T203" s="353"/>
      <c r="U203" s="353"/>
      <c r="V203" s="94"/>
      <c r="W203" s="94"/>
      <c r="X203" s="94"/>
      <c r="Y203" s="94"/>
      <c r="Z203" s="94"/>
      <c r="AA203" s="94"/>
      <c r="AB203" s="94"/>
      <c r="AC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353"/>
      <c r="S204" s="353"/>
      <c r="T204" s="353"/>
      <c r="U204" s="353"/>
      <c r="V204" s="94"/>
      <c r="W204" s="94"/>
      <c r="X204" s="94"/>
      <c r="Y204" s="94"/>
      <c r="Z204" s="94"/>
      <c r="AA204" s="94"/>
      <c r="AB204" s="94"/>
      <c r="AC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353"/>
      <c r="S205" s="353"/>
      <c r="T205" s="353"/>
      <c r="U205" s="353"/>
      <c r="V205" s="94"/>
      <c r="W205" s="94"/>
      <c r="X205" s="94"/>
      <c r="Y205" s="94"/>
      <c r="Z205" s="94"/>
      <c r="AA205" s="94"/>
      <c r="AB205" s="94"/>
      <c r="AC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353"/>
      <c r="S206" s="353"/>
      <c r="T206" s="353"/>
      <c r="U206" s="353"/>
      <c r="V206" s="94"/>
      <c r="W206" s="94"/>
      <c r="X206" s="94"/>
      <c r="Y206" s="94"/>
      <c r="Z206" s="94"/>
      <c r="AA206" s="94"/>
      <c r="AB206" s="94"/>
      <c r="AC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353"/>
      <c r="S207" s="353"/>
      <c r="T207" s="353"/>
      <c r="U207" s="353"/>
      <c r="V207" s="94"/>
      <c r="W207" s="94"/>
      <c r="X207" s="94"/>
      <c r="Y207" s="94"/>
      <c r="Z207" s="94"/>
      <c r="AA207" s="94"/>
      <c r="AB207" s="94"/>
      <c r="AC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353"/>
      <c r="S208" s="353"/>
      <c r="T208" s="353"/>
      <c r="U208" s="353"/>
      <c r="V208" s="94"/>
      <c r="W208" s="94"/>
      <c r="X208" s="94"/>
      <c r="Y208" s="94"/>
      <c r="Z208" s="94"/>
      <c r="AA208" s="94"/>
      <c r="AB208" s="94"/>
      <c r="AC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353"/>
      <c r="S209" s="353"/>
      <c r="T209" s="353"/>
      <c r="U209" s="353"/>
      <c r="V209" s="94"/>
      <c r="W209" s="94"/>
      <c r="X209" s="94"/>
      <c r="Y209" s="94"/>
      <c r="Z209" s="94"/>
      <c r="AA209" s="94"/>
      <c r="AB209" s="94"/>
      <c r="AC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353"/>
      <c r="S210" s="353"/>
      <c r="T210" s="353"/>
      <c r="U210" s="353"/>
      <c r="V210" s="94"/>
      <c r="W210" s="94"/>
      <c r="X210" s="94"/>
      <c r="Y210" s="94"/>
      <c r="Z210" s="94"/>
      <c r="AA210" s="94"/>
      <c r="AB210" s="94"/>
      <c r="AC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353"/>
      <c r="S211" s="353"/>
      <c r="T211" s="353"/>
      <c r="U211" s="353"/>
      <c r="V211" s="94"/>
      <c r="W211" s="94"/>
      <c r="X211" s="94"/>
      <c r="Y211" s="94"/>
      <c r="Z211" s="94"/>
      <c r="AA211" s="94"/>
      <c r="AB211" s="94"/>
      <c r="AC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353"/>
      <c r="S212" s="353"/>
      <c r="T212" s="353"/>
      <c r="U212" s="353"/>
      <c r="V212" s="94"/>
      <c r="W212" s="94"/>
      <c r="X212" s="94"/>
      <c r="Y212" s="94"/>
      <c r="Z212" s="94"/>
      <c r="AA212" s="94"/>
      <c r="AB212" s="94"/>
      <c r="AC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353"/>
      <c r="S213" s="353"/>
      <c r="T213" s="353"/>
      <c r="U213" s="353"/>
      <c r="V213" s="94"/>
      <c r="W213" s="94"/>
      <c r="X213" s="94"/>
      <c r="Y213" s="94"/>
      <c r="Z213" s="94"/>
      <c r="AA213" s="94"/>
      <c r="AB213" s="94"/>
      <c r="AC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353"/>
      <c r="S214" s="353"/>
      <c r="T214" s="353"/>
      <c r="U214" s="353"/>
      <c r="V214" s="94"/>
      <c r="W214" s="94"/>
      <c r="X214" s="94"/>
      <c r="Y214" s="94"/>
      <c r="Z214" s="94"/>
      <c r="AA214" s="94"/>
      <c r="AB214" s="94"/>
      <c r="AC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353"/>
      <c r="S215" s="353"/>
      <c r="T215" s="353"/>
      <c r="U215" s="353"/>
      <c r="V215" s="94"/>
      <c r="W215" s="94"/>
      <c r="X215" s="94"/>
      <c r="Y215" s="94"/>
      <c r="Z215" s="94"/>
      <c r="AA215" s="94"/>
      <c r="AB215" s="94"/>
      <c r="AC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353"/>
      <c r="S216" s="353"/>
      <c r="T216" s="353"/>
      <c r="U216" s="353"/>
      <c r="V216" s="94"/>
      <c r="W216" s="94"/>
      <c r="X216" s="94"/>
      <c r="Y216" s="94"/>
      <c r="Z216" s="94"/>
      <c r="AA216" s="94"/>
      <c r="AB216" s="94"/>
      <c r="AC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353"/>
      <c r="S217" s="353"/>
      <c r="T217" s="353"/>
      <c r="U217" s="353"/>
      <c r="V217" s="94"/>
      <c r="W217" s="94"/>
      <c r="X217" s="94"/>
      <c r="Y217" s="94"/>
      <c r="Z217" s="94"/>
      <c r="AA217" s="94"/>
      <c r="AB217" s="94"/>
      <c r="AC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353"/>
      <c r="S218" s="353"/>
      <c r="T218" s="353"/>
      <c r="U218" s="353"/>
      <c r="V218" s="94"/>
      <c r="W218" s="94"/>
      <c r="X218" s="94"/>
      <c r="Y218" s="94"/>
      <c r="Z218" s="94"/>
      <c r="AA218" s="94"/>
      <c r="AB218" s="94"/>
      <c r="AC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353"/>
      <c r="S219" s="353"/>
      <c r="T219" s="353"/>
      <c r="U219" s="353"/>
      <c r="V219" s="94"/>
      <c r="W219" s="94"/>
      <c r="X219" s="94"/>
      <c r="Y219" s="94"/>
      <c r="Z219" s="94"/>
      <c r="AA219" s="94"/>
      <c r="AB219" s="94"/>
      <c r="AC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353"/>
      <c r="S220" s="353"/>
      <c r="T220" s="353"/>
      <c r="U220" s="353"/>
      <c r="V220" s="94"/>
      <c r="W220" s="94"/>
      <c r="X220" s="94"/>
      <c r="Y220" s="94"/>
      <c r="Z220" s="94"/>
      <c r="AA220" s="94"/>
      <c r="AB220" s="94"/>
      <c r="AC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353"/>
      <c r="S221" s="353"/>
      <c r="T221" s="353"/>
      <c r="U221" s="353"/>
      <c r="V221" s="94"/>
      <c r="W221" s="94"/>
      <c r="X221" s="94"/>
      <c r="Y221" s="94"/>
      <c r="Z221" s="94"/>
      <c r="AA221" s="94"/>
      <c r="AB221" s="94"/>
      <c r="AC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353"/>
      <c r="S222" s="353"/>
      <c r="T222" s="353"/>
      <c r="U222" s="353"/>
      <c r="V222" s="94"/>
      <c r="W222" s="94"/>
      <c r="X222" s="94"/>
      <c r="Y222" s="94"/>
      <c r="Z222" s="94"/>
      <c r="AA222" s="94"/>
      <c r="AB222" s="94"/>
      <c r="AC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353"/>
      <c r="S223" s="353"/>
      <c r="T223" s="353"/>
      <c r="U223" s="353"/>
      <c r="V223" s="94"/>
      <c r="W223" s="94"/>
      <c r="X223" s="94"/>
      <c r="Y223" s="94"/>
      <c r="Z223" s="94"/>
      <c r="AA223" s="94"/>
      <c r="AB223" s="94"/>
      <c r="AC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353"/>
      <c r="S224" s="353"/>
      <c r="T224" s="353"/>
      <c r="U224" s="353"/>
      <c r="V224" s="94"/>
      <c r="W224" s="94"/>
      <c r="X224" s="94"/>
      <c r="Y224" s="94"/>
      <c r="Z224" s="94"/>
      <c r="AA224" s="94"/>
      <c r="AB224" s="94"/>
      <c r="AC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353"/>
      <c r="S225" s="353"/>
      <c r="T225" s="353"/>
      <c r="U225" s="353"/>
      <c r="V225" s="94"/>
      <c r="W225" s="94"/>
      <c r="X225" s="94"/>
      <c r="Y225" s="94"/>
      <c r="Z225" s="94"/>
      <c r="AA225" s="94"/>
      <c r="AB225" s="94"/>
      <c r="AC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353"/>
      <c r="S226" s="353"/>
      <c r="T226" s="353"/>
      <c r="U226" s="353"/>
      <c r="V226" s="94"/>
      <c r="W226" s="94"/>
      <c r="X226" s="94"/>
      <c r="Y226" s="94"/>
      <c r="Z226" s="94"/>
      <c r="AA226" s="94"/>
      <c r="AB226" s="94"/>
      <c r="AC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353"/>
      <c r="S227" s="353"/>
      <c r="T227" s="353"/>
      <c r="U227" s="353"/>
      <c r="V227" s="94"/>
      <c r="W227" s="94"/>
      <c r="X227" s="94"/>
      <c r="Y227" s="94"/>
      <c r="Z227" s="94"/>
      <c r="AA227" s="94"/>
      <c r="AB227" s="94"/>
      <c r="AC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353"/>
      <c r="S228" s="353"/>
      <c r="T228" s="353"/>
      <c r="U228" s="353"/>
      <c r="V228" s="94"/>
      <c r="W228" s="94"/>
      <c r="X228" s="94"/>
      <c r="Y228" s="94"/>
      <c r="Z228" s="94"/>
      <c r="AA228" s="94"/>
      <c r="AB228" s="94"/>
      <c r="AC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353"/>
      <c r="S229" s="353"/>
      <c r="T229" s="353"/>
      <c r="U229" s="353"/>
      <c r="V229" s="94"/>
      <c r="W229" s="94"/>
      <c r="X229" s="94"/>
      <c r="Y229" s="94"/>
      <c r="Z229" s="94"/>
      <c r="AA229" s="94"/>
      <c r="AB229" s="94"/>
      <c r="AC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353"/>
      <c r="S230" s="353"/>
      <c r="T230" s="353"/>
      <c r="U230" s="353"/>
      <c r="V230" s="94"/>
      <c r="W230" s="94"/>
      <c r="X230" s="94"/>
      <c r="Y230" s="94"/>
      <c r="Z230" s="94"/>
      <c r="AA230" s="94"/>
      <c r="AB230" s="94"/>
      <c r="AC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353"/>
      <c r="S231" s="353"/>
      <c r="T231" s="353"/>
      <c r="U231" s="353"/>
      <c r="V231" s="94"/>
      <c r="W231" s="94"/>
      <c r="X231" s="94"/>
      <c r="Y231" s="94"/>
      <c r="Z231" s="94"/>
      <c r="AA231" s="94"/>
      <c r="AB231" s="94"/>
      <c r="AC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353"/>
      <c r="S232" s="353"/>
      <c r="T232" s="353"/>
      <c r="U232" s="353"/>
      <c r="V232" s="94"/>
      <c r="W232" s="94"/>
      <c r="X232" s="94"/>
      <c r="Y232" s="94"/>
      <c r="Z232" s="94"/>
      <c r="AA232" s="94"/>
      <c r="AB232" s="94"/>
      <c r="AC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353"/>
      <c r="S233" s="353"/>
      <c r="T233" s="353"/>
      <c r="U233" s="353"/>
      <c r="V233" s="94"/>
      <c r="W233" s="94"/>
      <c r="X233" s="94"/>
      <c r="Y233" s="94"/>
      <c r="Z233" s="94"/>
      <c r="AA233" s="94"/>
      <c r="AB233" s="94"/>
      <c r="AC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353"/>
      <c r="S234" s="353"/>
      <c r="T234" s="353"/>
      <c r="U234" s="353"/>
      <c r="V234" s="94"/>
      <c r="W234" s="94"/>
      <c r="X234" s="94"/>
      <c r="Y234" s="94"/>
      <c r="Z234" s="94"/>
      <c r="AA234" s="94"/>
      <c r="AB234" s="94"/>
      <c r="AC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353"/>
      <c r="S235" s="353"/>
      <c r="T235" s="353"/>
      <c r="U235" s="353"/>
      <c r="V235" s="94"/>
      <c r="W235" s="94"/>
      <c r="X235" s="94"/>
      <c r="Y235" s="94"/>
      <c r="Z235" s="94"/>
      <c r="AA235" s="94"/>
      <c r="AB235" s="94"/>
      <c r="AC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353"/>
      <c r="S236" s="353"/>
      <c r="T236" s="353"/>
      <c r="U236" s="353"/>
      <c r="V236" s="94"/>
      <c r="W236" s="94"/>
      <c r="X236" s="94"/>
      <c r="Y236" s="94"/>
      <c r="Z236" s="94"/>
      <c r="AA236" s="94"/>
      <c r="AB236" s="94"/>
      <c r="AC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353"/>
      <c r="S237" s="353"/>
      <c r="T237" s="353"/>
      <c r="U237" s="353"/>
      <c r="V237" s="94"/>
      <c r="W237" s="94"/>
      <c r="X237" s="94"/>
      <c r="Y237" s="94"/>
      <c r="Z237" s="94"/>
      <c r="AA237" s="94"/>
      <c r="AB237" s="94"/>
      <c r="AC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353"/>
      <c r="S238" s="353"/>
      <c r="T238" s="353"/>
      <c r="U238" s="353"/>
      <c r="V238" s="94"/>
      <c r="W238" s="94"/>
      <c r="X238" s="94"/>
      <c r="Y238" s="94"/>
      <c r="Z238" s="94"/>
      <c r="AA238" s="94"/>
      <c r="AB238" s="94"/>
      <c r="AC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353"/>
      <c r="S239" s="353"/>
      <c r="T239" s="353"/>
      <c r="U239" s="353"/>
      <c r="V239" s="94"/>
      <c r="W239" s="94"/>
      <c r="X239" s="94"/>
      <c r="Y239" s="94"/>
      <c r="Z239" s="94"/>
      <c r="AA239" s="94"/>
      <c r="AB239" s="94"/>
      <c r="AC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353"/>
      <c r="S240" s="353"/>
      <c r="T240" s="353"/>
      <c r="U240" s="353"/>
      <c r="V240" s="94"/>
      <c r="W240" s="94"/>
      <c r="X240" s="94"/>
      <c r="Y240" s="94"/>
      <c r="Z240" s="94"/>
      <c r="AA240" s="94"/>
      <c r="AB240" s="94"/>
      <c r="AC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353"/>
      <c r="S241" s="353"/>
      <c r="T241" s="353"/>
      <c r="U241" s="353"/>
      <c r="V241" s="94"/>
      <c r="W241" s="94"/>
      <c r="X241" s="94"/>
      <c r="Y241" s="94"/>
      <c r="Z241" s="94"/>
      <c r="AA241" s="94"/>
      <c r="AB241" s="94"/>
      <c r="AC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353"/>
      <c r="S242" s="353"/>
      <c r="T242" s="353"/>
      <c r="U242" s="353"/>
      <c r="V242" s="94"/>
      <c r="W242" s="94"/>
      <c r="X242" s="94"/>
      <c r="Y242" s="94"/>
      <c r="Z242" s="94"/>
      <c r="AA242" s="94"/>
      <c r="AB242" s="94"/>
      <c r="AC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353"/>
      <c r="S243" s="353"/>
      <c r="T243" s="353"/>
      <c r="U243" s="353"/>
      <c r="V243" s="94"/>
      <c r="W243" s="94"/>
      <c r="X243" s="94"/>
      <c r="Y243" s="94"/>
      <c r="Z243" s="94"/>
      <c r="AA243" s="94"/>
      <c r="AB243" s="94"/>
      <c r="AC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353"/>
      <c r="S244" s="353"/>
      <c r="T244" s="353"/>
      <c r="U244" s="353"/>
      <c r="V244" s="94"/>
      <c r="W244" s="94"/>
      <c r="X244" s="94"/>
      <c r="Y244" s="94"/>
      <c r="Z244" s="94"/>
      <c r="AA244" s="94"/>
      <c r="AB244" s="94"/>
      <c r="AC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353"/>
      <c r="S245" s="353"/>
      <c r="T245" s="353"/>
      <c r="U245" s="353"/>
      <c r="V245" s="94"/>
      <c r="W245" s="94"/>
      <c r="X245" s="94"/>
      <c r="Y245" s="94"/>
      <c r="Z245" s="94"/>
      <c r="AA245" s="94"/>
      <c r="AB245" s="94"/>
      <c r="AC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353"/>
      <c r="S246" s="353"/>
      <c r="T246" s="353"/>
      <c r="U246" s="353"/>
      <c r="V246" s="94"/>
      <c r="W246" s="94"/>
      <c r="X246" s="94"/>
      <c r="Y246" s="94"/>
      <c r="Z246" s="94"/>
      <c r="AA246" s="94"/>
      <c r="AB246" s="94"/>
      <c r="AC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353"/>
      <c r="S247" s="353"/>
      <c r="T247" s="353"/>
      <c r="U247" s="353"/>
      <c r="V247" s="94"/>
      <c r="W247" s="94"/>
      <c r="X247" s="94"/>
      <c r="Y247" s="94"/>
      <c r="Z247" s="94"/>
      <c r="AA247" s="94"/>
      <c r="AB247" s="94"/>
      <c r="AC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353"/>
      <c r="S248" s="353"/>
      <c r="T248" s="353"/>
      <c r="U248" s="353"/>
      <c r="V248" s="94"/>
      <c r="W248" s="94"/>
      <c r="X248" s="94"/>
      <c r="Y248" s="94"/>
      <c r="Z248" s="94"/>
      <c r="AA248" s="94"/>
      <c r="AB248" s="94"/>
      <c r="AC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353"/>
      <c r="S249" s="353"/>
      <c r="T249" s="353"/>
      <c r="U249" s="353"/>
      <c r="V249" s="94"/>
      <c r="W249" s="94"/>
      <c r="X249" s="94"/>
      <c r="Y249" s="94"/>
      <c r="Z249" s="94"/>
      <c r="AA249" s="94"/>
      <c r="AB249" s="94"/>
      <c r="AC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353"/>
      <c r="S250" s="353"/>
      <c r="T250" s="353"/>
      <c r="U250" s="353"/>
      <c r="V250" s="94"/>
      <c r="W250" s="94"/>
      <c r="X250" s="94"/>
      <c r="Y250" s="94"/>
      <c r="Z250" s="94"/>
      <c r="AA250" s="94"/>
      <c r="AB250" s="94"/>
      <c r="AC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353"/>
      <c r="S251" s="353"/>
      <c r="T251" s="353"/>
      <c r="U251" s="353"/>
      <c r="V251" s="94"/>
      <c r="W251" s="94"/>
      <c r="X251" s="94"/>
      <c r="Y251" s="94"/>
      <c r="Z251" s="94"/>
      <c r="AA251" s="94"/>
      <c r="AB251" s="94"/>
      <c r="AC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353"/>
      <c r="S252" s="353"/>
      <c r="T252" s="353"/>
      <c r="U252" s="353"/>
      <c r="V252" s="94"/>
      <c r="W252" s="94"/>
      <c r="X252" s="94"/>
      <c r="Y252" s="94"/>
      <c r="Z252" s="94"/>
      <c r="AA252" s="94"/>
      <c r="AB252" s="94"/>
      <c r="AC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353"/>
      <c r="S253" s="353"/>
      <c r="T253" s="353"/>
      <c r="U253" s="353"/>
      <c r="V253" s="94"/>
      <c r="W253" s="94"/>
      <c r="X253" s="94"/>
      <c r="Y253" s="94"/>
      <c r="Z253" s="94"/>
      <c r="AA253" s="94"/>
      <c r="AB253" s="94"/>
      <c r="AC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353"/>
      <c r="S254" s="353"/>
      <c r="T254" s="353"/>
      <c r="U254" s="353"/>
      <c r="V254" s="94"/>
      <c r="W254" s="94"/>
      <c r="X254" s="94"/>
      <c r="Y254" s="94"/>
      <c r="Z254" s="94"/>
      <c r="AA254" s="94"/>
      <c r="AB254" s="94"/>
      <c r="AC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353"/>
      <c r="S255" s="353"/>
      <c r="T255" s="353"/>
      <c r="U255" s="353"/>
      <c r="V255" s="94"/>
      <c r="W255" s="94"/>
      <c r="X255" s="94"/>
      <c r="Y255" s="94"/>
      <c r="Z255" s="94"/>
      <c r="AA255" s="94"/>
      <c r="AB255" s="94"/>
      <c r="AC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353"/>
      <c r="S256" s="353"/>
      <c r="T256" s="353"/>
      <c r="U256" s="353"/>
      <c r="V256" s="94"/>
      <c r="W256" s="94"/>
      <c r="X256" s="94"/>
      <c r="Y256" s="94"/>
      <c r="Z256" s="94"/>
      <c r="AA256" s="94"/>
      <c r="AB256" s="94"/>
      <c r="AC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353"/>
      <c r="S257" s="353"/>
      <c r="T257" s="353"/>
      <c r="U257" s="353"/>
      <c r="V257" s="94"/>
      <c r="W257" s="94"/>
      <c r="X257" s="94"/>
      <c r="Y257" s="94"/>
      <c r="Z257" s="94"/>
      <c r="AA257" s="94"/>
      <c r="AB257" s="94"/>
      <c r="AC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353"/>
      <c r="S258" s="353"/>
      <c r="T258" s="353"/>
      <c r="U258" s="353"/>
      <c r="V258" s="94"/>
      <c r="W258" s="94"/>
      <c r="X258" s="94"/>
      <c r="Y258" s="94"/>
      <c r="Z258" s="94"/>
      <c r="AA258" s="94"/>
      <c r="AB258" s="94"/>
      <c r="AC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353"/>
      <c r="S259" s="353"/>
      <c r="T259" s="353"/>
      <c r="U259" s="353"/>
      <c r="V259" s="94"/>
      <c r="W259" s="94"/>
      <c r="X259" s="94"/>
      <c r="Y259" s="94"/>
      <c r="Z259" s="94"/>
      <c r="AA259" s="94"/>
      <c r="AB259" s="94"/>
      <c r="AC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353"/>
      <c r="S260" s="353"/>
      <c r="T260" s="353"/>
      <c r="U260" s="353"/>
      <c r="V260" s="94"/>
      <c r="W260" s="94"/>
      <c r="X260" s="94"/>
      <c r="Y260" s="94"/>
      <c r="Z260" s="94"/>
      <c r="AA260" s="94"/>
      <c r="AB260" s="94"/>
      <c r="AC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353"/>
      <c r="S261" s="353"/>
      <c r="T261" s="353"/>
      <c r="U261" s="353"/>
      <c r="V261" s="94"/>
      <c r="W261" s="94"/>
      <c r="X261" s="94"/>
      <c r="Y261" s="94"/>
      <c r="Z261" s="94"/>
      <c r="AA261" s="94"/>
      <c r="AB261" s="94"/>
      <c r="AC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353"/>
      <c r="S262" s="353"/>
      <c r="T262" s="353"/>
      <c r="U262" s="353"/>
      <c r="V262" s="94"/>
      <c r="W262" s="94"/>
      <c r="X262" s="94"/>
      <c r="Y262" s="94"/>
      <c r="Z262" s="94"/>
      <c r="AA262" s="94"/>
      <c r="AB262" s="94"/>
      <c r="AC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353"/>
      <c r="S263" s="353"/>
      <c r="T263" s="353"/>
      <c r="U263" s="353"/>
      <c r="V263" s="94"/>
      <c r="W263" s="94"/>
      <c r="X263" s="94"/>
      <c r="Y263" s="94"/>
      <c r="Z263" s="94"/>
      <c r="AA263" s="94"/>
      <c r="AB263" s="94"/>
      <c r="AC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353"/>
      <c r="S264" s="353"/>
      <c r="T264" s="353"/>
      <c r="U264" s="353"/>
      <c r="V264" s="94"/>
      <c r="W264" s="94"/>
      <c r="X264" s="94"/>
      <c r="Y264" s="94"/>
      <c r="Z264" s="94"/>
      <c r="AA264" s="94"/>
      <c r="AB264" s="94"/>
      <c r="AC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353"/>
      <c r="S265" s="353"/>
      <c r="T265" s="353"/>
      <c r="U265" s="353"/>
      <c r="V265" s="94"/>
      <c r="W265" s="94"/>
      <c r="X265" s="94"/>
      <c r="Y265" s="94"/>
      <c r="Z265" s="94"/>
      <c r="AA265" s="94"/>
      <c r="AB265" s="94"/>
      <c r="AC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353"/>
      <c r="S266" s="353"/>
      <c r="T266" s="353"/>
      <c r="U266" s="353"/>
      <c r="V266" s="94"/>
      <c r="W266" s="94"/>
      <c r="X266" s="94"/>
      <c r="Y266" s="94"/>
      <c r="Z266" s="94"/>
      <c r="AA266" s="94"/>
      <c r="AB266" s="94"/>
      <c r="AC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353"/>
      <c r="S267" s="353"/>
      <c r="T267" s="353"/>
      <c r="U267" s="353"/>
      <c r="V267" s="94"/>
      <c r="W267" s="94"/>
      <c r="X267" s="94"/>
      <c r="Y267" s="94"/>
      <c r="Z267" s="94"/>
      <c r="AA267" s="94"/>
      <c r="AB267" s="94"/>
      <c r="AC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353"/>
      <c r="S268" s="353"/>
      <c r="T268" s="353"/>
      <c r="U268" s="353"/>
      <c r="V268" s="94"/>
      <c r="W268" s="94"/>
      <c r="X268" s="94"/>
      <c r="Y268" s="94"/>
      <c r="Z268" s="94"/>
      <c r="AA268" s="94"/>
      <c r="AB268" s="94"/>
      <c r="AC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353"/>
      <c r="S269" s="353"/>
      <c r="T269" s="353"/>
      <c r="U269" s="353"/>
      <c r="V269" s="94"/>
      <c r="W269" s="94"/>
      <c r="X269" s="94"/>
      <c r="Y269" s="94"/>
      <c r="Z269" s="94"/>
      <c r="AA269" s="94"/>
      <c r="AB269" s="94"/>
      <c r="AC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353"/>
      <c r="S270" s="353"/>
      <c r="T270" s="353"/>
      <c r="U270" s="353"/>
      <c r="V270" s="94"/>
      <c r="W270" s="94"/>
      <c r="X270" s="94"/>
      <c r="Y270" s="94"/>
      <c r="Z270" s="94"/>
      <c r="AA270" s="94"/>
      <c r="AB270" s="94"/>
      <c r="AC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353"/>
      <c r="S271" s="353"/>
      <c r="T271" s="353"/>
      <c r="U271" s="353"/>
      <c r="V271" s="94"/>
      <c r="W271" s="94"/>
      <c r="X271" s="94"/>
      <c r="Y271" s="94"/>
      <c r="Z271" s="94"/>
      <c r="AA271" s="94"/>
      <c r="AB271" s="94"/>
      <c r="AC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353"/>
      <c r="S272" s="353"/>
      <c r="T272" s="353"/>
      <c r="U272" s="353"/>
      <c r="V272" s="94"/>
      <c r="W272" s="94"/>
      <c r="X272" s="94"/>
      <c r="Y272" s="94"/>
      <c r="Z272" s="94"/>
      <c r="AA272" s="94"/>
      <c r="AB272" s="94"/>
      <c r="AC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353"/>
      <c r="S273" s="353"/>
      <c r="T273" s="353"/>
      <c r="U273" s="353"/>
      <c r="V273" s="94"/>
      <c r="W273" s="94"/>
      <c r="X273" s="94"/>
      <c r="Y273" s="94"/>
      <c r="Z273" s="94"/>
      <c r="AA273" s="94"/>
      <c r="AB273" s="94"/>
      <c r="AC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353"/>
      <c r="S274" s="353"/>
      <c r="T274" s="353"/>
      <c r="U274" s="353"/>
      <c r="V274" s="94"/>
      <c r="W274" s="94"/>
      <c r="X274" s="94"/>
      <c r="Y274" s="94"/>
      <c r="Z274" s="94"/>
      <c r="AA274" s="94"/>
      <c r="AB274" s="94"/>
      <c r="AC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353"/>
      <c r="S275" s="353"/>
      <c r="T275" s="353"/>
      <c r="U275" s="353"/>
      <c r="V275" s="94"/>
      <c r="W275" s="94"/>
      <c r="X275" s="94"/>
      <c r="Y275" s="94"/>
      <c r="Z275" s="94"/>
      <c r="AA275" s="94"/>
      <c r="AB275" s="94"/>
      <c r="AC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353"/>
      <c r="S276" s="353"/>
      <c r="T276" s="353"/>
      <c r="U276" s="353"/>
      <c r="V276" s="94"/>
      <c r="W276" s="94"/>
      <c r="X276" s="94"/>
      <c r="Y276" s="94"/>
      <c r="Z276" s="94"/>
      <c r="AA276" s="94"/>
      <c r="AB276" s="94"/>
      <c r="AC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353"/>
      <c r="S277" s="353"/>
      <c r="T277" s="353"/>
      <c r="U277" s="353"/>
      <c r="V277" s="94"/>
      <c r="W277" s="94"/>
      <c r="X277" s="94"/>
      <c r="Y277" s="94"/>
      <c r="Z277" s="94"/>
      <c r="AA277" s="94"/>
      <c r="AB277" s="94"/>
      <c r="AC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353"/>
      <c r="S278" s="353"/>
      <c r="T278" s="353"/>
      <c r="U278" s="353"/>
      <c r="V278" s="94"/>
      <c r="W278" s="94"/>
      <c r="X278" s="94"/>
      <c r="Y278" s="94"/>
      <c r="Z278" s="94"/>
      <c r="AA278" s="94"/>
      <c r="AB278" s="94"/>
      <c r="AC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353"/>
      <c r="S279" s="353"/>
      <c r="T279" s="353"/>
      <c r="U279" s="353"/>
      <c r="V279" s="94"/>
      <c r="W279" s="94"/>
      <c r="X279" s="94"/>
      <c r="Y279" s="94"/>
      <c r="Z279" s="94"/>
      <c r="AA279" s="94"/>
      <c r="AB279" s="94"/>
      <c r="AC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353"/>
      <c r="S280" s="353"/>
      <c r="T280" s="353"/>
      <c r="U280" s="353"/>
      <c r="V280" s="94"/>
      <c r="W280" s="94"/>
      <c r="X280" s="94"/>
      <c r="Y280" s="94"/>
      <c r="Z280" s="94"/>
      <c r="AA280" s="94"/>
      <c r="AB280" s="94"/>
      <c r="AC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353"/>
      <c r="S281" s="353"/>
      <c r="T281" s="353"/>
      <c r="U281" s="353"/>
      <c r="V281" s="94"/>
      <c r="W281" s="94"/>
      <c r="X281" s="94"/>
      <c r="Y281" s="94"/>
      <c r="Z281" s="94"/>
      <c r="AA281" s="94"/>
      <c r="AB281" s="94"/>
      <c r="AC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353"/>
      <c r="S282" s="353"/>
      <c r="T282" s="353"/>
      <c r="U282" s="353"/>
      <c r="V282" s="94"/>
      <c r="W282" s="94"/>
      <c r="X282" s="94"/>
      <c r="Y282" s="94"/>
      <c r="Z282" s="94"/>
      <c r="AA282" s="94"/>
      <c r="AB282" s="94"/>
      <c r="AC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353"/>
      <c r="S283" s="353"/>
      <c r="T283" s="353"/>
      <c r="U283" s="353"/>
      <c r="V283" s="94"/>
      <c r="W283" s="94"/>
      <c r="X283" s="94"/>
      <c r="Y283" s="94"/>
      <c r="Z283" s="94"/>
      <c r="AA283" s="94"/>
      <c r="AB283" s="94"/>
      <c r="AC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353"/>
      <c r="S284" s="353"/>
      <c r="T284" s="353"/>
      <c r="U284" s="353"/>
      <c r="V284" s="94"/>
      <c r="W284" s="94"/>
      <c r="X284" s="94"/>
      <c r="Y284" s="94"/>
      <c r="Z284" s="94"/>
      <c r="AA284" s="94"/>
      <c r="AB284" s="94"/>
      <c r="AC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353"/>
      <c r="S285" s="353"/>
      <c r="T285" s="353"/>
      <c r="U285" s="353"/>
      <c r="V285" s="94"/>
      <c r="W285" s="94"/>
      <c r="X285" s="94"/>
      <c r="Y285" s="94"/>
      <c r="Z285" s="94"/>
      <c r="AA285" s="94"/>
      <c r="AB285" s="94"/>
      <c r="AC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353"/>
      <c r="S286" s="353"/>
      <c r="T286" s="353"/>
      <c r="U286" s="353"/>
      <c r="V286" s="94"/>
      <c r="W286" s="94"/>
      <c r="X286" s="94"/>
      <c r="Y286" s="94"/>
      <c r="Z286" s="94"/>
      <c r="AA286" s="94"/>
      <c r="AB286" s="94"/>
      <c r="AC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353"/>
      <c r="S287" s="353"/>
      <c r="T287" s="353"/>
      <c r="U287" s="353"/>
      <c r="V287" s="94"/>
      <c r="W287" s="94"/>
      <c r="X287" s="94"/>
      <c r="Y287" s="94"/>
      <c r="Z287" s="94"/>
      <c r="AA287" s="94"/>
      <c r="AB287" s="94"/>
      <c r="AC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353"/>
      <c r="S288" s="353"/>
      <c r="T288" s="353"/>
      <c r="U288" s="353"/>
      <c r="V288" s="94"/>
      <c r="W288" s="94"/>
      <c r="X288" s="94"/>
      <c r="Y288" s="94"/>
      <c r="Z288" s="94"/>
      <c r="AA288" s="94"/>
      <c r="AB288" s="94"/>
      <c r="AC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353"/>
      <c r="S289" s="353"/>
      <c r="T289" s="353"/>
      <c r="U289" s="353"/>
      <c r="V289" s="94"/>
      <c r="W289" s="94"/>
      <c r="X289" s="94"/>
      <c r="Y289" s="94"/>
      <c r="Z289" s="94"/>
      <c r="AA289" s="94"/>
      <c r="AB289" s="94"/>
      <c r="AC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353"/>
      <c r="S290" s="353"/>
      <c r="T290" s="353"/>
      <c r="U290" s="353"/>
      <c r="V290" s="94"/>
      <c r="W290" s="94"/>
      <c r="X290" s="94"/>
      <c r="Y290" s="94"/>
      <c r="Z290" s="94"/>
      <c r="AA290" s="94"/>
      <c r="AB290" s="94"/>
      <c r="AC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353"/>
      <c r="S291" s="353"/>
      <c r="T291" s="353"/>
      <c r="U291" s="353"/>
      <c r="V291" s="94"/>
      <c r="W291" s="94"/>
      <c r="X291" s="94"/>
      <c r="Y291" s="94"/>
      <c r="Z291" s="94"/>
      <c r="AA291" s="94"/>
      <c r="AB291" s="94"/>
      <c r="AC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353"/>
      <c r="S292" s="353"/>
      <c r="T292" s="353"/>
      <c r="U292" s="353"/>
      <c r="V292" s="94"/>
      <c r="W292" s="94"/>
      <c r="X292" s="94"/>
      <c r="Y292" s="94"/>
      <c r="Z292" s="94"/>
      <c r="AA292" s="94"/>
      <c r="AB292" s="94"/>
      <c r="AC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353"/>
      <c r="S293" s="353"/>
      <c r="T293" s="353"/>
      <c r="U293" s="353"/>
      <c r="V293" s="94"/>
      <c r="W293" s="94"/>
      <c r="X293" s="94"/>
      <c r="Y293" s="94"/>
      <c r="Z293" s="94"/>
      <c r="AA293" s="94"/>
      <c r="AB293" s="94"/>
      <c r="AC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353"/>
      <c r="S294" s="353"/>
      <c r="T294" s="353"/>
      <c r="U294" s="353"/>
      <c r="V294" s="94"/>
      <c r="W294" s="94"/>
      <c r="X294" s="94"/>
      <c r="Y294" s="94"/>
      <c r="Z294" s="94"/>
      <c r="AA294" s="94"/>
      <c r="AB294" s="94"/>
      <c r="AC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353"/>
      <c r="S295" s="353"/>
      <c r="T295" s="353"/>
      <c r="U295" s="353"/>
      <c r="V295" s="94"/>
      <c r="W295" s="94"/>
      <c r="X295" s="94"/>
      <c r="Y295" s="94"/>
      <c r="Z295" s="94"/>
      <c r="AA295" s="94"/>
      <c r="AB295" s="94"/>
      <c r="AC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353"/>
      <c r="S296" s="353"/>
      <c r="T296" s="353"/>
      <c r="U296" s="353"/>
      <c r="V296" s="94"/>
      <c r="W296" s="94"/>
      <c r="X296" s="94"/>
      <c r="Y296" s="94"/>
      <c r="Z296" s="94"/>
      <c r="AA296" s="94"/>
      <c r="AB296" s="94"/>
      <c r="AC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353"/>
      <c r="S297" s="353"/>
      <c r="T297" s="353"/>
      <c r="U297" s="353"/>
      <c r="V297" s="94"/>
      <c r="W297" s="94"/>
      <c r="X297" s="94"/>
      <c r="Y297" s="94"/>
      <c r="Z297" s="94"/>
      <c r="AA297" s="94"/>
      <c r="AB297" s="94"/>
      <c r="AC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353"/>
      <c r="S298" s="353"/>
      <c r="T298" s="353"/>
      <c r="U298" s="353"/>
      <c r="V298" s="94"/>
      <c r="W298" s="94"/>
      <c r="X298" s="94"/>
      <c r="Y298" s="94"/>
      <c r="Z298" s="94"/>
      <c r="AA298" s="94"/>
      <c r="AB298" s="94"/>
      <c r="AC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353"/>
      <c r="S299" s="353"/>
      <c r="T299" s="353"/>
      <c r="U299" s="353"/>
      <c r="V299" s="94"/>
      <c r="W299" s="94"/>
      <c r="X299" s="94"/>
      <c r="Y299" s="94"/>
      <c r="Z299" s="94"/>
      <c r="AA299" s="94"/>
      <c r="AB299" s="94"/>
      <c r="AC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353"/>
      <c r="S300" s="353"/>
      <c r="T300" s="353"/>
      <c r="U300" s="353"/>
      <c r="V300" s="94"/>
      <c r="W300" s="94"/>
      <c r="X300" s="94"/>
      <c r="Y300" s="94"/>
      <c r="Z300" s="94"/>
      <c r="AA300" s="94"/>
      <c r="AB300" s="94"/>
      <c r="AC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353"/>
      <c r="S301" s="353"/>
      <c r="T301" s="353"/>
      <c r="U301" s="353"/>
      <c r="V301" s="94"/>
      <c r="W301" s="94"/>
      <c r="X301" s="94"/>
      <c r="Y301" s="94"/>
      <c r="Z301" s="94"/>
      <c r="AA301" s="94"/>
      <c r="AB301" s="94"/>
      <c r="AC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353"/>
      <c r="S302" s="353"/>
      <c r="T302" s="353"/>
      <c r="U302" s="353"/>
      <c r="V302" s="94"/>
      <c r="W302" s="94"/>
      <c r="X302" s="94"/>
      <c r="Y302" s="94"/>
      <c r="Z302" s="94"/>
      <c r="AA302" s="94"/>
      <c r="AB302" s="94"/>
      <c r="AC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353"/>
      <c r="S303" s="353"/>
      <c r="T303" s="353"/>
      <c r="U303" s="353"/>
      <c r="V303" s="94"/>
      <c r="W303" s="94"/>
      <c r="X303" s="94"/>
      <c r="Y303" s="94"/>
      <c r="Z303" s="94"/>
      <c r="AA303" s="94"/>
      <c r="AB303" s="94"/>
      <c r="AC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353"/>
      <c r="S304" s="353"/>
      <c r="T304" s="353"/>
      <c r="U304" s="353"/>
      <c r="V304" s="94"/>
      <c r="W304" s="94"/>
      <c r="X304" s="94"/>
      <c r="Y304" s="94"/>
      <c r="Z304" s="94"/>
      <c r="AA304" s="94"/>
      <c r="AB304" s="94"/>
      <c r="AC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353"/>
      <c r="S305" s="353"/>
      <c r="T305" s="353"/>
      <c r="U305" s="353"/>
      <c r="V305" s="94"/>
      <c r="W305" s="94"/>
      <c r="X305" s="94"/>
      <c r="Y305" s="94"/>
      <c r="Z305" s="94"/>
      <c r="AA305" s="94"/>
      <c r="AB305" s="94"/>
      <c r="AC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353"/>
      <c r="S306" s="353"/>
      <c r="T306" s="353"/>
      <c r="U306" s="353"/>
      <c r="V306" s="94"/>
      <c r="W306" s="94"/>
      <c r="X306" s="94"/>
      <c r="Y306" s="94"/>
      <c r="Z306" s="94"/>
      <c r="AA306" s="94"/>
      <c r="AB306" s="94"/>
      <c r="AC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353"/>
      <c r="S307" s="353"/>
      <c r="T307" s="353"/>
      <c r="U307" s="353"/>
      <c r="V307" s="94"/>
      <c r="W307" s="94"/>
      <c r="X307" s="94"/>
      <c r="Y307" s="94"/>
      <c r="Z307" s="94"/>
      <c r="AA307" s="94"/>
      <c r="AB307" s="94"/>
      <c r="AC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353"/>
      <c r="S308" s="353"/>
      <c r="T308" s="353"/>
      <c r="U308" s="353"/>
      <c r="V308" s="94"/>
      <c r="W308" s="94"/>
      <c r="X308" s="94"/>
      <c r="Y308" s="94"/>
      <c r="Z308" s="94"/>
      <c r="AA308" s="94"/>
      <c r="AB308" s="94"/>
      <c r="AC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353"/>
      <c r="S309" s="353"/>
      <c r="T309" s="353"/>
      <c r="U309" s="353"/>
      <c r="V309" s="94"/>
      <c r="W309" s="94"/>
      <c r="X309" s="94"/>
      <c r="Y309" s="94"/>
      <c r="Z309" s="94"/>
      <c r="AA309" s="94"/>
      <c r="AB309" s="94"/>
      <c r="AC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353"/>
      <c r="S310" s="353"/>
      <c r="T310" s="353"/>
      <c r="U310" s="353"/>
      <c r="V310" s="94"/>
      <c r="W310" s="94"/>
      <c r="X310" s="94"/>
      <c r="Y310" s="94"/>
      <c r="Z310" s="94"/>
      <c r="AA310" s="94"/>
      <c r="AB310" s="94"/>
      <c r="AC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353"/>
      <c r="S311" s="353"/>
      <c r="T311" s="353"/>
      <c r="U311" s="353"/>
      <c r="V311" s="94"/>
      <c r="W311" s="94"/>
      <c r="X311" s="94"/>
      <c r="Y311" s="94"/>
      <c r="Z311" s="94"/>
      <c r="AA311" s="94"/>
      <c r="AB311" s="94"/>
      <c r="AC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353"/>
      <c r="S312" s="353"/>
      <c r="T312" s="353"/>
      <c r="U312" s="353"/>
      <c r="V312" s="94"/>
      <c r="W312" s="94"/>
      <c r="X312" s="94"/>
      <c r="Y312" s="94"/>
      <c r="Z312" s="94"/>
      <c r="AA312" s="94"/>
      <c r="AB312" s="94"/>
      <c r="AC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353"/>
      <c r="S313" s="353"/>
      <c r="T313" s="353"/>
      <c r="U313" s="353"/>
      <c r="V313" s="94"/>
      <c r="W313" s="94"/>
      <c r="X313" s="94"/>
      <c r="Y313" s="94"/>
      <c r="Z313" s="94"/>
      <c r="AA313" s="94"/>
      <c r="AB313" s="94"/>
      <c r="AC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353"/>
      <c r="S314" s="353"/>
      <c r="T314" s="353"/>
      <c r="U314" s="353"/>
      <c r="V314" s="94"/>
      <c r="W314" s="94"/>
      <c r="X314" s="94"/>
      <c r="Y314" s="94"/>
      <c r="Z314" s="94"/>
      <c r="AA314" s="94"/>
      <c r="AB314" s="94"/>
      <c r="AC314" s="9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mergeCells count="105">
    <mergeCell ref="F20:G20"/>
    <mergeCell ref="S20:T21"/>
    <mergeCell ref="F21:G21"/>
    <mergeCell ref="S23:T24"/>
    <mergeCell ref="S27:T28"/>
    <mergeCell ref="K29:O29"/>
    <mergeCell ref="K30:O30"/>
    <mergeCell ref="K34:O34"/>
    <mergeCell ref="K35:O35"/>
    <mergeCell ref="K36:O36"/>
    <mergeCell ref="K39:O39"/>
    <mergeCell ref="K40:O40"/>
    <mergeCell ref="K41:O41"/>
    <mergeCell ref="K31:O31"/>
    <mergeCell ref="K44:O44"/>
    <mergeCell ref="K45:O45"/>
    <mergeCell ref="K46:O46"/>
    <mergeCell ref="K49:O49"/>
    <mergeCell ref="K50:O50"/>
    <mergeCell ref="K51:O51"/>
    <mergeCell ref="K54:O54"/>
    <mergeCell ref="K55:O55"/>
    <mergeCell ref="K56:O56"/>
    <mergeCell ref="K59:O59"/>
    <mergeCell ref="K60:O60"/>
    <mergeCell ref="K61:O61"/>
    <mergeCell ref="K64:O64"/>
    <mergeCell ref="K65:O65"/>
    <mergeCell ref="K66:O66"/>
    <mergeCell ref="K69:O69"/>
    <mergeCell ref="K70:O70"/>
    <mergeCell ref="K71:O71"/>
    <mergeCell ref="K74:O74"/>
    <mergeCell ref="K75:O75"/>
    <mergeCell ref="K76:O76"/>
    <mergeCell ref="K79:O79"/>
    <mergeCell ref="K80:O80"/>
    <mergeCell ref="K81:O81"/>
    <mergeCell ref="K84:O84"/>
    <mergeCell ref="K85:O85"/>
    <mergeCell ref="K86:O86"/>
    <mergeCell ref="K89:O89"/>
    <mergeCell ref="D107:E107"/>
    <mergeCell ref="D108:E108"/>
    <mergeCell ref="G108:I108"/>
    <mergeCell ref="J108:K108"/>
    <mergeCell ref="G125:I125"/>
    <mergeCell ref="J125:K125"/>
    <mergeCell ref="D123:E123"/>
    <mergeCell ref="G123:I123"/>
    <mergeCell ref="J123:K123"/>
    <mergeCell ref="D124:E124"/>
    <mergeCell ref="G124:I124"/>
    <mergeCell ref="J124:K124"/>
    <mergeCell ref="D125:E125"/>
    <mergeCell ref="G133:I133"/>
    <mergeCell ref="J133:K133"/>
    <mergeCell ref="D134:E134"/>
    <mergeCell ref="G134:I134"/>
    <mergeCell ref="J134:K134"/>
    <mergeCell ref="D135:E135"/>
    <mergeCell ref="G135:I135"/>
    <mergeCell ref="J135:K135"/>
    <mergeCell ref="D131:E131"/>
    <mergeCell ref="G131:I131"/>
    <mergeCell ref="J131:K131"/>
    <mergeCell ref="D132:E132"/>
    <mergeCell ref="G132:I132"/>
    <mergeCell ref="J132:K132"/>
    <mergeCell ref="D133:E133"/>
    <mergeCell ref="K90:O90"/>
    <mergeCell ref="K91:O91"/>
    <mergeCell ref="F95:G96"/>
    <mergeCell ref="D104:E104"/>
    <mergeCell ref="G104:I104"/>
    <mergeCell ref="J104:K104"/>
    <mergeCell ref="D105:E105"/>
    <mergeCell ref="G105:I105"/>
    <mergeCell ref="J105:K105"/>
    <mergeCell ref="D106:E106"/>
    <mergeCell ref="G106:I106"/>
    <mergeCell ref="J106:K106"/>
    <mergeCell ref="G107:I107"/>
    <mergeCell ref="J107:K107"/>
    <mergeCell ref="G115:I115"/>
    <mergeCell ref="J115:K115"/>
    <mergeCell ref="D113:E113"/>
    <mergeCell ref="G113:I113"/>
    <mergeCell ref="J113:K113"/>
    <mergeCell ref="D114:E114"/>
    <mergeCell ref="G114:I114"/>
    <mergeCell ref="J114:K114"/>
    <mergeCell ref="D115:E115"/>
    <mergeCell ref="G122:I122"/>
    <mergeCell ref="J122:K122"/>
    <mergeCell ref="D116:E116"/>
    <mergeCell ref="G116:I116"/>
    <mergeCell ref="J116:K116"/>
    <mergeCell ref="D117:E117"/>
    <mergeCell ref="G117:I117"/>
    <mergeCell ref="J117:K117"/>
    <mergeCell ref="D122:E122"/>
    <mergeCell ref="D126:E126"/>
    <mergeCell ref="G126:I126"/>
    <mergeCell ref="J126:K126"/>
  </mergeCells>
  <hyperlinks>
    <hyperlink r:id="rId1" ref="D8"/>
    <hyperlink r:id="rId2" ref="D9"/>
    <hyperlink r:id="rId3" ref="D10"/>
    <hyperlink r:id="rId4" ref="D11"/>
    <hyperlink r:id="rId5" ref="D12"/>
    <hyperlink r:id="rId6" ref="D13"/>
    <hyperlink r:id="rId7" ref="D14"/>
    <hyperlink r:id="rId8" location="/landing" ref="D15"/>
  </hyperlinks>
  <printOptions/>
  <pageMargins bottom="0.75" footer="0.0" header="0.0" left="0.7" right="0.7" top="0.75"/>
  <pageSetup orientation="landscape"/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9.5"/>
    <col customWidth="1" min="3" max="3" width="15.13"/>
    <col customWidth="1" min="4" max="4" width="20.75"/>
    <col customWidth="1" min="5" max="5" width="11.5"/>
    <col customWidth="1" min="6" max="6" width="23.38"/>
    <col customWidth="1" min="7" max="7" width="18.38"/>
    <col customWidth="1" min="8" max="8" width="22.25"/>
    <col customWidth="1" min="9" max="9" width="15.75"/>
    <col customWidth="1" min="10" max="10" width="35.38"/>
    <col customWidth="1" min="11" max="11" width="7.5"/>
    <col customWidth="1" min="12" max="12" width="15.75"/>
    <col customWidth="1" min="13" max="13" width="38.75"/>
    <col customWidth="1" min="14" max="14" width="18.5"/>
    <col customWidth="1" min="15" max="15" width="71.13"/>
    <col customWidth="1" min="16" max="16" width="25.63"/>
    <col customWidth="1" min="17" max="17" width="35.13"/>
    <col customWidth="1" min="18" max="18" width="19.88"/>
    <col customWidth="1" min="19" max="19" width="31.88"/>
    <col customWidth="1" min="20" max="20" width="22.25"/>
    <col customWidth="1" min="21" max="21" width="13.5"/>
    <col customWidth="1" min="22" max="22" width="12.13"/>
    <col customWidth="1" min="23" max="32" width="8.63"/>
  </cols>
  <sheetData>
    <row r="1">
      <c r="A1" s="34"/>
      <c r="B1" s="571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572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ht="30.0" customHeight="1">
      <c r="A2" s="34"/>
      <c r="B2" s="571" t="s">
        <v>1087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91"/>
      <c r="N2" s="57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ht="14.25" customHeight="1">
      <c r="A3" s="34"/>
      <c r="B3" s="34"/>
      <c r="C3" s="574" t="s">
        <v>1088</v>
      </c>
      <c r="D3" s="575" t="s">
        <v>906</v>
      </c>
      <c r="E3" s="34"/>
      <c r="F3" s="34"/>
      <c r="G3" s="34"/>
      <c r="H3" s="34"/>
      <c r="I3" s="34"/>
      <c r="J3" s="34"/>
      <c r="K3" s="34"/>
      <c r="L3" s="576" t="s">
        <v>1089</v>
      </c>
      <c r="M3" s="34"/>
      <c r="N3" s="576" t="s">
        <v>1090</v>
      </c>
      <c r="O3" s="34"/>
      <c r="P3" s="34"/>
      <c r="Q3" s="34"/>
      <c r="R3" s="34"/>
      <c r="S3" s="34"/>
      <c r="T3" s="576" t="s">
        <v>1091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ht="26.25" customHeight="1">
      <c r="A4" s="34"/>
      <c r="B4" s="34"/>
      <c r="C4" s="574" t="s">
        <v>126</v>
      </c>
      <c r="D4" s="577">
        <f>'9. LISA - CASS Internal Rec'!E4</f>
        <v>46189</v>
      </c>
      <c r="E4" s="34"/>
      <c r="F4" s="34"/>
      <c r="G4" s="34"/>
      <c r="H4" s="34"/>
      <c r="I4" s="34"/>
      <c r="J4" s="34"/>
      <c r="K4" s="34"/>
      <c r="L4" s="45"/>
      <c r="M4" s="34"/>
      <c r="N4" s="45"/>
      <c r="O4" s="34"/>
      <c r="P4" s="34"/>
      <c r="Q4" s="34"/>
      <c r="R4" s="34"/>
      <c r="S4" s="34"/>
      <c r="T4" s="45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ht="34.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22"/>
      <c r="M5" s="34"/>
      <c r="N5" s="22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ht="14.25" customHeight="1">
      <c r="A6" s="34"/>
      <c r="B6" s="578" t="s">
        <v>1092</v>
      </c>
      <c r="C6" s="578" t="s">
        <v>1093</v>
      </c>
      <c r="D6" s="578" t="s">
        <v>1094</v>
      </c>
      <c r="E6" s="578" t="s">
        <v>1095</v>
      </c>
      <c r="F6" s="578" t="s">
        <v>1096</v>
      </c>
      <c r="G6" s="578" t="s">
        <v>1097</v>
      </c>
      <c r="H6" s="578" t="s">
        <v>1098</v>
      </c>
      <c r="I6" s="578" t="s">
        <v>1099</v>
      </c>
      <c r="J6" s="578" t="s">
        <v>1100</v>
      </c>
      <c r="K6" s="578" t="s">
        <v>1101</v>
      </c>
      <c r="L6" s="578" t="s">
        <v>1102</v>
      </c>
      <c r="M6" s="578" t="s">
        <v>1103</v>
      </c>
      <c r="N6" s="578" t="s">
        <v>1104</v>
      </c>
      <c r="O6" s="578" t="s">
        <v>1105</v>
      </c>
      <c r="P6" s="578" t="s">
        <v>1106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ht="14.25" customHeight="1">
      <c r="A7" s="579">
        <v>304.0</v>
      </c>
      <c r="B7" s="580" t="s">
        <v>1107</v>
      </c>
      <c r="C7" s="581">
        <v>46189.0</v>
      </c>
      <c r="D7" s="581">
        <v>46189.0</v>
      </c>
      <c r="E7" s="581">
        <v>46189.0</v>
      </c>
      <c r="F7" s="580" t="s">
        <v>1108</v>
      </c>
      <c r="G7" s="580" t="s">
        <v>1109</v>
      </c>
      <c r="H7" s="580" t="s">
        <v>1109</v>
      </c>
      <c r="I7" s="580" t="s">
        <v>1110</v>
      </c>
      <c r="J7" s="580" t="s">
        <v>1111</v>
      </c>
      <c r="K7" s="580" t="s">
        <v>167</v>
      </c>
      <c r="L7" s="582">
        <v>359650.68</v>
      </c>
      <c r="M7" s="582">
        <v>359650.68</v>
      </c>
      <c r="N7" s="582">
        <v>109650.68</v>
      </c>
      <c r="O7" s="580" t="s">
        <v>1112</v>
      </c>
      <c r="P7" s="583">
        <v>0.0</v>
      </c>
      <c r="Q7" s="584"/>
      <c r="R7" s="584"/>
      <c r="S7" s="584"/>
      <c r="T7" s="584"/>
      <c r="U7" s="584"/>
      <c r="V7" s="584"/>
      <c r="W7" s="584"/>
      <c r="X7" s="584"/>
      <c r="Y7" s="584"/>
      <c r="Z7" s="584"/>
      <c r="AA7" s="584"/>
      <c r="AB7" s="584"/>
      <c r="AC7" s="584"/>
      <c r="AD7" s="584"/>
      <c r="AE7" s="584"/>
      <c r="AF7" s="584"/>
    </row>
    <row r="8" ht="14.25" customHeight="1">
      <c r="A8" s="579">
        <v>305.0</v>
      </c>
      <c r="B8" s="580" t="s">
        <v>1107</v>
      </c>
      <c r="C8" s="581">
        <v>46189.0</v>
      </c>
      <c r="D8" s="581">
        <v>46189.0</v>
      </c>
      <c r="E8" s="581">
        <v>46189.0</v>
      </c>
      <c r="F8" s="580" t="s">
        <v>1108</v>
      </c>
      <c r="G8" s="580" t="s">
        <v>1113</v>
      </c>
      <c r="H8" s="580" t="s">
        <v>1113</v>
      </c>
      <c r="I8" s="580" t="s">
        <v>1110</v>
      </c>
      <c r="J8" s="580" t="s">
        <v>1114</v>
      </c>
      <c r="K8" s="580" t="s">
        <v>167</v>
      </c>
      <c r="L8" s="582">
        <v>364961.05</v>
      </c>
      <c r="M8" s="582">
        <v>364961.05</v>
      </c>
      <c r="N8" s="582">
        <v>114961.05</v>
      </c>
      <c r="O8" s="580" t="s">
        <v>1115</v>
      </c>
      <c r="P8" s="583">
        <v>0.0</v>
      </c>
      <c r="Q8" s="584"/>
      <c r="R8" s="584"/>
      <c r="S8" s="584"/>
      <c r="T8" s="584"/>
      <c r="U8" s="584"/>
      <c r="V8" s="584"/>
      <c r="W8" s="584"/>
      <c r="X8" s="584"/>
      <c r="Y8" s="584"/>
      <c r="Z8" s="584"/>
      <c r="AA8" s="584"/>
      <c r="AB8" s="584"/>
      <c r="AC8" s="584"/>
      <c r="AD8" s="584"/>
      <c r="AE8" s="584"/>
      <c r="AF8" s="584"/>
    </row>
    <row r="9" ht="14.25" customHeight="1">
      <c r="A9" s="579">
        <v>306.0</v>
      </c>
      <c r="B9" s="580" t="s">
        <v>1107</v>
      </c>
      <c r="C9" s="581">
        <v>46189.0</v>
      </c>
      <c r="D9" s="581">
        <v>46189.0</v>
      </c>
      <c r="E9" s="581">
        <v>46189.0</v>
      </c>
      <c r="F9" s="580" t="s">
        <v>1108</v>
      </c>
      <c r="G9" s="580" t="s">
        <v>1116</v>
      </c>
      <c r="H9" s="580" t="s">
        <v>1116</v>
      </c>
      <c r="I9" s="580" t="s">
        <v>1110</v>
      </c>
      <c r="J9" s="580" t="s">
        <v>1117</v>
      </c>
      <c r="K9" s="580" t="s">
        <v>167</v>
      </c>
      <c r="L9" s="582">
        <v>427014.63</v>
      </c>
      <c r="M9" s="582">
        <v>427014.63</v>
      </c>
      <c r="N9" s="585">
        <v>250000.0</v>
      </c>
      <c r="O9" s="586" t="s">
        <v>1118</v>
      </c>
      <c r="P9" s="583">
        <v>0.0</v>
      </c>
      <c r="Q9" s="584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4"/>
      <c r="AD9" s="584"/>
      <c r="AE9" s="584"/>
      <c r="AF9" s="584"/>
    </row>
    <row r="10" ht="14.25" customHeight="1">
      <c r="A10" s="579">
        <v>310.0</v>
      </c>
      <c r="B10" s="580" t="s">
        <v>1107</v>
      </c>
      <c r="C10" s="581">
        <v>46189.0</v>
      </c>
      <c r="D10" s="581">
        <v>46189.0</v>
      </c>
      <c r="E10" s="581">
        <v>46189.0</v>
      </c>
      <c r="F10" s="580" t="s">
        <v>1108</v>
      </c>
      <c r="G10" s="580" t="s">
        <v>1119</v>
      </c>
      <c r="H10" s="580" t="s">
        <v>1119</v>
      </c>
      <c r="I10" s="580" t="s">
        <v>1110</v>
      </c>
      <c r="J10" s="580" t="s">
        <v>1120</v>
      </c>
      <c r="K10" s="580" t="s">
        <v>167</v>
      </c>
      <c r="L10" s="582">
        <v>626131.93</v>
      </c>
      <c r="M10" s="582">
        <v>626131.93</v>
      </c>
      <c r="N10" s="585">
        <v>126131.93</v>
      </c>
      <c r="O10" s="580" t="s">
        <v>1121</v>
      </c>
      <c r="P10" s="583">
        <v>0.0</v>
      </c>
      <c r="Q10" s="584"/>
      <c r="R10" s="584"/>
      <c r="S10" s="584"/>
      <c r="T10" s="584"/>
      <c r="U10" s="584"/>
      <c r="V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4"/>
    </row>
    <row r="11" ht="14.25" customHeight="1">
      <c r="A11" s="579">
        <v>311.0</v>
      </c>
      <c r="B11" s="580" t="s">
        <v>1107</v>
      </c>
      <c r="C11" s="581">
        <v>46189.0</v>
      </c>
      <c r="D11" s="581">
        <v>46189.0</v>
      </c>
      <c r="E11" s="581">
        <v>46189.0</v>
      </c>
      <c r="F11" s="580" t="s">
        <v>1108</v>
      </c>
      <c r="G11" s="580" t="s">
        <v>1122</v>
      </c>
      <c r="H11" s="580" t="s">
        <v>1122</v>
      </c>
      <c r="I11" s="580" t="s">
        <v>1110</v>
      </c>
      <c r="J11" s="580" t="s">
        <v>1123</v>
      </c>
      <c r="K11" s="580" t="s">
        <v>167</v>
      </c>
      <c r="L11" s="582">
        <v>299851.57</v>
      </c>
      <c r="M11" s="582">
        <v>299851.57</v>
      </c>
      <c r="N11" s="582">
        <v>49851.57</v>
      </c>
      <c r="O11" s="580" t="s">
        <v>1124</v>
      </c>
      <c r="P11" s="583">
        <v>0.0</v>
      </c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</row>
    <row r="12" ht="14.25" customHeight="1">
      <c r="A12" s="579">
        <v>312.0</v>
      </c>
      <c r="B12" s="580" t="s">
        <v>1107</v>
      </c>
      <c r="C12" s="581">
        <v>46189.0</v>
      </c>
      <c r="D12" s="581">
        <v>46189.0</v>
      </c>
      <c r="E12" s="581">
        <v>46189.0</v>
      </c>
      <c r="F12" s="580" t="s">
        <v>1108</v>
      </c>
      <c r="G12" s="580" t="s">
        <v>1125</v>
      </c>
      <c r="H12" s="580" t="s">
        <v>1125</v>
      </c>
      <c r="I12" s="580" t="s">
        <v>1110</v>
      </c>
      <c r="J12" s="580" t="s">
        <v>1120</v>
      </c>
      <c r="K12" s="580" t="s">
        <v>167</v>
      </c>
      <c r="L12" s="582">
        <v>626131.93</v>
      </c>
      <c r="M12" s="582">
        <v>626131.93</v>
      </c>
      <c r="N12" s="582">
        <v>250000.0</v>
      </c>
      <c r="O12" s="580" t="s">
        <v>1126</v>
      </c>
      <c r="P12" s="583">
        <v>0.0</v>
      </c>
      <c r="Q12" s="584"/>
      <c r="R12" s="584"/>
      <c r="S12" s="584"/>
      <c r="T12" s="584"/>
      <c r="U12" s="584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</row>
    <row r="13" ht="14.25" customHeight="1">
      <c r="A13" s="579">
        <v>313.0</v>
      </c>
      <c r="B13" s="580" t="s">
        <v>1107</v>
      </c>
      <c r="C13" s="581">
        <v>46189.0</v>
      </c>
      <c r="D13" s="581">
        <v>46189.0</v>
      </c>
      <c r="E13" s="581">
        <v>46189.0</v>
      </c>
      <c r="F13" s="580" t="s">
        <v>1108</v>
      </c>
      <c r="G13" s="580" t="s">
        <v>1127</v>
      </c>
      <c r="H13" s="580" t="s">
        <v>1127</v>
      </c>
      <c r="I13" s="580" t="s">
        <v>1110</v>
      </c>
      <c r="J13" s="580" t="s">
        <v>1128</v>
      </c>
      <c r="K13" s="580" t="s">
        <v>167</v>
      </c>
      <c r="L13" s="582">
        <v>235139.34</v>
      </c>
      <c r="M13" s="582">
        <v>235139.34</v>
      </c>
      <c r="N13" s="582">
        <v>235139.34</v>
      </c>
      <c r="O13" s="580" t="s">
        <v>1129</v>
      </c>
      <c r="P13" s="583">
        <v>0.0</v>
      </c>
      <c r="Q13" s="584"/>
      <c r="R13" s="584"/>
      <c r="S13" s="584"/>
      <c r="T13" s="584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</row>
    <row r="14" ht="14.25" customHeight="1">
      <c r="A14" s="579">
        <v>315.0</v>
      </c>
      <c r="B14" s="580" t="s">
        <v>1107</v>
      </c>
      <c r="C14" s="581">
        <v>46189.0</v>
      </c>
      <c r="D14" s="581">
        <v>46189.0</v>
      </c>
      <c r="E14" s="581">
        <v>46189.0</v>
      </c>
      <c r="F14" s="580" t="s">
        <v>1108</v>
      </c>
      <c r="G14" s="580" t="s">
        <v>1130</v>
      </c>
      <c r="H14" s="580" t="s">
        <v>1130</v>
      </c>
      <c r="I14" s="580" t="s">
        <v>1110</v>
      </c>
      <c r="J14" s="580" t="s">
        <v>1111</v>
      </c>
      <c r="K14" s="580" t="s">
        <v>167</v>
      </c>
      <c r="L14" s="582">
        <v>359650.68</v>
      </c>
      <c r="M14" s="582">
        <v>359650.68</v>
      </c>
      <c r="N14" s="582">
        <v>250000.0</v>
      </c>
      <c r="O14" s="580" t="s">
        <v>1131</v>
      </c>
      <c r="P14" s="583">
        <v>0.0</v>
      </c>
      <c r="Q14" s="584"/>
      <c r="R14" s="584"/>
      <c r="S14" s="584"/>
      <c r="T14" s="584"/>
      <c r="U14" s="584"/>
      <c r="V14" s="584"/>
      <c r="W14" s="584"/>
      <c r="X14" s="584"/>
      <c r="Y14" s="584"/>
      <c r="Z14" s="584"/>
      <c r="AA14" s="584"/>
      <c r="AB14" s="584"/>
      <c r="AC14" s="584"/>
      <c r="AD14" s="584"/>
      <c r="AE14" s="584"/>
      <c r="AF14" s="584"/>
    </row>
    <row r="15" ht="14.25" customHeight="1">
      <c r="A15" s="579">
        <v>316.0</v>
      </c>
      <c r="B15" s="580" t="s">
        <v>1107</v>
      </c>
      <c r="C15" s="581">
        <v>46189.0</v>
      </c>
      <c r="D15" s="581">
        <v>46189.0</v>
      </c>
      <c r="E15" s="581">
        <v>46189.0</v>
      </c>
      <c r="F15" s="580" t="s">
        <v>1108</v>
      </c>
      <c r="G15" s="580" t="s">
        <v>1132</v>
      </c>
      <c r="H15" s="580" t="s">
        <v>1132</v>
      </c>
      <c r="I15" s="580" t="s">
        <v>1110</v>
      </c>
      <c r="J15" s="580" t="s">
        <v>1114</v>
      </c>
      <c r="K15" s="580" t="s">
        <v>167</v>
      </c>
      <c r="L15" s="582">
        <v>364961.05</v>
      </c>
      <c r="M15" s="582">
        <v>364961.05</v>
      </c>
      <c r="N15" s="582">
        <v>250000.0</v>
      </c>
      <c r="O15" s="580" t="s">
        <v>1133</v>
      </c>
      <c r="P15" s="583">
        <v>0.0</v>
      </c>
      <c r="Q15" s="584"/>
      <c r="R15" s="584"/>
      <c r="S15" s="584"/>
      <c r="T15" s="584"/>
      <c r="U15" s="584"/>
      <c r="V15" s="584"/>
      <c r="W15" s="584"/>
      <c r="X15" s="584"/>
      <c r="Y15" s="584"/>
      <c r="Z15" s="584"/>
      <c r="AA15" s="584"/>
      <c r="AB15" s="584"/>
      <c r="AC15" s="584"/>
      <c r="AD15" s="584"/>
      <c r="AE15" s="584"/>
      <c r="AF15" s="584"/>
    </row>
    <row r="16" ht="14.25" customHeight="1">
      <c r="A16" s="579">
        <v>317.0</v>
      </c>
      <c r="B16" s="580" t="s">
        <v>1107</v>
      </c>
      <c r="C16" s="581">
        <v>46189.0</v>
      </c>
      <c r="D16" s="581">
        <v>46189.0</v>
      </c>
      <c r="E16" s="581">
        <v>46189.0</v>
      </c>
      <c r="F16" s="580" t="s">
        <v>1108</v>
      </c>
      <c r="G16" s="580" t="s">
        <v>1134</v>
      </c>
      <c r="H16" s="580" t="s">
        <v>1134</v>
      </c>
      <c r="I16" s="580" t="s">
        <v>1110</v>
      </c>
      <c r="J16" s="580" t="s">
        <v>1120</v>
      </c>
      <c r="K16" s="580" t="s">
        <v>167</v>
      </c>
      <c r="L16" s="582">
        <v>626131.93</v>
      </c>
      <c r="M16" s="582">
        <v>626131.93</v>
      </c>
      <c r="N16" s="582">
        <v>250000.0</v>
      </c>
      <c r="O16" s="580" t="s">
        <v>1135</v>
      </c>
      <c r="P16" s="583">
        <v>0.0</v>
      </c>
      <c r="Q16" s="584"/>
      <c r="R16" s="584"/>
      <c r="S16" s="584"/>
      <c r="T16" s="584"/>
      <c r="U16" s="584"/>
      <c r="V16" s="584"/>
      <c r="W16" s="584"/>
      <c r="X16" s="584"/>
      <c r="Y16" s="584"/>
      <c r="Z16" s="584"/>
      <c r="AA16" s="584"/>
      <c r="AB16" s="584"/>
      <c r="AC16" s="584"/>
      <c r="AD16" s="584"/>
      <c r="AE16" s="584"/>
      <c r="AF16" s="584"/>
    </row>
    <row r="17" ht="14.25" customHeight="1">
      <c r="A17" s="579">
        <v>318.0</v>
      </c>
      <c r="B17" s="580" t="s">
        <v>1107</v>
      </c>
      <c r="C17" s="581">
        <v>46189.0</v>
      </c>
      <c r="D17" s="581">
        <v>46189.0</v>
      </c>
      <c r="E17" s="581">
        <v>46189.0</v>
      </c>
      <c r="F17" s="580" t="s">
        <v>1108</v>
      </c>
      <c r="G17" s="580" t="s">
        <v>1136</v>
      </c>
      <c r="H17" s="580" t="s">
        <v>1136</v>
      </c>
      <c r="I17" s="580" t="s">
        <v>1110</v>
      </c>
      <c r="J17" s="580" t="s">
        <v>1117</v>
      </c>
      <c r="K17" s="580" t="s">
        <v>167</v>
      </c>
      <c r="L17" s="582">
        <v>427014.63</v>
      </c>
      <c r="M17" s="582">
        <v>427014.63</v>
      </c>
      <c r="N17" s="585">
        <v>177014.63</v>
      </c>
      <c r="O17" s="587" t="s">
        <v>1137</v>
      </c>
      <c r="P17" s="583">
        <v>0.0</v>
      </c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</row>
    <row r="18" ht="14.25" customHeight="1">
      <c r="A18" s="579">
        <v>320.0</v>
      </c>
      <c r="B18" s="580" t="s">
        <v>1107</v>
      </c>
      <c r="C18" s="581">
        <v>46189.0</v>
      </c>
      <c r="D18" s="581">
        <v>46189.0</v>
      </c>
      <c r="E18" s="581">
        <v>46189.0</v>
      </c>
      <c r="F18" s="580" t="s">
        <v>1108</v>
      </c>
      <c r="G18" s="580" t="s">
        <v>1138</v>
      </c>
      <c r="H18" s="580" t="s">
        <v>1138</v>
      </c>
      <c r="I18" s="580" t="s">
        <v>1110</v>
      </c>
      <c r="J18" s="580" t="s">
        <v>1123</v>
      </c>
      <c r="K18" s="580" t="s">
        <v>167</v>
      </c>
      <c r="L18" s="582">
        <v>299851.57</v>
      </c>
      <c r="M18" s="582">
        <v>299851.57</v>
      </c>
      <c r="N18" s="585">
        <v>250000.0</v>
      </c>
      <c r="O18" s="580" t="s">
        <v>1139</v>
      </c>
      <c r="P18" s="583">
        <v>0.0</v>
      </c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4"/>
    </row>
    <row r="19" ht="14.25" customHeight="1">
      <c r="A19" s="579"/>
      <c r="B19" s="580"/>
      <c r="C19" s="581"/>
      <c r="D19" s="581"/>
      <c r="E19" s="581"/>
      <c r="F19" s="580"/>
      <c r="G19" s="580"/>
      <c r="H19" s="580"/>
      <c r="I19" s="580"/>
      <c r="J19" s="580"/>
      <c r="K19" s="580"/>
      <c r="L19" s="582"/>
      <c r="M19" s="582" t="s">
        <v>1140</v>
      </c>
      <c r="N19" s="585">
        <f>SUM(N7:N18)</f>
        <v>2312749.2</v>
      </c>
      <c r="O19" s="588" t="s">
        <v>1141</v>
      </c>
      <c r="P19" s="583"/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</row>
    <row r="20" ht="14.25" customHeight="1">
      <c r="A20" s="579"/>
      <c r="B20" s="580"/>
      <c r="C20" s="581"/>
      <c r="D20" s="581"/>
      <c r="E20" s="581"/>
      <c r="F20" s="580"/>
      <c r="G20" s="580"/>
      <c r="H20" s="580"/>
      <c r="I20" s="580"/>
      <c r="J20" s="580"/>
      <c r="K20" s="580"/>
      <c r="L20" s="582"/>
      <c r="M20" s="582" t="s">
        <v>1142</v>
      </c>
      <c r="N20" s="585">
        <v>2312749.1999999997</v>
      </c>
      <c r="O20" s="587"/>
      <c r="P20" s="583"/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4"/>
    </row>
    <row r="21" ht="14.25" customHeight="1">
      <c r="A21" s="579"/>
      <c r="B21" s="580"/>
      <c r="C21" s="581"/>
      <c r="D21" s="581"/>
      <c r="E21" s="581"/>
      <c r="F21" s="580"/>
      <c r="G21" s="580"/>
      <c r="H21" s="580"/>
      <c r="I21" s="580"/>
      <c r="J21" s="580"/>
      <c r="K21" s="580"/>
      <c r="L21" s="582"/>
      <c r="M21" s="582"/>
      <c r="N21" s="585"/>
      <c r="O21" s="587"/>
      <c r="P21" s="583"/>
      <c r="Q21" s="584"/>
      <c r="R21" s="584"/>
      <c r="S21" s="584"/>
      <c r="T21" s="584"/>
      <c r="U21" s="584"/>
      <c r="V21" s="584"/>
      <c r="W21" s="584"/>
      <c r="X21" s="584"/>
      <c r="Y21" s="584"/>
      <c r="Z21" s="584"/>
      <c r="AA21" s="584"/>
      <c r="AB21" s="584"/>
      <c r="AC21" s="584"/>
      <c r="AD21" s="584"/>
      <c r="AE21" s="584"/>
      <c r="AF21" s="584"/>
    </row>
    <row r="22" ht="14.25" customHeight="1">
      <c r="A22" s="579"/>
      <c r="B22" s="580"/>
      <c r="C22" s="581"/>
      <c r="D22" s="581"/>
      <c r="E22" s="581"/>
      <c r="F22" s="580"/>
      <c r="G22" s="580"/>
      <c r="H22" s="580"/>
      <c r="I22" s="580"/>
      <c r="J22" s="580"/>
      <c r="K22" s="580"/>
      <c r="L22" s="582"/>
      <c r="M22" s="582"/>
      <c r="N22" s="585"/>
      <c r="O22" s="587"/>
      <c r="P22" s="583"/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</row>
    <row r="23" ht="14.25" customHeight="1">
      <c r="A23" s="579"/>
      <c r="B23" s="580"/>
      <c r="C23" s="581"/>
      <c r="D23" s="581"/>
      <c r="E23" s="581"/>
      <c r="F23" s="580"/>
      <c r="G23" s="580"/>
      <c r="H23" s="580"/>
      <c r="I23" s="580"/>
      <c r="J23" s="580"/>
      <c r="K23" s="580"/>
      <c r="L23" s="582"/>
      <c r="M23" s="582"/>
      <c r="N23" s="585"/>
      <c r="O23" s="587"/>
      <c r="P23" s="583"/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</row>
    <row r="24" ht="14.25" customHeight="1">
      <c r="A24" s="579"/>
      <c r="B24" s="580"/>
      <c r="C24" s="581"/>
      <c r="D24" s="581"/>
      <c r="E24" s="581"/>
      <c r="F24" s="580"/>
      <c r="G24" s="580"/>
      <c r="H24" s="580"/>
      <c r="I24" s="580"/>
      <c r="J24" s="580"/>
      <c r="K24" s="580"/>
      <c r="L24" s="582"/>
      <c r="M24" s="582"/>
      <c r="N24" s="585"/>
      <c r="O24" s="587"/>
      <c r="P24" s="583"/>
      <c r="Q24" s="584"/>
      <c r="R24" s="584"/>
      <c r="S24" s="584"/>
      <c r="T24" s="584"/>
      <c r="U24" s="584"/>
      <c r="V24" s="584"/>
      <c r="W24" s="584"/>
      <c r="X24" s="584"/>
      <c r="Y24" s="584"/>
      <c r="Z24" s="584"/>
      <c r="AA24" s="584"/>
      <c r="AB24" s="584"/>
      <c r="AC24" s="584"/>
      <c r="AD24" s="584"/>
      <c r="AE24" s="584"/>
      <c r="AF24" s="584"/>
    </row>
    <row r="25" ht="14.25" customHeight="1">
      <c r="A25" s="579"/>
      <c r="B25" s="580"/>
      <c r="C25" s="581"/>
      <c r="D25" s="581"/>
      <c r="E25" s="581"/>
      <c r="F25" s="580"/>
      <c r="G25" s="580"/>
      <c r="H25" s="580"/>
      <c r="I25" s="580"/>
      <c r="J25" s="580"/>
      <c r="K25" s="580"/>
      <c r="L25" s="582"/>
      <c r="M25" s="582"/>
      <c r="N25" s="585"/>
      <c r="O25" s="587"/>
      <c r="P25" s="583"/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</row>
    <row r="26" ht="14.25" customHeight="1">
      <c r="A26" s="579">
        <v>301.0</v>
      </c>
      <c r="B26" s="580" t="s">
        <v>1107</v>
      </c>
      <c r="C26" s="581">
        <v>46189.0</v>
      </c>
      <c r="D26" s="581">
        <v>46189.0</v>
      </c>
      <c r="E26" s="581">
        <v>46189.0</v>
      </c>
      <c r="F26" s="580" t="s">
        <v>1108</v>
      </c>
      <c r="G26" s="580" t="s">
        <v>1143</v>
      </c>
      <c r="H26" s="580" t="s">
        <v>1143</v>
      </c>
      <c r="I26" s="580" t="s">
        <v>1110</v>
      </c>
      <c r="J26" s="580" t="s">
        <v>1144</v>
      </c>
      <c r="K26" s="580" t="s">
        <v>265</v>
      </c>
      <c r="L26" s="582">
        <v>807446.72</v>
      </c>
      <c r="M26" s="582">
        <v>807446.72</v>
      </c>
      <c r="N26" s="585">
        <v>250000.0</v>
      </c>
      <c r="O26" s="587" t="s">
        <v>1145</v>
      </c>
      <c r="P26" s="583">
        <v>0.0</v>
      </c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</row>
    <row r="27" ht="14.25" customHeight="1">
      <c r="A27" s="579">
        <v>302.0</v>
      </c>
      <c r="B27" s="580" t="s">
        <v>1107</v>
      </c>
      <c r="C27" s="581">
        <v>46189.0</v>
      </c>
      <c r="D27" s="581">
        <v>46189.0</v>
      </c>
      <c r="E27" s="581">
        <v>46189.0</v>
      </c>
      <c r="F27" s="580" t="s">
        <v>1108</v>
      </c>
      <c r="G27" s="580" t="s">
        <v>1146</v>
      </c>
      <c r="H27" s="580" t="s">
        <v>1146</v>
      </c>
      <c r="I27" s="580" t="s">
        <v>1110</v>
      </c>
      <c r="J27" s="580" t="s">
        <v>1147</v>
      </c>
      <c r="K27" s="580" t="s">
        <v>265</v>
      </c>
      <c r="L27" s="582">
        <v>1348078.96</v>
      </c>
      <c r="M27" s="582">
        <v>1348078.96</v>
      </c>
      <c r="N27" s="585">
        <v>250000.0</v>
      </c>
      <c r="O27" s="587" t="s">
        <v>1148</v>
      </c>
      <c r="P27" s="583">
        <v>0.0</v>
      </c>
      <c r="Q27" s="584"/>
      <c r="R27" s="584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4"/>
      <c r="AD27" s="584"/>
      <c r="AE27" s="584"/>
      <c r="AF27" s="584"/>
    </row>
    <row r="28" ht="14.25" customHeight="1">
      <c r="A28" s="579">
        <v>303.0</v>
      </c>
      <c r="B28" s="580" t="s">
        <v>1107</v>
      </c>
      <c r="C28" s="581">
        <v>46189.0</v>
      </c>
      <c r="D28" s="581">
        <v>46189.0</v>
      </c>
      <c r="E28" s="581">
        <v>46189.0</v>
      </c>
      <c r="F28" s="580" t="s">
        <v>1108</v>
      </c>
      <c r="G28" s="580" t="s">
        <v>1149</v>
      </c>
      <c r="H28" s="580" t="s">
        <v>1149</v>
      </c>
      <c r="I28" s="580" t="s">
        <v>1110</v>
      </c>
      <c r="J28" s="580" t="s">
        <v>1144</v>
      </c>
      <c r="K28" s="580" t="s">
        <v>265</v>
      </c>
      <c r="L28" s="582">
        <v>807446.72</v>
      </c>
      <c r="M28" s="582">
        <v>807446.72</v>
      </c>
      <c r="N28" s="585">
        <v>250000.0</v>
      </c>
      <c r="O28" s="587" t="s">
        <v>1150</v>
      </c>
      <c r="P28" s="583">
        <v>0.0</v>
      </c>
      <c r="Q28" s="584"/>
      <c r="R28" s="584"/>
      <c r="S28" s="584"/>
      <c r="T28" s="584"/>
      <c r="U28" s="584"/>
      <c r="V28" s="584"/>
      <c r="W28" s="584"/>
      <c r="X28" s="584"/>
      <c r="Y28" s="584"/>
      <c r="Z28" s="584"/>
      <c r="AA28" s="584"/>
      <c r="AB28" s="584"/>
      <c r="AC28" s="584"/>
      <c r="AD28" s="584"/>
      <c r="AE28" s="584"/>
      <c r="AF28" s="584"/>
    </row>
    <row r="29" ht="14.25" customHeight="1">
      <c r="A29" s="579">
        <v>307.0</v>
      </c>
      <c r="B29" s="580" t="s">
        <v>1107</v>
      </c>
      <c r="C29" s="581">
        <v>46189.0</v>
      </c>
      <c r="D29" s="581">
        <v>46189.0</v>
      </c>
      <c r="E29" s="581">
        <v>46189.0</v>
      </c>
      <c r="F29" s="580" t="s">
        <v>1108</v>
      </c>
      <c r="G29" s="580" t="s">
        <v>1151</v>
      </c>
      <c r="H29" s="580" t="s">
        <v>1151</v>
      </c>
      <c r="I29" s="580" t="s">
        <v>1110</v>
      </c>
      <c r="J29" s="580" t="s">
        <v>1144</v>
      </c>
      <c r="K29" s="580" t="s">
        <v>265</v>
      </c>
      <c r="L29" s="582">
        <v>807446.72</v>
      </c>
      <c r="M29" s="582">
        <v>807446.72</v>
      </c>
      <c r="N29" s="585">
        <v>57446.72</v>
      </c>
      <c r="O29" s="587" t="s">
        <v>1152</v>
      </c>
      <c r="P29" s="583">
        <v>0.0</v>
      </c>
      <c r="Q29" s="584"/>
      <c r="R29" s="584"/>
      <c r="S29" s="584"/>
      <c r="T29" s="584"/>
      <c r="U29" s="584"/>
      <c r="V29" s="584"/>
      <c r="W29" s="584"/>
      <c r="X29" s="584"/>
      <c r="Y29" s="584"/>
      <c r="Z29" s="584"/>
      <c r="AA29" s="584"/>
      <c r="AB29" s="584"/>
      <c r="AC29" s="584"/>
      <c r="AD29" s="584"/>
      <c r="AE29" s="584"/>
      <c r="AF29" s="584"/>
    </row>
    <row r="30" ht="14.25" customHeight="1">
      <c r="A30" s="579">
        <v>308.0</v>
      </c>
      <c r="B30" s="580" t="s">
        <v>1107</v>
      </c>
      <c r="C30" s="581">
        <v>46189.0</v>
      </c>
      <c r="D30" s="581">
        <v>46189.0</v>
      </c>
      <c r="E30" s="581">
        <v>46189.0</v>
      </c>
      <c r="F30" s="580" t="s">
        <v>1108</v>
      </c>
      <c r="G30" s="580" t="s">
        <v>1153</v>
      </c>
      <c r="H30" s="580" t="s">
        <v>1153</v>
      </c>
      <c r="I30" s="580" t="s">
        <v>1110</v>
      </c>
      <c r="J30" s="580" t="s">
        <v>1147</v>
      </c>
      <c r="K30" s="580" t="s">
        <v>265</v>
      </c>
      <c r="L30" s="582">
        <v>1348078.96</v>
      </c>
      <c r="M30" s="582">
        <v>1348078.96</v>
      </c>
      <c r="N30" s="585">
        <v>250000.0</v>
      </c>
      <c r="O30" s="587" t="s">
        <v>1154</v>
      </c>
      <c r="P30" s="583">
        <v>0.0</v>
      </c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</row>
    <row r="31" ht="14.25" customHeight="1">
      <c r="A31" s="579">
        <v>309.0</v>
      </c>
      <c r="B31" s="580" t="s">
        <v>1107</v>
      </c>
      <c r="C31" s="581">
        <v>46189.0</v>
      </c>
      <c r="D31" s="581">
        <v>46189.0</v>
      </c>
      <c r="E31" s="581">
        <v>46189.0</v>
      </c>
      <c r="F31" s="580" t="s">
        <v>1108</v>
      </c>
      <c r="G31" s="580" t="s">
        <v>1155</v>
      </c>
      <c r="H31" s="580" t="s">
        <v>1155</v>
      </c>
      <c r="I31" s="580" t="s">
        <v>1110</v>
      </c>
      <c r="J31" s="580" t="s">
        <v>1147</v>
      </c>
      <c r="K31" s="580" t="s">
        <v>265</v>
      </c>
      <c r="L31" s="582">
        <v>1348078.96</v>
      </c>
      <c r="M31" s="582">
        <v>1348078.96</v>
      </c>
      <c r="N31" s="585">
        <v>250000.0</v>
      </c>
      <c r="O31" s="587" t="s">
        <v>1156</v>
      </c>
      <c r="P31" s="583">
        <v>0.0</v>
      </c>
      <c r="Q31" s="584"/>
      <c r="R31" s="584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4"/>
      <c r="AD31" s="584"/>
      <c r="AE31" s="584"/>
      <c r="AF31" s="584"/>
    </row>
    <row r="32" ht="14.25" customHeight="1">
      <c r="A32" s="579">
        <v>314.0</v>
      </c>
      <c r="B32" s="580" t="s">
        <v>1107</v>
      </c>
      <c r="C32" s="581">
        <v>46189.0</v>
      </c>
      <c r="D32" s="581">
        <v>46189.0</v>
      </c>
      <c r="E32" s="581">
        <v>46189.0</v>
      </c>
      <c r="F32" s="580" t="s">
        <v>1108</v>
      </c>
      <c r="G32" s="580" t="s">
        <v>1157</v>
      </c>
      <c r="H32" s="580" t="s">
        <v>1157</v>
      </c>
      <c r="I32" s="580" t="s">
        <v>1110</v>
      </c>
      <c r="J32" s="580" t="s">
        <v>1147</v>
      </c>
      <c r="K32" s="580" t="s">
        <v>265</v>
      </c>
      <c r="L32" s="582">
        <v>1348078.96</v>
      </c>
      <c r="M32" s="582">
        <v>1348078.96</v>
      </c>
      <c r="N32" s="585">
        <v>250000.0</v>
      </c>
      <c r="O32" s="587" t="s">
        <v>1158</v>
      </c>
      <c r="P32" s="583">
        <v>0.0</v>
      </c>
      <c r="Q32" s="584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  <c r="AC32" s="584"/>
      <c r="AD32" s="584"/>
      <c r="AE32" s="584"/>
      <c r="AF32" s="584"/>
    </row>
    <row r="33" ht="14.25" customHeight="1">
      <c r="A33" s="579">
        <v>319.0</v>
      </c>
      <c r="B33" s="580" t="s">
        <v>1107</v>
      </c>
      <c r="C33" s="581">
        <v>46189.0</v>
      </c>
      <c r="D33" s="581">
        <v>46189.0</v>
      </c>
      <c r="E33" s="581">
        <v>46189.0</v>
      </c>
      <c r="F33" s="580" t="s">
        <v>1108</v>
      </c>
      <c r="G33" s="580" t="s">
        <v>1159</v>
      </c>
      <c r="H33" s="580" t="s">
        <v>1159</v>
      </c>
      <c r="I33" s="580" t="s">
        <v>1110</v>
      </c>
      <c r="J33" s="580" t="s">
        <v>1147</v>
      </c>
      <c r="K33" s="580" t="s">
        <v>265</v>
      </c>
      <c r="L33" s="582">
        <v>1348078.96</v>
      </c>
      <c r="M33" s="582">
        <v>1348078.96</v>
      </c>
      <c r="N33" s="585">
        <v>98078.96</v>
      </c>
      <c r="O33" s="587" t="s">
        <v>1160</v>
      </c>
      <c r="P33" s="583">
        <v>0.0</v>
      </c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C33" s="584"/>
      <c r="AD33" s="584"/>
      <c r="AE33" s="584"/>
      <c r="AF33" s="584"/>
    </row>
    <row r="34" ht="14.25" customHeight="1">
      <c r="A34" s="579">
        <v>321.0</v>
      </c>
      <c r="B34" s="580" t="s">
        <v>1107</v>
      </c>
      <c r="C34" s="581">
        <v>46189.0</v>
      </c>
      <c r="D34" s="581">
        <v>46189.0</v>
      </c>
      <c r="E34" s="581">
        <v>46189.0</v>
      </c>
      <c r="F34" s="580" t="s">
        <v>1108</v>
      </c>
      <c r="G34" s="580" t="s">
        <v>1161</v>
      </c>
      <c r="H34" s="580" t="s">
        <v>1161</v>
      </c>
      <c r="I34" s="580" t="s">
        <v>1110</v>
      </c>
      <c r="J34" s="580" t="s">
        <v>1144</v>
      </c>
      <c r="K34" s="580" t="s">
        <v>265</v>
      </c>
      <c r="L34" s="582">
        <v>807446.72</v>
      </c>
      <c r="M34" s="582">
        <v>807446.72</v>
      </c>
      <c r="N34" s="585">
        <v>250000.0</v>
      </c>
      <c r="O34" s="587" t="s">
        <v>1162</v>
      </c>
      <c r="P34" s="583">
        <v>0.0</v>
      </c>
      <c r="Q34" s="584"/>
      <c r="R34" s="584"/>
      <c r="S34" s="584"/>
      <c r="T34" s="584"/>
      <c r="U34" s="584"/>
      <c r="V34" s="584"/>
      <c r="W34" s="584"/>
      <c r="X34" s="584"/>
      <c r="Y34" s="584"/>
      <c r="Z34" s="584"/>
      <c r="AA34" s="584"/>
      <c r="AB34" s="584"/>
      <c r="AC34" s="584"/>
      <c r="AD34" s="584"/>
      <c r="AE34" s="584"/>
      <c r="AF34" s="584"/>
    </row>
    <row r="35" ht="14.25" customHeight="1">
      <c r="A35" s="579">
        <v>322.0</v>
      </c>
      <c r="B35" s="580" t="s">
        <v>1107</v>
      </c>
      <c r="C35" s="581">
        <v>46189.0</v>
      </c>
      <c r="D35" s="581">
        <v>46189.0</v>
      </c>
      <c r="E35" s="581">
        <v>46189.0</v>
      </c>
      <c r="F35" s="580" t="s">
        <v>1108</v>
      </c>
      <c r="G35" s="580" t="s">
        <v>1163</v>
      </c>
      <c r="H35" s="580" t="s">
        <v>1163</v>
      </c>
      <c r="I35" s="580" t="s">
        <v>1110</v>
      </c>
      <c r="J35" s="580" t="s">
        <v>1147</v>
      </c>
      <c r="K35" s="580" t="s">
        <v>265</v>
      </c>
      <c r="L35" s="582">
        <v>1348078.96</v>
      </c>
      <c r="M35" s="582">
        <v>1348078.96</v>
      </c>
      <c r="N35" s="585">
        <v>250000.0</v>
      </c>
      <c r="O35" s="587" t="s">
        <v>1164</v>
      </c>
      <c r="P35" s="583">
        <v>0.0</v>
      </c>
      <c r="Q35" s="584"/>
      <c r="R35" s="584"/>
      <c r="S35" s="584"/>
      <c r="T35" s="584"/>
      <c r="U35" s="584"/>
      <c r="V35" s="584"/>
      <c r="W35" s="584"/>
      <c r="X35" s="584"/>
      <c r="Y35" s="584"/>
      <c r="Z35" s="584"/>
      <c r="AA35" s="584"/>
      <c r="AB35" s="584"/>
      <c r="AC35" s="584"/>
      <c r="AD35" s="584"/>
      <c r="AE35" s="584"/>
      <c r="AF35" s="584"/>
    </row>
    <row r="36" ht="14.25" customHeight="1">
      <c r="A36" s="579"/>
      <c r="B36" s="580"/>
      <c r="C36" s="581"/>
      <c r="D36" s="581"/>
      <c r="E36" s="581"/>
      <c r="F36" s="580"/>
      <c r="G36" s="580"/>
      <c r="H36" s="580"/>
      <c r="I36" s="580"/>
      <c r="J36" s="580"/>
      <c r="K36" s="580"/>
      <c r="L36" s="582"/>
      <c r="M36" s="582" t="s">
        <v>1165</v>
      </c>
      <c r="N36" s="585">
        <f>SUM(N26:N35)</f>
        <v>2155525.68</v>
      </c>
      <c r="O36" s="588" t="s">
        <v>1141</v>
      </c>
      <c r="P36" s="583"/>
      <c r="Q36" s="584"/>
      <c r="R36" s="584"/>
      <c r="S36" s="584"/>
      <c r="T36" s="584"/>
      <c r="U36" s="584"/>
      <c r="V36" s="584"/>
      <c r="W36" s="584"/>
      <c r="X36" s="584"/>
      <c r="Y36" s="584"/>
      <c r="Z36" s="584"/>
      <c r="AA36" s="584"/>
      <c r="AB36" s="584"/>
      <c r="AC36" s="584"/>
      <c r="AD36" s="584"/>
      <c r="AE36" s="584"/>
      <c r="AF36" s="584"/>
    </row>
    <row r="37" ht="14.25" customHeight="1">
      <c r="A37" s="579"/>
      <c r="B37" s="580"/>
      <c r="C37" s="581"/>
      <c r="D37" s="581"/>
      <c r="E37" s="581"/>
      <c r="F37" s="580"/>
      <c r="G37" s="580"/>
      <c r="H37" s="580"/>
      <c r="I37" s="580"/>
      <c r="J37" s="580"/>
      <c r="K37" s="580"/>
      <c r="L37" s="582"/>
      <c r="M37" s="582" t="s">
        <v>1166</v>
      </c>
      <c r="N37" s="585">
        <v>2155525.68</v>
      </c>
      <c r="O37" s="587"/>
      <c r="P37" s="583"/>
      <c r="Q37" s="584"/>
      <c r="R37" s="584"/>
      <c r="S37" s="584"/>
      <c r="T37" s="584"/>
      <c r="U37" s="584"/>
      <c r="V37" s="584"/>
      <c r="W37" s="584"/>
      <c r="X37" s="584"/>
      <c r="Y37" s="584"/>
      <c r="Z37" s="584"/>
      <c r="AA37" s="584"/>
      <c r="AB37" s="584"/>
      <c r="AC37" s="584"/>
      <c r="AD37" s="584"/>
      <c r="AE37" s="584"/>
      <c r="AF37" s="584"/>
    </row>
    <row r="38" ht="14.25" customHeight="1">
      <c r="A38" s="579"/>
      <c r="B38" s="580"/>
      <c r="C38" s="581"/>
      <c r="D38" s="581"/>
      <c r="E38" s="581"/>
      <c r="F38" s="580"/>
      <c r="G38" s="580"/>
      <c r="H38" s="580"/>
      <c r="I38" s="580"/>
      <c r="J38" s="580"/>
      <c r="K38" s="580"/>
      <c r="L38" s="582"/>
      <c r="M38" s="582"/>
      <c r="N38" s="585"/>
      <c r="O38" s="587"/>
      <c r="P38" s="583"/>
      <c r="Q38" s="584"/>
      <c r="R38" s="584"/>
      <c r="S38" s="584"/>
      <c r="T38" s="584"/>
      <c r="U38" s="584"/>
      <c r="V38" s="584"/>
      <c r="W38" s="584"/>
      <c r="X38" s="584"/>
      <c r="Y38" s="584"/>
      <c r="Z38" s="584"/>
      <c r="AA38" s="584"/>
      <c r="AB38" s="584"/>
      <c r="AC38" s="584"/>
      <c r="AD38" s="584"/>
      <c r="AE38" s="584"/>
      <c r="AF38" s="584"/>
    </row>
    <row r="39" ht="14.25" customHeight="1">
      <c r="A39" s="579"/>
      <c r="B39" s="580"/>
      <c r="C39" s="581"/>
      <c r="D39" s="581"/>
      <c r="E39" s="581"/>
      <c r="F39" s="580"/>
      <c r="G39" s="580"/>
      <c r="H39" s="580"/>
      <c r="I39" s="580"/>
      <c r="J39" s="580"/>
      <c r="K39" s="580"/>
      <c r="L39" s="582"/>
      <c r="M39" s="582"/>
      <c r="N39" s="585"/>
      <c r="O39" s="587"/>
      <c r="P39" s="583"/>
      <c r="Q39" s="584"/>
      <c r="R39" s="584"/>
      <c r="S39" s="584"/>
      <c r="T39" s="584"/>
      <c r="U39" s="584"/>
      <c r="V39" s="584"/>
      <c r="W39" s="584"/>
      <c r="X39" s="584"/>
      <c r="Y39" s="584"/>
      <c r="Z39" s="584"/>
      <c r="AA39" s="584"/>
      <c r="AB39" s="584"/>
      <c r="AC39" s="584"/>
      <c r="AD39" s="584"/>
      <c r="AE39" s="584"/>
      <c r="AF39" s="584"/>
    </row>
    <row r="40" ht="14.25" customHeight="1">
      <c r="A40" s="579"/>
      <c r="B40" s="580"/>
      <c r="C40" s="581"/>
      <c r="D40" s="581"/>
      <c r="E40" s="581"/>
      <c r="F40" s="580"/>
      <c r="G40" s="580"/>
      <c r="H40" s="580"/>
      <c r="I40" s="580"/>
      <c r="J40" s="580"/>
      <c r="K40" s="580"/>
      <c r="L40" s="582"/>
      <c r="M40" s="582"/>
      <c r="N40" s="585"/>
      <c r="O40" s="587"/>
      <c r="P40" s="583"/>
      <c r="Q40" s="584"/>
      <c r="R40" s="584"/>
      <c r="S40" s="584"/>
      <c r="T40" s="584"/>
      <c r="U40" s="584"/>
      <c r="V40" s="584"/>
      <c r="W40" s="584"/>
      <c r="X40" s="584"/>
      <c r="Y40" s="584"/>
      <c r="Z40" s="584"/>
      <c r="AA40" s="584"/>
      <c r="AB40" s="584"/>
      <c r="AC40" s="584"/>
      <c r="AD40" s="584"/>
      <c r="AE40" s="584"/>
      <c r="AF40" s="584"/>
    </row>
    <row r="41" ht="14.25" customHeight="1">
      <c r="A41" s="579"/>
      <c r="B41" s="580"/>
      <c r="C41" s="581"/>
      <c r="D41" s="581"/>
      <c r="E41" s="581"/>
      <c r="F41" s="580"/>
      <c r="G41" s="580"/>
      <c r="H41" s="580"/>
      <c r="I41" s="580"/>
      <c r="J41" s="580"/>
      <c r="K41" s="580"/>
      <c r="L41" s="582"/>
      <c r="M41" s="582"/>
      <c r="N41" s="585"/>
      <c r="O41" s="587"/>
      <c r="P41" s="583"/>
      <c r="Q41" s="584"/>
      <c r="R41" s="584"/>
      <c r="S41" s="584"/>
      <c r="T41" s="584"/>
      <c r="U41" s="584"/>
      <c r="V41" s="584"/>
      <c r="W41" s="584"/>
      <c r="X41" s="584"/>
      <c r="Y41" s="584"/>
      <c r="Z41" s="584"/>
      <c r="AA41" s="584"/>
      <c r="AB41" s="584"/>
      <c r="AC41" s="584"/>
      <c r="AD41" s="584"/>
      <c r="AE41" s="584"/>
      <c r="AF41" s="584"/>
    </row>
    <row r="42" ht="14.25" customHeight="1">
      <c r="A42" s="579"/>
      <c r="B42" s="580"/>
      <c r="C42" s="581"/>
      <c r="D42" s="581"/>
      <c r="E42" s="581"/>
      <c r="F42" s="580"/>
      <c r="G42" s="580"/>
      <c r="H42" s="580"/>
      <c r="I42" s="580"/>
      <c r="J42" s="580"/>
      <c r="K42" s="580"/>
      <c r="L42" s="582"/>
      <c r="M42" s="582"/>
      <c r="N42" s="585"/>
      <c r="O42" s="586"/>
      <c r="P42" s="583"/>
      <c r="Q42" s="584"/>
      <c r="R42" s="584"/>
      <c r="S42" s="584"/>
      <c r="T42" s="584"/>
      <c r="U42" s="584"/>
      <c r="V42" s="584"/>
      <c r="W42" s="584"/>
      <c r="X42" s="584"/>
      <c r="Y42" s="584"/>
      <c r="Z42" s="584"/>
      <c r="AA42" s="584"/>
      <c r="AB42" s="584"/>
      <c r="AC42" s="584"/>
      <c r="AD42" s="584"/>
      <c r="AE42" s="584"/>
      <c r="AF42" s="584"/>
    </row>
    <row r="43" ht="14.25" customHeight="1">
      <c r="A43" s="579">
        <v>3.0</v>
      </c>
      <c r="B43" s="580" t="s">
        <v>1107</v>
      </c>
      <c r="C43" s="581">
        <v>46189.0</v>
      </c>
      <c r="D43" s="581">
        <v>46189.0</v>
      </c>
      <c r="E43" s="581"/>
      <c r="F43" s="580" t="s">
        <v>1108</v>
      </c>
      <c r="G43" s="580" t="s">
        <v>1167</v>
      </c>
      <c r="H43" s="580" t="s">
        <v>1167</v>
      </c>
      <c r="I43" s="580" t="s">
        <v>1168</v>
      </c>
      <c r="J43" s="580" t="s">
        <v>1169</v>
      </c>
      <c r="K43" s="580" t="s">
        <v>167</v>
      </c>
      <c r="L43" s="582">
        <v>11231.67</v>
      </c>
      <c r="M43" s="582">
        <v>11231.67</v>
      </c>
      <c r="N43" s="585">
        <v>11231.67</v>
      </c>
      <c r="O43" s="586" t="s">
        <v>1170</v>
      </c>
      <c r="P43" s="583">
        <v>0.0</v>
      </c>
      <c r="Q43" s="584"/>
      <c r="R43" s="584"/>
      <c r="S43" s="584"/>
      <c r="T43" s="584"/>
      <c r="U43" s="584"/>
      <c r="V43" s="584"/>
      <c r="W43" s="584"/>
      <c r="X43" s="584"/>
      <c r="Y43" s="584"/>
      <c r="Z43" s="584"/>
      <c r="AA43" s="584"/>
      <c r="AB43" s="584"/>
      <c r="AC43" s="584"/>
      <c r="AD43" s="584"/>
      <c r="AE43" s="584"/>
      <c r="AF43" s="584"/>
    </row>
    <row r="44" ht="14.25" customHeight="1">
      <c r="A44" s="579">
        <v>5.0</v>
      </c>
      <c r="B44" s="580" t="s">
        <v>1107</v>
      </c>
      <c r="C44" s="581">
        <v>46189.0</v>
      </c>
      <c r="D44" s="581">
        <v>46189.0</v>
      </c>
      <c r="E44" s="581"/>
      <c r="F44" s="580" t="s">
        <v>1108</v>
      </c>
      <c r="G44" s="580">
        <v>1.3501827E7</v>
      </c>
      <c r="H44" s="580">
        <v>1.3501827E7</v>
      </c>
      <c r="I44" s="580" t="s">
        <v>1168</v>
      </c>
      <c r="J44" s="580" t="s">
        <v>1171</v>
      </c>
      <c r="K44" s="580" t="s">
        <v>167</v>
      </c>
      <c r="L44" s="582">
        <v>13075.75</v>
      </c>
      <c r="M44" s="582">
        <v>13075.75</v>
      </c>
      <c r="N44" s="585">
        <v>13075.75</v>
      </c>
      <c r="O44" s="587" t="s">
        <v>1172</v>
      </c>
      <c r="P44" s="583">
        <v>0.0</v>
      </c>
      <c r="Q44" s="584"/>
      <c r="R44" s="584"/>
      <c r="S44" s="584"/>
      <c r="T44" s="584"/>
      <c r="U44" s="584"/>
      <c r="V44" s="584"/>
      <c r="W44" s="584"/>
      <c r="X44" s="584"/>
      <c r="Y44" s="584"/>
      <c r="Z44" s="584"/>
      <c r="AA44" s="584"/>
      <c r="AB44" s="584"/>
      <c r="AC44" s="584"/>
      <c r="AD44" s="584"/>
      <c r="AE44" s="584"/>
      <c r="AF44" s="584"/>
    </row>
    <row r="45" ht="14.25" customHeight="1">
      <c r="A45" s="579">
        <v>8.0</v>
      </c>
      <c r="B45" s="580" t="s">
        <v>1107</v>
      </c>
      <c r="C45" s="581">
        <v>46189.0</v>
      </c>
      <c r="D45" s="581">
        <v>46189.0</v>
      </c>
      <c r="E45" s="581"/>
      <c r="F45" s="580" t="s">
        <v>1108</v>
      </c>
      <c r="G45" s="580" t="s">
        <v>1173</v>
      </c>
      <c r="H45" s="580" t="s">
        <v>1173</v>
      </c>
      <c r="I45" s="580" t="s">
        <v>1168</v>
      </c>
      <c r="J45" s="580" t="s">
        <v>1174</v>
      </c>
      <c r="K45" s="580" t="s">
        <v>167</v>
      </c>
      <c r="L45" s="582">
        <v>22737.73</v>
      </c>
      <c r="M45" s="582">
        <v>22737.73</v>
      </c>
      <c r="N45" s="585">
        <v>22737.73</v>
      </c>
      <c r="O45" s="586" t="s">
        <v>1175</v>
      </c>
      <c r="P45" s="583">
        <v>0.0</v>
      </c>
      <c r="Q45" s="584"/>
      <c r="R45" s="584"/>
      <c r="S45" s="584"/>
      <c r="T45" s="584"/>
      <c r="U45" s="584"/>
      <c r="V45" s="584"/>
      <c r="W45" s="584"/>
      <c r="X45" s="584"/>
      <c r="Y45" s="584"/>
      <c r="Z45" s="584"/>
      <c r="AA45" s="584"/>
      <c r="AB45" s="584"/>
      <c r="AC45" s="584"/>
      <c r="AD45" s="584"/>
      <c r="AE45" s="584"/>
      <c r="AF45" s="584"/>
    </row>
    <row r="46" ht="14.25" customHeight="1">
      <c r="A46" s="579">
        <v>14.0</v>
      </c>
      <c r="B46" s="580" t="s">
        <v>1107</v>
      </c>
      <c r="C46" s="581">
        <v>46189.0</v>
      </c>
      <c r="D46" s="581">
        <v>46189.0</v>
      </c>
      <c r="E46" s="581"/>
      <c r="F46" s="580" t="s">
        <v>1108</v>
      </c>
      <c r="G46" s="580" t="s">
        <v>1173</v>
      </c>
      <c r="H46" s="580" t="s">
        <v>1173</v>
      </c>
      <c r="I46" s="580" t="s">
        <v>1168</v>
      </c>
      <c r="J46" s="580" t="s">
        <v>1176</v>
      </c>
      <c r="K46" s="580" t="s">
        <v>167</v>
      </c>
      <c r="L46" s="582">
        <v>42618.13</v>
      </c>
      <c r="M46" s="582">
        <v>42618.13</v>
      </c>
      <c r="N46" s="585">
        <v>42618.13</v>
      </c>
      <c r="O46" s="587" t="s">
        <v>1177</v>
      </c>
      <c r="P46" s="583">
        <v>0.0</v>
      </c>
      <c r="Q46" s="584"/>
      <c r="R46" s="584"/>
      <c r="S46" s="584"/>
      <c r="T46" s="584"/>
      <c r="U46" s="584"/>
      <c r="V46" s="584"/>
      <c r="W46" s="584"/>
      <c r="X46" s="584"/>
      <c r="Y46" s="584"/>
      <c r="Z46" s="584"/>
      <c r="AA46" s="584"/>
      <c r="AB46" s="584"/>
      <c r="AC46" s="584"/>
      <c r="AD46" s="584"/>
      <c r="AE46" s="584"/>
      <c r="AF46" s="584"/>
    </row>
    <row r="47" ht="14.25" customHeight="1">
      <c r="A47" s="579">
        <v>15.0</v>
      </c>
      <c r="B47" s="580" t="s">
        <v>1107</v>
      </c>
      <c r="C47" s="581">
        <v>46189.0</v>
      </c>
      <c r="D47" s="581">
        <v>46189.0</v>
      </c>
      <c r="E47" s="581"/>
      <c r="F47" s="580" t="s">
        <v>1108</v>
      </c>
      <c r="G47" s="580" t="s">
        <v>1173</v>
      </c>
      <c r="H47" s="580" t="s">
        <v>1173</v>
      </c>
      <c r="I47" s="580" t="s">
        <v>1168</v>
      </c>
      <c r="J47" s="580" t="s">
        <v>1178</v>
      </c>
      <c r="K47" s="580" t="s">
        <v>167</v>
      </c>
      <c r="L47" s="582">
        <v>12505.12</v>
      </c>
      <c r="M47" s="582">
        <v>12505.12</v>
      </c>
      <c r="N47" s="585">
        <v>12505.12</v>
      </c>
      <c r="O47" s="587" t="s">
        <v>1179</v>
      </c>
      <c r="P47" s="583">
        <v>0.0</v>
      </c>
      <c r="Q47" s="584"/>
      <c r="R47" s="584"/>
      <c r="S47" s="584"/>
      <c r="T47" s="584"/>
      <c r="U47" s="584"/>
      <c r="V47" s="584"/>
      <c r="W47" s="584"/>
      <c r="X47" s="584"/>
      <c r="Y47" s="584"/>
      <c r="Z47" s="584"/>
      <c r="AA47" s="584"/>
      <c r="AB47" s="584"/>
      <c r="AC47" s="584"/>
      <c r="AD47" s="584"/>
      <c r="AE47" s="584"/>
      <c r="AF47" s="584"/>
    </row>
    <row r="48" ht="14.25" customHeight="1">
      <c r="A48" s="579">
        <v>16.0</v>
      </c>
      <c r="B48" s="580" t="s">
        <v>1107</v>
      </c>
      <c r="C48" s="581">
        <v>46189.0</v>
      </c>
      <c r="D48" s="581">
        <v>46189.0</v>
      </c>
      <c r="E48" s="581"/>
      <c r="F48" s="580" t="s">
        <v>1108</v>
      </c>
      <c r="G48" s="580" t="s">
        <v>1173</v>
      </c>
      <c r="H48" s="580" t="s">
        <v>1173</v>
      </c>
      <c r="I48" s="580" t="s">
        <v>1168</v>
      </c>
      <c r="J48" s="580" t="s">
        <v>1180</v>
      </c>
      <c r="K48" s="580" t="s">
        <v>167</v>
      </c>
      <c r="L48" s="582">
        <v>7010.19</v>
      </c>
      <c r="M48" s="582">
        <v>7010.19</v>
      </c>
      <c r="N48" s="585">
        <v>7010.19</v>
      </c>
      <c r="O48" s="587" t="s">
        <v>1181</v>
      </c>
      <c r="P48" s="583">
        <v>0.0</v>
      </c>
      <c r="Q48" s="584"/>
      <c r="R48" s="584"/>
      <c r="S48" s="584"/>
      <c r="T48" s="584"/>
      <c r="U48" s="584"/>
      <c r="V48" s="584"/>
      <c r="W48" s="584"/>
      <c r="X48" s="584"/>
      <c r="Y48" s="584"/>
      <c r="Z48" s="584"/>
      <c r="AA48" s="584"/>
      <c r="AB48" s="584"/>
      <c r="AC48" s="584"/>
      <c r="AD48" s="584"/>
      <c r="AE48" s="584"/>
      <c r="AF48" s="584"/>
    </row>
    <row r="49" ht="14.25" customHeight="1">
      <c r="A49" s="579">
        <v>20.0</v>
      </c>
      <c r="B49" s="580" t="s">
        <v>1107</v>
      </c>
      <c r="C49" s="581">
        <v>46189.0</v>
      </c>
      <c r="D49" s="581">
        <v>46189.0</v>
      </c>
      <c r="E49" s="581"/>
      <c r="F49" s="580" t="s">
        <v>1108</v>
      </c>
      <c r="G49" s="580" t="s">
        <v>1182</v>
      </c>
      <c r="H49" s="580" t="s">
        <v>1182</v>
      </c>
      <c r="I49" s="580" t="s">
        <v>1168</v>
      </c>
      <c r="J49" s="580" t="s">
        <v>1183</v>
      </c>
      <c r="K49" s="580" t="s">
        <v>167</v>
      </c>
      <c r="L49" s="582">
        <v>665.35</v>
      </c>
      <c r="M49" s="582">
        <v>665.35</v>
      </c>
      <c r="N49" s="585">
        <v>665.35</v>
      </c>
      <c r="O49" s="587" t="s">
        <v>1184</v>
      </c>
      <c r="P49" s="583">
        <v>0.0</v>
      </c>
      <c r="Q49" s="584"/>
      <c r="R49" s="584"/>
      <c r="S49" s="584"/>
      <c r="T49" s="584"/>
      <c r="U49" s="584"/>
      <c r="V49" s="584"/>
      <c r="W49" s="584"/>
      <c r="X49" s="584"/>
      <c r="Y49" s="584"/>
      <c r="Z49" s="584"/>
      <c r="AA49" s="584"/>
      <c r="AB49" s="584"/>
      <c r="AC49" s="584"/>
      <c r="AD49" s="584"/>
      <c r="AE49" s="584"/>
      <c r="AF49" s="584"/>
    </row>
    <row r="50" ht="14.25" customHeight="1">
      <c r="A50" s="579">
        <v>21.0</v>
      </c>
      <c r="B50" s="580" t="s">
        <v>1107</v>
      </c>
      <c r="C50" s="581">
        <v>46189.0</v>
      </c>
      <c r="D50" s="581">
        <v>46189.0</v>
      </c>
      <c r="E50" s="581"/>
      <c r="F50" s="580" t="s">
        <v>1108</v>
      </c>
      <c r="G50" s="580" t="s">
        <v>1173</v>
      </c>
      <c r="H50" s="580" t="s">
        <v>1173</v>
      </c>
      <c r="I50" s="580" t="s">
        <v>1168</v>
      </c>
      <c r="J50" s="580" t="s">
        <v>1185</v>
      </c>
      <c r="K50" s="580" t="s">
        <v>167</v>
      </c>
      <c r="L50" s="582">
        <v>21914.92</v>
      </c>
      <c r="M50" s="582">
        <v>21914.92</v>
      </c>
      <c r="N50" s="585">
        <v>21914.92</v>
      </c>
      <c r="O50" s="587" t="s">
        <v>1186</v>
      </c>
      <c r="P50" s="583">
        <v>0.0</v>
      </c>
      <c r="Q50" s="584"/>
      <c r="R50" s="584"/>
      <c r="S50" s="584"/>
      <c r="T50" s="584"/>
      <c r="U50" s="584"/>
      <c r="V50" s="584"/>
      <c r="W50" s="584"/>
      <c r="X50" s="584"/>
      <c r="Y50" s="584"/>
      <c r="Z50" s="584"/>
      <c r="AA50" s="584"/>
      <c r="AB50" s="584"/>
      <c r="AC50" s="584"/>
      <c r="AD50" s="584"/>
      <c r="AE50" s="584"/>
      <c r="AF50" s="584"/>
    </row>
    <row r="51" ht="14.25" customHeight="1">
      <c r="A51" s="579">
        <v>24.0</v>
      </c>
      <c r="B51" s="580" t="s">
        <v>1107</v>
      </c>
      <c r="C51" s="581">
        <v>46189.0</v>
      </c>
      <c r="D51" s="581">
        <v>46189.0</v>
      </c>
      <c r="E51" s="581"/>
      <c r="F51" s="580" t="s">
        <v>1108</v>
      </c>
      <c r="G51" s="580" t="s">
        <v>1187</v>
      </c>
      <c r="H51" s="580" t="s">
        <v>1188</v>
      </c>
      <c r="I51" s="580" t="s">
        <v>1168</v>
      </c>
      <c r="J51" s="580" t="s">
        <v>1189</v>
      </c>
      <c r="K51" s="580" t="s">
        <v>167</v>
      </c>
      <c r="L51" s="582">
        <v>5000.0</v>
      </c>
      <c r="M51" s="582">
        <v>5000.0</v>
      </c>
      <c r="N51" s="585">
        <v>5000.0</v>
      </c>
      <c r="O51" s="587" t="s">
        <v>1190</v>
      </c>
      <c r="P51" s="583">
        <v>0.0</v>
      </c>
      <c r="Q51" s="584"/>
      <c r="R51" s="584"/>
      <c r="S51" s="584"/>
      <c r="T51" s="584"/>
      <c r="U51" s="584"/>
      <c r="V51" s="584"/>
      <c r="W51" s="584"/>
      <c r="X51" s="584"/>
      <c r="Y51" s="584"/>
      <c r="Z51" s="584"/>
      <c r="AA51" s="584"/>
      <c r="AB51" s="584"/>
      <c r="AC51" s="584"/>
      <c r="AD51" s="584"/>
      <c r="AE51" s="584"/>
      <c r="AF51" s="584"/>
    </row>
    <row r="52" ht="14.25" customHeight="1">
      <c r="A52" s="579">
        <v>29.0</v>
      </c>
      <c r="B52" s="580" t="s">
        <v>1107</v>
      </c>
      <c r="C52" s="581">
        <v>46189.0</v>
      </c>
      <c r="D52" s="581">
        <v>46189.0</v>
      </c>
      <c r="E52" s="581"/>
      <c r="F52" s="580" t="s">
        <v>1108</v>
      </c>
      <c r="G52" s="580" t="s">
        <v>1173</v>
      </c>
      <c r="H52" s="580" t="s">
        <v>1173</v>
      </c>
      <c r="I52" s="580" t="s">
        <v>1168</v>
      </c>
      <c r="J52" s="580" t="s">
        <v>1191</v>
      </c>
      <c r="K52" s="580" t="s">
        <v>167</v>
      </c>
      <c r="L52" s="582">
        <v>16121.32</v>
      </c>
      <c r="M52" s="582">
        <v>16121.32</v>
      </c>
      <c r="N52" s="585">
        <v>16121.32</v>
      </c>
      <c r="O52" s="587" t="s">
        <v>1192</v>
      </c>
      <c r="P52" s="583">
        <v>0.0</v>
      </c>
      <c r="Q52" s="584"/>
      <c r="R52" s="584"/>
      <c r="S52" s="584"/>
      <c r="T52" s="584"/>
      <c r="U52" s="584"/>
      <c r="V52" s="584"/>
      <c r="W52" s="584"/>
      <c r="X52" s="584"/>
      <c r="Y52" s="584"/>
      <c r="Z52" s="584"/>
      <c r="AA52" s="584"/>
      <c r="AB52" s="584"/>
      <c r="AC52" s="584"/>
      <c r="AD52" s="584"/>
      <c r="AE52" s="584"/>
      <c r="AF52" s="584"/>
    </row>
    <row r="53" ht="14.25" customHeight="1">
      <c r="A53" s="579">
        <v>30.0</v>
      </c>
      <c r="B53" s="580" t="s">
        <v>1107</v>
      </c>
      <c r="C53" s="581">
        <v>46189.0</v>
      </c>
      <c r="D53" s="581">
        <v>46189.0</v>
      </c>
      <c r="E53" s="581"/>
      <c r="F53" s="580" t="s">
        <v>1108</v>
      </c>
      <c r="G53" s="580" t="s">
        <v>1193</v>
      </c>
      <c r="H53" s="580" t="s">
        <v>1194</v>
      </c>
      <c r="I53" s="580" t="s">
        <v>1168</v>
      </c>
      <c r="J53" s="580" t="s">
        <v>1195</v>
      </c>
      <c r="K53" s="580" t="s">
        <v>167</v>
      </c>
      <c r="L53" s="582">
        <v>21832.8</v>
      </c>
      <c r="M53" s="582">
        <v>21832.8</v>
      </c>
      <c r="N53" s="585">
        <v>21832.8</v>
      </c>
      <c r="O53" s="587" t="s">
        <v>1196</v>
      </c>
      <c r="P53" s="583">
        <v>0.0</v>
      </c>
      <c r="Q53" s="584"/>
      <c r="R53" s="584"/>
      <c r="S53" s="584"/>
      <c r="T53" s="584"/>
      <c r="U53" s="584"/>
      <c r="V53" s="584"/>
      <c r="W53" s="584"/>
      <c r="X53" s="584"/>
      <c r="Y53" s="584"/>
      <c r="Z53" s="584"/>
      <c r="AA53" s="584"/>
      <c r="AB53" s="584"/>
      <c r="AC53" s="584"/>
      <c r="AD53" s="584"/>
      <c r="AE53" s="584"/>
      <c r="AF53" s="584"/>
    </row>
    <row r="54" ht="14.25" customHeight="1">
      <c r="A54" s="579">
        <v>32.0</v>
      </c>
      <c r="B54" s="580" t="s">
        <v>1107</v>
      </c>
      <c r="C54" s="581">
        <v>46189.0</v>
      </c>
      <c r="D54" s="581">
        <v>46189.0</v>
      </c>
      <c r="E54" s="581"/>
      <c r="F54" s="580" t="s">
        <v>1108</v>
      </c>
      <c r="G54" s="580">
        <v>1.166871493E9</v>
      </c>
      <c r="H54" s="580">
        <v>1.166871493E9</v>
      </c>
      <c r="I54" s="580" t="s">
        <v>1168</v>
      </c>
      <c r="J54" s="580" t="s">
        <v>1197</v>
      </c>
      <c r="K54" s="580" t="s">
        <v>167</v>
      </c>
      <c r="L54" s="582">
        <v>3655.16</v>
      </c>
      <c r="M54" s="582">
        <v>3655.16</v>
      </c>
      <c r="N54" s="585">
        <v>3655.16</v>
      </c>
      <c r="O54" s="587" t="s">
        <v>1198</v>
      </c>
      <c r="P54" s="583">
        <v>0.0</v>
      </c>
      <c r="Q54" s="584"/>
      <c r="R54" s="584"/>
      <c r="S54" s="584"/>
      <c r="T54" s="584"/>
      <c r="U54" s="584"/>
      <c r="V54" s="584"/>
      <c r="W54" s="584"/>
      <c r="X54" s="584"/>
      <c r="Y54" s="584"/>
      <c r="Z54" s="584"/>
      <c r="AA54" s="584"/>
      <c r="AB54" s="584"/>
      <c r="AC54" s="584"/>
      <c r="AD54" s="584"/>
      <c r="AE54" s="584"/>
      <c r="AF54" s="584"/>
    </row>
    <row r="55" ht="14.25" customHeight="1">
      <c r="A55" s="579">
        <v>35.0</v>
      </c>
      <c r="B55" s="580" t="s">
        <v>1107</v>
      </c>
      <c r="C55" s="581">
        <v>46189.0</v>
      </c>
      <c r="D55" s="581">
        <v>46189.0</v>
      </c>
      <c r="E55" s="581"/>
      <c r="F55" s="580" t="s">
        <v>1108</v>
      </c>
      <c r="G55" s="580" t="s">
        <v>1199</v>
      </c>
      <c r="H55" s="580" t="s">
        <v>1199</v>
      </c>
      <c r="I55" s="580" t="s">
        <v>1168</v>
      </c>
      <c r="J55" s="580" t="s">
        <v>1200</v>
      </c>
      <c r="K55" s="580" t="s">
        <v>167</v>
      </c>
      <c r="L55" s="582">
        <v>54000.0</v>
      </c>
      <c r="M55" s="582">
        <v>54000.0</v>
      </c>
      <c r="N55" s="585">
        <v>54000.0</v>
      </c>
      <c r="O55" s="587" t="s">
        <v>1201</v>
      </c>
      <c r="P55" s="583">
        <v>0.0</v>
      </c>
      <c r="Q55" s="584"/>
      <c r="R55" s="584"/>
      <c r="S55" s="584"/>
      <c r="T55" s="584"/>
      <c r="U55" s="584"/>
      <c r="V55" s="584"/>
      <c r="W55" s="584"/>
      <c r="X55" s="584"/>
      <c r="Y55" s="584"/>
      <c r="Z55" s="584"/>
      <c r="AA55" s="584"/>
      <c r="AB55" s="584"/>
      <c r="AC55" s="584"/>
      <c r="AD55" s="584"/>
      <c r="AE55" s="584"/>
      <c r="AF55" s="584"/>
    </row>
    <row r="56" ht="14.25" customHeight="1">
      <c r="A56" s="579">
        <v>36.0</v>
      </c>
      <c r="B56" s="580" t="s">
        <v>1107</v>
      </c>
      <c r="C56" s="581">
        <v>46189.0</v>
      </c>
      <c r="D56" s="581">
        <v>46189.0</v>
      </c>
      <c r="E56" s="581"/>
      <c r="F56" s="580" t="s">
        <v>1108</v>
      </c>
      <c r="G56" s="580">
        <v>1.3511934E7</v>
      </c>
      <c r="H56" s="580">
        <v>1.3511934E7</v>
      </c>
      <c r="I56" s="580" t="s">
        <v>1168</v>
      </c>
      <c r="J56" s="580" t="s">
        <v>1202</v>
      </c>
      <c r="K56" s="580" t="s">
        <v>167</v>
      </c>
      <c r="L56" s="582">
        <v>34609.17</v>
      </c>
      <c r="M56" s="582">
        <v>34609.17</v>
      </c>
      <c r="N56" s="585">
        <v>34609.17</v>
      </c>
      <c r="O56" s="587" t="s">
        <v>1203</v>
      </c>
      <c r="P56" s="583">
        <v>0.0</v>
      </c>
      <c r="Q56" s="584"/>
      <c r="R56" s="584"/>
      <c r="S56" s="584"/>
      <c r="T56" s="584"/>
      <c r="U56" s="584"/>
      <c r="V56" s="584"/>
      <c r="W56" s="584"/>
      <c r="X56" s="584"/>
      <c r="Y56" s="584"/>
      <c r="Z56" s="584"/>
      <c r="AA56" s="584"/>
      <c r="AB56" s="584"/>
      <c r="AC56" s="584"/>
      <c r="AD56" s="584"/>
      <c r="AE56" s="584"/>
      <c r="AF56" s="584"/>
    </row>
    <row r="57" ht="14.25" customHeight="1">
      <c r="A57" s="579">
        <v>40.0</v>
      </c>
      <c r="B57" s="580" t="s">
        <v>1107</v>
      </c>
      <c r="C57" s="581">
        <v>46189.0</v>
      </c>
      <c r="D57" s="581">
        <v>46189.0</v>
      </c>
      <c r="E57" s="581"/>
      <c r="F57" s="580" t="s">
        <v>1108</v>
      </c>
      <c r="G57" s="580">
        <v>1.5294630000004E13</v>
      </c>
      <c r="H57" s="580">
        <v>1.52946300000045E15</v>
      </c>
      <c r="I57" s="580" t="s">
        <v>1168</v>
      </c>
      <c r="J57" s="580" t="s">
        <v>1204</v>
      </c>
      <c r="K57" s="580" t="s">
        <v>167</v>
      </c>
      <c r="L57" s="582">
        <v>34151.78</v>
      </c>
      <c r="M57" s="582">
        <v>34151.78</v>
      </c>
      <c r="N57" s="585">
        <v>34151.78</v>
      </c>
      <c r="O57" s="587" t="s">
        <v>1205</v>
      </c>
      <c r="P57" s="583">
        <v>0.0</v>
      </c>
      <c r="Q57" s="584"/>
      <c r="R57" s="584"/>
      <c r="S57" s="584"/>
      <c r="T57" s="584"/>
      <c r="U57" s="584"/>
      <c r="V57" s="584"/>
      <c r="W57" s="584"/>
      <c r="X57" s="584"/>
      <c r="Y57" s="584"/>
      <c r="Z57" s="584"/>
      <c r="AA57" s="584"/>
      <c r="AB57" s="584"/>
      <c r="AC57" s="584"/>
      <c r="AD57" s="584"/>
      <c r="AE57" s="584"/>
      <c r="AF57" s="584"/>
    </row>
    <row r="58" ht="14.25" customHeight="1">
      <c r="A58" s="579">
        <v>44.0</v>
      </c>
      <c r="B58" s="580" t="s">
        <v>1107</v>
      </c>
      <c r="C58" s="581">
        <v>46189.0</v>
      </c>
      <c r="D58" s="581">
        <v>46189.0</v>
      </c>
      <c r="E58" s="581"/>
      <c r="F58" s="580" t="s">
        <v>1108</v>
      </c>
      <c r="G58" s="580" t="s">
        <v>1206</v>
      </c>
      <c r="H58" s="580" t="s">
        <v>1207</v>
      </c>
      <c r="I58" s="580" t="s">
        <v>1168</v>
      </c>
      <c r="J58" s="580" t="s">
        <v>1208</v>
      </c>
      <c r="K58" s="580" t="s">
        <v>167</v>
      </c>
      <c r="L58" s="582">
        <v>15159.64</v>
      </c>
      <c r="M58" s="582">
        <v>15159.64</v>
      </c>
      <c r="N58" s="585">
        <v>15159.64</v>
      </c>
      <c r="O58" s="587" t="s">
        <v>1209</v>
      </c>
      <c r="P58" s="583">
        <v>0.0</v>
      </c>
      <c r="Q58" s="584"/>
      <c r="R58" s="584"/>
      <c r="S58" s="584"/>
      <c r="T58" s="584"/>
      <c r="U58" s="584"/>
      <c r="V58" s="584"/>
      <c r="W58" s="584"/>
      <c r="X58" s="584"/>
      <c r="Y58" s="584"/>
      <c r="Z58" s="584"/>
      <c r="AA58" s="584"/>
      <c r="AB58" s="584"/>
      <c r="AC58" s="584"/>
      <c r="AD58" s="584"/>
      <c r="AE58" s="584"/>
      <c r="AF58" s="584"/>
    </row>
    <row r="59" ht="14.25" customHeight="1">
      <c r="A59" s="579">
        <v>45.0</v>
      </c>
      <c r="B59" s="580" t="s">
        <v>1107</v>
      </c>
      <c r="C59" s="581">
        <v>46189.0</v>
      </c>
      <c r="D59" s="581">
        <v>46189.0</v>
      </c>
      <c r="E59" s="581"/>
      <c r="F59" s="580" t="s">
        <v>1108</v>
      </c>
      <c r="G59" s="580" t="s">
        <v>1173</v>
      </c>
      <c r="H59" s="580" t="s">
        <v>1173</v>
      </c>
      <c r="I59" s="580" t="s">
        <v>1168</v>
      </c>
      <c r="J59" s="580" t="s">
        <v>1210</v>
      </c>
      <c r="K59" s="580" t="s">
        <v>167</v>
      </c>
      <c r="L59" s="582">
        <v>19119.71</v>
      </c>
      <c r="M59" s="582">
        <v>19119.71</v>
      </c>
      <c r="N59" s="585">
        <v>19119.71</v>
      </c>
      <c r="O59" s="587" t="s">
        <v>1211</v>
      </c>
      <c r="P59" s="583">
        <v>0.0</v>
      </c>
      <c r="Q59" s="584"/>
      <c r="R59" s="584"/>
      <c r="S59" s="584"/>
      <c r="T59" s="584"/>
      <c r="U59" s="584"/>
      <c r="V59" s="584"/>
      <c r="W59" s="584"/>
      <c r="X59" s="584"/>
      <c r="Y59" s="584"/>
      <c r="Z59" s="584"/>
      <c r="AA59" s="584"/>
      <c r="AB59" s="584"/>
      <c r="AC59" s="584"/>
      <c r="AD59" s="584"/>
      <c r="AE59" s="584"/>
      <c r="AF59" s="584"/>
    </row>
    <row r="60" ht="14.25" customHeight="1">
      <c r="A60" s="579">
        <v>50.0</v>
      </c>
      <c r="B60" s="580" t="s">
        <v>1107</v>
      </c>
      <c r="C60" s="581">
        <v>46189.0</v>
      </c>
      <c r="D60" s="581">
        <v>46189.0</v>
      </c>
      <c r="E60" s="581"/>
      <c r="F60" s="580" t="s">
        <v>1108</v>
      </c>
      <c r="G60" s="580">
        <v>1.3493265E7</v>
      </c>
      <c r="H60" s="580">
        <v>1.3493265E7</v>
      </c>
      <c r="I60" s="580" t="s">
        <v>1168</v>
      </c>
      <c r="J60" s="580" t="s">
        <v>1212</v>
      </c>
      <c r="K60" s="580" t="s">
        <v>167</v>
      </c>
      <c r="L60" s="582">
        <v>5049.98</v>
      </c>
      <c r="M60" s="582">
        <v>5049.98</v>
      </c>
      <c r="N60" s="585">
        <v>5049.98</v>
      </c>
      <c r="O60" s="587" t="s">
        <v>1213</v>
      </c>
      <c r="P60" s="583">
        <v>0.0</v>
      </c>
      <c r="Q60" s="584"/>
      <c r="R60" s="584"/>
      <c r="S60" s="584"/>
      <c r="T60" s="584"/>
      <c r="U60" s="584"/>
      <c r="V60" s="584"/>
      <c r="W60" s="584"/>
      <c r="X60" s="584"/>
      <c r="Y60" s="584"/>
      <c r="Z60" s="584"/>
      <c r="AA60" s="584"/>
      <c r="AB60" s="584"/>
      <c r="AC60" s="584"/>
      <c r="AD60" s="584"/>
      <c r="AE60" s="584"/>
      <c r="AF60" s="584"/>
    </row>
    <row r="61" ht="14.25" customHeight="1">
      <c r="A61" s="579">
        <v>51.0</v>
      </c>
      <c r="B61" s="580" t="s">
        <v>1107</v>
      </c>
      <c r="C61" s="581">
        <v>46189.0</v>
      </c>
      <c r="D61" s="581">
        <v>46189.0</v>
      </c>
      <c r="E61" s="581"/>
      <c r="F61" s="580" t="s">
        <v>1108</v>
      </c>
      <c r="G61" s="580" t="s">
        <v>1214</v>
      </c>
      <c r="H61" s="580" t="s">
        <v>1214</v>
      </c>
      <c r="I61" s="580" t="s">
        <v>1168</v>
      </c>
      <c r="J61" s="580" t="s">
        <v>1215</v>
      </c>
      <c r="K61" s="580" t="s">
        <v>167</v>
      </c>
      <c r="L61" s="582">
        <v>43949.9</v>
      </c>
      <c r="M61" s="582">
        <v>43949.9</v>
      </c>
      <c r="N61" s="585">
        <v>43949.9</v>
      </c>
      <c r="O61" s="587" t="s">
        <v>1216</v>
      </c>
      <c r="P61" s="583">
        <v>0.0</v>
      </c>
      <c r="Q61" s="584"/>
      <c r="R61" s="584"/>
      <c r="S61" s="584"/>
      <c r="T61" s="584"/>
      <c r="U61" s="584"/>
      <c r="V61" s="584"/>
      <c r="W61" s="584"/>
      <c r="X61" s="584"/>
      <c r="Y61" s="584"/>
      <c r="Z61" s="584"/>
      <c r="AA61" s="584"/>
      <c r="AB61" s="584"/>
      <c r="AC61" s="584"/>
      <c r="AD61" s="584"/>
      <c r="AE61" s="584"/>
      <c r="AF61" s="584"/>
    </row>
    <row r="62" ht="14.25" customHeight="1">
      <c r="A62" s="579">
        <v>52.0</v>
      </c>
      <c r="B62" s="580" t="s">
        <v>1107</v>
      </c>
      <c r="C62" s="581">
        <v>46189.0</v>
      </c>
      <c r="D62" s="581">
        <v>46189.0</v>
      </c>
      <c r="E62" s="581"/>
      <c r="F62" s="580" t="s">
        <v>1108</v>
      </c>
      <c r="G62" s="580" t="s">
        <v>1173</v>
      </c>
      <c r="H62" s="580" t="s">
        <v>1173</v>
      </c>
      <c r="I62" s="580" t="s">
        <v>1168</v>
      </c>
      <c r="J62" s="580" t="s">
        <v>1217</v>
      </c>
      <c r="K62" s="580" t="s">
        <v>167</v>
      </c>
      <c r="L62" s="582">
        <v>35582.6</v>
      </c>
      <c r="M62" s="582">
        <v>35582.6</v>
      </c>
      <c r="N62" s="585">
        <v>35582.6</v>
      </c>
      <c r="O62" s="587" t="s">
        <v>1218</v>
      </c>
      <c r="P62" s="583">
        <v>0.0</v>
      </c>
      <c r="Q62" s="584"/>
      <c r="R62" s="584"/>
      <c r="S62" s="584"/>
      <c r="T62" s="584"/>
      <c r="U62" s="584"/>
      <c r="V62" s="584"/>
      <c r="W62" s="584"/>
      <c r="X62" s="584"/>
      <c r="Y62" s="584"/>
      <c r="Z62" s="584"/>
      <c r="AA62" s="584"/>
      <c r="AB62" s="584"/>
      <c r="AC62" s="584"/>
      <c r="AD62" s="584"/>
      <c r="AE62" s="584"/>
      <c r="AF62" s="584"/>
    </row>
    <row r="63" ht="14.25" customHeight="1">
      <c r="A63" s="579">
        <v>54.0</v>
      </c>
      <c r="B63" s="580" t="s">
        <v>1107</v>
      </c>
      <c r="C63" s="581">
        <v>46189.0</v>
      </c>
      <c r="D63" s="581">
        <v>46189.0</v>
      </c>
      <c r="E63" s="581"/>
      <c r="F63" s="580" t="s">
        <v>1108</v>
      </c>
      <c r="G63" s="580" t="s">
        <v>1173</v>
      </c>
      <c r="H63" s="580" t="s">
        <v>1173</v>
      </c>
      <c r="I63" s="580" t="s">
        <v>1168</v>
      </c>
      <c r="J63" s="580" t="s">
        <v>1219</v>
      </c>
      <c r="K63" s="580" t="s">
        <v>167</v>
      </c>
      <c r="L63" s="582">
        <v>16592.1</v>
      </c>
      <c r="M63" s="582">
        <v>16592.1</v>
      </c>
      <c r="N63" s="585">
        <v>16592.1</v>
      </c>
      <c r="O63" s="587" t="s">
        <v>1220</v>
      </c>
      <c r="P63" s="583">
        <v>0.0</v>
      </c>
      <c r="Q63" s="584"/>
      <c r="R63" s="584"/>
      <c r="S63" s="584"/>
      <c r="T63" s="584"/>
      <c r="U63" s="584"/>
      <c r="V63" s="584"/>
      <c r="W63" s="584"/>
      <c r="X63" s="584"/>
      <c r="Y63" s="584"/>
      <c r="Z63" s="584"/>
      <c r="AA63" s="584"/>
      <c r="AB63" s="584"/>
      <c r="AC63" s="584"/>
      <c r="AD63" s="584"/>
      <c r="AE63" s="584"/>
      <c r="AF63" s="584"/>
    </row>
    <row r="64" ht="14.25" customHeight="1">
      <c r="A64" s="579">
        <v>59.0</v>
      </c>
      <c r="B64" s="580" t="s">
        <v>1107</v>
      </c>
      <c r="C64" s="581">
        <v>46189.0</v>
      </c>
      <c r="D64" s="581">
        <v>46189.0</v>
      </c>
      <c r="E64" s="581"/>
      <c r="F64" s="580" t="s">
        <v>1108</v>
      </c>
      <c r="G64" s="580" t="s">
        <v>1221</v>
      </c>
      <c r="H64" s="580" t="s">
        <v>1221</v>
      </c>
      <c r="I64" s="580" t="s">
        <v>1168</v>
      </c>
      <c r="J64" s="580" t="s">
        <v>1222</v>
      </c>
      <c r="K64" s="580" t="s">
        <v>167</v>
      </c>
      <c r="L64" s="582">
        <v>17874.84</v>
      </c>
      <c r="M64" s="582">
        <v>17874.84</v>
      </c>
      <c r="N64" s="585">
        <v>17874.84</v>
      </c>
      <c r="O64" s="587" t="s">
        <v>1223</v>
      </c>
      <c r="P64" s="583">
        <v>0.0</v>
      </c>
      <c r="Q64" s="584"/>
      <c r="R64" s="584"/>
      <c r="S64" s="584"/>
      <c r="T64" s="584"/>
      <c r="U64" s="584"/>
      <c r="V64" s="584"/>
      <c r="W64" s="584"/>
      <c r="X64" s="584"/>
      <c r="Y64" s="584"/>
      <c r="Z64" s="584"/>
      <c r="AA64" s="584"/>
      <c r="AB64" s="584"/>
      <c r="AC64" s="584"/>
      <c r="AD64" s="584"/>
      <c r="AE64" s="584"/>
      <c r="AF64" s="584"/>
    </row>
    <row r="65" ht="14.25" customHeight="1">
      <c r="A65" s="579">
        <v>60.0</v>
      </c>
      <c r="B65" s="580" t="s">
        <v>1107</v>
      </c>
      <c r="C65" s="581">
        <v>46189.0</v>
      </c>
      <c r="D65" s="581">
        <v>46189.0</v>
      </c>
      <c r="E65" s="581"/>
      <c r="F65" s="580" t="s">
        <v>1108</v>
      </c>
      <c r="G65" s="580" t="s">
        <v>1173</v>
      </c>
      <c r="H65" s="580" t="s">
        <v>1173</v>
      </c>
      <c r="I65" s="580" t="s">
        <v>1168</v>
      </c>
      <c r="J65" s="580" t="s">
        <v>1224</v>
      </c>
      <c r="K65" s="580" t="s">
        <v>167</v>
      </c>
      <c r="L65" s="582">
        <v>7339.06</v>
      </c>
      <c r="M65" s="582">
        <v>7339.06</v>
      </c>
      <c r="N65" s="585">
        <v>7339.06</v>
      </c>
      <c r="O65" s="587" t="s">
        <v>1225</v>
      </c>
      <c r="P65" s="583">
        <v>0.0</v>
      </c>
      <c r="Q65" s="584"/>
      <c r="R65" s="584"/>
      <c r="S65" s="584"/>
      <c r="T65" s="584"/>
      <c r="U65" s="584"/>
      <c r="V65" s="584"/>
      <c r="W65" s="584"/>
      <c r="X65" s="584"/>
      <c r="Y65" s="584"/>
      <c r="Z65" s="584"/>
      <c r="AA65" s="584"/>
      <c r="AB65" s="584"/>
      <c r="AC65" s="584"/>
      <c r="AD65" s="584"/>
      <c r="AE65" s="584"/>
      <c r="AF65" s="584"/>
    </row>
    <row r="66" ht="14.25" customHeight="1">
      <c r="A66" s="579">
        <v>61.0</v>
      </c>
      <c r="B66" s="580" t="s">
        <v>1107</v>
      </c>
      <c r="C66" s="581">
        <v>46189.0</v>
      </c>
      <c r="D66" s="581">
        <v>46189.0</v>
      </c>
      <c r="E66" s="581"/>
      <c r="F66" s="580" t="s">
        <v>1108</v>
      </c>
      <c r="G66" s="580" t="s">
        <v>1173</v>
      </c>
      <c r="H66" s="580" t="s">
        <v>1173</v>
      </c>
      <c r="I66" s="580" t="s">
        <v>1168</v>
      </c>
      <c r="J66" s="580" t="s">
        <v>1226</v>
      </c>
      <c r="K66" s="580" t="s">
        <v>167</v>
      </c>
      <c r="L66" s="582">
        <v>51504.31</v>
      </c>
      <c r="M66" s="582">
        <v>51504.31</v>
      </c>
      <c r="N66" s="585">
        <v>51504.31</v>
      </c>
      <c r="O66" s="587" t="s">
        <v>1227</v>
      </c>
      <c r="P66" s="583">
        <v>0.0</v>
      </c>
      <c r="Q66" s="584"/>
      <c r="R66" s="584"/>
      <c r="S66" s="584"/>
      <c r="T66" s="584"/>
      <c r="U66" s="584"/>
      <c r="V66" s="584"/>
      <c r="W66" s="584"/>
      <c r="X66" s="584"/>
      <c r="Y66" s="584"/>
      <c r="Z66" s="584"/>
      <c r="AA66" s="584"/>
      <c r="AB66" s="584"/>
      <c r="AC66" s="584"/>
      <c r="AD66" s="584"/>
      <c r="AE66" s="584"/>
      <c r="AF66" s="584"/>
    </row>
    <row r="67" ht="14.25" customHeight="1">
      <c r="A67" s="579">
        <v>64.0</v>
      </c>
      <c r="B67" s="580" t="s">
        <v>1107</v>
      </c>
      <c r="C67" s="581">
        <v>46189.0</v>
      </c>
      <c r="D67" s="581">
        <v>46189.0</v>
      </c>
      <c r="E67" s="581"/>
      <c r="F67" s="580" t="s">
        <v>1108</v>
      </c>
      <c r="G67" s="580" t="s">
        <v>1228</v>
      </c>
      <c r="H67" s="580" t="s">
        <v>1228</v>
      </c>
      <c r="I67" s="580" t="s">
        <v>1168</v>
      </c>
      <c r="J67" s="580" t="s">
        <v>1229</v>
      </c>
      <c r="K67" s="580" t="s">
        <v>167</v>
      </c>
      <c r="L67" s="582">
        <v>44537.57</v>
      </c>
      <c r="M67" s="582">
        <v>44537.57</v>
      </c>
      <c r="N67" s="585">
        <v>44537.57</v>
      </c>
      <c r="O67" s="587" t="s">
        <v>1230</v>
      </c>
      <c r="P67" s="583">
        <v>0.0</v>
      </c>
      <c r="Q67" s="584"/>
      <c r="R67" s="584"/>
      <c r="S67" s="584"/>
      <c r="T67" s="584"/>
      <c r="U67" s="584"/>
      <c r="V67" s="584"/>
      <c r="W67" s="584"/>
      <c r="X67" s="584"/>
      <c r="Y67" s="584"/>
      <c r="Z67" s="584"/>
      <c r="AA67" s="584"/>
      <c r="AB67" s="584"/>
      <c r="AC67" s="584"/>
      <c r="AD67" s="584"/>
      <c r="AE67" s="584"/>
      <c r="AF67" s="584"/>
    </row>
    <row r="68" ht="14.25" customHeight="1">
      <c r="A68" s="579">
        <v>67.0</v>
      </c>
      <c r="B68" s="580" t="s">
        <v>1107</v>
      </c>
      <c r="C68" s="581">
        <v>46189.0</v>
      </c>
      <c r="D68" s="581">
        <v>46189.0</v>
      </c>
      <c r="E68" s="581"/>
      <c r="F68" s="580" t="s">
        <v>1108</v>
      </c>
      <c r="G68" s="580" t="s">
        <v>1173</v>
      </c>
      <c r="H68" s="580" t="s">
        <v>1173</v>
      </c>
      <c r="I68" s="580" t="s">
        <v>1168</v>
      </c>
      <c r="J68" s="580" t="s">
        <v>1231</v>
      </c>
      <c r="K68" s="580" t="s">
        <v>167</v>
      </c>
      <c r="L68" s="582">
        <v>2581.66</v>
      </c>
      <c r="M68" s="582">
        <v>2581.66</v>
      </c>
      <c r="N68" s="585">
        <v>2581.66</v>
      </c>
      <c r="O68" s="587" t="s">
        <v>1232</v>
      </c>
      <c r="P68" s="583">
        <v>0.0</v>
      </c>
      <c r="Q68" s="584"/>
      <c r="R68" s="584"/>
      <c r="S68" s="584"/>
      <c r="T68" s="584"/>
      <c r="U68" s="584"/>
      <c r="V68" s="584"/>
      <c r="W68" s="584"/>
      <c r="X68" s="584"/>
      <c r="Y68" s="584"/>
      <c r="Z68" s="584"/>
      <c r="AA68" s="584"/>
      <c r="AB68" s="584"/>
      <c r="AC68" s="584"/>
      <c r="AD68" s="584"/>
      <c r="AE68" s="584"/>
      <c r="AF68" s="584"/>
    </row>
    <row r="69" ht="14.25" customHeight="1">
      <c r="A69" s="579">
        <v>68.0</v>
      </c>
      <c r="B69" s="580" t="s">
        <v>1107</v>
      </c>
      <c r="C69" s="581">
        <v>46189.0</v>
      </c>
      <c r="D69" s="581">
        <v>46189.0</v>
      </c>
      <c r="E69" s="581"/>
      <c r="F69" s="580" t="s">
        <v>1108</v>
      </c>
      <c r="G69" s="580" t="s">
        <v>1173</v>
      </c>
      <c r="H69" s="580" t="s">
        <v>1173</v>
      </c>
      <c r="I69" s="580" t="s">
        <v>1168</v>
      </c>
      <c r="J69" s="580" t="s">
        <v>1233</v>
      </c>
      <c r="K69" s="580" t="s">
        <v>167</v>
      </c>
      <c r="L69" s="582">
        <v>44237.12</v>
      </c>
      <c r="M69" s="582">
        <v>44237.12</v>
      </c>
      <c r="N69" s="585">
        <v>44237.12</v>
      </c>
      <c r="O69" s="587" t="s">
        <v>1234</v>
      </c>
      <c r="P69" s="583">
        <v>0.0</v>
      </c>
      <c r="Q69" s="584"/>
      <c r="R69" s="584"/>
      <c r="S69" s="584"/>
      <c r="T69" s="584"/>
      <c r="U69" s="584"/>
      <c r="V69" s="584"/>
      <c r="W69" s="584"/>
      <c r="X69" s="584"/>
      <c r="Y69" s="584"/>
      <c r="Z69" s="584"/>
      <c r="AA69" s="584"/>
      <c r="AB69" s="584"/>
      <c r="AC69" s="584"/>
      <c r="AD69" s="584"/>
      <c r="AE69" s="584"/>
      <c r="AF69" s="584"/>
    </row>
    <row r="70" ht="14.25" customHeight="1">
      <c r="A70" s="579">
        <v>71.0</v>
      </c>
      <c r="B70" s="580" t="s">
        <v>1107</v>
      </c>
      <c r="C70" s="581">
        <v>46189.0</v>
      </c>
      <c r="D70" s="581">
        <v>46189.0</v>
      </c>
      <c r="E70" s="581"/>
      <c r="F70" s="580" t="s">
        <v>1108</v>
      </c>
      <c r="G70" s="580" t="s">
        <v>1173</v>
      </c>
      <c r="H70" s="580" t="s">
        <v>1173</v>
      </c>
      <c r="I70" s="580" t="s">
        <v>1168</v>
      </c>
      <c r="J70" s="580" t="s">
        <v>1235</v>
      </c>
      <c r="K70" s="580" t="s">
        <v>167</v>
      </c>
      <c r="L70" s="582">
        <v>27426.64</v>
      </c>
      <c r="M70" s="582">
        <v>27426.64</v>
      </c>
      <c r="N70" s="585">
        <v>27426.64</v>
      </c>
      <c r="O70" s="587" t="s">
        <v>1236</v>
      </c>
      <c r="P70" s="583">
        <v>0.0</v>
      </c>
      <c r="Q70" s="584"/>
      <c r="R70" s="584"/>
      <c r="S70" s="584"/>
      <c r="T70" s="584"/>
      <c r="U70" s="584"/>
      <c r="V70" s="584"/>
      <c r="W70" s="584"/>
      <c r="X70" s="584"/>
      <c r="Y70" s="584"/>
      <c r="Z70" s="584"/>
      <c r="AA70" s="584"/>
      <c r="AB70" s="584"/>
      <c r="AC70" s="584"/>
      <c r="AD70" s="584"/>
      <c r="AE70" s="584"/>
      <c r="AF70" s="584"/>
    </row>
    <row r="71" ht="14.25" customHeight="1">
      <c r="A71" s="579">
        <v>74.0</v>
      </c>
      <c r="B71" s="580" t="s">
        <v>1107</v>
      </c>
      <c r="C71" s="581">
        <v>46189.0</v>
      </c>
      <c r="D71" s="581">
        <v>46189.0</v>
      </c>
      <c r="E71" s="581"/>
      <c r="F71" s="580" t="s">
        <v>1108</v>
      </c>
      <c r="G71" s="589">
        <v>5.6052E82</v>
      </c>
      <c r="H71" s="589">
        <v>5.6052E82</v>
      </c>
      <c r="I71" s="580" t="s">
        <v>1168</v>
      </c>
      <c r="J71" s="580" t="s">
        <v>1237</v>
      </c>
      <c r="K71" s="580" t="s">
        <v>167</v>
      </c>
      <c r="L71" s="582">
        <v>64859.79</v>
      </c>
      <c r="M71" s="582">
        <v>64859.79</v>
      </c>
      <c r="N71" s="585">
        <v>64859.79</v>
      </c>
      <c r="O71" s="587" t="s">
        <v>1238</v>
      </c>
      <c r="P71" s="583">
        <v>0.0</v>
      </c>
      <c r="Q71" s="584"/>
      <c r="R71" s="584"/>
      <c r="S71" s="584"/>
      <c r="T71" s="584"/>
      <c r="U71" s="584"/>
      <c r="V71" s="584"/>
      <c r="W71" s="584"/>
      <c r="X71" s="584"/>
      <c r="Y71" s="584"/>
      <c r="Z71" s="584"/>
      <c r="AA71" s="584"/>
      <c r="AB71" s="584"/>
      <c r="AC71" s="584"/>
      <c r="AD71" s="584"/>
      <c r="AE71" s="584"/>
      <c r="AF71" s="584"/>
    </row>
    <row r="72" ht="14.25" customHeight="1">
      <c r="A72" s="579">
        <v>76.0</v>
      </c>
      <c r="B72" s="580" t="s">
        <v>1107</v>
      </c>
      <c r="C72" s="581">
        <v>46189.0</v>
      </c>
      <c r="D72" s="581">
        <v>46189.0</v>
      </c>
      <c r="E72" s="581"/>
      <c r="F72" s="580" t="s">
        <v>1108</v>
      </c>
      <c r="G72" s="580">
        <v>1.3514756E7</v>
      </c>
      <c r="H72" s="580">
        <v>1.3514756E7</v>
      </c>
      <c r="I72" s="580" t="s">
        <v>1168</v>
      </c>
      <c r="J72" s="580" t="s">
        <v>1239</v>
      </c>
      <c r="K72" s="580" t="s">
        <v>167</v>
      </c>
      <c r="L72" s="582">
        <v>31145.92</v>
      </c>
      <c r="M72" s="582">
        <v>31145.92</v>
      </c>
      <c r="N72" s="585">
        <v>31145.92</v>
      </c>
      <c r="O72" s="587" t="s">
        <v>1240</v>
      </c>
      <c r="P72" s="583">
        <v>0.0</v>
      </c>
      <c r="Q72" s="584"/>
      <c r="R72" s="584"/>
      <c r="S72" s="584"/>
      <c r="T72" s="584"/>
      <c r="U72" s="584"/>
      <c r="V72" s="584"/>
      <c r="W72" s="584"/>
      <c r="X72" s="584"/>
      <c r="Y72" s="584"/>
      <c r="Z72" s="584"/>
      <c r="AA72" s="584"/>
      <c r="AB72" s="584"/>
      <c r="AC72" s="584"/>
      <c r="AD72" s="584"/>
      <c r="AE72" s="584"/>
      <c r="AF72" s="584"/>
    </row>
    <row r="73" ht="14.25" customHeight="1">
      <c r="A73" s="579">
        <v>79.0</v>
      </c>
      <c r="B73" s="580" t="s">
        <v>1107</v>
      </c>
      <c r="C73" s="581">
        <v>46189.0</v>
      </c>
      <c r="D73" s="581">
        <v>46189.0</v>
      </c>
      <c r="E73" s="581"/>
      <c r="F73" s="580" t="s">
        <v>1108</v>
      </c>
      <c r="G73" s="589">
        <v>1.166904204E9</v>
      </c>
      <c r="H73" s="589">
        <v>1.166904204E9</v>
      </c>
      <c r="I73" s="580" t="s">
        <v>1168</v>
      </c>
      <c r="J73" s="580" t="s">
        <v>1241</v>
      </c>
      <c r="K73" s="580" t="s">
        <v>167</v>
      </c>
      <c r="L73" s="582">
        <v>49632.32</v>
      </c>
      <c r="M73" s="582">
        <v>49632.32</v>
      </c>
      <c r="N73" s="585">
        <v>49632.32</v>
      </c>
      <c r="O73" s="587" t="s">
        <v>1242</v>
      </c>
      <c r="P73" s="583">
        <v>0.0</v>
      </c>
      <c r="Q73" s="584"/>
      <c r="R73" s="584"/>
      <c r="S73" s="584"/>
      <c r="T73" s="584"/>
      <c r="U73" s="584"/>
      <c r="V73" s="584"/>
      <c r="W73" s="584"/>
      <c r="X73" s="584"/>
      <c r="Y73" s="584"/>
      <c r="Z73" s="584"/>
      <c r="AA73" s="584"/>
      <c r="AB73" s="584"/>
      <c r="AC73" s="584"/>
      <c r="AD73" s="584"/>
      <c r="AE73" s="584"/>
      <c r="AF73" s="584"/>
    </row>
    <row r="74" ht="14.25" customHeight="1">
      <c r="A74" s="579">
        <v>80.0</v>
      </c>
      <c r="B74" s="580" t="s">
        <v>1107</v>
      </c>
      <c r="C74" s="581">
        <v>46189.0</v>
      </c>
      <c r="D74" s="581">
        <v>46189.0</v>
      </c>
      <c r="E74" s="581"/>
      <c r="F74" s="580" t="s">
        <v>1108</v>
      </c>
      <c r="G74" s="580">
        <v>1.166871621E9</v>
      </c>
      <c r="H74" s="580">
        <v>1.166871621E9</v>
      </c>
      <c r="I74" s="580" t="s">
        <v>1168</v>
      </c>
      <c r="J74" s="580" t="s">
        <v>1243</v>
      </c>
      <c r="K74" s="580" t="s">
        <v>167</v>
      </c>
      <c r="L74" s="582">
        <v>8254.18</v>
      </c>
      <c r="M74" s="582">
        <v>8254.18</v>
      </c>
      <c r="N74" s="585">
        <v>8254.18</v>
      </c>
      <c r="O74" s="587" t="s">
        <v>1244</v>
      </c>
      <c r="P74" s="583">
        <v>0.0</v>
      </c>
      <c r="Q74" s="584"/>
      <c r="R74" s="584"/>
      <c r="S74" s="584"/>
      <c r="T74" s="584"/>
      <c r="U74" s="584"/>
      <c r="V74" s="584"/>
      <c r="W74" s="584"/>
      <c r="X74" s="584"/>
      <c r="Y74" s="584"/>
      <c r="Z74" s="584"/>
      <c r="AA74" s="584"/>
      <c r="AB74" s="584"/>
      <c r="AC74" s="584"/>
      <c r="AD74" s="584"/>
      <c r="AE74" s="584"/>
      <c r="AF74" s="584"/>
    </row>
    <row r="75" ht="14.25" customHeight="1">
      <c r="A75" s="579">
        <v>84.0</v>
      </c>
      <c r="B75" s="580" t="s">
        <v>1107</v>
      </c>
      <c r="C75" s="581">
        <v>46189.0</v>
      </c>
      <c r="D75" s="581">
        <v>46189.0</v>
      </c>
      <c r="E75" s="581"/>
      <c r="F75" s="580" t="s">
        <v>1108</v>
      </c>
      <c r="G75" s="580">
        <v>1.3507669E7</v>
      </c>
      <c r="H75" s="580">
        <v>1.3507669E7</v>
      </c>
      <c r="I75" s="580" t="s">
        <v>1168</v>
      </c>
      <c r="J75" s="580" t="s">
        <v>1245</v>
      </c>
      <c r="K75" s="580" t="s">
        <v>167</v>
      </c>
      <c r="L75" s="582">
        <v>19712.23</v>
      </c>
      <c r="M75" s="582">
        <v>19712.23</v>
      </c>
      <c r="N75" s="585">
        <v>19712.23</v>
      </c>
      <c r="O75" s="587" t="s">
        <v>1246</v>
      </c>
      <c r="P75" s="583">
        <v>0.0</v>
      </c>
      <c r="Q75" s="584"/>
      <c r="R75" s="584"/>
      <c r="S75" s="584"/>
      <c r="T75" s="584"/>
      <c r="U75" s="584"/>
      <c r="V75" s="584"/>
      <c r="W75" s="584"/>
      <c r="X75" s="584"/>
      <c r="Y75" s="584"/>
      <c r="Z75" s="584"/>
      <c r="AA75" s="584"/>
      <c r="AB75" s="584"/>
      <c r="AC75" s="584"/>
      <c r="AD75" s="584"/>
      <c r="AE75" s="584"/>
      <c r="AF75" s="584"/>
    </row>
    <row r="76" ht="14.25" customHeight="1">
      <c r="A76" s="579">
        <v>89.0</v>
      </c>
      <c r="B76" s="580" t="s">
        <v>1107</v>
      </c>
      <c r="C76" s="581">
        <v>46189.0</v>
      </c>
      <c r="D76" s="581">
        <v>46189.0</v>
      </c>
      <c r="E76" s="581"/>
      <c r="F76" s="580" t="s">
        <v>1108</v>
      </c>
      <c r="G76" s="580" t="s">
        <v>1247</v>
      </c>
      <c r="H76" s="580" t="s">
        <v>1247</v>
      </c>
      <c r="I76" s="580" t="s">
        <v>1168</v>
      </c>
      <c r="J76" s="580" t="s">
        <v>1248</v>
      </c>
      <c r="K76" s="580" t="s">
        <v>167</v>
      </c>
      <c r="L76" s="582">
        <v>20000.0</v>
      </c>
      <c r="M76" s="582">
        <v>20000.0</v>
      </c>
      <c r="N76" s="585">
        <v>20000.0</v>
      </c>
      <c r="O76" s="587" t="s">
        <v>1249</v>
      </c>
      <c r="P76" s="583">
        <v>0.0</v>
      </c>
      <c r="Q76" s="584"/>
      <c r="R76" s="584"/>
      <c r="S76" s="584"/>
      <c r="T76" s="584"/>
      <c r="U76" s="584"/>
      <c r="V76" s="584"/>
      <c r="W76" s="584"/>
      <c r="X76" s="584"/>
      <c r="Y76" s="584"/>
      <c r="Z76" s="584"/>
      <c r="AA76" s="584"/>
      <c r="AB76" s="584"/>
      <c r="AC76" s="584"/>
      <c r="AD76" s="584"/>
      <c r="AE76" s="584"/>
      <c r="AF76" s="584"/>
    </row>
    <row r="77" ht="14.25" customHeight="1">
      <c r="A77" s="579">
        <v>90.0</v>
      </c>
      <c r="B77" s="580" t="s">
        <v>1107</v>
      </c>
      <c r="C77" s="581">
        <v>46189.0</v>
      </c>
      <c r="D77" s="581">
        <v>46189.0</v>
      </c>
      <c r="E77" s="581"/>
      <c r="F77" s="580" t="s">
        <v>1108</v>
      </c>
      <c r="G77" s="580">
        <v>1.3496018E7</v>
      </c>
      <c r="H77" s="580">
        <v>1.3496018E7</v>
      </c>
      <c r="I77" s="580" t="s">
        <v>1168</v>
      </c>
      <c r="J77" s="580" t="s">
        <v>1250</v>
      </c>
      <c r="K77" s="580" t="s">
        <v>167</v>
      </c>
      <c r="L77" s="582">
        <v>83512.32</v>
      </c>
      <c r="M77" s="582">
        <v>83512.32</v>
      </c>
      <c r="N77" s="585">
        <v>83512.32</v>
      </c>
      <c r="O77" s="587" t="s">
        <v>1251</v>
      </c>
      <c r="P77" s="583">
        <v>0.0</v>
      </c>
      <c r="Q77" s="584"/>
      <c r="R77" s="584"/>
      <c r="S77" s="584"/>
      <c r="T77" s="584"/>
      <c r="U77" s="584"/>
      <c r="V77" s="584"/>
      <c r="W77" s="584"/>
      <c r="X77" s="584"/>
      <c r="Y77" s="584"/>
      <c r="Z77" s="584"/>
      <c r="AA77" s="584"/>
      <c r="AB77" s="584"/>
      <c r="AC77" s="584"/>
      <c r="AD77" s="584"/>
      <c r="AE77" s="584"/>
      <c r="AF77" s="584"/>
    </row>
    <row r="78" ht="14.25" customHeight="1">
      <c r="A78" s="579">
        <v>92.0</v>
      </c>
      <c r="B78" s="580" t="s">
        <v>1107</v>
      </c>
      <c r="C78" s="581">
        <v>46189.0</v>
      </c>
      <c r="D78" s="581">
        <v>46189.0</v>
      </c>
      <c r="E78" s="581"/>
      <c r="F78" s="580" t="s">
        <v>1108</v>
      </c>
      <c r="G78" s="580" t="s">
        <v>1252</v>
      </c>
      <c r="H78" s="580" t="s">
        <v>1252</v>
      </c>
      <c r="I78" s="580" t="s">
        <v>1168</v>
      </c>
      <c r="J78" s="580" t="s">
        <v>1253</v>
      </c>
      <c r="K78" s="580" t="s">
        <v>167</v>
      </c>
      <c r="L78" s="582">
        <v>55000.0</v>
      </c>
      <c r="M78" s="582">
        <v>55000.0</v>
      </c>
      <c r="N78" s="585">
        <v>55000.0</v>
      </c>
      <c r="O78" s="587" t="s">
        <v>1254</v>
      </c>
      <c r="P78" s="583">
        <v>0.0</v>
      </c>
      <c r="Q78" s="584"/>
      <c r="R78" s="584"/>
      <c r="S78" s="584"/>
      <c r="T78" s="584"/>
      <c r="U78" s="584"/>
      <c r="V78" s="584"/>
      <c r="W78" s="584"/>
      <c r="X78" s="584"/>
      <c r="Y78" s="584"/>
      <c r="Z78" s="584"/>
      <c r="AA78" s="584"/>
      <c r="AB78" s="584"/>
      <c r="AC78" s="584"/>
      <c r="AD78" s="584"/>
      <c r="AE78" s="584"/>
      <c r="AF78" s="584"/>
    </row>
    <row r="79" ht="14.25" customHeight="1">
      <c r="A79" s="579">
        <v>93.0</v>
      </c>
      <c r="B79" s="580" t="s">
        <v>1107</v>
      </c>
      <c r="C79" s="581">
        <v>46189.0</v>
      </c>
      <c r="D79" s="581">
        <v>46189.0</v>
      </c>
      <c r="E79" s="581"/>
      <c r="F79" s="580" t="s">
        <v>1108</v>
      </c>
      <c r="G79" s="580" t="s">
        <v>1173</v>
      </c>
      <c r="H79" s="580" t="s">
        <v>1173</v>
      </c>
      <c r="I79" s="580" t="s">
        <v>1168</v>
      </c>
      <c r="J79" s="580" t="s">
        <v>1255</v>
      </c>
      <c r="K79" s="580" t="s">
        <v>167</v>
      </c>
      <c r="L79" s="582">
        <v>5286.03</v>
      </c>
      <c r="M79" s="582">
        <v>5286.03</v>
      </c>
      <c r="N79" s="585">
        <v>5286.03</v>
      </c>
      <c r="O79" s="587" t="s">
        <v>1256</v>
      </c>
      <c r="P79" s="583">
        <v>0.0</v>
      </c>
      <c r="Q79" s="584"/>
      <c r="R79" s="584"/>
      <c r="S79" s="584"/>
      <c r="T79" s="584"/>
      <c r="U79" s="584"/>
      <c r="V79" s="584"/>
      <c r="W79" s="584"/>
      <c r="X79" s="584"/>
      <c r="Y79" s="584"/>
      <c r="Z79" s="584"/>
      <c r="AA79" s="584"/>
      <c r="AB79" s="584"/>
      <c r="AC79" s="584"/>
      <c r="AD79" s="584"/>
      <c r="AE79" s="584"/>
      <c r="AF79" s="584"/>
    </row>
    <row r="80" ht="14.25" customHeight="1">
      <c r="A80" s="579">
        <v>96.0</v>
      </c>
      <c r="B80" s="580" t="s">
        <v>1107</v>
      </c>
      <c r="C80" s="581">
        <v>46189.0</v>
      </c>
      <c r="D80" s="581">
        <v>46189.0</v>
      </c>
      <c r="E80" s="581"/>
      <c r="F80" s="580" t="s">
        <v>1108</v>
      </c>
      <c r="G80" s="580" t="s">
        <v>1173</v>
      </c>
      <c r="H80" s="580" t="s">
        <v>1173</v>
      </c>
      <c r="I80" s="580" t="s">
        <v>1168</v>
      </c>
      <c r="J80" s="580" t="s">
        <v>1257</v>
      </c>
      <c r="K80" s="580" t="s">
        <v>167</v>
      </c>
      <c r="L80" s="582">
        <v>21416.98</v>
      </c>
      <c r="M80" s="590">
        <v>21416.98</v>
      </c>
      <c r="N80" s="585">
        <v>21416.98</v>
      </c>
      <c r="O80" s="586" t="s">
        <v>1258</v>
      </c>
      <c r="P80" s="583">
        <v>0.0</v>
      </c>
      <c r="Q80" s="584"/>
      <c r="R80" s="584"/>
      <c r="S80" s="584"/>
      <c r="T80" s="584"/>
      <c r="U80" s="584"/>
      <c r="V80" s="584"/>
      <c r="W80" s="584"/>
      <c r="X80" s="584"/>
      <c r="Y80" s="584"/>
      <c r="Z80" s="584"/>
      <c r="AA80" s="584"/>
      <c r="AB80" s="584"/>
      <c r="AC80" s="584"/>
      <c r="AD80" s="584"/>
      <c r="AE80" s="584"/>
      <c r="AF80" s="584"/>
    </row>
    <row r="81" ht="14.25" customHeight="1">
      <c r="A81" s="579">
        <v>98.0</v>
      </c>
      <c r="B81" s="580" t="s">
        <v>1107</v>
      </c>
      <c r="C81" s="581">
        <v>46189.0</v>
      </c>
      <c r="D81" s="581">
        <v>46189.0</v>
      </c>
      <c r="E81" s="581"/>
      <c r="F81" s="580" t="s">
        <v>1108</v>
      </c>
      <c r="G81" s="580" t="s">
        <v>1259</v>
      </c>
      <c r="H81" s="580" t="s">
        <v>1259</v>
      </c>
      <c r="I81" s="580" t="s">
        <v>1168</v>
      </c>
      <c r="J81" s="580" t="s">
        <v>1260</v>
      </c>
      <c r="K81" s="580" t="s">
        <v>167</v>
      </c>
      <c r="L81" s="582">
        <v>16098.81</v>
      </c>
      <c r="M81" s="582">
        <v>16098.81</v>
      </c>
      <c r="N81" s="591">
        <v>16098.81</v>
      </c>
      <c r="O81" s="587" t="s">
        <v>1261</v>
      </c>
      <c r="P81" s="583">
        <v>0.0</v>
      </c>
      <c r="Q81" s="584"/>
      <c r="R81" s="584"/>
      <c r="S81" s="584"/>
      <c r="T81" s="584"/>
      <c r="U81" s="584"/>
      <c r="V81" s="584"/>
      <c r="W81" s="584"/>
      <c r="X81" s="584"/>
      <c r="Y81" s="584"/>
      <c r="Z81" s="584"/>
      <c r="AA81" s="584"/>
      <c r="AB81" s="584"/>
      <c r="AC81" s="584"/>
      <c r="AD81" s="584"/>
      <c r="AE81" s="584"/>
      <c r="AF81" s="584"/>
    </row>
    <row r="82" ht="14.25" customHeight="1">
      <c r="A82" s="579">
        <v>102.0</v>
      </c>
      <c r="B82" s="580" t="s">
        <v>1107</v>
      </c>
      <c r="C82" s="581">
        <v>46189.0</v>
      </c>
      <c r="D82" s="581">
        <v>46189.0</v>
      </c>
      <c r="E82" s="581"/>
      <c r="F82" s="580" t="s">
        <v>1108</v>
      </c>
      <c r="G82" s="580">
        <v>1.3503903E7</v>
      </c>
      <c r="H82" s="580">
        <v>1.3503903E7</v>
      </c>
      <c r="I82" s="580" t="s">
        <v>1168</v>
      </c>
      <c r="J82" s="580" t="s">
        <v>1262</v>
      </c>
      <c r="K82" s="580" t="s">
        <v>167</v>
      </c>
      <c r="L82" s="582">
        <v>65144.8</v>
      </c>
      <c r="M82" s="582">
        <v>65144.8</v>
      </c>
      <c r="N82" s="585">
        <v>65144.8</v>
      </c>
      <c r="O82" s="580" t="s">
        <v>1263</v>
      </c>
      <c r="P82" s="583">
        <v>0.0</v>
      </c>
      <c r="Q82" s="584"/>
      <c r="R82" s="584"/>
      <c r="S82" s="584"/>
      <c r="T82" s="584"/>
      <c r="U82" s="584"/>
      <c r="V82" s="584"/>
      <c r="W82" s="584"/>
      <c r="X82" s="584"/>
      <c r="Y82" s="584"/>
      <c r="Z82" s="584"/>
      <c r="AA82" s="584"/>
      <c r="AB82" s="584"/>
      <c r="AC82" s="584"/>
      <c r="AD82" s="584"/>
      <c r="AE82" s="584"/>
      <c r="AF82" s="584"/>
    </row>
    <row r="83" ht="14.25" customHeight="1">
      <c r="A83" s="579">
        <v>103.0</v>
      </c>
      <c r="B83" s="580" t="s">
        <v>1107</v>
      </c>
      <c r="C83" s="581">
        <v>46189.0</v>
      </c>
      <c r="D83" s="581">
        <v>46189.0</v>
      </c>
      <c r="E83" s="581"/>
      <c r="F83" s="580" t="s">
        <v>1108</v>
      </c>
      <c r="G83" s="580" t="s">
        <v>1173</v>
      </c>
      <c r="H83" s="580" t="s">
        <v>1173</v>
      </c>
      <c r="I83" s="580" t="s">
        <v>1168</v>
      </c>
      <c r="J83" s="580" t="s">
        <v>1264</v>
      </c>
      <c r="K83" s="580" t="s">
        <v>167</v>
      </c>
      <c r="L83" s="582">
        <v>11758.3</v>
      </c>
      <c r="M83" s="582">
        <v>11758.3</v>
      </c>
      <c r="N83" s="585">
        <v>11758.3</v>
      </c>
      <c r="O83" s="587" t="s">
        <v>1265</v>
      </c>
      <c r="P83" s="583">
        <v>0.0</v>
      </c>
      <c r="Q83" s="584"/>
      <c r="R83" s="584"/>
      <c r="S83" s="584"/>
      <c r="T83" s="584"/>
      <c r="U83" s="584"/>
      <c r="V83" s="584"/>
      <c r="W83" s="584"/>
      <c r="X83" s="584"/>
      <c r="Y83" s="584"/>
      <c r="Z83" s="584"/>
      <c r="AA83" s="584"/>
      <c r="AB83" s="584"/>
      <c r="AC83" s="584"/>
      <c r="AD83" s="584"/>
      <c r="AE83" s="584"/>
      <c r="AF83" s="584"/>
    </row>
    <row r="84" ht="14.25" customHeight="1">
      <c r="A84" s="579">
        <v>107.0</v>
      </c>
      <c r="B84" s="580" t="s">
        <v>1107</v>
      </c>
      <c r="C84" s="581">
        <v>46189.0</v>
      </c>
      <c r="D84" s="581">
        <v>46189.0</v>
      </c>
      <c r="E84" s="581"/>
      <c r="F84" s="580" t="s">
        <v>1108</v>
      </c>
      <c r="G84" s="580">
        <v>1.3506646E7</v>
      </c>
      <c r="H84" s="580">
        <v>1.3506646E7</v>
      </c>
      <c r="I84" s="580" t="s">
        <v>1168</v>
      </c>
      <c r="J84" s="580" t="s">
        <v>1266</v>
      </c>
      <c r="K84" s="580" t="s">
        <v>167</v>
      </c>
      <c r="L84" s="582">
        <v>8101.05</v>
      </c>
      <c r="M84" s="582">
        <v>8101.05</v>
      </c>
      <c r="N84" s="585">
        <v>8101.05</v>
      </c>
      <c r="O84" s="580" t="s">
        <v>1267</v>
      </c>
      <c r="P84" s="583">
        <v>0.0</v>
      </c>
      <c r="Q84" s="584"/>
      <c r="R84" s="584"/>
      <c r="S84" s="584"/>
      <c r="T84" s="584"/>
      <c r="U84" s="584"/>
      <c r="V84" s="584"/>
      <c r="W84" s="584"/>
      <c r="X84" s="584"/>
      <c r="Y84" s="584"/>
      <c r="Z84" s="584"/>
      <c r="AA84" s="584"/>
      <c r="AB84" s="584"/>
      <c r="AC84" s="584"/>
      <c r="AD84" s="584"/>
      <c r="AE84" s="584"/>
      <c r="AF84" s="584"/>
    </row>
    <row r="85" ht="14.25" customHeight="1">
      <c r="A85" s="579">
        <v>108.0</v>
      </c>
      <c r="B85" s="580" t="s">
        <v>1107</v>
      </c>
      <c r="C85" s="581">
        <v>46189.0</v>
      </c>
      <c r="D85" s="581">
        <v>46189.0</v>
      </c>
      <c r="E85" s="581"/>
      <c r="F85" s="580" t="s">
        <v>1108</v>
      </c>
      <c r="G85" s="580">
        <v>1.166871619E9</v>
      </c>
      <c r="H85" s="580">
        <v>1.166871619E9</v>
      </c>
      <c r="I85" s="580" t="s">
        <v>1168</v>
      </c>
      <c r="J85" s="580" t="s">
        <v>1268</v>
      </c>
      <c r="K85" s="580" t="s">
        <v>167</v>
      </c>
      <c r="L85" s="582">
        <v>17250.41</v>
      </c>
      <c r="M85" s="582">
        <v>17250.41</v>
      </c>
      <c r="N85" s="582">
        <v>17250.41</v>
      </c>
      <c r="O85" s="580" t="s">
        <v>1269</v>
      </c>
      <c r="P85" s="583">
        <v>0.0</v>
      </c>
      <c r="Q85" s="584"/>
      <c r="R85" s="584"/>
      <c r="S85" s="584"/>
      <c r="T85" s="584"/>
      <c r="U85" s="584"/>
      <c r="V85" s="584"/>
      <c r="W85" s="584"/>
      <c r="X85" s="584"/>
      <c r="Y85" s="584"/>
      <c r="Z85" s="584"/>
      <c r="AA85" s="584"/>
      <c r="AB85" s="584"/>
      <c r="AC85" s="584"/>
      <c r="AD85" s="584"/>
      <c r="AE85" s="584"/>
      <c r="AF85" s="584"/>
    </row>
    <row r="86" ht="14.25" customHeight="1">
      <c r="A86" s="579">
        <v>109.0</v>
      </c>
      <c r="B86" s="580" t="s">
        <v>1107</v>
      </c>
      <c r="C86" s="581">
        <v>46189.0</v>
      </c>
      <c r="D86" s="581">
        <v>46189.0</v>
      </c>
      <c r="E86" s="592"/>
      <c r="F86" s="580" t="s">
        <v>1108</v>
      </c>
      <c r="G86" s="589" t="s">
        <v>1173</v>
      </c>
      <c r="H86" s="589" t="s">
        <v>1173</v>
      </c>
      <c r="I86" s="580" t="s">
        <v>1168</v>
      </c>
      <c r="J86" s="580" t="s">
        <v>1270</v>
      </c>
      <c r="K86" s="580" t="s">
        <v>167</v>
      </c>
      <c r="L86" s="582">
        <v>14410.95</v>
      </c>
      <c r="M86" s="582">
        <v>14410.95</v>
      </c>
      <c r="N86" s="582">
        <v>14410.95</v>
      </c>
      <c r="O86" s="580" t="s">
        <v>1271</v>
      </c>
      <c r="P86" s="582">
        <v>0.0</v>
      </c>
      <c r="Q86" s="584"/>
      <c r="R86" s="584"/>
      <c r="S86" s="584"/>
      <c r="T86" s="584"/>
      <c r="U86" s="584"/>
      <c r="V86" s="584"/>
      <c r="W86" s="584"/>
      <c r="X86" s="584"/>
      <c r="Y86" s="584"/>
      <c r="Z86" s="584"/>
      <c r="AA86" s="584"/>
      <c r="AB86" s="584"/>
      <c r="AC86" s="584"/>
      <c r="AD86" s="584"/>
      <c r="AE86" s="584"/>
      <c r="AF86" s="584"/>
    </row>
    <row r="87" ht="14.25" customHeight="1">
      <c r="A87" s="579">
        <v>115.0</v>
      </c>
      <c r="B87" s="580" t="s">
        <v>1107</v>
      </c>
      <c r="C87" s="581">
        <v>46189.0</v>
      </c>
      <c r="D87" s="581">
        <v>46189.0</v>
      </c>
      <c r="E87" s="581"/>
      <c r="F87" s="580" t="s">
        <v>1108</v>
      </c>
      <c r="G87" s="589" t="s">
        <v>1173</v>
      </c>
      <c r="H87" s="589" t="s">
        <v>1173</v>
      </c>
      <c r="I87" s="580" t="s">
        <v>1168</v>
      </c>
      <c r="J87" s="580" t="s">
        <v>1272</v>
      </c>
      <c r="K87" s="580" t="s">
        <v>167</v>
      </c>
      <c r="L87" s="582">
        <v>10553.43</v>
      </c>
      <c r="M87" s="582">
        <v>10553.43</v>
      </c>
      <c r="N87" s="582">
        <v>10553.43</v>
      </c>
      <c r="O87" s="580" t="s">
        <v>1273</v>
      </c>
      <c r="P87" s="593">
        <v>0.0</v>
      </c>
      <c r="Q87" s="584"/>
      <c r="R87" s="584"/>
      <c r="S87" s="584"/>
      <c r="T87" s="584"/>
      <c r="U87" s="584"/>
      <c r="V87" s="584"/>
      <c r="W87" s="584"/>
      <c r="X87" s="584"/>
      <c r="Y87" s="584"/>
      <c r="Z87" s="584"/>
      <c r="AA87" s="584"/>
      <c r="AB87" s="584"/>
      <c r="AC87" s="584"/>
      <c r="AD87" s="584"/>
      <c r="AE87" s="584"/>
      <c r="AF87" s="584"/>
    </row>
    <row r="88" ht="14.25" customHeight="1">
      <c r="A88" s="579">
        <v>118.0</v>
      </c>
      <c r="B88" s="580" t="s">
        <v>1107</v>
      </c>
      <c r="C88" s="581">
        <v>46189.0</v>
      </c>
      <c r="D88" s="581">
        <v>46189.0</v>
      </c>
      <c r="E88" s="581"/>
      <c r="F88" s="580" t="s">
        <v>1108</v>
      </c>
      <c r="G88" s="589" t="s">
        <v>1274</v>
      </c>
      <c r="H88" s="589" t="s">
        <v>1274</v>
      </c>
      <c r="I88" s="580" t="s">
        <v>1168</v>
      </c>
      <c r="J88" s="580" t="s">
        <v>1275</v>
      </c>
      <c r="K88" s="580" t="s">
        <v>167</v>
      </c>
      <c r="L88" s="582">
        <v>48710.24</v>
      </c>
      <c r="M88" s="582">
        <v>48710.24</v>
      </c>
      <c r="N88" s="585">
        <v>48710.24</v>
      </c>
      <c r="O88" s="587" t="s">
        <v>1276</v>
      </c>
      <c r="P88" s="593">
        <v>0.0</v>
      </c>
      <c r="Q88" s="584"/>
      <c r="R88" s="584"/>
      <c r="S88" s="584"/>
      <c r="T88" s="584"/>
      <c r="U88" s="584"/>
      <c r="V88" s="584"/>
      <c r="W88" s="584"/>
      <c r="X88" s="584"/>
      <c r="Y88" s="584"/>
      <c r="Z88" s="584"/>
      <c r="AA88" s="584"/>
      <c r="AB88" s="584"/>
      <c r="AC88" s="584"/>
      <c r="AD88" s="584"/>
      <c r="AE88" s="584"/>
      <c r="AF88" s="584"/>
    </row>
    <row r="89" ht="14.25" customHeight="1">
      <c r="A89" s="579">
        <v>125.0</v>
      </c>
      <c r="B89" s="580" t="s">
        <v>1107</v>
      </c>
      <c r="C89" s="581">
        <v>46189.0</v>
      </c>
      <c r="D89" s="581">
        <v>46189.0</v>
      </c>
      <c r="E89" s="581"/>
      <c r="F89" s="580" t="s">
        <v>1108</v>
      </c>
      <c r="G89" s="589" t="s">
        <v>1173</v>
      </c>
      <c r="H89" s="589" t="s">
        <v>1173</v>
      </c>
      <c r="I89" s="580" t="s">
        <v>1168</v>
      </c>
      <c r="J89" s="580" t="s">
        <v>1277</v>
      </c>
      <c r="K89" s="580" t="s">
        <v>167</v>
      </c>
      <c r="L89" s="582">
        <v>17052.53</v>
      </c>
      <c r="M89" s="582">
        <v>17052.53</v>
      </c>
      <c r="N89" s="585">
        <v>17052.53</v>
      </c>
      <c r="O89" s="587" t="s">
        <v>1278</v>
      </c>
      <c r="P89" s="593">
        <v>0.0</v>
      </c>
      <c r="Q89" s="584"/>
      <c r="R89" s="584"/>
      <c r="S89" s="584"/>
      <c r="T89" s="584"/>
      <c r="U89" s="584"/>
      <c r="V89" s="584"/>
      <c r="W89" s="584"/>
      <c r="X89" s="584"/>
      <c r="Y89" s="584"/>
      <c r="Z89" s="584"/>
      <c r="AA89" s="584"/>
      <c r="AB89" s="584"/>
      <c r="AC89" s="584"/>
      <c r="AD89" s="584"/>
      <c r="AE89" s="584"/>
      <c r="AF89" s="584"/>
    </row>
    <row r="90" ht="14.25" customHeight="1">
      <c r="A90" s="579">
        <v>126.0</v>
      </c>
      <c r="B90" s="580" t="s">
        <v>1107</v>
      </c>
      <c r="C90" s="581">
        <v>46189.0</v>
      </c>
      <c r="D90" s="581">
        <v>46189.0</v>
      </c>
      <c r="E90" s="581"/>
      <c r="F90" s="580" t="s">
        <v>1108</v>
      </c>
      <c r="G90" s="589">
        <v>1.3515132E7</v>
      </c>
      <c r="H90" s="589">
        <v>1.3515132E7</v>
      </c>
      <c r="I90" s="580" t="s">
        <v>1168</v>
      </c>
      <c r="J90" s="580" t="s">
        <v>1279</v>
      </c>
      <c r="K90" s="580" t="s">
        <v>167</v>
      </c>
      <c r="L90" s="582">
        <v>30482.44</v>
      </c>
      <c r="M90" s="582">
        <v>30482.44</v>
      </c>
      <c r="N90" s="585">
        <v>30482.44</v>
      </c>
      <c r="O90" s="580" t="s">
        <v>1280</v>
      </c>
      <c r="P90" s="593">
        <v>0.0</v>
      </c>
      <c r="Q90" s="584"/>
      <c r="R90" s="584"/>
      <c r="S90" s="584"/>
      <c r="T90" s="584"/>
      <c r="U90" s="584"/>
      <c r="V90" s="584"/>
      <c r="W90" s="584"/>
      <c r="X90" s="584"/>
      <c r="Y90" s="584"/>
      <c r="Z90" s="584"/>
      <c r="AA90" s="584"/>
      <c r="AB90" s="584"/>
      <c r="AC90" s="584"/>
      <c r="AD90" s="584"/>
      <c r="AE90" s="584"/>
      <c r="AF90" s="584"/>
    </row>
    <row r="91" ht="14.25" customHeight="1">
      <c r="A91" s="579">
        <v>131.0</v>
      </c>
      <c r="B91" s="580" t="s">
        <v>1107</v>
      </c>
      <c r="C91" s="581">
        <v>46189.0</v>
      </c>
      <c r="D91" s="581">
        <v>46189.0</v>
      </c>
      <c r="E91" s="581"/>
      <c r="F91" s="580" t="s">
        <v>1108</v>
      </c>
      <c r="G91" s="589">
        <v>1.5294630000004E13</v>
      </c>
      <c r="H91" s="589">
        <v>1.52946300000045E15</v>
      </c>
      <c r="I91" s="580" t="s">
        <v>1168</v>
      </c>
      <c r="J91" s="580" t="s">
        <v>1281</v>
      </c>
      <c r="K91" s="580" t="s">
        <v>167</v>
      </c>
      <c r="L91" s="582">
        <v>7.38</v>
      </c>
      <c r="M91" s="582">
        <v>7.38</v>
      </c>
      <c r="N91" s="585">
        <v>7.38</v>
      </c>
      <c r="O91" s="580" t="s">
        <v>1282</v>
      </c>
      <c r="P91" s="593">
        <v>0.0</v>
      </c>
      <c r="Q91" s="584"/>
      <c r="R91" s="584"/>
      <c r="S91" s="584"/>
      <c r="T91" s="584"/>
      <c r="U91" s="584"/>
      <c r="V91" s="584"/>
      <c r="W91" s="584"/>
      <c r="X91" s="584"/>
      <c r="Y91" s="584"/>
      <c r="Z91" s="584"/>
      <c r="AA91" s="584"/>
      <c r="AB91" s="584"/>
      <c r="AC91" s="584"/>
      <c r="AD91" s="584"/>
      <c r="AE91" s="584"/>
      <c r="AF91" s="584"/>
    </row>
    <row r="92" ht="14.25" customHeight="1">
      <c r="A92" s="579">
        <v>134.0</v>
      </c>
      <c r="B92" s="580" t="s">
        <v>1107</v>
      </c>
      <c r="C92" s="581">
        <v>46189.0</v>
      </c>
      <c r="D92" s="581">
        <v>46189.0</v>
      </c>
      <c r="E92" s="581"/>
      <c r="F92" s="580" t="s">
        <v>1108</v>
      </c>
      <c r="G92" s="589" t="s">
        <v>1173</v>
      </c>
      <c r="H92" s="589" t="s">
        <v>1173</v>
      </c>
      <c r="I92" s="580" t="s">
        <v>1168</v>
      </c>
      <c r="J92" s="580" t="s">
        <v>1283</v>
      </c>
      <c r="K92" s="580" t="s">
        <v>167</v>
      </c>
      <c r="L92" s="582">
        <v>28335.77</v>
      </c>
      <c r="M92" s="582">
        <v>28335.77</v>
      </c>
      <c r="N92" s="585">
        <v>28335.77</v>
      </c>
      <c r="O92" s="580" t="s">
        <v>1284</v>
      </c>
      <c r="P92" s="593">
        <v>0.0</v>
      </c>
      <c r="Q92" s="584"/>
      <c r="R92" s="584"/>
      <c r="S92" s="584"/>
      <c r="T92" s="584"/>
      <c r="U92" s="584"/>
      <c r="V92" s="584"/>
      <c r="W92" s="584"/>
      <c r="X92" s="584"/>
      <c r="Y92" s="584"/>
      <c r="Z92" s="584"/>
      <c r="AA92" s="584"/>
      <c r="AB92" s="584"/>
      <c r="AC92" s="584"/>
      <c r="AD92" s="584"/>
      <c r="AE92" s="584"/>
      <c r="AF92" s="584"/>
    </row>
    <row r="93" ht="14.25" customHeight="1">
      <c r="A93" s="579">
        <v>138.0</v>
      </c>
      <c r="B93" s="580" t="s">
        <v>1107</v>
      </c>
      <c r="C93" s="581">
        <v>46189.0</v>
      </c>
      <c r="D93" s="581">
        <v>46189.0</v>
      </c>
      <c r="E93" s="581"/>
      <c r="F93" s="580" t="s">
        <v>1108</v>
      </c>
      <c r="G93" s="589" t="s">
        <v>1173</v>
      </c>
      <c r="H93" s="589" t="s">
        <v>1173</v>
      </c>
      <c r="I93" s="580" t="s">
        <v>1168</v>
      </c>
      <c r="J93" s="580" t="s">
        <v>1285</v>
      </c>
      <c r="K93" s="580" t="s">
        <v>167</v>
      </c>
      <c r="L93" s="582">
        <v>58044.8</v>
      </c>
      <c r="M93" s="582">
        <v>58044.8</v>
      </c>
      <c r="N93" s="585">
        <v>58044.8</v>
      </c>
      <c r="O93" s="580" t="s">
        <v>1286</v>
      </c>
      <c r="P93" s="593">
        <v>0.0</v>
      </c>
      <c r="Q93" s="584"/>
      <c r="R93" s="584"/>
      <c r="S93" s="584"/>
      <c r="T93" s="584"/>
      <c r="U93" s="584"/>
      <c r="V93" s="584"/>
      <c r="W93" s="584"/>
      <c r="X93" s="584"/>
      <c r="Y93" s="584"/>
      <c r="Z93" s="584"/>
      <c r="AA93" s="584"/>
      <c r="AB93" s="584"/>
      <c r="AC93" s="584"/>
      <c r="AD93" s="584"/>
      <c r="AE93" s="584"/>
      <c r="AF93" s="584"/>
    </row>
    <row r="94" ht="14.25" customHeight="1">
      <c r="A94" s="579">
        <v>140.0</v>
      </c>
      <c r="B94" s="580" t="s">
        <v>1107</v>
      </c>
      <c r="C94" s="581">
        <v>46189.0</v>
      </c>
      <c r="D94" s="581">
        <v>46189.0</v>
      </c>
      <c r="E94" s="581"/>
      <c r="F94" s="580" t="s">
        <v>1108</v>
      </c>
      <c r="G94" s="589" t="s">
        <v>1173</v>
      </c>
      <c r="H94" s="589" t="s">
        <v>1173</v>
      </c>
      <c r="I94" s="580" t="s">
        <v>1168</v>
      </c>
      <c r="J94" s="580" t="s">
        <v>1287</v>
      </c>
      <c r="K94" s="580" t="s">
        <v>167</v>
      </c>
      <c r="L94" s="582">
        <v>40464.72</v>
      </c>
      <c r="M94" s="582">
        <v>40464.72</v>
      </c>
      <c r="N94" s="585">
        <v>40464.72</v>
      </c>
      <c r="O94" s="580" t="s">
        <v>1288</v>
      </c>
      <c r="P94" s="593">
        <v>0.0</v>
      </c>
      <c r="Q94" s="584"/>
      <c r="R94" s="584"/>
      <c r="S94" s="584"/>
      <c r="T94" s="584"/>
      <c r="U94" s="584"/>
      <c r="V94" s="584"/>
      <c r="W94" s="584"/>
      <c r="X94" s="584"/>
      <c r="Y94" s="584"/>
      <c r="Z94" s="584"/>
      <c r="AA94" s="584"/>
      <c r="AB94" s="584"/>
      <c r="AC94" s="584"/>
      <c r="AD94" s="584"/>
      <c r="AE94" s="584"/>
      <c r="AF94" s="584"/>
    </row>
    <row r="95" ht="14.25" customHeight="1">
      <c r="A95" s="579">
        <v>143.0</v>
      </c>
      <c r="B95" s="580" t="s">
        <v>1107</v>
      </c>
      <c r="C95" s="581">
        <v>46189.0</v>
      </c>
      <c r="D95" s="581">
        <v>46189.0</v>
      </c>
      <c r="E95" s="581"/>
      <c r="F95" s="580" t="s">
        <v>1108</v>
      </c>
      <c r="G95" s="589">
        <v>1.350645E7</v>
      </c>
      <c r="H95" s="589">
        <v>1.350645E7</v>
      </c>
      <c r="I95" s="580" t="s">
        <v>1168</v>
      </c>
      <c r="J95" s="580" t="s">
        <v>1289</v>
      </c>
      <c r="K95" s="580" t="s">
        <v>167</v>
      </c>
      <c r="L95" s="582">
        <v>20901.36</v>
      </c>
      <c r="M95" s="582">
        <v>20901.36</v>
      </c>
      <c r="N95" s="585">
        <v>20901.36</v>
      </c>
      <c r="O95" s="580" t="s">
        <v>1290</v>
      </c>
      <c r="P95" s="593">
        <v>0.0</v>
      </c>
      <c r="Q95" s="584"/>
      <c r="R95" s="584"/>
      <c r="S95" s="584"/>
      <c r="T95" s="584"/>
      <c r="U95" s="584"/>
      <c r="V95" s="584"/>
      <c r="W95" s="584"/>
      <c r="X95" s="584"/>
      <c r="Y95" s="584"/>
      <c r="Z95" s="584"/>
      <c r="AA95" s="584"/>
      <c r="AB95" s="584"/>
      <c r="AC95" s="584"/>
      <c r="AD95" s="584"/>
      <c r="AE95" s="584"/>
      <c r="AF95" s="584"/>
    </row>
    <row r="96" ht="14.25" customHeight="1">
      <c r="A96" s="579">
        <v>151.0</v>
      </c>
      <c r="B96" s="580" t="s">
        <v>1107</v>
      </c>
      <c r="C96" s="581">
        <v>46189.0</v>
      </c>
      <c r="D96" s="581">
        <v>46189.0</v>
      </c>
      <c r="E96" s="581"/>
      <c r="F96" s="580" t="s">
        <v>1108</v>
      </c>
      <c r="G96" s="589" t="s">
        <v>1173</v>
      </c>
      <c r="H96" s="589" t="s">
        <v>1173</v>
      </c>
      <c r="I96" s="580" t="s">
        <v>1168</v>
      </c>
      <c r="J96" s="580" t="s">
        <v>1291</v>
      </c>
      <c r="K96" s="580" t="s">
        <v>167</v>
      </c>
      <c r="L96" s="582">
        <v>15656.55</v>
      </c>
      <c r="M96" s="582">
        <v>15656.55</v>
      </c>
      <c r="N96" s="585">
        <v>15656.55</v>
      </c>
      <c r="O96" s="587" t="s">
        <v>1292</v>
      </c>
      <c r="P96" s="593">
        <v>0.0</v>
      </c>
      <c r="Q96" s="584"/>
      <c r="R96" s="584"/>
      <c r="S96" s="584"/>
      <c r="T96" s="584"/>
      <c r="U96" s="584"/>
      <c r="V96" s="584"/>
      <c r="W96" s="584"/>
      <c r="X96" s="584"/>
      <c r="Y96" s="584"/>
      <c r="Z96" s="584"/>
      <c r="AA96" s="584"/>
      <c r="AB96" s="584"/>
      <c r="AC96" s="584"/>
      <c r="AD96" s="584"/>
      <c r="AE96" s="584"/>
      <c r="AF96" s="584"/>
    </row>
    <row r="97" ht="14.25" customHeight="1">
      <c r="A97" s="579">
        <v>154.0</v>
      </c>
      <c r="B97" s="580" t="s">
        <v>1107</v>
      </c>
      <c r="C97" s="581">
        <v>46189.0</v>
      </c>
      <c r="D97" s="581">
        <v>46189.0</v>
      </c>
      <c r="E97" s="581"/>
      <c r="F97" s="580" t="s">
        <v>1108</v>
      </c>
      <c r="G97" s="589" t="s">
        <v>1173</v>
      </c>
      <c r="H97" s="589" t="s">
        <v>1173</v>
      </c>
      <c r="I97" s="580" t="s">
        <v>1168</v>
      </c>
      <c r="J97" s="580" t="s">
        <v>1293</v>
      </c>
      <c r="K97" s="580" t="s">
        <v>167</v>
      </c>
      <c r="L97" s="582">
        <v>3884.36</v>
      </c>
      <c r="M97" s="582">
        <v>3884.36</v>
      </c>
      <c r="N97" s="585">
        <v>3884.36</v>
      </c>
      <c r="O97" s="587" t="s">
        <v>1294</v>
      </c>
      <c r="P97" s="593">
        <v>0.0</v>
      </c>
      <c r="Q97" s="584"/>
      <c r="R97" s="584"/>
      <c r="S97" s="584"/>
      <c r="T97" s="584"/>
      <c r="U97" s="584"/>
      <c r="V97" s="584"/>
      <c r="W97" s="584"/>
      <c r="X97" s="584"/>
      <c r="Y97" s="584"/>
      <c r="Z97" s="584"/>
      <c r="AA97" s="584"/>
      <c r="AB97" s="584"/>
      <c r="AC97" s="584"/>
      <c r="AD97" s="584"/>
      <c r="AE97" s="584"/>
      <c r="AF97" s="584"/>
    </row>
    <row r="98" ht="14.25" customHeight="1">
      <c r="A98" s="579">
        <v>155.0</v>
      </c>
      <c r="B98" s="580" t="s">
        <v>1107</v>
      </c>
      <c r="C98" s="581">
        <v>46189.0</v>
      </c>
      <c r="D98" s="581">
        <v>46189.0</v>
      </c>
      <c r="E98" s="581"/>
      <c r="F98" s="580" t="s">
        <v>1108</v>
      </c>
      <c r="G98" s="589" t="s">
        <v>1173</v>
      </c>
      <c r="H98" s="589" t="s">
        <v>1173</v>
      </c>
      <c r="I98" s="580" t="s">
        <v>1168</v>
      </c>
      <c r="J98" s="580" t="s">
        <v>1295</v>
      </c>
      <c r="K98" s="580" t="s">
        <v>167</v>
      </c>
      <c r="L98" s="582">
        <v>34991.43</v>
      </c>
      <c r="M98" s="582">
        <v>34991.43</v>
      </c>
      <c r="N98" s="585">
        <v>34991.43</v>
      </c>
      <c r="O98" s="587" t="s">
        <v>1296</v>
      </c>
      <c r="P98" s="593">
        <v>0.0</v>
      </c>
      <c r="Q98" s="584"/>
      <c r="R98" s="584"/>
      <c r="S98" s="584"/>
      <c r="T98" s="584"/>
      <c r="U98" s="584"/>
      <c r="V98" s="584"/>
      <c r="W98" s="584"/>
      <c r="X98" s="584"/>
      <c r="Y98" s="584"/>
      <c r="Z98" s="584"/>
      <c r="AA98" s="584"/>
      <c r="AB98" s="584"/>
      <c r="AC98" s="584"/>
      <c r="AD98" s="584"/>
      <c r="AE98" s="584"/>
      <c r="AF98" s="584"/>
    </row>
    <row r="99" ht="14.25" customHeight="1">
      <c r="A99" s="579">
        <v>158.0</v>
      </c>
      <c r="B99" s="580" t="s">
        <v>1107</v>
      </c>
      <c r="C99" s="581">
        <v>46189.0</v>
      </c>
      <c r="D99" s="581">
        <v>46189.0</v>
      </c>
      <c r="E99" s="581"/>
      <c r="F99" s="580" t="s">
        <v>1108</v>
      </c>
      <c r="G99" s="589" t="s">
        <v>1173</v>
      </c>
      <c r="H99" s="589" t="s">
        <v>1173</v>
      </c>
      <c r="I99" s="580" t="s">
        <v>1168</v>
      </c>
      <c r="J99" s="580" t="s">
        <v>1297</v>
      </c>
      <c r="K99" s="580" t="s">
        <v>167</v>
      </c>
      <c r="L99" s="582">
        <v>32796.96</v>
      </c>
      <c r="M99" s="582">
        <v>32796.96</v>
      </c>
      <c r="N99" s="585">
        <v>32796.96</v>
      </c>
      <c r="O99" s="587" t="s">
        <v>1298</v>
      </c>
      <c r="P99" s="593">
        <v>0.0</v>
      </c>
      <c r="Q99" s="584"/>
      <c r="R99" s="584"/>
      <c r="S99" s="584"/>
      <c r="T99" s="584"/>
      <c r="U99" s="584"/>
      <c r="V99" s="584"/>
      <c r="W99" s="584"/>
      <c r="X99" s="584"/>
      <c r="Y99" s="584"/>
      <c r="Z99" s="584"/>
      <c r="AA99" s="584"/>
      <c r="AB99" s="584"/>
      <c r="AC99" s="584"/>
      <c r="AD99" s="584"/>
      <c r="AE99" s="584"/>
      <c r="AF99" s="584"/>
    </row>
    <row r="100" ht="14.25" customHeight="1">
      <c r="A100" s="579">
        <v>159.0</v>
      </c>
      <c r="B100" s="580" t="s">
        <v>1107</v>
      </c>
      <c r="C100" s="581">
        <v>46189.0</v>
      </c>
      <c r="D100" s="581">
        <v>46189.0</v>
      </c>
      <c r="E100" s="581"/>
      <c r="F100" s="580" t="s">
        <v>1108</v>
      </c>
      <c r="G100" s="589" t="s">
        <v>1173</v>
      </c>
      <c r="H100" s="589" t="s">
        <v>1173</v>
      </c>
      <c r="I100" s="580" t="s">
        <v>1168</v>
      </c>
      <c r="J100" s="580" t="s">
        <v>1299</v>
      </c>
      <c r="K100" s="580" t="s">
        <v>167</v>
      </c>
      <c r="L100" s="582">
        <v>11596.19</v>
      </c>
      <c r="M100" s="582">
        <v>11596.19</v>
      </c>
      <c r="N100" s="585">
        <v>11596.19</v>
      </c>
      <c r="O100" s="587" t="s">
        <v>1300</v>
      </c>
      <c r="P100" s="593">
        <v>0.0</v>
      </c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  <c r="AA100" s="584"/>
      <c r="AB100" s="584"/>
      <c r="AC100" s="584"/>
      <c r="AD100" s="584"/>
      <c r="AE100" s="584"/>
      <c r="AF100" s="584"/>
    </row>
    <row r="101" ht="14.25" customHeight="1">
      <c r="A101" s="579">
        <v>162.0</v>
      </c>
      <c r="B101" s="580" t="s">
        <v>1107</v>
      </c>
      <c r="C101" s="581">
        <v>46189.0</v>
      </c>
      <c r="D101" s="581">
        <v>46189.0</v>
      </c>
      <c r="E101" s="581"/>
      <c r="F101" s="580" t="s">
        <v>1108</v>
      </c>
      <c r="G101" s="589" t="s">
        <v>1173</v>
      </c>
      <c r="H101" s="589" t="s">
        <v>1173</v>
      </c>
      <c r="I101" s="580" t="s">
        <v>1168</v>
      </c>
      <c r="J101" s="580" t="s">
        <v>1301</v>
      </c>
      <c r="K101" s="580" t="s">
        <v>167</v>
      </c>
      <c r="L101" s="582">
        <v>20229.24</v>
      </c>
      <c r="M101" s="582">
        <v>20229.24</v>
      </c>
      <c r="N101" s="585">
        <v>20229.24</v>
      </c>
      <c r="O101" s="587" t="s">
        <v>1302</v>
      </c>
      <c r="P101" s="593">
        <v>0.0</v>
      </c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  <c r="AA101" s="584"/>
      <c r="AB101" s="584"/>
      <c r="AC101" s="584"/>
      <c r="AD101" s="584"/>
      <c r="AE101" s="584"/>
      <c r="AF101" s="584"/>
    </row>
    <row r="102" ht="14.25" customHeight="1">
      <c r="A102" s="579">
        <v>163.0</v>
      </c>
      <c r="B102" s="580" t="s">
        <v>1107</v>
      </c>
      <c r="C102" s="581">
        <v>46189.0</v>
      </c>
      <c r="D102" s="581">
        <v>46189.0</v>
      </c>
      <c r="E102" s="581"/>
      <c r="F102" s="580" t="s">
        <v>1108</v>
      </c>
      <c r="G102" s="589" t="s">
        <v>1173</v>
      </c>
      <c r="H102" s="589" t="s">
        <v>1173</v>
      </c>
      <c r="I102" s="580" t="s">
        <v>1168</v>
      </c>
      <c r="J102" s="580" t="s">
        <v>1303</v>
      </c>
      <c r="K102" s="580" t="s">
        <v>167</v>
      </c>
      <c r="L102" s="582">
        <v>45520.67</v>
      </c>
      <c r="M102" s="582">
        <v>45520.67</v>
      </c>
      <c r="N102" s="585">
        <v>45520.67</v>
      </c>
      <c r="O102" s="587" t="s">
        <v>1304</v>
      </c>
      <c r="P102" s="593">
        <v>0.0</v>
      </c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  <c r="AA102" s="584"/>
      <c r="AB102" s="584"/>
      <c r="AC102" s="584"/>
      <c r="AD102" s="584"/>
      <c r="AE102" s="584"/>
      <c r="AF102" s="584"/>
    </row>
    <row r="103" ht="14.25" customHeight="1">
      <c r="A103" s="579">
        <v>165.0</v>
      </c>
      <c r="B103" s="580" t="s">
        <v>1107</v>
      </c>
      <c r="C103" s="581">
        <v>46189.0</v>
      </c>
      <c r="D103" s="581">
        <v>46189.0</v>
      </c>
      <c r="E103" s="581"/>
      <c r="F103" s="580" t="s">
        <v>1108</v>
      </c>
      <c r="G103" s="589" t="s">
        <v>1173</v>
      </c>
      <c r="H103" s="589" t="s">
        <v>1173</v>
      </c>
      <c r="I103" s="580" t="s">
        <v>1168</v>
      </c>
      <c r="J103" s="580" t="s">
        <v>1305</v>
      </c>
      <c r="K103" s="580" t="s">
        <v>167</v>
      </c>
      <c r="L103" s="582">
        <v>12058.15</v>
      </c>
      <c r="M103" s="582">
        <v>12058.15</v>
      </c>
      <c r="N103" s="585">
        <v>12058.15</v>
      </c>
      <c r="O103" s="587" t="s">
        <v>1306</v>
      </c>
      <c r="P103" s="593">
        <v>0.0</v>
      </c>
      <c r="Q103" s="584"/>
      <c r="R103" s="584"/>
      <c r="S103" s="584"/>
      <c r="T103" s="584"/>
      <c r="U103" s="584"/>
      <c r="V103" s="584"/>
      <c r="W103" s="584"/>
      <c r="X103" s="584"/>
      <c r="Y103" s="584"/>
      <c r="Z103" s="584"/>
      <c r="AA103" s="584"/>
      <c r="AB103" s="584"/>
      <c r="AC103" s="584"/>
      <c r="AD103" s="584"/>
      <c r="AE103" s="584"/>
      <c r="AF103" s="584"/>
    </row>
    <row r="104" ht="14.25" customHeight="1">
      <c r="A104" s="579">
        <v>169.0</v>
      </c>
      <c r="B104" s="580" t="s">
        <v>1107</v>
      </c>
      <c r="C104" s="581">
        <v>46189.0</v>
      </c>
      <c r="D104" s="581">
        <v>46189.0</v>
      </c>
      <c r="E104" s="581"/>
      <c r="F104" s="580" t="s">
        <v>1108</v>
      </c>
      <c r="G104" s="589" t="s">
        <v>1173</v>
      </c>
      <c r="H104" s="589" t="s">
        <v>1173</v>
      </c>
      <c r="I104" s="580" t="s">
        <v>1168</v>
      </c>
      <c r="J104" s="580" t="s">
        <v>1307</v>
      </c>
      <c r="K104" s="580" t="s">
        <v>167</v>
      </c>
      <c r="L104" s="582">
        <v>21608.72</v>
      </c>
      <c r="M104" s="582">
        <v>21608.72</v>
      </c>
      <c r="N104" s="585">
        <v>21608.72</v>
      </c>
      <c r="O104" s="587" t="s">
        <v>1308</v>
      </c>
      <c r="P104" s="593">
        <v>0.0</v>
      </c>
      <c r="Q104" s="584"/>
      <c r="R104" s="584"/>
      <c r="S104" s="584"/>
      <c r="T104" s="584"/>
      <c r="U104" s="584"/>
      <c r="V104" s="584"/>
      <c r="W104" s="584"/>
      <c r="X104" s="584"/>
      <c r="Y104" s="584"/>
      <c r="Z104" s="584"/>
      <c r="AA104" s="584"/>
      <c r="AB104" s="584"/>
      <c r="AC104" s="584"/>
      <c r="AD104" s="584"/>
      <c r="AE104" s="584"/>
      <c r="AF104" s="584"/>
    </row>
    <row r="105" ht="14.25" customHeight="1">
      <c r="A105" s="579">
        <v>171.0</v>
      </c>
      <c r="B105" s="580" t="s">
        <v>1107</v>
      </c>
      <c r="C105" s="581">
        <v>46189.0</v>
      </c>
      <c r="D105" s="581">
        <v>46189.0</v>
      </c>
      <c r="E105" s="581"/>
      <c r="F105" s="580" t="s">
        <v>1108</v>
      </c>
      <c r="G105" s="589" t="s">
        <v>1309</v>
      </c>
      <c r="H105" s="589" t="s">
        <v>1309</v>
      </c>
      <c r="I105" s="580" t="s">
        <v>1168</v>
      </c>
      <c r="J105" s="580" t="s">
        <v>1310</v>
      </c>
      <c r="K105" s="580" t="s">
        <v>167</v>
      </c>
      <c r="L105" s="582">
        <v>2580.09</v>
      </c>
      <c r="M105" s="582">
        <v>2580.09</v>
      </c>
      <c r="N105" s="585">
        <v>2580.09</v>
      </c>
      <c r="O105" s="587" t="s">
        <v>1311</v>
      </c>
      <c r="P105" s="593">
        <v>0.0</v>
      </c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4"/>
      <c r="AD105" s="584"/>
      <c r="AE105" s="584"/>
      <c r="AF105" s="584"/>
    </row>
    <row r="106" ht="14.25" customHeight="1">
      <c r="A106" s="579">
        <v>174.0</v>
      </c>
      <c r="B106" s="580" t="s">
        <v>1107</v>
      </c>
      <c r="C106" s="581">
        <v>46189.0</v>
      </c>
      <c r="D106" s="581">
        <v>46189.0</v>
      </c>
      <c r="E106" s="581"/>
      <c r="F106" s="580" t="s">
        <v>1108</v>
      </c>
      <c r="G106" s="589" t="s">
        <v>1312</v>
      </c>
      <c r="H106" s="589" t="s">
        <v>1312</v>
      </c>
      <c r="I106" s="580" t="s">
        <v>1168</v>
      </c>
      <c r="J106" s="580" t="s">
        <v>1313</v>
      </c>
      <c r="K106" s="580" t="s">
        <v>167</v>
      </c>
      <c r="L106" s="582">
        <v>59094.38</v>
      </c>
      <c r="M106" s="582">
        <v>59094.38</v>
      </c>
      <c r="N106" s="585">
        <v>59094.38</v>
      </c>
      <c r="O106" s="587" t="s">
        <v>1314</v>
      </c>
      <c r="P106" s="593">
        <v>0.0</v>
      </c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  <c r="AA106" s="584"/>
      <c r="AB106" s="584"/>
      <c r="AC106" s="584"/>
      <c r="AD106" s="584"/>
      <c r="AE106" s="584"/>
      <c r="AF106" s="584"/>
    </row>
    <row r="107" ht="14.25" customHeight="1">
      <c r="A107" s="579">
        <v>176.0</v>
      </c>
      <c r="B107" s="580" t="s">
        <v>1107</v>
      </c>
      <c r="C107" s="581">
        <v>46189.0</v>
      </c>
      <c r="D107" s="581">
        <v>46189.0</v>
      </c>
      <c r="E107" s="581"/>
      <c r="F107" s="580" t="s">
        <v>1108</v>
      </c>
      <c r="G107" s="589">
        <v>1.350652E7</v>
      </c>
      <c r="H107" s="589">
        <v>1.350652E7</v>
      </c>
      <c r="I107" s="580" t="s">
        <v>1168</v>
      </c>
      <c r="J107" s="580" t="s">
        <v>1315</v>
      </c>
      <c r="K107" s="580" t="s">
        <v>167</v>
      </c>
      <c r="L107" s="582">
        <v>18211.52</v>
      </c>
      <c r="M107" s="582">
        <v>18211.52</v>
      </c>
      <c r="N107" s="585">
        <v>18211.52</v>
      </c>
      <c r="O107" s="587" t="s">
        <v>1316</v>
      </c>
      <c r="P107" s="593">
        <v>0.0</v>
      </c>
      <c r="Q107" s="584"/>
      <c r="R107" s="584"/>
      <c r="S107" s="584"/>
      <c r="T107" s="584"/>
      <c r="U107" s="584"/>
      <c r="V107" s="584"/>
      <c r="W107" s="584"/>
      <c r="X107" s="584"/>
      <c r="Y107" s="584"/>
      <c r="Z107" s="584"/>
      <c r="AA107" s="584"/>
      <c r="AB107" s="584"/>
      <c r="AC107" s="584"/>
      <c r="AD107" s="584"/>
      <c r="AE107" s="584"/>
      <c r="AF107" s="584"/>
    </row>
    <row r="108" ht="14.25" customHeight="1">
      <c r="A108" s="579">
        <v>179.0</v>
      </c>
      <c r="B108" s="580" t="s">
        <v>1107</v>
      </c>
      <c r="C108" s="581">
        <v>46189.0</v>
      </c>
      <c r="D108" s="581">
        <v>46189.0</v>
      </c>
      <c r="E108" s="581"/>
      <c r="F108" s="580" t="s">
        <v>1108</v>
      </c>
      <c r="G108" s="589" t="s">
        <v>1173</v>
      </c>
      <c r="H108" s="589" t="s">
        <v>1173</v>
      </c>
      <c r="I108" s="580" t="s">
        <v>1168</v>
      </c>
      <c r="J108" s="580" t="s">
        <v>1317</v>
      </c>
      <c r="K108" s="580" t="s">
        <v>167</v>
      </c>
      <c r="L108" s="582">
        <v>33261.66</v>
      </c>
      <c r="M108" s="582">
        <v>33261.66</v>
      </c>
      <c r="N108" s="585">
        <v>33261.66</v>
      </c>
      <c r="O108" s="587" t="s">
        <v>1318</v>
      </c>
      <c r="P108" s="593">
        <v>0.0</v>
      </c>
      <c r="Q108" s="584"/>
      <c r="R108" s="584"/>
      <c r="S108" s="584"/>
      <c r="T108" s="584"/>
      <c r="U108" s="584"/>
      <c r="V108" s="584"/>
      <c r="W108" s="584"/>
      <c r="X108" s="584"/>
      <c r="Y108" s="584"/>
      <c r="Z108" s="584"/>
      <c r="AA108" s="584"/>
      <c r="AB108" s="584"/>
      <c r="AC108" s="584"/>
      <c r="AD108" s="584"/>
      <c r="AE108" s="584"/>
      <c r="AF108" s="584"/>
    </row>
    <row r="109" ht="14.25" customHeight="1">
      <c r="A109" s="579">
        <v>181.0</v>
      </c>
      <c r="B109" s="580" t="s">
        <v>1107</v>
      </c>
      <c r="C109" s="581">
        <v>46189.0</v>
      </c>
      <c r="D109" s="581">
        <v>46189.0</v>
      </c>
      <c r="E109" s="581"/>
      <c r="F109" s="580" t="s">
        <v>1108</v>
      </c>
      <c r="G109" s="589" t="s">
        <v>1173</v>
      </c>
      <c r="H109" s="589" t="s">
        <v>1173</v>
      </c>
      <c r="I109" s="580" t="s">
        <v>1168</v>
      </c>
      <c r="J109" s="580" t="s">
        <v>1319</v>
      </c>
      <c r="K109" s="580" t="s">
        <v>167</v>
      </c>
      <c r="L109" s="582">
        <v>21259.72</v>
      </c>
      <c r="M109" s="582">
        <v>21259.72</v>
      </c>
      <c r="N109" s="585">
        <v>21259.72</v>
      </c>
      <c r="O109" s="587" t="s">
        <v>1320</v>
      </c>
      <c r="P109" s="593">
        <v>0.0</v>
      </c>
      <c r="Q109" s="584"/>
      <c r="R109" s="584"/>
      <c r="S109" s="584"/>
      <c r="T109" s="584"/>
      <c r="U109" s="584"/>
      <c r="V109" s="584"/>
      <c r="W109" s="584"/>
      <c r="X109" s="584"/>
      <c r="Y109" s="584"/>
      <c r="Z109" s="584"/>
      <c r="AA109" s="584"/>
      <c r="AB109" s="584"/>
      <c r="AC109" s="584"/>
      <c r="AD109" s="584"/>
      <c r="AE109" s="584"/>
      <c r="AF109" s="584"/>
    </row>
    <row r="110" ht="14.25" customHeight="1">
      <c r="A110" s="579">
        <v>182.0</v>
      </c>
      <c r="B110" s="580" t="s">
        <v>1107</v>
      </c>
      <c r="C110" s="581">
        <v>46189.0</v>
      </c>
      <c r="D110" s="581">
        <v>46189.0</v>
      </c>
      <c r="E110" s="581"/>
      <c r="F110" s="580" t="s">
        <v>1108</v>
      </c>
      <c r="G110" s="589" t="s">
        <v>1173</v>
      </c>
      <c r="H110" s="589" t="s">
        <v>1173</v>
      </c>
      <c r="I110" s="580" t="s">
        <v>1168</v>
      </c>
      <c r="J110" s="580" t="s">
        <v>1321</v>
      </c>
      <c r="K110" s="580" t="s">
        <v>167</v>
      </c>
      <c r="L110" s="582">
        <v>9190.94</v>
      </c>
      <c r="M110" s="582">
        <v>9190.94</v>
      </c>
      <c r="N110" s="585">
        <v>9190.94</v>
      </c>
      <c r="O110" s="587" t="s">
        <v>1322</v>
      </c>
      <c r="P110" s="593">
        <v>0.0</v>
      </c>
      <c r="Q110" s="584"/>
      <c r="R110" s="584"/>
      <c r="S110" s="584"/>
      <c r="T110" s="584"/>
      <c r="U110" s="584"/>
      <c r="V110" s="584"/>
      <c r="W110" s="584"/>
      <c r="X110" s="584"/>
      <c r="Y110" s="584"/>
      <c r="Z110" s="584"/>
      <c r="AA110" s="584"/>
      <c r="AB110" s="584"/>
      <c r="AC110" s="584"/>
      <c r="AD110" s="584"/>
      <c r="AE110" s="584"/>
      <c r="AF110" s="584"/>
    </row>
    <row r="111" ht="14.25" customHeight="1">
      <c r="A111" s="579">
        <v>192.0</v>
      </c>
      <c r="B111" s="580" t="s">
        <v>1107</v>
      </c>
      <c r="C111" s="581">
        <v>46189.0</v>
      </c>
      <c r="D111" s="581">
        <v>46189.0</v>
      </c>
      <c r="E111" s="581"/>
      <c r="F111" s="580" t="s">
        <v>1108</v>
      </c>
      <c r="G111" s="589" t="s">
        <v>1323</v>
      </c>
      <c r="H111" s="589" t="s">
        <v>1323</v>
      </c>
      <c r="I111" s="580" t="s">
        <v>1168</v>
      </c>
      <c r="J111" s="580" t="s">
        <v>1324</v>
      </c>
      <c r="K111" s="580" t="s">
        <v>167</v>
      </c>
      <c r="L111" s="582">
        <v>58423.93</v>
      </c>
      <c r="M111" s="582">
        <v>58423.93</v>
      </c>
      <c r="N111" s="585">
        <v>58423.93</v>
      </c>
      <c r="O111" s="587" t="s">
        <v>1325</v>
      </c>
      <c r="P111" s="593">
        <v>0.0</v>
      </c>
      <c r="Q111" s="584"/>
      <c r="R111" s="584"/>
      <c r="S111" s="584"/>
      <c r="T111" s="584"/>
      <c r="U111" s="584"/>
      <c r="V111" s="584"/>
      <c r="W111" s="584"/>
      <c r="X111" s="584"/>
      <c r="Y111" s="584"/>
      <c r="Z111" s="584"/>
      <c r="AA111" s="584"/>
      <c r="AB111" s="584"/>
      <c r="AC111" s="584"/>
      <c r="AD111" s="584"/>
      <c r="AE111" s="584"/>
      <c r="AF111" s="584"/>
    </row>
    <row r="112" ht="14.25" customHeight="1">
      <c r="A112" s="579">
        <v>195.0</v>
      </c>
      <c r="B112" s="580" t="s">
        <v>1107</v>
      </c>
      <c r="C112" s="581">
        <v>46189.0</v>
      </c>
      <c r="D112" s="581">
        <v>46189.0</v>
      </c>
      <c r="E112" s="581"/>
      <c r="F112" s="580" t="s">
        <v>1108</v>
      </c>
      <c r="G112" s="589" t="s">
        <v>1173</v>
      </c>
      <c r="H112" s="589" t="s">
        <v>1173</v>
      </c>
      <c r="I112" s="580" t="s">
        <v>1168</v>
      </c>
      <c r="J112" s="580" t="s">
        <v>1326</v>
      </c>
      <c r="K112" s="580" t="s">
        <v>167</v>
      </c>
      <c r="L112" s="582">
        <v>10114.33</v>
      </c>
      <c r="M112" s="582">
        <v>10114.33</v>
      </c>
      <c r="N112" s="585">
        <v>10114.33</v>
      </c>
      <c r="O112" s="587" t="s">
        <v>1327</v>
      </c>
      <c r="P112" s="593">
        <v>0.0</v>
      </c>
      <c r="Q112" s="584"/>
      <c r="R112" s="584"/>
      <c r="S112" s="584"/>
      <c r="T112" s="584"/>
      <c r="U112" s="584"/>
      <c r="V112" s="584"/>
      <c r="W112" s="584"/>
      <c r="X112" s="584"/>
      <c r="Y112" s="584"/>
      <c r="Z112" s="584"/>
      <c r="AA112" s="584"/>
      <c r="AB112" s="584"/>
      <c r="AC112" s="584"/>
      <c r="AD112" s="584"/>
      <c r="AE112" s="584"/>
      <c r="AF112" s="584"/>
    </row>
    <row r="113" ht="14.25" customHeight="1">
      <c r="A113" s="579">
        <v>196.0</v>
      </c>
      <c r="B113" s="580" t="s">
        <v>1107</v>
      </c>
      <c r="C113" s="581">
        <v>46189.0</v>
      </c>
      <c r="D113" s="581">
        <v>46189.0</v>
      </c>
      <c r="E113" s="581"/>
      <c r="F113" s="580" t="s">
        <v>1108</v>
      </c>
      <c r="G113" s="589">
        <v>1.166871517E9</v>
      </c>
      <c r="H113" s="589">
        <v>1.166871517E9</v>
      </c>
      <c r="I113" s="580" t="s">
        <v>1168</v>
      </c>
      <c r="J113" s="580" t="s">
        <v>1328</v>
      </c>
      <c r="K113" s="580" t="s">
        <v>167</v>
      </c>
      <c r="L113" s="582">
        <v>20786.02</v>
      </c>
      <c r="M113" s="582">
        <v>20786.02</v>
      </c>
      <c r="N113" s="585">
        <v>20786.02</v>
      </c>
      <c r="O113" s="587" t="s">
        <v>1329</v>
      </c>
      <c r="P113" s="593">
        <v>0.0</v>
      </c>
      <c r="Q113" s="584"/>
      <c r="R113" s="584"/>
      <c r="S113" s="584"/>
      <c r="T113" s="584"/>
      <c r="U113" s="584"/>
      <c r="V113" s="584"/>
      <c r="W113" s="584"/>
      <c r="X113" s="584"/>
      <c r="Y113" s="584"/>
      <c r="Z113" s="584"/>
      <c r="AA113" s="584"/>
      <c r="AB113" s="584"/>
      <c r="AC113" s="584"/>
      <c r="AD113" s="584"/>
      <c r="AE113" s="584"/>
      <c r="AF113" s="584"/>
    </row>
    <row r="114" ht="14.25" customHeight="1">
      <c r="A114" s="579">
        <v>201.0</v>
      </c>
      <c r="B114" s="580" t="s">
        <v>1107</v>
      </c>
      <c r="C114" s="581">
        <v>46189.0</v>
      </c>
      <c r="D114" s="581">
        <v>46189.0</v>
      </c>
      <c r="E114" s="581"/>
      <c r="F114" s="580" t="s">
        <v>1108</v>
      </c>
      <c r="G114" s="589" t="s">
        <v>1173</v>
      </c>
      <c r="H114" s="589" t="s">
        <v>1173</v>
      </c>
      <c r="I114" s="580" t="s">
        <v>1168</v>
      </c>
      <c r="J114" s="580" t="s">
        <v>1330</v>
      </c>
      <c r="K114" s="580" t="s">
        <v>167</v>
      </c>
      <c r="L114" s="582">
        <v>7583.5</v>
      </c>
      <c r="M114" s="582">
        <v>7583.5</v>
      </c>
      <c r="N114" s="585">
        <v>7583.5</v>
      </c>
      <c r="O114" s="587" t="s">
        <v>1331</v>
      </c>
      <c r="P114" s="593">
        <v>0.0</v>
      </c>
      <c r="Q114" s="584"/>
      <c r="R114" s="584"/>
      <c r="S114" s="584"/>
      <c r="T114" s="584"/>
      <c r="U114" s="584"/>
      <c r="V114" s="584"/>
      <c r="W114" s="584"/>
      <c r="X114" s="584"/>
      <c r="Y114" s="584"/>
      <c r="Z114" s="584"/>
      <c r="AA114" s="584"/>
      <c r="AB114" s="584"/>
      <c r="AC114" s="584"/>
      <c r="AD114" s="584"/>
      <c r="AE114" s="584"/>
      <c r="AF114" s="584"/>
    </row>
    <row r="115" ht="14.25" customHeight="1">
      <c r="A115" s="579">
        <v>202.0</v>
      </c>
      <c r="B115" s="580" t="s">
        <v>1107</v>
      </c>
      <c r="C115" s="581">
        <v>46189.0</v>
      </c>
      <c r="D115" s="581">
        <v>46189.0</v>
      </c>
      <c r="E115" s="581"/>
      <c r="F115" s="580" t="s">
        <v>1108</v>
      </c>
      <c r="G115" s="589">
        <v>1.350651E7</v>
      </c>
      <c r="H115" s="589">
        <v>1.350651E7</v>
      </c>
      <c r="I115" s="580" t="s">
        <v>1168</v>
      </c>
      <c r="J115" s="580" t="s">
        <v>1332</v>
      </c>
      <c r="K115" s="580" t="s">
        <v>167</v>
      </c>
      <c r="L115" s="582">
        <v>8010.64</v>
      </c>
      <c r="M115" s="582">
        <v>8010.64</v>
      </c>
      <c r="N115" s="585">
        <v>8010.64</v>
      </c>
      <c r="O115" s="587" t="s">
        <v>1333</v>
      </c>
      <c r="P115" s="593">
        <v>0.0</v>
      </c>
      <c r="Q115" s="584"/>
      <c r="R115" s="584"/>
      <c r="S115" s="584"/>
      <c r="T115" s="584"/>
      <c r="U115" s="584"/>
      <c r="V115" s="584"/>
      <c r="W115" s="584"/>
      <c r="X115" s="584"/>
      <c r="Y115" s="584"/>
      <c r="Z115" s="584"/>
      <c r="AA115" s="584"/>
      <c r="AB115" s="584"/>
      <c r="AC115" s="584"/>
      <c r="AD115" s="584"/>
      <c r="AE115" s="584"/>
      <c r="AF115" s="584"/>
    </row>
    <row r="116" ht="14.25" customHeight="1">
      <c r="A116" s="579">
        <v>204.0</v>
      </c>
      <c r="B116" s="580" t="s">
        <v>1107</v>
      </c>
      <c r="C116" s="581">
        <v>46189.0</v>
      </c>
      <c r="D116" s="581">
        <v>46189.0</v>
      </c>
      <c r="E116" s="581"/>
      <c r="F116" s="580" t="s">
        <v>1108</v>
      </c>
      <c r="G116" s="589" t="s">
        <v>1173</v>
      </c>
      <c r="H116" s="589" t="s">
        <v>1173</v>
      </c>
      <c r="I116" s="580" t="s">
        <v>1168</v>
      </c>
      <c r="J116" s="580" t="s">
        <v>1334</v>
      </c>
      <c r="K116" s="580" t="s">
        <v>167</v>
      </c>
      <c r="L116" s="582">
        <v>18340.89</v>
      </c>
      <c r="M116" s="582">
        <v>18340.89</v>
      </c>
      <c r="N116" s="585">
        <v>18340.89</v>
      </c>
      <c r="O116" s="587" t="s">
        <v>1335</v>
      </c>
      <c r="P116" s="593">
        <v>0.0</v>
      </c>
      <c r="Q116" s="584"/>
      <c r="R116" s="584"/>
      <c r="S116" s="584"/>
      <c r="T116" s="584"/>
      <c r="U116" s="584"/>
      <c r="V116" s="584"/>
      <c r="W116" s="584"/>
      <c r="X116" s="584"/>
      <c r="Y116" s="584"/>
      <c r="Z116" s="584"/>
      <c r="AA116" s="584"/>
      <c r="AB116" s="584"/>
      <c r="AC116" s="584"/>
      <c r="AD116" s="584"/>
      <c r="AE116" s="584"/>
      <c r="AF116" s="584"/>
    </row>
    <row r="117" ht="14.25" customHeight="1">
      <c r="A117" s="579">
        <v>214.0</v>
      </c>
      <c r="B117" s="580" t="s">
        <v>1107</v>
      </c>
      <c r="C117" s="581">
        <v>46189.0</v>
      </c>
      <c r="D117" s="581">
        <v>46189.0</v>
      </c>
      <c r="E117" s="581"/>
      <c r="F117" s="580" t="s">
        <v>1108</v>
      </c>
      <c r="G117" s="589" t="s">
        <v>1173</v>
      </c>
      <c r="H117" s="589" t="s">
        <v>1173</v>
      </c>
      <c r="I117" s="580" t="s">
        <v>1168</v>
      </c>
      <c r="J117" s="580" t="s">
        <v>1336</v>
      </c>
      <c r="K117" s="580" t="s">
        <v>167</v>
      </c>
      <c r="L117" s="582">
        <v>9868.38</v>
      </c>
      <c r="M117" s="582">
        <v>9868.38</v>
      </c>
      <c r="N117" s="585">
        <v>9868.38</v>
      </c>
      <c r="O117" s="587" t="s">
        <v>1337</v>
      </c>
      <c r="P117" s="593">
        <v>0.0</v>
      </c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  <c r="AA117" s="584"/>
      <c r="AB117" s="584"/>
      <c r="AC117" s="584"/>
      <c r="AD117" s="584"/>
      <c r="AE117" s="584"/>
      <c r="AF117" s="584"/>
    </row>
    <row r="118" ht="14.25" customHeight="1">
      <c r="A118" s="579">
        <v>218.0</v>
      </c>
      <c r="B118" s="580" t="s">
        <v>1107</v>
      </c>
      <c r="C118" s="581">
        <v>46189.0</v>
      </c>
      <c r="D118" s="581">
        <v>46189.0</v>
      </c>
      <c r="E118" s="581"/>
      <c r="F118" s="580" t="s">
        <v>1108</v>
      </c>
      <c r="G118" s="589">
        <v>1.350552E7</v>
      </c>
      <c r="H118" s="589">
        <v>1.350552E7</v>
      </c>
      <c r="I118" s="580" t="s">
        <v>1168</v>
      </c>
      <c r="J118" s="580" t="s">
        <v>1338</v>
      </c>
      <c r="K118" s="580" t="s">
        <v>167</v>
      </c>
      <c r="L118" s="582">
        <v>22563.03</v>
      </c>
      <c r="M118" s="582">
        <v>22563.03</v>
      </c>
      <c r="N118" s="585">
        <v>22563.03</v>
      </c>
      <c r="O118" s="587" t="s">
        <v>1339</v>
      </c>
      <c r="P118" s="593">
        <v>0.0</v>
      </c>
      <c r="Q118" s="584"/>
      <c r="R118" s="584"/>
      <c r="S118" s="584"/>
      <c r="T118" s="584"/>
      <c r="U118" s="584"/>
      <c r="V118" s="584"/>
      <c r="W118" s="584"/>
      <c r="X118" s="584"/>
      <c r="Y118" s="584"/>
      <c r="Z118" s="584"/>
      <c r="AA118" s="584"/>
      <c r="AB118" s="584"/>
      <c r="AC118" s="584"/>
      <c r="AD118" s="584"/>
      <c r="AE118" s="584"/>
      <c r="AF118" s="584"/>
    </row>
    <row r="119" ht="14.25" customHeight="1">
      <c r="A119" s="579">
        <v>223.0</v>
      </c>
      <c r="B119" s="580" t="s">
        <v>1107</v>
      </c>
      <c r="C119" s="581">
        <v>46189.0</v>
      </c>
      <c r="D119" s="581">
        <v>46189.0</v>
      </c>
      <c r="E119" s="581"/>
      <c r="F119" s="580" t="s">
        <v>1108</v>
      </c>
      <c r="G119" s="589" t="s">
        <v>1173</v>
      </c>
      <c r="H119" s="589" t="s">
        <v>1173</v>
      </c>
      <c r="I119" s="580" t="s">
        <v>1168</v>
      </c>
      <c r="J119" s="580" t="s">
        <v>1340</v>
      </c>
      <c r="K119" s="580" t="s">
        <v>167</v>
      </c>
      <c r="L119" s="582">
        <v>35510.08</v>
      </c>
      <c r="M119" s="582">
        <v>35510.08</v>
      </c>
      <c r="N119" s="585">
        <v>35510.08</v>
      </c>
      <c r="O119" s="587" t="s">
        <v>1341</v>
      </c>
      <c r="P119" s="593">
        <v>0.0</v>
      </c>
      <c r="Q119" s="584"/>
      <c r="R119" s="584"/>
      <c r="S119" s="584"/>
      <c r="T119" s="584"/>
      <c r="U119" s="584"/>
      <c r="V119" s="584"/>
      <c r="W119" s="584"/>
      <c r="X119" s="584"/>
      <c r="Y119" s="584"/>
      <c r="Z119" s="584"/>
      <c r="AA119" s="584"/>
      <c r="AB119" s="584"/>
      <c r="AC119" s="584"/>
      <c r="AD119" s="584"/>
      <c r="AE119" s="584"/>
      <c r="AF119" s="584"/>
    </row>
    <row r="120" ht="14.25" customHeight="1">
      <c r="A120" s="579">
        <v>225.0</v>
      </c>
      <c r="B120" s="580" t="s">
        <v>1107</v>
      </c>
      <c r="C120" s="581">
        <v>46189.0</v>
      </c>
      <c r="D120" s="581">
        <v>46189.0</v>
      </c>
      <c r="E120" s="581"/>
      <c r="F120" s="580" t="s">
        <v>1108</v>
      </c>
      <c r="G120" s="589">
        <v>1.166871491E9</v>
      </c>
      <c r="H120" s="589">
        <v>1.166871491E9</v>
      </c>
      <c r="I120" s="580" t="s">
        <v>1168</v>
      </c>
      <c r="J120" s="580" t="s">
        <v>1342</v>
      </c>
      <c r="K120" s="580" t="s">
        <v>167</v>
      </c>
      <c r="L120" s="582">
        <v>83750.7</v>
      </c>
      <c r="M120" s="582">
        <v>83750.7</v>
      </c>
      <c r="N120" s="585">
        <v>83750.7</v>
      </c>
      <c r="O120" s="587" t="s">
        <v>1343</v>
      </c>
      <c r="P120" s="593">
        <v>0.0</v>
      </c>
      <c r="Q120" s="584"/>
      <c r="R120" s="584"/>
      <c r="S120" s="584"/>
      <c r="T120" s="584"/>
      <c r="U120" s="584"/>
      <c r="V120" s="584"/>
      <c r="W120" s="584"/>
      <c r="X120" s="584"/>
      <c r="Y120" s="584"/>
      <c r="Z120" s="584"/>
      <c r="AA120" s="584"/>
      <c r="AB120" s="584"/>
      <c r="AC120" s="584"/>
      <c r="AD120" s="584"/>
      <c r="AE120" s="584"/>
      <c r="AF120" s="584"/>
    </row>
    <row r="121" ht="14.25" customHeight="1">
      <c r="A121" s="579">
        <v>228.0</v>
      </c>
      <c r="B121" s="580" t="s">
        <v>1107</v>
      </c>
      <c r="C121" s="581">
        <v>46189.0</v>
      </c>
      <c r="D121" s="581">
        <v>46189.0</v>
      </c>
      <c r="E121" s="581"/>
      <c r="F121" s="580" t="s">
        <v>1108</v>
      </c>
      <c r="G121" s="589" t="s">
        <v>1344</v>
      </c>
      <c r="H121" s="589" t="s">
        <v>1344</v>
      </c>
      <c r="I121" s="580" t="s">
        <v>1168</v>
      </c>
      <c r="J121" s="580" t="s">
        <v>1345</v>
      </c>
      <c r="K121" s="580" t="s">
        <v>167</v>
      </c>
      <c r="L121" s="582">
        <v>92876.09</v>
      </c>
      <c r="M121" s="582">
        <v>92876.09</v>
      </c>
      <c r="N121" s="585">
        <v>92876.09</v>
      </c>
      <c r="O121" s="587" t="s">
        <v>1346</v>
      </c>
      <c r="P121" s="593">
        <v>0.0</v>
      </c>
      <c r="Q121" s="584"/>
      <c r="R121" s="584"/>
      <c r="S121" s="584"/>
      <c r="T121" s="584"/>
      <c r="U121" s="584"/>
      <c r="V121" s="584"/>
      <c r="W121" s="584"/>
      <c r="X121" s="584"/>
      <c r="Y121" s="584"/>
      <c r="Z121" s="584"/>
      <c r="AA121" s="584"/>
      <c r="AB121" s="584"/>
      <c r="AC121" s="584"/>
      <c r="AD121" s="584"/>
      <c r="AE121" s="584"/>
      <c r="AF121" s="584"/>
    </row>
    <row r="122" ht="14.25" customHeight="1">
      <c r="A122" s="579">
        <v>232.0</v>
      </c>
      <c r="B122" s="580" t="s">
        <v>1107</v>
      </c>
      <c r="C122" s="581">
        <v>46189.0</v>
      </c>
      <c r="D122" s="581">
        <v>46189.0</v>
      </c>
      <c r="E122" s="581"/>
      <c r="F122" s="580" t="s">
        <v>1108</v>
      </c>
      <c r="G122" s="589" t="s">
        <v>1347</v>
      </c>
      <c r="H122" s="589" t="s">
        <v>1348</v>
      </c>
      <c r="I122" s="580" t="s">
        <v>1168</v>
      </c>
      <c r="J122" s="580" t="s">
        <v>1349</v>
      </c>
      <c r="K122" s="580" t="s">
        <v>167</v>
      </c>
      <c r="L122" s="582">
        <v>819.34</v>
      </c>
      <c r="M122" s="582">
        <v>819.34</v>
      </c>
      <c r="N122" s="585">
        <v>819.34</v>
      </c>
      <c r="O122" s="587" t="s">
        <v>1350</v>
      </c>
      <c r="P122" s="593">
        <v>0.0</v>
      </c>
      <c r="Q122" s="584"/>
      <c r="R122" s="584"/>
      <c r="S122" s="584"/>
      <c r="T122" s="584"/>
      <c r="U122" s="584"/>
      <c r="V122" s="584"/>
      <c r="W122" s="584"/>
      <c r="X122" s="584"/>
      <c r="Y122" s="584"/>
      <c r="Z122" s="584"/>
      <c r="AA122" s="584"/>
      <c r="AB122" s="584"/>
      <c r="AC122" s="584"/>
      <c r="AD122" s="584"/>
      <c r="AE122" s="584"/>
      <c r="AF122" s="584"/>
    </row>
    <row r="123" ht="14.25" customHeight="1">
      <c r="A123" s="579">
        <v>234.0</v>
      </c>
      <c r="B123" s="580" t="s">
        <v>1107</v>
      </c>
      <c r="C123" s="581">
        <v>46189.0</v>
      </c>
      <c r="D123" s="581">
        <v>46189.0</v>
      </c>
      <c r="E123" s="581"/>
      <c r="F123" s="580" t="s">
        <v>1108</v>
      </c>
      <c r="G123" s="589" t="s">
        <v>1173</v>
      </c>
      <c r="H123" s="589" t="s">
        <v>1173</v>
      </c>
      <c r="I123" s="580" t="s">
        <v>1168</v>
      </c>
      <c r="J123" s="580" t="s">
        <v>1351</v>
      </c>
      <c r="K123" s="580" t="s">
        <v>167</v>
      </c>
      <c r="L123" s="582">
        <v>15706.7</v>
      </c>
      <c r="M123" s="582">
        <v>15706.7</v>
      </c>
      <c r="N123" s="585">
        <v>15706.7</v>
      </c>
      <c r="O123" s="587" t="s">
        <v>1352</v>
      </c>
      <c r="P123" s="593">
        <v>0.0</v>
      </c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  <c r="AA123" s="584"/>
      <c r="AB123" s="584"/>
      <c r="AC123" s="584"/>
      <c r="AD123" s="584"/>
      <c r="AE123" s="584"/>
      <c r="AF123" s="584"/>
    </row>
    <row r="124" ht="14.25" customHeight="1">
      <c r="A124" s="579">
        <v>235.0</v>
      </c>
      <c r="B124" s="580" t="s">
        <v>1107</v>
      </c>
      <c r="C124" s="581">
        <v>46189.0</v>
      </c>
      <c r="D124" s="581">
        <v>46189.0</v>
      </c>
      <c r="E124" s="581"/>
      <c r="F124" s="580" t="s">
        <v>1108</v>
      </c>
      <c r="G124" s="589" t="s">
        <v>1173</v>
      </c>
      <c r="H124" s="589" t="s">
        <v>1173</v>
      </c>
      <c r="I124" s="580" t="s">
        <v>1168</v>
      </c>
      <c r="J124" s="580" t="s">
        <v>1353</v>
      </c>
      <c r="K124" s="580" t="s">
        <v>167</v>
      </c>
      <c r="L124" s="582">
        <v>57080.31</v>
      </c>
      <c r="M124" s="582">
        <v>57080.31</v>
      </c>
      <c r="N124" s="585">
        <v>57080.31</v>
      </c>
      <c r="O124" s="587" t="s">
        <v>1354</v>
      </c>
      <c r="P124" s="593">
        <v>0.0</v>
      </c>
      <c r="Q124" s="584"/>
      <c r="R124" s="584"/>
      <c r="S124" s="584"/>
      <c r="T124" s="584"/>
      <c r="U124" s="584"/>
      <c r="V124" s="584"/>
      <c r="W124" s="584"/>
      <c r="X124" s="584"/>
      <c r="Y124" s="584"/>
      <c r="Z124" s="584"/>
      <c r="AA124" s="584"/>
      <c r="AB124" s="584"/>
      <c r="AC124" s="584"/>
      <c r="AD124" s="584"/>
      <c r="AE124" s="584"/>
      <c r="AF124" s="584"/>
    </row>
    <row r="125" ht="14.25" customHeight="1">
      <c r="A125" s="579">
        <v>237.0</v>
      </c>
      <c r="B125" s="580" t="s">
        <v>1107</v>
      </c>
      <c r="C125" s="581">
        <v>46189.0</v>
      </c>
      <c r="D125" s="581">
        <v>46189.0</v>
      </c>
      <c r="E125" s="581"/>
      <c r="F125" s="580" t="s">
        <v>1108</v>
      </c>
      <c r="G125" s="589" t="s">
        <v>1173</v>
      </c>
      <c r="H125" s="589" t="s">
        <v>1173</v>
      </c>
      <c r="I125" s="580" t="s">
        <v>1168</v>
      </c>
      <c r="J125" s="580" t="s">
        <v>1355</v>
      </c>
      <c r="K125" s="580" t="s">
        <v>167</v>
      </c>
      <c r="L125" s="582">
        <v>15021.56</v>
      </c>
      <c r="M125" s="582">
        <v>15021.56</v>
      </c>
      <c r="N125" s="585">
        <v>15021.56</v>
      </c>
      <c r="O125" s="586" t="s">
        <v>1356</v>
      </c>
      <c r="P125" s="593">
        <v>0.0</v>
      </c>
      <c r="Q125" s="584"/>
      <c r="R125" s="584"/>
      <c r="S125" s="584"/>
      <c r="T125" s="584"/>
      <c r="U125" s="584"/>
      <c r="V125" s="584"/>
      <c r="W125" s="584"/>
      <c r="X125" s="584"/>
      <c r="Y125" s="584"/>
      <c r="Z125" s="584"/>
      <c r="AA125" s="584"/>
      <c r="AB125" s="584"/>
      <c r="AC125" s="584"/>
      <c r="AD125" s="584"/>
      <c r="AE125" s="584"/>
      <c r="AF125" s="584"/>
    </row>
    <row r="126" ht="14.25" customHeight="1">
      <c r="A126" s="579">
        <v>239.0</v>
      </c>
      <c r="B126" s="580" t="s">
        <v>1107</v>
      </c>
      <c r="C126" s="581">
        <v>46189.0</v>
      </c>
      <c r="D126" s="581">
        <v>46189.0</v>
      </c>
      <c r="E126" s="581"/>
      <c r="F126" s="580" t="s">
        <v>1108</v>
      </c>
      <c r="G126" s="589" t="s">
        <v>1173</v>
      </c>
      <c r="H126" s="589" t="s">
        <v>1173</v>
      </c>
      <c r="I126" s="580" t="s">
        <v>1168</v>
      </c>
      <c r="J126" s="580" t="s">
        <v>1357</v>
      </c>
      <c r="K126" s="580" t="s">
        <v>167</v>
      </c>
      <c r="L126" s="582">
        <v>46618.69</v>
      </c>
      <c r="M126" s="582">
        <v>46618.69</v>
      </c>
      <c r="N126" s="591">
        <v>46618.69</v>
      </c>
      <c r="O126" s="580" t="s">
        <v>1358</v>
      </c>
      <c r="P126" s="593">
        <v>0.0</v>
      </c>
      <c r="Q126" s="584"/>
      <c r="R126" s="584"/>
      <c r="S126" s="584"/>
      <c r="T126" s="584"/>
      <c r="U126" s="584"/>
      <c r="V126" s="584"/>
      <c r="W126" s="584"/>
      <c r="X126" s="584"/>
      <c r="Y126" s="584"/>
      <c r="Z126" s="584"/>
      <c r="AA126" s="584"/>
      <c r="AB126" s="584"/>
      <c r="AC126" s="584"/>
      <c r="AD126" s="584"/>
      <c r="AE126" s="584"/>
      <c r="AF126" s="584"/>
    </row>
    <row r="127" ht="14.25" customHeight="1">
      <c r="A127" s="579">
        <v>240.0</v>
      </c>
      <c r="B127" s="580" t="s">
        <v>1107</v>
      </c>
      <c r="C127" s="581">
        <v>46189.0</v>
      </c>
      <c r="D127" s="581">
        <v>46189.0</v>
      </c>
      <c r="E127" s="581"/>
      <c r="F127" s="580" t="s">
        <v>1108</v>
      </c>
      <c r="G127" s="589" t="s">
        <v>1173</v>
      </c>
      <c r="H127" s="589" t="s">
        <v>1173</v>
      </c>
      <c r="I127" s="580" t="s">
        <v>1168</v>
      </c>
      <c r="J127" s="580" t="s">
        <v>1359</v>
      </c>
      <c r="K127" s="580" t="s">
        <v>167</v>
      </c>
      <c r="L127" s="582">
        <v>46434.14</v>
      </c>
      <c r="M127" s="582">
        <v>46434.14</v>
      </c>
      <c r="N127" s="585">
        <v>46434.14</v>
      </c>
      <c r="O127" s="580" t="s">
        <v>1360</v>
      </c>
      <c r="P127" s="593">
        <v>0.0</v>
      </c>
      <c r="Q127" s="584"/>
      <c r="R127" s="584"/>
      <c r="S127" s="584"/>
      <c r="T127" s="584"/>
      <c r="U127" s="584"/>
      <c r="V127" s="584"/>
      <c r="W127" s="584"/>
      <c r="X127" s="584"/>
      <c r="Y127" s="584"/>
      <c r="Z127" s="584"/>
      <c r="AA127" s="584"/>
      <c r="AB127" s="584"/>
      <c r="AC127" s="584"/>
      <c r="AD127" s="584"/>
      <c r="AE127" s="584"/>
      <c r="AF127" s="584"/>
    </row>
    <row r="128" ht="14.25" customHeight="1">
      <c r="A128" s="579">
        <v>243.0</v>
      </c>
      <c r="B128" s="580" t="s">
        <v>1107</v>
      </c>
      <c r="C128" s="581">
        <v>46189.0</v>
      </c>
      <c r="D128" s="581">
        <v>46189.0</v>
      </c>
      <c r="E128" s="581"/>
      <c r="F128" s="580" t="s">
        <v>1108</v>
      </c>
      <c r="G128" s="589">
        <v>1.5294630000004E13</v>
      </c>
      <c r="H128" s="589">
        <v>1.52946300000045E15</v>
      </c>
      <c r="I128" s="580" t="s">
        <v>1168</v>
      </c>
      <c r="J128" s="580" t="s">
        <v>1361</v>
      </c>
      <c r="K128" s="580" t="s">
        <v>167</v>
      </c>
      <c r="L128" s="582">
        <v>20788.17</v>
      </c>
      <c r="M128" s="582">
        <v>20788.17</v>
      </c>
      <c r="N128" s="585">
        <v>20788.17</v>
      </c>
      <c r="O128" s="580" t="s">
        <v>1362</v>
      </c>
      <c r="P128" s="593">
        <v>0.0</v>
      </c>
      <c r="Q128" s="584"/>
      <c r="R128" s="584"/>
      <c r="S128" s="584"/>
      <c r="T128" s="584"/>
      <c r="U128" s="584"/>
      <c r="V128" s="584"/>
      <c r="W128" s="584"/>
      <c r="X128" s="584"/>
      <c r="Y128" s="584"/>
      <c r="Z128" s="584"/>
      <c r="AA128" s="584"/>
      <c r="AB128" s="584"/>
      <c r="AC128" s="584"/>
      <c r="AD128" s="584"/>
      <c r="AE128" s="584"/>
      <c r="AF128" s="584"/>
    </row>
    <row r="129" ht="14.25" customHeight="1">
      <c r="A129" s="579">
        <v>244.0</v>
      </c>
      <c r="B129" s="580" t="s">
        <v>1107</v>
      </c>
      <c r="C129" s="581">
        <v>46189.0</v>
      </c>
      <c r="D129" s="581">
        <v>46189.0</v>
      </c>
      <c r="E129" s="581"/>
      <c r="F129" s="580" t="s">
        <v>1108</v>
      </c>
      <c r="G129" s="589" t="s">
        <v>1363</v>
      </c>
      <c r="H129" s="589" t="s">
        <v>1363</v>
      </c>
      <c r="I129" s="580" t="s">
        <v>1168</v>
      </c>
      <c r="J129" s="580" t="s">
        <v>1364</v>
      </c>
      <c r="K129" s="580" t="s">
        <v>167</v>
      </c>
      <c r="L129" s="582">
        <v>29739.05</v>
      </c>
      <c r="M129" s="582">
        <v>29739.05</v>
      </c>
      <c r="N129" s="582">
        <v>29739.05</v>
      </c>
      <c r="O129" s="580" t="s">
        <v>1365</v>
      </c>
      <c r="P129" s="593">
        <v>0.0</v>
      </c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4"/>
      <c r="AB129" s="584"/>
      <c r="AC129" s="584"/>
      <c r="AD129" s="584"/>
      <c r="AE129" s="584"/>
      <c r="AF129" s="584"/>
    </row>
    <row r="130" ht="14.25" customHeight="1">
      <c r="A130" s="579">
        <v>245.0</v>
      </c>
      <c r="B130" s="580" t="s">
        <v>1107</v>
      </c>
      <c r="C130" s="581">
        <v>46189.0</v>
      </c>
      <c r="D130" s="581">
        <v>46189.0</v>
      </c>
      <c r="E130" s="581"/>
      <c r="F130" s="580" t="s">
        <v>1108</v>
      </c>
      <c r="G130" s="589" t="s">
        <v>1173</v>
      </c>
      <c r="H130" s="589" t="s">
        <v>1173</v>
      </c>
      <c r="I130" s="580" t="s">
        <v>1168</v>
      </c>
      <c r="J130" s="580" t="s">
        <v>1366</v>
      </c>
      <c r="K130" s="580" t="s">
        <v>167</v>
      </c>
      <c r="L130" s="582">
        <v>40687.09</v>
      </c>
      <c r="M130" s="582">
        <v>40687.09</v>
      </c>
      <c r="N130" s="582">
        <v>40687.09</v>
      </c>
      <c r="O130" s="580" t="s">
        <v>1367</v>
      </c>
      <c r="P130" s="593">
        <v>0.0</v>
      </c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  <c r="AA130" s="584"/>
      <c r="AB130" s="584"/>
      <c r="AC130" s="584"/>
      <c r="AD130" s="584"/>
      <c r="AE130" s="584"/>
      <c r="AF130" s="584"/>
    </row>
    <row r="131" ht="14.25" customHeight="1">
      <c r="A131" s="579">
        <v>248.0</v>
      </c>
      <c r="B131" s="580" t="s">
        <v>1107</v>
      </c>
      <c r="C131" s="581">
        <v>46189.0</v>
      </c>
      <c r="D131" s="581">
        <v>46189.0</v>
      </c>
      <c r="E131" s="581"/>
      <c r="F131" s="580" t="s">
        <v>1108</v>
      </c>
      <c r="G131" s="589" t="s">
        <v>1368</v>
      </c>
      <c r="H131" s="589" t="s">
        <v>1368</v>
      </c>
      <c r="I131" s="580" t="s">
        <v>1168</v>
      </c>
      <c r="J131" s="580" t="s">
        <v>1369</v>
      </c>
      <c r="K131" s="580" t="s">
        <v>167</v>
      </c>
      <c r="L131" s="582">
        <v>18393.23</v>
      </c>
      <c r="M131" s="582">
        <v>18393.23</v>
      </c>
      <c r="N131" s="582">
        <v>18393.23</v>
      </c>
      <c r="O131" s="580" t="s">
        <v>1370</v>
      </c>
      <c r="P131" s="593">
        <v>0.0</v>
      </c>
      <c r="Q131" s="584"/>
      <c r="R131" s="584"/>
      <c r="S131" s="584"/>
      <c r="T131" s="584"/>
      <c r="U131" s="584"/>
      <c r="V131" s="584"/>
      <c r="W131" s="584"/>
      <c r="X131" s="584"/>
      <c r="Y131" s="584"/>
      <c r="Z131" s="584"/>
      <c r="AA131" s="584"/>
      <c r="AB131" s="584"/>
      <c r="AC131" s="584"/>
      <c r="AD131" s="584"/>
      <c r="AE131" s="584"/>
      <c r="AF131" s="584"/>
    </row>
    <row r="132" ht="14.25" customHeight="1">
      <c r="A132" s="579">
        <v>251.0</v>
      </c>
      <c r="B132" s="580" t="s">
        <v>1107</v>
      </c>
      <c r="C132" s="581">
        <v>46189.0</v>
      </c>
      <c r="D132" s="581">
        <v>46189.0</v>
      </c>
      <c r="E132" s="581"/>
      <c r="F132" s="580" t="s">
        <v>1108</v>
      </c>
      <c r="G132" s="589" t="s">
        <v>1173</v>
      </c>
      <c r="H132" s="589" t="s">
        <v>1173</v>
      </c>
      <c r="I132" s="580" t="s">
        <v>1168</v>
      </c>
      <c r="J132" s="580" t="s">
        <v>1371</v>
      </c>
      <c r="K132" s="580" t="s">
        <v>167</v>
      </c>
      <c r="L132" s="582">
        <v>2400.29</v>
      </c>
      <c r="M132" s="582">
        <v>2400.29</v>
      </c>
      <c r="N132" s="582">
        <v>2400.29</v>
      </c>
      <c r="O132" s="594" t="s">
        <v>1372</v>
      </c>
      <c r="P132" s="593">
        <v>0.0</v>
      </c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  <c r="AA132" s="584"/>
      <c r="AB132" s="584"/>
      <c r="AC132" s="584"/>
      <c r="AD132" s="584"/>
      <c r="AE132" s="584"/>
      <c r="AF132" s="584"/>
    </row>
    <row r="133" ht="14.25" customHeight="1">
      <c r="A133" s="579">
        <v>252.0</v>
      </c>
      <c r="B133" s="580" t="s">
        <v>1107</v>
      </c>
      <c r="C133" s="581">
        <v>46189.0</v>
      </c>
      <c r="D133" s="581">
        <v>46189.0</v>
      </c>
      <c r="E133" s="581"/>
      <c r="F133" s="580" t="s">
        <v>1108</v>
      </c>
      <c r="G133" s="589" t="s">
        <v>1173</v>
      </c>
      <c r="H133" s="589" t="s">
        <v>1173</v>
      </c>
      <c r="I133" s="580" t="s">
        <v>1168</v>
      </c>
      <c r="J133" s="580" t="s">
        <v>1373</v>
      </c>
      <c r="K133" s="580" t="s">
        <v>167</v>
      </c>
      <c r="L133" s="582">
        <v>20750.56</v>
      </c>
      <c r="M133" s="582">
        <v>20750.56</v>
      </c>
      <c r="N133" s="590">
        <v>20750.56</v>
      </c>
      <c r="O133" s="580" t="s">
        <v>1374</v>
      </c>
      <c r="P133" s="593">
        <v>0.0</v>
      </c>
      <c r="Q133" s="584"/>
      <c r="R133" s="584"/>
      <c r="S133" s="584"/>
      <c r="T133" s="584"/>
      <c r="U133" s="584"/>
      <c r="V133" s="584"/>
      <c r="W133" s="584"/>
      <c r="X133" s="584"/>
      <c r="Y133" s="584"/>
      <c r="Z133" s="584"/>
      <c r="AA133" s="584"/>
      <c r="AB133" s="584"/>
      <c r="AC133" s="584"/>
      <c r="AD133" s="584"/>
      <c r="AE133" s="584"/>
      <c r="AF133" s="584"/>
    </row>
    <row r="134" ht="14.25" customHeight="1">
      <c r="A134" s="579">
        <v>253.0</v>
      </c>
      <c r="B134" s="580" t="s">
        <v>1107</v>
      </c>
      <c r="C134" s="581">
        <v>46189.0</v>
      </c>
      <c r="D134" s="581">
        <v>46189.0</v>
      </c>
      <c r="E134" s="581"/>
      <c r="F134" s="580" t="s">
        <v>1108</v>
      </c>
      <c r="G134" s="589" t="s">
        <v>1375</v>
      </c>
      <c r="H134" s="589" t="s">
        <v>1376</v>
      </c>
      <c r="I134" s="580" t="s">
        <v>1168</v>
      </c>
      <c r="J134" s="580" t="s">
        <v>1377</v>
      </c>
      <c r="K134" s="580" t="s">
        <v>167</v>
      </c>
      <c r="L134" s="582">
        <v>4508.32</v>
      </c>
      <c r="M134" s="582">
        <v>4508.32</v>
      </c>
      <c r="N134" s="591">
        <v>4508.32</v>
      </c>
      <c r="O134" s="587" t="s">
        <v>1378</v>
      </c>
      <c r="P134" s="593">
        <v>0.0</v>
      </c>
      <c r="Q134" s="584"/>
      <c r="R134" s="584"/>
      <c r="S134" s="584"/>
      <c r="T134" s="584"/>
      <c r="U134" s="584"/>
      <c r="V134" s="584"/>
      <c r="W134" s="584"/>
      <c r="X134" s="584"/>
      <c r="Y134" s="584"/>
      <c r="Z134" s="584"/>
      <c r="AA134" s="584"/>
      <c r="AB134" s="584"/>
      <c r="AC134" s="584"/>
      <c r="AD134" s="584"/>
      <c r="AE134" s="584"/>
      <c r="AF134" s="584"/>
    </row>
    <row r="135" ht="14.25" customHeight="1">
      <c r="A135" s="579">
        <v>254.0</v>
      </c>
      <c r="B135" s="580" t="s">
        <v>1107</v>
      </c>
      <c r="C135" s="581">
        <v>46189.0</v>
      </c>
      <c r="D135" s="581">
        <v>46189.0</v>
      </c>
      <c r="E135" s="581"/>
      <c r="F135" s="580" t="s">
        <v>1108</v>
      </c>
      <c r="G135" s="589">
        <v>1.3509999E7</v>
      </c>
      <c r="H135" s="589">
        <v>1.3509999E7</v>
      </c>
      <c r="I135" s="580" t="s">
        <v>1168</v>
      </c>
      <c r="J135" s="580" t="s">
        <v>1379</v>
      </c>
      <c r="K135" s="580" t="s">
        <v>167</v>
      </c>
      <c r="L135" s="582">
        <v>65436.02</v>
      </c>
      <c r="M135" s="582">
        <v>65436.02</v>
      </c>
      <c r="N135" s="590">
        <v>65436.02</v>
      </c>
      <c r="O135" s="580" t="s">
        <v>1380</v>
      </c>
      <c r="P135" s="593">
        <v>0.0</v>
      </c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  <c r="AA135" s="584"/>
      <c r="AB135" s="584"/>
      <c r="AC135" s="584"/>
      <c r="AD135" s="584"/>
      <c r="AE135" s="584"/>
      <c r="AF135" s="584"/>
    </row>
    <row r="136" ht="14.25" customHeight="1">
      <c r="A136" s="579">
        <v>255.0</v>
      </c>
      <c r="B136" s="580" t="s">
        <v>1107</v>
      </c>
      <c r="C136" s="581">
        <v>46189.0</v>
      </c>
      <c r="D136" s="581">
        <v>46189.0</v>
      </c>
      <c r="E136" s="581"/>
      <c r="F136" s="580" t="s">
        <v>1108</v>
      </c>
      <c r="G136" s="589" t="s">
        <v>1173</v>
      </c>
      <c r="H136" s="589" t="s">
        <v>1173</v>
      </c>
      <c r="I136" s="580" t="s">
        <v>1168</v>
      </c>
      <c r="J136" s="580" t="s">
        <v>1381</v>
      </c>
      <c r="K136" s="580" t="s">
        <v>167</v>
      </c>
      <c r="L136" s="582">
        <v>21435.63</v>
      </c>
      <c r="M136" s="582">
        <v>21435.63</v>
      </c>
      <c r="N136" s="591">
        <v>21435.63</v>
      </c>
      <c r="O136" s="580" t="s">
        <v>1382</v>
      </c>
      <c r="P136" s="593">
        <v>0.0</v>
      </c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  <c r="AA136" s="584"/>
      <c r="AB136" s="584"/>
      <c r="AC136" s="584"/>
      <c r="AD136" s="584"/>
      <c r="AE136" s="584"/>
      <c r="AF136" s="584"/>
    </row>
    <row r="137" ht="14.25" customHeight="1">
      <c r="A137" s="579">
        <v>257.0</v>
      </c>
      <c r="B137" s="580" t="s">
        <v>1107</v>
      </c>
      <c r="C137" s="581">
        <v>46189.0</v>
      </c>
      <c r="D137" s="581">
        <v>46189.0</v>
      </c>
      <c r="E137" s="581"/>
      <c r="F137" s="580" t="s">
        <v>1108</v>
      </c>
      <c r="G137" s="589" t="s">
        <v>1173</v>
      </c>
      <c r="H137" s="589" t="s">
        <v>1173</v>
      </c>
      <c r="I137" s="580" t="s">
        <v>1168</v>
      </c>
      <c r="J137" s="580" t="s">
        <v>1383</v>
      </c>
      <c r="K137" s="580" t="s">
        <v>167</v>
      </c>
      <c r="L137" s="582">
        <v>84743.22</v>
      </c>
      <c r="M137" s="582">
        <v>84743.22</v>
      </c>
      <c r="N137" s="591">
        <v>84743.22</v>
      </c>
      <c r="O137" s="587" t="s">
        <v>1384</v>
      </c>
      <c r="P137" s="593">
        <v>0.0</v>
      </c>
      <c r="Q137" s="584"/>
      <c r="R137" s="584"/>
      <c r="S137" s="584"/>
      <c r="T137" s="584"/>
      <c r="U137" s="584"/>
      <c r="V137" s="584"/>
      <c r="W137" s="584"/>
      <c r="X137" s="584"/>
      <c r="Y137" s="584"/>
      <c r="Z137" s="584"/>
      <c r="AA137" s="584"/>
      <c r="AB137" s="584"/>
      <c r="AC137" s="584"/>
      <c r="AD137" s="584"/>
      <c r="AE137" s="584"/>
      <c r="AF137" s="584"/>
    </row>
    <row r="138" ht="14.25" customHeight="1">
      <c r="A138" s="579">
        <v>259.0</v>
      </c>
      <c r="B138" s="580" t="s">
        <v>1107</v>
      </c>
      <c r="C138" s="581">
        <v>46189.0</v>
      </c>
      <c r="D138" s="581">
        <v>46189.0</v>
      </c>
      <c r="E138" s="581"/>
      <c r="F138" s="580" t="s">
        <v>1108</v>
      </c>
      <c r="G138" s="589" t="s">
        <v>1173</v>
      </c>
      <c r="H138" s="589" t="s">
        <v>1173</v>
      </c>
      <c r="I138" s="580" t="s">
        <v>1168</v>
      </c>
      <c r="J138" s="580" t="s">
        <v>1385</v>
      </c>
      <c r="K138" s="580" t="s">
        <v>167</v>
      </c>
      <c r="L138" s="582">
        <v>20959.41</v>
      </c>
      <c r="M138" s="582">
        <v>20959.41</v>
      </c>
      <c r="N138" s="591">
        <v>20959.41</v>
      </c>
      <c r="O138" s="580" t="s">
        <v>1386</v>
      </c>
      <c r="P138" s="593">
        <v>0.0</v>
      </c>
      <c r="Q138" s="584"/>
      <c r="R138" s="584"/>
      <c r="S138" s="584"/>
      <c r="T138" s="584"/>
      <c r="U138" s="584"/>
      <c r="V138" s="584"/>
      <c r="W138" s="584"/>
      <c r="X138" s="584"/>
      <c r="Y138" s="584"/>
      <c r="Z138" s="584"/>
      <c r="AA138" s="584"/>
      <c r="AB138" s="584"/>
      <c r="AC138" s="584"/>
      <c r="AD138" s="584"/>
      <c r="AE138" s="584"/>
      <c r="AF138" s="584"/>
    </row>
    <row r="139" ht="14.25" customHeight="1">
      <c r="A139" s="579">
        <v>261.0</v>
      </c>
      <c r="B139" s="580" t="s">
        <v>1107</v>
      </c>
      <c r="C139" s="581">
        <v>46189.0</v>
      </c>
      <c r="D139" s="581">
        <v>46189.0</v>
      </c>
      <c r="E139" s="581"/>
      <c r="F139" s="580" t="s">
        <v>1108</v>
      </c>
      <c r="G139" s="589" t="s">
        <v>1173</v>
      </c>
      <c r="H139" s="589" t="s">
        <v>1173</v>
      </c>
      <c r="I139" s="580" t="s">
        <v>1168</v>
      </c>
      <c r="J139" s="580" t="s">
        <v>1387</v>
      </c>
      <c r="K139" s="580" t="s">
        <v>167</v>
      </c>
      <c r="L139" s="582">
        <v>18375.04</v>
      </c>
      <c r="M139" s="582">
        <v>18375.04</v>
      </c>
      <c r="N139" s="590">
        <v>18375.04</v>
      </c>
      <c r="O139" s="580" t="s">
        <v>1388</v>
      </c>
      <c r="P139" s="593">
        <v>0.0</v>
      </c>
      <c r="Q139" s="584"/>
      <c r="R139" s="584"/>
      <c r="S139" s="584"/>
      <c r="T139" s="584"/>
      <c r="U139" s="584"/>
      <c r="V139" s="584"/>
      <c r="W139" s="584"/>
      <c r="X139" s="584"/>
      <c r="Y139" s="584"/>
      <c r="Z139" s="584"/>
      <c r="AA139" s="584"/>
      <c r="AB139" s="584"/>
      <c r="AC139" s="584"/>
      <c r="AD139" s="584"/>
      <c r="AE139" s="584"/>
      <c r="AF139" s="584"/>
    </row>
    <row r="140" ht="14.25" customHeight="1">
      <c r="A140" s="579">
        <v>263.0</v>
      </c>
      <c r="B140" s="580" t="s">
        <v>1107</v>
      </c>
      <c r="C140" s="581">
        <v>46189.0</v>
      </c>
      <c r="D140" s="581">
        <v>46189.0</v>
      </c>
      <c r="E140" s="581"/>
      <c r="F140" s="580" t="s">
        <v>1108</v>
      </c>
      <c r="G140" s="589" t="s">
        <v>1173</v>
      </c>
      <c r="H140" s="589" t="s">
        <v>1173</v>
      </c>
      <c r="I140" s="580" t="s">
        <v>1168</v>
      </c>
      <c r="J140" s="580" t="s">
        <v>1389</v>
      </c>
      <c r="K140" s="580" t="s">
        <v>167</v>
      </c>
      <c r="L140" s="582">
        <v>34038.09</v>
      </c>
      <c r="M140" s="582">
        <v>34038.09</v>
      </c>
      <c r="N140" s="590">
        <v>34038.09</v>
      </c>
      <c r="O140" s="580" t="s">
        <v>1390</v>
      </c>
      <c r="P140" s="593">
        <v>0.0</v>
      </c>
      <c r="Q140" s="584"/>
      <c r="R140" s="584"/>
      <c r="S140" s="584"/>
      <c r="T140" s="584"/>
      <c r="U140" s="584"/>
      <c r="V140" s="584"/>
      <c r="W140" s="584"/>
      <c r="X140" s="584"/>
      <c r="Y140" s="584"/>
      <c r="Z140" s="584"/>
      <c r="AA140" s="584"/>
      <c r="AB140" s="584"/>
      <c r="AC140" s="584"/>
      <c r="AD140" s="584"/>
      <c r="AE140" s="584"/>
      <c r="AF140" s="584"/>
    </row>
    <row r="141" ht="14.25" customHeight="1">
      <c r="A141" s="579">
        <v>265.0</v>
      </c>
      <c r="B141" s="580" t="s">
        <v>1107</v>
      </c>
      <c r="C141" s="581">
        <v>46189.0</v>
      </c>
      <c r="D141" s="581">
        <v>46189.0</v>
      </c>
      <c r="E141" s="581"/>
      <c r="F141" s="580" t="s">
        <v>1108</v>
      </c>
      <c r="G141" s="589">
        <v>1.5294630000004E13</v>
      </c>
      <c r="H141" s="589">
        <v>1.52946300000045E15</v>
      </c>
      <c r="I141" s="580" t="s">
        <v>1168</v>
      </c>
      <c r="J141" s="580" t="s">
        <v>1391</v>
      </c>
      <c r="K141" s="580" t="s">
        <v>167</v>
      </c>
      <c r="L141" s="582">
        <v>20867.44</v>
      </c>
      <c r="M141" s="582">
        <v>20867.44</v>
      </c>
      <c r="N141" s="590">
        <v>20867.44</v>
      </c>
      <c r="O141" s="580" t="s">
        <v>1392</v>
      </c>
      <c r="P141" s="593">
        <v>0.0</v>
      </c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4"/>
      <c r="AB141" s="584"/>
      <c r="AC141" s="584"/>
      <c r="AD141" s="584"/>
      <c r="AE141" s="584"/>
      <c r="AF141" s="584"/>
    </row>
    <row r="142" ht="14.25" customHeight="1">
      <c r="A142" s="579">
        <v>266.0</v>
      </c>
      <c r="B142" s="580" t="s">
        <v>1107</v>
      </c>
      <c r="C142" s="581">
        <v>46189.0</v>
      </c>
      <c r="D142" s="581">
        <v>46189.0</v>
      </c>
      <c r="E142" s="581"/>
      <c r="F142" s="580" t="s">
        <v>1108</v>
      </c>
      <c r="G142" s="589" t="s">
        <v>1393</v>
      </c>
      <c r="H142" s="589" t="s">
        <v>1393</v>
      </c>
      <c r="I142" s="580" t="s">
        <v>1168</v>
      </c>
      <c r="J142" s="580" t="s">
        <v>1394</v>
      </c>
      <c r="K142" s="580" t="s">
        <v>167</v>
      </c>
      <c r="L142" s="582">
        <v>20802.89</v>
      </c>
      <c r="M142" s="582">
        <v>20802.89</v>
      </c>
      <c r="N142" s="590">
        <v>20802.89</v>
      </c>
      <c r="O142" s="580" t="s">
        <v>1395</v>
      </c>
      <c r="P142" s="593">
        <v>0.0</v>
      </c>
      <c r="Q142" s="584"/>
      <c r="R142" s="584"/>
      <c r="S142" s="584"/>
      <c r="T142" s="584"/>
      <c r="U142" s="584"/>
      <c r="V142" s="584"/>
      <c r="W142" s="584"/>
      <c r="X142" s="584"/>
      <c r="Y142" s="584"/>
      <c r="Z142" s="584"/>
      <c r="AA142" s="584"/>
      <c r="AB142" s="584"/>
      <c r="AC142" s="584"/>
      <c r="AD142" s="584"/>
      <c r="AE142" s="584"/>
      <c r="AF142" s="584"/>
    </row>
    <row r="143" ht="14.25" customHeight="1">
      <c r="A143" s="579">
        <v>269.0</v>
      </c>
      <c r="B143" s="580" t="s">
        <v>1107</v>
      </c>
      <c r="C143" s="581">
        <v>46189.0</v>
      </c>
      <c r="D143" s="581">
        <v>46189.0</v>
      </c>
      <c r="E143" s="581"/>
      <c r="F143" s="580" t="s">
        <v>1108</v>
      </c>
      <c r="G143" s="589" t="s">
        <v>1396</v>
      </c>
      <c r="H143" s="589" t="s">
        <v>1396</v>
      </c>
      <c r="I143" s="580" t="s">
        <v>1168</v>
      </c>
      <c r="J143" s="580" t="s">
        <v>1397</v>
      </c>
      <c r="K143" s="580" t="s">
        <v>167</v>
      </c>
      <c r="L143" s="582">
        <v>75798.32</v>
      </c>
      <c r="M143" s="582">
        <v>75798.32</v>
      </c>
      <c r="N143" s="590">
        <v>75798.32</v>
      </c>
      <c r="O143" s="580" t="s">
        <v>1398</v>
      </c>
      <c r="P143" s="593">
        <v>0.0</v>
      </c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  <c r="AA143" s="584"/>
      <c r="AB143" s="584"/>
      <c r="AC143" s="584"/>
      <c r="AD143" s="584"/>
      <c r="AE143" s="584"/>
      <c r="AF143" s="584"/>
    </row>
    <row r="144" ht="14.25" customHeight="1">
      <c r="A144" s="579">
        <v>277.0</v>
      </c>
      <c r="B144" s="580" t="s">
        <v>1107</v>
      </c>
      <c r="C144" s="581">
        <v>46189.0</v>
      </c>
      <c r="D144" s="581">
        <v>46189.0</v>
      </c>
      <c r="E144" s="581"/>
      <c r="F144" s="580" t="s">
        <v>1108</v>
      </c>
      <c r="G144" s="589">
        <v>1.5294630000004E13</v>
      </c>
      <c r="H144" s="589">
        <v>1.52946300000045E15</v>
      </c>
      <c r="I144" s="580" t="s">
        <v>1168</v>
      </c>
      <c r="J144" s="580" t="s">
        <v>1399</v>
      </c>
      <c r="K144" s="580" t="s">
        <v>167</v>
      </c>
      <c r="L144" s="582">
        <v>537.55</v>
      </c>
      <c r="M144" s="582">
        <v>537.55</v>
      </c>
      <c r="N144" s="590">
        <v>537.55</v>
      </c>
      <c r="O144" s="580" t="s">
        <v>1282</v>
      </c>
      <c r="P144" s="593">
        <v>0.0</v>
      </c>
      <c r="Q144" s="584"/>
      <c r="R144" s="584"/>
      <c r="S144" s="584"/>
      <c r="T144" s="584"/>
      <c r="U144" s="584"/>
      <c r="V144" s="584"/>
      <c r="W144" s="584"/>
      <c r="X144" s="584"/>
      <c r="Y144" s="584"/>
      <c r="Z144" s="584"/>
      <c r="AA144" s="584"/>
      <c r="AB144" s="584"/>
      <c r="AC144" s="584"/>
      <c r="AD144" s="584"/>
      <c r="AE144" s="584"/>
      <c r="AF144" s="584"/>
    </row>
    <row r="145" ht="14.25" customHeight="1">
      <c r="A145" s="579">
        <v>279.0</v>
      </c>
      <c r="B145" s="580" t="s">
        <v>1107</v>
      </c>
      <c r="C145" s="581">
        <v>46189.0</v>
      </c>
      <c r="D145" s="581">
        <v>46189.0</v>
      </c>
      <c r="E145" s="581"/>
      <c r="F145" s="580" t="s">
        <v>1108</v>
      </c>
      <c r="G145" s="589" t="s">
        <v>1400</v>
      </c>
      <c r="H145" s="589" t="s">
        <v>1400</v>
      </c>
      <c r="I145" s="580" t="s">
        <v>1168</v>
      </c>
      <c r="J145" s="580" t="s">
        <v>1401</v>
      </c>
      <c r="K145" s="580" t="s">
        <v>167</v>
      </c>
      <c r="L145" s="582">
        <v>9991.99</v>
      </c>
      <c r="M145" s="582">
        <v>9991.99</v>
      </c>
      <c r="N145" s="585">
        <v>9991.99</v>
      </c>
      <c r="O145" s="580" t="s">
        <v>1402</v>
      </c>
      <c r="P145" s="593">
        <v>0.0</v>
      </c>
      <c r="Q145" s="584"/>
      <c r="R145" s="584"/>
      <c r="S145" s="584"/>
      <c r="T145" s="584"/>
      <c r="U145" s="584"/>
      <c r="V145" s="584"/>
      <c r="W145" s="584"/>
      <c r="X145" s="584"/>
      <c r="Y145" s="584"/>
      <c r="Z145" s="584"/>
      <c r="AA145" s="584"/>
      <c r="AB145" s="584"/>
      <c r="AC145" s="584"/>
      <c r="AD145" s="584"/>
      <c r="AE145" s="584"/>
      <c r="AF145" s="584"/>
    </row>
    <row r="146" ht="14.25" customHeight="1">
      <c r="A146" s="579">
        <v>284.0</v>
      </c>
      <c r="B146" s="580" t="s">
        <v>1107</v>
      </c>
      <c r="C146" s="581">
        <v>46189.0</v>
      </c>
      <c r="D146" s="581">
        <v>46189.0</v>
      </c>
      <c r="E146" s="581"/>
      <c r="F146" s="580" t="s">
        <v>1108</v>
      </c>
      <c r="G146" s="589" t="s">
        <v>1259</v>
      </c>
      <c r="H146" s="589" t="s">
        <v>1259</v>
      </c>
      <c r="I146" s="580" t="s">
        <v>1168</v>
      </c>
      <c r="J146" s="580" t="s">
        <v>1403</v>
      </c>
      <c r="K146" s="580" t="s">
        <v>167</v>
      </c>
      <c r="L146" s="582">
        <v>8527.76</v>
      </c>
      <c r="M146" s="582">
        <v>8527.76</v>
      </c>
      <c r="N146" s="585">
        <v>8527.76</v>
      </c>
      <c r="O146" s="580" t="s">
        <v>1404</v>
      </c>
      <c r="P146" s="593">
        <v>0.0</v>
      </c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  <c r="AA146" s="584"/>
      <c r="AB146" s="584"/>
      <c r="AC146" s="584"/>
      <c r="AD146" s="584"/>
      <c r="AE146" s="584"/>
      <c r="AF146" s="584"/>
    </row>
    <row r="147" ht="14.25" customHeight="1">
      <c r="A147" s="579">
        <v>285.0</v>
      </c>
      <c r="B147" s="580" t="s">
        <v>1107</v>
      </c>
      <c r="C147" s="581">
        <v>46189.0</v>
      </c>
      <c r="D147" s="581">
        <v>46189.0</v>
      </c>
      <c r="E147" s="581"/>
      <c r="F147" s="580" t="s">
        <v>1108</v>
      </c>
      <c r="G147" s="589">
        <v>1.3497249E7</v>
      </c>
      <c r="H147" s="589">
        <v>1.3497249E7</v>
      </c>
      <c r="I147" s="580" t="s">
        <v>1168</v>
      </c>
      <c r="J147" s="580" t="s">
        <v>1405</v>
      </c>
      <c r="K147" s="580" t="s">
        <v>167</v>
      </c>
      <c r="L147" s="582">
        <v>11266.55</v>
      </c>
      <c r="M147" s="582">
        <v>11266.55</v>
      </c>
      <c r="N147" s="585">
        <v>11266.55</v>
      </c>
      <c r="O147" s="580" t="s">
        <v>1406</v>
      </c>
      <c r="P147" s="593">
        <v>0.0</v>
      </c>
      <c r="Q147" s="584"/>
      <c r="R147" s="584"/>
      <c r="S147" s="584"/>
      <c r="T147" s="584"/>
      <c r="U147" s="584"/>
      <c r="V147" s="584"/>
      <c r="W147" s="584"/>
      <c r="X147" s="584"/>
      <c r="Y147" s="584"/>
      <c r="Z147" s="584"/>
      <c r="AA147" s="584"/>
      <c r="AB147" s="584"/>
      <c r="AC147" s="584"/>
      <c r="AD147" s="584"/>
      <c r="AE147" s="584"/>
      <c r="AF147" s="584"/>
    </row>
    <row r="148" ht="14.25" customHeight="1">
      <c r="A148" s="579">
        <v>286.0</v>
      </c>
      <c r="B148" s="580" t="s">
        <v>1107</v>
      </c>
      <c r="C148" s="581">
        <v>46189.0</v>
      </c>
      <c r="D148" s="581">
        <v>46189.0</v>
      </c>
      <c r="E148" s="581"/>
      <c r="F148" s="580" t="s">
        <v>1108</v>
      </c>
      <c r="G148" s="589" t="s">
        <v>1173</v>
      </c>
      <c r="H148" s="589" t="s">
        <v>1173</v>
      </c>
      <c r="I148" s="580" t="s">
        <v>1168</v>
      </c>
      <c r="J148" s="580" t="s">
        <v>1407</v>
      </c>
      <c r="K148" s="580" t="s">
        <v>167</v>
      </c>
      <c r="L148" s="582">
        <v>21289.2</v>
      </c>
      <c r="M148" s="582">
        <v>21289.2</v>
      </c>
      <c r="N148" s="585">
        <v>21289.2</v>
      </c>
      <c r="O148" s="580" t="s">
        <v>1408</v>
      </c>
      <c r="P148" s="593">
        <v>0.0</v>
      </c>
      <c r="Q148" s="584"/>
      <c r="R148" s="584"/>
      <c r="S148" s="584"/>
      <c r="T148" s="584"/>
      <c r="U148" s="584"/>
      <c r="V148" s="584"/>
      <c r="W148" s="584"/>
      <c r="X148" s="584"/>
      <c r="Y148" s="584"/>
      <c r="Z148" s="584"/>
      <c r="AA148" s="584"/>
      <c r="AB148" s="584"/>
      <c r="AC148" s="584"/>
      <c r="AD148" s="584"/>
      <c r="AE148" s="584"/>
      <c r="AF148" s="584"/>
    </row>
    <row r="149" ht="14.25" customHeight="1">
      <c r="A149" s="579">
        <v>291.0</v>
      </c>
      <c r="B149" s="580" t="s">
        <v>1107</v>
      </c>
      <c r="C149" s="581">
        <v>46189.0</v>
      </c>
      <c r="D149" s="581">
        <v>46189.0</v>
      </c>
      <c r="E149" s="581"/>
      <c r="F149" s="580" t="s">
        <v>1108</v>
      </c>
      <c r="G149" s="589" t="s">
        <v>1173</v>
      </c>
      <c r="H149" s="589" t="s">
        <v>1173</v>
      </c>
      <c r="I149" s="580" t="s">
        <v>1168</v>
      </c>
      <c r="J149" s="580" t="s">
        <v>1409</v>
      </c>
      <c r="K149" s="580" t="s">
        <v>167</v>
      </c>
      <c r="L149" s="582">
        <v>56701.31</v>
      </c>
      <c r="M149" s="582">
        <v>56701.31</v>
      </c>
      <c r="N149" s="585">
        <v>56701.31</v>
      </c>
      <c r="O149" s="580" t="s">
        <v>1410</v>
      </c>
      <c r="P149" s="593">
        <v>0.0</v>
      </c>
      <c r="Q149" s="584"/>
      <c r="R149" s="584"/>
      <c r="S149" s="584"/>
      <c r="T149" s="584"/>
      <c r="U149" s="584"/>
      <c r="V149" s="584"/>
      <c r="W149" s="584"/>
      <c r="X149" s="584"/>
      <c r="Y149" s="584"/>
      <c r="Z149" s="584"/>
      <c r="AA149" s="584"/>
      <c r="AB149" s="584"/>
      <c r="AC149" s="584"/>
      <c r="AD149" s="584"/>
      <c r="AE149" s="584"/>
      <c r="AF149" s="584"/>
    </row>
    <row r="150" ht="14.25" customHeight="1">
      <c r="A150" s="579">
        <v>292.0</v>
      </c>
      <c r="B150" s="580" t="s">
        <v>1107</v>
      </c>
      <c r="C150" s="581">
        <v>46189.0</v>
      </c>
      <c r="D150" s="581">
        <v>46189.0</v>
      </c>
      <c r="E150" s="581"/>
      <c r="F150" s="580" t="s">
        <v>1108</v>
      </c>
      <c r="G150" s="589">
        <v>1.349671E7</v>
      </c>
      <c r="H150" s="589">
        <v>1.349671E7</v>
      </c>
      <c r="I150" s="580" t="s">
        <v>1168</v>
      </c>
      <c r="J150" s="580" t="s">
        <v>1411</v>
      </c>
      <c r="K150" s="580" t="s">
        <v>167</v>
      </c>
      <c r="L150" s="582">
        <v>10852.72</v>
      </c>
      <c r="M150" s="582">
        <v>10852.72</v>
      </c>
      <c r="N150" s="585">
        <v>10852.72</v>
      </c>
      <c r="O150" s="580" t="s">
        <v>1412</v>
      </c>
      <c r="P150" s="593">
        <v>0.0</v>
      </c>
      <c r="Q150" s="584"/>
      <c r="R150" s="584"/>
      <c r="S150" s="584"/>
      <c r="T150" s="584"/>
      <c r="U150" s="584"/>
      <c r="V150" s="584"/>
      <c r="W150" s="584"/>
      <c r="X150" s="584"/>
      <c r="Y150" s="584"/>
      <c r="Z150" s="584"/>
      <c r="AA150" s="584"/>
      <c r="AB150" s="584"/>
      <c r="AC150" s="584"/>
      <c r="AD150" s="584"/>
      <c r="AE150" s="584"/>
      <c r="AF150" s="584"/>
    </row>
    <row r="151" ht="14.25" customHeight="1">
      <c r="A151" s="579">
        <v>293.0</v>
      </c>
      <c r="B151" s="580" t="s">
        <v>1107</v>
      </c>
      <c r="C151" s="581">
        <v>46189.0</v>
      </c>
      <c r="D151" s="581">
        <v>46189.0</v>
      </c>
      <c r="E151" s="581"/>
      <c r="F151" s="580" t="s">
        <v>1108</v>
      </c>
      <c r="G151" s="589">
        <v>1.3505386E7</v>
      </c>
      <c r="H151" s="589">
        <v>1.3505386E7</v>
      </c>
      <c r="I151" s="580" t="s">
        <v>1168</v>
      </c>
      <c r="J151" s="580" t="s">
        <v>1413</v>
      </c>
      <c r="K151" s="580" t="s">
        <v>167</v>
      </c>
      <c r="L151" s="582">
        <v>29544.63</v>
      </c>
      <c r="M151" s="582">
        <v>29544.63</v>
      </c>
      <c r="N151" s="585">
        <v>29544.63</v>
      </c>
      <c r="O151" s="580" t="s">
        <v>1414</v>
      </c>
      <c r="P151" s="593">
        <v>0.0</v>
      </c>
      <c r="Q151" s="584"/>
      <c r="R151" s="584"/>
      <c r="S151" s="584"/>
      <c r="T151" s="584"/>
      <c r="U151" s="584"/>
      <c r="V151" s="584"/>
      <c r="W151" s="584"/>
      <c r="X151" s="584"/>
      <c r="Y151" s="584"/>
      <c r="Z151" s="584"/>
      <c r="AA151" s="584"/>
      <c r="AB151" s="584"/>
      <c r="AC151" s="584"/>
      <c r="AD151" s="584"/>
      <c r="AE151" s="584"/>
      <c r="AF151" s="584"/>
    </row>
    <row r="152" ht="14.25" customHeight="1">
      <c r="A152" s="579">
        <v>294.0</v>
      </c>
      <c r="B152" s="580" t="s">
        <v>1107</v>
      </c>
      <c r="C152" s="581">
        <v>46189.0</v>
      </c>
      <c r="D152" s="581">
        <v>46189.0</v>
      </c>
      <c r="E152" s="581"/>
      <c r="F152" s="580" t="s">
        <v>1108</v>
      </c>
      <c r="G152" s="589" t="s">
        <v>1415</v>
      </c>
      <c r="H152" s="589" t="s">
        <v>1416</v>
      </c>
      <c r="I152" s="580" t="s">
        <v>1168</v>
      </c>
      <c r="J152" s="580" t="s">
        <v>1417</v>
      </c>
      <c r="K152" s="580" t="s">
        <v>167</v>
      </c>
      <c r="L152" s="582">
        <v>8059.54</v>
      </c>
      <c r="M152" s="582">
        <v>8059.54</v>
      </c>
      <c r="N152" s="585">
        <v>8059.54</v>
      </c>
      <c r="O152" s="580" t="s">
        <v>1418</v>
      </c>
      <c r="P152" s="593">
        <v>0.0</v>
      </c>
      <c r="Q152" s="584"/>
      <c r="R152" s="584"/>
      <c r="S152" s="584"/>
      <c r="T152" s="584"/>
      <c r="U152" s="584"/>
      <c r="V152" s="584"/>
      <c r="W152" s="584"/>
      <c r="X152" s="584"/>
      <c r="Y152" s="584"/>
      <c r="Z152" s="584"/>
      <c r="AA152" s="584"/>
      <c r="AB152" s="584"/>
      <c r="AC152" s="584"/>
      <c r="AD152" s="584"/>
      <c r="AE152" s="584"/>
      <c r="AF152" s="584"/>
    </row>
    <row r="153" ht="14.25" customHeight="1">
      <c r="A153" s="579">
        <v>295.0</v>
      </c>
      <c r="B153" s="580" t="s">
        <v>1107</v>
      </c>
      <c r="C153" s="581">
        <v>46189.0</v>
      </c>
      <c r="D153" s="581">
        <v>46189.0</v>
      </c>
      <c r="E153" s="581"/>
      <c r="F153" s="580" t="s">
        <v>1108</v>
      </c>
      <c r="G153" s="589" t="s">
        <v>1419</v>
      </c>
      <c r="H153" s="589" t="s">
        <v>1419</v>
      </c>
      <c r="I153" s="580" t="s">
        <v>1168</v>
      </c>
      <c r="J153" s="580" t="s">
        <v>1420</v>
      </c>
      <c r="K153" s="580" t="s">
        <v>167</v>
      </c>
      <c r="L153" s="582">
        <v>5177.39</v>
      </c>
      <c r="M153" s="582">
        <v>5177.39</v>
      </c>
      <c r="N153" s="585">
        <v>5177.39</v>
      </c>
      <c r="O153" s="580" t="s">
        <v>1421</v>
      </c>
      <c r="P153" s="593">
        <v>0.0</v>
      </c>
      <c r="Q153" s="584"/>
      <c r="R153" s="584"/>
      <c r="S153" s="584"/>
      <c r="T153" s="584"/>
      <c r="U153" s="584"/>
      <c r="V153" s="584"/>
      <c r="W153" s="584"/>
      <c r="X153" s="584"/>
      <c r="Y153" s="584"/>
      <c r="Z153" s="584"/>
      <c r="AA153" s="584"/>
      <c r="AB153" s="584"/>
      <c r="AC153" s="584"/>
      <c r="AD153" s="584"/>
      <c r="AE153" s="584"/>
      <c r="AF153" s="584"/>
    </row>
    <row r="154" ht="14.25" customHeight="1">
      <c r="A154" s="579">
        <v>296.0</v>
      </c>
      <c r="B154" s="580" t="s">
        <v>1107</v>
      </c>
      <c r="C154" s="581">
        <v>46189.0</v>
      </c>
      <c r="D154" s="581">
        <v>46189.0</v>
      </c>
      <c r="E154" s="581"/>
      <c r="F154" s="580" t="s">
        <v>1108</v>
      </c>
      <c r="G154" s="589">
        <v>1.3499727E7</v>
      </c>
      <c r="H154" s="589">
        <v>1.3499727E7</v>
      </c>
      <c r="I154" s="580" t="s">
        <v>1168</v>
      </c>
      <c r="J154" s="580" t="s">
        <v>1422</v>
      </c>
      <c r="K154" s="580" t="s">
        <v>167</v>
      </c>
      <c r="L154" s="582">
        <v>11968.22</v>
      </c>
      <c r="M154" s="582">
        <v>11968.22</v>
      </c>
      <c r="N154" s="585">
        <v>11968.22</v>
      </c>
      <c r="O154" s="580" t="s">
        <v>1423</v>
      </c>
      <c r="P154" s="593">
        <v>0.0</v>
      </c>
      <c r="Q154" s="584"/>
      <c r="R154" s="584"/>
      <c r="S154" s="584"/>
      <c r="T154" s="584"/>
      <c r="U154" s="584"/>
      <c r="V154" s="584"/>
      <c r="W154" s="584"/>
      <c r="X154" s="584"/>
      <c r="Y154" s="584"/>
      <c r="Z154" s="584"/>
      <c r="AA154" s="584"/>
      <c r="AB154" s="584"/>
      <c r="AC154" s="584"/>
      <c r="AD154" s="584"/>
      <c r="AE154" s="584"/>
      <c r="AF154" s="584"/>
    </row>
    <row r="155" ht="14.25" customHeight="1">
      <c r="A155" s="579">
        <v>299.0</v>
      </c>
      <c r="B155" s="580" t="s">
        <v>1107</v>
      </c>
      <c r="C155" s="581">
        <v>46189.0</v>
      </c>
      <c r="D155" s="581">
        <v>46189.0</v>
      </c>
      <c r="E155" s="581"/>
      <c r="F155" s="580" t="s">
        <v>1108</v>
      </c>
      <c r="G155" s="589" t="s">
        <v>1424</v>
      </c>
      <c r="H155" s="589" t="s">
        <v>1424</v>
      </c>
      <c r="I155" s="580" t="s">
        <v>1168</v>
      </c>
      <c r="J155" s="580" t="s">
        <v>1425</v>
      </c>
      <c r="K155" s="580" t="s">
        <v>167</v>
      </c>
      <c r="L155" s="582">
        <v>15385.9</v>
      </c>
      <c r="M155" s="582">
        <v>15385.9</v>
      </c>
      <c r="N155" s="585">
        <v>15385.9</v>
      </c>
      <c r="O155" s="580" t="s">
        <v>1426</v>
      </c>
      <c r="P155" s="593">
        <v>0.0</v>
      </c>
      <c r="Q155" s="584"/>
      <c r="R155" s="584"/>
      <c r="S155" s="584"/>
      <c r="T155" s="584"/>
      <c r="U155" s="584"/>
      <c r="V155" s="584"/>
      <c r="W155" s="584"/>
      <c r="X155" s="584"/>
      <c r="Y155" s="584"/>
      <c r="Z155" s="584"/>
      <c r="AA155" s="584"/>
      <c r="AB155" s="584"/>
      <c r="AC155" s="584"/>
      <c r="AD155" s="584"/>
      <c r="AE155" s="584"/>
      <c r="AF155" s="584"/>
    </row>
    <row r="156" ht="14.25" customHeight="1">
      <c r="A156" s="579"/>
      <c r="B156" s="580"/>
      <c r="C156" s="581"/>
      <c r="D156" s="581"/>
      <c r="E156" s="581"/>
      <c r="F156" s="580"/>
      <c r="G156" s="589"/>
      <c r="H156" s="589"/>
      <c r="I156" s="580"/>
      <c r="J156" s="580"/>
      <c r="K156" s="580"/>
      <c r="L156" s="582"/>
      <c r="M156" s="582" t="s">
        <v>1427</v>
      </c>
      <c r="N156" s="585">
        <f>SUM(N43:N155)</f>
        <v>2958695.42</v>
      </c>
      <c r="O156" s="580"/>
      <c r="P156" s="593"/>
      <c r="Q156" s="584"/>
      <c r="R156" s="584"/>
      <c r="S156" s="584"/>
      <c r="T156" s="584"/>
      <c r="U156" s="584"/>
      <c r="V156" s="584"/>
      <c r="W156" s="584"/>
      <c r="X156" s="584"/>
      <c r="Y156" s="584"/>
      <c r="Z156" s="584"/>
      <c r="AA156" s="584"/>
      <c r="AB156" s="584"/>
      <c r="AC156" s="584"/>
      <c r="AD156" s="584"/>
      <c r="AE156" s="584"/>
      <c r="AF156" s="584"/>
    </row>
    <row r="157" ht="14.25" customHeight="1">
      <c r="A157" s="579"/>
      <c r="B157" s="580"/>
      <c r="C157" s="581"/>
      <c r="D157" s="581"/>
      <c r="E157" s="581"/>
      <c r="F157" s="580"/>
      <c r="G157" s="589"/>
      <c r="H157" s="589"/>
      <c r="I157" s="580"/>
      <c r="J157" s="580"/>
      <c r="K157" s="580"/>
      <c r="L157" s="582"/>
      <c r="M157" s="582"/>
      <c r="N157" s="585"/>
      <c r="O157" s="580"/>
      <c r="P157" s="593"/>
      <c r="Q157" s="584"/>
      <c r="R157" s="584"/>
      <c r="S157" s="584"/>
      <c r="T157" s="584"/>
      <c r="U157" s="584"/>
      <c r="V157" s="584"/>
      <c r="W157" s="584"/>
      <c r="X157" s="584"/>
      <c r="Y157" s="584"/>
      <c r="Z157" s="584"/>
      <c r="AA157" s="584"/>
      <c r="AB157" s="584"/>
      <c r="AC157" s="584"/>
      <c r="AD157" s="584"/>
      <c r="AE157" s="584"/>
      <c r="AF157" s="584"/>
    </row>
    <row r="158" ht="14.25" customHeight="1">
      <c r="A158" s="579"/>
      <c r="B158" s="580"/>
      <c r="C158" s="581"/>
      <c r="D158" s="581"/>
      <c r="E158" s="581"/>
      <c r="F158" s="580"/>
      <c r="G158" s="589"/>
      <c r="H158" s="589"/>
      <c r="I158" s="580"/>
      <c r="J158" s="580"/>
      <c r="K158" s="580"/>
      <c r="L158" s="582"/>
      <c r="M158" s="582"/>
      <c r="N158" s="585"/>
      <c r="O158" s="580"/>
      <c r="P158" s="593"/>
      <c r="Q158" s="584"/>
      <c r="R158" s="584"/>
      <c r="S158" s="584"/>
      <c r="T158" s="584"/>
      <c r="U158" s="584"/>
      <c r="V158" s="584"/>
      <c r="W158" s="584"/>
      <c r="X158" s="584"/>
      <c r="Y158" s="584"/>
      <c r="Z158" s="584"/>
      <c r="AA158" s="584"/>
      <c r="AB158" s="584"/>
      <c r="AC158" s="584"/>
      <c r="AD158" s="584"/>
      <c r="AE158" s="584"/>
      <c r="AF158" s="584"/>
    </row>
    <row r="159" ht="14.25" customHeight="1">
      <c r="A159" s="579"/>
      <c r="B159" s="580"/>
      <c r="C159" s="581"/>
      <c r="D159" s="581"/>
      <c r="E159" s="581"/>
      <c r="F159" s="580"/>
      <c r="G159" s="589"/>
      <c r="H159" s="589"/>
      <c r="I159" s="580"/>
      <c r="J159" s="580"/>
      <c r="K159" s="580"/>
      <c r="L159" s="582"/>
      <c r="M159" s="582"/>
      <c r="N159" s="585"/>
      <c r="O159" s="580"/>
      <c r="P159" s="593"/>
      <c r="Q159" s="584"/>
      <c r="R159" s="584"/>
      <c r="S159" s="584"/>
      <c r="T159" s="584"/>
      <c r="U159" s="584"/>
      <c r="V159" s="584"/>
      <c r="W159" s="584"/>
      <c r="X159" s="584"/>
      <c r="Y159" s="584"/>
      <c r="Z159" s="584"/>
      <c r="AA159" s="584"/>
      <c r="AB159" s="584"/>
      <c r="AC159" s="584"/>
      <c r="AD159" s="584"/>
      <c r="AE159" s="584"/>
      <c r="AF159" s="584"/>
    </row>
    <row r="160" ht="14.25" customHeight="1">
      <c r="A160" s="579"/>
      <c r="B160" s="580"/>
      <c r="C160" s="581"/>
      <c r="D160" s="581"/>
      <c r="E160" s="581"/>
      <c r="F160" s="580"/>
      <c r="G160" s="589"/>
      <c r="H160" s="589"/>
      <c r="I160" s="580"/>
      <c r="J160" s="580"/>
      <c r="K160" s="580"/>
      <c r="L160" s="582"/>
      <c r="M160" s="582"/>
      <c r="N160" s="585"/>
      <c r="O160" s="580"/>
      <c r="P160" s="593"/>
      <c r="Q160" s="584"/>
      <c r="R160" s="584"/>
      <c r="S160" s="584"/>
      <c r="T160" s="584"/>
      <c r="U160" s="584"/>
      <c r="V160" s="584"/>
      <c r="W160" s="584"/>
      <c r="X160" s="584"/>
      <c r="Y160" s="584"/>
      <c r="Z160" s="584"/>
      <c r="AA160" s="584"/>
      <c r="AB160" s="584"/>
      <c r="AC160" s="584"/>
      <c r="AD160" s="584"/>
      <c r="AE160" s="584"/>
      <c r="AF160" s="584"/>
    </row>
    <row r="161" ht="14.25" customHeight="1">
      <c r="A161" s="579"/>
      <c r="B161" s="580"/>
      <c r="C161" s="581"/>
      <c r="D161" s="581"/>
      <c r="E161" s="581"/>
      <c r="F161" s="580"/>
      <c r="G161" s="589"/>
      <c r="H161" s="589"/>
      <c r="I161" s="580"/>
      <c r="J161" s="580"/>
      <c r="K161" s="580"/>
      <c r="L161" s="582"/>
      <c r="M161" s="582"/>
      <c r="N161" s="585"/>
      <c r="O161" s="580"/>
      <c r="P161" s="593"/>
      <c r="Q161" s="584"/>
      <c r="R161" s="584"/>
      <c r="S161" s="584"/>
      <c r="T161" s="584"/>
      <c r="U161" s="584"/>
      <c r="V161" s="584"/>
      <c r="W161" s="584"/>
      <c r="X161" s="584"/>
      <c r="Y161" s="584"/>
      <c r="Z161" s="584"/>
      <c r="AA161" s="584"/>
      <c r="AB161" s="584"/>
      <c r="AC161" s="584"/>
      <c r="AD161" s="584"/>
      <c r="AE161" s="584"/>
      <c r="AF161" s="584"/>
    </row>
    <row r="162" ht="14.25" customHeight="1">
      <c r="A162" s="579">
        <v>6.0</v>
      </c>
      <c r="B162" s="580" t="s">
        <v>1107</v>
      </c>
      <c r="C162" s="581">
        <v>46189.0</v>
      </c>
      <c r="D162" s="581">
        <v>46189.0</v>
      </c>
      <c r="E162" s="581"/>
      <c r="F162" s="580" t="s">
        <v>1108</v>
      </c>
      <c r="G162" s="589" t="s">
        <v>1428</v>
      </c>
      <c r="H162" s="589" t="s">
        <v>1428</v>
      </c>
      <c r="I162" s="580" t="s">
        <v>1168</v>
      </c>
      <c r="J162" s="580" t="s">
        <v>1429</v>
      </c>
      <c r="K162" s="580" t="s">
        <v>265</v>
      </c>
      <c r="L162" s="582">
        <v>15000.0</v>
      </c>
      <c r="M162" s="582">
        <v>15000.0</v>
      </c>
      <c r="N162" s="585">
        <v>15000.0</v>
      </c>
      <c r="O162" s="580" t="s">
        <v>1430</v>
      </c>
      <c r="P162" s="593">
        <v>0.0</v>
      </c>
      <c r="Q162" s="584"/>
      <c r="R162" s="584"/>
      <c r="S162" s="584"/>
      <c r="T162" s="584"/>
      <c r="U162" s="584"/>
      <c r="V162" s="584"/>
      <c r="W162" s="584"/>
      <c r="X162" s="584"/>
      <c r="Y162" s="584"/>
      <c r="Z162" s="584"/>
      <c r="AA162" s="584"/>
      <c r="AB162" s="584"/>
      <c r="AC162" s="584"/>
      <c r="AD162" s="584"/>
      <c r="AE162" s="584"/>
      <c r="AF162" s="584"/>
    </row>
    <row r="163" ht="14.25" customHeight="1">
      <c r="A163" s="579">
        <v>7.0</v>
      </c>
      <c r="B163" s="580" t="s">
        <v>1107</v>
      </c>
      <c r="C163" s="581">
        <v>46189.0</v>
      </c>
      <c r="D163" s="581">
        <v>46189.0</v>
      </c>
      <c r="E163" s="581"/>
      <c r="F163" s="580" t="s">
        <v>1108</v>
      </c>
      <c r="G163" s="589" t="s">
        <v>1431</v>
      </c>
      <c r="H163" s="589" t="s">
        <v>1431</v>
      </c>
      <c r="I163" s="580" t="s">
        <v>1168</v>
      </c>
      <c r="J163" s="580" t="s">
        <v>1432</v>
      </c>
      <c r="K163" s="580" t="s">
        <v>265</v>
      </c>
      <c r="L163" s="582">
        <v>5752.8</v>
      </c>
      <c r="M163" s="582">
        <v>5752.8</v>
      </c>
      <c r="N163" s="585">
        <v>5752.8</v>
      </c>
      <c r="O163" s="580" t="s">
        <v>1433</v>
      </c>
      <c r="P163" s="593">
        <v>0.0</v>
      </c>
      <c r="Q163" s="584"/>
      <c r="R163" s="584"/>
      <c r="S163" s="584"/>
      <c r="T163" s="584"/>
      <c r="U163" s="584"/>
      <c r="V163" s="584"/>
      <c r="W163" s="584"/>
      <c r="X163" s="584"/>
      <c r="Y163" s="584"/>
      <c r="Z163" s="584"/>
      <c r="AA163" s="584"/>
      <c r="AB163" s="584"/>
      <c r="AC163" s="584"/>
      <c r="AD163" s="584"/>
      <c r="AE163" s="584"/>
      <c r="AF163" s="584"/>
    </row>
    <row r="164" ht="14.25" customHeight="1">
      <c r="A164" s="579">
        <v>9.0</v>
      </c>
      <c r="B164" s="580" t="s">
        <v>1107</v>
      </c>
      <c r="C164" s="581">
        <v>46189.0</v>
      </c>
      <c r="D164" s="581">
        <v>46189.0</v>
      </c>
      <c r="E164" s="581"/>
      <c r="F164" s="580" t="s">
        <v>1108</v>
      </c>
      <c r="G164" s="589" t="s">
        <v>1434</v>
      </c>
      <c r="H164" s="589" t="s">
        <v>1434</v>
      </c>
      <c r="I164" s="580" t="s">
        <v>1168</v>
      </c>
      <c r="J164" s="580" t="s">
        <v>1435</v>
      </c>
      <c r="K164" s="580" t="s">
        <v>265</v>
      </c>
      <c r="L164" s="582">
        <v>42.33</v>
      </c>
      <c r="M164" s="582">
        <v>42.33</v>
      </c>
      <c r="N164" s="585">
        <v>42.33</v>
      </c>
      <c r="O164" s="580" t="s">
        <v>1436</v>
      </c>
      <c r="P164" s="593">
        <v>0.0</v>
      </c>
      <c r="Q164" s="584"/>
      <c r="R164" s="584"/>
      <c r="S164" s="584"/>
      <c r="T164" s="584"/>
      <c r="U164" s="584"/>
      <c r="V164" s="584"/>
      <c r="W164" s="584"/>
      <c r="X164" s="584"/>
      <c r="Y164" s="584"/>
      <c r="Z164" s="584"/>
      <c r="AA164" s="584"/>
      <c r="AB164" s="584"/>
      <c r="AC164" s="584"/>
      <c r="AD164" s="584"/>
      <c r="AE164" s="584"/>
      <c r="AF164" s="584"/>
    </row>
    <row r="165" ht="14.25" customHeight="1">
      <c r="A165" s="579">
        <v>10.0</v>
      </c>
      <c r="B165" s="580" t="s">
        <v>1107</v>
      </c>
      <c r="C165" s="581">
        <v>46189.0</v>
      </c>
      <c r="D165" s="581">
        <v>46189.0</v>
      </c>
      <c r="E165" s="581"/>
      <c r="F165" s="580" t="s">
        <v>1108</v>
      </c>
      <c r="G165" s="589" t="s">
        <v>1437</v>
      </c>
      <c r="H165" s="589" t="s">
        <v>1437</v>
      </c>
      <c r="I165" s="580" t="s">
        <v>1168</v>
      </c>
      <c r="J165" s="580" t="s">
        <v>1438</v>
      </c>
      <c r="K165" s="580" t="s">
        <v>265</v>
      </c>
      <c r="L165" s="582">
        <v>5382.11</v>
      </c>
      <c r="M165" s="582">
        <v>5382.11</v>
      </c>
      <c r="N165" s="585">
        <v>5382.11</v>
      </c>
      <c r="O165" s="580" t="s">
        <v>1439</v>
      </c>
      <c r="P165" s="593">
        <v>0.0</v>
      </c>
      <c r="Q165" s="584"/>
      <c r="R165" s="584"/>
      <c r="S165" s="584"/>
      <c r="T165" s="584"/>
      <c r="U165" s="584"/>
      <c r="V165" s="584"/>
      <c r="W165" s="584"/>
      <c r="X165" s="584"/>
      <c r="Y165" s="584"/>
      <c r="Z165" s="584"/>
      <c r="AA165" s="584"/>
      <c r="AB165" s="584"/>
      <c r="AC165" s="584"/>
      <c r="AD165" s="584"/>
      <c r="AE165" s="584"/>
      <c r="AF165" s="584"/>
    </row>
    <row r="166" ht="14.25" customHeight="1">
      <c r="A166" s="579">
        <v>11.0</v>
      </c>
      <c r="B166" s="580" t="s">
        <v>1107</v>
      </c>
      <c r="C166" s="581">
        <v>46189.0</v>
      </c>
      <c r="D166" s="581">
        <v>46189.0</v>
      </c>
      <c r="E166" s="581"/>
      <c r="F166" s="580" t="s">
        <v>1108</v>
      </c>
      <c r="G166" s="589" t="s">
        <v>1440</v>
      </c>
      <c r="H166" s="589" t="s">
        <v>1440</v>
      </c>
      <c r="I166" s="580" t="s">
        <v>1168</v>
      </c>
      <c r="J166" s="580" t="s">
        <v>1441</v>
      </c>
      <c r="K166" s="580" t="s">
        <v>265</v>
      </c>
      <c r="L166" s="582">
        <v>18908.92</v>
      </c>
      <c r="M166" s="582">
        <v>18908.92</v>
      </c>
      <c r="N166" s="585">
        <v>18908.92</v>
      </c>
      <c r="O166" s="580" t="s">
        <v>1442</v>
      </c>
      <c r="P166" s="593">
        <v>0.0</v>
      </c>
      <c r="Q166" s="584"/>
      <c r="R166" s="584"/>
      <c r="S166" s="584"/>
      <c r="T166" s="584"/>
      <c r="U166" s="584"/>
      <c r="V166" s="584"/>
      <c r="W166" s="584"/>
      <c r="X166" s="584"/>
      <c r="Y166" s="584"/>
      <c r="Z166" s="584"/>
      <c r="AA166" s="584"/>
      <c r="AB166" s="584"/>
      <c r="AC166" s="584"/>
      <c r="AD166" s="584"/>
      <c r="AE166" s="584"/>
      <c r="AF166" s="584"/>
    </row>
    <row r="167" ht="14.25" customHeight="1">
      <c r="A167" s="579">
        <v>12.0</v>
      </c>
      <c r="B167" s="580" t="s">
        <v>1107</v>
      </c>
      <c r="C167" s="581">
        <v>46189.0</v>
      </c>
      <c r="D167" s="581">
        <v>46189.0</v>
      </c>
      <c r="E167" s="581"/>
      <c r="F167" s="580" t="s">
        <v>1108</v>
      </c>
      <c r="G167" s="589" t="s">
        <v>1443</v>
      </c>
      <c r="H167" s="589" t="s">
        <v>1443</v>
      </c>
      <c r="I167" s="580" t="s">
        <v>1168</v>
      </c>
      <c r="J167" s="580" t="s">
        <v>1444</v>
      </c>
      <c r="K167" s="580" t="s">
        <v>265</v>
      </c>
      <c r="L167" s="582">
        <v>20458.1</v>
      </c>
      <c r="M167" s="582">
        <v>20458.1</v>
      </c>
      <c r="N167" s="585">
        <v>20458.1</v>
      </c>
      <c r="O167" s="580" t="s">
        <v>1445</v>
      </c>
      <c r="P167" s="593">
        <v>0.0</v>
      </c>
      <c r="Q167" s="584"/>
      <c r="R167" s="584"/>
      <c r="S167" s="584"/>
      <c r="T167" s="584"/>
      <c r="U167" s="584"/>
      <c r="V167" s="584"/>
      <c r="W167" s="584"/>
      <c r="X167" s="584"/>
      <c r="Y167" s="584"/>
      <c r="Z167" s="584"/>
      <c r="AA167" s="584"/>
      <c r="AB167" s="584"/>
      <c r="AC167" s="584"/>
      <c r="AD167" s="584"/>
      <c r="AE167" s="584"/>
      <c r="AF167" s="584"/>
    </row>
    <row r="168" ht="14.25" customHeight="1">
      <c r="A168" s="579">
        <v>13.0</v>
      </c>
      <c r="B168" s="580" t="s">
        <v>1107</v>
      </c>
      <c r="C168" s="581">
        <v>46189.0</v>
      </c>
      <c r="D168" s="581">
        <v>46189.0</v>
      </c>
      <c r="E168" s="581"/>
      <c r="F168" s="580" t="s">
        <v>1108</v>
      </c>
      <c r="G168" s="589">
        <v>3.6836555E7</v>
      </c>
      <c r="H168" s="589">
        <v>3.6836555E7</v>
      </c>
      <c r="I168" s="580" t="s">
        <v>1168</v>
      </c>
      <c r="J168" s="580" t="s">
        <v>1446</v>
      </c>
      <c r="K168" s="580" t="s">
        <v>265</v>
      </c>
      <c r="L168" s="582">
        <v>21506.61</v>
      </c>
      <c r="M168" s="582">
        <v>21506.61</v>
      </c>
      <c r="N168" s="585">
        <v>21506.61</v>
      </c>
      <c r="O168" s="580" t="s">
        <v>1447</v>
      </c>
      <c r="P168" s="593">
        <v>0.0</v>
      </c>
      <c r="Q168" s="584"/>
      <c r="R168" s="584"/>
      <c r="S168" s="584"/>
      <c r="T168" s="584"/>
      <c r="U168" s="584"/>
      <c r="V168" s="584"/>
      <c r="W168" s="584"/>
      <c r="X168" s="584"/>
      <c r="Y168" s="584"/>
      <c r="Z168" s="584"/>
      <c r="AA168" s="584"/>
      <c r="AB168" s="584"/>
      <c r="AC168" s="584"/>
      <c r="AD168" s="584"/>
      <c r="AE168" s="584"/>
      <c r="AF168" s="584"/>
    </row>
    <row r="169" ht="14.25" customHeight="1">
      <c r="A169" s="579">
        <v>17.0</v>
      </c>
      <c r="B169" s="580" t="s">
        <v>1107</v>
      </c>
      <c r="C169" s="581">
        <v>46189.0</v>
      </c>
      <c r="D169" s="581">
        <v>46189.0</v>
      </c>
      <c r="E169" s="581"/>
      <c r="F169" s="580" t="s">
        <v>1108</v>
      </c>
      <c r="G169" s="589" t="s">
        <v>1448</v>
      </c>
      <c r="H169" s="589" t="s">
        <v>1448</v>
      </c>
      <c r="I169" s="580" t="s">
        <v>1168</v>
      </c>
      <c r="J169" s="580" t="s">
        <v>1449</v>
      </c>
      <c r="K169" s="580" t="s">
        <v>265</v>
      </c>
      <c r="L169" s="582">
        <v>40854.07</v>
      </c>
      <c r="M169" s="582">
        <v>40854.07</v>
      </c>
      <c r="N169" s="585">
        <v>40854.07</v>
      </c>
      <c r="O169" s="580" t="s">
        <v>1450</v>
      </c>
      <c r="P169" s="593">
        <v>0.0</v>
      </c>
      <c r="Q169" s="584"/>
      <c r="R169" s="584"/>
      <c r="S169" s="584"/>
      <c r="T169" s="584"/>
      <c r="U169" s="584"/>
      <c r="V169" s="584"/>
      <c r="W169" s="584"/>
      <c r="X169" s="584"/>
      <c r="Y169" s="584"/>
      <c r="Z169" s="584"/>
      <c r="AA169" s="584"/>
      <c r="AB169" s="584"/>
      <c r="AC169" s="584"/>
      <c r="AD169" s="584"/>
      <c r="AE169" s="584"/>
      <c r="AF169" s="584"/>
    </row>
    <row r="170" ht="14.25" customHeight="1">
      <c r="A170" s="579">
        <v>18.0</v>
      </c>
      <c r="B170" s="580" t="s">
        <v>1107</v>
      </c>
      <c r="C170" s="581">
        <v>46189.0</v>
      </c>
      <c r="D170" s="581">
        <v>46189.0</v>
      </c>
      <c r="E170" s="581"/>
      <c r="F170" s="580" t="s">
        <v>1108</v>
      </c>
      <c r="G170" s="589" t="s">
        <v>1451</v>
      </c>
      <c r="H170" s="589" t="s">
        <v>1451</v>
      </c>
      <c r="I170" s="580" t="s">
        <v>1168</v>
      </c>
      <c r="J170" s="580" t="s">
        <v>1452</v>
      </c>
      <c r="K170" s="580" t="s">
        <v>265</v>
      </c>
      <c r="L170" s="582">
        <v>42393.43</v>
      </c>
      <c r="M170" s="582">
        <v>42393.43</v>
      </c>
      <c r="N170" s="585">
        <v>42393.43</v>
      </c>
      <c r="O170" s="580" t="s">
        <v>1453</v>
      </c>
      <c r="P170" s="593">
        <v>0.0</v>
      </c>
      <c r="Q170" s="584"/>
      <c r="R170" s="584"/>
      <c r="S170" s="584"/>
      <c r="T170" s="584"/>
      <c r="U170" s="584"/>
      <c r="V170" s="584"/>
      <c r="W170" s="584"/>
      <c r="X170" s="584"/>
      <c r="Y170" s="584"/>
      <c r="Z170" s="584"/>
      <c r="AA170" s="584"/>
      <c r="AB170" s="584"/>
      <c r="AC170" s="584"/>
      <c r="AD170" s="584"/>
      <c r="AE170" s="584"/>
      <c r="AF170" s="584"/>
    </row>
    <row r="171" ht="14.25" customHeight="1">
      <c r="A171" s="579">
        <v>19.0</v>
      </c>
      <c r="B171" s="580" t="s">
        <v>1107</v>
      </c>
      <c r="C171" s="581">
        <v>46189.0</v>
      </c>
      <c r="D171" s="581">
        <v>46189.0</v>
      </c>
      <c r="E171" s="581"/>
      <c r="F171" s="580" t="s">
        <v>1108</v>
      </c>
      <c r="G171" s="589" t="s">
        <v>1454</v>
      </c>
      <c r="H171" s="589" t="s">
        <v>1454</v>
      </c>
      <c r="I171" s="580" t="s">
        <v>1168</v>
      </c>
      <c r="J171" s="580" t="s">
        <v>1455</v>
      </c>
      <c r="K171" s="580" t="s">
        <v>265</v>
      </c>
      <c r="L171" s="582">
        <v>1000.0</v>
      </c>
      <c r="M171" s="582">
        <v>1000.0</v>
      </c>
      <c r="N171" s="585">
        <v>1000.0</v>
      </c>
      <c r="O171" s="580" t="s">
        <v>1456</v>
      </c>
      <c r="P171" s="593">
        <v>0.0</v>
      </c>
      <c r="Q171" s="584"/>
      <c r="R171" s="584"/>
      <c r="S171" s="584"/>
      <c r="T171" s="584"/>
      <c r="U171" s="584"/>
      <c r="V171" s="584"/>
      <c r="W171" s="584"/>
      <c r="X171" s="584"/>
      <c r="Y171" s="584"/>
      <c r="Z171" s="584"/>
      <c r="AA171" s="584"/>
      <c r="AB171" s="584"/>
      <c r="AC171" s="584"/>
      <c r="AD171" s="584"/>
      <c r="AE171" s="584"/>
      <c r="AF171" s="584"/>
    </row>
    <row r="172" ht="14.25" customHeight="1">
      <c r="A172" s="579">
        <v>22.0</v>
      </c>
      <c r="B172" s="580" t="s">
        <v>1107</v>
      </c>
      <c r="C172" s="581">
        <v>46189.0</v>
      </c>
      <c r="D172" s="581">
        <v>46189.0</v>
      </c>
      <c r="E172" s="595"/>
      <c r="F172" s="580" t="s">
        <v>1108</v>
      </c>
      <c r="G172" s="596" t="s">
        <v>1457</v>
      </c>
      <c r="H172" s="596" t="s">
        <v>1457</v>
      </c>
      <c r="I172" s="580" t="s">
        <v>1168</v>
      </c>
      <c r="J172" s="580" t="s">
        <v>1458</v>
      </c>
      <c r="K172" s="580" t="s">
        <v>265</v>
      </c>
      <c r="L172" s="582">
        <v>15731.47</v>
      </c>
      <c r="M172" s="582">
        <v>15731.47</v>
      </c>
      <c r="N172" s="585">
        <v>15731.47</v>
      </c>
      <c r="O172" s="587" t="s">
        <v>1459</v>
      </c>
      <c r="P172" s="593">
        <v>0.0</v>
      </c>
      <c r="Q172" s="584"/>
      <c r="R172" s="584"/>
      <c r="S172" s="584"/>
      <c r="T172" s="584"/>
      <c r="U172" s="584"/>
      <c r="V172" s="584"/>
      <c r="W172" s="584"/>
      <c r="X172" s="584"/>
      <c r="Y172" s="584"/>
      <c r="Z172" s="584"/>
      <c r="AA172" s="584"/>
      <c r="AB172" s="584"/>
      <c r="AC172" s="584"/>
      <c r="AD172" s="584"/>
      <c r="AE172" s="584"/>
      <c r="AF172" s="584"/>
    </row>
    <row r="173" ht="14.25" customHeight="1">
      <c r="A173" s="579">
        <v>23.0</v>
      </c>
      <c r="B173" s="580" t="s">
        <v>1107</v>
      </c>
      <c r="C173" s="581">
        <v>46189.0</v>
      </c>
      <c r="D173" s="581">
        <v>46189.0</v>
      </c>
      <c r="E173" s="595"/>
      <c r="F173" s="580" t="s">
        <v>1108</v>
      </c>
      <c r="G173" s="596" t="s">
        <v>1460</v>
      </c>
      <c r="H173" s="596" t="s">
        <v>1460</v>
      </c>
      <c r="I173" s="580" t="s">
        <v>1168</v>
      </c>
      <c r="J173" s="580" t="s">
        <v>1461</v>
      </c>
      <c r="K173" s="580" t="s">
        <v>265</v>
      </c>
      <c r="L173" s="582">
        <v>27138.16</v>
      </c>
      <c r="M173" s="582">
        <v>27138.16</v>
      </c>
      <c r="N173" s="585">
        <v>27138.16</v>
      </c>
      <c r="O173" s="580" t="s">
        <v>1462</v>
      </c>
      <c r="P173" s="583">
        <v>0.0</v>
      </c>
      <c r="Q173" s="584"/>
      <c r="R173" s="584"/>
      <c r="S173" s="584"/>
      <c r="T173" s="584"/>
      <c r="U173" s="584"/>
      <c r="V173" s="584"/>
      <c r="W173" s="584"/>
      <c r="X173" s="584"/>
      <c r="Y173" s="584"/>
      <c r="Z173" s="584"/>
      <c r="AA173" s="584"/>
      <c r="AB173" s="584"/>
      <c r="AC173" s="584"/>
      <c r="AD173" s="584"/>
      <c r="AE173" s="584"/>
      <c r="AF173" s="584"/>
    </row>
    <row r="174" ht="14.25" customHeight="1">
      <c r="A174" s="579">
        <v>25.0</v>
      </c>
      <c r="B174" s="580" t="s">
        <v>1107</v>
      </c>
      <c r="C174" s="581">
        <v>46189.0</v>
      </c>
      <c r="D174" s="581">
        <v>46189.0</v>
      </c>
      <c r="E174" s="597"/>
      <c r="F174" s="580" t="s">
        <v>1108</v>
      </c>
      <c r="G174" s="596" t="s">
        <v>1463</v>
      </c>
      <c r="H174" s="596" t="s">
        <v>1463</v>
      </c>
      <c r="I174" s="580" t="s">
        <v>1168</v>
      </c>
      <c r="J174" s="580" t="s">
        <v>1464</v>
      </c>
      <c r="K174" s="580" t="s">
        <v>265</v>
      </c>
      <c r="L174" s="582">
        <v>12062.88</v>
      </c>
      <c r="M174" s="582">
        <v>12062.88</v>
      </c>
      <c r="N174" s="585">
        <v>12062.88</v>
      </c>
      <c r="O174" s="587" t="s">
        <v>1465</v>
      </c>
      <c r="P174" s="583">
        <v>0.0</v>
      </c>
      <c r="Q174" s="584"/>
      <c r="R174" s="584"/>
      <c r="S174" s="584"/>
      <c r="T174" s="584"/>
      <c r="U174" s="584"/>
      <c r="V174" s="584"/>
      <c r="W174" s="584"/>
      <c r="X174" s="584"/>
      <c r="Y174" s="584"/>
      <c r="Z174" s="584"/>
      <c r="AA174" s="584"/>
      <c r="AB174" s="584"/>
      <c r="AC174" s="584"/>
      <c r="AD174" s="584"/>
      <c r="AE174" s="584"/>
      <c r="AF174" s="584"/>
    </row>
    <row r="175" ht="14.25" customHeight="1">
      <c r="A175" s="579">
        <v>26.0</v>
      </c>
      <c r="B175" s="580" t="s">
        <v>1107</v>
      </c>
      <c r="C175" s="581">
        <v>46189.0</v>
      </c>
      <c r="D175" s="581">
        <v>46189.0</v>
      </c>
      <c r="E175" s="597"/>
      <c r="F175" s="580" t="s">
        <v>1108</v>
      </c>
      <c r="G175" s="596" t="s">
        <v>1466</v>
      </c>
      <c r="H175" s="596" t="s">
        <v>1466</v>
      </c>
      <c r="I175" s="580" t="s">
        <v>1168</v>
      </c>
      <c r="J175" s="580" t="s">
        <v>1467</v>
      </c>
      <c r="K175" s="580" t="s">
        <v>265</v>
      </c>
      <c r="L175" s="582">
        <v>20050.32</v>
      </c>
      <c r="M175" s="582">
        <v>20050.32</v>
      </c>
      <c r="N175" s="585">
        <v>20050.32</v>
      </c>
      <c r="O175" s="580" t="s">
        <v>1468</v>
      </c>
      <c r="P175" s="583">
        <v>0.0</v>
      </c>
      <c r="Q175" s="584"/>
      <c r="R175" s="584"/>
      <c r="S175" s="584"/>
      <c r="T175" s="584"/>
      <c r="U175" s="584"/>
      <c r="V175" s="584"/>
      <c r="W175" s="584"/>
      <c r="X175" s="584"/>
      <c r="Y175" s="584"/>
      <c r="Z175" s="584"/>
      <c r="AA175" s="584"/>
      <c r="AB175" s="584"/>
      <c r="AC175" s="584"/>
      <c r="AD175" s="584"/>
      <c r="AE175" s="584"/>
      <c r="AF175" s="584"/>
    </row>
    <row r="176" ht="14.25" customHeight="1">
      <c r="A176" s="579">
        <v>27.0</v>
      </c>
      <c r="B176" s="580" t="s">
        <v>1107</v>
      </c>
      <c r="C176" s="581">
        <v>46189.0</v>
      </c>
      <c r="D176" s="581">
        <v>46189.0</v>
      </c>
      <c r="E176" s="597"/>
      <c r="F176" s="580" t="s">
        <v>1108</v>
      </c>
      <c r="G176" s="596" t="s">
        <v>1469</v>
      </c>
      <c r="H176" s="596" t="s">
        <v>1469</v>
      </c>
      <c r="I176" s="580" t="s">
        <v>1168</v>
      </c>
      <c r="J176" s="580" t="s">
        <v>1470</v>
      </c>
      <c r="K176" s="580" t="s">
        <v>265</v>
      </c>
      <c r="L176" s="582">
        <v>20942.42</v>
      </c>
      <c r="M176" s="582">
        <v>20942.42</v>
      </c>
      <c r="N176" s="582">
        <v>20942.42</v>
      </c>
      <c r="O176" s="580" t="s">
        <v>1471</v>
      </c>
      <c r="P176" s="583">
        <v>0.0</v>
      </c>
      <c r="Q176" s="584"/>
      <c r="R176" s="584"/>
      <c r="S176" s="584"/>
      <c r="T176" s="584"/>
      <c r="U176" s="584"/>
      <c r="V176" s="584"/>
      <c r="W176" s="584"/>
      <c r="X176" s="584"/>
      <c r="Y176" s="584"/>
      <c r="Z176" s="584"/>
      <c r="AA176" s="584"/>
      <c r="AB176" s="584"/>
      <c r="AC176" s="584"/>
      <c r="AD176" s="584"/>
      <c r="AE176" s="584"/>
      <c r="AF176" s="584"/>
    </row>
    <row r="177" ht="14.25" customHeight="1">
      <c r="A177" s="579">
        <v>28.0</v>
      </c>
      <c r="B177" s="580" t="s">
        <v>1107</v>
      </c>
      <c r="C177" s="581">
        <v>46189.0</v>
      </c>
      <c r="D177" s="581">
        <v>46189.0</v>
      </c>
      <c r="E177" s="597"/>
      <c r="F177" s="580" t="s">
        <v>1108</v>
      </c>
      <c r="G177" s="596" t="s">
        <v>1472</v>
      </c>
      <c r="H177" s="596" t="s">
        <v>1472</v>
      </c>
      <c r="I177" s="580" t="s">
        <v>1168</v>
      </c>
      <c r="J177" s="580" t="s">
        <v>1473</v>
      </c>
      <c r="K177" s="580" t="s">
        <v>265</v>
      </c>
      <c r="L177" s="582">
        <v>3565.56</v>
      </c>
      <c r="M177" s="582">
        <v>3565.56</v>
      </c>
      <c r="N177" s="582">
        <v>3565.56</v>
      </c>
      <c r="O177" s="580" t="s">
        <v>1474</v>
      </c>
      <c r="P177" s="583">
        <v>0.0</v>
      </c>
      <c r="Q177" s="584"/>
      <c r="R177" s="584"/>
      <c r="S177" s="584"/>
      <c r="T177" s="584"/>
      <c r="U177" s="584"/>
      <c r="V177" s="584"/>
      <c r="W177" s="584"/>
      <c r="X177" s="584"/>
      <c r="Y177" s="584"/>
      <c r="Z177" s="584"/>
      <c r="AA177" s="584"/>
      <c r="AB177" s="584"/>
      <c r="AC177" s="584"/>
      <c r="AD177" s="584"/>
      <c r="AE177" s="584"/>
      <c r="AF177" s="584"/>
    </row>
    <row r="178" ht="14.25" customHeight="1">
      <c r="A178" s="579">
        <v>31.0</v>
      </c>
      <c r="B178" s="580" t="s">
        <v>1107</v>
      </c>
      <c r="C178" s="581">
        <v>46189.0</v>
      </c>
      <c r="D178" s="581">
        <v>46189.0</v>
      </c>
      <c r="E178" s="597"/>
      <c r="F178" s="580" t="s">
        <v>1108</v>
      </c>
      <c r="G178" s="596" t="s">
        <v>1475</v>
      </c>
      <c r="H178" s="596" t="s">
        <v>1475</v>
      </c>
      <c r="I178" s="580" t="s">
        <v>1168</v>
      </c>
      <c r="J178" s="580" t="s">
        <v>1476</v>
      </c>
      <c r="K178" s="580" t="s">
        <v>265</v>
      </c>
      <c r="L178" s="582">
        <v>41791.17</v>
      </c>
      <c r="M178" s="582">
        <v>41791.17</v>
      </c>
      <c r="N178" s="582">
        <v>41791.17</v>
      </c>
      <c r="O178" s="580" t="s">
        <v>1477</v>
      </c>
      <c r="P178" s="583">
        <v>0.0</v>
      </c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  <c r="AA178" s="584"/>
      <c r="AB178" s="584"/>
      <c r="AC178" s="584"/>
      <c r="AD178" s="584"/>
      <c r="AE178" s="584"/>
      <c r="AF178" s="584"/>
    </row>
    <row r="179" ht="14.25" customHeight="1">
      <c r="A179" s="579">
        <v>33.0</v>
      </c>
      <c r="B179" s="580" t="s">
        <v>1107</v>
      </c>
      <c r="C179" s="581">
        <v>46189.0</v>
      </c>
      <c r="D179" s="581">
        <v>46189.0</v>
      </c>
      <c r="E179" s="597"/>
      <c r="F179" s="580" t="s">
        <v>1108</v>
      </c>
      <c r="G179" s="596" t="s">
        <v>1478</v>
      </c>
      <c r="H179" s="596" t="s">
        <v>1478</v>
      </c>
      <c r="I179" s="580" t="s">
        <v>1168</v>
      </c>
      <c r="J179" s="580" t="s">
        <v>1479</v>
      </c>
      <c r="K179" s="580" t="s">
        <v>265</v>
      </c>
      <c r="L179" s="582">
        <v>20000.0</v>
      </c>
      <c r="M179" s="582">
        <v>20000.0</v>
      </c>
      <c r="N179" s="582">
        <v>20000.0</v>
      </c>
      <c r="O179" s="580" t="s">
        <v>1480</v>
      </c>
      <c r="P179" s="583">
        <v>0.0</v>
      </c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4"/>
      <c r="AC179" s="584"/>
      <c r="AD179" s="584"/>
      <c r="AE179" s="584"/>
      <c r="AF179" s="584"/>
    </row>
    <row r="180" ht="14.25" customHeight="1">
      <c r="A180" s="579">
        <v>34.0</v>
      </c>
      <c r="B180" s="580" t="s">
        <v>1107</v>
      </c>
      <c r="C180" s="581">
        <v>46189.0</v>
      </c>
      <c r="D180" s="581">
        <v>46189.0</v>
      </c>
      <c r="E180" s="597"/>
      <c r="F180" s="580" t="s">
        <v>1108</v>
      </c>
      <c r="G180" s="596" t="s">
        <v>1481</v>
      </c>
      <c r="H180" s="596" t="s">
        <v>1481</v>
      </c>
      <c r="I180" s="580" t="s">
        <v>1168</v>
      </c>
      <c r="J180" s="580" t="s">
        <v>1482</v>
      </c>
      <c r="K180" s="580" t="s">
        <v>265</v>
      </c>
      <c r="L180" s="582">
        <v>18989.0</v>
      </c>
      <c r="M180" s="582">
        <v>18989.0</v>
      </c>
      <c r="N180" s="582">
        <v>18989.0</v>
      </c>
      <c r="O180" s="580" t="s">
        <v>1483</v>
      </c>
      <c r="P180" s="583">
        <v>0.0</v>
      </c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  <c r="AA180" s="584"/>
      <c r="AB180" s="584"/>
      <c r="AC180" s="584"/>
      <c r="AD180" s="584"/>
      <c r="AE180" s="584"/>
      <c r="AF180" s="584"/>
    </row>
    <row r="181" ht="14.25" customHeight="1">
      <c r="A181" s="579">
        <v>37.0</v>
      </c>
      <c r="B181" s="580" t="s">
        <v>1107</v>
      </c>
      <c r="C181" s="581">
        <v>46189.0</v>
      </c>
      <c r="D181" s="581">
        <v>46189.0</v>
      </c>
      <c r="E181" s="597"/>
      <c r="F181" s="580" t="s">
        <v>1108</v>
      </c>
      <c r="G181" s="596" t="s">
        <v>1484</v>
      </c>
      <c r="H181" s="596" t="s">
        <v>1484</v>
      </c>
      <c r="I181" s="580" t="s">
        <v>1168</v>
      </c>
      <c r="J181" s="580" t="s">
        <v>1485</v>
      </c>
      <c r="K181" s="580" t="s">
        <v>265</v>
      </c>
      <c r="L181" s="582">
        <v>19386.73</v>
      </c>
      <c r="M181" s="582">
        <v>19386.73</v>
      </c>
      <c r="N181" s="582">
        <v>19386.73</v>
      </c>
      <c r="O181" s="580" t="s">
        <v>1486</v>
      </c>
      <c r="P181" s="583">
        <v>0.0</v>
      </c>
      <c r="Q181" s="584"/>
      <c r="R181" s="584"/>
      <c r="S181" s="584"/>
      <c r="T181" s="584"/>
      <c r="U181" s="584"/>
      <c r="V181" s="584"/>
      <c r="W181" s="584"/>
      <c r="X181" s="584"/>
      <c r="Y181" s="584"/>
      <c r="Z181" s="584"/>
      <c r="AA181" s="584"/>
      <c r="AB181" s="584"/>
      <c r="AC181" s="584"/>
      <c r="AD181" s="584"/>
      <c r="AE181" s="584"/>
      <c r="AF181" s="584"/>
    </row>
    <row r="182" ht="14.25" customHeight="1">
      <c r="A182" s="579">
        <v>38.0</v>
      </c>
      <c r="B182" s="580" t="s">
        <v>1107</v>
      </c>
      <c r="C182" s="581">
        <v>46189.0</v>
      </c>
      <c r="D182" s="581">
        <v>46189.0</v>
      </c>
      <c r="E182" s="597"/>
      <c r="F182" s="580" t="s">
        <v>1108</v>
      </c>
      <c r="G182" s="596" t="s">
        <v>1487</v>
      </c>
      <c r="H182" s="596" t="s">
        <v>1487</v>
      </c>
      <c r="I182" s="580" t="s">
        <v>1168</v>
      </c>
      <c r="J182" s="580" t="s">
        <v>1488</v>
      </c>
      <c r="K182" s="580" t="s">
        <v>265</v>
      </c>
      <c r="L182" s="582">
        <v>16335.32</v>
      </c>
      <c r="M182" s="582">
        <v>16335.32</v>
      </c>
      <c r="N182" s="582">
        <v>16335.32</v>
      </c>
      <c r="O182" s="580" t="s">
        <v>1489</v>
      </c>
      <c r="P182" s="583">
        <v>0.0</v>
      </c>
      <c r="Q182" s="584"/>
      <c r="R182" s="584"/>
      <c r="S182" s="584"/>
      <c r="T182" s="584"/>
      <c r="U182" s="584"/>
      <c r="V182" s="584"/>
      <c r="W182" s="584"/>
      <c r="X182" s="584"/>
      <c r="Y182" s="584"/>
      <c r="Z182" s="584"/>
      <c r="AA182" s="584"/>
      <c r="AB182" s="584"/>
      <c r="AC182" s="584"/>
      <c r="AD182" s="584"/>
      <c r="AE182" s="584"/>
      <c r="AF182" s="584"/>
    </row>
    <row r="183" ht="14.25" customHeight="1">
      <c r="A183" s="579">
        <v>39.0</v>
      </c>
      <c r="B183" s="580" t="s">
        <v>1107</v>
      </c>
      <c r="C183" s="581">
        <v>46189.0</v>
      </c>
      <c r="D183" s="581">
        <v>46189.0</v>
      </c>
      <c r="E183" s="597"/>
      <c r="F183" s="580" t="s">
        <v>1108</v>
      </c>
      <c r="G183" s="596" t="s">
        <v>1490</v>
      </c>
      <c r="H183" s="596" t="s">
        <v>1490</v>
      </c>
      <c r="I183" s="580" t="s">
        <v>1168</v>
      </c>
      <c r="J183" s="580" t="s">
        <v>1491</v>
      </c>
      <c r="K183" s="580" t="s">
        <v>265</v>
      </c>
      <c r="L183" s="582">
        <v>5402.95</v>
      </c>
      <c r="M183" s="582">
        <v>5402.95</v>
      </c>
      <c r="N183" s="582">
        <v>5402.95</v>
      </c>
      <c r="O183" s="580" t="s">
        <v>1492</v>
      </c>
      <c r="P183" s="583">
        <v>0.0</v>
      </c>
      <c r="Q183" s="584"/>
      <c r="R183" s="584"/>
      <c r="S183" s="584"/>
      <c r="T183" s="584"/>
      <c r="U183" s="584"/>
      <c r="V183" s="584"/>
      <c r="W183" s="584"/>
      <c r="X183" s="584"/>
      <c r="Y183" s="584"/>
      <c r="Z183" s="584"/>
      <c r="AA183" s="584"/>
      <c r="AB183" s="584"/>
      <c r="AC183" s="584"/>
      <c r="AD183" s="584"/>
      <c r="AE183" s="584"/>
      <c r="AF183" s="584"/>
    </row>
    <row r="184" ht="14.25" customHeight="1">
      <c r="A184" s="579">
        <v>41.0</v>
      </c>
      <c r="B184" s="580" t="s">
        <v>1107</v>
      </c>
      <c r="C184" s="581">
        <v>46189.0</v>
      </c>
      <c r="D184" s="581">
        <v>46189.0</v>
      </c>
      <c r="E184" s="597"/>
      <c r="F184" s="580" t="s">
        <v>1108</v>
      </c>
      <c r="G184" s="596" t="s">
        <v>1493</v>
      </c>
      <c r="H184" s="596" t="s">
        <v>1493</v>
      </c>
      <c r="I184" s="580" t="s">
        <v>1168</v>
      </c>
      <c r="J184" s="580" t="s">
        <v>1494</v>
      </c>
      <c r="K184" s="580" t="s">
        <v>265</v>
      </c>
      <c r="L184" s="582">
        <v>42620.95</v>
      </c>
      <c r="M184" s="582">
        <v>42620.95</v>
      </c>
      <c r="N184" s="582">
        <v>42620.95</v>
      </c>
      <c r="O184" s="580" t="s">
        <v>1495</v>
      </c>
      <c r="P184" s="583">
        <v>0.0</v>
      </c>
      <c r="Q184" s="584"/>
      <c r="R184" s="584"/>
      <c r="S184" s="584"/>
      <c r="T184" s="584"/>
      <c r="U184" s="584"/>
      <c r="V184" s="584"/>
      <c r="W184" s="584"/>
      <c r="X184" s="584"/>
      <c r="Y184" s="584"/>
      <c r="Z184" s="584"/>
      <c r="AA184" s="584"/>
      <c r="AB184" s="584"/>
      <c r="AC184" s="584"/>
      <c r="AD184" s="584"/>
      <c r="AE184" s="584"/>
      <c r="AF184" s="584"/>
    </row>
    <row r="185" ht="14.25" customHeight="1">
      <c r="A185" s="579">
        <v>42.0</v>
      </c>
      <c r="B185" s="580" t="s">
        <v>1107</v>
      </c>
      <c r="C185" s="581">
        <v>46189.0</v>
      </c>
      <c r="D185" s="581">
        <v>46189.0</v>
      </c>
      <c r="E185" s="597"/>
      <c r="F185" s="580" t="s">
        <v>1108</v>
      </c>
      <c r="G185" s="596" t="s">
        <v>1496</v>
      </c>
      <c r="H185" s="596" t="s">
        <v>1496</v>
      </c>
      <c r="I185" s="580" t="s">
        <v>1168</v>
      </c>
      <c r="J185" s="580" t="s">
        <v>1497</v>
      </c>
      <c r="K185" s="580" t="s">
        <v>265</v>
      </c>
      <c r="L185" s="582">
        <v>24452.72</v>
      </c>
      <c r="M185" s="582">
        <v>24452.72</v>
      </c>
      <c r="N185" s="582">
        <v>24452.72</v>
      </c>
      <c r="O185" s="580" t="s">
        <v>1498</v>
      </c>
      <c r="P185" s="583">
        <v>0.0</v>
      </c>
      <c r="Q185" s="584"/>
      <c r="R185" s="584"/>
      <c r="S185" s="584"/>
      <c r="T185" s="584"/>
      <c r="U185" s="584"/>
      <c r="V185" s="584"/>
      <c r="W185" s="584"/>
      <c r="X185" s="584"/>
      <c r="Y185" s="584"/>
      <c r="Z185" s="584"/>
      <c r="AA185" s="584"/>
      <c r="AB185" s="584"/>
      <c r="AC185" s="584"/>
      <c r="AD185" s="584"/>
      <c r="AE185" s="584"/>
      <c r="AF185" s="584"/>
    </row>
    <row r="186" ht="14.25" customHeight="1">
      <c r="A186" s="579">
        <v>43.0</v>
      </c>
      <c r="B186" s="580" t="s">
        <v>1107</v>
      </c>
      <c r="C186" s="581">
        <v>46189.0</v>
      </c>
      <c r="D186" s="581">
        <v>46189.0</v>
      </c>
      <c r="E186" s="597"/>
      <c r="F186" s="580" t="s">
        <v>1108</v>
      </c>
      <c r="G186" s="596" t="s">
        <v>1499</v>
      </c>
      <c r="H186" s="596" t="s">
        <v>1499</v>
      </c>
      <c r="I186" s="580" t="s">
        <v>1168</v>
      </c>
      <c r="J186" s="580" t="s">
        <v>1500</v>
      </c>
      <c r="K186" s="580" t="s">
        <v>265</v>
      </c>
      <c r="L186" s="582">
        <v>16889.7</v>
      </c>
      <c r="M186" s="582">
        <v>16889.7</v>
      </c>
      <c r="N186" s="585">
        <v>16889.7</v>
      </c>
      <c r="O186" s="580" t="s">
        <v>1501</v>
      </c>
      <c r="P186" s="583">
        <v>0.0</v>
      </c>
      <c r="Q186" s="584"/>
      <c r="R186" s="584"/>
      <c r="S186" s="584"/>
      <c r="T186" s="584"/>
      <c r="U186" s="584"/>
      <c r="V186" s="584"/>
      <c r="W186" s="584"/>
      <c r="X186" s="584"/>
      <c r="Y186" s="584"/>
      <c r="Z186" s="584"/>
      <c r="AA186" s="584"/>
      <c r="AB186" s="584"/>
      <c r="AC186" s="584"/>
      <c r="AD186" s="584"/>
      <c r="AE186" s="584"/>
      <c r="AF186" s="584"/>
    </row>
    <row r="187" ht="14.25" customHeight="1">
      <c r="A187" s="579">
        <v>46.0</v>
      </c>
      <c r="B187" s="580" t="s">
        <v>1107</v>
      </c>
      <c r="C187" s="581">
        <v>46189.0</v>
      </c>
      <c r="D187" s="581">
        <v>46189.0</v>
      </c>
      <c r="E187" s="597"/>
      <c r="F187" s="580" t="s">
        <v>1108</v>
      </c>
      <c r="G187" s="596" t="s">
        <v>1502</v>
      </c>
      <c r="H187" s="596" t="s">
        <v>1502</v>
      </c>
      <c r="I187" s="580" t="s">
        <v>1168</v>
      </c>
      <c r="J187" s="580" t="s">
        <v>1503</v>
      </c>
      <c r="K187" s="580" t="s">
        <v>265</v>
      </c>
      <c r="L187" s="582">
        <v>42076.25</v>
      </c>
      <c r="M187" s="582">
        <v>42076.25</v>
      </c>
      <c r="N187" s="582">
        <v>42076.25</v>
      </c>
      <c r="O187" s="580" t="s">
        <v>1504</v>
      </c>
      <c r="P187" s="583">
        <v>0.0</v>
      </c>
      <c r="Q187" s="584"/>
      <c r="R187" s="584"/>
      <c r="S187" s="584"/>
      <c r="T187" s="584"/>
      <c r="U187" s="584"/>
      <c r="V187" s="584"/>
      <c r="W187" s="584"/>
      <c r="X187" s="584"/>
      <c r="Y187" s="584"/>
      <c r="Z187" s="584"/>
      <c r="AA187" s="584"/>
      <c r="AB187" s="584"/>
      <c r="AC187" s="584"/>
      <c r="AD187" s="584"/>
      <c r="AE187" s="584"/>
      <c r="AF187" s="584"/>
    </row>
    <row r="188" ht="14.25" customHeight="1">
      <c r="A188" s="579">
        <v>47.0</v>
      </c>
      <c r="B188" s="580" t="s">
        <v>1107</v>
      </c>
      <c r="C188" s="581">
        <v>46189.0</v>
      </c>
      <c r="D188" s="581">
        <v>46189.0</v>
      </c>
      <c r="E188" s="597"/>
      <c r="F188" s="580" t="s">
        <v>1108</v>
      </c>
      <c r="G188" s="596" t="s">
        <v>1505</v>
      </c>
      <c r="H188" s="596" t="s">
        <v>1505</v>
      </c>
      <c r="I188" s="580" t="s">
        <v>1168</v>
      </c>
      <c r="J188" s="580" t="s">
        <v>1506</v>
      </c>
      <c r="K188" s="580" t="s">
        <v>265</v>
      </c>
      <c r="L188" s="582">
        <v>1020.67</v>
      </c>
      <c r="M188" s="582">
        <v>1020.67</v>
      </c>
      <c r="N188" s="582">
        <v>1020.67</v>
      </c>
      <c r="O188" s="580" t="s">
        <v>1507</v>
      </c>
      <c r="P188" s="583">
        <v>0.0</v>
      </c>
      <c r="Q188" s="584"/>
      <c r="R188" s="584"/>
      <c r="S188" s="584"/>
      <c r="T188" s="584"/>
      <c r="U188" s="584"/>
      <c r="V188" s="584"/>
      <c r="W188" s="584"/>
      <c r="X188" s="584"/>
      <c r="Y188" s="584"/>
      <c r="Z188" s="584"/>
      <c r="AA188" s="584"/>
      <c r="AB188" s="584"/>
      <c r="AC188" s="584"/>
      <c r="AD188" s="584"/>
      <c r="AE188" s="584"/>
      <c r="AF188" s="584"/>
    </row>
    <row r="189" ht="14.25" customHeight="1">
      <c r="A189" s="579">
        <v>48.0</v>
      </c>
      <c r="B189" s="580" t="s">
        <v>1107</v>
      </c>
      <c r="C189" s="581">
        <v>46189.0</v>
      </c>
      <c r="D189" s="581">
        <v>46189.0</v>
      </c>
      <c r="E189" s="597"/>
      <c r="F189" s="580" t="s">
        <v>1108</v>
      </c>
      <c r="G189" s="596" t="s">
        <v>1508</v>
      </c>
      <c r="H189" s="596" t="s">
        <v>1508</v>
      </c>
      <c r="I189" s="580" t="s">
        <v>1168</v>
      </c>
      <c r="J189" s="580" t="s">
        <v>1509</v>
      </c>
      <c r="K189" s="580" t="s">
        <v>265</v>
      </c>
      <c r="L189" s="582">
        <v>18539.6</v>
      </c>
      <c r="M189" s="582">
        <v>18539.6</v>
      </c>
      <c r="N189" s="582">
        <v>18539.6</v>
      </c>
      <c r="O189" s="580" t="s">
        <v>1510</v>
      </c>
      <c r="P189" s="583">
        <v>0.0</v>
      </c>
      <c r="Q189" s="584"/>
      <c r="R189" s="584"/>
      <c r="S189" s="584"/>
      <c r="T189" s="584"/>
      <c r="U189" s="584"/>
      <c r="V189" s="584"/>
      <c r="W189" s="584"/>
      <c r="X189" s="584"/>
      <c r="Y189" s="584"/>
      <c r="Z189" s="584"/>
      <c r="AA189" s="584"/>
      <c r="AB189" s="584"/>
      <c r="AC189" s="584"/>
      <c r="AD189" s="584"/>
      <c r="AE189" s="584"/>
      <c r="AF189" s="584"/>
    </row>
    <row r="190" ht="14.25" customHeight="1">
      <c r="A190" s="579">
        <v>49.0</v>
      </c>
      <c r="B190" s="580" t="s">
        <v>1107</v>
      </c>
      <c r="C190" s="581">
        <v>46189.0</v>
      </c>
      <c r="D190" s="581">
        <v>46189.0</v>
      </c>
      <c r="E190" s="597"/>
      <c r="F190" s="580" t="s">
        <v>1108</v>
      </c>
      <c r="G190" s="596" t="s">
        <v>1511</v>
      </c>
      <c r="H190" s="596" t="s">
        <v>1511</v>
      </c>
      <c r="I190" s="580" t="s">
        <v>1168</v>
      </c>
      <c r="J190" s="580" t="s">
        <v>1512</v>
      </c>
      <c r="K190" s="580" t="s">
        <v>265</v>
      </c>
      <c r="L190" s="582">
        <v>7617.15</v>
      </c>
      <c r="M190" s="582">
        <v>7617.15</v>
      </c>
      <c r="N190" s="582">
        <v>7617.15</v>
      </c>
      <c r="O190" s="580" t="s">
        <v>1513</v>
      </c>
      <c r="P190" s="583">
        <v>0.0</v>
      </c>
      <c r="Q190" s="584"/>
      <c r="R190" s="584"/>
      <c r="S190" s="584"/>
      <c r="T190" s="584"/>
      <c r="U190" s="584"/>
      <c r="V190" s="584"/>
      <c r="W190" s="584"/>
      <c r="X190" s="584"/>
      <c r="Y190" s="584"/>
      <c r="Z190" s="584"/>
      <c r="AA190" s="584"/>
      <c r="AB190" s="584"/>
      <c r="AC190" s="584"/>
      <c r="AD190" s="584"/>
      <c r="AE190" s="584"/>
      <c r="AF190" s="584"/>
    </row>
    <row r="191" ht="14.25" customHeight="1">
      <c r="A191" s="579">
        <v>53.0</v>
      </c>
      <c r="B191" s="580" t="s">
        <v>1107</v>
      </c>
      <c r="C191" s="581">
        <v>46189.0</v>
      </c>
      <c r="D191" s="581">
        <v>46189.0</v>
      </c>
      <c r="E191" s="597"/>
      <c r="F191" s="580" t="s">
        <v>1108</v>
      </c>
      <c r="G191" s="596" t="s">
        <v>1514</v>
      </c>
      <c r="H191" s="596" t="s">
        <v>1514</v>
      </c>
      <c r="I191" s="580" t="s">
        <v>1168</v>
      </c>
      <c r="J191" s="580" t="s">
        <v>1515</v>
      </c>
      <c r="K191" s="580" t="s">
        <v>265</v>
      </c>
      <c r="L191" s="582">
        <v>20368.38</v>
      </c>
      <c r="M191" s="582">
        <v>20368.38</v>
      </c>
      <c r="N191" s="582">
        <v>20368.38</v>
      </c>
      <c r="O191" s="580" t="s">
        <v>1516</v>
      </c>
      <c r="P191" s="583">
        <v>0.0</v>
      </c>
      <c r="Q191" s="584"/>
      <c r="R191" s="584"/>
      <c r="S191" s="584"/>
      <c r="T191" s="584"/>
      <c r="U191" s="584"/>
      <c r="V191" s="584"/>
      <c r="W191" s="584"/>
      <c r="X191" s="584"/>
      <c r="Y191" s="584"/>
      <c r="Z191" s="584"/>
      <c r="AA191" s="584"/>
      <c r="AB191" s="584"/>
      <c r="AC191" s="584"/>
      <c r="AD191" s="584"/>
      <c r="AE191" s="584"/>
      <c r="AF191" s="584"/>
    </row>
    <row r="192" ht="14.25" customHeight="1">
      <c r="A192" s="579">
        <v>55.0</v>
      </c>
      <c r="B192" s="580" t="s">
        <v>1107</v>
      </c>
      <c r="C192" s="581">
        <v>46189.0</v>
      </c>
      <c r="D192" s="581">
        <v>46189.0</v>
      </c>
      <c r="E192" s="597"/>
      <c r="F192" s="580" t="s">
        <v>1108</v>
      </c>
      <c r="G192" s="596" t="s">
        <v>1517</v>
      </c>
      <c r="H192" s="596" t="s">
        <v>1517</v>
      </c>
      <c r="I192" s="580" t="s">
        <v>1168</v>
      </c>
      <c r="J192" s="580" t="s">
        <v>1518</v>
      </c>
      <c r="K192" s="580" t="s">
        <v>265</v>
      </c>
      <c r="L192" s="582">
        <v>20470.13</v>
      </c>
      <c r="M192" s="582">
        <v>20470.13</v>
      </c>
      <c r="N192" s="582">
        <v>20470.13</v>
      </c>
      <c r="O192" s="580" t="s">
        <v>1519</v>
      </c>
      <c r="P192" s="583">
        <v>0.0</v>
      </c>
      <c r="Q192" s="584"/>
      <c r="R192" s="584"/>
      <c r="S192" s="584"/>
      <c r="T192" s="584"/>
      <c r="U192" s="584"/>
      <c r="V192" s="584"/>
      <c r="W192" s="584"/>
      <c r="X192" s="584"/>
      <c r="Y192" s="584"/>
      <c r="Z192" s="584"/>
      <c r="AA192" s="584"/>
      <c r="AB192" s="584"/>
      <c r="AC192" s="584"/>
      <c r="AD192" s="584"/>
      <c r="AE192" s="584"/>
      <c r="AF192" s="584"/>
    </row>
    <row r="193" ht="14.25" customHeight="1">
      <c r="A193" s="579">
        <v>56.0</v>
      </c>
      <c r="B193" s="580" t="s">
        <v>1107</v>
      </c>
      <c r="C193" s="581">
        <v>46189.0</v>
      </c>
      <c r="D193" s="581">
        <v>46189.0</v>
      </c>
      <c r="E193" s="597"/>
      <c r="F193" s="580" t="s">
        <v>1108</v>
      </c>
      <c r="G193" s="596" t="s">
        <v>1520</v>
      </c>
      <c r="H193" s="596" t="s">
        <v>1520</v>
      </c>
      <c r="I193" s="580" t="s">
        <v>1168</v>
      </c>
      <c r="J193" s="580" t="s">
        <v>1521</v>
      </c>
      <c r="K193" s="580" t="s">
        <v>265</v>
      </c>
      <c r="L193" s="582">
        <v>12132.17</v>
      </c>
      <c r="M193" s="582">
        <v>12132.17</v>
      </c>
      <c r="N193" s="582">
        <v>12132.17</v>
      </c>
      <c r="O193" s="580" t="s">
        <v>1522</v>
      </c>
      <c r="P193" s="583">
        <v>0.0</v>
      </c>
      <c r="Q193" s="584"/>
      <c r="R193" s="584"/>
      <c r="S193" s="584"/>
      <c r="T193" s="584"/>
      <c r="U193" s="584"/>
      <c r="V193" s="584"/>
      <c r="W193" s="584"/>
      <c r="X193" s="584"/>
      <c r="Y193" s="584"/>
      <c r="Z193" s="584"/>
      <c r="AA193" s="584"/>
      <c r="AB193" s="584"/>
      <c r="AC193" s="584"/>
      <c r="AD193" s="584"/>
      <c r="AE193" s="584"/>
      <c r="AF193" s="584"/>
    </row>
    <row r="194" ht="14.25" customHeight="1">
      <c r="A194" s="579">
        <v>57.0</v>
      </c>
      <c r="B194" s="580" t="s">
        <v>1107</v>
      </c>
      <c r="C194" s="581">
        <v>46189.0</v>
      </c>
      <c r="D194" s="581">
        <v>46189.0</v>
      </c>
      <c r="E194" s="597"/>
      <c r="F194" s="580" t="s">
        <v>1108</v>
      </c>
      <c r="G194" s="596" t="s">
        <v>1523</v>
      </c>
      <c r="H194" s="596" t="s">
        <v>1523</v>
      </c>
      <c r="I194" s="580" t="s">
        <v>1168</v>
      </c>
      <c r="J194" s="580" t="s">
        <v>1524</v>
      </c>
      <c r="K194" s="580" t="s">
        <v>265</v>
      </c>
      <c r="L194" s="582">
        <v>20539.48</v>
      </c>
      <c r="M194" s="582">
        <v>20539.48</v>
      </c>
      <c r="N194" s="582">
        <v>20539.48</v>
      </c>
      <c r="O194" s="580" t="s">
        <v>1525</v>
      </c>
      <c r="P194" s="583">
        <v>0.0</v>
      </c>
      <c r="Q194" s="584"/>
      <c r="R194" s="584"/>
      <c r="S194" s="584"/>
      <c r="T194" s="584"/>
      <c r="U194" s="584"/>
      <c r="V194" s="584"/>
      <c r="W194" s="584"/>
      <c r="X194" s="584"/>
      <c r="Y194" s="584"/>
      <c r="Z194" s="584"/>
      <c r="AA194" s="584"/>
      <c r="AB194" s="584"/>
      <c r="AC194" s="584"/>
      <c r="AD194" s="584"/>
      <c r="AE194" s="584"/>
      <c r="AF194" s="584"/>
    </row>
    <row r="195" ht="14.25" customHeight="1">
      <c r="A195" s="579">
        <v>58.0</v>
      </c>
      <c r="B195" s="580" t="s">
        <v>1107</v>
      </c>
      <c r="C195" s="581">
        <v>46189.0</v>
      </c>
      <c r="D195" s="581">
        <v>46189.0</v>
      </c>
      <c r="E195" s="597"/>
      <c r="F195" s="580" t="s">
        <v>1108</v>
      </c>
      <c r="G195" s="589" t="s">
        <v>1526</v>
      </c>
      <c r="H195" s="589" t="s">
        <v>1526</v>
      </c>
      <c r="I195" s="580" t="s">
        <v>1168</v>
      </c>
      <c r="J195" s="580" t="s">
        <v>1527</v>
      </c>
      <c r="K195" s="580" t="s">
        <v>265</v>
      </c>
      <c r="L195" s="582">
        <v>1000.0</v>
      </c>
      <c r="M195" s="582">
        <v>1000.0</v>
      </c>
      <c r="N195" s="582">
        <v>1000.0</v>
      </c>
      <c r="O195" s="580" t="s">
        <v>1528</v>
      </c>
      <c r="P195" s="583">
        <v>0.0</v>
      </c>
      <c r="Q195" s="584"/>
      <c r="R195" s="584"/>
      <c r="S195" s="584"/>
      <c r="T195" s="584"/>
      <c r="U195" s="584"/>
      <c r="V195" s="584"/>
      <c r="W195" s="584"/>
      <c r="X195" s="584"/>
      <c r="Y195" s="584"/>
      <c r="Z195" s="584"/>
      <c r="AA195" s="584"/>
      <c r="AB195" s="584"/>
      <c r="AC195" s="584"/>
      <c r="AD195" s="584"/>
      <c r="AE195" s="584"/>
      <c r="AF195" s="584"/>
    </row>
    <row r="196" ht="14.25" customHeight="1">
      <c r="A196" s="579">
        <v>62.0</v>
      </c>
      <c r="B196" s="580" t="s">
        <v>1107</v>
      </c>
      <c r="C196" s="581">
        <v>46189.0</v>
      </c>
      <c r="D196" s="581">
        <v>46189.0</v>
      </c>
      <c r="E196" s="597"/>
      <c r="F196" s="580" t="s">
        <v>1108</v>
      </c>
      <c r="G196" s="596">
        <v>4.01104509E9</v>
      </c>
      <c r="H196" s="596">
        <v>4.01104509E9</v>
      </c>
      <c r="I196" s="580" t="s">
        <v>1168</v>
      </c>
      <c r="J196" s="580" t="s">
        <v>1529</v>
      </c>
      <c r="K196" s="580" t="s">
        <v>265</v>
      </c>
      <c r="L196" s="582">
        <v>12001.69</v>
      </c>
      <c r="M196" s="582">
        <v>12001.69</v>
      </c>
      <c r="N196" s="582">
        <v>12001.69</v>
      </c>
      <c r="O196" s="580" t="s">
        <v>1530</v>
      </c>
      <c r="P196" s="583">
        <v>0.0</v>
      </c>
      <c r="Q196" s="584"/>
      <c r="R196" s="584"/>
      <c r="S196" s="584"/>
      <c r="T196" s="584"/>
      <c r="U196" s="584"/>
      <c r="V196" s="584"/>
      <c r="W196" s="584"/>
      <c r="X196" s="584"/>
      <c r="Y196" s="584"/>
      <c r="Z196" s="584"/>
      <c r="AA196" s="584"/>
      <c r="AB196" s="584"/>
      <c r="AC196" s="584"/>
      <c r="AD196" s="584"/>
      <c r="AE196" s="584"/>
      <c r="AF196" s="584"/>
    </row>
    <row r="197" ht="14.25" customHeight="1">
      <c r="A197" s="579">
        <v>63.0</v>
      </c>
      <c r="B197" s="580" t="s">
        <v>1107</v>
      </c>
      <c r="C197" s="581">
        <v>46189.0</v>
      </c>
      <c r="D197" s="581">
        <v>46189.0</v>
      </c>
      <c r="E197" s="597"/>
      <c r="F197" s="580" t="s">
        <v>1108</v>
      </c>
      <c r="G197" s="589" t="s">
        <v>1531</v>
      </c>
      <c r="H197" s="589" t="s">
        <v>1531</v>
      </c>
      <c r="I197" s="580" t="s">
        <v>1168</v>
      </c>
      <c r="J197" s="580" t="s">
        <v>1532</v>
      </c>
      <c r="K197" s="580" t="s">
        <v>265</v>
      </c>
      <c r="L197" s="582">
        <v>21429.12</v>
      </c>
      <c r="M197" s="582">
        <v>21429.12</v>
      </c>
      <c r="N197" s="582">
        <v>21429.12</v>
      </c>
      <c r="O197" s="580" t="s">
        <v>1533</v>
      </c>
      <c r="P197" s="583">
        <v>0.0</v>
      </c>
      <c r="Q197" s="584"/>
      <c r="R197" s="584"/>
      <c r="S197" s="584"/>
      <c r="T197" s="584"/>
      <c r="U197" s="584"/>
      <c r="V197" s="584"/>
      <c r="W197" s="584"/>
      <c r="X197" s="584"/>
      <c r="Y197" s="584"/>
      <c r="Z197" s="584"/>
      <c r="AA197" s="584"/>
      <c r="AB197" s="584"/>
      <c r="AC197" s="584"/>
      <c r="AD197" s="584"/>
      <c r="AE197" s="584"/>
      <c r="AF197" s="584"/>
    </row>
    <row r="198" ht="14.25" customHeight="1">
      <c r="A198" s="579">
        <v>65.0</v>
      </c>
      <c r="B198" s="580" t="s">
        <v>1107</v>
      </c>
      <c r="C198" s="581">
        <v>46189.0</v>
      </c>
      <c r="D198" s="581">
        <v>46189.0</v>
      </c>
      <c r="E198" s="597"/>
      <c r="F198" s="580" t="s">
        <v>1108</v>
      </c>
      <c r="G198" s="589" t="s">
        <v>1534</v>
      </c>
      <c r="H198" s="589" t="s">
        <v>1534</v>
      </c>
      <c r="I198" s="580" t="s">
        <v>1168</v>
      </c>
      <c r="J198" s="580" t="s">
        <v>1535</v>
      </c>
      <c r="K198" s="580" t="s">
        <v>265</v>
      </c>
      <c r="L198" s="582">
        <v>51998.41</v>
      </c>
      <c r="M198" s="582">
        <v>51998.41</v>
      </c>
      <c r="N198" s="582">
        <v>51998.41</v>
      </c>
      <c r="O198" s="580" t="s">
        <v>1536</v>
      </c>
      <c r="P198" s="583">
        <v>0.0</v>
      </c>
      <c r="Q198" s="584"/>
      <c r="R198" s="584"/>
      <c r="S198" s="584"/>
      <c r="T198" s="584"/>
      <c r="U198" s="584"/>
      <c r="V198" s="584"/>
      <c r="W198" s="584"/>
      <c r="X198" s="584"/>
      <c r="Y198" s="584"/>
      <c r="Z198" s="584"/>
      <c r="AA198" s="584"/>
      <c r="AB198" s="584"/>
      <c r="AC198" s="584"/>
      <c r="AD198" s="584"/>
      <c r="AE198" s="584"/>
      <c r="AF198" s="584"/>
    </row>
    <row r="199" ht="14.25" customHeight="1">
      <c r="A199" s="579">
        <v>66.0</v>
      </c>
      <c r="B199" s="580" t="s">
        <v>1107</v>
      </c>
      <c r="C199" s="581">
        <v>46189.0</v>
      </c>
      <c r="D199" s="581">
        <v>46189.0</v>
      </c>
      <c r="E199" s="597"/>
      <c r="F199" s="580" t="s">
        <v>1108</v>
      </c>
      <c r="G199" s="589" t="s">
        <v>1537</v>
      </c>
      <c r="H199" s="589" t="s">
        <v>1537</v>
      </c>
      <c r="I199" s="580" t="s">
        <v>1168</v>
      </c>
      <c r="J199" s="580" t="s">
        <v>1538</v>
      </c>
      <c r="K199" s="580" t="s">
        <v>265</v>
      </c>
      <c r="L199" s="582">
        <v>20979.91</v>
      </c>
      <c r="M199" s="582">
        <v>20979.91</v>
      </c>
      <c r="N199" s="582">
        <v>20979.91</v>
      </c>
      <c r="O199" s="580" t="s">
        <v>1539</v>
      </c>
      <c r="P199" s="583">
        <v>0.0</v>
      </c>
      <c r="Q199" s="584"/>
      <c r="R199" s="584"/>
      <c r="S199" s="584"/>
      <c r="T199" s="584"/>
      <c r="U199" s="584"/>
      <c r="V199" s="584"/>
      <c r="W199" s="584"/>
      <c r="X199" s="584"/>
      <c r="Y199" s="584"/>
      <c r="Z199" s="584"/>
      <c r="AA199" s="584"/>
      <c r="AB199" s="584"/>
      <c r="AC199" s="584"/>
      <c r="AD199" s="584"/>
      <c r="AE199" s="584"/>
      <c r="AF199" s="584"/>
    </row>
    <row r="200" ht="14.25" customHeight="1">
      <c r="A200" s="579">
        <v>69.0</v>
      </c>
      <c r="B200" s="580" t="s">
        <v>1107</v>
      </c>
      <c r="C200" s="581">
        <v>46189.0</v>
      </c>
      <c r="D200" s="581">
        <v>46189.0</v>
      </c>
      <c r="E200" s="597"/>
      <c r="F200" s="580" t="s">
        <v>1108</v>
      </c>
      <c r="G200" s="589" t="s">
        <v>1540</v>
      </c>
      <c r="H200" s="589" t="s">
        <v>1540</v>
      </c>
      <c r="I200" s="580" t="s">
        <v>1168</v>
      </c>
      <c r="J200" s="580" t="s">
        <v>1541</v>
      </c>
      <c r="K200" s="580" t="s">
        <v>265</v>
      </c>
      <c r="L200" s="582">
        <v>43175.87</v>
      </c>
      <c r="M200" s="582">
        <v>43175.87</v>
      </c>
      <c r="N200" s="582">
        <v>43175.87</v>
      </c>
      <c r="O200" s="580" t="s">
        <v>1542</v>
      </c>
      <c r="P200" s="583">
        <v>0.0</v>
      </c>
      <c r="Q200" s="584"/>
      <c r="R200" s="584"/>
      <c r="S200" s="584"/>
      <c r="T200" s="584"/>
      <c r="U200" s="584"/>
      <c r="V200" s="584"/>
      <c r="W200" s="584"/>
      <c r="X200" s="584"/>
      <c r="Y200" s="584"/>
      <c r="Z200" s="584"/>
      <c r="AA200" s="584"/>
      <c r="AB200" s="584"/>
      <c r="AC200" s="584"/>
      <c r="AD200" s="584"/>
      <c r="AE200" s="584"/>
      <c r="AF200" s="584"/>
    </row>
    <row r="201" ht="14.25" customHeight="1">
      <c r="A201" s="579">
        <v>70.0</v>
      </c>
      <c r="B201" s="580" t="s">
        <v>1107</v>
      </c>
      <c r="C201" s="581">
        <v>46189.0</v>
      </c>
      <c r="D201" s="581">
        <v>46189.0</v>
      </c>
      <c r="E201" s="597"/>
      <c r="F201" s="580" t="s">
        <v>1108</v>
      </c>
      <c r="G201" s="589" t="s">
        <v>1543</v>
      </c>
      <c r="H201" s="589" t="s">
        <v>1543</v>
      </c>
      <c r="I201" s="580" t="s">
        <v>1168</v>
      </c>
      <c r="J201" s="580" t="s">
        <v>1544</v>
      </c>
      <c r="K201" s="580" t="s">
        <v>265</v>
      </c>
      <c r="L201" s="582">
        <v>20000.0</v>
      </c>
      <c r="M201" s="582">
        <v>20000.0</v>
      </c>
      <c r="N201" s="582">
        <v>20000.0</v>
      </c>
      <c r="O201" s="580" t="s">
        <v>1545</v>
      </c>
      <c r="P201" s="583">
        <v>0.0</v>
      </c>
      <c r="Q201" s="584"/>
      <c r="R201" s="584"/>
      <c r="S201" s="584"/>
      <c r="T201" s="584"/>
      <c r="U201" s="584"/>
      <c r="V201" s="584"/>
      <c r="W201" s="584"/>
      <c r="X201" s="584"/>
      <c r="Y201" s="584"/>
      <c r="Z201" s="584"/>
      <c r="AA201" s="584"/>
      <c r="AB201" s="584"/>
      <c r="AC201" s="584"/>
      <c r="AD201" s="584"/>
      <c r="AE201" s="584"/>
      <c r="AF201" s="584"/>
    </row>
    <row r="202" ht="14.25" customHeight="1">
      <c r="A202" s="579">
        <v>72.0</v>
      </c>
      <c r="B202" s="580" t="s">
        <v>1107</v>
      </c>
      <c r="C202" s="598">
        <v>46189.0</v>
      </c>
      <c r="D202" s="581">
        <v>46189.0</v>
      </c>
      <c r="E202" s="599"/>
      <c r="F202" s="580" t="s">
        <v>1108</v>
      </c>
      <c r="G202" s="589" t="s">
        <v>1546</v>
      </c>
      <c r="H202" s="589" t="s">
        <v>1546</v>
      </c>
      <c r="I202" s="580" t="s">
        <v>1168</v>
      </c>
      <c r="J202" s="580" t="s">
        <v>1547</v>
      </c>
      <c r="K202" s="580" t="s">
        <v>265</v>
      </c>
      <c r="L202" s="582">
        <v>5488.02</v>
      </c>
      <c r="M202" s="582">
        <v>5488.02</v>
      </c>
      <c r="N202" s="582">
        <v>5488.02</v>
      </c>
      <c r="O202" s="580" t="s">
        <v>1548</v>
      </c>
      <c r="P202" s="582">
        <v>0.0</v>
      </c>
      <c r="Q202" s="584"/>
      <c r="R202" s="584"/>
      <c r="S202" s="584"/>
      <c r="T202" s="584"/>
      <c r="U202" s="584"/>
      <c r="V202" s="584"/>
      <c r="W202" s="584"/>
      <c r="X202" s="584"/>
      <c r="Y202" s="584"/>
      <c r="Z202" s="584"/>
      <c r="AA202" s="584"/>
      <c r="AB202" s="584"/>
      <c r="AC202" s="584"/>
      <c r="AD202" s="584"/>
      <c r="AE202" s="584"/>
      <c r="AF202" s="584"/>
    </row>
    <row r="203" ht="14.25" customHeight="1">
      <c r="A203" s="579">
        <v>73.0</v>
      </c>
      <c r="B203" s="580" t="s">
        <v>1107</v>
      </c>
      <c r="C203" s="598">
        <v>46189.0</v>
      </c>
      <c r="D203" s="581">
        <v>46189.0</v>
      </c>
      <c r="E203" s="599"/>
      <c r="F203" s="580" t="s">
        <v>1108</v>
      </c>
      <c r="G203" s="589" t="s">
        <v>1549</v>
      </c>
      <c r="H203" s="589" t="s">
        <v>1549</v>
      </c>
      <c r="I203" s="580" t="s">
        <v>1168</v>
      </c>
      <c r="J203" s="580" t="s">
        <v>1550</v>
      </c>
      <c r="K203" s="580" t="s">
        <v>265</v>
      </c>
      <c r="L203" s="582">
        <v>41002.1</v>
      </c>
      <c r="M203" s="582">
        <v>41002.1</v>
      </c>
      <c r="N203" s="582">
        <v>41002.1</v>
      </c>
      <c r="O203" s="580" t="s">
        <v>1551</v>
      </c>
      <c r="P203" s="582">
        <v>0.0</v>
      </c>
      <c r="Q203" s="584"/>
      <c r="R203" s="584"/>
      <c r="S203" s="584"/>
      <c r="T203" s="584"/>
      <c r="U203" s="584"/>
      <c r="V203" s="584"/>
      <c r="W203" s="584"/>
      <c r="X203" s="584"/>
      <c r="Y203" s="584"/>
      <c r="Z203" s="584"/>
      <c r="AA203" s="584"/>
      <c r="AB203" s="584"/>
      <c r="AC203" s="584"/>
      <c r="AD203" s="584"/>
      <c r="AE203" s="584"/>
      <c r="AF203" s="584"/>
    </row>
    <row r="204" ht="14.25" customHeight="1">
      <c r="A204" s="579">
        <v>75.0</v>
      </c>
      <c r="B204" s="580" t="s">
        <v>1107</v>
      </c>
      <c r="C204" s="598">
        <v>46189.0</v>
      </c>
      <c r="D204" s="581">
        <v>46189.0</v>
      </c>
      <c r="E204" s="599"/>
      <c r="F204" s="580" t="s">
        <v>1108</v>
      </c>
      <c r="G204" s="589" t="s">
        <v>1552</v>
      </c>
      <c r="H204" s="589" t="s">
        <v>1552</v>
      </c>
      <c r="I204" s="580" t="s">
        <v>1168</v>
      </c>
      <c r="J204" s="580" t="s">
        <v>1553</v>
      </c>
      <c r="K204" s="580" t="s">
        <v>265</v>
      </c>
      <c r="L204" s="582">
        <v>18848.06</v>
      </c>
      <c r="M204" s="582">
        <v>18848.06</v>
      </c>
      <c r="N204" s="582">
        <v>18848.06</v>
      </c>
      <c r="O204" s="580" t="s">
        <v>1554</v>
      </c>
      <c r="P204" s="582">
        <v>0.0</v>
      </c>
      <c r="Q204" s="584"/>
      <c r="R204" s="584"/>
      <c r="S204" s="584"/>
      <c r="T204" s="584"/>
      <c r="U204" s="584"/>
      <c r="V204" s="584"/>
      <c r="W204" s="584"/>
      <c r="X204" s="584"/>
      <c r="Y204" s="584"/>
      <c r="Z204" s="584"/>
      <c r="AA204" s="584"/>
      <c r="AB204" s="584"/>
      <c r="AC204" s="584"/>
      <c r="AD204" s="584"/>
      <c r="AE204" s="584"/>
      <c r="AF204" s="584"/>
    </row>
    <row r="205" ht="14.25" customHeight="1">
      <c r="A205" s="579">
        <v>77.0</v>
      </c>
      <c r="B205" s="580" t="s">
        <v>1107</v>
      </c>
      <c r="C205" s="598">
        <v>46189.0</v>
      </c>
      <c r="D205" s="581">
        <v>46189.0</v>
      </c>
      <c r="E205" s="600"/>
      <c r="F205" s="580" t="s">
        <v>1108</v>
      </c>
      <c r="G205" s="589" t="s">
        <v>1555</v>
      </c>
      <c r="H205" s="589" t="s">
        <v>1555</v>
      </c>
      <c r="I205" s="580" t="s">
        <v>1168</v>
      </c>
      <c r="J205" s="580" t="s">
        <v>1556</v>
      </c>
      <c r="K205" s="580" t="s">
        <v>265</v>
      </c>
      <c r="L205" s="582">
        <v>14300.68</v>
      </c>
      <c r="M205" s="582">
        <v>14300.68</v>
      </c>
      <c r="N205" s="582">
        <v>14300.68</v>
      </c>
      <c r="O205" s="580" t="s">
        <v>1557</v>
      </c>
      <c r="P205" s="582">
        <v>0.0</v>
      </c>
      <c r="Q205" s="584"/>
      <c r="R205" s="584"/>
      <c r="S205" s="584"/>
      <c r="T205" s="584"/>
      <c r="U205" s="584"/>
      <c r="V205" s="584"/>
      <c r="W205" s="584"/>
      <c r="X205" s="584"/>
      <c r="Y205" s="584"/>
      <c r="Z205" s="584"/>
      <c r="AA205" s="584"/>
      <c r="AB205" s="584"/>
      <c r="AC205" s="584"/>
      <c r="AD205" s="584"/>
      <c r="AE205" s="584"/>
      <c r="AF205" s="584"/>
    </row>
    <row r="206" ht="14.25" customHeight="1">
      <c r="A206" s="579">
        <v>78.0</v>
      </c>
      <c r="B206" s="580" t="s">
        <v>1107</v>
      </c>
      <c r="C206" s="598">
        <v>46189.0</v>
      </c>
      <c r="D206" s="581">
        <v>46189.0</v>
      </c>
      <c r="E206" s="600"/>
      <c r="F206" s="580" t="s">
        <v>1108</v>
      </c>
      <c r="G206" s="589" t="s">
        <v>1558</v>
      </c>
      <c r="H206" s="589" t="s">
        <v>1558</v>
      </c>
      <c r="I206" s="580" t="s">
        <v>1168</v>
      </c>
      <c r="J206" s="580" t="s">
        <v>1559</v>
      </c>
      <c r="K206" s="580" t="s">
        <v>265</v>
      </c>
      <c r="L206" s="582">
        <v>20816.05</v>
      </c>
      <c r="M206" s="582">
        <v>20816.05</v>
      </c>
      <c r="N206" s="582">
        <v>20816.05</v>
      </c>
      <c r="O206" s="580" t="s">
        <v>1560</v>
      </c>
      <c r="P206" s="582">
        <v>0.0</v>
      </c>
      <c r="Q206" s="584"/>
      <c r="R206" s="584"/>
      <c r="S206" s="584"/>
      <c r="T206" s="584"/>
      <c r="U206" s="584"/>
      <c r="V206" s="584"/>
      <c r="W206" s="584"/>
      <c r="X206" s="584"/>
      <c r="Y206" s="584"/>
      <c r="Z206" s="584"/>
      <c r="AA206" s="584"/>
      <c r="AB206" s="584"/>
      <c r="AC206" s="584"/>
      <c r="AD206" s="584"/>
      <c r="AE206" s="584"/>
      <c r="AF206" s="584"/>
    </row>
    <row r="207" ht="14.25" customHeight="1">
      <c r="A207" s="579">
        <v>81.0</v>
      </c>
      <c r="B207" s="580" t="s">
        <v>1107</v>
      </c>
      <c r="C207" s="598">
        <v>46189.0</v>
      </c>
      <c r="D207" s="581">
        <v>46189.0</v>
      </c>
      <c r="E207" s="599"/>
      <c r="F207" s="580" t="s">
        <v>1108</v>
      </c>
      <c r="G207" s="589" t="s">
        <v>1561</v>
      </c>
      <c r="H207" s="589" t="s">
        <v>1561</v>
      </c>
      <c r="I207" s="580" t="s">
        <v>1168</v>
      </c>
      <c r="J207" s="580" t="s">
        <v>1562</v>
      </c>
      <c r="K207" s="580" t="s">
        <v>265</v>
      </c>
      <c r="L207" s="582">
        <v>29971.49</v>
      </c>
      <c r="M207" s="582">
        <v>29971.49</v>
      </c>
      <c r="N207" s="582">
        <v>29971.49</v>
      </c>
      <c r="O207" s="580" t="s">
        <v>1563</v>
      </c>
      <c r="P207" s="582">
        <v>0.0</v>
      </c>
      <c r="Q207" s="584"/>
      <c r="R207" s="584"/>
      <c r="S207" s="584"/>
      <c r="T207" s="584"/>
      <c r="U207" s="584"/>
      <c r="V207" s="584"/>
      <c r="W207" s="584"/>
      <c r="X207" s="584"/>
      <c r="Y207" s="584"/>
      <c r="Z207" s="584"/>
      <c r="AA207" s="584"/>
      <c r="AB207" s="584"/>
      <c r="AC207" s="584"/>
      <c r="AD207" s="584"/>
      <c r="AE207" s="584"/>
      <c r="AF207" s="584"/>
    </row>
    <row r="208" ht="14.25" customHeight="1">
      <c r="A208" s="579">
        <v>82.0</v>
      </c>
      <c r="B208" s="580" t="s">
        <v>1107</v>
      </c>
      <c r="C208" s="598">
        <v>46189.0</v>
      </c>
      <c r="D208" s="581">
        <v>46189.0</v>
      </c>
      <c r="E208" s="599"/>
      <c r="F208" s="580" t="s">
        <v>1108</v>
      </c>
      <c r="G208" s="589" t="s">
        <v>1564</v>
      </c>
      <c r="H208" s="589" t="s">
        <v>1564</v>
      </c>
      <c r="I208" s="580" t="s">
        <v>1168</v>
      </c>
      <c r="J208" s="580" t="s">
        <v>1565</v>
      </c>
      <c r="K208" s="580" t="s">
        <v>265</v>
      </c>
      <c r="L208" s="582">
        <v>20315.69</v>
      </c>
      <c r="M208" s="582">
        <v>20315.69</v>
      </c>
      <c r="N208" s="582">
        <v>20315.69</v>
      </c>
      <c r="O208" s="580" t="s">
        <v>1566</v>
      </c>
      <c r="P208" s="582">
        <v>0.0</v>
      </c>
      <c r="Q208" s="584"/>
      <c r="R208" s="584"/>
      <c r="S208" s="584"/>
      <c r="T208" s="584"/>
      <c r="U208" s="584"/>
      <c r="V208" s="584"/>
      <c r="W208" s="584"/>
      <c r="X208" s="584"/>
      <c r="Y208" s="584"/>
      <c r="Z208" s="584"/>
      <c r="AA208" s="584"/>
      <c r="AB208" s="584"/>
      <c r="AC208" s="584"/>
      <c r="AD208" s="584"/>
      <c r="AE208" s="584"/>
      <c r="AF208" s="584"/>
    </row>
    <row r="209" ht="14.25" customHeight="1">
      <c r="A209" s="579">
        <v>83.0</v>
      </c>
      <c r="B209" s="580" t="s">
        <v>1107</v>
      </c>
      <c r="C209" s="598">
        <v>46189.0</v>
      </c>
      <c r="D209" s="581">
        <v>46189.0</v>
      </c>
      <c r="E209" s="599"/>
      <c r="F209" s="580" t="s">
        <v>1108</v>
      </c>
      <c r="G209" s="589" t="s">
        <v>1567</v>
      </c>
      <c r="H209" s="589" t="s">
        <v>1567</v>
      </c>
      <c r="I209" s="580" t="s">
        <v>1168</v>
      </c>
      <c r="J209" s="580" t="s">
        <v>1568</v>
      </c>
      <c r="K209" s="580" t="s">
        <v>265</v>
      </c>
      <c r="L209" s="582">
        <v>12453.34</v>
      </c>
      <c r="M209" s="582">
        <v>12453.34</v>
      </c>
      <c r="N209" s="582">
        <v>12453.34</v>
      </c>
      <c r="O209" s="580" t="s">
        <v>1569</v>
      </c>
      <c r="P209" s="582">
        <v>0.0</v>
      </c>
      <c r="Q209" s="584"/>
      <c r="R209" s="584"/>
      <c r="S209" s="584"/>
      <c r="T209" s="584"/>
      <c r="U209" s="584"/>
      <c r="V209" s="584"/>
      <c r="W209" s="584"/>
      <c r="X209" s="584"/>
      <c r="Y209" s="584"/>
      <c r="Z209" s="584"/>
      <c r="AA209" s="584"/>
      <c r="AB209" s="584"/>
      <c r="AC209" s="584"/>
      <c r="AD209" s="584"/>
      <c r="AE209" s="584"/>
      <c r="AF209" s="584"/>
    </row>
    <row r="210" ht="14.25" customHeight="1">
      <c r="A210" s="579">
        <v>85.0</v>
      </c>
      <c r="B210" s="580" t="s">
        <v>1107</v>
      </c>
      <c r="C210" s="598">
        <v>46189.0</v>
      </c>
      <c r="D210" s="581">
        <v>46189.0</v>
      </c>
      <c r="E210" s="599"/>
      <c r="F210" s="580" t="s">
        <v>1108</v>
      </c>
      <c r="G210" s="589" t="s">
        <v>1570</v>
      </c>
      <c r="H210" s="589" t="s">
        <v>1570</v>
      </c>
      <c r="I210" s="580" t="s">
        <v>1168</v>
      </c>
      <c r="J210" s="580" t="s">
        <v>1571</v>
      </c>
      <c r="K210" s="580" t="s">
        <v>265</v>
      </c>
      <c r="L210" s="582">
        <v>20401.2</v>
      </c>
      <c r="M210" s="582">
        <v>20401.2</v>
      </c>
      <c r="N210" s="582">
        <v>20401.2</v>
      </c>
      <c r="O210" s="580" t="s">
        <v>1572</v>
      </c>
      <c r="P210" s="582">
        <v>0.0</v>
      </c>
      <c r="Q210" s="584"/>
      <c r="R210" s="584"/>
      <c r="S210" s="584"/>
      <c r="T210" s="584"/>
      <c r="U210" s="584"/>
      <c r="V210" s="584"/>
      <c r="W210" s="584"/>
      <c r="X210" s="584"/>
      <c r="Y210" s="584"/>
      <c r="Z210" s="584"/>
      <c r="AA210" s="584"/>
      <c r="AB210" s="584"/>
      <c r="AC210" s="584"/>
      <c r="AD210" s="584"/>
      <c r="AE210" s="584"/>
      <c r="AF210" s="584"/>
    </row>
    <row r="211" ht="14.25" customHeight="1">
      <c r="A211" s="579">
        <v>86.0</v>
      </c>
      <c r="B211" s="580" t="s">
        <v>1107</v>
      </c>
      <c r="C211" s="598">
        <v>46189.0</v>
      </c>
      <c r="D211" s="581">
        <v>46189.0</v>
      </c>
      <c r="E211" s="599"/>
      <c r="F211" s="580" t="s">
        <v>1108</v>
      </c>
      <c r="G211" s="589" t="s">
        <v>1573</v>
      </c>
      <c r="H211" s="589" t="s">
        <v>1573</v>
      </c>
      <c r="I211" s="580" t="s">
        <v>1168</v>
      </c>
      <c r="J211" s="580" t="s">
        <v>1574</v>
      </c>
      <c r="K211" s="580" t="s">
        <v>265</v>
      </c>
      <c r="L211" s="582">
        <v>86742.48</v>
      </c>
      <c r="M211" s="582">
        <v>86742.48</v>
      </c>
      <c r="N211" s="585">
        <v>86742.48</v>
      </c>
      <c r="O211" s="580" t="s">
        <v>1575</v>
      </c>
      <c r="P211" s="582">
        <v>0.0</v>
      </c>
      <c r="Q211" s="584"/>
      <c r="R211" s="584"/>
      <c r="S211" s="584"/>
      <c r="T211" s="584"/>
      <c r="U211" s="584"/>
      <c r="V211" s="584"/>
      <c r="W211" s="584"/>
      <c r="X211" s="584"/>
      <c r="Y211" s="584"/>
      <c r="Z211" s="584"/>
      <c r="AA211" s="584"/>
      <c r="AB211" s="584"/>
      <c r="AC211" s="584"/>
      <c r="AD211" s="584"/>
      <c r="AE211" s="584"/>
      <c r="AF211" s="584"/>
    </row>
    <row r="212" ht="14.25" customHeight="1">
      <c r="A212" s="579">
        <v>87.0</v>
      </c>
      <c r="B212" s="580" t="s">
        <v>1107</v>
      </c>
      <c r="C212" s="598">
        <v>46189.0</v>
      </c>
      <c r="D212" s="581">
        <v>46189.0</v>
      </c>
      <c r="E212" s="599"/>
      <c r="F212" s="580" t="s">
        <v>1108</v>
      </c>
      <c r="G212" s="589" t="s">
        <v>1576</v>
      </c>
      <c r="H212" s="589" t="s">
        <v>1576</v>
      </c>
      <c r="I212" s="580" t="s">
        <v>1168</v>
      </c>
      <c r="J212" s="580" t="s">
        <v>1577</v>
      </c>
      <c r="K212" s="580" t="s">
        <v>265</v>
      </c>
      <c r="L212" s="582">
        <v>2224.0</v>
      </c>
      <c r="M212" s="582">
        <v>2224.0</v>
      </c>
      <c r="N212" s="582">
        <v>2224.0</v>
      </c>
      <c r="O212" s="580" t="s">
        <v>1578</v>
      </c>
      <c r="P212" s="582">
        <v>0.0</v>
      </c>
      <c r="Q212" s="584"/>
      <c r="R212" s="584"/>
      <c r="S212" s="584"/>
      <c r="T212" s="584"/>
      <c r="U212" s="584"/>
      <c r="V212" s="584"/>
      <c r="W212" s="584"/>
      <c r="X212" s="584"/>
      <c r="Y212" s="584"/>
      <c r="Z212" s="584"/>
      <c r="AA212" s="584"/>
      <c r="AB212" s="584"/>
      <c r="AC212" s="584"/>
      <c r="AD212" s="584"/>
      <c r="AE212" s="584"/>
      <c r="AF212" s="584"/>
    </row>
    <row r="213" ht="14.25" customHeight="1">
      <c r="A213" s="579">
        <v>88.0</v>
      </c>
      <c r="B213" s="580" t="s">
        <v>1107</v>
      </c>
      <c r="C213" s="598">
        <v>46189.0</v>
      </c>
      <c r="D213" s="581">
        <v>46189.0</v>
      </c>
      <c r="E213" s="599"/>
      <c r="F213" s="580" t="s">
        <v>1108</v>
      </c>
      <c r="G213" s="589" t="s">
        <v>1579</v>
      </c>
      <c r="H213" s="589" t="s">
        <v>1579</v>
      </c>
      <c r="I213" s="580" t="s">
        <v>1168</v>
      </c>
      <c r="J213" s="580" t="s">
        <v>1580</v>
      </c>
      <c r="K213" s="580" t="s">
        <v>265</v>
      </c>
      <c r="L213" s="582">
        <v>41749.61</v>
      </c>
      <c r="M213" s="582">
        <v>41749.61</v>
      </c>
      <c r="N213" s="582">
        <v>41749.61</v>
      </c>
      <c r="O213" s="580" t="s">
        <v>1581</v>
      </c>
      <c r="P213" s="582">
        <v>0.0</v>
      </c>
      <c r="Q213" s="584"/>
      <c r="R213" s="584"/>
      <c r="S213" s="584"/>
      <c r="T213" s="584"/>
      <c r="U213" s="584"/>
      <c r="V213" s="584"/>
      <c r="W213" s="584"/>
      <c r="X213" s="584"/>
      <c r="Y213" s="584"/>
      <c r="Z213" s="584"/>
      <c r="AA213" s="584"/>
      <c r="AB213" s="584"/>
      <c r="AC213" s="584"/>
      <c r="AD213" s="584"/>
      <c r="AE213" s="584"/>
      <c r="AF213" s="584"/>
    </row>
    <row r="214" ht="14.25" customHeight="1">
      <c r="A214" s="579">
        <v>91.0</v>
      </c>
      <c r="B214" s="580" t="s">
        <v>1107</v>
      </c>
      <c r="C214" s="598">
        <v>46189.0</v>
      </c>
      <c r="D214" s="581">
        <v>46189.0</v>
      </c>
      <c r="E214" s="599"/>
      <c r="F214" s="580" t="s">
        <v>1108</v>
      </c>
      <c r="G214" s="589" t="s">
        <v>1582</v>
      </c>
      <c r="H214" s="589" t="s">
        <v>1582</v>
      </c>
      <c r="I214" s="580" t="s">
        <v>1168</v>
      </c>
      <c r="J214" s="580" t="s">
        <v>1583</v>
      </c>
      <c r="K214" s="580" t="s">
        <v>265</v>
      </c>
      <c r="L214" s="582">
        <v>133065.71</v>
      </c>
      <c r="M214" s="582">
        <v>133065.71</v>
      </c>
      <c r="N214" s="582">
        <v>133065.71</v>
      </c>
      <c r="O214" s="580" t="s">
        <v>1584</v>
      </c>
      <c r="P214" s="582">
        <v>0.0</v>
      </c>
      <c r="Q214" s="584"/>
      <c r="R214" s="584"/>
      <c r="S214" s="584"/>
      <c r="T214" s="584"/>
      <c r="U214" s="584"/>
      <c r="V214" s="584"/>
      <c r="W214" s="584"/>
      <c r="X214" s="584"/>
      <c r="Y214" s="584"/>
      <c r="Z214" s="584"/>
      <c r="AA214" s="584"/>
      <c r="AB214" s="584"/>
      <c r="AC214" s="584"/>
      <c r="AD214" s="584"/>
      <c r="AE214" s="584"/>
      <c r="AF214" s="584"/>
    </row>
    <row r="215" ht="14.25" customHeight="1">
      <c r="A215" s="579">
        <v>94.0</v>
      </c>
      <c r="B215" s="580" t="s">
        <v>1107</v>
      </c>
      <c r="C215" s="598">
        <v>46189.0</v>
      </c>
      <c r="D215" s="581">
        <v>46189.0</v>
      </c>
      <c r="E215" s="599"/>
      <c r="F215" s="580" t="s">
        <v>1108</v>
      </c>
      <c r="G215" s="589" t="s">
        <v>1585</v>
      </c>
      <c r="H215" s="589" t="s">
        <v>1585</v>
      </c>
      <c r="I215" s="580" t="s">
        <v>1168</v>
      </c>
      <c r="J215" s="580" t="s">
        <v>1586</v>
      </c>
      <c r="K215" s="580" t="s">
        <v>265</v>
      </c>
      <c r="L215" s="582">
        <v>20000.0</v>
      </c>
      <c r="M215" s="582">
        <v>20000.0</v>
      </c>
      <c r="N215" s="582">
        <v>20000.0</v>
      </c>
      <c r="O215" s="580" t="s">
        <v>1587</v>
      </c>
      <c r="P215" s="582">
        <v>0.0</v>
      </c>
      <c r="Q215" s="584"/>
      <c r="R215" s="584"/>
      <c r="S215" s="584"/>
      <c r="T215" s="584"/>
      <c r="U215" s="584"/>
      <c r="V215" s="584"/>
      <c r="W215" s="584"/>
      <c r="X215" s="584"/>
      <c r="Y215" s="584"/>
      <c r="Z215" s="584"/>
      <c r="AA215" s="584"/>
      <c r="AB215" s="584"/>
      <c r="AC215" s="584"/>
      <c r="AD215" s="584"/>
      <c r="AE215" s="584"/>
      <c r="AF215" s="584"/>
    </row>
    <row r="216" ht="14.25" customHeight="1">
      <c r="A216" s="579">
        <v>95.0</v>
      </c>
      <c r="B216" s="580" t="s">
        <v>1107</v>
      </c>
      <c r="C216" s="598">
        <v>46189.0</v>
      </c>
      <c r="D216" s="581">
        <v>46189.0</v>
      </c>
      <c r="E216" s="599"/>
      <c r="F216" s="580" t="s">
        <v>1108</v>
      </c>
      <c r="G216" s="589" t="s">
        <v>1588</v>
      </c>
      <c r="H216" s="589" t="s">
        <v>1588</v>
      </c>
      <c r="I216" s="580" t="s">
        <v>1168</v>
      </c>
      <c r="J216" s="580" t="s">
        <v>1589</v>
      </c>
      <c r="K216" s="580" t="s">
        <v>265</v>
      </c>
      <c r="L216" s="582">
        <v>41602.94</v>
      </c>
      <c r="M216" s="582">
        <v>41602.94</v>
      </c>
      <c r="N216" s="582">
        <v>41602.94</v>
      </c>
      <c r="O216" s="580" t="s">
        <v>1590</v>
      </c>
      <c r="P216" s="582">
        <v>0.0</v>
      </c>
      <c r="Q216" s="584"/>
      <c r="R216" s="584"/>
      <c r="S216" s="584"/>
      <c r="T216" s="584"/>
      <c r="U216" s="584"/>
      <c r="V216" s="584"/>
      <c r="W216" s="584"/>
      <c r="X216" s="584"/>
      <c r="Y216" s="584"/>
      <c r="Z216" s="584"/>
      <c r="AA216" s="584"/>
      <c r="AB216" s="584"/>
      <c r="AC216" s="584"/>
      <c r="AD216" s="584"/>
      <c r="AE216" s="584"/>
      <c r="AF216" s="584"/>
    </row>
    <row r="217" ht="14.25" customHeight="1">
      <c r="A217" s="579">
        <v>97.0</v>
      </c>
      <c r="B217" s="580" t="s">
        <v>1107</v>
      </c>
      <c r="C217" s="598">
        <v>46189.0</v>
      </c>
      <c r="D217" s="581">
        <v>46189.0</v>
      </c>
      <c r="E217" s="599"/>
      <c r="F217" s="580" t="s">
        <v>1108</v>
      </c>
      <c r="G217" s="589" t="s">
        <v>1591</v>
      </c>
      <c r="H217" s="589" t="s">
        <v>1591</v>
      </c>
      <c r="I217" s="580" t="s">
        <v>1168</v>
      </c>
      <c r="J217" s="580" t="s">
        <v>1592</v>
      </c>
      <c r="K217" s="580" t="s">
        <v>265</v>
      </c>
      <c r="L217" s="582">
        <v>10385.68</v>
      </c>
      <c r="M217" s="582">
        <v>10385.68</v>
      </c>
      <c r="N217" s="582">
        <v>10385.68</v>
      </c>
      <c r="O217" s="580" t="s">
        <v>1593</v>
      </c>
      <c r="P217" s="582">
        <v>0.0</v>
      </c>
      <c r="Q217" s="584"/>
      <c r="R217" s="584"/>
      <c r="S217" s="584"/>
      <c r="T217" s="584"/>
      <c r="U217" s="584"/>
      <c r="V217" s="584"/>
      <c r="W217" s="584"/>
      <c r="X217" s="584"/>
      <c r="Y217" s="584"/>
      <c r="Z217" s="584"/>
      <c r="AA217" s="584"/>
      <c r="AB217" s="584"/>
      <c r="AC217" s="584"/>
      <c r="AD217" s="584"/>
      <c r="AE217" s="584"/>
      <c r="AF217" s="584"/>
    </row>
    <row r="218" ht="14.25" customHeight="1">
      <c r="A218" s="579">
        <v>99.0</v>
      </c>
      <c r="B218" s="580" t="s">
        <v>1107</v>
      </c>
      <c r="C218" s="598">
        <v>46189.0</v>
      </c>
      <c r="D218" s="581">
        <v>46189.0</v>
      </c>
      <c r="E218" s="599"/>
      <c r="F218" s="580" t="s">
        <v>1108</v>
      </c>
      <c r="G218" s="589" t="s">
        <v>1594</v>
      </c>
      <c r="H218" s="589" t="s">
        <v>1594</v>
      </c>
      <c r="I218" s="580" t="s">
        <v>1168</v>
      </c>
      <c r="J218" s="580" t="s">
        <v>1595</v>
      </c>
      <c r="K218" s="580" t="s">
        <v>265</v>
      </c>
      <c r="L218" s="582">
        <v>21063.69</v>
      </c>
      <c r="M218" s="582">
        <v>21063.69</v>
      </c>
      <c r="N218" s="585">
        <v>21063.69</v>
      </c>
      <c r="O218" s="580" t="s">
        <v>1596</v>
      </c>
      <c r="P218" s="582">
        <v>0.0</v>
      </c>
      <c r="Q218" s="584"/>
      <c r="R218" s="584"/>
      <c r="S218" s="584"/>
      <c r="T218" s="584"/>
      <c r="U218" s="584"/>
      <c r="V218" s="584"/>
      <c r="W218" s="584"/>
      <c r="X218" s="584"/>
      <c r="Y218" s="584"/>
      <c r="Z218" s="584"/>
      <c r="AA218" s="584"/>
      <c r="AB218" s="584"/>
      <c r="AC218" s="584"/>
      <c r="AD218" s="584"/>
      <c r="AE218" s="584"/>
      <c r="AF218" s="584"/>
    </row>
    <row r="219" ht="14.25" customHeight="1">
      <c r="A219" s="579">
        <v>100.0</v>
      </c>
      <c r="B219" s="580" t="s">
        <v>1107</v>
      </c>
      <c r="C219" s="598">
        <v>46189.0</v>
      </c>
      <c r="D219" s="581">
        <v>46189.0</v>
      </c>
      <c r="E219" s="599"/>
      <c r="F219" s="580" t="s">
        <v>1108</v>
      </c>
      <c r="G219" s="589" t="s">
        <v>1597</v>
      </c>
      <c r="H219" s="589" t="s">
        <v>1597</v>
      </c>
      <c r="I219" s="580" t="s">
        <v>1168</v>
      </c>
      <c r="J219" s="580" t="s">
        <v>1598</v>
      </c>
      <c r="K219" s="580" t="s">
        <v>265</v>
      </c>
      <c r="L219" s="582">
        <v>61722.7</v>
      </c>
      <c r="M219" s="582">
        <v>61722.7</v>
      </c>
      <c r="N219" s="582">
        <v>61722.7</v>
      </c>
      <c r="O219" s="580" t="s">
        <v>1599</v>
      </c>
      <c r="P219" s="582">
        <v>0.0</v>
      </c>
      <c r="Q219" s="584"/>
      <c r="R219" s="584"/>
      <c r="S219" s="584"/>
      <c r="T219" s="584"/>
      <c r="U219" s="584"/>
      <c r="V219" s="584"/>
      <c r="W219" s="584"/>
      <c r="X219" s="584"/>
      <c r="Y219" s="584"/>
      <c r="Z219" s="584"/>
      <c r="AA219" s="584"/>
      <c r="AB219" s="584"/>
      <c r="AC219" s="584"/>
      <c r="AD219" s="584"/>
      <c r="AE219" s="584"/>
      <c r="AF219" s="584"/>
    </row>
    <row r="220" ht="14.25" customHeight="1">
      <c r="A220" s="579">
        <v>101.0</v>
      </c>
      <c r="B220" s="580" t="s">
        <v>1107</v>
      </c>
      <c r="C220" s="598">
        <v>46189.0</v>
      </c>
      <c r="D220" s="581">
        <v>46189.0</v>
      </c>
      <c r="E220" s="599"/>
      <c r="F220" s="580" t="s">
        <v>1108</v>
      </c>
      <c r="G220" s="589" t="s">
        <v>1600</v>
      </c>
      <c r="H220" s="589" t="s">
        <v>1600</v>
      </c>
      <c r="I220" s="580" t="s">
        <v>1168</v>
      </c>
      <c r="J220" s="580" t="s">
        <v>1601</v>
      </c>
      <c r="K220" s="580" t="s">
        <v>265</v>
      </c>
      <c r="L220" s="582">
        <v>20902.73</v>
      </c>
      <c r="M220" s="582">
        <v>20902.73</v>
      </c>
      <c r="N220" s="582">
        <v>20902.73</v>
      </c>
      <c r="O220" s="580" t="s">
        <v>1602</v>
      </c>
      <c r="P220" s="582">
        <v>0.0</v>
      </c>
      <c r="Q220" s="584"/>
      <c r="R220" s="584"/>
      <c r="S220" s="584"/>
      <c r="T220" s="584"/>
      <c r="U220" s="584"/>
      <c r="V220" s="584"/>
      <c r="W220" s="584"/>
      <c r="X220" s="584"/>
      <c r="Y220" s="584"/>
      <c r="Z220" s="584"/>
      <c r="AA220" s="584"/>
      <c r="AB220" s="584"/>
      <c r="AC220" s="584"/>
      <c r="AD220" s="584"/>
      <c r="AE220" s="584"/>
      <c r="AF220" s="584"/>
    </row>
    <row r="221" ht="14.25" customHeight="1">
      <c r="A221" s="579">
        <v>104.0</v>
      </c>
      <c r="B221" s="580" t="s">
        <v>1107</v>
      </c>
      <c r="C221" s="598">
        <v>46189.0</v>
      </c>
      <c r="D221" s="581">
        <v>46189.0</v>
      </c>
      <c r="E221" s="599"/>
      <c r="F221" s="580" t="s">
        <v>1108</v>
      </c>
      <c r="G221" s="589" t="s">
        <v>1603</v>
      </c>
      <c r="H221" s="589" t="s">
        <v>1603</v>
      </c>
      <c r="I221" s="580" t="s">
        <v>1168</v>
      </c>
      <c r="J221" s="580" t="s">
        <v>1604</v>
      </c>
      <c r="K221" s="580" t="s">
        <v>265</v>
      </c>
      <c r="L221" s="582">
        <v>18641.1</v>
      </c>
      <c r="M221" s="582">
        <v>18641.1</v>
      </c>
      <c r="N221" s="582">
        <v>18641.1</v>
      </c>
      <c r="O221" s="580" t="s">
        <v>1605</v>
      </c>
      <c r="P221" s="582">
        <v>0.0</v>
      </c>
      <c r="Q221" s="584"/>
      <c r="R221" s="584"/>
      <c r="S221" s="584"/>
      <c r="T221" s="584"/>
      <c r="U221" s="584"/>
      <c r="V221" s="584"/>
      <c r="W221" s="584"/>
      <c r="X221" s="584"/>
      <c r="Y221" s="584"/>
      <c r="Z221" s="584"/>
      <c r="AA221" s="584"/>
      <c r="AB221" s="584"/>
      <c r="AC221" s="584"/>
      <c r="AD221" s="584"/>
      <c r="AE221" s="584"/>
      <c r="AF221" s="584"/>
    </row>
    <row r="222" ht="14.25" customHeight="1">
      <c r="A222" s="579">
        <v>105.0</v>
      </c>
      <c r="B222" s="580" t="s">
        <v>1107</v>
      </c>
      <c r="C222" s="598">
        <v>46189.0</v>
      </c>
      <c r="D222" s="581">
        <v>46189.0</v>
      </c>
      <c r="E222" s="599"/>
      <c r="F222" s="580" t="s">
        <v>1108</v>
      </c>
      <c r="G222" s="589" t="s">
        <v>1606</v>
      </c>
      <c r="H222" s="589" t="s">
        <v>1606</v>
      </c>
      <c r="I222" s="580" t="s">
        <v>1168</v>
      </c>
      <c r="J222" s="580" t="s">
        <v>1607</v>
      </c>
      <c r="K222" s="580" t="s">
        <v>265</v>
      </c>
      <c r="L222" s="582">
        <v>20080.85</v>
      </c>
      <c r="M222" s="582">
        <v>20080.85</v>
      </c>
      <c r="N222" s="582">
        <v>20080.85</v>
      </c>
      <c r="O222" s="580" t="s">
        <v>1608</v>
      </c>
      <c r="P222" s="582">
        <v>0.0</v>
      </c>
      <c r="Q222" s="584"/>
      <c r="R222" s="584"/>
      <c r="S222" s="584"/>
      <c r="T222" s="584"/>
      <c r="U222" s="584"/>
      <c r="V222" s="584"/>
      <c r="W222" s="584"/>
      <c r="X222" s="584"/>
      <c r="Y222" s="584"/>
      <c r="Z222" s="584"/>
      <c r="AA222" s="584"/>
      <c r="AB222" s="584"/>
      <c r="AC222" s="584"/>
      <c r="AD222" s="584"/>
      <c r="AE222" s="584"/>
      <c r="AF222" s="584"/>
    </row>
    <row r="223" ht="14.25" customHeight="1">
      <c r="A223" s="579">
        <v>106.0</v>
      </c>
      <c r="B223" s="580" t="s">
        <v>1107</v>
      </c>
      <c r="C223" s="598">
        <v>46189.0</v>
      </c>
      <c r="D223" s="581">
        <v>46189.0</v>
      </c>
      <c r="E223" s="599"/>
      <c r="F223" s="580" t="s">
        <v>1108</v>
      </c>
      <c r="G223" s="589" t="s">
        <v>1609</v>
      </c>
      <c r="H223" s="589" t="s">
        <v>1609</v>
      </c>
      <c r="I223" s="580" t="s">
        <v>1168</v>
      </c>
      <c r="J223" s="580" t="s">
        <v>1610</v>
      </c>
      <c r="K223" s="580" t="s">
        <v>265</v>
      </c>
      <c r="L223" s="582">
        <v>3020.8</v>
      </c>
      <c r="M223" s="582">
        <v>3020.8</v>
      </c>
      <c r="N223" s="582">
        <v>3020.8</v>
      </c>
      <c r="O223" s="580" t="s">
        <v>1611</v>
      </c>
      <c r="P223" s="582">
        <v>0.0</v>
      </c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  <c r="AA223" s="584"/>
      <c r="AB223" s="584"/>
      <c r="AC223" s="584"/>
      <c r="AD223" s="584"/>
      <c r="AE223" s="584"/>
      <c r="AF223" s="584"/>
    </row>
    <row r="224" ht="14.25" customHeight="1">
      <c r="A224" s="579">
        <v>110.0</v>
      </c>
      <c r="B224" s="580" t="s">
        <v>1107</v>
      </c>
      <c r="C224" s="598">
        <v>46189.0</v>
      </c>
      <c r="D224" s="581">
        <v>46189.0</v>
      </c>
      <c r="E224" s="599"/>
      <c r="F224" s="580" t="s">
        <v>1108</v>
      </c>
      <c r="G224" s="589" t="s">
        <v>1612</v>
      </c>
      <c r="H224" s="589" t="s">
        <v>1612</v>
      </c>
      <c r="I224" s="580" t="s">
        <v>1168</v>
      </c>
      <c r="J224" s="580" t="s">
        <v>1613</v>
      </c>
      <c r="K224" s="580" t="s">
        <v>265</v>
      </c>
      <c r="L224" s="582">
        <v>20880.59</v>
      </c>
      <c r="M224" s="582">
        <v>20880.59</v>
      </c>
      <c r="N224" s="585">
        <v>20880.59</v>
      </c>
      <c r="O224" s="580" t="s">
        <v>1614</v>
      </c>
      <c r="P224" s="582">
        <v>0.0</v>
      </c>
      <c r="Q224" s="584"/>
      <c r="R224" s="584"/>
      <c r="S224" s="584"/>
      <c r="T224" s="584"/>
      <c r="U224" s="584"/>
      <c r="V224" s="584"/>
      <c r="W224" s="584"/>
      <c r="X224" s="584"/>
      <c r="Y224" s="584"/>
      <c r="Z224" s="584"/>
      <c r="AA224" s="584"/>
      <c r="AB224" s="584"/>
      <c r="AC224" s="584"/>
      <c r="AD224" s="584"/>
      <c r="AE224" s="584"/>
      <c r="AF224" s="584"/>
    </row>
    <row r="225" ht="14.25" customHeight="1">
      <c r="A225" s="579">
        <v>111.0</v>
      </c>
      <c r="B225" s="580" t="s">
        <v>1107</v>
      </c>
      <c r="C225" s="598">
        <v>46189.0</v>
      </c>
      <c r="D225" s="581">
        <v>46189.0</v>
      </c>
      <c r="E225" s="599"/>
      <c r="F225" s="580" t="s">
        <v>1108</v>
      </c>
      <c r="G225" s="589" t="s">
        <v>1615</v>
      </c>
      <c r="H225" s="589" t="s">
        <v>1615</v>
      </c>
      <c r="I225" s="580" t="s">
        <v>1168</v>
      </c>
      <c r="J225" s="580" t="s">
        <v>1616</v>
      </c>
      <c r="K225" s="580" t="s">
        <v>265</v>
      </c>
      <c r="L225" s="582">
        <v>20708.18</v>
      </c>
      <c r="M225" s="582">
        <v>20708.18</v>
      </c>
      <c r="N225" s="582">
        <v>20708.18</v>
      </c>
      <c r="O225" s="580" t="s">
        <v>1617</v>
      </c>
      <c r="P225" s="582">
        <v>0.0</v>
      </c>
      <c r="Q225" s="584"/>
      <c r="R225" s="584"/>
      <c r="S225" s="584"/>
      <c r="T225" s="584"/>
      <c r="U225" s="584"/>
      <c r="V225" s="584"/>
      <c r="W225" s="584"/>
      <c r="X225" s="584"/>
      <c r="Y225" s="584"/>
      <c r="Z225" s="584"/>
      <c r="AA225" s="584"/>
      <c r="AB225" s="584"/>
      <c r="AC225" s="584"/>
      <c r="AD225" s="584"/>
      <c r="AE225" s="584"/>
      <c r="AF225" s="584"/>
    </row>
    <row r="226" ht="14.25" customHeight="1">
      <c r="A226" s="579">
        <v>112.0</v>
      </c>
      <c r="B226" s="580" t="s">
        <v>1107</v>
      </c>
      <c r="C226" s="598">
        <v>46189.0</v>
      </c>
      <c r="D226" s="581">
        <v>46189.0</v>
      </c>
      <c r="E226" s="599"/>
      <c r="F226" s="580" t="s">
        <v>1108</v>
      </c>
      <c r="G226" s="589" t="s">
        <v>1618</v>
      </c>
      <c r="H226" s="589" t="s">
        <v>1618</v>
      </c>
      <c r="I226" s="580" t="s">
        <v>1168</v>
      </c>
      <c r="J226" s="580" t="s">
        <v>1619</v>
      </c>
      <c r="K226" s="580" t="s">
        <v>265</v>
      </c>
      <c r="L226" s="582">
        <v>5000.0</v>
      </c>
      <c r="M226" s="582">
        <v>5000.0</v>
      </c>
      <c r="N226" s="582">
        <v>5000.0</v>
      </c>
      <c r="O226" s="580" t="s">
        <v>1620</v>
      </c>
      <c r="P226" s="582">
        <v>0.0</v>
      </c>
      <c r="Q226" s="584"/>
      <c r="R226" s="584"/>
      <c r="S226" s="584"/>
      <c r="T226" s="584"/>
      <c r="U226" s="584"/>
      <c r="V226" s="584"/>
      <c r="W226" s="584"/>
      <c r="X226" s="584"/>
      <c r="Y226" s="584"/>
      <c r="Z226" s="584"/>
      <c r="AA226" s="584"/>
      <c r="AB226" s="584"/>
      <c r="AC226" s="584"/>
      <c r="AD226" s="584"/>
      <c r="AE226" s="584"/>
      <c r="AF226" s="584"/>
    </row>
    <row r="227" ht="14.25" customHeight="1">
      <c r="A227" s="579">
        <v>113.0</v>
      </c>
      <c r="B227" s="580" t="s">
        <v>1107</v>
      </c>
      <c r="C227" s="598">
        <v>46189.0</v>
      </c>
      <c r="D227" s="581">
        <v>46189.0</v>
      </c>
      <c r="E227" s="599"/>
      <c r="F227" s="580" t="s">
        <v>1108</v>
      </c>
      <c r="G227" s="589" t="s">
        <v>1621</v>
      </c>
      <c r="H227" s="589" t="s">
        <v>1621</v>
      </c>
      <c r="I227" s="580" t="s">
        <v>1168</v>
      </c>
      <c r="J227" s="580" t="s">
        <v>1622</v>
      </c>
      <c r="K227" s="580" t="s">
        <v>265</v>
      </c>
      <c r="L227" s="582">
        <v>16778.7</v>
      </c>
      <c r="M227" s="582">
        <v>16778.7</v>
      </c>
      <c r="N227" s="582">
        <v>16778.7</v>
      </c>
      <c r="O227" s="580" t="s">
        <v>1623</v>
      </c>
      <c r="P227" s="582">
        <v>0.0</v>
      </c>
      <c r="Q227" s="584"/>
      <c r="R227" s="584"/>
      <c r="S227" s="584"/>
      <c r="T227" s="584"/>
      <c r="U227" s="584"/>
      <c r="V227" s="584"/>
      <c r="W227" s="584"/>
      <c r="X227" s="584"/>
      <c r="Y227" s="584"/>
      <c r="Z227" s="584"/>
      <c r="AA227" s="584"/>
      <c r="AB227" s="584"/>
      <c r="AC227" s="584"/>
      <c r="AD227" s="584"/>
      <c r="AE227" s="584"/>
      <c r="AF227" s="584"/>
    </row>
    <row r="228" ht="14.25" customHeight="1">
      <c r="A228" s="579">
        <v>114.0</v>
      </c>
      <c r="B228" s="580" t="s">
        <v>1107</v>
      </c>
      <c r="C228" s="598">
        <v>46189.0</v>
      </c>
      <c r="D228" s="581">
        <v>46189.0</v>
      </c>
      <c r="E228" s="599"/>
      <c r="F228" s="580" t="s">
        <v>1108</v>
      </c>
      <c r="G228" s="589" t="s">
        <v>1624</v>
      </c>
      <c r="H228" s="589" t="s">
        <v>1625</v>
      </c>
      <c r="I228" s="580" t="s">
        <v>1168</v>
      </c>
      <c r="J228" s="580" t="s">
        <v>1626</v>
      </c>
      <c r="K228" s="580" t="s">
        <v>265</v>
      </c>
      <c r="L228" s="582">
        <v>21073.03</v>
      </c>
      <c r="M228" s="582">
        <v>21073.03</v>
      </c>
      <c r="N228" s="582">
        <v>21073.03</v>
      </c>
      <c r="O228" s="580" t="s">
        <v>1627</v>
      </c>
      <c r="P228" s="582">
        <v>0.0</v>
      </c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  <c r="AA228" s="584"/>
      <c r="AB228" s="584"/>
      <c r="AC228" s="584"/>
      <c r="AD228" s="584"/>
      <c r="AE228" s="584"/>
      <c r="AF228" s="584"/>
    </row>
    <row r="229" ht="14.25" customHeight="1">
      <c r="A229" s="579">
        <v>116.0</v>
      </c>
      <c r="B229" s="580" t="s">
        <v>1107</v>
      </c>
      <c r="C229" s="598">
        <v>46189.0</v>
      </c>
      <c r="D229" s="581">
        <v>46189.0</v>
      </c>
      <c r="E229" s="599"/>
      <c r="F229" s="580" t="s">
        <v>1108</v>
      </c>
      <c r="G229" s="589" t="s">
        <v>1628</v>
      </c>
      <c r="H229" s="589" t="s">
        <v>1628</v>
      </c>
      <c r="I229" s="580" t="s">
        <v>1168</v>
      </c>
      <c r="J229" s="580" t="s">
        <v>1629</v>
      </c>
      <c r="K229" s="580" t="s">
        <v>265</v>
      </c>
      <c r="L229" s="582">
        <v>21068.21</v>
      </c>
      <c r="M229" s="582">
        <v>21068.21</v>
      </c>
      <c r="N229" s="582">
        <v>21068.21</v>
      </c>
      <c r="O229" s="580" t="s">
        <v>1630</v>
      </c>
      <c r="P229" s="582">
        <v>0.0</v>
      </c>
      <c r="Q229" s="584"/>
      <c r="R229" s="584"/>
      <c r="S229" s="584"/>
      <c r="T229" s="584"/>
      <c r="U229" s="584"/>
      <c r="V229" s="584"/>
      <c r="W229" s="584"/>
      <c r="X229" s="584"/>
      <c r="Y229" s="584"/>
      <c r="Z229" s="584"/>
      <c r="AA229" s="584"/>
      <c r="AB229" s="584"/>
      <c r="AC229" s="584"/>
      <c r="AD229" s="584"/>
      <c r="AE229" s="584"/>
      <c r="AF229" s="584"/>
    </row>
    <row r="230" ht="14.25" customHeight="1">
      <c r="A230" s="579">
        <v>117.0</v>
      </c>
      <c r="B230" s="580" t="s">
        <v>1107</v>
      </c>
      <c r="C230" s="598">
        <v>46189.0</v>
      </c>
      <c r="D230" s="581">
        <v>46189.0</v>
      </c>
      <c r="E230" s="599"/>
      <c r="F230" s="580" t="s">
        <v>1108</v>
      </c>
      <c r="G230" s="589" t="s">
        <v>1631</v>
      </c>
      <c r="H230" s="589" t="s">
        <v>1631</v>
      </c>
      <c r="I230" s="580" t="s">
        <v>1168</v>
      </c>
      <c r="J230" s="580" t="s">
        <v>1632</v>
      </c>
      <c r="K230" s="580" t="s">
        <v>265</v>
      </c>
      <c r="L230" s="582">
        <v>1000.0</v>
      </c>
      <c r="M230" s="582">
        <v>1000.0</v>
      </c>
      <c r="N230" s="582">
        <v>1000.0</v>
      </c>
      <c r="O230" s="580" t="s">
        <v>1633</v>
      </c>
      <c r="P230" s="582">
        <v>0.0</v>
      </c>
      <c r="Q230" s="584"/>
      <c r="R230" s="584"/>
      <c r="S230" s="584"/>
      <c r="T230" s="584"/>
      <c r="U230" s="584"/>
      <c r="V230" s="584"/>
      <c r="W230" s="584"/>
      <c r="X230" s="584"/>
      <c r="Y230" s="584"/>
      <c r="Z230" s="584"/>
      <c r="AA230" s="584"/>
      <c r="AB230" s="584"/>
      <c r="AC230" s="584"/>
      <c r="AD230" s="584"/>
      <c r="AE230" s="584"/>
      <c r="AF230" s="584"/>
    </row>
    <row r="231" ht="14.25" customHeight="1">
      <c r="A231" s="579">
        <v>119.0</v>
      </c>
      <c r="B231" s="580" t="s">
        <v>1107</v>
      </c>
      <c r="C231" s="598">
        <v>46189.0</v>
      </c>
      <c r="D231" s="581">
        <v>46189.0</v>
      </c>
      <c r="E231" s="599"/>
      <c r="F231" s="580" t="s">
        <v>1108</v>
      </c>
      <c r="G231" s="589" t="s">
        <v>1634</v>
      </c>
      <c r="H231" s="589" t="s">
        <v>1634</v>
      </c>
      <c r="I231" s="580" t="s">
        <v>1168</v>
      </c>
      <c r="J231" s="580" t="s">
        <v>1635</v>
      </c>
      <c r="K231" s="580" t="s">
        <v>265</v>
      </c>
      <c r="L231" s="582">
        <v>1355.71</v>
      </c>
      <c r="M231" s="582">
        <v>1355.71</v>
      </c>
      <c r="N231" s="582">
        <v>1355.71</v>
      </c>
      <c r="O231" s="580" t="s">
        <v>1636</v>
      </c>
      <c r="P231" s="582">
        <v>0.0</v>
      </c>
      <c r="Q231" s="584"/>
      <c r="R231" s="584"/>
      <c r="S231" s="584"/>
      <c r="T231" s="584"/>
      <c r="U231" s="584"/>
      <c r="V231" s="584"/>
      <c r="W231" s="584"/>
      <c r="X231" s="584"/>
      <c r="Y231" s="584"/>
      <c r="Z231" s="584"/>
      <c r="AA231" s="584"/>
      <c r="AB231" s="584"/>
      <c r="AC231" s="584"/>
      <c r="AD231" s="584"/>
      <c r="AE231" s="584"/>
      <c r="AF231" s="584"/>
    </row>
    <row r="232" ht="14.25" customHeight="1">
      <c r="A232" s="579">
        <v>120.0</v>
      </c>
      <c r="B232" s="580" t="s">
        <v>1107</v>
      </c>
      <c r="C232" s="598">
        <v>46189.0</v>
      </c>
      <c r="D232" s="581">
        <v>46189.0</v>
      </c>
      <c r="E232" s="599"/>
      <c r="F232" s="580" t="s">
        <v>1108</v>
      </c>
      <c r="G232" s="589" t="s">
        <v>1637</v>
      </c>
      <c r="H232" s="589" t="s">
        <v>1637</v>
      </c>
      <c r="I232" s="580" t="s">
        <v>1168</v>
      </c>
      <c r="J232" s="580" t="s">
        <v>1638</v>
      </c>
      <c r="K232" s="580" t="s">
        <v>265</v>
      </c>
      <c r="L232" s="582">
        <v>20364.43</v>
      </c>
      <c r="M232" s="582">
        <v>20364.43</v>
      </c>
      <c r="N232" s="582">
        <v>20364.43</v>
      </c>
      <c r="O232" s="580" t="s">
        <v>1639</v>
      </c>
      <c r="P232" s="582">
        <v>0.0</v>
      </c>
      <c r="Q232" s="584"/>
      <c r="R232" s="584"/>
      <c r="S232" s="584"/>
      <c r="T232" s="584"/>
      <c r="U232" s="584"/>
      <c r="V232" s="584"/>
      <c r="W232" s="584"/>
      <c r="X232" s="584"/>
      <c r="Y232" s="584"/>
      <c r="Z232" s="584"/>
      <c r="AA232" s="584"/>
      <c r="AB232" s="584"/>
      <c r="AC232" s="584"/>
      <c r="AD232" s="584"/>
      <c r="AE232" s="584"/>
      <c r="AF232" s="584"/>
    </row>
    <row r="233" ht="14.25" customHeight="1">
      <c r="A233" s="579">
        <v>121.0</v>
      </c>
      <c r="B233" s="580" t="s">
        <v>1107</v>
      </c>
      <c r="C233" s="598">
        <v>46189.0</v>
      </c>
      <c r="D233" s="581">
        <v>46189.0</v>
      </c>
      <c r="E233" s="599"/>
      <c r="F233" s="580" t="s">
        <v>1108</v>
      </c>
      <c r="G233" s="589" t="s">
        <v>1640</v>
      </c>
      <c r="H233" s="589" t="s">
        <v>1640</v>
      </c>
      <c r="I233" s="580" t="s">
        <v>1168</v>
      </c>
      <c r="J233" s="580" t="s">
        <v>1641</v>
      </c>
      <c r="K233" s="580" t="s">
        <v>265</v>
      </c>
      <c r="L233" s="582">
        <v>19038.75</v>
      </c>
      <c r="M233" s="582">
        <v>19038.75</v>
      </c>
      <c r="N233" s="582">
        <v>19038.75</v>
      </c>
      <c r="O233" s="580" t="s">
        <v>1642</v>
      </c>
      <c r="P233" s="582">
        <v>0.0</v>
      </c>
      <c r="Q233" s="584"/>
      <c r="R233" s="584"/>
      <c r="S233" s="584"/>
      <c r="T233" s="584"/>
      <c r="U233" s="584"/>
      <c r="V233" s="584"/>
      <c r="W233" s="584"/>
      <c r="X233" s="584"/>
      <c r="Y233" s="584"/>
      <c r="Z233" s="584"/>
      <c r="AA233" s="584"/>
      <c r="AB233" s="584"/>
      <c r="AC233" s="584"/>
      <c r="AD233" s="584"/>
      <c r="AE233" s="584"/>
      <c r="AF233" s="584"/>
    </row>
    <row r="234" ht="14.25" customHeight="1">
      <c r="A234" s="579">
        <v>122.0</v>
      </c>
      <c r="B234" s="580" t="s">
        <v>1107</v>
      </c>
      <c r="C234" s="598">
        <v>46189.0</v>
      </c>
      <c r="D234" s="581">
        <v>46189.0</v>
      </c>
      <c r="E234" s="599"/>
      <c r="F234" s="580" t="s">
        <v>1108</v>
      </c>
      <c r="G234" s="596" t="s">
        <v>1643</v>
      </c>
      <c r="H234" s="596" t="s">
        <v>1643</v>
      </c>
      <c r="I234" s="580" t="s">
        <v>1168</v>
      </c>
      <c r="J234" s="580" t="s">
        <v>1644</v>
      </c>
      <c r="K234" s="580" t="s">
        <v>265</v>
      </c>
      <c r="L234" s="582">
        <v>25153.6</v>
      </c>
      <c r="M234" s="582">
        <v>25153.6</v>
      </c>
      <c r="N234" s="582">
        <v>25153.6</v>
      </c>
      <c r="O234" s="580" t="s">
        <v>1645</v>
      </c>
      <c r="P234" s="582">
        <v>0.0</v>
      </c>
      <c r="Q234" s="584"/>
      <c r="R234" s="584"/>
      <c r="S234" s="584"/>
      <c r="T234" s="584"/>
      <c r="U234" s="584"/>
      <c r="V234" s="584"/>
      <c r="W234" s="584"/>
      <c r="X234" s="584"/>
      <c r="Y234" s="584"/>
      <c r="Z234" s="584"/>
      <c r="AA234" s="584"/>
      <c r="AB234" s="584"/>
      <c r="AC234" s="584"/>
      <c r="AD234" s="584"/>
      <c r="AE234" s="584"/>
      <c r="AF234" s="584"/>
    </row>
    <row r="235" ht="14.25" customHeight="1">
      <c r="A235" s="579">
        <v>123.0</v>
      </c>
      <c r="B235" s="580" t="s">
        <v>1107</v>
      </c>
      <c r="C235" s="598">
        <v>46189.0</v>
      </c>
      <c r="D235" s="581">
        <v>46189.0</v>
      </c>
      <c r="E235" s="599"/>
      <c r="F235" s="580" t="s">
        <v>1108</v>
      </c>
      <c r="G235" s="596" t="s">
        <v>1646</v>
      </c>
      <c r="H235" s="596" t="s">
        <v>1646</v>
      </c>
      <c r="I235" s="580" t="s">
        <v>1168</v>
      </c>
      <c r="J235" s="580" t="s">
        <v>1647</v>
      </c>
      <c r="K235" s="580" t="s">
        <v>265</v>
      </c>
      <c r="L235" s="582">
        <v>12832.36</v>
      </c>
      <c r="M235" s="582">
        <v>12832.36</v>
      </c>
      <c r="N235" s="582">
        <v>12832.36</v>
      </c>
      <c r="O235" s="580" t="s">
        <v>1648</v>
      </c>
      <c r="P235" s="582">
        <v>0.0</v>
      </c>
      <c r="Q235" s="584"/>
      <c r="R235" s="584"/>
      <c r="S235" s="584"/>
      <c r="T235" s="584"/>
      <c r="U235" s="584"/>
      <c r="V235" s="584"/>
      <c r="W235" s="584"/>
      <c r="X235" s="584"/>
      <c r="Y235" s="584"/>
      <c r="Z235" s="584"/>
      <c r="AA235" s="584"/>
      <c r="AB235" s="584"/>
      <c r="AC235" s="584"/>
      <c r="AD235" s="584"/>
      <c r="AE235" s="584"/>
      <c r="AF235" s="584"/>
    </row>
    <row r="236" ht="14.25" customHeight="1">
      <c r="A236" s="579">
        <v>124.0</v>
      </c>
      <c r="B236" s="580" t="s">
        <v>1107</v>
      </c>
      <c r="C236" s="598">
        <v>46189.0</v>
      </c>
      <c r="D236" s="581">
        <v>46189.0</v>
      </c>
      <c r="E236" s="599"/>
      <c r="F236" s="580" t="s">
        <v>1108</v>
      </c>
      <c r="G236" s="596" t="s">
        <v>1649</v>
      </c>
      <c r="H236" s="596" t="s">
        <v>1649</v>
      </c>
      <c r="I236" s="580" t="s">
        <v>1168</v>
      </c>
      <c r="J236" s="580" t="s">
        <v>1650</v>
      </c>
      <c r="K236" s="580" t="s">
        <v>265</v>
      </c>
      <c r="L236" s="582">
        <v>9000.0</v>
      </c>
      <c r="M236" s="582">
        <v>9000.0</v>
      </c>
      <c r="N236" s="582">
        <v>9000.0</v>
      </c>
      <c r="O236" s="580" t="s">
        <v>1651</v>
      </c>
      <c r="P236" s="582">
        <v>0.0</v>
      </c>
      <c r="Q236" s="584"/>
      <c r="R236" s="584"/>
      <c r="S236" s="584"/>
      <c r="T236" s="584"/>
      <c r="U236" s="584"/>
      <c r="V236" s="584"/>
      <c r="W236" s="584"/>
      <c r="X236" s="584"/>
      <c r="Y236" s="584"/>
      <c r="Z236" s="584"/>
      <c r="AA236" s="584"/>
      <c r="AB236" s="584"/>
      <c r="AC236" s="584"/>
      <c r="AD236" s="584"/>
      <c r="AE236" s="584"/>
      <c r="AF236" s="584"/>
    </row>
    <row r="237" ht="14.25" customHeight="1">
      <c r="A237" s="579">
        <v>127.0</v>
      </c>
      <c r="B237" s="580" t="s">
        <v>1107</v>
      </c>
      <c r="C237" s="598">
        <v>46189.0</v>
      </c>
      <c r="D237" s="581">
        <v>46189.0</v>
      </c>
      <c r="E237" s="599"/>
      <c r="F237" s="580" t="s">
        <v>1108</v>
      </c>
      <c r="G237" s="596" t="s">
        <v>1652</v>
      </c>
      <c r="H237" s="596" t="s">
        <v>1652</v>
      </c>
      <c r="I237" s="580" t="s">
        <v>1168</v>
      </c>
      <c r="J237" s="580" t="s">
        <v>1653</v>
      </c>
      <c r="K237" s="580" t="s">
        <v>265</v>
      </c>
      <c r="L237" s="582">
        <v>20000.0</v>
      </c>
      <c r="M237" s="582">
        <v>20000.0</v>
      </c>
      <c r="N237" s="582">
        <v>20000.0</v>
      </c>
      <c r="O237" s="580" t="s">
        <v>1654</v>
      </c>
      <c r="P237" s="582">
        <v>0.0</v>
      </c>
      <c r="Q237" s="584"/>
      <c r="R237" s="584"/>
      <c r="S237" s="584"/>
      <c r="T237" s="584"/>
      <c r="U237" s="584"/>
      <c r="V237" s="584"/>
      <c r="W237" s="584"/>
      <c r="X237" s="584"/>
      <c r="Y237" s="584"/>
      <c r="Z237" s="584"/>
      <c r="AA237" s="584"/>
      <c r="AB237" s="584"/>
      <c r="AC237" s="584"/>
      <c r="AD237" s="584"/>
      <c r="AE237" s="584"/>
      <c r="AF237" s="584"/>
    </row>
    <row r="238" ht="14.25" customHeight="1">
      <c r="A238" s="579">
        <v>128.0</v>
      </c>
      <c r="B238" s="580" t="s">
        <v>1107</v>
      </c>
      <c r="C238" s="598">
        <v>46189.0</v>
      </c>
      <c r="D238" s="581">
        <v>46189.0</v>
      </c>
      <c r="E238" s="599"/>
      <c r="F238" s="580" t="s">
        <v>1108</v>
      </c>
      <c r="G238" s="596" t="s">
        <v>1655</v>
      </c>
      <c r="H238" s="596" t="s">
        <v>1655</v>
      </c>
      <c r="I238" s="580" t="s">
        <v>1168</v>
      </c>
      <c r="J238" s="580" t="s">
        <v>1656</v>
      </c>
      <c r="K238" s="580" t="s">
        <v>265</v>
      </c>
      <c r="L238" s="582">
        <v>20978.44</v>
      </c>
      <c r="M238" s="582">
        <v>20978.44</v>
      </c>
      <c r="N238" s="582">
        <v>20978.44</v>
      </c>
      <c r="O238" s="580" t="s">
        <v>1657</v>
      </c>
      <c r="P238" s="582">
        <v>0.0</v>
      </c>
      <c r="Q238" s="584"/>
      <c r="R238" s="584"/>
      <c r="S238" s="584"/>
      <c r="T238" s="584"/>
      <c r="U238" s="584"/>
      <c r="V238" s="584"/>
      <c r="W238" s="584"/>
      <c r="X238" s="584"/>
      <c r="Y238" s="584"/>
      <c r="Z238" s="584"/>
      <c r="AA238" s="584"/>
      <c r="AB238" s="584"/>
      <c r="AC238" s="584"/>
      <c r="AD238" s="584"/>
      <c r="AE238" s="584"/>
      <c r="AF238" s="584"/>
    </row>
    <row r="239" ht="14.25" customHeight="1">
      <c r="A239" s="579">
        <v>129.0</v>
      </c>
      <c r="B239" s="580" t="s">
        <v>1107</v>
      </c>
      <c r="C239" s="598">
        <v>46189.0</v>
      </c>
      <c r="D239" s="581">
        <v>46189.0</v>
      </c>
      <c r="E239" s="599"/>
      <c r="F239" s="580" t="s">
        <v>1108</v>
      </c>
      <c r="G239" s="589" t="s">
        <v>1658</v>
      </c>
      <c r="H239" s="589" t="s">
        <v>1658</v>
      </c>
      <c r="I239" s="580" t="s">
        <v>1168</v>
      </c>
      <c r="J239" s="580" t="s">
        <v>1659</v>
      </c>
      <c r="K239" s="580" t="s">
        <v>265</v>
      </c>
      <c r="L239" s="582">
        <v>14889.48</v>
      </c>
      <c r="M239" s="582">
        <v>14889.48</v>
      </c>
      <c r="N239" s="582">
        <v>14889.48</v>
      </c>
      <c r="O239" s="580" t="s">
        <v>1660</v>
      </c>
      <c r="P239" s="582">
        <v>0.0</v>
      </c>
      <c r="Q239" s="584"/>
      <c r="R239" s="584"/>
      <c r="S239" s="584"/>
      <c r="T239" s="584"/>
      <c r="U239" s="584"/>
      <c r="V239" s="584"/>
      <c r="W239" s="584"/>
      <c r="X239" s="584"/>
      <c r="Y239" s="584"/>
      <c r="Z239" s="584"/>
      <c r="AA239" s="584"/>
      <c r="AB239" s="584"/>
      <c r="AC239" s="584"/>
      <c r="AD239" s="584"/>
      <c r="AE239" s="584"/>
      <c r="AF239" s="584"/>
    </row>
    <row r="240" ht="14.25" customHeight="1">
      <c r="A240" s="579">
        <v>130.0</v>
      </c>
      <c r="B240" s="580" t="s">
        <v>1107</v>
      </c>
      <c r="C240" s="598">
        <v>46189.0</v>
      </c>
      <c r="D240" s="581">
        <v>46189.0</v>
      </c>
      <c r="E240" s="599"/>
      <c r="F240" s="580" t="s">
        <v>1108</v>
      </c>
      <c r="G240" s="596" t="s">
        <v>1661</v>
      </c>
      <c r="H240" s="596" t="s">
        <v>1661</v>
      </c>
      <c r="I240" s="580" t="s">
        <v>1168</v>
      </c>
      <c r="J240" s="580" t="s">
        <v>1662</v>
      </c>
      <c r="K240" s="580" t="s">
        <v>265</v>
      </c>
      <c r="L240" s="582">
        <v>8059.3</v>
      </c>
      <c r="M240" s="582">
        <v>8059.3</v>
      </c>
      <c r="N240" s="585">
        <v>8059.3</v>
      </c>
      <c r="O240" s="580" t="s">
        <v>1663</v>
      </c>
      <c r="P240" s="582">
        <v>0.0</v>
      </c>
      <c r="Q240" s="584"/>
      <c r="R240" s="584"/>
      <c r="S240" s="584"/>
      <c r="T240" s="584"/>
      <c r="U240" s="584"/>
      <c r="V240" s="584"/>
      <c r="W240" s="584"/>
      <c r="X240" s="584"/>
      <c r="Y240" s="584"/>
      <c r="Z240" s="584"/>
      <c r="AA240" s="584"/>
      <c r="AB240" s="584"/>
      <c r="AC240" s="584"/>
      <c r="AD240" s="584"/>
      <c r="AE240" s="584"/>
      <c r="AF240" s="584"/>
    </row>
    <row r="241" ht="14.25" customHeight="1">
      <c r="A241" s="579">
        <v>132.0</v>
      </c>
      <c r="B241" s="580" t="s">
        <v>1107</v>
      </c>
      <c r="C241" s="598">
        <v>46189.0</v>
      </c>
      <c r="D241" s="581">
        <v>46189.0</v>
      </c>
      <c r="E241" s="599"/>
      <c r="F241" s="580" t="s">
        <v>1108</v>
      </c>
      <c r="G241" s="596" t="s">
        <v>1664</v>
      </c>
      <c r="H241" s="596" t="s">
        <v>1664</v>
      </c>
      <c r="I241" s="580" t="s">
        <v>1168</v>
      </c>
      <c r="J241" s="580" t="s">
        <v>1665</v>
      </c>
      <c r="K241" s="580" t="s">
        <v>265</v>
      </c>
      <c r="L241" s="582">
        <v>63796.02</v>
      </c>
      <c r="M241" s="582">
        <v>63796.02</v>
      </c>
      <c r="N241" s="585">
        <v>63796.02</v>
      </c>
      <c r="O241" s="580" t="s">
        <v>1666</v>
      </c>
      <c r="P241" s="582">
        <v>0.0</v>
      </c>
      <c r="Q241" s="584"/>
      <c r="R241" s="584"/>
      <c r="S241" s="584"/>
      <c r="T241" s="584"/>
      <c r="U241" s="584"/>
      <c r="V241" s="584"/>
      <c r="W241" s="584"/>
      <c r="X241" s="584"/>
      <c r="Y241" s="584"/>
      <c r="Z241" s="584"/>
      <c r="AA241" s="584"/>
      <c r="AB241" s="584"/>
      <c r="AC241" s="584"/>
      <c r="AD241" s="584"/>
      <c r="AE241" s="584"/>
      <c r="AF241" s="584"/>
    </row>
    <row r="242" ht="14.25" customHeight="1">
      <c r="A242" s="579">
        <v>133.0</v>
      </c>
      <c r="B242" s="580" t="s">
        <v>1107</v>
      </c>
      <c r="C242" s="598">
        <v>46189.0</v>
      </c>
      <c r="D242" s="581">
        <v>46189.0</v>
      </c>
      <c r="E242" s="599"/>
      <c r="F242" s="580" t="s">
        <v>1108</v>
      </c>
      <c r="G242" s="596" t="s">
        <v>1667</v>
      </c>
      <c r="H242" s="596" t="s">
        <v>1667</v>
      </c>
      <c r="I242" s="580" t="s">
        <v>1168</v>
      </c>
      <c r="J242" s="580" t="s">
        <v>1668</v>
      </c>
      <c r="K242" s="580" t="s">
        <v>265</v>
      </c>
      <c r="L242" s="582">
        <v>21791.12</v>
      </c>
      <c r="M242" s="582">
        <v>21791.12</v>
      </c>
      <c r="N242" s="582">
        <v>21791.12</v>
      </c>
      <c r="O242" s="580" t="s">
        <v>1669</v>
      </c>
      <c r="P242" s="582">
        <v>0.0</v>
      </c>
      <c r="Q242" s="584"/>
      <c r="R242" s="584"/>
      <c r="S242" s="584"/>
      <c r="T242" s="584"/>
      <c r="U242" s="584"/>
      <c r="V242" s="584"/>
      <c r="W242" s="584"/>
      <c r="X242" s="584"/>
      <c r="Y242" s="584"/>
      <c r="Z242" s="584"/>
      <c r="AA242" s="584"/>
      <c r="AB242" s="584"/>
      <c r="AC242" s="584"/>
      <c r="AD242" s="584"/>
      <c r="AE242" s="584"/>
      <c r="AF242" s="584"/>
    </row>
    <row r="243" ht="14.25" customHeight="1">
      <c r="A243" s="579">
        <v>135.0</v>
      </c>
      <c r="B243" s="580" t="s">
        <v>1107</v>
      </c>
      <c r="C243" s="598">
        <v>46189.0</v>
      </c>
      <c r="D243" s="581">
        <v>46189.0</v>
      </c>
      <c r="E243" s="599"/>
      <c r="F243" s="580" t="s">
        <v>1108</v>
      </c>
      <c r="G243" s="596" t="s">
        <v>1670</v>
      </c>
      <c r="H243" s="596" t="s">
        <v>1670</v>
      </c>
      <c r="I243" s="580" t="s">
        <v>1168</v>
      </c>
      <c r="J243" s="580" t="s">
        <v>1671</v>
      </c>
      <c r="K243" s="580" t="s">
        <v>265</v>
      </c>
      <c r="L243" s="582">
        <v>20087.91</v>
      </c>
      <c r="M243" s="582">
        <v>20087.91</v>
      </c>
      <c r="N243" s="582">
        <v>20087.91</v>
      </c>
      <c r="O243" s="580" t="s">
        <v>1672</v>
      </c>
      <c r="P243" s="582">
        <v>0.0</v>
      </c>
      <c r="Q243" s="584"/>
      <c r="R243" s="584"/>
      <c r="S243" s="584"/>
      <c r="T243" s="584"/>
      <c r="U243" s="584"/>
      <c r="V243" s="584"/>
      <c r="W243" s="584"/>
      <c r="X243" s="584"/>
      <c r="Y243" s="584"/>
      <c r="Z243" s="584"/>
      <c r="AA243" s="584"/>
      <c r="AB243" s="584"/>
      <c r="AC243" s="584"/>
      <c r="AD243" s="584"/>
      <c r="AE243" s="584"/>
      <c r="AF243" s="584"/>
    </row>
    <row r="244" ht="14.25" customHeight="1">
      <c r="A244" s="579">
        <v>136.0</v>
      </c>
      <c r="B244" s="580" t="s">
        <v>1107</v>
      </c>
      <c r="C244" s="598">
        <v>46189.0</v>
      </c>
      <c r="D244" s="581">
        <v>46189.0</v>
      </c>
      <c r="E244" s="599"/>
      <c r="F244" s="580" t="s">
        <v>1108</v>
      </c>
      <c r="G244" s="596" t="s">
        <v>1673</v>
      </c>
      <c r="H244" s="596" t="s">
        <v>1673</v>
      </c>
      <c r="I244" s="580" t="s">
        <v>1168</v>
      </c>
      <c r="J244" s="580" t="s">
        <v>1674</v>
      </c>
      <c r="K244" s="580" t="s">
        <v>265</v>
      </c>
      <c r="L244" s="582">
        <v>27775.29</v>
      </c>
      <c r="M244" s="582">
        <v>27775.29</v>
      </c>
      <c r="N244" s="582">
        <v>27775.29</v>
      </c>
      <c r="O244" s="580" t="s">
        <v>1675</v>
      </c>
      <c r="P244" s="582">
        <v>0.0</v>
      </c>
      <c r="Q244" s="584"/>
      <c r="R244" s="584"/>
      <c r="S244" s="584"/>
      <c r="T244" s="584"/>
      <c r="U244" s="584"/>
      <c r="V244" s="584"/>
      <c r="W244" s="584"/>
      <c r="X244" s="584"/>
      <c r="Y244" s="584"/>
      <c r="Z244" s="584"/>
      <c r="AA244" s="584"/>
      <c r="AB244" s="584"/>
      <c r="AC244" s="584"/>
      <c r="AD244" s="584"/>
      <c r="AE244" s="584"/>
      <c r="AF244" s="584"/>
    </row>
    <row r="245" ht="14.25" customHeight="1">
      <c r="A245" s="579">
        <v>137.0</v>
      </c>
      <c r="B245" s="580" t="s">
        <v>1107</v>
      </c>
      <c r="C245" s="598">
        <v>46189.0</v>
      </c>
      <c r="D245" s="581">
        <v>46189.0</v>
      </c>
      <c r="E245" s="599"/>
      <c r="F245" s="580" t="s">
        <v>1108</v>
      </c>
      <c r="G245" s="596" t="s">
        <v>1676</v>
      </c>
      <c r="H245" s="596" t="s">
        <v>1676</v>
      </c>
      <c r="I245" s="580" t="s">
        <v>1168</v>
      </c>
      <c r="J245" s="580" t="s">
        <v>1677</v>
      </c>
      <c r="K245" s="580" t="s">
        <v>265</v>
      </c>
      <c r="L245" s="582">
        <v>34738.52</v>
      </c>
      <c r="M245" s="582">
        <v>34738.52</v>
      </c>
      <c r="N245" s="585">
        <v>34738.52</v>
      </c>
      <c r="O245" s="580" t="s">
        <v>1678</v>
      </c>
      <c r="P245" s="582">
        <v>0.0</v>
      </c>
      <c r="Q245" s="584"/>
      <c r="R245" s="584"/>
      <c r="S245" s="584"/>
      <c r="T245" s="584"/>
      <c r="U245" s="584"/>
      <c r="V245" s="584"/>
      <c r="W245" s="584"/>
      <c r="X245" s="584"/>
      <c r="Y245" s="584"/>
      <c r="Z245" s="584"/>
      <c r="AA245" s="584"/>
      <c r="AB245" s="584"/>
      <c r="AC245" s="584"/>
      <c r="AD245" s="584"/>
      <c r="AE245" s="584"/>
      <c r="AF245" s="584"/>
    </row>
    <row r="246" ht="14.25" customHeight="1">
      <c r="A246" s="579">
        <v>139.0</v>
      </c>
      <c r="B246" s="580" t="s">
        <v>1107</v>
      </c>
      <c r="C246" s="598">
        <v>46189.0</v>
      </c>
      <c r="D246" s="581">
        <v>46189.0</v>
      </c>
      <c r="E246" s="599"/>
      <c r="F246" s="580" t="s">
        <v>1108</v>
      </c>
      <c r="G246" s="596" t="s">
        <v>1679</v>
      </c>
      <c r="H246" s="596" t="s">
        <v>1679</v>
      </c>
      <c r="I246" s="580" t="s">
        <v>1168</v>
      </c>
      <c r="J246" s="580" t="s">
        <v>1680</v>
      </c>
      <c r="K246" s="580" t="s">
        <v>265</v>
      </c>
      <c r="L246" s="582">
        <v>5786.9</v>
      </c>
      <c r="M246" s="582">
        <v>5786.9</v>
      </c>
      <c r="N246" s="582">
        <v>5786.9</v>
      </c>
      <c r="O246" s="580" t="s">
        <v>1681</v>
      </c>
      <c r="P246" s="582">
        <v>0.0</v>
      </c>
      <c r="Q246" s="584"/>
      <c r="R246" s="584"/>
      <c r="S246" s="584"/>
      <c r="T246" s="584"/>
      <c r="U246" s="584"/>
      <c r="V246" s="584"/>
      <c r="W246" s="584"/>
      <c r="X246" s="584"/>
      <c r="Y246" s="584"/>
      <c r="Z246" s="584"/>
      <c r="AA246" s="584"/>
      <c r="AB246" s="584"/>
      <c r="AC246" s="584"/>
      <c r="AD246" s="584"/>
      <c r="AE246" s="584"/>
      <c r="AF246" s="584"/>
    </row>
    <row r="247" ht="14.25" customHeight="1">
      <c r="A247" s="579">
        <v>141.0</v>
      </c>
      <c r="B247" s="580" t="s">
        <v>1107</v>
      </c>
      <c r="C247" s="598">
        <v>46189.0</v>
      </c>
      <c r="D247" s="581">
        <v>46189.0</v>
      </c>
      <c r="E247" s="599"/>
      <c r="F247" s="580" t="s">
        <v>1108</v>
      </c>
      <c r="G247" s="596" t="s">
        <v>1682</v>
      </c>
      <c r="H247" s="596" t="s">
        <v>1682</v>
      </c>
      <c r="I247" s="580" t="s">
        <v>1168</v>
      </c>
      <c r="J247" s="580" t="s">
        <v>1683</v>
      </c>
      <c r="K247" s="580" t="s">
        <v>265</v>
      </c>
      <c r="L247" s="582">
        <v>6374.77</v>
      </c>
      <c r="M247" s="582">
        <v>6374.77</v>
      </c>
      <c r="N247" s="582">
        <v>6374.77</v>
      </c>
      <c r="O247" s="580" t="s">
        <v>1684</v>
      </c>
      <c r="P247" s="582">
        <v>0.0</v>
      </c>
      <c r="Q247" s="584"/>
      <c r="R247" s="584"/>
      <c r="S247" s="584"/>
      <c r="T247" s="584"/>
      <c r="U247" s="584"/>
      <c r="V247" s="584"/>
      <c r="W247" s="584"/>
      <c r="X247" s="584"/>
      <c r="Y247" s="584"/>
      <c r="Z247" s="584"/>
      <c r="AA247" s="584"/>
      <c r="AB247" s="584"/>
      <c r="AC247" s="584"/>
      <c r="AD247" s="584"/>
      <c r="AE247" s="584"/>
      <c r="AF247" s="584"/>
    </row>
    <row r="248" ht="14.25" customHeight="1">
      <c r="A248" s="579">
        <v>142.0</v>
      </c>
      <c r="B248" s="580" t="s">
        <v>1107</v>
      </c>
      <c r="C248" s="598">
        <v>46189.0</v>
      </c>
      <c r="D248" s="581">
        <v>46189.0</v>
      </c>
      <c r="E248" s="599"/>
      <c r="F248" s="580" t="s">
        <v>1108</v>
      </c>
      <c r="G248" s="596" t="s">
        <v>1685</v>
      </c>
      <c r="H248" s="596" t="s">
        <v>1685</v>
      </c>
      <c r="I248" s="580" t="s">
        <v>1168</v>
      </c>
      <c r="J248" s="580" t="s">
        <v>1686</v>
      </c>
      <c r="K248" s="580" t="s">
        <v>265</v>
      </c>
      <c r="L248" s="582">
        <v>21627.92</v>
      </c>
      <c r="M248" s="582">
        <v>21627.92</v>
      </c>
      <c r="N248" s="582">
        <v>21627.92</v>
      </c>
      <c r="O248" s="580" t="s">
        <v>1687</v>
      </c>
      <c r="P248" s="582">
        <v>0.0</v>
      </c>
      <c r="Q248" s="584"/>
      <c r="R248" s="584"/>
      <c r="S248" s="584"/>
      <c r="T248" s="584"/>
      <c r="U248" s="584"/>
      <c r="V248" s="584"/>
      <c r="W248" s="584"/>
      <c r="X248" s="584"/>
      <c r="Y248" s="584"/>
      <c r="Z248" s="584"/>
      <c r="AA248" s="584"/>
      <c r="AB248" s="584"/>
      <c r="AC248" s="584"/>
      <c r="AD248" s="584"/>
      <c r="AE248" s="584"/>
      <c r="AF248" s="584"/>
    </row>
    <row r="249" ht="14.25" customHeight="1">
      <c r="A249" s="579">
        <v>144.0</v>
      </c>
      <c r="B249" s="580" t="s">
        <v>1107</v>
      </c>
      <c r="C249" s="598">
        <v>46189.0</v>
      </c>
      <c r="D249" s="581">
        <v>46189.0</v>
      </c>
      <c r="E249" s="599"/>
      <c r="F249" s="580" t="s">
        <v>1108</v>
      </c>
      <c r="G249" s="596">
        <v>1233221.0</v>
      </c>
      <c r="H249" s="596">
        <v>1233221.0</v>
      </c>
      <c r="I249" s="580" t="s">
        <v>1168</v>
      </c>
      <c r="J249" s="580" t="s">
        <v>1688</v>
      </c>
      <c r="K249" s="580" t="s">
        <v>265</v>
      </c>
      <c r="L249" s="582">
        <v>44141.82</v>
      </c>
      <c r="M249" s="582">
        <v>44141.82</v>
      </c>
      <c r="N249" s="582">
        <v>44141.82</v>
      </c>
      <c r="O249" s="580" t="s">
        <v>1689</v>
      </c>
      <c r="P249" s="582">
        <v>0.0</v>
      </c>
      <c r="Q249" s="584"/>
      <c r="R249" s="584"/>
      <c r="S249" s="584"/>
      <c r="T249" s="584"/>
      <c r="U249" s="584"/>
      <c r="V249" s="584"/>
      <c r="W249" s="584"/>
      <c r="X249" s="584"/>
      <c r="Y249" s="584"/>
      <c r="Z249" s="584"/>
      <c r="AA249" s="584"/>
      <c r="AB249" s="584"/>
      <c r="AC249" s="584"/>
      <c r="AD249" s="584"/>
      <c r="AE249" s="584"/>
      <c r="AF249" s="584"/>
    </row>
    <row r="250" ht="14.25" customHeight="1">
      <c r="A250" s="579">
        <v>145.0</v>
      </c>
      <c r="B250" s="580" t="s">
        <v>1107</v>
      </c>
      <c r="C250" s="598">
        <v>46189.0</v>
      </c>
      <c r="D250" s="581">
        <v>46189.0</v>
      </c>
      <c r="E250" s="599"/>
      <c r="F250" s="580" t="s">
        <v>1108</v>
      </c>
      <c r="G250" s="596" t="s">
        <v>1690</v>
      </c>
      <c r="H250" s="596" t="s">
        <v>1690</v>
      </c>
      <c r="I250" s="580" t="s">
        <v>1168</v>
      </c>
      <c r="J250" s="580" t="s">
        <v>1691</v>
      </c>
      <c r="K250" s="580" t="s">
        <v>265</v>
      </c>
      <c r="L250" s="582">
        <v>21765.67</v>
      </c>
      <c r="M250" s="582">
        <v>21765.67</v>
      </c>
      <c r="N250" s="582">
        <v>21765.67</v>
      </c>
      <c r="O250" s="580" t="s">
        <v>1692</v>
      </c>
      <c r="P250" s="582">
        <v>0.0</v>
      </c>
      <c r="Q250" s="584"/>
      <c r="R250" s="584"/>
      <c r="S250" s="584"/>
      <c r="T250" s="584"/>
      <c r="U250" s="584"/>
      <c r="V250" s="584"/>
      <c r="W250" s="584"/>
      <c r="X250" s="584"/>
      <c r="Y250" s="584"/>
      <c r="Z250" s="584"/>
      <c r="AA250" s="584"/>
      <c r="AB250" s="584"/>
      <c r="AC250" s="584"/>
      <c r="AD250" s="584"/>
      <c r="AE250" s="584"/>
      <c r="AF250" s="584"/>
    </row>
    <row r="251" ht="14.25" customHeight="1">
      <c r="A251" s="579">
        <v>146.0</v>
      </c>
      <c r="B251" s="580" t="s">
        <v>1107</v>
      </c>
      <c r="C251" s="598">
        <v>46189.0</v>
      </c>
      <c r="D251" s="581">
        <v>46189.0</v>
      </c>
      <c r="E251" s="599"/>
      <c r="F251" s="580" t="s">
        <v>1108</v>
      </c>
      <c r="G251" s="596" t="s">
        <v>1693</v>
      </c>
      <c r="H251" s="596" t="s">
        <v>1693</v>
      </c>
      <c r="I251" s="580" t="s">
        <v>1168</v>
      </c>
      <c r="J251" s="580" t="s">
        <v>1694</v>
      </c>
      <c r="K251" s="580" t="s">
        <v>265</v>
      </c>
      <c r="L251" s="582">
        <v>20656.08</v>
      </c>
      <c r="M251" s="582">
        <v>20656.08</v>
      </c>
      <c r="N251" s="582">
        <v>20656.08</v>
      </c>
      <c r="O251" s="580" t="s">
        <v>1695</v>
      </c>
      <c r="P251" s="582">
        <v>0.0</v>
      </c>
      <c r="Q251" s="584"/>
      <c r="R251" s="584"/>
      <c r="S251" s="584"/>
      <c r="T251" s="584"/>
      <c r="U251" s="584"/>
      <c r="V251" s="584"/>
      <c r="W251" s="584"/>
      <c r="X251" s="584"/>
      <c r="Y251" s="584"/>
      <c r="Z251" s="584"/>
      <c r="AA251" s="584"/>
      <c r="AB251" s="584"/>
      <c r="AC251" s="584"/>
      <c r="AD251" s="584"/>
      <c r="AE251" s="584"/>
      <c r="AF251" s="584"/>
    </row>
    <row r="252" ht="14.25" customHeight="1">
      <c r="A252" s="579">
        <v>147.0</v>
      </c>
      <c r="B252" s="580" t="s">
        <v>1107</v>
      </c>
      <c r="C252" s="598">
        <v>46189.0</v>
      </c>
      <c r="D252" s="581">
        <v>46189.0</v>
      </c>
      <c r="E252" s="599"/>
      <c r="F252" s="580" t="s">
        <v>1108</v>
      </c>
      <c r="G252" s="596" t="s">
        <v>1696</v>
      </c>
      <c r="H252" s="596" t="s">
        <v>1696</v>
      </c>
      <c r="I252" s="580" t="s">
        <v>1168</v>
      </c>
      <c r="J252" s="580" t="s">
        <v>1697</v>
      </c>
      <c r="K252" s="580" t="s">
        <v>265</v>
      </c>
      <c r="L252" s="582">
        <v>9294.18</v>
      </c>
      <c r="M252" s="582">
        <v>9294.18</v>
      </c>
      <c r="N252" s="585">
        <v>9294.18</v>
      </c>
      <c r="O252" s="580" t="s">
        <v>1698</v>
      </c>
      <c r="P252" s="582">
        <v>0.0</v>
      </c>
      <c r="Q252" s="584"/>
      <c r="R252" s="584"/>
      <c r="S252" s="584"/>
      <c r="T252" s="584"/>
      <c r="U252" s="584"/>
      <c r="V252" s="584"/>
      <c r="W252" s="584"/>
      <c r="X252" s="584"/>
      <c r="Y252" s="584"/>
      <c r="Z252" s="584"/>
      <c r="AA252" s="584"/>
      <c r="AB252" s="584"/>
      <c r="AC252" s="584"/>
      <c r="AD252" s="584"/>
      <c r="AE252" s="584"/>
      <c r="AF252" s="584"/>
    </row>
    <row r="253" ht="14.25" customHeight="1">
      <c r="A253" s="579">
        <v>148.0</v>
      </c>
      <c r="B253" s="580" t="s">
        <v>1107</v>
      </c>
      <c r="C253" s="598">
        <v>46189.0</v>
      </c>
      <c r="D253" s="581">
        <v>46189.0</v>
      </c>
      <c r="E253" s="599"/>
      <c r="F253" s="580" t="s">
        <v>1108</v>
      </c>
      <c r="G253" s="596">
        <v>3.6272418E7</v>
      </c>
      <c r="H253" s="596">
        <v>3.6272418E7</v>
      </c>
      <c r="I253" s="580" t="s">
        <v>1168</v>
      </c>
      <c r="J253" s="580" t="s">
        <v>1699</v>
      </c>
      <c r="K253" s="580" t="s">
        <v>265</v>
      </c>
      <c r="L253" s="582">
        <v>20000.0</v>
      </c>
      <c r="M253" s="582">
        <v>20000.0</v>
      </c>
      <c r="N253" s="582">
        <v>20000.0</v>
      </c>
      <c r="O253" s="580" t="s">
        <v>1700</v>
      </c>
      <c r="P253" s="582">
        <v>0.0</v>
      </c>
      <c r="Q253" s="584"/>
      <c r="R253" s="584"/>
      <c r="S253" s="584"/>
      <c r="T253" s="584"/>
      <c r="U253" s="584"/>
      <c r="V253" s="584"/>
      <c r="W253" s="584"/>
      <c r="X253" s="584"/>
      <c r="Y253" s="584"/>
      <c r="Z253" s="584"/>
      <c r="AA253" s="584"/>
      <c r="AB253" s="584"/>
      <c r="AC253" s="584"/>
      <c r="AD253" s="584"/>
      <c r="AE253" s="584"/>
      <c r="AF253" s="584"/>
    </row>
    <row r="254" ht="14.25" customHeight="1">
      <c r="A254" s="579">
        <v>149.0</v>
      </c>
      <c r="B254" s="580" t="s">
        <v>1107</v>
      </c>
      <c r="C254" s="598">
        <v>46189.0</v>
      </c>
      <c r="D254" s="581">
        <v>46189.0</v>
      </c>
      <c r="E254" s="599"/>
      <c r="F254" s="580" t="s">
        <v>1108</v>
      </c>
      <c r="G254" s="596" t="s">
        <v>1701</v>
      </c>
      <c r="H254" s="596" t="s">
        <v>1701</v>
      </c>
      <c r="I254" s="580" t="s">
        <v>1168</v>
      </c>
      <c r="J254" s="580" t="s">
        <v>1702</v>
      </c>
      <c r="K254" s="580" t="s">
        <v>265</v>
      </c>
      <c r="L254" s="582">
        <v>15000.0</v>
      </c>
      <c r="M254" s="582">
        <v>15000.0</v>
      </c>
      <c r="N254" s="582">
        <v>15000.0</v>
      </c>
      <c r="O254" s="580" t="s">
        <v>1703</v>
      </c>
      <c r="P254" s="582">
        <v>0.0</v>
      </c>
      <c r="Q254" s="584"/>
      <c r="R254" s="584"/>
      <c r="S254" s="584"/>
      <c r="T254" s="584"/>
      <c r="U254" s="584"/>
      <c r="V254" s="584"/>
      <c r="W254" s="584"/>
      <c r="X254" s="584"/>
      <c r="Y254" s="584"/>
      <c r="Z254" s="584"/>
      <c r="AA254" s="584"/>
      <c r="AB254" s="584"/>
      <c r="AC254" s="584"/>
      <c r="AD254" s="584"/>
      <c r="AE254" s="584"/>
      <c r="AF254" s="584"/>
    </row>
    <row r="255" ht="14.25" customHeight="1">
      <c r="A255" s="579">
        <v>150.0</v>
      </c>
      <c r="B255" s="580" t="s">
        <v>1107</v>
      </c>
      <c r="C255" s="598">
        <v>46189.0</v>
      </c>
      <c r="D255" s="581">
        <v>46189.0</v>
      </c>
      <c r="E255" s="599"/>
      <c r="F255" s="580" t="s">
        <v>1108</v>
      </c>
      <c r="G255" s="596" t="s">
        <v>1704</v>
      </c>
      <c r="H255" s="596" t="s">
        <v>1704</v>
      </c>
      <c r="I255" s="580" t="s">
        <v>1168</v>
      </c>
      <c r="J255" s="580" t="s">
        <v>1705</v>
      </c>
      <c r="K255" s="580" t="s">
        <v>265</v>
      </c>
      <c r="L255" s="582">
        <v>20387.76</v>
      </c>
      <c r="M255" s="582">
        <v>20387.76</v>
      </c>
      <c r="N255" s="582">
        <v>20387.76</v>
      </c>
      <c r="O255" s="580" t="s">
        <v>1706</v>
      </c>
      <c r="P255" s="582">
        <v>0.0</v>
      </c>
      <c r="Q255" s="584"/>
      <c r="R255" s="584"/>
      <c r="S255" s="584"/>
      <c r="T255" s="584"/>
      <c r="U255" s="584"/>
      <c r="V255" s="584"/>
      <c r="W255" s="584"/>
      <c r="X255" s="584"/>
      <c r="Y255" s="584"/>
      <c r="Z255" s="584"/>
      <c r="AA255" s="584"/>
      <c r="AB255" s="584"/>
      <c r="AC255" s="584"/>
      <c r="AD255" s="584"/>
      <c r="AE255" s="584"/>
      <c r="AF255" s="584"/>
    </row>
    <row r="256" ht="14.25" customHeight="1">
      <c r="A256" s="582">
        <v>152.0</v>
      </c>
      <c r="B256" s="601" t="s">
        <v>1107</v>
      </c>
      <c r="C256" s="598">
        <v>46189.0</v>
      </c>
      <c r="D256" s="581">
        <v>46189.0</v>
      </c>
      <c r="E256" s="599"/>
      <c r="F256" s="601" t="s">
        <v>1108</v>
      </c>
      <c r="G256" s="596" t="s">
        <v>1707</v>
      </c>
      <c r="H256" s="596" t="s">
        <v>1707</v>
      </c>
      <c r="I256" s="601" t="s">
        <v>1168</v>
      </c>
      <c r="J256" s="601" t="s">
        <v>1708</v>
      </c>
      <c r="K256" s="601" t="s">
        <v>265</v>
      </c>
      <c r="L256" s="582">
        <v>6.98</v>
      </c>
      <c r="M256" s="582">
        <v>6.98</v>
      </c>
      <c r="N256" s="582">
        <v>6.98</v>
      </c>
      <c r="O256" s="601" t="s">
        <v>1709</v>
      </c>
      <c r="P256" s="582">
        <v>0.0</v>
      </c>
      <c r="Q256" s="584"/>
      <c r="R256" s="584"/>
      <c r="S256" s="584"/>
      <c r="T256" s="584"/>
      <c r="U256" s="584"/>
      <c r="V256" s="584"/>
      <c r="W256" s="584"/>
      <c r="X256" s="584"/>
      <c r="Y256" s="584"/>
      <c r="Z256" s="584"/>
      <c r="AA256" s="584"/>
      <c r="AB256" s="584"/>
      <c r="AC256" s="584"/>
      <c r="AD256" s="584"/>
      <c r="AE256" s="584"/>
      <c r="AF256" s="584"/>
    </row>
    <row r="257" ht="14.25" customHeight="1">
      <c r="A257" s="582">
        <v>153.0</v>
      </c>
      <c r="B257" s="601" t="s">
        <v>1107</v>
      </c>
      <c r="C257" s="598">
        <v>46189.0</v>
      </c>
      <c r="D257" s="581">
        <v>46189.0</v>
      </c>
      <c r="E257" s="599"/>
      <c r="F257" s="601" t="s">
        <v>1108</v>
      </c>
      <c r="G257" s="596" t="s">
        <v>1710</v>
      </c>
      <c r="H257" s="596" t="s">
        <v>1711</v>
      </c>
      <c r="I257" s="601" t="s">
        <v>1168</v>
      </c>
      <c r="J257" s="601" t="s">
        <v>1712</v>
      </c>
      <c r="K257" s="601" t="s">
        <v>265</v>
      </c>
      <c r="L257" s="582">
        <v>33950.32</v>
      </c>
      <c r="M257" s="582">
        <v>33950.32</v>
      </c>
      <c r="N257" s="585">
        <v>33950.32</v>
      </c>
      <c r="O257" s="601" t="s">
        <v>1713</v>
      </c>
      <c r="P257" s="582">
        <v>0.0</v>
      </c>
      <c r="Q257" s="584"/>
      <c r="R257" s="584"/>
      <c r="S257" s="584"/>
      <c r="T257" s="584"/>
      <c r="U257" s="584"/>
      <c r="V257" s="584"/>
      <c r="W257" s="584"/>
      <c r="X257" s="584"/>
      <c r="Y257" s="584"/>
      <c r="Z257" s="584"/>
      <c r="AA257" s="584"/>
      <c r="AB257" s="584"/>
      <c r="AC257" s="584"/>
      <c r="AD257" s="584"/>
      <c r="AE257" s="584"/>
      <c r="AF257" s="584"/>
    </row>
    <row r="258" ht="14.25" customHeight="1">
      <c r="A258" s="582">
        <v>156.0</v>
      </c>
      <c r="B258" s="601" t="s">
        <v>1107</v>
      </c>
      <c r="C258" s="598">
        <v>46189.0</v>
      </c>
      <c r="D258" s="581">
        <v>46189.0</v>
      </c>
      <c r="E258" s="599"/>
      <c r="F258" s="601" t="s">
        <v>1108</v>
      </c>
      <c r="G258" s="596" t="s">
        <v>1714</v>
      </c>
      <c r="H258" s="596" t="s">
        <v>1714</v>
      </c>
      <c r="I258" s="601" t="s">
        <v>1168</v>
      </c>
      <c r="J258" s="601" t="s">
        <v>1715</v>
      </c>
      <c r="K258" s="601" t="s">
        <v>265</v>
      </c>
      <c r="L258" s="582">
        <v>22593.39</v>
      </c>
      <c r="M258" s="582">
        <v>22593.39</v>
      </c>
      <c r="N258" s="582">
        <v>22593.39</v>
      </c>
      <c r="O258" s="601" t="s">
        <v>1716</v>
      </c>
      <c r="P258" s="582">
        <v>0.0</v>
      </c>
      <c r="Q258" s="584"/>
      <c r="R258" s="584"/>
      <c r="S258" s="584"/>
      <c r="T258" s="584"/>
      <c r="U258" s="584"/>
      <c r="V258" s="584"/>
      <c r="W258" s="584"/>
      <c r="X258" s="584"/>
      <c r="Y258" s="584"/>
      <c r="Z258" s="584"/>
      <c r="AA258" s="584"/>
      <c r="AB258" s="584"/>
      <c r="AC258" s="584"/>
      <c r="AD258" s="584"/>
      <c r="AE258" s="584"/>
      <c r="AF258" s="584"/>
    </row>
    <row r="259" ht="14.25" customHeight="1">
      <c r="A259" s="582">
        <v>157.0</v>
      </c>
      <c r="B259" s="601" t="s">
        <v>1107</v>
      </c>
      <c r="C259" s="598">
        <v>46189.0</v>
      </c>
      <c r="D259" s="581">
        <v>46189.0</v>
      </c>
      <c r="E259" s="599"/>
      <c r="F259" s="601" t="s">
        <v>1108</v>
      </c>
      <c r="G259" s="596" t="s">
        <v>1717</v>
      </c>
      <c r="H259" s="596" t="s">
        <v>1717</v>
      </c>
      <c r="I259" s="601" t="s">
        <v>1168</v>
      </c>
      <c r="J259" s="601" t="s">
        <v>1718</v>
      </c>
      <c r="K259" s="601" t="s">
        <v>265</v>
      </c>
      <c r="L259" s="582">
        <v>20011.66</v>
      </c>
      <c r="M259" s="582">
        <v>20011.66</v>
      </c>
      <c r="N259" s="582">
        <v>20011.66</v>
      </c>
      <c r="O259" s="601" t="s">
        <v>1719</v>
      </c>
      <c r="P259" s="582">
        <v>0.0</v>
      </c>
      <c r="Q259" s="584"/>
      <c r="R259" s="584"/>
      <c r="S259" s="584"/>
      <c r="T259" s="584"/>
      <c r="U259" s="584"/>
      <c r="V259" s="584"/>
      <c r="W259" s="584"/>
      <c r="X259" s="584"/>
      <c r="Y259" s="584"/>
      <c r="Z259" s="584"/>
      <c r="AA259" s="584"/>
      <c r="AB259" s="584"/>
      <c r="AC259" s="584"/>
      <c r="AD259" s="584"/>
      <c r="AE259" s="584"/>
      <c r="AF259" s="584"/>
    </row>
    <row r="260" ht="14.25" customHeight="1">
      <c r="A260" s="582">
        <v>160.0</v>
      </c>
      <c r="B260" s="601" t="s">
        <v>1107</v>
      </c>
      <c r="C260" s="598">
        <v>46189.0</v>
      </c>
      <c r="D260" s="581">
        <v>46189.0</v>
      </c>
      <c r="E260" s="599"/>
      <c r="F260" s="601" t="s">
        <v>1108</v>
      </c>
      <c r="G260" s="596" t="s">
        <v>1720</v>
      </c>
      <c r="H260" s="596" t="s">
        <v>1720</v>
      </c>
      <c r="I260" s="601" t="s">
        <v>1168</v>
      </c>
      <c r="J260" s="601" t="s">
        <v>1721</v>
      </c>
      <c r="K260" s="601" t="s">
        <v>265</v>
      </c>
      <c r="L260" s="582">
        <v>21071.61</v>
      </c>
      <c r="M260" s="582">
        <v>21071.61</v>
      </c>
      <c r="N260" s="582">
        <v>21071.61</v>
      </c>
      <c r="O260" s="602" t="s">
        <v>1722</v>
      </c>
      <c r="P260" s="582">
        <v>0.0</v>
      </c>
      <c r="Q260" s="584"/>
      <c r="R260" s="584"/>
      <c r="S260" s="584"/>
      <c r="T260" s="584"/>
      <c r="U260" s="584"/>
      <c r="V260" s="584"/>
      <c r="W260" s="584"/>
      <c r="X260" s="584"/>
      <c r="Y260" s="584"/>
      <c r="Z260" s="584"/>
      <c r="AA260" s="584"/>
      <c r="AB260" s="584"/>
      <c r="AC260" s="584"/>
      <c r="AD260" s="584"/>
      <c r="AE260" s="584"/>
      <c r="AF260" s="584"/>
    </row>
    <row r="261" ht="14.25" customHeight="1">
      <c r="A261" s="582">
        <v>161.0</v>
      </c>
      <c r="B261" s="601" t="s">
        <v>1107</v>
      </c>
      <c r="C261" s="598">
        <v>46189.0</v>
      </c>
      <c r="D261" s="581">
        <v>46189.0</v>
      </c>
      <c r="E261" s="599"/>
      <c r="F261" s="601" t="s">
        <v>1108</v>
      </c>
      <c r="G261" s="596" t="s">
        <v>1723</v>
      </c>
      <c r="H261" s="596" t="s">
        <v>1723</v>
      </c>
      <c r="I261" s="601" t="s">
        <v>1168</v>
      </c>
      <c r="J261" s="601" t="s">
        <v>1724</v>
      </c>
      <c r="K261" s="601" t="s">
        <v>265</v>
      </c>
      <c r="L261" s="582">
        <v>20619.97</v>
      </c>
      <c r="M261" s="582">
        <v>20619.97</v>
      </c>
      <c r="N261" s="582">
        <v>20619.97</v>
      </c>
      <c r="O261" s="601" t="s">
        <v>1725</v>
      </c>
      <c r="P261" s="582">
        <v>0.0</v>
      </c>
      <c r="Q261" s="584"/>
      <c r="R261" s="584"/>
      <c r="S261" s="584"/>
      <c r="T261" s="584"/>
      <c r="U261" s="584"/>
      <c r="V261" s="584"/>
      <c r="W261" s="584"/>
      <c r="X261" s="584"/>
      <c r="Y261" s="584"/>
      <c r="Z261" s="584"/>
      <c r="AA261" s="584"/>
      <c r="AB261" s="584"/>
      <c r="AC261" s="584"/>
      <c r="AD261" s="584"/>
      <c r="AE261" s="584"/>
      <c r="AF261" s="584"/>
    </row>
    <row r="262" ht="14.25" customHeight="1">
      <c r="A262" s="582">
        <v>166.0</v>
      </c>
      <c r="B262" s="601" t="s">
        <v>1107</v>
      </c>
      <c r="C262" s="598">
        <v>46189.0</v>
      </c>
      <c r="D262" s="581">
        <v>46189.0</v>
      </c>
      <c r="E262" s="599"/>
      <c r="F262" s="601" t="s">
        <v>1108</v>
      </c>
      <c r="G262" s="596" t="s">
        <v>1726</v>
      </c>
      <c r="H262" s="596" t="s">
        <v>1726</v>
      </c>
      <c r="I262" s="601" t="s">
        <v>1168</v>
      </c>
      <c r="J262" s="601" t="s">
        <v>1727</v>
      </c>
      <c r="K262" s="601" t="s">
        <v>265</v>
      </c>
      <c r="L262" s="582">
        <v>21220.8</v>
      </c>
      <c r="M262" s="582">
        <v>21220.8</v>
      </c>
      <c r="N262" s="582">
        <v>21220.8</v>
      </c>
      <c r="O262" s="601" t="s">
        <v>1728</v>
      </c>
      <c r="P262" s="582">
        <v>0.0</v>
      </c>
      <c r="Q262" s="584"/>
      <c r="R262" s="584"/>
      <c r="S262" s="584"/>
      <c r="T262" s="584"/>
      <c r="U262" s="584"/>
      <c r="V262" s="584"/>
      <c r="W262" s="584"/>
      <c r="X262" s="584"/>
      <c r="Y262" s="584"/>
      <c r="Z262" s="584"/>
      <c r="AA262" s="584"/>
      <c r="AB262" s="584"/>
      <c r="AC262" s="584"/>
      <c r="AD262" s="584"/>
      <c r="AE262" s="584"/>
      <c r="AF262" s="584"/>
    </row>
    <row r="263" ht="14.25" customHeight="1">
      <c r="A263" s="582">
        <v>167.0</v>
      </c>
      <c r="B263" s="601" t="s">
        <v>1107</v>
      </c>
      <c r="C263" s="598">
        <v>46189.0</v>
      </c>
      <c r="D263" s="581">
        <v>46189.0</v>
      </c>
      <c r="E263" s="599"/>
      <c r="F263" s="601" t="s">
        <v>1108</v>
      </c>
      <c r="G263" s="596" t="s">
        <v>1729</v>
      </c>
      <c r="H263" s="596" t="s">
        <v>1729</v>
      </c>
      <c r="I263" s="601" t="s">
        <v>1168</v>
      </c>
      <c r="J263" s="601" t="s">
        <v>1730</v>
      </c>
      <c r="K263" s="601" t="s">
        <v>265</v>
      </c>
      <c r="L263" s="582">
        <v>20894.27</v>
      </c>
      <c r="M263" s="582">
        <v>20894.27</v>
      </c>
      <c r="N263" s="582">
        <v>20894.27</v>
      </c>
      <c r="O263" s="601" t="s">
        <v>1731</v>
      </c>
      <c r="P263" s="582">
        <v>0.0</v>
      </c>
      <c r="Q263" s="584"/>
      <c r="R263" s="584"/>
      <c r="S263" s="584"/>
      <c r="T263" s="584"/>
      <c r="U263" s="584"/>
      <c r="V263" s="584"/>
      <c r="W263" s="584"/>
      <c r="X263" s="584"/>
      <c r="Y263" s="584"/>
      <c r="Z263" s="584"/>
      <c r="AA263" s="584"/>
      <c r="AB263" s="584"/>
      <c r="AC263" s="584"/>
      <c r="AD263" s="584"/>
      <c r="AE263" s="584"/>
      <c r="AF263" s="584"/>
    </row>
    <row r="264" ht="14.25" customHeight="1">
      <c r="A264" s="582">
        <v>168.0</v>
      </c>
      <c r="B264" s="601" t="s">
        <v>1107</v>
      </c>
      <c r="C264" s="598">
        <v>46189.0</v>
      </c>
      <c r="D264" s="581">
        <v>46189.0</v>
      </c>
      <c r="E264" s="599"/>
      <c r="F264" s="601" t="s">
        <v>1108</v>
      </c>
      <c r="G264" s="596" t="s">
        <v>1732</v>
      </c>
      <c r="H264" s="596" t="s">
        <v>1732</v>
      </c>
      <c r="I264" s="601" t="s">
        <v>1168</v>
      </c>
      <c r="J264" s="601" t="s">
        <v>1733</v>
      </c>
      <c r="K264" s="601" t="s">
        <v>265</v>
      </c>
      <c r="L264" s="582">
        <v>20626.32</v>
      </c>
      <c r="M264" s="582">
        <v>20626.32</v>
      </c>
      <c r="N264" s="582">
        <v>20626.32</v>
      </c>
      <c r="O264" s="601" t="s">
        <v>1734</v>
      </c>
      <c r="P264" s="582">
        <v>0.0</v>
      </c>
      <c r="Q264" s="584"/>
      <c r="R264" s="584"/>
      <c r="S264" s="584"/>
      <c r="T264" s="584"/>
      <c r="U264" s="584"/>
      <c r="V264" s="584"/>
      <c r="W264" s="584"/>
      <c r="X264" s="584"/>
      <c r="Y264" s="584"/>
      <c r="Z264" s="584"/>
      <c r="AA264" s="584"/>
      <c r="AB264" s="584"/>
      <c r="AC264" s="584"/>
      <c r="AD264" s="584"/>
      <c r="AE264" s="584"/>
      <c r="AF264" s="584"/>
    </row>
    <row r="265" ht="14.25" customHeight="1">
      <c r="A265" s="582">
        <v>170.0</v>
      </c>
      <c r="B265" s="601" t="s">
        <v>1107</v>
      </c>
      <c r="C265" s="598">
        <v>46189.0</v>
      </c>
      <c r="D265" s="581">
        <v>46189.0</v>
      </c>
      <c r="E265" s="599"/>
      <c r="F265" s="601" t="s">
        <v>1108</v>
      </c>
      <c r="G265" s="596" t="s">
        <v>1735</v>
      </c>
      <c r="H265" s="596" t="s">
        <v>1735</v>
      </c>
      <c r="I265" s="601" t="s">
        <v>1168</v>
      </c>
      <c r="J265" s="601" t="s">
        <v>1736</v>
      </c>
      <c r="K265" s="601" t="s">
        <v>265</v>
      </c>
      <c r="L265" s="582">
        <v>142.46</v>
      </c>
      <c r="M265" s="582">
        <v>142.46</v>
      </c>
      <c r="N265" s="582">
        <v>142.46</v>
      </c>
      <c r="O265" s="601" t="s">
        <v>1737</v>
      </c>
      <c r="P265" s="582">
        <v>0.0</v>
      </c>
      <c r="Q265" s="584"/>
      <c r="R265" s="584"/>
      <c r="S265" s="584"/>
      <c r="T265" s="584"/>
      <c r="U265" s="584"/>
      <c r="V265" s="584"/>
      <c r="W265" s="584"/>
      <c r="X265" s="584"/>
      <c r="Y265" s="584"/>
      <c r="Z265" s="584"/>
      <c r="AA265" s="584"/>
      <c r="AB265" s="584"/>
      <c r="AC265" s="584"/>
      <c r="AD265" s="584"/>
      <c r="AE265" s="584"/>
      <c r="AF265" s="584"/>
    </row>
    <row r="266" ht="14.25" customHeight="1">
      <c r="A266" s="582">
        <v>172.0</v>
      </c>
      <c r="B266" s="601" t="s">
        <v>1107</v>
      </c>
      <c r="C266" s="598">
        <v>46189.0</v>
      </c>
      <c r="D266" s="581">
        <v>46189.0</v>
      </c>
      <c r="E266" s="599"/>
      <c r="F266" s="601" t="s">
        <v>1108</v>
      </c>
      <c r="G266" s="596" t="s">
        <v>1738</v>
      </c>
      <c r="H266" s="596" t="s">
        <v>1738</v>
      </c>
      <c r="I266" s="601" t="s">
        <v>1168</v>
      </c>
      <c r="J266" s="601" t="s">
        <v>1739</v>
      </c>
      <c r="K266" s="601" t="s">
        <v>265</v>
      </c>
      <c r="L266" s="582">
        <v>41464.02</v>
      </c>
      <c r="M266" s="582">
        <v>41464.02</v>
      </c>
      <c r="N266" s="582">
        <v>41464.02</v>
      </c>
      <c r="O266" s="601" t="s">
        <v>1740</v>
      </c>
      <c r="P266" s="582">
        <v>0.0</v>
      </c>
      <c r="Q266" s="584"/>
      <c r="R266" s="584"/>
      <c r="S266" s="584"/>
      <c r="T266" s="584"/>
      <c r="U266" s="584"/>
      <c r="V266" s="584"/>
      <c r="W266" s="584"/>
      <c r="X266" s="584"/>
      <c r="Y266" s="584"/>
      <c r="Z266" s="584"/>
      <c r="AA266" s="584"/>
      <c r="AB266" s="584"/>
      <c r="AC266" s="584"/>
      <c r="AD266" s="584"/>
      <c r="AE266" s="584"/>
      <c r="AF266" s="584"/>
    </row>
    <row r="267" ht="14.25" customHeight="1">
      <c r="A267" s="582">
        <v>173.0</v>
      </c>
      <c r="B267" s="601" t="s">
        <v>1107</v>
      </c>
      <c r="C267" s="598">
        <v>46189.0</v>
      </c>
      <c r="D267" s="581">
        <v>46189.0</v>
      </c>
      <c r="E267" s="599"/>
      <c r="F267" s="601" t="s">
        <v>1108</v>
      </c>
      <c r="G267" s="596" t="s">
        <v>1741</v>
      </c>
      <c r="H267" s="596" t="s">
        <v>1741</v>
      </c>
      <c r="I267" s="601" t="s">
        <v>1168</v>
      </c>
      <c r="J267" s="601" t="s">
        <v>1742</v>
      </c>
      <c r="K267" s="601" t="s">
        <v>265</v>
      </c>
      <c r="L267" s="582">
        <v>13205.24</v>
      </c>
      <c r="M267" s="582">
        <v>13205.24</v>
      </c>
      <c r="N267" s="582">
        <v>13205.24</v>
      </c>
      <c r="O267" s="601" t="s">
        <v>1743</v>
      </c>
      <c r="P267" s="582">
        <v>0.0</v>
      </c>
      <c r="Q267" s="584"/>
      <c r="R267" s="584"/>
      <c r="S267" s="584"/>
      <c r="T267" s="584"/>
      <c r="U267" s="584"/>
      <c r="V267" s="584"/>
      <c r="W267" s="584"/>
      <c r="X267" s="584"/>
      <c r="Y267" s="584"/>
      <c r="Z267" s="584"/>
      <c r="AA267" s="584"/>
      <c r="AB267" s="584"/>
      <c r="AC267" s="584"/>
      <c r="AD267" s="584"/>
      <c r="AE267" s="584"/>
      <c r="AF267" s="584"/>
    </row>
    <row r="268" ht="14.25" customHeight="1">
      <c r="A268" s="582">
        <v>175.0</v>
      </c>
      <c r="B268" s="601" t="s">
        <v>1107</v>
      </c>
      <c r="C268" s="598">
        <v>46189.0</v>
      </c>
      <c r="D268" s="581">
        <v>46189.0</v>
      </c>
      <c r="E268" s="599"/>
      <c r="F268" s="601" t="s">
        <v>1108</v>
      </c>
      <c r="G268" s="596" t="s">
        <v>1744</v>
      </c>
      <c r="H268" s="596" t="s">
        <v>1744</v>
      </c>
      <c r="I268" s="601" t="s">
        <v>1168</v>
      </c>
      <c r="J268" s="601" t="s">
        <v>1745</v>
      </c>
      <c r="K268" s="601" t="s">
        <v>265</v>
      </c>
      <c r="L268" s="582">
        <v>5775.33</v>
      </c>
      <c r="M268" s="582">
        <v>5775.33</v>
      </c>
      <c r="N268" s="582">
        <v>5775.33</v>
      </c>
      <c r="O268" s="601" t="s">
        <v>1746</v>
      </c>
      <c r="P268" s="582">
        <v>0.0</v>
      </c>
      <c r="Q268" s="584"/>
      <c r="R268" s="584"/>
      <c r="S268" s="584"/>
      <c r="T268" s="584"/>
      <c r="U268" s="584"/>
      <c r="V268" s="584"/>
      <c r="W268" s="584"/>
      <c r="X268" s="584"/>
      <c r="Y268" s="584"/>
      <c r="Z268" s="584"/>
      <c r="AA268" s="584"/>
      <c r="AB268" s="584"/>
      <c r="AC268" s="584"/>
      <c r="AD268" s="584"/>
      <c r="AE268" s="584"/>
      <c r="AF268" s="584"/>
    </row>
    <row r="269" ht="14.25" customHeight="1">
      <c r="A269" s="582">
        <v>177.0</v>
      </c>
      <c r="B269" s="601" t="s">
        <v>1107</v>
      </c>
      <c r="C269" s="598">
        <v>46189.0</v>
      </c>
      <c r="D269" s="581">
        <v>46189.0</v>
      </c>
      <c r="E269" s="599"/>
      <c r="F269" s="601" t="s">
        <v>1108</v>
      </c>
      <c r="G269" s="596" t="s">
        <v>1747</v>
      </c>
      <c r="H269" s="596" t="s">
        <v>1747</v>
      </c>
      <c r="I269" s="601" t="s">
        <v>1168</v>
      </c>
      <c r="J269" s="601" t="s">
        <v>1748</v>
      </c>
      <c r="K269" s="601" t="s">
        <v>265</v>
      </c>
      <c r="L269" s="582">
        <v>41156.98</v>
      </c>
      <c r="M269" s="582">
        <v>41156.98</v>
      </c>
      <c r="N269" s="582">
        <v>41156.98</v>
      </c>
      <c r="O269" s="601" t="s">
        <v>1749</v>
      </c>
      <c r="P269" s="582">
        <v>0.0</v>
      </c>
      <c r="Q269" s="584"/>
      <c r="R269" s="584"/>
      <c r="S269" s="584"/>
      <c r="T269" s="584"/>
      <c r="U269" s="584"/>
      <c r="V269" s="584"/>
      <c r="W269" s="584"/>
      <c r="X269" s="584"/>
      <c r="Y269" s="584"/>
      <c r="Z269" s="584"/>
      <c r="AA269" s="584"/>
      <c r="AB269" s="584"/>
      <c r="AC269" s="584"/>
      <c r="AD269" s="584"/>
      <c r="AE269" s="584"/>
      <c r="AF269" s="584"/>
    </row>
    <row r="270" ht="14.25" customHeight="1">
      <c r="A270" s="582">
        <v>178.0</v>
      </c>
      <c r="B270" s="601" t="s">
        <v>1107</v>
      </c>
      <c r="C270" s="598">
        <v>46189.0</v>
      </c>
      <c r="D270" s="581">
        <v>46189.0</v>
      </c>
      <c r="E270" s="599"/>
      <c r="F270" s="601" t="s">
        <v>1108</v>
      </c>
      <c r="G270" s="596" t="s">
        <v>1750</v>
      </c>
      <c r="H270" s="596" t="s">
        <v>1750</v>
      </c>
      <c r="I270" s="601" t="s">
        <v>1168</v>
      </c>
      <c r="J270" s="601" t="s">
        <v>1751</v>
      </c>
      <c r="K270" s="601" t="s">
        <v>265</v>
      </c>
      <c r="L270" s="582">
        <v>20787.07</v>
      </c>
      <c r="M270" s="582">
        <v>20787.07</v>
      </c>
      <c r="N270" s="582">
        <v>20787.07</v>
      </c>
      <c r="O270" s="601" t="s">
        <v>1752</v>
      </c>
      <c r="P270" s="582">
        <v>0.0</v>
      </c>
      <c r="Q270" s="584"/>
      <c r="R270" s="584"/>
      <c r="S270" s="584"/>
      <c r="T270" s="584"/>
      <c r="U270" s="584"/>
      <c r="V270" s="584"/>
      <c r="W270" s="584"/>
      <c r="X270" s="584"/>
      <c r="Y270" s="584"/>
      <c r="Z270" s="584"/>
      <c r="AA270" s="584"/>
      <c r="AB270" s="584"/>
      <c r="AC270" s="584"/>
      <c r="AD270" s="584"/>
      <c r="AE270" s="584"/>
      <c r="AF270" s="584"/>
    </row>
    <row r="271" ht="14.25" customHeight="1">
      <c r="A271" s="582">
        <v>180.0</v>
      </c>
      <c r="B271" s="601" t="s">
        <v>1107</v>
      </c>
      <c r="C271" s="598">
        <v>46189.0</v>
      </c>
      <c r="D271" s="581">
        <v>46189.0</v>
      </c>
      <c r="E271" s="599"/>
      <c r="F271" s="601" t="s">
        <v>1108</v>
      </c>
      <c r="G271" s="596" t="s">
        <v>1753</v>
      </c>
      <c r="H271" s="596" t="s">
        <v>1754</v>
      </c>
      <c r="I271" s="601" t="s">
        <v>1168</v>
      </c>
      <c r="J271" s="601" t="s">
        <v>1755</v>
      </c>
      <c r="K271" s="601" t="s">
        <v>265</v>
      </c>
      <c r="L271" s="582">
        <v>23722.56</v>
      </c>
      <c r="M271" s="582">
        <v>23722.56</v>
      </c>
      <c r="N271" s="582">
        <v>23722.56</v>
      </c>
      <c r="O271" s="601" t="s">
        <v>1756</v>
      </c>
      <c r="P271" s="582">
        <v>0.0</v>
      </c>
      <c r="Q271" s="584"/>
      <c r="R271" s="584"/>
      <c r="S271" s="584"/>
      <c r="T271" s="584"/>
      <c r="U271" s="584"/>
      <c r="V271" s="584"/>
      <c r="W271" s="584"/>
      <c r="X271" s="584"/>
      <c r="Y271" s="584"/>
      <c r="Z271" s="584"/>
      <c r="AA271" s="584"/>
      <c r="AB271" s="584"/>
      <c r="AC271" s="584"/>
      <c r="AD271" s="584"/>
      <c r="AE271" s="584"/>
      <c r="AF271" s="584"/>
    </row>
    <row r="272" ht="14.25" customHeight="1">
      <c r="A272" s="582">
        <v>183.0</v>
      </c>
      <c r="B272" s="601" t="s">
        <v>1107</v>
      </c>
      <c r="C272" s="598">
        <v>46189.0</v>
      </c>
      <c r="D272" s="581">
        <v>46189.0</v>
      </c>
      <c r="E272" s="599"/>
      <c r="F272" s="601" t="s">
        <v>1108</v>
      </c>
      <c r="G272" s="596" t="s">
        <v>1757</v>
      </c>
      <c r="H272" s="596" t="s">
        <v>1757</v>
      </c>
      <c r="I272" s="601" t="s">
        <v>1168</v>
      </c>
      <c r="J272" s="601" t="s">
        <v>1758</v>
      </c>
      <c r="K272" s="601" t="s">
        <v>265</v>
      </c>
      <c r="L272" s="582">
        <v>20043.21</v>
      </c>
      <c r="M272" s="582">
        <v>20043.21</v>
      </c>
      <c r="N272" s="582">
        <v>20043.21</v>
      </c>
      <c r="O272" s="601" t="s">
        <v>1759</v>
      </c>
      <c r="P272" s="582">
        <v>0.0</v>
      </c>
      <c r="Q272" s="584"/>
      <c r="R272" s="584"/>
      <c r="S272" s="584"/>
      <c r="T272" s="584"/>
      <c r="U272" s="584"/>
      <c r="V272" s="584"/>
      <c r="W272" s="584"/>
      <c r="X272" s="584"/>
      <c r="Y272" s="584"/>
      <c r="Z272" s="584"/>
      <c r="AA272" s="584"/>
      <c r="AB272" s="584"/>
      <c r="AC272" s="584"/>
      <c r="AD272" s="584"/>
      <c r="AE272" s="584"/>
      <c r="AF272" s="584"/>
    </row>
    <row r="273" ht="14.25" customHeight="1">
      <c r="A273" s="582">
        <v>184.0</v>
      </c>
      <c r="B273" s="601" t="s">
        <v>1107</v>
      </c>
      <c r="C273" s="598">
        <v>46189.0</v>
      </c>
      <c r="D273" s="581">
        <v>46189.0</v>
      </c>
      <c r="E273" s="599"/>
      <c r="F273" s="601" t="s">
        <v>1108</v>
      </c>
      <c r="G273" s="596" t="s">
        <v>1760</v>
      </c>
      <c r="H273" s="596" t="s">
        <v>1760</v>
      </c>
      <c r="I273" s="601" t="s">
        <v>1168</v>
      </c>
      <c r="J273" s="601" t="s">
        <v>1761</v>
      </c>
      <c r="K273" s="601" t="s">
        <v>265</v>
      </c>
      <c r="L273" s="582">
        <v>43516.22</v>
      </c>
      <c r="M273" s="582">
        <v>43516.22</v>
      </c>
      <c r="N273" s="582">
        <v>43516.22</v>
      </c>
      <c r="O273" s="601" t="s">
        <v>1762</v>
      </c>
      <c r="P273" s="582">
        <v>0.0</v>
      </c>
      <c r="Q273" s="584"/>
      <c r="R273" s="584"/>
      <c r="S273" s="584"/>
      <c r="T273" s="584"/>
      <c r="U273" s="584"/>
      <c r="V273" s="584"/>
      <c r="W273" s="584"/>
      <c r="X273" s="584"/>
      <c r="Y273" s="584"/>
      <c r="Z273" s="584"/>
      <c r="AA273" s="584"/>
      <c r="AB273" s="584"/>
      <c r="AC273" s="584"/>
      <c r="AD273" s="584"/>
      <c r="AE273" s="584"/>
      <c r="AF273" s="584"/>
    </row>
    <row r="274" ht="14.25" customHeight="1">
      <c r="A274" s="582">
        <v>185.0</v>
      </c>
      <c r="B274" s="601" t="s">
        <v>1107</v>
      </c>
      <c r="C274" s="598">
        <v>46189.0</v>
      </c>
      <c r="D274" s="581">
        <v>46189.0</v>
      </c>
      <c r="E274" s="599"/>
      <c r="F274" s="601" t="s">
        <v>1108</v>
      </c>
      <c r="G274" s="596" t="s">
        <v>1763</v>
      </c>
      <c r="H274" s="596" t="s">
        <v>1763</v>
      </c>
      <c r="I274" s="601" t="s">
        <v>1168</v>
      </c>
      <c r="J274" s="601" t="s">
        <v>1764</v>
      </c>
      <c r="K274" s="601" t="s">
        <v>265</v>
      </c>
      <c r="L274" s="582">
        <v>64323.91</v>
      </c>
      <c r="M274" s="582">
        <v>64323.91</v>
      </c>
      <c r="N274" s="582">
        <v>64323.91</v>
      </c>
      <c r="O274" s="601" t="s">
        <v>1765</v>
      </c>
      <c r="P274" s="582">
        <v>0.0</v>
      </c>
      <c r="Q274" s="584"/>
      <c r="R274" s="584"/>
      <c r="S274" s="584"/>
      <c r="T274" s="584"/>
      <c r="U274" s="584"/>
      <c r="V274" s="584"/>
      <c r="W274" s="584"/>
      <c r="X274" s="584"/>
      <c r="Y274" s="584"/>
      <c r="Z274" s="584"/>
      <c r="AA274" s="584"/>
      <c r="AB274" s="584"/>
      <c r="AC274" s="584"/>
      <c r="AD274" s="584"/>
      <c r="AE274" s="584"/>
      <c r="AF274" s="584"/>
    </row>
    <row r="275" ht="14.25" customHeight="1">
      <c r="A275" s="582">
        <v>186.0</v>
      </c>
      <c r="B275" s="601" t="s">
        <v>1107</v>
      </c>
      <c r="C275" s="598">
        <v>46189.0</v>
      </c>
      <c r="D275" s="581">
        <v>46189.0</v>
      </c>
      <c r="E275" s="599"/>
      <c r="F275" s="601" t="s">
        <v>1108</v>
      </c>
      <c r="G275" s="596" t="s">
        <v>1766</v>
      </c>
      <c r="H275" s="596" t="s">
        <v>1766</v>
      </c>
      <c r="I275" s="601" t="s">
        <v>1168</v>
      </c>
      <c r="J275" s="601" t="s">
        <v>1767</v>
      </c>
      <c r="K275" s="601" t="s">
        <v>265</v>
      </c>
      <c r="L275" s="582">
        <v>10985.66</v>
      </c>
      <c r="M275" s="582">
        <v>10985.66</v>
      </c>
      <c r="N275" s="585">
        <v>10985.66</v>
      </c>
      <c r="O275" s="601" t="s">
        <v>1768</v>
      </c>
      <c r="P275" s="582">
        <v>0.0</v>
      </c>
      <c r="Q275" s="584"/>
      <c r="R275" s="584"/>
      <c r="S275" s="584"/>
      <c r="T275" s="584"/>
      <c r="U275" s="584"/>
      <c r="V275" s="584"/>
      <c r="W275" s="584"/>
      <c r="X275" s="584"/>
      <c r="Y275" s="584"/>
      <c r="Z275" s="584"/>
      <c r="AA275" s="584"/>
      <c r="AB275" s="584"/>
      <c r="AC275" s="584"/>
      <c r="AD275" s="584"/>
      <c r="AE275" s="584"/>
      <c r="AF275" s="584"/>
    </row>
    <row r="276" ht="14.25" customHeight="1">
      <c r="A276" s="582">
        <v>187.0</v>
      </c>
      <c r="B276" s="601" t="s">
        <v>1107</v>
      </c>
      <c r="C276" s="598">
        <v>46189.0</v>
      </c>
      <c r="D276" s="581">
        <v>46189.0</v>
      </c>
      <c r="E276" s="599"/>
      <c r="F276" s="601" t="s">
        <v>1108</v>
      </c>
      <c r="G276" s="596" t="s">
        <v>1769</v>
      </c>
      <c r="H276" s="596" t="s">
        <v>1769</v>
      </c>
      <c r="I276" s="601" t="s">
        <v>1168</v>
      </c>
      <c r="J276" s="601" t="s">
        <v>1770</v>
      </c>
      <c r="K276" s="601" t="s">
        <v>265</v>
      </c>
      <c r="L276" s="582">
        <v>5271.34</v>
      </c>
      <c r="M276" s="582">
        <v>5271.34</v>
      </c>
      <c r="N276" s="582">
        <v>5271.34</v>
      </c>
      <c r="O276" s="601" t="s">
        <v>1771</v>
      </c>
      <c r="P276" s="582">
        <v>0.0</v>
      </c>
      <c r="Q276" s="584"/>
      <c r="R276" s="584"/>
      <c r="S276" s="584"/>
      <c r="T276" s="584"/>
      <c r="U276" s="584"/>
      <c r="V276" s="584"/>
      <c r="W276" s="584"/>
      <c r="X276" s="584"/>
      <c r="Y276" s="584"/>
      <c r="Z276" s="584"/>
      <c r="AA276" s="584"/>
      <c r="AB276" s="584"/>
      <c r="AC276" s="584"/>
      <c r="AD276" s="584"/>
      <c r="AE276" s="584"/>
      <c r="AF276" s="584"/>
    </row>
    <row r="277" ht="14.25" customHeight="1">
      <c r="A277" s="582">
        <v>188.0</v>
      </c>
      <c r="B277" s="601" t="s">
        <v>1107</v>
      </c>
      <c r="C277" s="598">
        <v>46189.0</v>
      </c>
      <c r="D277" s="581">
        <v>46189.0</v>
      </c>
      <c r="E277" s="599"/>
      <c r="F277" s="601" t="s">
        <v>1108</v>
      </c>
      <c r="G277" s="596" t="s">
        <v>1772</v>
      </c>
      <c r="H277" s="596" t="s">
        <v>1772</v>
      </c>
      <c r="I277" s="601" t="s">
        <v>1168</v>
      </c>
      <c r="J277" s="601" t="s">
        <v>1773</v>
      </c>
      <c r="K277" s="601" t="s">
        <v>265</v>
      </c>
      <c r="L277" s="582">
        <v>10409.52</v>
      </c>
      <c r="M277" s="582">
        <v>10409.52</v>
      </c>
      <c r="N277" s="582">
        <v>10409.52</v>
      </c>
      <c r="O277" s="601" t="s">
        <v>1774</v>
      </c>
      <c r="P277" s="582">
        <v>0.0</v>
      </c>
      <c r="Q277" s="584"/>
      <c r="R277" s="584"/>
      <c r="S277" s="584"/>
      <c r="T277" s="584"/>
      <c r="U277" s="584"/>
      <c r="V277" s="584"/>
      <c r="W277" s="584"/>
      <c r="X277" s="584"/>
      <c r="Y277" s="584"/>
      <c r="Z277" s="584"/>
      <c r="AA277" s="584"/>
      <c r="AB277" s="584"/>
      <c r="AC277" s="584"/>
      <c r="AD277" s="584"/>
      <c r="AE277" s="584"/>
      <c r="AF277" s="584"/>
    </row>
    <row r="278" ht="14.25" customHeight="1">
      <c r="A278" s="582">
        <v>189.0</v>
      </c>
      <c r="B278" s="601" t="s">
        <v>1107</v>
      </c>
      <c r="C278" s="598">
        <v>46189.0</v>
      </c>
      <c r="D278" s="581">
        <v>46189.0</v>
      </c>
      <c r="E278" s="599"/>
      <c r="F278" s="601" t="s">
        <v>1108</v>
      </c>
      <c r="G278" s="596" t="s">
        <v>1775</v>
      </c>
      <c r="H278" s="596" t="s">
        <v>1775</v>
      </c>
      <c r="I278" s="601" t="s">
        <v>1168</v>
      </c>
      <c r="J278" s="601" t="s">
        <v>1776</v>
      </c>
      <c r="K278" s="601" t="s">
        <v>265</v>
      </c>
      <c r="L278" s="582">
        <v>11542.91</v>
      </c>
      <c r="M278" s="582">
        <v>11542.91</v>
      </c>
      <c r="N278" s="582">
        <v>11542.91</v>
      </c>
      <c r="O278" s="601" t="s">
        <v>1777</v>
      </c>
      <c r="P278" s="582">
        <v>0.0</v>
      </c>
      <c r="Q278" s="584"/>
      <c r="R278" s="584"/>
      <c r="S278" s="584"/>
      <c r="T278" s="584"/>
      <c r="U278" s="584"/>
      <c r="V278" s="584"/>
      <c r="W278" s="584"/>
      <c r="X278" s="584"/>
      <c r="Y278" s="584"/>
      <c r="Z278" s="584"/>
      <c r="AA278" s="584"/>
      <c r="AB278" s="584"/>
      <c r="AC278" s="584"/>
      <c r="AD278" s="584"/>
      <c r="AE278" s="584"/>
      <c r="AF278" s="584"/>
    </row>
    <row r="279" ht="14.25" customHeight="1">
      <c r="A279" s="582">
        <v>190.0</v>
      </c>
      <c r="B279" s="601" t="s">
        <v>1107</v>
      </c>
      <c r="C279" s="598">
        <v>46189.0</v>
      </c>
      <c r="D279" s="581">
        <v>46189.0</v>
      </c>
      <c r="E279" s="599"/>
      <c r="F279" s="601" t="s">
        <v>1108</v>
      </c>
      <c r="G279" s="596" t="s">
        <v>1778</v>
      </c>
      <c r="H279" s="596" t="s">
        <v>1778</v>
      </c>
      <c r="I279" s="601" t="s">
        <v>1168</v>
      </c>
      <c r="J279" s="601" t="s">
        <v>1779</v>
      </c>
      <c r="K279" s="601" t="s">
        <v>265</v>
      </c>
      <c r="L279" s="582">
        <v>42213.57</v>
      </c>
      <c r="M279" s="582">
        <v>42213.57</v>
      </c>
      <c r="N279" s="582">
        <v>42213.57</v>
      </c>
      <c r="O279" s="601" t="s">
        <v>1780</v>
      </c>
      <c r="P279" s="582">
        <v>0.0</v>
      </c>
      <c r="Q279" s="584"/>
      <c r="R279" s="584"/>
      <c r="S279" s="584"/>
      <c r="T279" s="584"/>
      <c r="U279" s="584"/>
      <c r="V279" s="584"/>
      <c r="W279" s="584"/>
      <c r="X279" s="584"/>
      <c r="Y279" s="584"/>
      <c r="Z279" s="584"/>
      <c r="AA279" s="584"/>
      <c r="AB279" s="584"/>
      <c r="AC279" s="584"/>
      <c r="AD279" s="584"/>
      <c r="AE279" s="584"/>
      <c r="AF279" s="584"/>
    </row>
    <row r="280" ht="14.25" customHeight="1">
      <c r="A280" s="582">
        <v>191.0</v>
      </c>
      <c r="B280" s="601" t="s">
        <v>1107</v>
      </c>
      <c r="C280" s="598">
        <v>46189.0</v>
      </c>
      <c r="D280" s="581">
        <v>46189.0</v>
      </c>
      <c r="E280" s="599"/>
      <c r="F280" s="601" t="s">
        <v>1108</v>
      </c>
      <c r="G280" s="596" t="s">
        <v>1781</v>
      </c>
      <c r="H280" s="596" t="s">
        <v>1781</v>
      </c>
      <c r="I280" s="601" t="s">
        <v>1168</v>
      </c>
      <c r="J280" s="601" t="s">
        <v>1782</v>
      </c>
      <c r="K280" s="601" t="s">
        <v>265</v>
      </c>
      <c r="L280" s="582">
        <v>7817.49</v>
      </c>
      <c r="M280" s="582">
        <v>7817.49</v>
      </c>
      <c r="N280" s="582">
        <v>7817.49</v>
      </c>
      <c r="O280" s="601" t="s">
        <v>1783</v>
      </c>
      <c r="P280" s="582">
        <v>0.0</v>
      </c>
      <c r="Q280" s="584"/>
      <c r="R280" s="584"/>
      <c r="S280" s="584"/>
      <c r="T280" s="584"/>
      <c r="U280" s="584"/>
      <c r="V280" s="584"/>
      <c r="W280" s="584"/>
      <c r="X280" s="584"/>
      <c r="Y280" s="584"/>
      <c r="Z280" s="584"/>
      <c r="AA280" s="584"/>
      <c r="AB280" s="584"/>
      <c r="AC280" s="584"/>
      <c r="AD280" s="584"/>
      <c r="AE280" s="584"/>
      <c r="AF280" s="584"/>
    </row>
    <row r="281" ht="14.25" customHeight="1">
      <c r="A281" s="582">
        <v>193.0</v>
      </c>
      <c r="B281" s="601" t="s">
        <v>1107</v>
      </c>
      <c r="C281" s="598">
        <v>46189.0</v>
      </c>
      <c r="D281" s="581">
        <v>46189.0</v>
      </c>
      <c r="E281" s="599"/>
      <c r="F281" s="601" t="s">
        <v>1108</v>
      </c>
      <c r="G281" s="596" t="s">
        <v>1784</v>
      </c>
      <c r="H281" s="596" t="s">
        <v>1784</v>
      </c>
      <c r="I281" s="601" t="s">
        <v>1168</v>
      </c>
      <c r="J281" s="601" t="s">
        <v>1785</v>
      </c>
      <c r="K281" s="601" t="s">
        <v>265</v>
      </c>
      <c r="L281" s="582">
        <v>727.92</v>
      </c>
      <c r="M281" s="582">
        <v>727.92</v>
      </c>
      <c r="N281" s="582">
        <v>727.92</v>
      </c>
      <c r="O281" s="601" t="s">
        <v>1786</v>
      </c>
      <c r="P281" s="582">
        <v>0.0</v>
      </c>
      <c r="Q281" s="584"/>
      <c r="R281" s="584"/>
      <c r="S281" s="584"/>
      <c r="T281" s="584"/>
      <c r="U281" s="584"/>
      <c r="V281" s="584"/>
      <c r="W281" s="584"/>
      <c r="X281" s="584"/>
      <c r="Y281" s="584"/>
      <c r="Z281" s="584"/>
      <c r="AA281" s="584"/>
      <c r="AB281" s="584"/>
      <c r="AC281" s="584"/>
      <c r="AD281" s="584"/>
      <c r="AE281" s="584"/>
      <c r="AF281" s="584"/>
    </row>
    <row r="282" ht="14.25" customHeight="1">
      <c r="A282" s="582">
        <v>194.0</v>
      </c>
      <c r="B282" s="601" t="s">
        <v>1107</v>
      </c>
      <c r="C282" s="598">
        <v>46189.0</v>
      </c>
      <c r="D282" s="581">
        <v>46189.0</v>
      </c>
      <c r="E282" s="599"/>
      <c r="F282" s="601" t="s">
        <v>1108</v>
      </c>
      <c r="G282" s="596" t="s">
        <v>1787</v>
      </c>
      <c r="H282" s="596" t="s">
        <v>1787</v>
      </c>
      <c r="I282" s="601" t="s">
        <v>1168</v>
      </c>
      <c r="J282" s="601" t="s">
        <v>1788</v>
      </c>
      <c r="K282" s="601" t="s">
        <v>265</v>
      </c>
      <c r="L282" s="582">
        <v>6879.1</v>
      </c>
      <c r="M282" s="582">
        <v>6879.1</v>
      </c>
      <c r="N282" s="582">
        <v>6879.1</v>
      </c>
      <c r="O282" s="601" t="s">
        <v>1789</v>
      </c>
      <c r="P282" s="582">
        <v>0.0</v>
      </c>
      <c r="Q282" s="584"/>
      <c r="R282" s="584"/>
      <c r="S282" s="584"/>
      <c r="T282" s="584"/>
      <c r="U282" s="584"/>
      <c r="V282" s="584"/>
      <c r="W282" s="584"/>
      <c r="X282" s="584"/>
      <c r="Y282" s="584"/>
      <c r="Z282" s="584"/>
      <c r="AA282" s="584"/>
      <c r="AB282" s="584"/>
      <c r="AC282" s="584"/>
      <c r="AD282" s="584"/>
      <c r="AE282" s="584"/>
      <c r="AF282" s="584"/>
    </row>
    <row r="283" ht="14.25" customHeight="1">
      <c r="A283" s="582">
        <v>197.0</v>
      </c>
      <c r="B283" s="601" t="s">
        <v>1107</v>
      </c>
      <c r="C283" s="598">
        <v>46189.0</v>
      </c>
      <c r="D283" s="581">
        <v>46189.0</v>
      </c>
      <c r="E283" s="599"/>
      <c r="F283" s="601" t="s">
        <v>1108</v>
      </c>
      <c r="G283" s="596" t="s">
        <v>1790</v>
      </c>
      <c r="H283" s="596" t="s">
        <v>1790</v>
      </c>
      <c r="I283" s="601" t="s">
        <v>1168</v>
      </c>
      <c r="J283" s="601" t="s">
        <v>1791</v>
      </c>
      <c r="K283" s="601" t="s">
        <v>265</v>
      </c>
      <c r="L283" s="582">
        <v>500.0</v>
      </c>
      <c r="M283" s="582">
        <v>500.0</v>
      </c>
      <c r="N283" s="582">
        <v>500.0</v>
      </c>
      <c r="O283" s="601" t="s">
        <v>1792</v>
      </c>
      <c r="P283" s="582">
        <v>0.0</v>
      </c>
      <c r="Q283" s="584"/>
      <c r="R283" s="584"/>
      <c r="S283" s="584"/>
      <c r="T283" s="584"/>
      <c r="U283" s="584"/>
      <c r="V283" s="584"/>
      <c r="W283" s="584"/>
      <c r="X283" s="584"/>
      <c r="Y283" s="584"/>
      <c r="Z283" s="584"/>
      <c r="AA283" s="584"/>
      <c r="AB283" s="584"/>
      <c r="AC283" s="584"/>
      <c r="AD283" s="584"/>
      <c r="AE283" s="584"/>
      <c r="AF283" s="584"/>
    </row>
    <row r="284" ht="14.25" customHeight="1">
      <c r="A284" s="582">
        <v>198.0</v>
      </c>
      <c r="B284" s="601" t="s">
        <v>1107</v>
      </c>
      <c r="C284" s="598">
        <v>46189.0</v>
      </c>
      <c r="D284" s="581">
        <v>46189.0</v>
      </c>
      <c r="E284" s="599"/>
      <c r="F284" s="601" t="s">
        <v>1108</v>
      </c>
      <c r="G284" s="596" t="s">
        <v>1793</v>
      </c>
      <c r="H284" s="596" t="s">
        <v>1793</v>
      </c>
      <c r="I284" s="601" t="s">
        <v>1168</v>
      </c>
      <c r="J284" s="601" t="s">
        <v>1794</v>
      </c>
      <c r="K284" s="601" t="s">
        <v>265</v>
      </c>
      <c r="L284" s="582">
        <v>20497.92</v>
      </c>
      <c r="M284" s="582">
        <v>20497.92</v>
      </c>
      <c r="N284" s="582">
        <v>20497.92</v>
      </c>
      <c r="O284" s="601" t="s">
        <v>1795</v>
      </c>
      <c r="P284" s="582">
        <v>0.0</v>
      </c>
      <c r="Q284" s="584"/>
      <c r="R284" s="584"/>
      <c r="S284" s="584"/>
      <c r="T284" s="584"/>
      <c r="U284" s="584"/>
      <c r="V284" s="584"/>
      <c r="W284" s="584"/>
      <c r="X284" s="584"/>
      <c r="Y284" s="584"/>
      <c r="Z284" s="584"/>
      <c r="AA284" s="584"/>
      <c r="AB284" s="584"/>
      <c r="AC284" s="584"/>
      <c r="AD284" s="584"/>
      <c r="AE284" s="584"/>
      <c r="AF284" s="584"/>
    </row>
    <row r="285" ht="14.25" customHeight="1">
      <c r="A285" s="582">
        <v>199.0</v>
      </c>
      <c r="B285" s="601" t="s">
        <v>1107</v>
      </c>
      <c r="C285" s="598">
        <v>46189.0</v>
      </c>
      <c r="D285" s="581">
        <v>46189.0</v>
      </c>
      <c r="E285" s="599"/>
      <c r="F285" s="601" t="s">
        <v>1108</v>
      </c>
      <c r="G285" s="596">
        <v>7.2661247E7</v>
      </c>
      <c r="H285" s="596">
        <v>7.2661247E7</v>
      </c>
      <c r="I285" s="601" t="s">
        <v>1168</v>
      </c>
      <c r="J285" s="601" t="s">
        <v>1796</v>
      </c>
      <c r="K285" s="601" t="s">
        <v>265</v>
      </c>
      <c r="L285" s="582">
        <v>5203.61</v>
      </c>
      <c r="M285" s="582">
        <v>5203.61</v>
      </c>
      <c r="N285" s="582">
        <v>5203.61</v>
      </c>
      <c r="O285" s="601" t="s">
        <v>1797</v>
      </c>
      <c r="P285" s="582">
        <v>0.0</v>
      </c>
      <c r="Q285" s="584"/>
      <c r="R285" s="584"/>
      <c r="S285" s="584"/>
      <c r="T285" s="584"/>
      <c r="U285" s="584"/>
      <c r="V285" s="584"/>
      <c r="W285" s="584"/>
      <c r="X285" s="584"/>
      <c r="Y285" s="584"/>
      <c r="Z285" s="584"/>
      <c r="AA285" s="584"/>
      <c r="AB285" s="584"/>
      <c r="AC285" s="584"/>
      <c r="AD285" s="584"/>
      <c r="AE285" s="584"/>
      <c r="AF285" s="584"/>
    </row>
    <row r="286" ht="14.25" customHeight="1">
      <c r="A286" s="582">
        <v>200.0</v>
      </c>
      <c r="B286" s="601" t="s">
        <v>1107</v>
      </c>
      <c r="C286" s="598">
        <v>46189.0</v>
      </c>
      <c r="D286" s="581">
        <v>46189.0</v>
      </c>
      <c r="E286" s="599"/>
      <c r="F286" s="601" t="s">
        <v>1108</v>
      </c>
      <c r="G286" s="596" t="s">
        <v>1798</v>
      </c>
      <c r="H286" s="596" t="s">
        <v>1799</v>
      </c>
      <c r="I286" s="601" t="s">
        <v>1168</v>
      </c>
      <c r="J286" s="601" t="s">
        <v>1800</v>
      </c>
      <c r="K286" s="601" t="s">
        <v>265</v>
      </c>
      <c r="L286" s="582">
        <v>20922.8</v>
      </c>
      <c r="M286" s="582">
        <v>20922.8</v>
      </c>
      <c r="N286" s="582">
        <v>20922.8</v>
      </c>
      <c r="O286" s="601" t="s">
        <v>1801</v>
      </c>
      <c r="P286" s="582">
        <v>0.0</v>
      </c>
      <c r="Q286" s="584"/>
      <c r="R286" s="584"/>
      <c r="S286" s="584"/>
      <c r="T286" s="584"/>
      <c r="U286" s="584"/>
      <c r="V286" s="584"/>
      <c r="W286" s="584"/>
      <c r="X286" s="584"/>
      <c r="Y286" s="584"/>
      <c r="Z286" s="584"/>
      <c r="AA286" s="584"/>
      <c r="AB286" s="584"/>
      <c r="AC286" s="584"/>
      <c r="AD286" s="584"/>
      <c r="AE286" s="584"/>
      <c r="AF286" s="584"/>
    </row>
    <row r="287" ht="14.25" customHeight="1">
      <c r="A287" s="582">
        <v>203.0</v>
      </c>
      <c r="B287" s="601" t="s">
        <v>1107</v>
      </c>
      <c r="C287" s="598">
        <v>46189.0</v>
      </c>
      <c r="D287" s="581">
        <v>46189.0</v>
      </c>
      <c r="E287" s="599"/>
      <c r="F287" s="601" t="s">
        <v>1108</v>
      </c>
      <c r="G287" s="596" t="s">
        <v>1802</v>
      </c>
      <c r="H287" s="596" t="s">
        <v>1802</v>
      </c>
      <c r="I287" s="601" t="s">
        <v>1168</v>
      </c>
      <c r="J287" s="601" t="s">
        <v>1803</v>
      </c>
      <c r="K287" s="601" t="s">
        <v>265</v>
      </c>
      <c r="L287" s="582">
        <v>21193.4</v>
      </c>
      <c r="M287" s="582">
        <v>21193.4</v>
      </c>
      <c r="N287" s="582">
        <v>21193.4</v>
      </c>
      <c r="O287" s="601" t="s">
        <v>1804</v>
      </c>
      <c r="P287" s="582">
        <v>0.0</v>
      </c>
      <c r="Q287" s="584"/>
      <c r="R287" s="584"/>
      <c r="S287" s="584"/>
      <c r="T287" s="584"/>
      <c r="U287" s="584"/>
      <c r="V287" s="584"/>
      <c r="W287" s="584"/>
      <c r="X287" s="584"/>
      <c r="Y287" s="584"/>
      <c r="Z287" s="584"/>
      <c r="AA287" s="584"/>
      <c r="AB287" s="584"/>
      <c r="AC287" s="584"/>
      <c r="AD287" s="584"/>
      <c r="AE287" s="584"/>
      <c r="AF287" s="584"/>
    </row>
    <row r="288" ht="14.25" customHeight="1">
      <c r="A288" s="582">
        <v>205.0</v>
      </c>
      <c r="B288" s="601" t="s">
        <v>1107</v>
      </c>
      <c r="C288" s="598">
        <v>46189.0</v>
      </c>
      <c r="D288" s="581">
        <v>46189.0</v>
      </c>
      <c r="E288" s="599"/>
      <c r="F288" s="601" t="s">
        <v>1108</v>
      </c>
      <c r="G288" s="596" t="s">
        <v>1805</v>
      </c>
      <c r="H288" s="596" t="s">
        <v>1805</v>
      </c>
      <c r="I288" s="601" t="s">
        <v>1168</v>
      </c>
      <c r="J288" s="601" t="s">
        <v>1806</v>
      </c>
      <c r="K288" s="601" t="s">
        <v>265</v>
      </c>
      <c r="L288" s="582">
        <v>30441.83</v>
      </c>
      <c r="M288" s="582">
        <v>30441.83</v>
      </c>
      <c r="N288" s="582">
        <v>30441.83</v>
      </c>
      <c r="O288" s="601" t="s">
        <v>1807</v>
      </c>
      <c r="P288" s="582">
        <v>0.0</v>
      </c>
      <c r="Q288" s="584"/>
      <c r="R288" s="584"/>
      <c r="S288" s="584"/>
      <c r="T288" s="584"/>
      <c r="U288" s="584"/>
      <c r="V288" s="584"/>
      <c r="W288" s="584"/>
      <c r="X288" s="584"/>
      <c r="Y288" s="584"/>
      <c r="Z288" s="584"/>
      <c r="AA288" s="584"/>
      <c r="AB288" s="584"/>
      <c r="AC288" s="584"/>
      <c r="AD288" s="584"/>
      <c r="AE288" s="584"/>
      <c r="AF288" s="584"/>
    </row>
    <row r="289" ht="14.25" customHeight="1">
      <c r="A289" s="582">
        <v>206.0</v>
      </c>
      <c r="B289" s="601" t="s">
        <v>1107</v>
      </c>
      <c r="C289" s="598">
        <v>46189.0</v>
      </c>
      <c r="D289" s="581">
        <v>46189.0</v>
      </c>
      <c r="E289" s="599"/>
      <c r="F289" s="601" t="s">
        <v>1108</v>
      </c>
      <c r="G289" s="596" t="s">
        <v>1808</v>
      </c>
      <c r="H289" s="596" t="s">
        <v>1808</v>
      </c>
      <c r="I289" s="601" t="s">
        <v>1168</v>
      </c>
      <c r="J289" s="601" t="s">
        <v>1809</v>
      </c>
      <c r="K289" s="601" t="s">
        <v>265</v>
      </c>
      <c r="L289" s="582">
        <v>4054.36</v>
      </c>
      <c r="M289" s="582">
        <v>4054.36</v>
      </c>
      <c r="N289" s="582">
        <v>4054.36</v>
      </c>
      <c r="O289" s="601" t="s">
        <v>1810</v>
      </c>
      <c r="P289" s="582">
        <v>0.0</v>
      </c>
      <c r="Q289" s="584"/>
      <c r="R289" s="584"/>
      <c r="S289" s="584"/>
      <c r="T289" s="584"/>
      <c r="U289" s="584"/>
      <c r="V289" s="584"/>
      <c r="W289" s="584"/>
      <c r="X289" s="584"/>
      <c r="Y289" s="584"/>
      <c r="Z289" s="584"/>
      <c r="AA289" s="584"/>
      <c r="AB289" s="584"/>
      <c r="AC289" s="584"/>
      <c r="AD289" s="584"/>
      <c r="AE289" s="584"/>
      <c r="AF289" s="584"/>
    </row>
    <row r="290" ht="14.25" customHeight="1">
      <c r="A290" s="582">
        <v>207.0</v>
      </c>
      <c r="B290" s="601" t="s">
        <v>1107</v>
      </c>
      <c r="C290" s="598">
        <v>46189.0</v>
      </c>
      <c r="D290" s="581">
        <v>46189.0</v>
      </c>
      <c r="E290" s="599"/>
      <c r="F290" s="601" t="s">
        <v>1108</v>
      </c>
      <c r="G290" s="596" t="s">
        <v>1811</v>
      </c>
      <c r="H290" s="596" t="s">
        <v>1811</v>
      </c>
      <c r="I290" s="601" t="s">
        <v>1168</v>
      </c>
      <c r="J290" s="601" t="s">
        <v>1812</v>
      </c>
      <c r="K290" s="601" t="s">
        <v>265</v>
      </c>
      <c r="L290" s="582">
        <v>1000.0</v>
      </c>
      <c r="M290" s="582">
        <v>1000.0</v>
      </c>
      <c r="N290" s="582">
        <v>1000.0</v>
      </c>
      <c r="O290" s="601" t="s">
        <v>1813</v>
      </c>
      <c r="P290" s="582">
        <v>0.0</v>
      </c>
      <c r="Q290" s="584"/>
      <c r="R290" s="584"/>
      <c r="S290" s="584"/>
      <c r="T290" s="584"/>
      <c r="U290" s="584"/>
      <c r="V290" s="584"/>
      <c r="W290" s="584"/>
      <c r="X290" s="584"/>
      <c r="Y290" s="584"/>
      <c r="Z290" s="584"/>
      <c r="AA290" s="584"/>
      <c r="AB290" s="584"/>
      <c r="AC290" s="584"/>
      <c r="AD290" s="584"/>
      <c r="AE290" s="584"/>
      <c r="AF290" s="584"/>
    </row>
    <row r="291" ht="14.25" customHeight="1">
      <c r="A291" s="582">
        <v>208.0</v>
      </c>
      <c r="B291" s="601" t="s">
        <v>1107</v>
      </c>
      <c r="C291" s="598">
        <v>46189.0</v>
      </c>
      <c r="D291" s="581">
        <v>46189.0</v>
      </c>
      <c r="E291" s="599"/>
      <c r="F291" s="601" t="s">
        <v>1108</v>
      </c>
      <c r="G291" s="596" t="s">
        <v>1814</v>
      </c>
      <c r="H291" s="596" t="s">
        <v>1814</v>
      </c>
      <c r="I291" s="601" t="s">
        <v>1168</v>
      </c>
      <c r="J291" s="601" t="s">
        <v>1815</v>
      </c>
      <c r="K291" s="601" t="s">
        <v>265</v>
      </c>
      <c r="L291" s="582">
        <v>55246.0</v>
      </c>
      <c r="M291" s="582">
        <v>55246.0</v>
      </c>
      <c r="N291" s="582">
        <v>55246.0</v>
      </c>
      <c r="O291" s="601" t="s">
        <v>1816</v>
      </c>
      <c r="P291" s="582">
        <v>0.0</v>
      </c>
      <c r="Q291" s="584"/>
      <c r="R291" s="584"/>
      <c r="S291" s="584"/>
      <c r="T291" s="584"/>
      <c r="U291" s="584"/>
      <c r="V291" s="584"/>
      <c r="W291" s="584"/>
      <c r="X291" s="584"/>
      <c r="Y291" s="584"/>
      <c r="Z291" s="584"/>
      <c r="AA291" s="584"/>
      <c r="AB291" s="584"/>
      <c r="AC291" s="584"/>
      <c r="AD291" s="584"/>
      <c r="AE291" s="584"/>
      <c r="AF291" s="584"/>
    </row>
    <row r="292" ht="14.25" customHeight="1">
      <c r="A292" s="582">
        <v>209.0</v>
      </c>
      <c r="B292" s="601" t="s">
        <v>1107</v>
      </c>
      <c r="C292" s="598">
        <v>46189.0</v>
      </c>
      <c r="D292" s="581">
        <v>46189.0</v>
      </c>
      <c r="E292" s="599"/>
      <c r="F292" s="601" t="s">
        <v>1108</v>
      </c>
      <c r="G292" s="596" t="s">
        <v>1817</v>
      </c>
      <c r="H292" s="596" t="s">
        <v>1818</v>
      </c>
      <c r="I292" s="601" t="s">
        <v>1168</v>
      </c>
      <c r="J292" s="580" t="s">
        <v>1819</v>
      </c>
      <c r="K292" s="601" t="s">
        <v>265</v>
      </c>
      <c r="L292" s="582">
        <v>41.57</v>
      </c>
      <c r="M292" s="582">
        <v>41.57</v>
      </c>
      <c r="N292" s="582">
        <v>41.57</v>
      </c>
      <c r="O292" s="601" t="s">
        <v>1820</v>
      </c>
      <c r="P292" s="582">
        <v>0.0</v>
      </c>
      <c r="Q292" s="584"/>
      <c r="R292" s="584"/>
      <c r="S292" s="584"/>
      <c r="T292" s="584"/>
      <c r="U292" s="584"/>
      <c r="V292" s="584"/>
      <c r="W292" s="584"/>
      <c r="X292" s="584"/>
      <c r="Y292" s="584"/>
      <c r="Z292" s="584"/>
      <c r="AA292" s="584"/>
      <c r="AB292" s="584"/>
      <c r="AC292" s="584"/>
      <c r="AD292" s="584"/>
      <c r="AE292" s="584"/>
      <c r="AF292" s="584"/>
    </row>
    <row r="293" ht="14.25" customHeight="1">
      <c r="A293" s="582">
        <v>210.0</v>
      </c>
      <c r="B293" s="601" t="s">
        <v>1107</v>
      </c>
      <c r="C293" s="598">
        <v>46189.0</v>
      </c>
      <c r="D293" s="581">
        <v>46189.0</v>
      </c>
      <c r="E293" s="599"/>
      <c r="F293" s="601" t="s">
        <v>1108</v>
      </c>
      <c r="G293" s="596" t="s">
        <v>1821</v>
      </c>
      <c r="H293" s="596" t="s">
        <v>1821</v>
      </c>
      <c r="I293" s="601" t="s">
        <v>1168</v>
      </c>
      <c r="J293" s="601" t="s">
        <v>1822</v>
      </c>
      <c r="K293" s="601" t="s">
        <v>265</v>
      </c>
      <c r="L293" s="582">
        <v>600.0</v>
      </c>
      <c r="M293" s="582">
        <v>600.0</v>
      </c>
      <c r="N293" s="582">
        <v>600.0</v>
      </c>
      <c r="O293" s="601" t="s">
        <v>1823</v>
      </c>
      <c r="P293" s="582">
        <v>0.0</v>
      </c>
      <c r="Q293" s="584"/>
      <c r="R293" s="584"/>
      <c r="S293" s="584"/>
      <c r="T293" s="584"/>
      <c r="U293" s="584"/>
      <c r="V293" s="584"/>
      <c r="W293" s="584"/>
      <c r="X293" s="584"/>
      <c r="Y293" s="584"/>
      <c r="Z293" s="584"/>
      <c r="AA293" s="584"/>
      <c r="AB293" s="584"/>
      <c r="AC293" s="584"/>
      <c r="AD293" s="584"/>
      <c r="AE293" s="584"/>
      <c r="AF293" s="584"/>
    </row>
    <row r="294" ht="14.25" customHeight="1">
      <c r="A294" s="582">
        <v>211.0</v>
      </c>
      <c r="B294" s="601" t="s">
        <v>1107</v>
      </c>
      <c r="C294" s="598">
        <v>46189.0</v>
      </c>
      <c r="D294" s="581">
        <v>46189.0</v>
      </c>
      <c r="E294" s="599"/>
      <c r="F294" s="601" t="s">
        <v>1108</v>
      </c>
      <c r="G294" s="596" t="s">
        <v>1824</v>
      </c>
      <c r="H294" s="596" t="s">
        <v>1824</v>
      </c>
      <c r="I294" s="601" t="s">
        <v>1168</v>
      </c>
      <c r="J294" s="601" t="s">
        <v>1825</v>
      </c>
      <c r="K294" s="601" t="s">
        <v>265</v>
      </c>
      <c r="L294" s="582">
        <v>20386.08</v>
      </c>
      <c r="M294" s="582">
        <v>20386.08</v>
      </c>
      <c r="N294" s="582">
        <v>20386.08</v>
      </c>
      <c r="O294" s="601" t="s">
        <v>1826</v>
      </c>
      <c r="P294" s="582">
        <v>0.0</v>
      </c>
      <c r="Q294" s="584"/>
      <c r="R294" s="584"/>
      <c r="S294" s="584"/>
      <c r="T294" s="584"/>
      <c r="U294" s="584"/>
      <c r="V294" s="584"/>
      <c r="W294" s="584"/>
      <c r="X294" s="584"/>
      <c r="Y294" s="584"/>
      <c r="Z294" s="584"/>
      <c r="AA294" s="584"/>
      <c r="AB294" s="584"/>
      <c r="AC294" s="584"/>
      <c r="AD294" s="584"/>
      <c r="AE294" s="584"/>
      <c r="AF294" s="584"/>
    </row>
    <row r="295" ht="14.25" customHeight="1">
      <c r="A295" s="582">
        <v>212.0</v>
      </c>
      <c r="B295" s="601" t="s">
        <v>1107</v>
      </c>
      <c r="C295" s="598">
        <v>46189.0</v>
      </c>
      <c r="D295" s="581">
        <v>46189.0</v>
      </c>
      <c r="E295" s="599"/>
      <c r="F295" s="601" t="s">
        <v>1108</v>
      </c>
      <c r="G295" s="596" t="s">
        <v>1827</v>
      </c>
      <c r="H295" s="596" t="s">
        <v>1827</v>
      </c>
      <c r="I295" s="601" t="s">
        <v>1168</v>
      </c>
      <c r="J295" s="601" t="s">
        <v>1828</v>
      </c>
      <c r="K295" s="601" t="s">
        <v>265</v>
      </c>
      <c r="L295" s="582">
        <v>20827.23</v>
      </c>
      <c r="M295" s="582">
        <v>20827.23</v>
      </c>
      <c r="N295" s="582">
        <v>20827.23</v>
      </c>
      <c r="O295" s="601" t="s">
        <v>1829</v>
      </c>
      <c r="P295" s="582">
        <v>0.0</v>
      </c>
      <c r="Q295" s="584"/>
      <c r="R295" s="584"/>
      <c r="S295" s="584"/>
      <c r="T295" s="584"/>
      <c r="U295" s="584"/>
      <c r="V295" s="584"/>
      <c r="W295" s="584"/>
      <c r="X295" s="584"/>
      <c r="Y295" s="584"/>
      <c r="Z295" s="584"/>
      <c r="AA295" s="584"/>
      <c r="AB295" s="584"/>
      <c r="AC295" s="584"/>
      <c r="AD295" s="584"/>
      <c r="AE295" s="584"/>
      <c r="AF295" s="584"/>
    </row>
    <row r="296" ht="14.25" customHeight="1">
      <c r="A296" s="582">
        <v>213.0</v>
      </c>
      <c r="B296" s="601" t="s">
        <v>1107</v>
      </c>
      <c r="C296" s="598">
        <v>46189.0</v>
      </c>
      <c r="D296" s="581">
        <v>46189.0</v>
      </c>
      <c r="E296" s="599"/>
      <c r="F296" s="601" t="s">
        <v>1108</v>
      </c>
      <c r="G296" s="596" t="s">
        <v>1830</v>
      </c>
      <c r="H296" s="596" t="s">
        <v>1830</v>
      </c>
      <c r="I296" s="601" t="s">
        <v>1168</v>
      </c>
      <c r="J296" s="601" t="s">
        <v>1831</v>
      </c>
      <c r="K296" s="601" t="s">
        <v>265</v>
      </c>
      <c r="L296" s="582">
        <v>20926.03</v>
      </c>
      <c r="M296" s="582">
        <v>20926.03</v>
      </c>
      <c r="N296" s="582">
        <v>20926.03</v>
      </c>
      <c r="O296" s="601" t="s">
        <v>1832</v>
      </c>
      <c r="P296" s="582">
        <v>0.0</v>
      </c>
      <c r="Q296" s="584"/>
      <c r="R296" s="584"/>
      <c r="S296" s="584"/>
      <c r="T296" s="584"/>
      <c r="U296" s="584"/>
      <c r="V296" s="584"/>
      <c r="W296" s="584"/>
      <c r="X296" s="584"/>
      <c r="Y296" s="584"/>
      <c r="Z296" s="584"/>
      <c r="AA296" s="584"/>
      <c r="AB296" s="584"/>
      <c r="AC296" s="584"/>
      <c r="AD296" s="584"/>
      <c r="AE296" s="584"/>
      <c r="AF296" s="584"/>
    </row>
    <row r="297" ht="14.25" customHeight="1">
      <c r="A297" s="582">
        <v>215.0</v>
      </c>
      <c r="B297" s="601" t="s">
        <v>1107</v>
      </c>
      <c r="C297" s="598">
        <v>46189.0</v>
      </c>
      <c r="D297" s="581">
        <v>46189.0</v>
      </c>
      <c r="E297" s="599"/>
      <c r="F297" s="601" t="s">
        <v>1108</v>
      </c>
      <c r="G297" s="596" t="s">
        <v>1833</v>
      </c>
      <c r="H297" s="596" t="s">
        <v>1834</v>
      </c>
      <c r="I297" s="601" t="s">
        <v>1168</v>
      </c>
      <c r="J297" s="601" t="s">
        <v>1835</v>
      </c>
      <c r="K297" s="601" t="s">
        <v>265</v>
      </c>
      <c r="L297" s="582">
        <v>14538.71</v>
      </c>
      <c r="M297" s="582">
        <v>14538.71</v>
      </c>
      <c r="N297" s="585">
        <v>14538.71</v>
      </c>
      <c r="O297" s="601" t="s">
        <v>1836</v>
      </c>
      <c r="P297" s="582">
        <v>0.0</v>
      </c>
      <c r="Q297" s="584"/>
      <c r="R297" s="584"/>
      <c r="S297" s="584"/>
      <c r="T297" s="584"/>
      <c r="U297" s="584"/>
      <c r="V297" s="584"/>
      <c r="W297" s="584"/>
      <c r="X297" s="584"/>
      <c r="Y297" s="584"/>
      <c r="Z297" s="584"/>
      <c r="AA297" s="584"/>
      <c r="AB297" s="584"/>
      <c r="AC297" s="584"/>
      <c r="AD297" s="584"/>
      <c r="AE297" s="584"/>
      <c r="AF297" s="584"/>
    </row>
    <row r="298" ht="14.25" customHeight="1">
      <c r="A298" s="582">
        <v>216.0</v>
      </c>
      <c r="B298" s="601" t="s">
        <v>1107</v>
      </c>
      <c r="C298" s="598">
        <v>46189.0</v>
      </c>
      <c r="D298" s="581">
        <v>46189.0</v>
      </c>
      <c r="E298" s="599"/>
      <c r="F298" s="601" t="s">
        <v>1108</v>
      </c>
      <c r="G298" s="596" t="s">
        <v>1837</v>
      </c>
      <c r="H298" s="596" t="s">
        <v>1837</v>
      </c>
      <c r="I298" s="601" t="s">
        <v>1168</v>
      </c>
      <c r="J298" s="601" t="s">
        <v>1838</v>
      </c>
      <c r="K298" s="601" t="s">
        <v>265</v>
      </c>
      <c r="L298" s="582">
        <v>24172.49</v>
      </c>
      <c r="M298" s="582">
        <v>24172.49</v>
      </c>
      <c r="N298" s="582">
        <v>24172.49</v>
      </c>
      <c r="O298" s="601" t="s">
        <v>1839</v>
      </c>
      <c r="P298" s="582">
        <v>0.0</v>
      </c>
      <c r="Q298" s="584"/>
      <c r="R298" s="584"/>
      <c r="S298" s="584"/>
      <c r="T298" s="584"/>
      <c r="U298" s="584"/>
      <c r="V298" s="584"/>
      <c r="W298" s="584"/>
      <c r="X298" s="584"/>
      <c r="Y298" s="584"/>
      <c r="Z298" s="584"/>
      <c r="AA298" s="584"/>
      <c r="AB298" s="584"/>
      <c r="AC298" s="584"/>
      <c r="AD298" s="584"/>
      <c r="AE298" s="584"/>
      <c r="AF298" s="584"/>
    </row>
    <row r="299" ht="14.25" customHeight="1">
      <c r="A299" s="582">
        <v>217.0</v>
      </c>
      <c r="B299" s="601" t="s">
        <v>1107</v>
      </c>
      <c r="C299" s="598">
        <v>46189.0</v>
      </c>
      <c r="D299" s="581">
        <v>46189.0</v>
      </c>
      <c r="E299" s="599"/>
      <c r="F299" s="601" t="s">
        <v>1108</v>
      </c>
      <c r="G299" s="596" t="s">
        <v>1840</v>
      </c>
      <c r="H299" s="596" t="s">
        <v>1840</v>
      </c>
      <c r="I299" s="601" t="s">
        <v>1168</v>
      </c>
      <c r="J299" s="601" t="s">
        <v>1841</v>
      </c>
      <c r="K299" s="601" t="s">
        <v>265</v>
      </c>
      <c r="L299" s="582">
        <v>20067.7</v>
      </c>
      <c r="M299" s="582">
        <v>20067.7</v>
      </c>
      <c r="N299" s="582">
        <v>20067.7</v>
      </c>
      <c r="O299" s="601" t="s">
        <v>1842</v>
      </c>
      <c r="P299" s="582">
        <v>0.0</v>
      </c>
      <c r="Q299" s="584"/>
      <c r="R299" s="584"/>
      <c r="S299" s="584"/>
      <c r="T299" s="584"/>
      <c r="U299" s="584"/>
      <c r="V299" s="584"/>
      <c r="W299" s="584"/>
      <c r="X299" s="584"/>
      <c r="Y299" s="584"/>
      <c r="Z299" s="584"/>
      <c r="AA299" s="584"/>
      <c r="AB299" s="584"/>
      <c r="AC299" s="584"/>
      <c r="AD299" s="584"/>
      <c r="AE299" s="584"/>
      <c r="AF299" s="584"/>
    </row>
    <row r="300" ht="14.25" customHeight="1">
      <c r="A300" s="582">
        <v>219.0</v>
      </c>
      <c r="B300" s="601" t="s">
        <v>1107</v>
      </c>
      <c r="C300" s="598">
        <v>46189.0</v>
      </c>
      <c r="D300" s="581">
        <v>46189.0</v>
      </c>
      <c r="E300" s="599"/>
      <c r="F300" s="601" t="s">
        <v>1108</v>
      </c>
      <c r="G300" s="596" t="s">
        <v>1843</v>
      </c>
      <c r="H300" s="596" t="s">
        <v>1843</v>
      </c>
      <c r="I300" s="601" t="s">
        <v>1168</v>
      </c>
      <c r="J300" s="601" t="s">
        <v>1844</v>
      </c>
      <c r="K300" s="601" t="s">
        <v>265</v>
      </c>
      <c r="L300" s="582">
        <v>32601.64</v>
      </c>
      <c r="M300" s="582">
        <v>32601.64</v>
      </c>
      <c r="N300" s="582">
        <v>32601.64</v>
      </c>
      <c r="O300" s="601" t="s">
        <v>1845</v>
      </c>
      <c r="P300" s="582">
        <v>0.0</v>
      </c>
      <c r="Q300" s="584"/>
      <c r="R300" s="584"/>
      <c r="S300" s="584"/>
      <c r="T300" s="584"/>
      <c r="U300" s="584"/>
      <c r="V300" s="584"/>
      <c r="W300" s="584"/>
      <c r="X300" s="584"/>
      <c r="Y300" s="584"/>
      <c r="Z300" s="584"/>
      <c r="AA300" s="584"/>
      <c r="AB300" s="584"/>
      <c r="AC300" s="584"/>
      <c r="AD300" s="584"/>
      <c r="AE300" s="584"/>
      <c r="AF300" s="584"/>
    </row>
    <row r="301" ht="14.25" customHeight="1">
      <c r="A301" s="582">
        <v>220.0</v>
      </c>
      <c r="B301" s="601" t="s">
        <v>1107</v>
      </c>
      <c r="C301" s="598">
        <v>46189.0</v>
      </c>
      <c r="D301" s="581">
        <v>46189.0</v>
      </c>
      <c r="E301" s="599"/>
      <c r="F301" s="601" t="s">
        <v>1108</v>
      </c>
      <c r="G301" s="596" t="s">
        <v>1846</v>
      </c>
      <c r="H301" s="596" t="s">
        <v>1846</v>
      </c>
      <c r="I301" s="601" t="s">
        <v>1168</v>
      </c>
      <c r="J301" s="601" t="s">
        <v>1847</v>
      </c>
      <c r="K301" s="601" t="s">
        <v>265</v>
      </c>
      <c r="L301" s="582">
        <v>20922.8</v>
      </c>
      <c r="M301" s="582">
        <v>20922.8</v>
      </c>
      <c r="N301" s="582">
        <v>20922.8</v>
      </c>
      <c r="O301" s="601" t="s">
        <v>1848</v>
      </c>
      <c r="P301" s="582">
        <v>0.0</v>
      </c>
      <c r="Q301" s="584"/>
      <c r="R301" s="584"/>
      <c r="S301" s="584"/>
      <c r="T301" s="584"/>
      <c r="U301" s="584"/>
      <c r="V301" s="584"/>
      <c r="W301" s="584"/>
      <c r="X301" s="584"/>
      <c r="Y301" s="584"/>
      <c r="Z301" s="584"/>
      <c r="AA301" s="584"/>
      <c r="AB301" s="584"/>
      <c r="AC301" s="584"/>
      <c r="AD301" s="584"/>
      <c r="AE301" s="584"/>
      <c r="AF301" s="584"/>
    </row>
    <row r="302" ht="14.25" customHeight="1">
      <c r="A302" s="582">
        <v>221.0</v>
      </c>
      <c r="B302" s="601" t="s">
        <v>1107</v>
      </c>
      <c r="C302" s="598">
        <v>46189.0</v>
      </c>
      <c r="D302" s="581">
        <v>46189.0</v>
      </c>
      <c r="E302" s="599"/>
      <c r="F302" s="601" t="s">
        <v>1108</v>
      </c>
      <c r="G302" s="596" t="s">
        <v>1849</v>
      </c>
      <c r="H302" s="596" t="s">
        <v>1849</v>
      </c>
      <c r="I302" s="601" t="s">
        <v>1168</v>
      </c>
      <c r="J302" s="601" t="s">
        <v>1850</v>
      </c>
      <c r="K302" s="601" t="s">
        <v>265</v>
      </c>
      <c r="L302" s="582">
        <v>64617.82</v>
      </c>
      <c r="M302" s="582">
        <v>64617.82</v>
      </c>
      <c r="N302" s="585">
        <v>64617.82</v>
      </c>
      <c r="O302" s="601" t="s">
        <v>1851</v>
      </c>
      <c r="P302" s="582">
        <v>0.0</v>
      </c>
      <c r="Q302" s="584"/>
      <c r="R302" s="584"/>
      <c r="S302" s="584"/>
      <c r="T302" s="584"/>
      <c r="U302" s="584"/>
      <c r="V302" s="584"/>
      <c r="W302" s="584"/>
      <c r="X302" s="584"/>
      <c r="Y302" s="584"/>
      <c r="Z302" s="584"/>
      <c r="AA302" s="584"/>
      <c r="AB302" s="584"/>
      <c r="AC302" s="584"/>
      <c r="AD302" s="584"/>
      <c r="AE302" s="584"/>
      <c r="AF302" s="584"/>
    </row>
    <row r="303" ht="14.25" customHeight="1">
      <c r="A303" s="582">
        <v>222.0</v>
      </c>
      <c r="B303" s="601" t="s">
        <v>1107</v>
      </c>
      <c r="C303" s="598">
        <v>46189.0</v>
      </c>
      <c r="D303" s="581">
        <v>46189.0</v>
      </c>
      <c r="E303" s="599"/>
      <c r="F303" s="601" t="s">
        <v>1108</v>
      </c>
      <c r="G303" s="596" t="s">
        <v>1852</v>
      </c>
      <c r="H303" s="596" t="s">
        <v>1852</v>
      </c>
      <c r="I303" s="601" t="s">
        <v>1168</v>
      </c>
      <c r="J303" s="601" t="s">
        <v>1853</v>
      </c>
      <c r="K303" s="601" t="s">
        <v>265</v>
      </c>
      <c r="L303" s="582">
        <v>35641.83</v>
      </c>
      <c r="M303" s="582">
        <v>35641.83</v>
      </c>
      <c r="N303" s="585">
        <v>35641.83</v>
      </c>
      <c r="O303" s="601" t="s">
        <v>1854</v>
      </c>
      <c r="P303" s="582">
        <v>0.0</v>
      </c>
      <c r="Q303" s="584"/>
      <c r="R303" s="584"/>
      <c r="S303" s="584"/>
      <c r="T303" s="584"/>
      <c r="U303" s="584"/>
      <c r="V303" s="584"/>
      <c r="W303" s="584"/>
      <c r="X303" s="584"/>
      <c r="Y303" s="584"/>
      <c r="Z303" s="584"/>
      <c r="AA303" s="584"/>
      <c r="AB303" s="584"/>
      <c r="AC303" s="584"/>
      <c r="AD303" s="584"/>
      <c r="AE303" s="584"/>
      <c r="AF303" s="584"/>
    </row>
    <row r="304" ht="14.25" customHeight="1">
      <c r="A304" s="582">
        <v>224.0</v>
      </c>
      <c r="B304" s="601" t="s">
        <v>1107</v>
      </c>
      <c r="C304" s="598">
        <v>46189.0</v>
      </c>
      <c r="D304" s="581">
        <v>46189.0</v>
      </c>
      <c r="E304" s="599"/>
      <c r="F304" s="601" t="s">
        <v>1108</v>
      </c>
      <c r="G304" s="596" t="s">
        <v>1855</v>
      </c>
      <c r="H304" s="596" t="s">
        <v>1855</v>
      </c>
      <c r="I304" s="601" t="s">
        <v>1168</v>
      </c>
      <c r="J304" s="601" t="s">
        <v>1856</v>
      </c>
      <c r="K304" s="601" t="s">
        <v>265</v>
      </c>
      <c r="L304" s="582">
        <v>20727.2</v>
      </c>
      <c r="M304" s="582">
        <v>20727.2</v>
      </c>
      <c r="N304" s="582">
        <v>20727.2</v>
      </c>
      <c r="O304" s="601" t="s">
        <v>1857</v>
      </c>
      <c r="P304" s="582">
        <v>0.0</v>
      </c>
      <c r="Q304" s="584"/>
      <c r="R304" s="584"/>
      <c r="S304" s="584"/>
      <c r="T304" s="584"/>
      <c r="U304" s="584"/>
      <c r="V304" s="584"/>
      <c r="W304" s="584"/>
      <c r="X304" s="584"/>
      <c r="Y304" s="584"/>
      <c r="Z304" s="584"/>
      <c r="AA304" s="584"/>
      <c r="AB304" s="584"/>
      <c r="AC304" s="584"/>
      <c r="AD304" s="584"/>
      <c r="AE304" s="584"/>
      <c r="AF304" s="584"/>
    </row>
    <row r="305" ht="14.25" customHeight="1">
      <c r="A305" s="582">
        <v>226.0</v>
      </c>
      <c r="B305" s="601" t="s">
        <v>1107</v>
      </c>
      <c r="C305" s="598">
        <v>46189.0</v>
      </c>
      <c r="D305" s="581">
        <v>46189.0</v>
      </c>
      <c r="E305" s="599"/>
      <c r="F305" s="601" t="s">
        <v>1108</v>
      </c>
      <c r="G305" s="596" t="s">
        <v>1858</v>
      </c>
      <c r="H305" s="596" t="s">
        <v>1859</v>
      </c>
      <c r="I305" s="601" t="s">
        <v>1168</v>
      </c>
      <c r="J305" s="601" t="s">
        <v>1860</v>
      </c>
      <c r="K305" s="601" t="s">
        <v>265</v>
      </c>
      <c r="L305" s="582">
        <v>20944.71</v>
      </c>
      <c r="M305" s="582">
        <v>20944.71</v>
      </c>
      <c r="N305" s="582">
        <v>20944.71</v>
      </c>
      <c r="O305" s="601" t="s">
        <v>1861</v>
      </c>
      <c r="P305" s="582">
        <v>0.0</v>
      </c>
      <c r="Q305" s="584"/>
      <c r="R305" s="584"/>
      <c r="S305" s="584"/>
      <c r="T305" s="584"/>
      <c r="U305" s="584"/>
      <c r="V305" s="584"/>
      <c r="W305" s="584"/>
      <c r="X305" s="584"/>
      <c r="Y305" s="584"/>
      <c r="Z305" s="584"/>
      <c r="AA305" s="584"/>
      <c r="AB305" s="584"/>
      <c r="AC305" s="584"/>
      <c r="AD305" s="584"/>
      <c r="AE305" s="584"/>
      <c r="AF305" s="584"/>
    </row>
    <row r="306" ht="14.25" customHeight="1">
      <c r="A306" s="582">
        <v>227.0</v>
      </c>
      <c r="B306" s="601" t="s">
        <v>1107</v>
      </c>
      <c r="C306" s="598">
        <v>46189.0</v>
      </c>
      <c r="D306" s="581">
        <v>46189.0</v>
      </c>
      <c r="E306" s="599"/>
      <c r="F306" s="601" t="s">
        <v>1108</v>
      </c>
      <c r="G306" s="596" t="s">
        <v>1862</v>
      </c>
      <c r="H306" s="596" t="s">
        <v>1862</v>
      </c>
      <c r="I306" s="601" t="s">
        <v>1168</v>
      </c>
      <c r="J306" s="601" t="s">
        <v>1863</v>
      </c>
      <c r="K306" s="601" t="s">
        <v>265</v>
      </c>
      <c r="L306" s="582">
        <v>21769.77</v>
      </c>
      <c r="M306" s="582">
        <v>21769.77</v>
      </c>
      <c r="N306" s="582">
        <v>21769.77</v>
      </c>
      <c r="O306" s="601" t="s">
        <v>1864</v>
      </c>
      <c r="P306" s="582">
        <v>0.0</v>
      </c>
      <c r="Q306" s="584"/>
      <c r="R306" s="584"/>
      <c r="S306" s="584"/>
      <c r="T306" s="584"/>
      <c r="U306" s="584"/>
      <c r="V306" s="584"/>
      <c r="W306" s="584"/>
      <c r="X306" s="584"/>
      <c r="Y306" s="584"/>
      <c r="Z306" s="584"/>
      <c r="AA306" s="584"/>
      <c r="AB306" s="584"/>
      <c r="AC306" s="584"/>
      <c r="AD306" s="584"/>
      <c r="AE306" s="584"/>
      <c r="AF306" s="584"/>
    </row>
    <row r="307" ht="14.25" customHeight="1">
      <c r="A307" s="582">
        <v>229.0</v>
      </c>
      <c r="B307" s="601" t="s">
        <v>1107</v>
      </c>
      <c r="C307" s="598">
        <v>46189.0</v>
      </c>
      <c r="D307" s="581">
        <v>46189.0</v>
      </c>
      <c r="E307" s="599"/>
      <c r="F307" s="601" t="s">
        <v>1108</v>
      </c>
      <c r="G307" s="596" t="s">
        <v>1865</v>
      </c>
      <c r="H307" s="596" t="s">
        <v>1865</v>
      </c>
      <c r="I307" s="601" t="s">
        <v>1168</v>
      </c>
      <c r="J307" s="601" t="s">
        <v>1866</v>
      </c>
      <c r="K307" s="601" t="s">
        <v>265</v>
      </c>
      <c r="L307" s="582">
        <v>15678.39</v>
      </c>
      <c r="M307" s="582">
        <v>15678.39</v>
      </c>
      <c r="N307" s="582">
        <v>15678.39</v>
      </c>
      <c r="O307" s="601" t="s">
        <v>1867</v>
      </c>
      <c r="P307" s="582">
        <v>0.0</v>
      </c>
      <c r="Q307" s="584"/>
      <c r="R307" s="584"/>
      <c r="S307" s="584"/>
      <c r="T307" s="584"/>
      <c r="U307" s="584"/>
      <c r="V307" s="584"/>
      <c r="W307" s="584"/>
      <c r="X307" s="584"/>
      <c r="Y307" s="584"/>
      <c r="Z307" s="584"/>
      <c r="AA307" s="584"/>
      <c r="AB307" s="584"/>
      <c r="AC307" s="584"/>
      <c r="AD307" s="584"/>
      <c r="AE307" s="584"/>
      <c r="AF307" s="584"/>
    </row>
    <row r="308" ht="14.25" customHeight="1">
      <c r="A308" s="582">
        <v>230.0</v>
      </c>
      <c r="B308" s="601" t="s">
        <v>1107</v>
      </c>
      <c r="C308" s="598">
        <v>46189.0</v>
      </c>
      <c r="D308" s="581">
        <v>46189.0</v>
      </c>
      <c r="E308" s="599"/>
      <c r="F308" s="601" t="s">
        <v>1108</v>
      </c>
      <c r="G308" s="596" t="s">
        <v>1868</v>
      </c>
      <c r="H308" s="596" t="s">
        <v>1868</v>
      </c>
      <c r="I308" s="601" t="s">
        <v>1168</v>
      </c>
      <c r="J308" s="601" t="s">
        <v>1869</v>
      </c>
      <c r="K308" s="601" t="s">
        <v>265</v>
      </c>
      <c r="L308" s="582">
        <v>15000.0</v>
      </c>
      <c r="M308" s="582">
        <v>15000.0</v>
      </c>
      <c r="N308" s="582">
        <v>15000.0</v>
      </c>
      <c r="O308" s="601" t="s">
        <v>1870</v>
      </c>
      <c r="P308" s="582">
        <v>0.0</v>
      </c>
      <c r="Q308" s="584"/>
      <c r="R308" s="584"/>
      <c r="S308" s="584"/>
      <c r="T308" s="584"/>
      <c r="U308" s="584"/>
      <c r="V308" s="584"/>
      <c r="W308" s="584"/>
      <c r="X308" s="584"/>
      <c r="Y308" s="584"/>
      <c r="Z308" s="584"/>
      <c r="AA308" s="584"/>
      <c r="AB308" s="584"/>
      <c r="AC308" s="584"/>
      <c r="AD308" s="584"/>
      <c r="AE308" s="584"/>
      <c r="AF308" s="584"/>
    </row>
    <row r="309" ht="14.25" customHeight="1">
      <c r="A309" s="582">
        <v>231.0</v>
      </c>
      <c r="B309" s="601" t="s">
        <v>1107</v>
      </c>
      <c r="C309" s="598">
        <v>46189.0</v>
      </c>
      <c r="D309" s="581">
        <v>46189.0</v>
      </c>
      <c r="E309" s="599"/>
      <c r="F309" s="601" t="s">
        <v>1108</v>
      </c>
      <c r="G309" s="596" t="s">
        <v>1871</v>
      </c>
      <c r="H309" s="596" t="s">
        <v>1871</v>
      </c>
      <c r="I309" s="601" t="s">
        <v>1168</v>
      </c>
      <c r="J309" s="601" t="s">
        <v>1872</v>
      </c>
      <c r="K309" s="601" t="s">
        <v>265</v>
      </c>
      <c r="L309" s="582">
        <v>63064.73</v>
      </c>
      <c r="M309" s="582">
        <v>63064.73</v>
      </c>
      <c r="N309" s="582">
        <v>63064.73</v>
      </c>
      <c r="O309" s="601" t="s">
        <v>1873</v>
      </c>
      <c r="P309" s="582">
        <v>0.0</v>
      </c>
      <c r="Q309" s="584"/>
      <c r="R309" s="584"/>
      <c r="S309" s="584"/>
      <c r="T309" s="584"/>
      <c r="U309" s="584"/>
      <c r="V309" s="584"/>
      <c r="W309" s="584"/>
      <c r="X309" s="584"/>
      <c r="Y309" s="584"/>
      <c r="Z309" s="584"/>
      <c r="AA309" s="584"/>
      <c r="AB309" s="584"/>
      <c r="AC309" s="584"/>
      <c r="AD309" s="584"/>
      <c r="AE309" s="584"/>
      <c r="AF309" s="584"/>
    </row>
    <row r="310" ht="14.25" customHeight="1">
      <c r="A310" s="582">
        <v>233.0</v>
      </c>
      <c r="B310" s="601" t="s">
        <v>1107</v>
      </c>
      <c r="C310" s="598">
        <v>46189.0</v>
      </c>
      <c r="D310" s="581">
        <v>46189.0</v>
      </c>
      <c r="E310" s="599"/>
      <c r="F310" s="601" t="s">
        <v>1108</v>
      </c>
      <c r="G310" s="596" t="s">
        <v>1874</v>
      </c>
      <c r="H310" s="596" t="s">
        <v>1874</v>
      </c>
      <c r="I310" s="601" t="s">
        <v>1168</v>
      </c>
      <c r="J310" s="601" t="s">
        <v>1875</v>
      </c>
      <c r="K310" s="601" t="s">
        <v>265</v>
      </c>
      <c r="L310" s="582">
        <v>41920.75</v>
      </c>
      <c r="M310" s="582">
        <v>41920.75</v>
      </c>
      <c r="N310" s="582">
        <v>41920.75</v>
      </c>
      <c r="O310" s="601" t="s">
        <v>1876</v>
      </c>
      <c r="P310" s="582">
        <v>0.0</v>
      </c>
      <c r="Q310" s="584"/>
      <c r="R310" s="584"/>
      <c r="S310" s="584"/>
      <c r="T310" s="584"/>
      <c r="U310" s="584"/>
      <c r="V310" s="584"/>
      <c r="W310" s="584"/>
      <c r="X310" s="584"/>
      <c r="Y310" s="584"/>
      <c r="Z310" s="584"/>
      <c r="AA310" s="584"/>
      <c r="AB310" s="584"/>
      <c r="AC310" s="584"/>
      <c r="AD310" s="584"/>
      <c r="AE310" s="584"/>
      <c r="AF310" s="584"/>
    </row>
    <row r="311">
      <c r="A311" s="582">
        <v>236.0</v>
      </c>
      <c r="B311" s="601" t="s">
        <v>1107</v>
      </c>
      <c r="C311" s="598">
        <v>46189.0</v>
      </c>
      <c r="D311" s="581">
        <v>46189.0</v>
      </c>
      <c r="E311" s="599"/>
      <c r="F311" s="601" t="s">
        <v>1108</v>
      </c>
      <c r="G311" s="596" t="s">
        <v>1877</v>
      </c>
      <c r="H311" s="596" t="s">
        <v>1877</v>
      </c>
      <c r="I311" s="601" t="s">
        <v>1168</v>
      </c>
      <c r="J311" s="601" t="s">
        <v>1878</v>
      </c>
      <c r="K311" s="601" t="s">
        <v>265</v>
      </c>
      <c r="L311" s="582">
        <v>20858.76</v>
      </c>
      <c r="M311" s="582">
        <v>20858.76</v>
      </c>
      <c r="N311" s="582">
        <v>20858.76</v>
      </c>
      <c r="O311" s="601" t="s">
        <v>1879</v>
      </c>
      <c r="P311" s="582">
        <v>0.0</v>
      </c>
      <c r="Q311" s="584"/>
      <c r="R311" s="584"/>
      <c r="S311" s="584"/>
      <c r="T311" s="584"/>
      <c r="U311" s="584"/>
      <c r="V311" s="584"/>
      <c r="W311" s="584"/>
      <c r="X311" s="584"/>
      <c r="Y311" s="584"/>
      <c r="Z311" s="584"/>
      <c r="AA311" s="584"/>
      <c r="AB311" s="584"/>
      <c r="AC311" s="584"/>
      <c r="AD311" s="584"/>
      <c r="AE311" s="584"/>
      <c r="AF311" s="584"/>
    </row>
    <row r="312" ht="14.25" customHeight="1">
      <c r="A312" s="582">
        <v>238.0</v>
      </c>
      <c r="B312" s="601" t="s">
        <v>1107</v>
      </c>
      <c r="C312" s="598">
        <v>46189.0</v>
      </c>
      <c r="D312" s="581">
        <v>46189.0</v>
      </c>
      <c r="E312" s="599"/>
      <c r="F312" s="601" t="s">
        <v>1108</v>
      </c>
      <c r="G312" s="596" t="s">
        <v>1880</v>
      </c>
      <c r="H312" s="596" t="s">
        <v>1880</v>
      </c>
      <c r="I312" s="601" t="s">
        <v>1168</v>
      </c>
      <c r="J312" s="601" t="s">
        <v>1881</v>
      </c>
      <c r="K312" s="601" t="s">
        <v>265</v>
      </c>
      <c r="L312" s="582">
        <v>15455.25</v>
      </c>
      <c r="M312" s="582">
        <v>15455.25</v>
      </c>
      <c r="N312" s="585">
        <v>15455.25</v>
      </c>
      <c r="O312" s="601" t="s">
        <v>1882</v>
      </c>
      <c r="P312" s="582">
        <v>0.0</v>
      </c>
      <c r="Q312" s="584"/>
      <c r="R312" s="584"/>
      <c r="S312" s="584"/>
      <c r="T312" s="584"/>
      <c r="U312" s="584"/>
      <c r="V312" s="584"/>
      <c r="W312" s="584"/>
      <c r="X312" s="584"/>
      <c r="Y312" s="584"/>
      <c r="Z312" s="584"/>
      <c r="AA312" s="584"/>
      <c r="AB312" s="584"/>
      <c r="AC312" s="584"/>
      <c r="AD312" s="584"/>
      <c r="AE312" s="584"/>
      <c r="AF312" s="584"/>
    </row>
    <row r="313" ht="14.25" customHeight="1">
      <c r="A313" s="582">
        <v>241.0</v>
      </c>
      <c r="B313" s="601" t="s">
        <v>1107</v>
      </c>
      <c r="C313" s="598">
        <v>46189.0</v>
      </c>
      <c r="D313" s="581">
        <v>46189.0</v>
      </c>
      <c r="E313" s="599"/>
      <c r="F313" s="601" t="s">
        <v>1108</v>
      </c>
      <c r="G313" s="596" t="s">
        <v>1883</v>
      </c>
      <c r="H313" s="596" t="s">
        <v>1883</v>
      </c>
      <c r="I313" s="601" t="s">
        <v>1168</v>
      </c>
      <c r="J313" s="601" t="s">
        <v>1884</v>
      </c>
      <c r="K313" s="601" t="s">
        <v>265</v>
      </c>
      <c r="L313" s="582">
        <v>2376.76</v>
      </c>
      <c r="M313" s="582">
        <v>2376.76</v>
      </c>
      <c r="N313" s="582">
        <v>2376.76</v>
      </c>
      <c r="O313" s="601" t="s">
        <v>1885</v>
      </c>
      <c r="P313" s="582">
        <v>0.0</v>
      </c>
      <c r="Q313" s="584"/>
      <c r="R313" s="584"/>
      <c r="S313" s="584"/>
      <c r="T313" s="584"/>
      <c r="U313" s="584"/>
      <c r="V313" s="584"/>
      <c r="W313" s="584"/>
      <c r="X313" s="584"/>
      <c r="Y313" s="584"/>
      <c r="Z313" s="584"/>
      <c r="AA313" s="584"/>
      <c r="AB313" s="584"/>
      <c r="AC313" s="584"/>
      <c r="AD313" s="584"/>
      <c r="AE313" s="584"/>
      <c r="AF313" s="584"/>
    </row>
    <row r="314" ht="13.5" customHeight="1">
      <c r="A314" s="582">
        <v>242.0</v>
      </c>
      <c r="B314" s="601" t="s">
        <v>1107</v>
      </c>
      <c r="C314" s="598">
        <v>46189.0</v>
      </c>
      <c r="D314" s="581">
        <v>46189.0</v>
      </c>
      <c r="E314" s="599"/>
      <c r="F314" s="601" t="s">
        <v>1108</v>
      </c>
      <c r="G314" s="596" t="s">
        <v>1886</v>
      </c>
      <c r="H314" s="596" t="s">
        <v>1886</v>
      </c>
      <c r="I314" s="601" t="s">
        <v>1168</v>
      </c>
      <c r="J314" s="601" t="s">
        <v>1887</v>
      </c>
      <c r="K314" s="601" t="s">
        <v>265</v>
      </c>
      <c r="L314" s="582">
        <v>15617.68</v>
      </c>
      <c r="M314" s="582">
        <v>15617.68</v>
      </c>
      <c r="N314" s="582">
        <v>15617.68</v>
      </c>
      <c r="O314" s="601" t="s">
        <v>1888</v>
      </c>
      <c r="P314" s="582">
        <v>0.0</v>
      </c>
      <c r="Q314" s="584"/>
      <c r="R314" s="584"/>
      <c r="S314" s="584"/>
      <c r="T314" s="584"/>
      <c r="U314" s="584"/>
      <c r="V314" s="584"/>
      <c r="W314" s="584"/>
      <c r="X314" s="584"/>
      <c r="Y314" s="584"/>
      <c r="Z314" s="584"/>
      <c r="AA314" s="584"/>
      <c r="AB314" s="584"/>
      <c r="AC314" s="584"/>
      <c r="AD314" s="584"/>
      <c r="AE314" s="584"/>
      <c r="AF314" s="584"/>
    </row>
    <row r="315" ht="14.25" customHeight="1">
      <c r="A315" s="582">
        <v>246.0</v>
      </c>
      <c r="B315" s="601" t="s">
        <v>1107</v>
      </c>
      <c r="C315" s="598">
        <v>46189.0</v>
      </c>
      <c r="D315" s="581">
        <v>46189.0</v>
      </c>
      <c r="E315" s="599"/>
      <c r="F315" s="601" t="s">
        <v>1108</v>
      </c>
      <c r="G315" s="596" t="s">
        <v>1889</v>
      </c>
      <c r="H315" s="596" t="s">
        <v>1889</v>
      </c>
      <c r="I315" s="601" t="s">
        <v>1168</v>
      </c>
      <c r="J315" s="601" t="s">
        <v>1890</v>
      </c>
      <c r="K315" s="601" t="s">
        <v>265</v>
      </c>
      <c r="L315" s="582">
        <v>51170.4</v>
      </c>
      <c r="M315" s="582">
        <v>51170.4</v>
      </c>
      <c r="N315" s="582">
        <v>51170.4</v>
      </c>
      <c r="O315" s="601" t="s">
        <v>1891</v>
      </c>
      <c r="P315" s="582">
        <v>0.0</v>
      </c>
      <c r="Q315" s="584"/>
      <c r="R315" s="584"/>
      <c r="S315" s="584"/>
      <c r="T315" s="584"/>
      <c r="U315" s="584"/>
      <c r="V315" s="584"/>
      <c r="W315" s="584"/>
      <c r="X315" s="584"/>
      <c r="Y315" s="584"/>
      <c r="Z315" s="584"/>
      <c r="AA315" s="584"/>
      <c r="AB315" s="584"/>
      <c r="AC315" s="584"/>
      <c r="AD315" s="584"/>
      <c r="AE315" s="584"/>
      <c r="AF315" s="584"/>
    </row>
    <row r="316">
      <c r="A316" s="582">
        <v>247.0</v>
      </c>
      <c r="B316" s="601" t="s">
        <v>1107</v>
      </c>
      <c r="C316" s="598">
        <v>46189.0</v>
      </c>
      <c r="D316" s="581">
        <v>46189.0</v>
      </c>
      <c r="E316" s="600"/>
      <c r="F316" s="601" t="s">
        <v>1108</v>
      </c>
      <c r="G316" s="596" t="s">
        <v>1892</v>
      </c>
      <c r="H316" s="596" t="s">
        <v>1893</v>
      </c>
      <c r="I316" s="601" t="s">
        <v>1168</v>
      </c>
      <c r="J316" s="601" t="s">
        <v>1894</v>
      </c>
      <c r="K316" s="601" t="s">
        <v>265</v>
      </c>
      <c r="L316" s="582">
        <v>5426.19</v>
      </c>
      <c r="M316" s="582">
        <v>5426.19</v>
      </c>
      <c r="N316" s="582">
        <v>5426.19</v>
      </c>
      <c r="O316" s="601" t="s">
        <v>1895</v>
      </c>
      <c r="P316" s="582">
        <v>0.0</v>
      </c>
      <c r="Q316" s="584"/>
      <c r="R316" s="584"/>
      <c r="S316" s="584"/>
      <c r="T316" s="584"/>
      <c r="U316" s="584"/>
      <c r="V316" s="584"/>
      <c r="W316" s="584"/>
      <c r="X316" s="584"/>
      <c r="Y316" s="584"/>
      <c r="Z316" s="584"/>
      <c r="AA316" s="584"/>
      <c r="AB316" s="584"/>
      <c r="AC316" s="584"/>
      <c r="AD316" s="584"/>
      <c r="AE316" s="584"/>
      <c r="AF316" s="584"/>
    </row>
    <row r="317" ht="14.25" customHeight="1">
      <c r="A317" s="582">
        <v>249.0</v>
      </c>
      <c r="B317" s="601" t="s">
        <v>1107</v>
      </c>
      <c r="C317" s="598">
        <v>46189.0</v>
      </c>
      <c r="D317" s="581">
        <v>46189.0</v>
      </c>
      <c r="E317" s="600"/>
      <c r="F317" s="601" t="s">
        <v>1108</v>
      </c>
      <c r="G317" s="596" t="s">
        <v>1896</v>
      </c>
      <c r="H317" s="596" t="s">
        <v>1896</v>
      </c>
      <c r="I317" s="601" t="s">
        <v>1168</v>
      </c>
      <c r="J317" s="601" t="s">
        <v>1897</v>
      </c>
      <c r="K317" s="601" t="s">
        <v>265</v>
      </c>
      <c r="L317" s="582">
        <v>6186.34</v>
      </c>
      <c r="M317" s="582">
        <v>6186.34</v>
      </c>
      <c r="N317" s="582">
        <v>6186.34</v>
      </c>
      <c r="O317" s="601" t="s">
        <v>1898</v>
      </c>
      <c r="P317" s="582">
        <v>0.0</v>
      </c>
      <c r="Q317" s="584"/>
      <c r="R317" s="584"/>
      <c r="S317" s="584"/>
      <c r="T317" s="584"/>
      <c r="U317" s="584"/>
      <c r="V317" s="584"/>
      <c r="W317" s="584"/>
      <c r="X317" s="584"/>
      <c r="Y317" s="584"/>
      <c r="Z317" s="584"/>
      <c r="AA317" s="584"/>
      <c r="AB317" s="584"/>
      <c r="AC317" s="584"/>
      <c r="AD317" s="584"/>
      <c r="AE317" s="584"/>
      <c r="AF317" s="584"/>
    </row>
    <row r="318" ht="14.25" customHeight="1">
      <c r="A318" s="582">
        <v>250.0</v>
      </c>
      <c r="B318" s="601" t="s">
        <v>1107</v>
      </c>
      <c r="C318" s="598">
        <v>46189.0</v>
      </c>
      <c r="D318" s="581">
        <v>46189.0</v>
      </c>
      <c r="E318" s="600"/>
      <c r="F318" s="601" t="s">
        <v>1108</v>
      </c>
      <c r="G318" s="596" t="s">
        <v>1899</v>
      </c>
      <c r="H318" s="596" t="s">
        <v>1899</v>
      </c>
      <c r="I318" s="601" t="s">
        <v>1168</v>
      </c>
      <c r="J318" s="601" t="s">
        <v>1900</v>
      </c>
      <c r="K318" s="601" t="s">
        <v>265</v>
      </c>
      <c r="L318" s="582">
        <v>32526.38</v>
      </c>
      <c r="M318" s="582">
        <v>32526.38</v>
      </c>
      <c r="N318" s="582">
        <v>32526.38</v>
      </c>
      <c r="O318" s="601" t="s">
        <v>1901</v>
      </c>
      <c r="P318" s="582">
        <v>0.0</v>
      </c>
      <c r="Q318" s="584"/>
      <c r="R318" s="584"/>
      <c r="S318" s="584"/>
      <c r="T318" s="584"/>
      <c r="U318" s="584"/>
      <c r="V318" s="584"/>
      <c r="W318" s="584"/>
      <c r="X318" s="584"/>
      <c r="Y318" s="584"/>
      <c r="Z318" s="584"/>
      <c r="AA318" s="584"/>
      <c r="AB318" s="584"/>
      <c r="AC318" s="584"/>
      <c r="AD318" s="584"/>
      <c r="AE318" s="584"/>
      <c r="AF318" s="584"/>
    </row>
    <row r="319" ht="14.25" customHeight="1">
      <c r="A319" s="582">
        <v>256.0</v>
      </c>
      <c r="B319" s="601" t="s">
        <v>1107</v>
      </c>
      <c r="C319" s="598">
        <v>46189.0</v>
      </c>
      <c r="D319" s="581">
        <v>46189.0</v>
      </c>
      <c r="E319" s="600"/>
      <c r="F319" s="601" t="s">
        <v>1108</v>
      </c>
      <c r="G319" s="596" t="s">
        <v>1902</v>
      </c>
      <c r="H319" s="596" t="s">
        <v>1902</v>
      </c>
      <c r="I319" s="601" t="s">
        <v>1168</v>
      </c>
      <c r="J319" s="601" t="s">
        <v>1903</v>
      </c>
      <c r="K319" s="601" t="s">
        <v>265</v>
      </c>
      <c r="L319" s="582">
        <v>40000.0</v>
      </c>
      <c r="M319" s="582">
        <v>40000.0</v>
      </c>
      <c r="N319" s="582">
        <v>40000.0</v>
      </c>
      <c r="O319" s="601" t="s">
        <v>1904</v>
      </c>
      <c r="P319" s="582">
        <v>0.0</v>
      </c>
      <c r="Q319" s="584"/>
      <c r="R319" s="584"/>
      <c r="S319" s="584"/>
      <c r="T319" s="584"/>
      <c r="U319" s="584"/>
      <c r="V319" s="584"/>
      <c r="W319" s="584"/>
      <c r="X319" s="584"/>
      <c r="Y319" s="584"/>
      <c r="Z319" s="584"/>
      <c r="AA319" s="584"/>
      <c r="AB319" s="584"/>
      <c r="AC319" s="584"/>
      <c r="AD319" s="584"/>
      <c r="AE319" s="584"/>
      <c r="AF319" s="584"/>
    </row>
    <row r="320" ht="14.25" customHeight="1">
      <c r="A320" s="582">
        <v>258.0</v>
      </c>
      <c r="B320" s="601" t="s">
        <v>1107</v>
      </c>
      <c r="C320" s="598">
        <v>46189.0</v>
      </c>
      <c r="D320" s="581">
        <v>46189.0</v>
      </c>
      <c r="E320" s="600"/>
      <c r="F320" s="601" t="s">
        <v>1108</v>
      </c>
      <c r="G320" s="596" t="s">
        <v>1905</v>
      </c>
      <c r="H320" s="596" t="s">
        <v>1906</v>
      </c>
      <c r="I320" s="601" t="s">
        <v>1168</v>
      </c>
      <c r="J320" s="601" t="s">
        <v>1907</v>
      </c>
      <c r="K320" s="601" t="s">
        <v>265</v>
      </c>
      <c r="L320" s="582">
        <v>5983.9</v>
      </c>
      <c r="M320" s="582">
        <v>5983.9</v>
      </c>
      <c r="N320" s="582">
        <v>5983.9</v>
      </c>
      <c r="O320" s="601" t="s">
        <v>1908</v>
      </c>
      <c r="P320" s="582">
        <v>0.0</v>
      </c>
      <c r="Q320" s="584"/>
      <c r="R320" s="584"/>
      <c r="S320" s="584"/>
      <c r="T320" s="584"/>
      <c r="U320" s="584"/>
      <c r="V320" s="584"/>
      <c r="W320" s="584"/>
      <c r="X320" s="584"/>
      <c r="Y320" s="584"/>
      <c r="Z320" s="584"/>
      <c r="AA320" s="584"/>
      <c r="AB320" s="584"/>
      <c r="AC320" s="584"/>
      <c r="AD320" s="584"/>
      <c r="AE320" s="584"/>
      <c r="AF320" s="584"/>
    </row>
    <row r="321" ht="14.25" customHeight="1">
      <c r="A321" s="582">
        <v>260.0</v>
      </c>
      <c r="B321" s="601" t="s">
        <v>1107</v>
      </c>
      <c r="C321" s="598">
        <v>46189.0</v>
      </c>
      <c r="D321" s="581">
        <v>46189.0</v>
      </c>
      <c r="E321" s="599"/>
      <c r="F321" s="601" t="s">
        <v>1108</v>
      </c>
      <c r="G321" s="596" t="s">
        <v>1909</v>
      </c>
      <c r="H321" s="596" t="s">
        <v>1909</v>
      </c>
      <c r="I321" s="601" t="s">
        <v>1168</v>
      </c>
      <c r="J321" s="601" t="s">
        <v>1910</v>
      </c>
      <c r="K321" s="601" t="s">
        <v>265</v>
      </c>
      <c r="L321" s="582">
        <v>2780.06</v>
      </c>
      <c r="M321" s="582">
        <v>2780.06</v>
      </c>
      <c r="N321" s="582">
        <v>2780.06</v>
      </c>
      <c r="O321" s="601" t="s">
        <v>1911</v>
      </c>
      <c r="P321" s="582">
        <v>0.0</v>
      </c>
      <c r="Q321" s="584"/>
      <c r="R321" s="584"/>
      <c r="S321" s="584"/>
      <c r="T321" s="584"/>
      <c r="U321" s="584"/>
      <c r="V321" s="584"/>
      <c r="W321" s="584"/>
      <c r="X321" s="584"/>
      <c r="Y321" s="584"/>
      <c r="Z321" s="584"/>
      <c r="AA321" s="584"/>
      <c r="AB321" s="584"/>
      <c r="AC321" s="584"/>
      <c r="AD321" s="584"/>
      <c r="AE321" s="584"/>
      <c r="AF321" s="584"/>
    </row>
    <row r="322" ht="14.25" customHeight="1">
      <c r="A322" s="582">
        <v>262.0</v>
      </c>
      <c r="B322" s="601" t="s">
        <v>1107</v>
      </c>
      <c r="C322" s="598">
        <v>46189.0</v>
      </c>
      <c r="D322" s="581">
        <v>46189.0</v>
      </c>
      <c r="E322" s="599"/>
      <c r="F322" s="601" t="s">
        <v>1108</v>
      </c>
      <c r="G322" s="596" t="s">
        <v>1912</v>
      </c>
      <c r="H322" s="596" t="s">
        <v>1913</v>
      </c>
      <c r="I322" s="601" t="s">
        <v>1168</v>
      </c>
      <c r="J322" s="601" t="s">
        <v>1914</v>
      </c>
      <c r="K322" s="601" t="s">
        <v>265</v>
      </c>
      <c r="L322" s="582">
        <v>43502.23</v>
      </c>
      <c r="M322" s="582">
        <v>43502.23</v>
      </c>
      <c r="N322" s="582">
        <v>43502.23</v>
      </c>
      <c r="O322" s="601" t="s">
        <v>1915</v>
      </c>
      <c r="P322" s="582">
        <v>0.0</v>
      </c>
      <c r="Q322" s="584"/>
      <c r="R322" s="584"/>
      <c r="S322" s="584"/>
      <c r="T322" s="584"/>
      <c r="U322" s="584"/>
      <c r="V322" s="584"/>
      <c r="W322" s="584"/>
      <c r="X322" s="584"/>
      <c r="Y322" s="584"/>
      <c r="Z322" s="584"/>
      <c r="AA322" s="584"/>
      <c r="AB322" s="584"/>
      <c r="AC322" s="584"/>
      <c r="AD322" s="584"/>
      <c r="AE322" s="584"/>
      <c r="AF322" s="584"/>
    </row>
    <row r="323" ht="14.25" customHeight="1">
      <c r="A323" s="582">
        <v>264.0</v>
      </c>
      <c r="B323" s="601" t="s">
        <v>1107</v>
      </c>
      <c r="C323" s="598">
        <v>46189.0</v>
      </c>
      <c r="D323" s="581">
        <v>46189.0</v>
      </c>
      <c r="E323" s="599"/>
      <c r="F323" s="601" t="s">
        <v>1108</v>
      </c>
      <c r="G323" s="596" t="s">
        <v>1916</v>
      </c>
      <c r="H323" s="596" t="s">
        <v>1916</v>
      </c>
      <c r="I323" s="601" t="s">
        <v>1168</v>
      </c>
      <c r="J323" s="601" t="s">
        <v>1917</v>
      </c>
      <c r="K323" s="601" t="s">
        <v>265</v>
      </c>
      <c r="L323" s="582">
        <v>20740.46</v>
      </c>
      <c r="M323" s="582">
        <v>20740.46</v>
      </c>
      <c r="N323" s="582">
        <v>20740.46</v>
      </c>
      <c r="O323" s="601" t="s">
        <v>1918</v>
      </c>
      <c r="P323" s="582">
        <v>0.0</v>
      </c>
      <c r="Q323" s="584"/>
      <c r="R323" s="584"/>
      <c r="S323" s="584"/>
      <c r="T323" s="584"/>
      <c r="U323" s="584"/>
      <c r="V323" s="584"/>
      <c r="W323" s="584"/>
      <c r="X323" s="584"/>
      <c r="Y323" s="584"/>
      <c r="Z323" s="584"/>
      <c r="AA323" s="584"/>
      <c r="AB323" s="584"/>
      <c r="AC323" s="584"/>
      <c r="AD323" s="584"/>
      <c r="AE323" s="584"/>
      <c r="AF323" s="584"/>
    </row>
    <row r="324" ht="14.25" customHeight="1">
      <c r="A324" s="582">
        <v>267.0</v>
      </c>
      <c r="B324" s="601" t="s">
        <v>1107</v>
      </c>
      <c r="C324" s="598">
        <v>46189.0</v>
      </c>
      <c r="D324" s="581">
        <v>46189.0</v>
      </c>
      <c r="E324" s="599"/>
      <c r="F324" s="601" t="s">
        <v>1108</v>
      </c>
      <c r="G324" s="596" t="s">
        <v>1919</v>
      </c>
      <c r="H324" s="596" t="s">
        <v>1919</v>
      </c>
      <c r="I324" s="601" t="s">
        <v>1168</v>
      </c>
      <c r="J324" s="601" t="s">
        <v>1920</v>
      </c>
      <c r="K324" s="601" t="s">
        <v>265</v>
      </c>
      <c r="L324" s="582">
        <v>20451.93</v>
      </c>
      <c r="M324" s="582">
        <v>20451.93</v>
      </c>
      <c r="N324" s="582">
        <v>20451.93</v>
      </c>
      <c r="O324" s="601" t="s">
        <v>1921</v>
      </c>
      <c r="P324" s="582">
        <v>0.0</v>
      </c>
      <c r="Q324" s="584"/>
      <c r="R324" s="584"/>
      <c r="S324" s="584"/>
      <c r="T324" s="584"/>
      <c r="U324" s="584"/>
      <c r="V324" s="584"/>
      <c r="W324" s="584"/>
      <c r="X324" s="584"/>
      <c r="Y324" s="584"/>
      <c r="Z324" s="584"/>
      <c r="AA324" s="584"/>
      <c r="AB324" s="584"/>
      <c r="AC324" s="584"/>
      <c r="AD324" s="584"/>
      <c r="AE324" s="584"/>
      <c r="AF324" s="584"/>
    </row>
    <row r="325" ht="14.25" customHeight="1">
      <c r="A325" s="582">
        <v>268.0</v>
      </c>
      <c r="B325" s="601" t="s">
        <v>1107</v>
      </c>
      <c r="C325" s="598">
        <v>46189.0</v>
      </c>
      <c r="D325" s="581">
        <v>46189.0</v>
      </c>
      <c r="E325" s="599"/>
      <c r="F325" s="601" t="s">
        <v>1108</v>
      </c>
      <c r="G325" s="596">
        <v>3.7132685E7</v>
      </c>
      <c r="H325" s="596">
        <v>3.7132685E7</v>
      </c>
      <c r="I325" s="601" t="s">
        <v>1168</v>
      </c>
      <c r="J325" s="601" t="s">
        <v>1922</v>
      </c>
      <c r="K325" s="601" t="s">
        <v>265</v>
      </c>
      <c r="L325" s="582">
        <v>22843.96</v>
      </c>
      <c r="M325" s="582">
        <v>22843.96</v>
      </c>
      <c r="N325" s="582">
        <v>22843.96</v>
      </c>
      <c r="O325" s="601" t="s">
        <v>1923</v>
      </c>
      <c r="P325" s="582">
        <v>0.0</v>
      </c>
      <c r="Q325" s="584"/>
      <c r="R325" s="584"/>
      <c r="S325" s="584"/>
      <c r="T325" s="584"/>
      <c r="U325" s="584"/>
      <c r="V325" s="584"/>
      <c r="W325" s="584"/>
      <c r="X325" s="584"/>
      <c r="Y325" s="584"/>
      <c r="Z325" s="584"/>
      <c r="AA325" s="584"/>
      <c r="AB325" s="584"/>
      <c r="AC325" s="584"/>
      <c r="AD325" s="584"/>
      <c r="AE325" s="584"/>
      <c r="AF325" s="584"/>
    </row>
    <row r="326" ht="14.25" customHeight="1">
      <c r="A326" s="582">
        <v>270.0</v>
      </c>
      <c r="B326" s="601" t="s">
        <v>1107</v>
      </c>
      <c r="C326" s="598">
        <v>46189.0</v>
      </c>
      <c r="D326" s="581">
        <v>46189.0</v>
      </c>
      <c r="E326" s="599"/>
      <c r="F326" s="601" t="s">
        <v>1108</v>
      </c>
      <c r="G326" s="596" t="s">
        <v>1924</v>
      </c>
      <c r="H326" s="596" t="s">
        <v>1924</v>
      </c>
      <c r="I326" s="601" t="s">
        <v>1168</v>
      </c>
      <c r="J326" s="601" t="s">
        <v>1925</v>
      </c>
      <c r="K326" s="601" t="s">
        <v>265</v>
      </c>
      <c r="L326" s="582">
        <v>15705.86</v>
      </c>
      <c r="M326" s="582">
        <v>15705.86</v>
      </c>
      <c r="N326" s="582">
        <v>15705.86</v>
      </c>
      <c r="O326" s="601" t="s">
        <v>1926</v>
      </c>
      <c r="P326" s="582">
        <v>0.0</v>
      </c>
      <c r="Q326" s="584"/>
      <c r="R326" s="584"/>
      <c r="S326" s="584"/>
      <c r="T326" s="584"/>
      <c r="U326" s="584"/>
      <c r="V326" s="584"/>
      <c r="W326" s="584"/>
      <c r="X326" s="584"/>
      <c r="Y326" s="584"/>
      <c r="Z326" s="584"/>
      <c r="AA326" s="584"/>
      <c r="AB326" s="584"/>
      <c r="AC326" s="584"/>
      <c r="AD326" s="584"/>
      <c r="AE326" s="584"/>
      <c r="AF326" s="584"/>
    </row>
    <row r="327" ht="14.25" customHeight="1">
      <c r="A327" s="582">
        <v>271.0</v>
      </c>
      <c r="B327" s="601" t="s">
        <v>1107</v>
      </c>
      <c r="C327" s="598">
        <v>46189.0</v>
      </c>
      <c r="D327" s="581">
        <v>46189.0</v>
      </c>
      <c r="E327" s="599"/>
      <c r="F327" s="601" t="s">
        <v>1108</v>
      </c>
      <c r="G327" s="596" t="s">
        <v>1927</v>
      </c>
      <c r="H327" s="596" t="s">
        <v>1928</v>
      </c>
      <c r="I327" s="601" t="s">
        <v>1168</v>
      </c>
      <c r="J327" s="601" t="s">
        <v>1929</v>
      </c>
      <c r="K327" s="601" t="s">
        <v>265</v>
      </c>
      <c r="L327" s="582">
        <v>20913.69</v>
      </c>
      <c r="M327" s="582">
        <v>20913.69</v>
      </c>
      <c r="N327" s="582">
        <v>20913.69</v>
      </c>
      <c r="O327" s="601" t="s">
        <v>1930</v>
      </c>
      <c r="P327" s="582">
        <v>0.0</v>
      </c>
      <c r="Q327" s="584"/>
      <c r="R327" s="584"/>
      <c r="S327" s="584"/>
      <c r="T327" s="584"/>
      <c r="U327" s="584"/>
      <c r="V327" s="584"/>
      <c r="W327" s="584"/>
      <c r="X327" s="584"/>
      <c r="Y327" s="584"/>
      <c r="Z327" s="584"/>
      <c r="AA327" s="584"/>
      <c r="AB327" s="584"/>
      <c r="AC327" s="584"/>
      <c r="AD327" s="584"/>
      <c r="AE327" s="584"/>
      <c r="AF327" s="584"/>
    </row>
    <row r="328" ht="14.25" customHeight="1">
      <c r="A328" s="582">
        <v>272.0</v>
      </c>
      <c r="B328" s="601" t="s">
        <v>1107</v>
      </c>
      <c r="C328" s="598">
        <v>46189.0</v>
      </c>
      <c r="D328" s="581">
        <v>46189.0</v>
      </c>
      <c r="E328" s="599"/>
      <c r="F328" s="601" t="s">
        <v>1108</v>
      </c>
      <c r="G328" s="596" t="s">
        <v>1931</v>
      </c>
      <c r="H328" s="596" t="s">
        <v>1931</v>
      </c>
      <c r="I328" s="601" t="s">
        <v>1168</v>
      </c>
      <c r="J328" s="601" t="s">
        <v>1932</v>
      </c>
      <c r="K328" s="601" t="s">
        <v>265</v>
      </c>
      <c r="L328" s="582">
        <v>20910.88</v>
      </c>
      <c r="M328" s="582">
        <v>20910.88</v>
      </c>
      <c r="N328" s="585">
        <v>20910.88</v>
      </c>
      <c r="O328" s="601" t="s">
        <v>1933</v>
      </c>
      <c r="P328" s="582">
        <v>0.0</v>
      </c>
      <c r="Q328" s="584"/>
      <c r="R328" s="584"/>
      <c r="S328" s="584"/>
      <c r="T328" s="584"/>
      <c r="U328" s="584"/>
      <c r="V328" s="584"/>
      <c r="W328" s="584"/>
      <c r="X328" s="584"/>
      <c r="Y328" s="584"/>
      <c r="Z328" s="584"/>
      <c r="AA328" s="584"/>
      <c r="AB328" s="584"/>
      <c r="AC328" s="584"/>
      <c r="AD328" s="584"/>
      <c r="AE328" s="584"/>
      <c r="AF328" s="584"/>
    </row>
    <row r="329" ht="14.25" customHeight="1">
      <c r="A329" s="582">
        <v>273.0</v>
      </c>
      <c r="B329" s="601" t="s">
        <v>1107</v>
      </c>
      <c r="C329" s="598">
        <v>46189.0</v>
      </c>
      <c r="D329" s="581">
        <v>46189.0</v>
      </c>
      <c r="E329" s="599"/>
      <c r="F329" s="601" t="s">
        <v>1108</v>
      </c>
      <c r="G329" s="596" t="s">
        <v>1934</v>
      </c>
      <c r="H329" s="596" t="s">
        <v>1934</v>
      </c>
      <c r="I329" s="601" t="s">
        <v>1168</v>
      </c>
      <c r="J329" s="601" t="s">
        <v>1935</v>
      </c>
      <c r="K329" s="601" t="s">
        <v>265</v>
      </c>
      <c r="L329" s="582">
        <v>2755.69</v>
      </c>
      <c r="M329" s="582">
        <v>2755.69</v>
      </c>
      <c r="N329" s="582">
        <v>2755.69</v>
      </c>
      <c r="O329" s="601" t="s">
        <v>1936</v>
      </c>
      <c r="P329" s="582">
        <v>0.0</v>
      </c>
      <c r="Q329" s="584"/>
      <c r="R329" s="584"/>
      <c r="S329" s="584"/>
      <c r="T329" s="584"/>
      <c r="U329" s="584"/>
      <c r="V329" s="584"/>
      <c r="W329" s="584"/>
      <c r="X329" s="584"/>
      <c r="Y329" s="584"/>
      <c r="Z329" s="584"/>
      <c r="AA329" s="584"/>
      <c r="AB329" s="584"/>
      <c r="AC329" s="584"/>
      <c r="AD329" s="584"/>
      <c r="AE329" s="584"/>
      <c r="AF329" s="584"/>
    </row>
    <row r="330" ht="14.25" customHeight="1">
      <c r="A330" s="582">
        <v>274.0</v>
      </c>
      <c r="B330" s="601" t="s">
        <v>1107</v>
      </c>
      <c r="C330" s="598">
        <v>46189.0</v>
      </c>
      <c r="D330" s="581">
        <v>46189.0</v>
      </c>
      <c r="E330" s="599"/>
      <c r="F330" s="601" t="s">
        <v>1108</v>
      </c>
      <c r="G330" s="596" t="s">
        <v>1937</v>
      </c>
      <c r="H330" s="596" t="s">
        <v>1937</v>
      </c>
      <c r="I330" s="601" t="s">
        <v>1168</v>
      </c>
      <c r="J330" s="601" t="s">
        <v>1938</v>
      </c>
      <c r="K330" s="601" t="s">
        <v>265</v>
      </c>
      <c r="L330" s="582">
        <v>42012.77</v>
      </c>
      <c r="M330" s="582">
        <v>42012.77</v>
      </c>
      <c r="N330" s="582">
        <v>42012.77</v>
      </c>
      <c r="O330" s="601" t="s">
        <v>1939</v>
      </c>
      <c r="P330" s="582">
        <v>0.0</v>
      </c>
      <c r="Q330" s="584"/>
      <c r="R330" s="584"/>
      <c r="S330" s="584"/>
      <c r="T330" s="584"/>
      <c r="U330" s="584"/>
      <c r="V330" s="584"/>
      <c r="W330" s="584"/>
      <c r="X330" s="584"/>
      <c r="Y330" s="584"/>
      <c r="Z330" s="584"/>
      <c r="AA330" s="584"/>
      <c r="AB330" s="584"/>
      <c r="AC330" s="584"/>
      <c r="AD330" s="584"/>
      <c r="AE330" s="584"/>
      <c r="AF330" s="584"/>
    </row>
    <row r="331" ht="14.25" customHeight="1">
      <c r="A331" s="582">
        <v>275.0</v>
      </c>
      <c r="B331" s="601" t="s">
        <v>1107</v>
      </c>
      <c r="C331" s="598">
        <v>46189.0</v>
      </c>
      <c r="D331" s="581">
        <v>46189.0</v>
      </c>
      <c r="E331" s="599"/>
      <c r="F331" s="601" t="s">
        <v>1108</v>
      </c>
      <c r="G331" s="596" t="s">
        <v>1940</v>
      </c>
      <c r="H331" s="596" t="s">
        <v>1940</v>
      </c>
      <c r="I331" s="601" t="s">
        <v>1168</v>
      </c>
      <c r="J331" s="601" t="s">
        <v>1941</v>
      </c>
      <c r="K331" s="601" t="s">
        <v>265</v>
      </c>
      <c r="L331" s="582">
        <v>41788.29</v>
      </c>
      <c r="M331" s="582">
        <v>41788.29</v>
      </c>
      <c r="N331" s="582">
        <v>41788.29</v>
      </c>
      <c r="O331" s="601" t="s">
        <v>1942</v>
      </c>
      <c r="P331" s="582">
        <v>0.0</v>
      </c>
      <c r="Q331" s="584"/>
      <c r="R331" s="584"/>
      <c r="S331" s="584"/>
      <c r="T331" s="584"/>
      <c r="U331" s="584"/>
      <c r="V331" s="584"/>
      <c r="W331" s="584"/>
      <c r="X331" s="584"/>
      <c r="Y331" s="584"/>
      <c r="Z331" s="584"/>
      <c r="AA331" s="584"/>
      <c r="AB331" s="584"/>
      <c r="AC331" s="584"/>
      <c r="AD331" s="584"/>
      <c r="AE331" s="584"/>
      <c r="AF331" s="584"/>
    </row>
    <row r="332" ht="14.25" customHeight="1">
      <c r="A332" s="582">
        <v>276.0</v>
      </c>
      <c r="B332" s="601" t="s">
        <v>1107</v>
      </c>
      <c r="C332" s="598">
        <v>46189.0</v>
      </c>
      <c r="D332" s="581">
        <v>46189.0</v>
      </c>
      <c r="E332" s="599"/>
      <c r="F332" s="601" t="s">
        <v>1108</v>
      </c>
      <c r="G332" s="596" t="s">
        <v>1943</v>
      </c>
      <c r="H332" s="596" t="s">
        <v>1943</v>
      </c>
      <c r="I332" s="601" t="s">
        <v>1168</v>
      </c>
      <c r="J332" s="601" t="s">
        <v>1944</v>
      </c>
      <c r="K332" s="601" t="s">
        <v>265</v>
      </c>
      <c r="L332" s="582">
        <v>75890.47</v>
      </c>
      <c r="M332" s="582">
        <v>75890.47</v>
      </c>
      <c r="N332" s="582">
        <v>75890.47</v>
      </c>
      <c r="O332" s="601" t="s">
        <v>1945</v>
      </c>
      <c r="P332" s="582">
        <v>0.0</v>
      </c>
      <c r="Q332" s="584"/>
      <c r="R332" s="584"/>
      <c r="S332" s="584"/>
      <c r="T332" s="584"/>
      <c r="U332" s="584"/>
      <c r="V332" s="584"/>
      <c r="W332" s="584"/>
      <c r="X332" s="584"/>
      <c r="Y332" s="584"/>
      <c r="Z332" s="584"/>
      <c r="AA332" s="584"/>
      <c r="AB332" s="584"/>
      <c r="AC332" s="584"/>
      <c r="AD332" s="584"/>
      <c r="AE332" s="584"/>
      <c r="AF332" s="584"/>
    </row>
    <row r="333" ht="14.25" customHeight="1">
      <c r="A333" s="582">
        <v>278.0</v>
      </c>
      <c r="B333" s="601" t="s">
        <v>1107</v>
      </c>
      <c r="C333" s="598">
        <v>46189.0</v>
      </c>
      <c r="D333" s="581">
        <v>46189.0</v>
      </c>
      <c r="E333" s="599"/>
      <c r="F333" s="601" t="s">
        <v>1108</v>
      </c>
      <c r="G333" s="596" t="s">
        <v>1946</v>
      </c>
      <c r="H333" s="596" t="s">
        <v>1946</v>
      </c>
      <c r="I333" s="601" t="s">
        <v>1168</v>
      </c>
      <c r="J333" s="601" t="s">
        <v>1947</v>
      </c>
      <c r="K333" s="601" t="s">
        <v>265</v>
      </c>
      <c r="L333" s="582">
        <v>3017.41</v>
      </c>
      <c r="M333" s="582">
        <v>3017.41</v>
      </c>
      <c r="N333" s="582">
        <v>3017.41</v>
      </c>
      <c r="O333" s="601" t="s">
        <v>1948</v>
      </c>
      <c r="P333" s="582">
        <v>0.0</v>
      </c>
      <c r="Q333" s="584"/>
      <c r="R333" s="584"/>
      <c r="S333" s="584"/>
      <c r="T333" s="584"/>
      <c r="U333" s="584"/>
      <c r="V333" s="584"/>
      <c r="W333" s="584"/>
      <c r="X333" s="584"/>
      <c r="Y333" s="584"/>
      <c r="Z333" s="584"/>
      <c r="AA333" s="584"/>
      <c r="AB333" s="584"/>
      <c r="AC333" s="584"/>
      <c r="AD333" s="584"/>
      <c r="AE333" s="584"/>
      <c r="AF333" s="584"/>
    </row>
    <row r="334" ht="14.25" customHeight="1">
      <c r="A334" s="582">
        <v>280.0</v>
      </c>
      <c r="B334" s="601" t="s">
        <v>1107</v>
      </c>
      <c r="C334" s="598">
        <v>46189.0</v>
      </c>
      <c r="D334" s="581">
        <v>46189.0</v>
      </c>
      <c r="E334" s="599"/>
      <c r="F334" s="601" t="s">
        <v>1108</v>
      </c>
      <c r="G334" s="596" t="s">
        <v>1949</v>
      </c>
      <c r="H334" s="596" t="s">
        <v>1949</v>
      </c>
      <c r="I334" s="601" t="s">
        <v>1168</v>
      </c>
      <c r="J334" s="601" t="s">
        <v>1950</v>
      </c>
      <c r="K334" s="601" t="s">
        <v>265</v>
      </c>
      <c r="L334" s="582">
        <v>30124.06</v>
      </c>
      <c r="M334" s="582">
        <v>30124.06</v>
      </c>
      <c r="N334" s="582">
        <v>30124.06</v>
      </c>
      <c r="O334" s="601" t="s">
        <v>1951</v>
      </c>
      <c r="P334" s="582">
        <v>0.0</v>
      </c>
      <c r="Q334" s="584"/>
      <c r="R334" s="584"/>
      <c r="S334" s="584"/>
      <c r="T334" s="584"/>
      <c r="U334" s="584"/>
      <c r="V334" s="584"/>
      <c r="W334" s="584"/>
      <c r="X334" s="584"/>
      <c r="Y334" s="584"/>
      <c r="Z334" s="584"/>
      <c r="AA334" s="584"/>
      <c r="AB334" s="584"/>
      <c r="AC334" s="584"/>
      <c r="AD334" s="584"/>
      <c r="AE334" s="584"/>
      <c r="AF334" s="584"/>
    </row>
    <row r="335" ht="14.25" customHeight="1">
      <c r="A335" s="582">
        <v>281.0</v>
      </c>
      <c r="B335" s="601" t="s">
        <v>1107</v>
      </c>
      <c r="C335" s="598">
        <v>46189.0</v>
      </c>
      <c r="D335" s="581">
        <v>46189.0</v>
      </c>
      <c r="E335" s="599"/>
      <c r="F335" s="601" t="s">
        <v>1108</v>
      </c>
      <c r="G335" s="596" t="s">
        <v>1952</v>
      </c>
      <c r="H335" s="596" t="s">
        <v>1952</v>
      </c>
      <c r="I335" s="601" t="s">
        <v>1168</v>
      </c>
      <c r="J335" s="601" t="s">
        <v>1953</v>
      </c>
      <c r="K335" s="601" t="s">
        <v>265</v>
      </c>
      <c r="L335" s="582">
        <v>23146.34</v>
      </c>
      <c r="M335" s="582">
        <v>23146.34</v>
      </c>
      <c r="N335" s="582">
        <v>23146.34</v>
      </c>
      <c r="O335" s="601" t="s">
        <v>1954</v>
      </c>
      <c r="P335" s="582">
        <v>0.0</v>
      </c>
      <c r="Q335" s="584"/>
      <c r="R335" s="584"/>
      <c r="S335" s="584"/>
      <c r="T335" s="584"/>
      <c r="U335" s="584"/>
      <c r="V335" s="584"/>
      <c r="W335" s="584"/>
      <c r="X335" s="584"/>
      <c r="Y335" s="584"/>
      <c r="Z335" s="584"/>
      <c r="AA335" s="584"/>
      <c r="AB335" s="584"/>
      <c r="AC335" s="584"/>
      <c r="AD335" s="584"/>
      <c r="AE335" s="584"/>
      <c r="AF335" s="584"/>
    </row>
    <row r="336" ht="14.25" customHeight="1">
      <c r="A336" s="582">
        <v>282.0</v>
      </c>
      <c r="B336" s="601" t="s">
        <v>1107</v>
      </c>
      <c r="C336" s="598">
        <v>46189.0</v>
      </c>
      <c r="D336" s="581">
        <v>46189.0</v>
      </c>
      <c r="E336" s="599"/>
      <c r="F336" s="601" t="s">
        <v>1108</v>
      </c>
      <c r="G336" s="596" t="s">
        <v>1955</v>
      </c>
      <c r="H336" s="596" t="s">
        <v>1955</v>
      </c>
      <c r="I336" s="601" t="s">
        <v>1168</v>
      </c>
      <c r="J336" s="601" t="s">
        <v>1956</v>
      </c>
      <c r="K336" s="601" t="s">
        <v>265</v>
      </c>
      <c r="L336" s="582">
        <v>20000.0</v>
      </c>
      <c r="M336" s="582">
        <v>20000.0</v>
      </c>
      <c r="N336" s="582">
        <v>20000.0</v>
      </c>
      <c r="O336" s="601" t="s">
        <v>1957</v>
      </c>
      <c r="P336" s="582">
        <v>0.0</v>
      </c>
      <c r="Q336" s="584"/>
      <c r="R336" s="584"/>
      <c r="S336" s="584"/>
      <c r="T336" s="584"/>
      <c r="U336" s="584"/>
      <c r="V336" s="584"/>
      <c r="W336" s="584"/>
      <c r="X336" s="584"/>
      <c r="Y336" s="584"/>
      <c r="Z336" s="584"/>
      <c r="AA336" s="584"/>
      <c r="AB336" s="584"/>
      <c r="AC336" s="584"/>
      <c r="AD336" s="584"/>
      <c r="AE336" s="584"/>
      <c r="AF336" s="584"/>
    </row>
    <row r="337" ht="14.25" customHeight="1">
      <c r="A337" s="582">
        <v>283.0</v>
      </c>
      <c r="B337" s="601" t="s">
        <v>1107</v>
      </c>
      <c r="C337" s="598">
        <v>46189.0</v>
      </c>
      <c r="D337" s="581">
        <v>46189.0</v>
      </c>
      <c r="E337" s="599"/>
      <c r="F337" s="601" t="s">
        <v>1108</v>
      </c>
      <c r="G337" s="596" t="s">
        <v>1958</v>
      </c>
      <c r="H337" s="596" t="s">
        <v>1958</v>
      </c>
      <c r="I337" s="601" t="s">
        <v>1168</v>
      </c>
      <c r="J337" s="601" t="s">
        <v>1959</v>
      </c>
      <c r="K337" s="601" t="s">
        <v>265</v>
      </c>
      <c r="L337" s="582">
        <v>40954.62</v>
      </c>
      <c r="M337" s="582">
        <v>40954.62</v>
      </c>
      <c r="N337" s="582">
        <v>40954.62</v>
      </c>
      <c r="O337" s="601" t="s">
        <v>1960</v>
      </c>
      <c r="P337" s="582">
        <v>0.0</v>
      </c>
      <c r="Q337" s="584"/>
      <c r="R337" s="584"/>
      <c r="S337" s="584"/>
      <c r="T337" s="584"/>
      <c r="U337" s="584"/>
      <c r="V337" s="584"/>
      <c r="W337" s="584"/>
      <c r="X337" s="584"/>
      <c r="Y337" s="584"/>
      <c r="Z337" s="584"/>
      <c r="AA337" s="584"/>
      <c r="AB337" s="584"/>
      <c r="AC337" s="584"/>
      <c r="AD337" s="584"/>
      <c r="AE337" s="584"/>
      <c r="AF337" s="584"/>
    </row>
    <row r="338" ht="14.25" customHeight="1">
      <c r="A338" s="582">
        <v>288.0</v>
      </c>
      <c r="B338" s="601" t="s">
        <v>1107</v>
      </c>
      <c r="C338" s="598">
        <v>46189.0</v>
      </c>
      <c r="D338" s="581">
        <v>46189.0</v>
      </c>
      <c r="E338" s="599"/>
      <c r="F338" s="601" t="s">
        <v>1108</v>
      </c>
      <c r="G338" s="596" t="s">
        <v>1961</v>
      </c>
      <c r="H338" s="596" t="s">
        <v>1961</v>
      </c>
      <c r="I338" s="601" t="s">
        <v>1168</v>
      </c>
      <c r="J338" s="601" t="s">
        <v>1962</v>
      </c>
      <c r="K338" s="601" t="s">
        <v>265</v>
      </c>
      <c r="L338" s="582">
        <v>52063.78</v>
      </c>
      <c r="M338" s="582">
        <v>52063.78</v>
      </c>
      <c r="N338" s="582">
        <v>52063.78</v>
      </c>
      <c r="O338" s="601" t="s">
        <v>1963</v>
      </c>
      <c r="P338" s="582">
        <v>0.0</v>
      </c>
      <c r="Q338" s="584"/>
      <c r="R338" s="584"/>
      <c r="S338" s="584"/>
      <c r="T338" s="584"/>
      <c r="U338" s="584"/>
      <c r="V338" s="584"/>
      <c r="W338" s="584"/>
      <c r="X338" s="584"/>
      <c r="Y338" s="584"/>
      <c r="Z338" s="584"/>
      <c r="AA338" s="584"/>
      <c r="AB338" s="584"/>
      <c r="AC338" s="584"/>
      <c r="AD338" s="584"/>
      <c r="AE338" s="584"/>
      <c r="AF338" s="584"/>
    </row>
    <row r="339" ht="14.25" customHeight="1">
      <c r="A339" s="582">
        <v>289.0</v>
      </c>
      <c r="B339" s="601" t="s">
        <v>1107</v>
      </c>
      <c r="C339" s="598">
        <v>46189.0</v>
      </c>
      <c r="D339" s="581">
        <v>46189.0</v>
      </c>
      <c r="E339" s="599"/>
      <c r="F339" s="601" t="s">
        <v>1108</v>
      </c>
      <c r="G339" s="596" t="s">
        <v>1964</v>
      </c>
      <c r="H339" s="596" t="s">
        <v>1964</v>
      </c>
      <c r="I339" s="601" t="s">
        <v>1168</v>
      </c>
      <c r="J339" s="601" t="s">
        <v>1965</v>
      </c>
      <c r="K339" s="601" t="s">
        <v>265</v>
      </c>
      <c r="L339" s="582">
        <v>21661.8</v>
      </c>
      <c r="M339" s="582">
        <v>21661.8</v>
      </c>
      <c r="N339" s="582">
        <v>21661.8</v>
      </c>
      <c r="O339" s="601" t="s">
        <v>1966</v>
      </c>
      <c r="P339" s="582">
        <v>0.0</v>
      </c>
      <c r="Q339" s="584"/>
      <c r="R339" s="584"/>
      <c r="S339" s="584"/>
      <c r="T339" s="584"/>
      <c r="U339" s="584"/>
      <c r="V339" s="584"/>
      <c r="W339" s="584"/>
      <c r="X339" s="584"/>
      <c r="Y339" s="584"/>
      <c r="Z339" s="584"/>
      <c r="AA339" s="584"/>
      <c r="AB339" s="584"/>
      <c r="AC339" s="584"/>
      <c r="AD339" s="584"/>
      <c r="AE339" s="584"/>
      <c r="AF339" s="584"/>
    </row>
    <row r="340" ht="14.25" customHeight="1">
      <c r="A340" s="582">
        <v>290.0</v>
      </c>
      <c r="B340" s="601" t="s">
        <v>1107</v>
      </c>
      <c r="C340" s="598">
        <v>46189.0</v>
      </c>
      <c r="D340" s="581">
        <v>46189.0</v>
      </c>
      <c r="E340" s="599"/>
      <c r="F340" s="601" t="s">
        <v>1108</v>
      </c>
      <c r="G340" s="596" t="s">
        <v>1967</v>
      </c>
      <c r="H340" s="596" t="s">
        <v>1967</v>
      </c>
      <c r="I340" s="601" t="s">
        <v>1168</v>
      </c>
      <c r="J340" s="601" t="s">
        <v>1968</v>
      </c>
      <c r="K340" s="601" t="s">
        <v>265</v>
      </c>
      <c r="L340" s="582">
        <v>21033.77</v>
      </c>
      <c r="M340" s="582">
        <v>21033.77</v>
      </c>
      <c r="N340" s="585">
        <v>21033.77</v>
      </c>
      <c r="O340" s="601" t="s">
        <v>1969</v>
      </c>
      <c r="P340" s="582">
        <v>0.0</v>
      </c>
      <c r="Q340" s="584"/>
      <c r="R340" s="584"/>
      <c r="S340" s="584"/>
      <c r="T340" s="584"/>
      <c r="U340" s="584"/>
      <c r="V340" s="584"/>
      <c r="W340" s="584"/>
      <c r="X340" s="584"/>
      <c r="Y340" s="584"/>
      <c r="Z340" s="584"/>
      <c r="AA340" s="584"/>
      <c r="AB340" s="584"/>
      <c r="AC340" s="584"/>
      <c r="AD340" s="584"/>
      <c r="AE340" s="584"/>
      <c r="AF340" s="584"/>
    </row>
    <row r="341" ht="14.25" customHeight="1">
      <c r="A341" s="582">
        <v>297.0</v>
      </c>
      <c r="B341" s="601" t="s">
        <v>1107</v>
      </c>
      <c r="C341" s="598">
        <v>46189.0</v>
      </c>
      <c r="D341" s="581">
        <v>46189.0</v>
      </c>
      <c r="E341" s="599"/>
      <c r="F341" s="601" t="s">
        <v>1108</v>
      </c>
      <c r="G341" s="596" t="s">
        <v>1970</v>
      </c>
      <c r="H341" s="596" t="s">
        <v>1971</v>
      </c>
      <c r="I341" s="601" t="s">
        <v>1168</v>
      </c>
      <c r="J341" s="601" t="s">
        <v>1972</v>
      </c>
      <c r="K341" s="601" t="s">
        <v>265</v>
      </c>
      <c r="L341" s="582">
        <v>41937.75</v>
      </c>
      <c r="M341" s="582">
        <v>41937.75</v>
      </c>
      <c r="N341" s="582">
        <v>41937.75</v>
      </c>
      <c r="O341" s="601" t="s">
        <v>1973</v>
      </c>
      <c r="P341" s="582">
        <v>0.0</v>
      </c>
      <c r="Q341" s="584"/>
      <c r="R341" s="584"/>
      <c r="S341" s="584"/>
      <c r="T341" s="584"/>
      <c r="U341" s="584"/>
      <c r="V341" s="584"/>
      <c r="W341" s="584"/>
      <c r="X341" s="584"/>
      <c r="Y341" s="584"/>
      <c r="Z341" s="584"/>
      <c r="AA341" s="584"/>
      <c r="AB341" s="584"/>
      <c r="AC341" s="584"/>
      <c r="AD341" s="584"/>
      <c r="AE341" s="584"/>
      <c r="AF341" s="584"/>
    </row>
    <row r="342" ht="14.25" customHeight="1">
      <c r="A342" s="582">
        <v>298.0</v>
      </c>
      <c r="B342" s="601" t="s">
        <v>1107</v>
      </c>
      <c r="C342" s="598">
        <v>46189.0</v>
      </c>
      <c r="D342" s="581">
        <v>46189.0</v>
      </c>
      <c r="E342" s="599"/>
      <c r="F342" s="601" t="s">
        <v>1108</v>
      </c>
      <c r="G342" s="596" t="s">
        <v>1974</v>
      </c>
      <c r="H342" s="596" t="s">
        <v>1974</v>
      </c>
      <c r="I342" s="601" t="s">
        <v>1168</v>
      </c>
      <c r="J342" s="601" t="s">
        <v>1975</v>
      </c>
      <c r="K342" s="601" t="s">
        <v>265</v>
      </c>
      <c r="L342" s="582">
        <v>22176.12</v>
      </c>
      <c r="M342" s="582">
        <v>22176.12</v>
      </c>
      <c r="N342" s="582">
        <v>22176.12</v>
      </c>
      <c r="O342" s="601" t="s">
        <v>1976</v>
      </c>
      <c r="P342" s="582">
        <v>0.0</v>
      </c>
      <c r="Q342" s="584"/>
      <c r="R342" s="584"/>
      <c r="S342" s="584"/>
      <c r="T342" s="584"/>
      <c r="U342" s="584"/>
      <c r="V342" s="584"/>
      <c r="W342" s="584"/>
      <c r="X342" s="584"/>
      <c r="Y342" s="584"/>
      <c r="Z342" s="584"/>
      <c r="AA342" s="584"/>
      <c r="AB342" s="584"/>
      <c r="AC342" s="584"/>
      <c r="AD342" s="584"/>
      <c r="AE342" s="584"/>
      <c r="AF342" s="584"/>
    </row>
    <row r="343" ht="14.25" customHeight="1">
      <c r="A343" s="582">
        <v>327.0</v>
      </c>
      <c r="B343" s="601" t="s">
        <v>1107</v>
      </c>
      <c r="C343" s="598">
        <v>46189.0</v>
      </c>
      <c r="D343" s="581">
        <v>46189.0</v>
      </c>
      <c r="E343" s="599"/>
      <c r="F343" s="601" t="s">
        <v>1108</v>
      </c>
      <c r="G343" s="596" t="s">
        <v>1977</v>
      </c>
      <c r="H343" s="596" t="s">
        <v>1977</v>
      </c>
      <c r="I343" s="601" t="s">
        <v>1168</v>
      </c>
      <c r="J343" s="601" t="s">
        <v>1978</v>
      </c>
      <c r="K343" s="601" t="s">
        <v>265</v>
      </c>
      <c r="L343" s="582">
        <v>20675.57</v>
      </c>
      <c r="M343" s="582">
        <v>20675.57</v>
      </c>
      <c r="N343" s="582">
        <v>20675.57</v>
      </c>
      <c r="O343" s="601" t="s">
        <v>1979</v>
      </c>
      <c r="P343" s="582">
        <v>0.0</v>
      </c>
      <c r="Q343" s="584"/>
      <c r="R343" s="584"/>
      <c r="S343" s="584"/>
      <c r="T343" s="584"/>
      <c r="U343" s="584"/>
      <c r="V343" s="584"/>
      <c r="W343" s="584"/>
      <c r="X343" s="584"/>
      <c r="Y343" s="584"/>
      <c r="Z343" s="584"/>
      <c r="AA343" s="584"/>
      <c r="AB343" s="584"/>
      <c r="AC343" s="584"/>
      <c r="AD343" s="584"/>
      <c r="AE343" s="584"/>
      <c r="AF343" s="584"/>
    </row>
    <row r="344" ht="14.25" customHeight="1">
      <c r="A344" s="603">
        <v>5487.0</v>
      </c>
      <c r="B344" s="604" t="s">
        <v>1980</v>
      </c>
      <c r="C344" s="605">
        <v>46164.0</v>
      </c>
      <c r="D344" s="606">
        <v>46164.0</v>
      </c>
      <c r="E344" s="607"/>
      <c r="F344" s="604" t="s">
        <v>1108</v>
      </c>
      <c r="G344" s="608">
        <v>1.2603148E7</v>
      </c>
      <c r="H344" s="608"/>
      <c r="I344" s="604"/>
      <c r="J344" s="604"/>
      <c r="K344" s="604" t="s">
        <v>265</v>
      </c>
      <c r="L344" s="603"/>
      <c r="M344" s="603">
        <v>18184.43</v>
      </c>
      <c r="N344" s="603">
        <v>18184.43</v>
      </c>
      <c r="O344" s="601" t="s">
        <v>1981</v>
      </c>
      <c r="P344" s="582">
        <v>-18184.43</v>
      </c>
      <c r="Q344" s="584"/>
      <c r="R344" s="584"/>
      <c r="S344" s="584"/>
      <c r="T344" s="584"/>
      <c r="U344" s="584"/>
      <c r="V344" s="584"/>
      <c r="W344" s="584"/>
      <c r="X344" s="584"/>
      <c r="Y344" s="584"/>
      <c r="Z344" s="584"/>
      <c r="AA344" s="584"/>
      <c r="AB344" s="584"/>
      <c r="AC344" s="584"/>
      <c r="AD344" s="584"/>
      <c r="AE344" s="584"/>
      <c r="AF344" s="584"/>
    </row>
    <row r="345" ht="14.25" customHeight="1">
      <c r="A345" s="582"/>
      <c r="B345" s="601"/>
      <c r="C345" s="598"/>
      <c r="D345" s="581"/>
      <c r="E345" s="599"/>
      <c r="F345" s="601"/>
      <c r="G345" s="596"/>
      <c r="H345" s="596"/>
      <c r="I345" s="601"/>
      <c r="J345" s="601"/>
      <c r="K345" s="601"/>
      <c r="L345" s="582"/>
      <c r="M345" s="582" t="s">
        <v>1982</v>
      </c>
      <c r="N345" s="585">
        <f>SUM(N162:N344)</f>
        <v>4091573.01</v>
      </c>
      <c r="O345" s="601"/>
      <c r="P345" s="582"/>
      <c r="Q345" s="584"/>
      <c r="R345" s="584"/>
      <c r="S345" s="584"/>
      <c r="T345" s="584"/>
      <c r="U345" s="584"/>
      <c r="V345" s="584"/>
      <c r="W345" s="584"/>
      <c r="X345" s="584"/>
      <c r="Y345" s="584"/>
      <c r="Z345" s="584"/>
      <c r="AA345" s="584"/>
      <c r="AB345" s="584"/>
      <c r="AC345" s="584"/>
      <c r="AD345" s="584"/>
      <c r="AE345" s="584"/>
      <c r="AF345" s="584"/>
    </row>
    <row r="346" ht="14.25" customHeight="1">
      <c r="A346" s="582"/>
      <c r="B346" s="601"/>
      <c r="C346" s="598"/>
      <c r="D346" s="581"/>
      <c r="E346" s="599"/>
      <c r="F346" s="601"/>
      <c r="G346" s="596"/>
      <c r="H346" s="596"/>
      <c r="I346" s="601"/>
      <c r="J346" s="601"/>
      <c r="K346" s="601"/>
      <c r="L346" s="582"/>
      <c r="M346" s="582"/>
      <c r="N346" s="582"/>
      <c r="O346" s="601"/>
      <c r="P346" s="582"/>
      <c r="Q346" s="584"/>
      <c r="R346" s="584"/>
      <c r="S346" s="584"/>
      <c r="T346" s="584"/>
      <c r="U346" s="584"/>
      <c r="V346" s="584"/>
      <c r="W346" s="584"/>
      <c r="X346" s="584"/>
      <c r="Y346" s="584"/>
      <c r="Z346" s="584"/>
      <c r="AA346" s="584"/>
      <c r="AB346" s="584"/>
      <c r="AC346" s="584"/>
      <c r="AD346" s="584"/>
      <c r="AE346" s="584"/>
      <c r="AF346" s="584"/>
    </row>
    <row r="347" ht="14.25" customHeight="1">
      <c r="A347" s="582"/>
      <c r="B347" s="601"/>
      <c r="C347" s="598"/>
      <c r="D347" s="581"/>
      <c r="E347" s="599"/>
      <c r="F347" s="601"/>
      <c r="G347" s="596"/>
      <c r="H347" s="596"/>
      <c r="I347" s="601"/>
      <c r="J347" s="601"/>
      <c r="K347" s="601"/>
      <c r="L347" s="582"/>
      <c r="M347" s="582"/>
      <c r="N347" s="582"/>
      <c r="O347" s="601"/>
      <c r="P347" s="582"/>
      <c r="Q347" s="584"/>
      <c r="R347" s="584"/>
      <c r="S347" s="584"/>
      <c r="T347" s="584"/>
      <c r="U347" s="584"/>
      <c r="V347" s="584"/>
      <c r="W347" s="584"/>
      <c r="X347" s="584"/>
      <c r="Y347" s="584"/>
      <c r="Z347" s="584"/>
      <c r="AA347" s="584"/>
      <c r="AB347" s="584"/>
      <c r="AC347" s="584"/>
      <c r="AD347" s="584"/>
      <c r="AE347" s="584"/>
      <c r="AF347" s="584"/>
    </row>
    <row r="348" ht="14.25" customHeight="1">
      <c r="A348" s="582"/>
      <c r="B348" s="601"/>
      <c r="C348" s="598"/>
      <c r="D348" s="581"/>
      <c r="E348" s="599"/>
      <c r="F348" s="601"/>
      <c r="G348" s="596"/>
      <c r="H348" s="596"/>
      <c r="I348" s="601"/>
      <c r="J348" s="601"/>
      <c r="K348" s="601"/>
      <c r="L348" s="582"/>
      <c r="M348" s="582"/>
      <c r="N348" s="582"/>
      <c r="O348" s="601"/>
      <c r="P348" s="582"/>
      <c r="Q348" s="584"/>
      <c r="R348" s="584"/>
      <c r="S348" s="584"/>
      <c r="T348" s="584"/>
      <c r="U348" s="584"/>
      <c r="V348" s="584"/>
      <c r="W348" s="584"/>
      <c r="X348" s="584"/>
      <c r="Y348" s="584"/>
      <c r="Z348" s="584"/>
      <c r="AA348" s="584"/>
      <c r="AB348" s="584"/>
      <c r="AC348" s="584"/>
      <c r="AD348" s="584"/>
      <c r="AE348" s="584"/>
      <c r="AF348" s="584"/>
    </row>
    <row r="349" ht="14.25" customHeight="1">
      <c r="A349" s="582"/>
      <c r="B349" s="601"/>
      <c r="C349" s="598"/>
      <c r="D349" s="581"/>
      <c r="E349" s="599"/>
      <c r="F349" s="601"/>
      <c r="G349" s="596"/>
      <c r="H349" s="596"/>
      <c r="I349" s="601"/>
      <c r="J349" s="601"/>
      <c r="K349" s="601"/>
      <c r="L349" s="582"/>
      <c r="M349" s="582"/>
      <c r="N349" s="585"/>
      <c r="O349" s="601"/>
      <c r="P349" s="582"/>
      <c r="Q349" s="584"/>
      <c r="R349" s="584"/>
      <c r="S349" s="584"/>
      <c r="T349" s="584"/>
      <c r="U349" s="584"/>
      <c r="V349" s="584"/>
      <c r="W349" s="584"/>
      <c r="X349" s="584"/>
      <c r="Y349" s="584"/>
      <c r="Z349" s="584"/>
      <c r="AA349" s="584"/>
      <c r="AB349" s="584"/>
      <c r="AC349" s="584"/>
      <c r="AD349" s="584"/>
      <c r="AE349" s="584"/>
      <c r="AF349" s="584"/>
    </row>
    <row r="350" ht="14.25" customHeight="1">
      <c r="A350" s="582"/>
      <c r="B350" s="601"/>
      <c r="C350" s="598"/>
      <c r="D350" s="581"/>
      <c r="E350" s="599"/>
      <c r="F350" s="601"/>
      <c r="G350" s="596"/>
      <c r="H350" s="596"/>
      <c r="I350" s="601"/>
      <c r="J350" s="601"/>
      <c r="K350" s="601"/>
      <c r="L350" s="582"/>
      <c r="M350" s="582"/>
      <c r="N350" s="585"/>
      <c r="O350" s="601"/>
      <c r="P350" s="582"/>
      <c r="Q350" s="584"/>
      <c r="R350" s="584"/>
      <c r="S350" s="584"/>
      <c r="T350" s="584"/>
      <c r="U350" s="584"/>
      <c r="V350" s="584"/>
      <c r="W350" s="584"/>
      <c r="X350" s="584"/>
      <c r="Y350" s="584"/>
      <c r="Z350" s="584"/>
      <c r="AA350" s="584"/>
      <c r="AB350" s="584"/>
      <c r="AC350" s="584"/>
      <c r="AD350" s="584"/>
      <c r="AE350" s="584"/>
      <c r="AF350" s="584"/>
    </row>
    <row r="351" ht="14.25" customHeight="1">
      <c r="A351" s="609" t="s">
        <v>1983</v>
      </c>
      <c r="B351" s="601"/>
      <c r="C351" s="598"/>
      <c r="D351" s="581"/>
      <c r="E351" s="599"/>
      <c r="F351" s="601"/>
      <c r="G351" s="596"/>
      <c r="H351" s="596"/>
      <c r="I351" s="601"/>
      <c r="J351" s="601"/>
      <c r="K351" s="601"/>
      <c r="L351" s="582"/>
      <c r="M351" s="582"/>
      <c r="N351" s="582"/>
      <c r="O351" s="601"/>
      <c r="P351" s="582"/>
      <c r="Q351" s="584"/>
      <c r="R351" s="584"/>
      <c r="S351" s="584"/>
      <c r="T351" s="584"/>
      <c r="U351" s="584"/>
      <c r="V351" s="584"/>
      <c r="W351" s="584"/>
      <c r="X351" s="584"/>
      <c r="Y351" s="584"/>
      <c r="Z351" s="584"/>
      <c r="AA351" s="584"/>
      <c r="AB351" s="584"/>
      <c r="AC351" s="584"/>
      <c r="AD351" s="584"/>
      <c r="AE351" s="584"/>
      <c r="AF351" s="584"/>
    </row>
    <row r="352" ht="14.25" customHeight="1">
      <c r="A352" s="582">
        <v>287.0</v>
      </c>
      <c r="B352" s="601" t="s">
        <v>1107</v>
      </c>
      <c r="C352" s="598">
        <v>46189.0</v>
      </c>
      <c r="D352" s="581">
        <v>46189.0</v>
      </c>
      <c r="E352" s="599"/>
      <c r="F352" s="601" t="s">
        <v>1108</v>
      </c>
      <c r="G352" s="596" t="s">
        <v>1984</v>
      </c>
      <c r="H352" s="596" t="s">
        <v>1984</v>
      </c>
      <c r="I352" s="601" t="s">
        <v>1168</v>
      </c>
      <c r="J352" s="601" t="s">
        <v>1985</v>
      </c>
      <c r="K352" s="601" t="s">
        <v>167</v>
      </c>
      <c r="L352" s="582">
        <v>3950.27</v>
      </c>
      <c r="M352" s="582">
        <v>3950.27</v>
      </c>
      <c r="N352" s="585">
        <v>3950.27</v>
      </c>
      <c r="O352" s="601" t="s">
        <v>1986</v>
      </c>
      <c r="P352" s="582">
        <v>0.0</v>
      </c>
      <c r="Q352" s="584"/>
      <c r="R352" s="584"/>
      <c r="S352" s="584"/>
      <c r="T352" s="584"/>
      <c r="U352" s="584"/>
      <c r="V352" s="584"/>
      <c r="W352" s="584"/>
      <c r="X352" s="584"/>
      <c r="Y352" s="584"/>
      <c r="Z352" s="584"/>
      <c r="AA352" s="584"/>
      <c r="AB352" s="584"/>
      <c r="AC352" s="584"/>
      <c r="AD352" s="584"/>
      <c r="AE352" s="584"/>
      <c r="AF352" s="584"/>
    </row>
    <row r="353" ht="14.25" customHeight="1">
      <c r="A353" s="582"/>
      <c r="B353" s="601"/>
      <c r="C353" s="598"/>
      <c r="D353" s="581"/>
      <c r="E353" s="599"/>
      <c r="F353" s="601"/>
      <c r="G353" s="596"/>
      <c r="H353" s="596"/>
      <c r="I353" s="601"/>
      <c r="J353" s="601"/>
      <c r="K353" s="601"/>
      <c r="L353" s="582"/>
      <c r="M353" s="582"/>
      <c r="N353" s="585"/>
      <c r="O353" s="601"/>
      <c r="P353" s="582"/>
      <c r="Q353" s="584"/>
      <c r="R353" s="584"/>
      <c r="S353" s="584"/>
      <c r="T353" s="584"/>
      <c r="U353" s="584"/>
      <c r="V353" s="584"/>
      <c r="W353" s="584"/>
      <c r="X353" s="584"/>
      <c r="Y353" s="584"/>
      <c r="Z353" s="584"/>
      <c r="AA353" s="584"/>
      <c r="AB353" s="584"/>
      <c r="AC353" s="584"/>
      <c r="AD353" s="584"/>
      <c r="AE353" s="584"/>
      <c r="AF353" s="584"/>
    </row>
    <row r="354" ht="14.25" customHeight="1">
      <c r="A354" s="582"/>
      <c r="B354" s="601"/>
      <c r="C354" s="598"/>
      <c r="D354" s="581"/>
      <c r="E354" s="599"/>
      <c r="F354" s="601"/>
      <c r="G354" s="596"/>
      <c r="H354" s="596"/>
      <c r="I354" s="601"/>
      <c r="J354" s="601"/>
      <c r="K354" s="601"/>
      <c r="L354" s="582"/>
      <c r="M354" s="582"/>
      <c r="N354" s="582"/>
      <c r="O354" s="601"/>
      <c r="P354" s="582"/>
      <c r="Q354" s="584"/>
      <c r="R354" s="584"/>
      <c r="S354" s="584"/>
      <c r="T354" s="584"/>
      <c r="U354" s="584"/>
      <c r="V354" s="584"/>
      <c r="W354" s="584"/>
      <c r="X354" s="584"/>
      <c r="Y354" s="584"/>
      <c r="Z354" s="584"/>
      <c r="AA354" s="584"/>
      <c r="AB354" s="584"/>
      <c r="AC354" s="584"/>
      <c r="AD354" s="584"/>
      <c r="AE354" s="584"/>
      <c r="AF354" s="584"/>
    </row>
    <row r="355" ht="14.25" customHeight="1">
      <c r="A355" s="582"/>
      <c r="B355" s="601"/>
      <c r="C355" s="598"/>
      <c r="D355" s="581"/>
      <c r="E355" s="599"/>
      <c r="F355" s="601"/>
      <c r="G355" s="596"/>
      <c r="H355" s="596"/>
      <c r="I355" s="601"/>
      <c r="J355" s="601"/>
      <c r="K355" s="601"/>
      <c r="L355" s="582"/>
      <c r="M355" s="582"/>
      <c r="N355" s="582"/>
      <c r="O355" s="601"/>
      <c r="P355" s="582"/>
      <c r="Q355" s="584"/>
      <c r="R355" s="584"/>
      <c r="S355" s="584"/>
      <c r="T355" s="584"/>
      <c r="U355" s="584"/>
      <c r="V355" s="584"/>
      <c r="W355" s="584"/>
      <c r="X355" s="584"/>
      <c r="Y355" s="584"/>
      <c r="Z355" s="584"/>
      <c r="AA355" s="584"/>
      <c r="AB355" s="584"/>
      <c r="AC355" s="584"/>
      <c r="AD355" s="584"/>
      <c r="AE355" s="584"/>
      <c r="AF355" s="584"/>
    </row>
    <row r="356" ht="14.25" customHeight="1">
      <c r="A356" s="582"/>
      <c r="B356" s="601"/>
      <c r="C356" s="598"/>
      <c r="D356" s="581"/>
      <c r="E356" s="599"/>
      <c r="F356" s="601"/>
      <c r="G356" s="596"/>
      <c r="H356" s="596"/>
      <c r="I356" s="601"/>
      <c r="J356" s="601"/>
      <c r="K356" s="601"/>
      <c r="L356" s="582"/>
      <c r="M356" s="582"/>
      <c r="N356" s="582"/>
      <c r="O356" s="601"/>
      <c r="P356" s="582"/>
      <c r="Q356" s="584"/>
      <c r="R356" s="584"/>
      <c r="S356" s="584"/>
      <c r="T356" s="584"/>
      <c r="U356" s="584"/>
      <c r="V356" s="584"/>
      <c r="W356" s="584"/>
      <c r="X356" s="584"/>
      <c r="Y356" s="584"/>
      <c r="Z356" s="584"/>
      <c r="AA356" s="584"/>
      <c r="AB356" s="584"/>
      <c r="AC356" s="584"/>
      <c r="AD356" s="584"/>
      <c r="AE356" s="584"/>
      <c r="AF356" s="584"/>
    </row>
    <row r="357" ht="14.25" customHeight="1">
      <c r="A357" s="582"/>
      <c r="B357" s="601"/>
      <c r="C357" s="598"/>
      <c r="D357" s="581"/>
      <c r="E357" s="599"/>
      <c r="F357" s="601"/>
      <c r="G357" s="596"/>
      <c r="H357" s="596"/>
      <c r="I357" s="601"/>
      <c r="J357" s="601"/>
      <c r="K357" s="601"/>
      <c r="L357" s="582"/>
      <c r="M357" s="582"/>
      <c r="N357" s="582"/>
      <c r="O357" s="601"/>
      <c r="P357" s="582"/>
      <c r="Q357" s="584"/>
      <c r="R357" s="584"/>
      <c r="S357" s="584"/>
      <c r="T357" s="584"/>
      <c r="U357" s="584"/>
      <c r="V357" s="584"/>
      <c r="W357" s="584"/>
      <c r="X357" s="584"/>
      <c r="Y357" s="584"/>
      <c r="Z357" s="584"/>
      <c r="AA357" s="584"/>
      <c r="AB357" s="584"/>
      <c r="AC357" s="584"/>
      <c r="AD357" s="584"/>
      <c r="AE357" s="584"/>
      <c r="AF357" s="584"/>
    </row>
    <row r="358" ht="14.25" customHeight="1">
      <c r="A358" s="582"/>
      <c r="B358" s="601"/>
      <c r="C358" s="598"/>
      <c r="D358" s="581"/>
      <c r="E358" s="599"/>
      <c r="F358" s="601"/>
      <c r="G358" s="596"/>
      <c r="H358" s="596"/>
      <c r="I358" s="601"/>
      <c r="J358" s="601"/>
      <c r="K358" s="601"/>
      <c r="L358" s="582"/>
      <c r="M358" s="582"/>
      <c r="N358" s="582"/>
      <c r="O358" s="601"/>
      <c r="P358" s="582"/>
      <c r="Q358" s="584"/>
      <c r="R358" s="584"/>
      <c r="S358" s="584"/>
      <c r="T358" s="584"/>
      <c r="U358" s="584"/>
      <c r="V358" s="584"/>
      <c r="W358" s="584"/>
      <c r="X358" s="584"/>
      <c r="Y358" s="584"/>
      <c r="Z358" s="584"/>
      <c r="AA358" s="584"/>
      <c r="AB358" s="584"/>
      <c r="AC358" s="584"/>
      <c r="AD358" s="584"/>
      <c r="AE358" s="584"/>
      <c r="AF358" s="584"/>
    </row>
    <row r="359" ht="14.25" customHeight="1">
      <c r="A359" s="582"/>
      <c r="B359" s="601"/>
      <c r="C359" s="598"/>
      <c r="D359" s="581"/>
      <c r="E359" s="599"/>
      <c r="F359" s="601"/>
      <c r="G359" s="596"/>
      <c r="H359" s="596"/>
      <c r="I359" s="601"/>
      <c r="J359" s="601"/>
      <c r="K359" s="601"/>
      <c r="L359" s="582"/>
      <c r="M359" s="582"/>
      <c r="N359" s="582"/>
      <c r="O359" s="601"/>
      <c r="P359" s="582"/>
      <c r="Q359" s="584"/>
      <c r="R359" s="584"/>
      <c r="S359" s="584"/>
      <c r="T359" s="584"/>
      <c r="U359" s="584"/>
      <c r="V359" s="584"/>
      <c r="W359" s="584"/>
      <c r="X359" s="584"/>
      <c r="Y359" s="584"/>
      <c r="Z359" s="584"/>
      <c r="AA359" s="584"/>
      <c r="AB359" s="584"/>
      <c r="AC359" s="584"/>
      <c r="AD359" s="584"/>
      <c r="AE359" s="584"/>
      <c r="AF359" s="584"/>
    </row>
    <row r="360" ht="14.25" customHeight="1">
      <c r="A360" s="582"/>
      <c r="B360" s="601"/>
      <c r="C360" s="598"/>
      <c r="D360" s="581"/>
      <c r="E360" s="599"/>
      <c r="F360" s="601"/>
      <c r="G360" s="596"/>
      <c r="H360" s="596"/>
      <c r="I360" s="601"/>
      <c r="J360" s="601"/>
      <c r="K360" s="601"/>
      <c r="L360" s="582"/>
      <c r="M360" s="582"/>
      <c r="N360" s="582"/>
      <c r="O360" s="601"/>
      <c r="P360" s="582"/>
      <c r="Q360" s="584"/>
      <c r="R360" s="584"/>
      <c r="S360" s="584"/>
      <c r="T360" s="584"/>
      <c r="U360" s="584"/>
      <c r="V360" s="584"/>
      <c r="W360" s="584"/>
      <c r="X360" s="584"/>
      <c r="Y360" s="584"/>
      <c r="Z360" s="584"/>
      <c r="AA360" s="584"/>
      <c r="AB360" s="584"/>
      <c r="AC360" s="584"/>
      <c r="AD360" s="584"/>
      <c r="AE360" s="584"/>
      <c r="AF360" s="584"/>
    </row>
    <row r="361" ht="14.25" customHeight="1">
      <c r="A361" s="582"/>
      <c r="B361" s="601"/>
      <c r="C361" s="598"/>
      <c r="D361" s="581"/>
      <c r="E361" s="599"/>
      <c r="F361" s="601"/>
      <c r="G361" s="596"/>
      <c r="H361" s="596"/>
      <c r="I361" s="601"/>
      <c r="J361" s="601"/>
      <c r="K361" s="601"/>
      <c r="L361" s="582"/>
      <c r="M361" s="582"/>
      <c r="N361" s="582"/>
      <c r="O361" s="601"/>
      <c r="P361" s="582"/>
      <c r="Q361" s="584"/>
      <c r="R361" s="584"/>
      <c r="S361" s="584"/>
      <c r="T361" s="584"/>
      <c r="U361" s="584"/>
      <c r="V361" s="584"/>
      <c r="W361" s="584"/>
      <c r="X361" s="584"/>
      <c r="Y361" s="584"/>
      <c r="Z361" s="584"/>
      <c r="AA361" s="584"/>
      <c r="AB361" s="584"/>
      <c r="AC361" s="584"/>
      <c r="AD361" s="584"/>
      <c r="AE361" s="584"/>
      <c r="AF361" s="584"/>
    </row>
    <row r="362" ht="14.25" customHeight="1">
      <c r="A362" s="582"/>
      <c r="B362" s="601"/>
      <c r="C362" s="598"/>
      <c r="D362" s="581"/>
      <c r="E362" s="599"/>
      <c r="F362" s="601"/>
      <c r="G362" s="596"/>
      <c r="H362" s="596"/>
      <c r="I362" s="601"/>
      <c r="J362" s="601"/>
      <c r="K362" s="601"/>
      <c r="L362" s="582"/>
      <c r="M362" s="582"/>
      <c r="N362" s="582"/>
      <c r="O362" s="601"/>
      <c r="P362" s="582"/>
      <c r="Q362" s="584"/>
      <c r="R362" s="584"/>
      <c r="S362" s="584"/>
      <c r="T362" s="584"/>
      <c r="U362" s="584"/>
      <c r="V362" s="584"/>
      <c r="W362" s="584"/>
      <c r="X362" s="584"/>
      <c r="Y362" s="584"/>
      <c r="Z362" s="584"/>
      <c r="AA362" s="584"/>
      <c r="AB362" s="584"/>
      <c r="AC362" s="584"/>
      <c r="AD362" s="584"/>
      <c r="AE362" s="584"/>
      <c r="AF362" s="584"/>
    </row>
    <row r="363" ht="14.25" customHeight="1">
      <c r="A363" s="582"/>
      <c r="B363" s="601"/>
      <c r="C363" s="598"/>
      <c r="D363" s="581"/>
      <c r="E363" s="599"/>
      <c r="F363" s="601"/>
      <c r="G363" s="596"/>
      <c r="H363" s="596"/>
      <c r="I363" s="601"/>
      <c r="J363" s="601"/>
      <c r="K363" s="601"/>
      <c r="L363" s="582"/>
      <c r="M363" s="582"/>
      <c r="N363" s="582"/>
      <c r="O363" s="601"/>
      <c r="P363" s="582"/>
      <c r="Q363" s="584"/>
      <c r="R363" s="584"/>
      <c r="S363" s="584"/>
      <c r="T363" s="584"/>
      <c r="U363" s="584"/>
      <c r="V363" s="584"/>
      <c r="W363" s="584"/>
      <c r="X363" s="584"/>
      <c r="Y363" s="584"/>
      <c r="Z363" s="584"/>
      <c r="AA363" s="584"/>
      <c r="AB363" s="584"/>
      <c r="AC363" s="584"/>
      <c r="AD363" s="584"/>
      <c r="AE363" s="584"/>
      <c r="AF363" s="584"/>
    </row>
    <row r="364" ht="14.25" customHeight="1">
      <c r="A364" s="582"/>
      <c r="B364" s="601"/>
      <c r="C364" s="598"/>
      <c r="D364" s="581"/>
      <c r="E364" s="599"/>
      <c r="F364" s="601"/>
      <c r="G364" s="596"/>
      <c r="H364" s="596"/>
      <c r="I364" s="601"/>
      <c r="J364" s="601"/>
      <c r="K364" s="601"/>
      <c r="L364" s="582"/>
      <c r="M364" s="582"/>
      <c r="N364" s="582"/>
      <c r="O364" s="601"/>
      <c r="P364" s="582"/>
      <c r="Q364" s="584"/>
      <c r="R364" s="584"/>
      <c r="S364" s="584"/>
      <c r="T364" s="584"/>
      <c r="U364" s="584"/>
      <c r="V364" s="584"/>
      <c r="W364" s="584"/>
      <c r="X364" s="584"/>
      <c r="Y364" s="584"/>
      <c r="Z364" s="584"/>
      <c r="AA364" s="584"/>
      <c r="AB364" s="584"/>
      <c r="AC364" s="584"/>
      <c r="AD364" s="584"/>
      <c r="AE364" s="584"/>
      <c r="AF364" s="584"/>
    </row>
    <row r="365" ht="14.25" customHeight="1">
      <c r="A365" s="582"/>
      <c r="B365" s="601"/>
      <c r="C365" s="598"/>
      <c r="D365" s="581"/>
      <c r="E365" s="599"/>
      <c r="F365" s="601"/>
      <c r="G365" s="596"/>
      <c r="H365" s="596"/>
      <c r="I365" s="601"/>
      <c r="J365" s="601"/>
      <c r="K365" s="601"/>
      <c r="L365" s="582"/>
      <c r="M365" s="582"/>
      <c r="N365" s="585"/>
      <c r="O365" s="601"/>
      <c r="P365" s="582"/>
      <c r="Q365" s="584"/>
      <c r="R365" s="584"/>
      <c r="S365" s="584"/>
      <c r="T365" s="584"/>
      <c r="U365" s="584"/>
      <c r="V365" s="584"/>
      <c r="W365" s="584"/>
      <c r="X365" s="584"/>
      <c r="Y365" s="584"/>
      <c r="Z365" s="584"/>
      <c r="AA365" s="584"/>
      <c r="AB365" s="584"/>
      <c r="AC365" s="584"/>
      <c r="AD365" s="584"/>
      <c r="AE365" s="584"/>
      <c r="AF365" s="584"/>
    </row>
    <row r="366" ht="14.25" customHeight="1">
      <c r="A366" s="582"/>
      <c r="B366" s="601"/>
      <c r="C366" s="598"/>
      <c r="D366" s="581"/>
      <c r="E366" s="599"/>
      <c r="F366" s="601"/>
      <c r="G366" s="596"/>
      <c r="H366" s="596"/>
      <c r="I366" s="601"/>
      <c r="J366" s="601"/>
      <c r="K366" s="601"/>
      <c r="L366" s="582"/>
      <c r="M366" s="582"/>
      <c r="N366" s="582"/>
      <c r="O366" s="601"/>
      <c r="P366" s="582"/>
      <c r="Q366" s="584"/>
      <c r="R366" s="584"/>
      <c r="S366" s="584"/>
      <c r="T366" s="584"/>
      <c r="U366" s="584"/>
      <c r="V366" s="584"/>
      <c r="W366" s="584"/>
      <c r="X366" s="584"/>
      <c r="Y366" s="584"/>
      <c r="Z366" s="584"/>
      <c r="AA366" s="584"/>
      <c r="AB366" s="584"/>
      <c r="AC366" s="584"/>
      <c r="AD366" s="584"/>
      <c r="AE366" s="584"/>
      <c r="AF366" s="584"/>
    </row>
    <row r="367" ht="14.25" customHeight="1">
      <c r="A367" s="582"/>
      <c r="B367" s="601"/>
      <c r="C367" s="598"/>
      <c r="D367" s="581"/>
      <c r="E367" s="599"/>
      <c r="F367" s="601"/>
      <c r="G367" s="596"/>
      <c r="H367" s="596"/>
      <c r="I367" s="601"/>
      <c r="J367" s="601"/>
      <c r="K367" s="601"/>
      <c r="L367" s="582"/>
      <c r="M367" s="582"/>
      <c r="N367" s="585"/>
      <c r="O367" s="601"/>
      <c r="P367" s="582"/>
      <c r="Q367" s="584"/>
      <c r="R367" s="584"/>
      <c r="S367" s="584"/>
      <c r="T367" s="584"/>
      <c r="U367" s="584"/>
      <c r="V367" s="584"/>
      <c r="W367" s="584"/>
      <c r="X367" s="584"/>
      <c r="Y367" s="584"/>
      <c r="Z367" s="584"/>
      <c r="AA367" s="584"/>
      <c r="AB367" s="584"/>
      <c r="AC367" s="584"/>
      <c r="AD367" s="584"/>
      <c r="AE367" s="584"/>
      <c r="AF367" s="584"/>
    </row>
    <row r="368" ht="14.25" customHeight="1">
      <c r="A368" s="582"/>
      <c r="B368" s="601"/>
      <c r="C368" s="598"/>
      <c r="D368" s="581"/>
      <c r="E368" s="599"/>
      <c r="F368" s="601"/>
      <c r="G368" s="596"/>
      <c r="H368" s="596"/>
      <c r="I368" s="601"/>
      <c r="J368" s="601"/>
      <c r="K368" s="601"/>
      <c r="L368" s="582"/>
      <c r="M368" s="582"/>
      <c r="N368" s="582"/>
      <c r="O368" s="601"/>
      <c r="P368" s="582"/>
      <c r="Q368" s="584"/>
      <c r="R368" s="584"/>
      <c r="S368" s="584"/>
      <c r="T368" s="584"/>
      <c r="U368" s="584"/>
      <c r="V368" s="584"/>
      <c r="W368" s="584"/>
      <c r="X368" s="584"/>
      <c r="Y368" s="584"/>
      <c r="Z368" s="584"/>
      <c r="AA368" s="584"/>
      <c r="AB368" s="584"/>
      <c r="AC368" s="584"/>
      <c r="AD368" s="584"/>
      <c r="AE368" s="584"/>
      <c r="AF368" s="584"/>
    </row>
    <row r="369" ht="14.25" customHeight="1">
      <c r="A369" s="582"/>
      <c r="B369" s="601"/>
      <c r="C369" s="598"/>
      <c r="D369" s="581"/>
      <c r="E369" s="599"/>
      <c r="F369" s="601"/>
      <c r="G369" s="596"/>
      <c r="H369" s="596"/>
      <c r="I369" s="601"/>
      <c r="J369" s="601"/>
      <c r="K369" s="601"/>
      <c r="L369" s="582"/>
      <c r="M369" s="582"/>
      <c r="N369" s="582"/>
      <c r="O369" s="601"/>
      <c r="P369" s="582"/>
      <c r="Q369" s="584"/>
      <c r="R369" s="584"/>
      <c r="S369" s="584"/>
      <c r="T369" s="584"/>
      <c r="U369" s="584"/>
      <c r="V369" s="584"/>
      <c r="W369" s="584"/>
      <c r="X369" s="584"/>
      <c r="Y369" s="584"/>
      <c r="Z369" s="584"/>
      <c r="AA369" s="584"/>
      <c r="AB369" s="584"/>
      <c r="AC369" s="584"/>
      <c r="AD369" s="584"/>
      <c r="AE369" s="584"/>
      <c r="AF369" s="584"/>
    </row>
    <row r="370" ht="14.25" customHeight="1">
      <c r="A370" s="582"/>
      <c r="B370" s="601"/>
      <c r="C370" s="598"/>
      <c r="D370" s="581"/>
      <c r="E370" s="599"/>
      <c r="F370" s="601"/>
      <c r="G370" s="596"/>
      <c r="H370" s="596"/>
      <c r="I370" s="601"/>
      <c r="J370" s="601"/>
      <c r="K370" s="601"/>
      <c r="L370" s="582"/>
      <c r="M370" s="582"/>
      <c r="N370" s="582"/>
      <c r="O370" s="601"/>
      <c r="P370" s="582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  <c r="AA370" s="584"/>
      <c r="AB370" s="584"/>
      <c r="AC370" s="584"/>
      <c r="AD370" s="584"/>
      <c r="AE370" s="584"/>
      <c r="AF370" s="584"/>
    </row>
    <row r="371" ht="14.25" customHeight="1">
      <c r="A371" s="610"/>
      <c r="B371" s="601"/>
      <c r="C371" s="598"/>
      <c r="D371" s="581"/>
      <c r="E371" s="599"/>
      <c r="F371" s="601"/>
      <c r="G371" s="596"/>
      <c r="H371" s="596"/>
      <c r="I371" s="601"/>
      <c r="J371" s="601"/>
      <c r="K371" s="601"/>
      <c r="L371" s="582"/>
      <c r="M371" s="582"/>
      <c r="N371" s="582"/>
      <c r="O371" s="601"/>
      <c r="P371" s="582"/>
      <c r="Q371" s="584"/>
      <c r="R371" s="584"/>
      <c r="S371" s="584"/>
      <c r="T371" s="584"/>
      <c r="U371" s="584"/>
      <c r="V371" s="584"/>
      <c r="W371" s="584"/>
      <c r="X371" s="584"/>
      <c r="Y371" s="584"/>
      <c r="Z371" s="584"/>
      <c r="AA371" s="584"/>
      <c r="AB371" s="584"/>
      <c r="AC371" s="584"/>
      <c r="AD371" s="584"/>
      <c r="AE371" s="584"/>
      <c r="AF371" s="584"/>
    </row>
    <row r="372" ht="14.25" customHeight="1">
      <c r="A372" s="582"/>
      <c r="B372" s="601"/>
      <c r="C372" s="598"/>
      <c r="D372" s="581"/>
      <c r="E372" s="599"/>
      <c r="F372" s="601"/>
      <c r="G372" s="596"/>
      <c r="H372" s="596"/>
      <c r="I372" s="601"/>
      <c r="J372" s="601"/>
      <c r="K372" s="601"/>
      <c r="L372" s="582"/>
      <c r="M372" s="582"/>
      <c r="N372" s="582"/>
      <c r="O372" s="601"/>
      <c r="P372" s="582"/>
      <c r="Q372" s="584"/>
      <c r="R372" s="584"/>
      <c r="S372" s="584"/>
      <c r="T372" s="584"/>
      <c r="U372" s="584"/>
      <c r="V372" s="584"/>
      <c r="W372" s="584"/>
      <c r="X372" s="584"/>
      <c r="Y372" s="584"/>
      <c r="Z372" s="584"/>
      <c r="AA372" s="584"/>
      <c r="AB372" s="584"/>
      <c r="AC372" s="584"/>
      <c r="AD372" s="584"/>
      <c r="AE372" s="584"/>
      <c r="AF372" s="584"/>
    </row>
    <row r="373" ht="14.25" customHeight="1">
      <c r="A373" s="610"/>
      <c r="B373" s="601"/>
      <c r="C373" s="598"/>
      <c r="D373" s="581"/>
      <c r="E373" s="599"/>
      <c r="F373" s="601"/>
      <c r="G373" s="596"/>
      <c r="H373" s="596"/>
      <c r="I373" s="601"/>
      <c r="J373" s="601"/>
      <c r="K373" s="601"/>
      <c r="L373" s="582"/>
      <c r="M373" s="582"/>
      <c r="N373" s="582"/>
      <c r="O373" s="601"/>
      <c r="P373" s="582"/>
      <c r="Q373" s="584"/>
      <c r="R373" s="584"/>
      <c r="S373" s="584"/>
      <c r="T373" s="584"/>
      <c r="U373" s="584"/>
      <c r="V373" s="584"/>
      <c r="W373" s="584"/>
      <c r="X373" s="584"/>
      <c r="Y373" s="584"/>
      <c r="Z373" s="584"/>
      <c r="AA373" s="584"/>
      <c r="AB373" s="584"/>
      <c r="AC373" s="584"/>
      <c r="AD373" s="584"/>
      <c r="AE373" s="584"/>
      <c r="AF373" s="584"/>
    </row>
    <row r="374" ht="14.25" customHeight="1">
      <c r="A374" s="579"/>
      <c r="B374" s="580"/>
      <c r="C374" s="598"/>
      <c r="D374" s="581"/>
      <c r="E374" s="599"/>
      <c r="F374" s="580"/>
      <c r="G374" s="589"/>
      <c r="H374" s="589"/>
      <c r="I374" s="580"/>
      <c r="J374" s="580"/>
      <c r="K374" s="580"/>
      <c r="L374" s="582"/>
      <c r="M374" s="582"/>
      <c r="N374" s="582"/>
      <c r="O374" s="580"/>
      <c r="P374" s="582"/>
      <c r="Q374" s="584"/>
      <c r="R374" s="584"/>
      <c r="S374" s="584"/>
      <c r="T374" s="584"/>
      <c r="U374" s="584"/>
      <c r="V374" s="584"/>
      <c r="W374" s="584"/>
      <c r="X374" s="584"/>
      <c r="Y374" s="584"/>
      <c r="Z374" s="584"/>
      <c r="AA374" s="584"/>
      <c r="AB374" s="584"/>
      <c r="AC374" s="584"/>
      <c r="AD374" s="584"/>
      <c r="AE374" s="584"/>
      <c r="AF374" s="584"/>
    </row>
    <row r="375" ht="14.25" customHeight="1">
      <c r="A375" s="582"/>
      <c r="B375" s="601"/>
      <c r="C375" s="598"/>
      <c r="D375" s="581"/>
      <c r="E375" s="599"/>
      <c r="F375" s="601"/>
      <c r="G375" s="596"/>
      <c r="H375" s="596"/>
      <c r="I375" s="601"/>
      <c r="J375" s="601"/>
      <c r="K375" s="601"/>
      <c r="L375" s="582"/>
      <c r="M375" s="582"/>
      <c r="N375" s="582"/>
      <c r="O375" s="601"/>
      <c r="P375" s="582"/>
      <c r="Q375" s="584"/>
      <c r="R375" s="584"/>
      <c r="S375" s="584"/>
      <c r="T375" s="584"/>
      <c r="U375" s="584"/>
      <c r="V375" s="584"/>
      <c r="W375" s="584"/>
      <c r="X375" s="584"/>
      <c r="Y375" s="584"/>
      <c r="Z375" s="584"/>
      <c r="AA375" s="584"/>
      <c r="AB375" s="584"/>
      <c r="AC375" s="584"/>
      <c r="AD375" s="584"/>
      <c r="AE375" s="584"/>
      <c r="AF375" s="584"/>
    </row>
    <row r="376" ht="14.25" customHeight="1">
      <c r="A376" s="582"/>
      <c r="B376" s="601"/>
      <c r="C376" s="598"/>
      <c r="D376" s="581"/>
      <c r="E376" s="599"/>
      <c r="F376" s="601"/>
      <c r="G376" s="596"/>
      <c r="H376" s="596"/>
      <c r="I376" s="601"/>
      <c r="J376" s="601"/>
      <c r="K376" s="601"/>
      <c r="L376" s="582"/>
      <c r="M376" s="582"/>
      <c r="N376" s="582"/>
      <c r="O376" s="601"/>
      <c r="P376" s="582"/>
      <c r="Q376" s="584"/>
      <c r="R376" s="584"/>
      <c r="S376" s="584"/>
      <c r="T376" s="584"/>
      <c r="U376" s="584"/>
      <c r="V376" s="584"/>
      <c r="W376" s="584"/>
      <c r="X376" s="584"/>
      <c r="Y376" s="584"/>
      <c r="Z376" s="584"/>
      <c r="AA376" s="584"/>
      <c r="AB376" s="584"/>
      <c r="AC376" s="584"/>
      <c r="AD376" s="584"/>
      <c r="AE376" s="584"/>
      <c r="AF376" s="584"/>
    </row>
    <row r="377" ht="14.25" customHeight="1">
      <c r="A377" s="582"/>
      <c r="B377" s="601"/>
      <c r="C377" s="598"/>
      <c r="D377" s="581"/>
      <c r="E377" s="599"/>
      <c r="F377" s="601"/>
      <c r="G377" s="596"/>
      <c r="H377" s="596"/>
      <c r="I377" s="601"/>
      <c r="J377" s="601"/>
      <c r="K377" s="601"/>
      <c r="L377" s="582"/>
      <c r="M377" s="582"/>
      <c r="N377" s="582"/>
      <c r="O377" s="601"/>
      <c r="P377" s="582"/>
      <c r="Q377" s="584"/>
      <c r="R377" s="584"/>
      <c r="S377" s="584"/>
      <c r="T377" s="584"/>
      <c r="U377" s="584"/>
      <c r="V377" s="584"/>
      <c r="W377" s="584"/>
      <c r="X377" s="584"/>
      <c r="Y377" s="584"/>
      <c r="Z377" s="584"/>
      <c r="AA377" s="584"/>
      <c r="AB377" s="584"/>
      <c r="AC377" s="584"/>
      <c r="AD377" s="584"/>
      <c r="AE377" s="584"/>
      <c r="AF377" s="584"/>
    </row>
    <row r="378" ht="14.25" customHeight="1">
      <c r="A378" s="582"/>
      <c r="B378" s="601"/>
      <c r="C378" s="598"/>
      <c r="D378" s="581"/>
      <c r="E378" s="599"/>
      <c r="F378" s="601"/>
      <c r="G378" s="596"/>
      <c r="H378" s="596"/>
      <c r="I378" s="601"/>
      <c r="J378" s="601"/>
      <c r="K378" s="601"/>
      <c r="L378" s="582"/>
      <c r="M378" s="582"/>
      <c r="N378" s="582"/>
      <c r="O378" s="601"/>
      <c r="P378" s="582"/>
      <c r="Q378" s="584"/>
      <c r="R378" s="584"/>
      <c r="S378" s="584"/>
      <c r="T378" s="584"/>
      <c r="U378" s="584"/>
      <c r="V378" s="584"/>
      <c r="W378" s="584"/>
      <c r="X378" s="584"/>
      <c r="Y378" s="584"/>
      <c r="Z378" s="584"/>
      <c r="AA378" s="584"/>
      <c r="AB378" s="584"/>
      <c r="AC378" s="584"/>
      <c r="AD378" s="584"/>
      <c r="AE378" s="584"/>
      <c r="AF378" s="584"/>
    </row>
    <row r="379" ht="14.25" customHeight="1">
      <c r="A379" s="582"/>
      <c r="B379" s="601"/>
      <c r="C379" s="598"/>
      <c r="D379" s="581"/>
      <c r="E379" s="599"/>
      <c r="F379" s="601"/>
      <c r="G379" s="596"/>
      <c r="H379" s="596"/>
      <c r="I379" s="601"/>
      <c r="J379" s="601"/>
      <c r="K379" s="601"/>
      <c r="L379" s="582"/>
      <c r="M379" s="582"/>
      <c r="N379" s="582"/>
      <c r="O379" s="601"/>
      <c r="P379" s="582"/>
      <c r="Q379" s="584"/>
      <c r="R379" s="584"/>
      <c r="S379" s="584"/>
      <c r="T379" s="584"/>
      <c r="U379" s="584"/>
      <c r="V379" s="584"/>
      <c r="W379" s="584"/>
      <c r="X379" s="584"/>
      <c r="Y379" s="584"/>
      <c r="Z379" s="584"/>
      <c r="AA379" s="584"/>
      <c r="AB379" s="584"/>
      <c r="AC379" s="584"/>
      <c r="AD379" s="584"/>
      <c r="AE379" s="584"/>
      <c r="AF379" s="584"/>
    </row>
    <row r="380" ht="14.25" customHeight="1">
      <c r="A380" s="582"/>
      <c r="B380" s="601"/>
      <c r="C380" s="598"/>
      <c r="D380" s="581"/>
      <c r="E380" s="599"/>
      <c r="F380" s="601"/>
      <c r="G380" s="596"/>
      <c r="H380" s="596"/>
      <c r="I380" s="601"/>
      <c r="J380" s="601"/>
      <c r="K380" s="601"/>
      <c r="L380" s="582"/>
      <c r="M380" s="582"/>
      <c r="N380" s="582"/>
      <c r="O380" s="601"/>
      <c r="P380" s="582"/>
      <c r="Q380" s="584"/>
      <c r="R380" s="584"/>
      <c r="S380" s="584"/>
      <c r="T380" s="584"/>
      <c r="U380" s="584"/>
      <c r="V380" s="584"/>
      <c r="W380" s="584"/>
      <c r="X380" s="584"/>
      <c r="Y380" s="584"/>
      <c r="Z380" s="584"/>
      <c r="AA380" s="584"/>
      <c r="AB380" s="584"/>
      <c r="AC380" s="584"/>
      <c r="AD380" s="584"/>
      <c r="AE380" s="584"/>
      <c r="AF380" s="584"/>
    </row>
    <row r="381" ht="14.25" customHeight="1">
      <c r="A381" s="582"/>
      <c r="B381" s="601"/>
      <c r="C381" s="598"/>
      <c r="D381" s="581"/>
      <c r="E381" s="599"/>
      <c r="F381" s="601"/>
      <c r="G381" s="596"/>
      <c r="H381" s="596"/>
      <c r="I381" s="601"/>
      <c r="J381" s="601"/>
      <c r="K381" s="601"/>
      <c r="L381" s="582"/>
      <c r="M381" s="582"/>
      <c r="N381" s="582"/>
      <c r="O381" s="601"/>
      <c r="P381" s="582"/>
      <c r="Q381" s="584"/>
      <c r="R381" s="584"/>
      <c r="S381" s="584"/>
      <c r="T381" s="584"/>
      <c r="U381" s="584"/>
      <c r="V381" s="584"/>
      <c r="W381" s="584"/>
      <c r="X381" s="584"/>
      <c r="Y381" s="584"/>
      <c r="Z381" s="584"/>
      <c r="AA381" s="584"/>
      <c r="AB381" s="584"/>
      <c r="AC381" s="584"/>
      <c r="AD381" s="584"/>
      <c r="AE381" s="584"/>
      <c r="AF381" s="584"/>
    </row>
    <row r="382" ht="14.25" customHeight="1">
      <c r="A382" s="582"/>
      <c r="B382" s="601"/>
      <c r="C382" s="598"/>
      <c r="D382" s="581"/>
      <c r="E382" s="599"/>
      <c r="F382" s="601"/>
      <c r="G382" s="596"/>
      <c r="H382" s="596"/>
      <c r="I382" s="601"/>
      <c r="J382" s="601"/>
      <c r="K382" s="601"/>
      <c r="L382" s="582"/>
      <c r="M382" s="582"/>
      <c r="N382" s="582"/>
      <c r="O382" s="601"/>
      <c r="P382" s="582"/>
      <c r="Q382" s="584"/>
      <c r="R382" s="584"/>
      <c r="S382" s="584"/>
      <c r="T382" s="584"/>
      <c r="U382" s="584"/>
      <c r="V382" s="584"/>
      <c r="W382" s="584"/>
      <c r="X382" s="584"/>
      <c r="Y382" s="584"/>
      <c r="Z382" s="584"/>
      <c r="AA382" s="584"/>
      <c r="AB382" s="584"/>
      <c r="AC382" s="584"/>
      <c r="AD382" s="584"/>
      <c r="AE382" s="584"/>
      <c r="AF382" s="584"/>
    </row>
    <row r="383" ht="14.25" customHeight="1">
      <c r="A383" s="582"/>
      <c r="B383" s="601"/>
      <c r="C383" s="598"/>
      <c r="D383" s="581"/>
      <c r="E383" s="599"/>
      <c r="F383" s="601"/>
      <c r="G383" s="596"/>
      <c r="H383" s="596"/>
      <c r="I383" s="601"/>
      <c r="J383" s="601"/>
      <c r="K383" s="601"/>
      <c r="L383" s="582"/>
      <c r="M383" s="582"/>
      <c r="N383" s="582"/>
      <c r="O383" s="601"/>
      <c r="P383" s="582"/>
      <c r="Q383" s="584"/>
      <c r="R383" s="584"/>
      <c r="S383" s="584"/>
      <c r="T383" s="584"/>
      <c r="U383" s="584"/>
      <c r="V383" s="584"/>
      <c r="W383" s="584"/>
      <c r="X383" s="584"/>
      <c r="Y383" s="584"/>
      <c r="Z383" s="584"/>
      <c r="AA383" s="584"/>
      <c r="AB383" s="584"/>
      <c r="AC383" s="584"/>
      <c r="AD383" s="584"/>
      <c r="AE383" s="584"/>
      <c r="AF383" s="584"/>
    </row>
    <row r="384" ht="14.25" customHeight="1">
      <c r="A384" s="582"/>
      <c r="B384" s="601"/>
      <c r="C384" s="598"/>
      <c r="D384" s="581"/>
      <c r="E384" s="599"/>
      <c r="F384" s="601"/>
      <c r="G384" s="596"/>
      <c r="H384" s="596"/>
      <c r="I384" s="601"/>
      <c r="J384" s="601"/>
      <c r="K384" s="601"/>
      <c r="L384" s="582"/>
      <c r="M384" s="582"/>
      <c r="N384" s="582"/>
      <c r="O384" s="601"/>
      <c r="P384" s="582"/>
      <c r="Q384" s="584"/>
      <c r="R384" s="584"/>
      <c r="S384" s="584"/>
      <c r="T384" s="584"/>
      <c r="U384" s="584"/>
      <c r="V384" s="584"/>
      <c r="W384" s="584"/>
      <c r="X384" s="584"/>
      <c r="Y384" s="584"/>
      <c r="Z384" s="584"/>
      <c r="AA384" s="584"/>
      <c r="AB384" s="584"/>
      <c r="AC384" s="584"/>
      <c r="AD384" s="584"/>
      <c r="AE384" s="584"/>
      <c r="AF384" s="584"/>
    </row>
    <row r="385" ht="14.25" customHeight="1">
      <c r="A385" s="582"/>
      <c r="B385" s="601"/>
      <c r="C385" s="598"/>
      <c r="D385" s="581"/>
      <c r="E385" s="599"/>
      <c r="F385" s="601"/>
      <c r="G385" s="596"/>
      <c r="H385" s="596"/>
      <c r="I385" s="601"/>
      <c r="J385" s="601"/>
      <c r="K385" s="601"/>
      <c r="L385" s="582"/>
      <c r="M385" s="582"/>
      <c r="N385" s="582"/>
      <c r="O385" s="601"/>
      <c r="P385" s="582"/>
      <c r="Q385" s="584"/>
      <c r="R385" s="584"/>
      <c r="S385" s="584"/>
      <c r="T385" s="584"/>
      <c r="U385" s="584"/>
      <c r="V385" s="584"/>
      <c r="W385" s="584"/>
      <c r="X385" s="584"/>
      <c r="Y385" s="584"/>
      <c r="Z385" s="584"/>
      <c r="AA385" s="584"/>
      <c r="AB385" s="584"/>
      <c r="AC385" s="584"/>
      <c r="AD385" s="584"/>
      <c r="AE385" s="584"/>
      <c r="AF385" s="584"/>
    </row>
    <row r="386" ht="14.25" customHeight="1">
      <c r="A386" s="582"/>
      <c r="B386" s="601"/>
      <c r="C386" s="598"/>
      <c r="D386" s="581"/>
      <c r="E386" s="599"/>
      <c r="F386" s="601"/>
      <c r="G386" s="596"/>
      <c r="H386" s="596"/>
      <c r="I386" s="601"/>
      <c r="J386" s="601"/>
      <c r="K386" s="601"/>
      <c r="L386" s="582"/>
      <c r="M386" s="582"/>
      <c r="N386" s="582"/>
      <c r="O386" s="601"/>
      <c r="P386" s="582"/>
      <c r="Q386" s="584"/>
      <c r="R386" s="584"/>
      <c r="S386" s="584"/>
      <c r="T386" s="584"/>
      <c r="U386" s="584"/>
      <c r="V386" s="584"/>
      <c r="W386" s="584"/>
      <c r="X386" s="584"/>
      <c r="Y386" s="584"/>
      <c r="Z386" s="584"/>
      <c r="AA386" s="584"/>
      <c r="AB386" s="584"/>
      <c r="AC386" s="584"/>
      <c r="AD386" s="584"/>
      <c r="AE386" s="584"/>
      <c r="AF386" s="584"/>
    </row>
    <row r="387" ht="14.25" customHeight="1">
      <c r="A387" s="582"/>
      <c r="B387" s="601"/>
      <c r="C387" s="598"/>
      <c r="D387" s="581"/>
      <c r="E387" s="599"/>
      <c r="F387" s="601"/>
      <c r="G387" s="596"/>
      <c r="H387" s="596"/>
      <c r="I387" s="601"/>
      <c r="J387" s="601"/>
      <c r="K387" s="601"/>
      <c r="L387" s="582"/>
      <c r="M387" s="582"/>
      <c r="N387" s="582"/>
      <c r="O387" s="601"/>
      <c r="P387" s="582"/>
      <c r="Q387" s="584"/>
      <c r="R387" s="584"/>
      <c r="S387" s="584"/>
      <c r="T387" s="584"/>
      <c r="U387" s="584"/>
      <c r="V387" s="584"/>
      <c r="W387" s="584"/>
      <c r="X387" s="584"/>
      <c r="Y387" s="584"/>
      <c r="Z387" s="584"/>
      <c r="AA387" s="584"/>
      <c r="AB387" s="584"/>
      <c r="AC387" s="584"/>
      <c r="AD387" s="584"/>
      <c r="AE387" s="584"/>
      <c r="AF387" s="584"/>
    </row>
    <row r="388" ht="14.25" customHeight="1">
      <c r="A388" s="579"/>
      <c r="B388" s="580"/>
      <c r="C388" s="581"/>
      <c r="D388" s="581"/>
      <c r="E388" s="581"/>
      <c r="F388" s="580"/>
      <c r="G388" s="589"/>
      <c r="H388" s="589"/>
      <c r="I388" s="580"/>
      <c r="J388" s="580"/>
      <c r="K388" s="580"/>
      <c r="L388" s="582"/>
      <c r="M388" s="582"/>
      <c r="N388" s="585"/>
      <c r="O388" s="580"/>
      <c r="P388" s="593"/>
      <c r="Q388" s="584"/>
      <c r="R388" s="584"/>
      <c r="S388" s="584"/>
      <c r="T388" s="584"/>
      <c r="U388" s="584"/>
      <c r="V388" s="584"/>
      <c r="W388" s="584"/>
      <c r="X388" s="584"/>
      <c r="Y388" s="584"/>
      <c r="Z388" s="584"/>
      <c r="AA388" s="584"/>
      <c r="AB388" s="584"/>
      <c r="AC388" s="584"/>
      <c r="AD388" s="584"/>
      <c r="AE388" s="584"/>
      <c r="AF388" s="584"/>
    </row>
    <row r="389" ht="14.25" customHeight="1">
      <c r="A389" s="579"/>
      <c r="B389" s="580"/>
      <c r="C389" s="581"/>
      <c r="D389" s="581"/>
      <c r="E389" s="581"/>
      <c r="F389" s="580"/>
      <c r="G389" s="589"/>
      <c r="H389" s="589"/>
      <c r="I389" s="580"/>
      <c r="J389" s="580"/>
      <c r="K389" s="580"/>
      <c r="L389" s="582"/>
      <c r="M389" s="582"/>
      <c r="N389" s="585"/>
      <c r="O389" s="580"/>
      <c r="P389" s="593"/>
      <c r="Q389" s="584"/>
      <c r="R389" s="584"/>
      <c r="S389" s="584"/>
      <c r="T389" s="584"/>
      <c r="U389" s="584"/>
      <c r="V389" s="584"/>
      <c r="W389" s="584"/>
      <c r="X389" s="584"/>
      <c r="Y389" s="584"/>
      <c r="Z389" s="584"/>
      <c r="AA389" s="584"/>
      <c r="AB389" s="584"/>
      <c r="AC389" s="584"/>
      <c r="AD389" s="584"/>
      <c r="AE389" s="584"/>
      <c r="AF389" s="584"/>
    </row>
    <row r="390" ht="14.25" customHeight="1">
      <c r="A390" s="579"/>
      <c r="B390" s="580"/>
      <c r="C390" s="581"/>
      <c r="D390" s="581"/>
      <c r="E390" s="581"/>
      <c r="F390" s="580"/>
      <c r="G390" s="589"/>
      <c r="H390" s="589"/>
      <c r="I390" s="580"/>
      <c r="J390" s="580"/>
      <c r="K390" s="580"/>
      <c r="L390" s="582"/>
      <c r="M390" s="582"/>
      <c r="N390" s="585"/>
      <c r="O390" s="580"/>
      <c r="P390" s="593"/>
      <c r="Q390" s="584"/>
      <c r="R390" s="584"/>
      <c r="S390" s="584"/>
      <c r="T390" s="584"/>
      <c r="U390" s="584"/>
      <c r="V390" s="584"/>
      <c r="W390" s="584"/>
      <c r="X390" s="584"/>
      <c r="Y390" s="584"/>
      <c r="Z390" s="584"/>
      <c r="AA390" s="584"/>
      <c r="AB390" s="584"/>
      <c r="AC390" s="584"/>
      <c r="AD390" s="584"/>
      <c r="AE390" s="584"/>
      <c r="AF390" s="584"/>
    </row>
    <row r="391" ht="14.25" customHeight="1">
      <c r="A391" s="579"/>
      <c r="B391" s="580"/>
      <c r="C391" s="581"/>
      <c r="D391" s="581"/>
      <c r="E391" s="581"/>
      <c r="F391" s="580"/>
      <c r="G391" s="589"/>
      <c r="H391" s="589"/>
      <c r="I391" s="580"/>
      <c r="J391" s="580"/>
      <c r="K391" s="580"/>
      <c r="L391" s="582"/>
      <c r="M391" s="582"/>
      <c r="N391" s="585"/>
      <c r="O391" s="580"/>
      <c r="P391" s="593"/>
      <c r="Q391" s="584"/>
      <c r="R391" s="584"/>
      <c r="S391" s="584"/>
      <c r="T391" s="584"/>
      <c r="U391" s="584"/>
      <c r="V391" s="584"/>
      <c r="W391" s="584"/>
      <c r="X391" s="584"/>
      <c r="Y391" s="584"/>
      <c r="Z391" s="584"/>
      <c r="AA391" s="584"/>
      <c r="AB391" s="584"/>
      <c r="AC391" s="584"/>
      <c r="AD391" s="584"/>
      <c r="AE391" s="584"/>
      <c r="AF391" s="584"/>
    </row>
    <row r="392" ht="14.25" customHeight="1">
      <c r="A392" s="579"/>
      <c r="B392" s="580"/>
      <c r="C392" s="581"/>
      <c r="D392" s="581"/>
      <c r="E392" s="581"/>
      <c r="F392" s="580"/>
      <c r="G392" s="589"/>
      <c r="H392" s="589"/>
      <c r="I392" s="580"/>
      <c r="J392" s="580"/>
      <c r="K392" s="580"/>
      <c r="L392" s="582"/>
      <c r="M392" s="582"/>
      <c r="N392" s="585"/>
      <c r="O392" s="580"/>
      <c r="P392" s="593"/>
      <c r="Q392" s="584"/>
      <c r="R392" s="584"/>
      <c r="S392" s="584"/>
      <c r="T392" s="584"/>
      <c r="U392" s="584"/>
      <c r="V392" s="584"/>
      <c r="W392" s="584"/>
      <c r="X392" s="584"/>
      <c r="Y392" s="584"/>
      <c r="Z392" s="584"/>
      <c r="AA392" s="584"/>
      <c r="AB392" s="584"/>
      <c r="AC392" s="584"/>
      <c r="AD392" s="584"/>
      <c r="AE392" s="584"/>
      <c r="AF392" s="584"/>
    </row>
    <row r="393" ht="14.25" customHeight="1">
      <c r="A393" s="579"/>
      <c r="B393" s="580"/>
      <c r="C393" s="581"/>
      <c r="D393" s="581"/>
      <c r="E393" s="581"/>
      <c r="F393" s="580"/>
      <c r="G393" s="589"/>
      <c r="H393" s="589"/>
      <c r="I393" s="580"/>
      <c r="J393" s="580"/>
      <c r="K393" s="580"/>
      <c r="L393" s="582"/>
      <c r="M393" s="582"/>
      <c r="N393" s="585"/>
      <c r="O393" s="580"/>
      <c r="P393" s="593"/>
      <c r="Q393" s="584"/>
      <c r="R393" s="584"/>
      <c r="S393" s="584"/>
      <c r="T393" s="584"/>
      <c r="U393" s="584"/>
      <c r="V393" s="584"/>
      <c r="W393" s="584"/>
      <c r="X393" s="584"/>
      <c r="Y393" s="584"/>
      <c r="Z393" s="584"/>
      <c r="AA393" s="584"/>
      <c r="AB393" s="584"/>
      <c r="AC393" s="584"/>
      <c r="AD393" s="584"/>
      <c r="AE393" s="584"/>
      <c r="AF393" s="584"/>
    </row>
    <row r="394" ht="14.25" customHeight="1">
      <c r="A394" s="579"/>
      <c r="B394" s="580"/>
      <c r="C394" s="581"/>
      <c r="D394" s="581"/>
      <c r="E394" s="581"/>
      <c r="F394" s="580"/>
      <c r="G394" s="589"/>
      <c r="H394" s="589"/>
      <c r="I394" s="580"/>
      <c r="J394" s="580"/>
      <c r="K394" s="580"/>
      <c r="L394" s="582"/>
      <c r="M394" s="582"/>
      <c r="N394" s="585"/>
      <c r="O394" s="580"/>
      <c r="P394" s="593"/>
      <c r="Q394" s="584"/>
      <c r="R394" s="584"/>
      <c r="S394" s="584"/>
      <c r="T394" s="584"/>
      <c r="U394" s="584"/>
      <c r="V394" s="584"/>
      <c r="W394" s="584"/>
      <c r="X394" s="584"/>
      <c r="Y394" s="584"/>
      <c r="Z394" s="584"/>
      <c r="AA394" s="584"/>
      <c r="AB394" s="584"/>
      <c r="AC394" s="584"/>
      <c r="AD394" s="584"/>
      <c r="AE394" s="584"/>
      <c r="AF394" s="584"/>
    </row>
    <row r="395" ht="14.25" customHeight="1">
      <c r="A395" s="579"/>
      <c r="B395" s="580"/>
      <c r="C395" s="581"/>
      <c r="D395" s="581"/>
      <c r="E395" s="581"/>
      <c r="F395" s="580"/>
      <c r="G395" s="589"/>
      <c r="H395" s="589"/>
      <c r="I395" s="580"/>
      <c r="J395" s="580"/>
      <c r="K395" s="580"/>
      <c r="L395" s="582"/>
      <c r="M395" s="582"/>
      <c r="N395" s="585"/>
      <c r="O395" s="580"/>
      <c r="P395" s="593"/>
      <c r="Q395" s="584"/>
      <c r="R395" s="584"/>
      <c r="S395" s="584"/>
      <c r="T395" s="584"/>
      <c r="U395" s="584"/>
      <c r="V395" s="584"/>
      <c r="W395" s="584"/>
      <c r="X395" s="584"/>
      <c r="Y395" s="584"/>
      <c r="Z395" s="584"/>
      <c r="AA395" s="584"/>
      <c r="AB395" s="584"/>
      <c r="AC395" s="584"/>
      <c r="AD395" s="584"/>
      <c r="AE395" s="584"/>
      <c r="AF395" s="584"/>
    </row>
    <row r="396" ht="14.25" customHeight="1">
      <c r="A396" s="579"/>
      <c r="B396" s="580"/>
      <c r="C396" s="581"/>
      <c r="D396" s="581"/>
      <c r="E396" s="581"/>
      <c r="F396" s="580"/>
      <c r="G396" s="589"/>
      <c r="H396" s="589"/>
      <c r="I396" s="580"/>
      <c r="J396" s="580"/>
      <c r="K396" s="580"/>
      <c r="L396" s="582"/>
      <c r="M396" s="582"/>
      <c r="N396" s="585"/>
      <c r="O396" s="580"/>
      <c r="P396" s="593"/>
      <c r="Q396" s="584"/>
      <c r="R396" s="584"/>
      <c r="S396" s="584"/>
      <c r="T396" s="584"/>
      <c r="U396" s="584"/>
      <c r="V396" s="584"/>
      <c r="W396" s="584"/>
      <c r="X396" s="584"/>
      <c r="Y396" s="584"/>
      <c r="Z396" s="584"/>
      <c r="AA396" s="584"/>
      <c r="AB396" s="584"/>
      <c r="AC396" s="584"/>
      <c r="AD396" s="584"/>
      <c r="AE396" s="584"/>
      <c r="AF396" s="584"/>
    </row>
    <row r="397" ht="14.25" customHeight="1">
      <c r="A397" s="579"/>
      <c r="B397" s="580"/>
      <c r="C397" s="581"/>
      <c r="D397" s="581"/>
      <c r="E397" s="581"/>
      <c r="F397" s="580"/>
      <c r="G397" s="589"/>
      <c r="H397" s="589"/>
      <c r="I397" s="580"/>
      <c r="J397" s="580"/>
      <c r="K397" s="580"/>
      <c r="L397" s="582"/>
      <c r="M397" s="582"/>
      <c r="N397" s="585"/>
      <c r="O397" s="580"/>
      <c r="P397" s="593"/>
      <c r="Q397" s="584"/>
      <c r="R397" s="584"/>
      <c r="S397" s="584"/>
      <c r="T397" s="584"/>
      <c r="U397" s="584"/>
      <c r="V397" s="584"/>
      <c r="W397" s="584"/>
      <c r="X397" s="584"/>
      <c r="Y397" s="584"/>
      <c r="Z397" s="584"/>
      <c r="AA397" s="584"/>
      <c r="AB397" s="584"/>
      <c r="AC397" s="584"/>
      <c r="AD397" s="584"/>
      <c r="AE397" s="584"/>
      <c r="AF397" s="584"/>
    </row>
    <row r="398" ht="14.25" customHeight="1">
      <c r="A398" s="579"/>
      <c r="B398" s="580"/>
      <c r="C398" s="581"/>
      <c r="D398" s="581"/>
      <c r="E398" s="581"/>
      <c r="F398" s="580"/>
      <c r="G398" s="589"/>
      <c r="H398" s="589"/>
      <c r="I398" s="580"/>
      <c r="J398" s="580"/>
      <c r="K398" s="580"/>
      <c r="L398" s="582"/>
      <c r="M398" s="582"/>
      <c r="N398" s="585"/>
      <c r="O398" s="580"/>
      <c r="P398" s="593"/>
      <c r="Q398" s="584"/>
      <c r="R398" s="584"/>
      <c r="S398" s="584"/>
      <c r="T398" s="584"/>
      <c r="U398" s="584"/>
      <c r="V398" s="584"/>
      <c r="W398" s="584"/>
      <c r="X398" s="584"/>
      <c r="Y398" s="584"/>
      <c r="Z398" s="584"/>
      <c r="AA398" s="584"/>
      <c r="AB398" s="584"/>
      <c r="AC398" s="584"/>
      <c r="AD398" s="584"/>
      <c r="AE398" s="584"/>
      <c r="AF398" s="584"/>
    </row>
    <row r="399" ht="14.25" customHeight="1">
      <c r="A399" s="579"/>
      <c r="B399" s="580"/>
      <c r="C399" s="581"/>
      <c r="D399" s="581"/>
      <c r="E399" s="581"/>
      <c r="F399" s="580"/>
      <c r="G399" s="589"/>
      <c r="H399" s="589"/>
      <c r="I399" s="580"/>
      <c r="J399" s="580"/>
      <c r="K399" s="580"/>
      <c r="L399" s="582"/>
      <c r="M399" s="582"/>
      <c r="N399" s="585"/>
      <c r="O399" s="580"/>
      <c r="P399" s="593"/>
      <c r="Q399" s="584"/>
      <c r="R399" s="584"/>
      <c r="S399" s="584"/>
      <c r="T399" s="584"/>
      <c r="U399" s="584"/>
      <c r="V399" s="584"/>
      <c r="W399" s="584"/>
      <c r="X399" s="584"/>
      <c r="Y399" s="584"/>
      <c r="Z399" s="584"/>
      <c r="AA399" s="584"/>
      <c r="AB399" s="584"/>
      <c r="AC399" s="584"/>
      <c r="AD399" s="584"/>
      <c r="AE399" s="584"/>
      <c r="AF399" s="584"/>
    </row>
    <row r="400" ht="14.25" customHeight="1">
      <c r="A400" s="579"/>
      <c r="B400" s="580"/>
      <c r="C400" s="581"/>
      <c r="D400" s="581"/>
      <c r="E400" s="581"/>
      <c r="F400" s="580"/>
      <c r="G400" s="589"/>
      <c r="H400" s="589"/>
      <c r="I400" s="580"/>
      <c r="J400" s="580"/>
      <c r="K400" s="580"/>
      <c r="L400" s="582"/>
      <c r="M400" s="582"/>
      <c r="N400" s="585"/>
      <c r="O400" s="580"/>
      <c r="P400" s="593"/>
      <c r="Q400" s="584"/>
      <c r="R400" s="584"/>
      <c r="S400" s="584"/>
      <c r="T400" s="584"/>
      <c r="U400" s="584"/>
      <c r="V400" s="584"/>
      <c r="W400" s="584"/>
      <c r="X400" s="584"/>
      <c r="Y400" s="584"/>
      <c r="Z400" s="584"/>
      <c r="AA400" s="584"/>
      <c r="AB400" s="584"/>
      <c r="AC400" s="584"/>
      <c r="AD400" s="584"/>
      <c r="AE400" s="584"/>
      <c r="AF400" s="584"/>
    </row>
    <row r="401" ht="14.25" customHeight="1">
      <c r="A401" s="579"/>
      <c r="B401" s="580"/>
      <c r="C401" s="581"/>
      <c r="D401" s="581"/>
      <c r="E401" s="581"/>
      <c r="F401" s="580"/>
      <c r="G401" s="589"/>
      <c r="H401" s="589"/>
      <c r="I401" s="580"/>
      <c r="J401" s="580"/>
      <c r="K401" s="580"/>
      <c r="L401" s="582"/>
      <c r="M401" s="582"/>
      <c r="N401" s="585"/>
      <c r="O401" s="580"/>
      <c r="P401" s="593"/>
      <c r="Q401" s="584"/>
      <c r="R401" s="584"/>
      <c r="S401" s="584"/>
      <c r="T401" s="584"/>
      <c r="U401" s="584"/>
      <c r="V401" s="584"/>
      <c r="W401" s="584"/>
      <c r="X401" s="584"/>
      <c r="Y401" s="584"/>
      <c r="Z401" s="584"/>
      <c r="AA401" s="584"/>
      <c r="AB401" s="584"/>
      <c r="AC401" s="584"/>
      <c r="AD401" s="584"/>
      <c r="AE401" s="584"/>
      <c r="AF401" s="584"/>
    </row>
    <row r="402" ht="14.25" customHeight="1">
      <c r="A402" s="579"/>
      <c r="B402" s="580"/>
      <c r="C402" s="581"/>
      <c r="D402" s="581"/>
      <c r="E402" s="581"/>
      <c r="F402" s="580"/>
      <c r="G402" s="589"/>
      <c r="H402" s="589"/>
      <c r="I402" s="580"/>
      <c r="J402" s="580"/>
      <c r="K402" s="580"/>
      <c r="L402" s="582"/>
      <c r="M402" s="582"/>
      <c r="N402" s="585"/>
      <c r="O402" s="580"/>
      <c r="P402" s="593"/>
      <c r="Q402" s="584"/>
      <c r="R402" s="584"/>
      <c r="S402" s="584"/>
      <c r="T402" s="584"/>
      <c r="U402" s="584"/>
      <c r="V402" s="584"/>
      <c r="W402" s="584"/>
      <c r="X402" s="584"/>
      <c r="Y402" s="584"/>
      <c r="Z402" s="584"/>
      <c r="AA402" s="584"/>
      <c r="AB402" s="584"/>
      <c r="AC402" s="584"/>
      <c r="AD402" s="584"/>
      <c r="AE402" s="584"/>
      <c r="AF402" s="584"/>
    </row>
    <row r="403" ht="14.25" customHeight="1">
      <c r="A403" s="579"/>
      <c r="B403" s="580"/>
      <c r="C403" s="581"/>
      <c r="D403" s="581"/>
      <c r="E403" s="581"/>
      <c r="F403" s="580"/>
      <c r="G403" s="589"/>
      <c r="H403" s="589"/>
      <c r="I403" s="580"/>
      <c r="J403" s="580"/>
      <c r="K403" s="580"/>
      <c r="L403" s="582"/>
      <c r="M403" s="582"/>
      <c r="N403" s="585"/>
      <c r="O403" s="580"/>
      <c r="P403" s="593"/>
      <c r="Q403" s="584"/>
      <c r="R403" s="584"/>
      <c r="S403" s="584"/>
      <c r="T403" s="584"/>
      <c r="U403" s="584"/>
      <c r="V403" s="584"/>
      <c r="W403" s="584"/>
      <c r="X403" s="584"/>
      <c r="Y403" s="584"/>
      <c r="Z403" s="584"/>
      <c r="AA403" s="584"/>
      <c r="AB403" s="584"/>
      <c r="AC403" s="584"/>
      <c r="AD403" s="584"/>
      <c r="AE403" s="584"/>
      <c r="AF403" s="584"/>
    </row>
    <row r="404" ht="14.25" customHeight="1">
      <c r="A404" s="579"/>
      <c r="B404" s="580"/>
      <c r="C404" s="581"/>
      <c r="D404" s="581"/>
      <c r="E404" s="581"/>
      <c r="F404" s="580"/>
      <c r="G404" s="589"/>
      <c r="H404" s="589"/>
      <c r="I404" s="580"/>
      <c r="J404" s="580"/>
      <c r="K404" s="580"/>
      <c r="L404" s="582"/>
      <c r="M404" s="582"/>
      <c r="N404" s="585"/>
      <c r="O404" s="580"/>
      <c r="P404" s="593"/>
      <c r="Q404" s="584"/>
      <c r="R404" s="584"/>
      <c r="S404" s="584"/>
      <c r="T404" s="584"/>
      <c r="U404" s="584"/>
      <c r="V404" s="584"/>
      <c r="W404" s="584"/>
      <c r="X404" s="584"/>
      <c r="Y404" s="584"/>
      <c r="Z404" s="584"/>
      <c r="AA404" s="584"/>
      <c r="AB404" s="584"/>
      <c r="AC404" s="584"/>
      <c r="AD404" s="584"/>
      <c r="AE404" s="584"/>
      <c r="AF404" s="584"/>
    </row>
    <row r="405" ht="14.25" customHeight="1">
      <c r="A405" s="579"/>
      <c r="B405" s="580"/>
      <c r="C405" s="581"/>
      <c r="D405" s="581"/>
      <c r="E405" s="581"/>
      <c r="F405" s="580"/>
      <c r="G405" s="589"/>
      <c r="H405" s="589"/>
      <c r="I405" s="580"/>
      <c r="J405" s="580"/>
      <c r="K405" s="580"/>
      <c r="L405" s="582"/>
      <c r="M405" s="582"/>
      <c r="N405" s="585"/>
      <c r="O405" s="580"/>
      <c r="P405" s="593"/>
      <c r="Q405" s="584"/>
      <c r="R405" s="584"/>
      <c r="S405" s="584"/>
      <c r="T405" s="584"/>
      <c r="U405" s="584"/>
      <c r="V405" s="584"/>
      <c r="W405" s="584"/>
      <c r="X405" s="584"/>
      <c r="Y405" s="584"/>
      <c r="Z405" s="584"/>
      <c r="AA405" s="584"/>
      <c r="AB405" s="584"/>
      <c r="AC405" s="584"/>
      <c r="AD405" s="584"/>
      <c r="AE405" s="584"/>
      <c r="AF405" s="584"/>
    </row>
    <row r="406" ht="14.25" customHeight="1">
      <c r="A406" s="579"/>
      <c r="B406" s="580"/>
      <c r="C406" s="581"/>
      <c r="D406" s="581"/>
      <c r="E406" s="581"/>
      <c r="F406" s="580"/>
      <c r="G406" s="589"/>
      <c r="H406" s="589"/>
      <c r="I406" s="580"/>
      <c r="J406" s="580"/>
      <c r="K406" s="580"/>
      <c r="L406" s="582"/>
      <c r="M406" s="582"/>
      <c r="N406" s="585"/>
      <c r="O406" s="580"/>
      <c r="P406" s="593"/>
      <c r="Q406" s="584"/>
      <c r="R406" s="584"/>
      <c r="S406" s="584"/>
      <c r="T406" s="584"/>
      <c r="U406" s="584"/>
      <c r="V406" s="584"/>
      <c r="W406" s="584"/>
      <c r="X406" s="584"/>
      <c r="Y406" s="584"/>
      <c r="Z406" s="584"/>
      <c r="AA406" s="584"/>
      <c r="AB406" s="584"/>
      <c r="AC406" s="584"/>
      <c r="AD406" s="584"/>
      <c r="AE406" s="584"/>
      <c r="AF406" s="584"/>
    </row>
    <row r="407" ht="14.25" customHeight="1">
      <c r="A407" s="579"/>
      <c r="B407" s="580"/>
      <c r="C407" s="581"/>
      <c r="D407" s="581"/>
      <c r="E407" s="581"/>
      <c r="F407" s="580"/>
      <c r="G407" s="589"/>
      <c r="H407" s="589"/>
      <c r="I407" s="580"/>
      <c r="J407" s="580"/>
      <c r="K407" s="580"/>
      <c r="L407" s="582"/>
      <c r="M407" s="582"/>
      <c r="N407" s="585"/>
      <c r="O407" s="580"/>
      <c r="P407" s="593"/>
      <c r="Q407" s="584"/>
      <c r="R407" s="584"/>
      <c r="S407" s="584"/>
      <c r="T407" s="584"/>
      <c r="U407" s="584"/>
      <c r="V407" s="584"/>
      <c r="W407" s="584"/>
      <c r="X407" s="584"/>
      <c r="Y407" s="584"/>
      <c r="Z407" s="584"/>
      <c r="AA407" s="584"/>
      <c r="AB407" s="584"/>
      <c r="AC407" s="584"/>
      <c r="AD407" s="584"/>
      <c r="AE407" s="584"/>
      <c r="AF407" s="584"/>
    </row>
    <row r="408" ht="14.25" customHeight="1">
      <c r="A408" s="579"/>
      <c r="B408" s="580"/>
      <c r="C408" s="581"/>
      <c r="D408" s="581"/>
      <c r="E408" s="581"/>
      <c r="F408" s="580"/>
      <c r="G408" s="589"/>
      <c r="H408" s="589"/>
      <c r="I408" s="580"/>
      <c r="J408" s="580"/>
      <c r="K408" s="580"/>
      <c r="L408" s="582"/>
      <c r="M408" s="582"/>
      <c r="N408" s="585"/>
      <c r="O408" s="580"/>
      <c r="P408" s="593"/>
      <c r="Q408" s="584"/>
      <c r="R408" s="584"/>
      <c r="S408" s="584"/>
      <c r="T408" s="584"/>
      <c r="U408" s="584"/>
      <c r="V408" s="584"/>
      <c r="W408" s="584"/>
      <c r="X408" s="584"/>
      <c r="Y408" s="584"/>
      <c r="Z408" s="584"/>
      <c r="AA408" s="584"/>
      <c r="AB408" s="584"/>
      <c r="AC408" s="584"/>
      <c r="AD408" s="584"/>
      <c r="AE408" s="584"/>
      <c r="AF408" s="584"/>
    </row>
    <row r="409" ht="14.25" customHeight="1">
      <c r="A409" s="579"/>
      <c r="B409" s="580"/>
      <c r="C409" s="581"/>
      <c r="D409" s="581"/>
      <c r="E409" s="581"/>
      <c r="F409" s="580"/>
      <c r="G409" s="589"/>
      <c r="H409" s="589"/>
      <c r="I409" s="580"/>
      <c r="J409" s="580"/>
      <c r="K409" s="580"/>
      <c r="L409" s="582"/>
      <c r="M409" s="582"/>
      <c r="N409" s="585"/>
      <c r="O409" s="580"/>
      <c r="P409" s="593"/>
      <c r="Q409" s="584"/>
      <c r="R409" s="584"/>
      <c r="S409" s="584"/>
      <c r="T409" s="584"/>
      <c r="U409" s="584"/>
      <c r="V409" s="584"/>
      <c r="W409" s="584"/>
      <c r="X409" s="584"/>
      <c r="Y409" s="584"/>
      <c r="Z409" s="584"/>
      <c r="AA409" s="584"/>
      <c r="AB409" s="584"/>
      <c r="AC409" s="584"/>
      <c r="AD409" s="584"/>
      <c r="AE409" s="584"/>
      <c r="AF409" s="584"/>
    </row>
    <row r="410" ht="14.25" customHeight="1">
      <c r="A410" s="579"/>
      <c r="B410" s="580"/>
      <c r="C410" s="581"/>
      <c r="D410" s="581"/>
      <c r="E410" s="581"/>
      <c r="F410" s="580"/>
      <c r="G410" s="589"/>
      <c r="H410" s="589"/>
      <c r="I410" s="580"/>
      <c r="J410" s="580"/>
      <c r="K410" s="580"/>
      <c r="L410" s="582"/>
      <c r="M410" s="582"/>
      <c r="N410" s="585"/>
      <c r="O410" s="580"/>
      <c r="P410" s="593"/>
      <c r="Q410" s="584"/>
      <c r="R410" s="584"/>
      <c r="S410" s="584"/>
      <c r="T410" s="584"/>
      <c r="U410" s="584"/>
      <c r="V410" s="584"/>
      <c r="W410" s="584"/>
      <c r="X410" s="584"/>
      <c r="Y410" s="584"/>
      <c r="Z410" s="584"/>
      <c r="AA410" s="584"/>
      <c r="AB410" s="584"/>
      <c r="AC410" s="584"/>
      <c r="AD410" s="584"/>
      <c r="AE410" s="584"/>
      <c r="AF410" s="584"/>
    </row>
    <row r="411" ht="14.25" customHeight="1">
      <c r="A411" s="579"/>
      <c r="B411" s="580"/>
      <c r="C411" s="581"/>
      <c r="D411" s="581"/>
      <c r="E411" s="581"/>
      <c r="F411" s="580"/>
      <c r="G411" s="589"/>
      <c r="H411" s="589"/>
      <c r="I411" s="580"/>
      <c r="J411" s="580"/>
      <c r="K411" s="580"/>
      <c r="L411" s="582"/>
      <c r="M411" s="582"/>
      <c r="N411" s="585"/>
      <c r="O411" s="580"/>
      <c r="P411" s="593"/>
      <c r="Q411" s="584"/>
      <c r="R411" s="584"/>
      <c r="S411" s="584"/>
      <c r="T411" s="584"/>
      <c r="U411" s="584"/>
      <c r="V411" s="584"/>
      <c r="W411" s="584"/>
      <c r="X411" s="584"/>
      <c r="Y411" s="584"/>
      <c r="Z411" s="584"/>
      <c r="AA411" s="584"/>
      <c r="AB411" s="584"/>
      <c r="AC411" s="584"/>
      <c r="AD411" s="584"/>
      <c r="AE411" s="584"/>
      <c r="AF411" s="584"/>
    </row>
    <row r="412" ht="14.25" customHeight="1">
      <c r="A412" s="579"/>
      <c r="B412" s="580"/>
      <c r="C412" s="581"/>
      <c r="D412" s="581"/>
      <c r="E412" s="581"/>
      <c r="F412" s="580"/>
      <c r="G412" s="589"/>
      <c r="H412" s="589"/>
      <c r="I412" s="580"/>
      <c r="J412" s="580"/>
      <c r="K412" s="580"/>
      <c r="L412" s="582"/>
      <c r="M412" s="582"/>
      <c r="N412" s="585"/>
      <c r="O412" s="580"/>
      <c r="P412" s="593"/>
      <c r="Q412" s="584"/>
      <c r="R412" s="584"/>
      <c r="S412" s="584"/>
      <c r="T412" s="584"/>
      <c r="U412" s="584"/>
      <c r="V412" s="584"/>
      <c r="W412" s="584"/>
      <c r="X412" s="584"/>
      <c r="Y412" s="584"/>
      <c r="Z412" s="584"/>
      <c r="AA412" s="584"/>
      <c r="AB412" s="584"/>
      <c r="AC412" s="584"/>
      <c r="AD412" s="584"/>
      <c r="AE412" s="584"/>
      <c r="AF412" s="584"/>
    </row>
    <row r="413" ht="14.25" customHeight="1">
      <c r="A413" s="579"/>
      <c r="B413" s="580"/>
      <c r="C413" s="581"/>
      <c r="D413" s="581"/>
      <c r="E413" s="581"/>
      <c r="F413" s="580"/>
      <c r="G413" s="589"/>
      <c r="H413" s="589"/>
      <c r="I413" s="580"/>
      <c r="J413" s="580"/>
      <c r="K413" s="580"/>
      <c r="L413" s="582"/>
      <c r="M413" s="582"/>
      <c r="N413" s="585"/>
      <c r="O413" s="580"/>
      <c r="P413" s="593"/>
      <c r="Q413" s="584"/>
      <c r="R413" s="584"/>
      <c r="S413" s="584"/>
      <c r="T413" s="584"/>
      <c r="U413" s="584"/>
      <c r="V413" s="584"/>
      <c r="W413" s="584"/>
      <c r="X413" s="584"/>
      <c r="Y413" s="584"/>
      <c r="Z413" s="584"/>
      <c r="AA413" s="584"/>
      <c r="AB413" s="584"/>
      <c r="AC413" s="584"/>
      <c r="AD413" s="584"/>
      <c r="AE413" s="584"/>
      <c r="AF413" s="584"/>
    </row>
    <row r="414" ht="14.25" customHeight="1">
      <c r="A414" s="579"/>
      <c r="B414" s="580"/>
      <c r="C414" s="581"/>
      <c r="D414" s="581"/>
      <c r="E414" s="581"/>
      <c r="F414" s="580"/>
      <c r="G414" s="589"/>
      <c r="H414" s="589"/>
      <c r="I414" s="580"/>
      <c r="J414" s="580"/>
      <c r="K414" s="580"/>
      <c r="L414" s="582"/>
      <c r="M414" s="582"/>
      <c r="N414" s="585"/>
      <c r="O414" s="580"/>
      <c r="P414" s="593"/>
      <c r="Q414" s="584"/>
      <c r="R414" s="584"/>
      <c r="S414" s="584"/>
      <c r="T414" s="584"/>
      <c r="U414" s="584"/>
      <c r="V414" s="584"/>
      <c r="W414" s="584"/>
      <c r="X414" s="584"/>
      <c r="Y414" s="584"/>
      <c r="Z414" s="584"/>
      <c r="AA414" s="584"/>
      <c r="AB414" s="584"/>
      <c r="AC414" s="584"/>
      <c r="AD414" s="584"/>
      <c r="AE414" s="584"/>
      <c r="AF414" s="584"/>
    </row>
    <row r="415" ht="14.25" customHeight="1">
      <c r="A415" s="579"/>
      <c r="B415" s="580"/>
      <c r="C415" s="581"/>
      <c r="D415" s="581"/>
      <c r="E415" s="581"/>
      <c r="F415" s="580"/>
      <c r="G415" s="589"/>
      <c r="H415" s="589"/>
      <c r="I415" s="580"/>
      <c r="J415" s="580"/>
      <c r="K415" s="580"/>
      <c r="L415" s="582"/>
      <c r="M415" s="582"/>
      <c r="N415" s="585"/>
      <c r="O415" s="580"/>
      <c r="P415" s="593"/>
      <c r="Q415" s="584"/>
      <c r="R415" s="584"/>
      <c r="S415" s="584"/>
      <c r="T415" s="584"/>
      <c r="U415" s="584"/>
      <c r="V415" s="584"/>
      <c r="W415" s="584"/>
      <c r="X415" s="584"/>
      <c r="Y415" s="584"/>
      <c r="Z415" s="584"/>
      <c r="AA415" s="584"/>
      <c r="AB415" s="584"/>
      <c r="AC415" s="584"/>
      <c r="AD415" s="584"/>
      <c r="AE415" s="584"/>
      <c r="AF415" s="584"/>
    </row>
    <row r="416" ht="14.25" customHeight="1">
      <c r="A416" s="579"/>
      <c r="B416" s="580"/>
      <c r="C416" s="581"/>
      <c r="D416" s="581"/>
      <c r="E416" s="581"/>
      <c r="F416" s="580"/>
      <c r="G416" s="589"/>
      <c r="H416" s="589"/>
      <c r="I416" s="580"/>
      <c r="J416" s="580"/>
      <c r="K416" s="580"/>
      <c r="L416" s="582"/>
      <c r="M416" s="582"/>
      <c r="N416" s="585"/>
      <c r="O416" s="580"/>
      <c r="P416" s="593"/>
      <c r="Q416" s="584"/>
      <c r="R416" s="584"/>
      <c r="S416" s="584"/>
      <c r="T416" s="584"/>
      <c r="U416" s="584"/>
      <c r="V416" s="584"/>
      <c r="W416" s="584"/>
      <c r="X416" s="584"/>
      <c r="Y416" s="584"/>
      <c r="Z416" s="584"/>
      <c r="AA416" s="584"/>
      <c r="AB416" s="584"/>
      <c r="AC416" s="584"/>
      <c r="AD416" s="584"/>
      <c r="AE416" s="584"/>
      <c r="AF416" s="584"/>
    </row>
    <row r="417" ht="14.25" customHeight="1">
      <c r="A417" s="579"/>
      <c r="B417" s="580"/>
      <c r="C417" s="581"/>
      <c r="D417" s="581"/>
      <c r="E417" s="581"/>
      <c r="F417" s="580"/>
      <c r="G417" s="589"/>
      <c r="H417" s="589"/>
      <c r="I417" s="580"/>
      <c r="J417" s="580"/>
      <c r="K417" s="580"/>
      <c r="L417" s="582"/>
      <c r="M417" s="582"/>
      <c r="N417" s="585"/>
      <c r="O417" s="580"/>
      <c r="P417" s="593"/>
      <c r="Q417" s="584"/>
      <c r="R417" s="584"/>
      <c r="S417" s="584"/>
      <c r="T417" s="584"/>
      <c r="U417" s="584"/>
      <c r="V417" s="584"/>
      <c r="W417" s="584"/>
      <c r="X417" s="584"/>
      <c r="Y417" s="584"/>
      <c r="Z417" s="584"/>
      <c r="AA417" s="584"/>
      <c r="AB417" s="584"/>
      <c r="AC417" s="584"/>
      <c r="AD417" s="584"/>
      <c r="AE417" s="584"/>
      <c r="AF417" s="584"/>
    </row>
    <row r="418" ht="14.25" customHeight="1">
      <c r="A418" s="579"/>
      <c r="B418" s="580"/>
      <c r="C418" s="581"/>
      <c r="D418" s="581"/>
      <c r="E418" s="581"/>
      <c r="F418" s="580"/>
      <c r="G418" s="589"/>
      <c r="H418" s="589"/>
      <c r="I418" s="580"/>
      <c r="J418" s="580"/>
      <c r="K418" s="580"/>
      <c r="L418" s="582"/>
      <c r="M418" s="582"/>
      <c r="N418" s="585"/>
      <c r="O418" s="580"/>
      <c r="P418" s="593"/>
      <c r="Q418" s="584"/>
      <c r="R418" s="584"/>
      <c r="S418" s="584"/>
      <c r="T418" s="584"/>
      <c r="U418" s="584"/>
      <c r="V418" s="584"/>
      <c r="W418" s="584"/>
      <c r="X418" s="584"/>
      <c r="Y418" s="584"/>
      <c r="Z418" s="584"/>
      <c r="AA418" s="584"/>
      <c r="AB418" s="584"/>
      <c r="AC418" s="584"/>
      <c r="AD418" s="584"/>
      <c r="AE418" s="584"/>
      <c r="AF418" s="584"/>
    </row>
    <row r="419" ht="14.25" customHeight="1">
      <c r="A419" s="579"/>
      <c r="B419" s="580"/>
      <c r="C419" s="581"/>
      <c r="D419" s="581"/>
      <c r="E419" s="581"/>
      <c r="F419" s="580"/>
      <c r="G419" s="589"/>
      <c r="H419" s="589"/>
      <c r="I419" s="580"/>
      <c r="J419" s="580"/>
      <c r="K419" s="580"/>
      <c r="L419" s="582"/>
      <c r="M419" s="582"/>
      <c r="N419" s="585"/>
      <c r="O419" s="580"/>
      <c r="P419" s="593"/>
      <c r="Q419" s="584"/>
      <c r="R419" s="584"/>
      <c r="S419" s="584"/>
      <c r="T419" s="584"/>
      <c r="U419" s="584"/>
      <c r="V419" s="584"/>
      <c r="W419" s="584"/>
      <c r="X419" s="584"/>
      <c r="Y419" s="584"/>
      <c r="Z419" s="584"/>
      <c r="AA419" s="584"/>
      <c r="AB419" s="584"/>
      <c r="AC419" s="584"/>
      <c r="AD419" s="584"/>
      <c r="AE419" s="584"/>
      <c r="AF419" s="584"/>
    </row>
    <row r="420" ht="14.25" customHeight="1">
      <c r="A420" s="579"/>
      <c r="B420" s="580"/>
      <c r="C420" s="581"/>
      <c r="D420" s="581"/>
      <c r="E420" s="581"/>
      <c r="F420" s="580"/>
      <c r="G420" s="589"/>
      <c r="H420" s="589"/>
      <c r="I420" s="580"/>
      <c r="J420" s="580"/>
      <c r="K420" s="580"/>
      <c r="L420" s="582"/>
      <c r="M420" s="582"/>
      <c r="N420" s="585"/>
      <c r="O420" s="580"/>
      <c r="P420" s="593"/>
      <c r="Q420" s="584"/>
      <c r="R420" s="584"/>
      <c r="S420" s="584"/>
      <c r="T420" s="584"/>
      <c r="U420" s="584"/>
      <c r="V420" s="584"/>
      <c r="W420" s="584"/>
      <c r="X420" s="584"/>
      <c r="Y420" s="584"/>
      <c r="Z420" s="584"/>
      <c r="AA420" s="584"/>
      <c r="AB420" s="584"/>
      <c r="AC420" s="584"/>
      <c r="AD420" s="584"/>
      <c r="AE420" s="584"/>
      <c r="AF420" s="584"/>
    </row>
    <row r="421" ht="14.25" customHeight="1">
      <c r="A421" s="579"/>
      <c r="B421" s="580"/>
      <c r="C421" s="581"/>
      <c r="D421" s="581"/>
      <c r="E421" s="581"/>
      <c r="F421" s="580"/>
      <c r="G421" s="589"/>
      <c r="H421" s="589"/>
      <c r="I421" s="580"/>
      <c r="J421" s="580"/>
      <c r="K421" s="580"/>
      <c r="L421" s="582"/>
      <c r="M421" s="582"/>
      <c r="N421" s="585"/>
      <c r="O421" s="580"/>
      <c r="P421" s="593"/>
      <c r="Q421" s="584"/>
      <c r="R421" s="584"/>
      <c r="S421" s="584"/>
      <c r="T421" s="584"/>
      <c r="U421" s="584"/>
      <c r="V421" s="584"/>
      <c r="W421" s="584"/>
      <c r="X421" s="584"/>
      <c r="Y421" s="584"/>
      <c r="Z421" s="584"/>
      <c r="AA421" s="584"/>
      <c r="AB421" s="584"/>
      <c r="AC421" s="584"/>
      <c r="AD421" s="584"/>
      <c r="AE421" s="584"/>
      <c r="AF421" s="584"/>
    </row>
    <row r="422" ht="14.25" customHeight="1">
      <c r="A422" s="579"/>
      <c r="B422" s="580"/>
      <c r="C422" s="581"/>
      <c r="D422" s="581"/>
      <c r="E422" s="581"/>
      <c r="F422" s="580"/>
      <c r="G422" s="589"/>
      <c r="H422" s="589"/>
      <c r="I422" s="580"/>
      <c r="J422" s="580"/>
      <c r="K422" s="580"/>
      <c r="L422" s="582"/>
      <c r="M422" s="582"/>
      <c r="N422" s="585"/>
      <c r="O422" s="580"/>
      <c r="P422" s="593"/>
      <c r="Q422" s="584"/>
      <c r="R422" s="584"/>
      <c r="S422" s="584"/>
      <c r="T422" s="584"/>
      <c r="U422" s="584"/>
      <c r="V422" s="584"/>
      <c r="W422" s="584"/>
      <c r="X422" s="584"/>
      <c r="Y422" s="584"/>
      <c r="Z422" s="584"/>
      <c r="AA422" s="584"/>
      <c r="AB422" s="584"/>
      <c r="AC422" s="584"/>
      <c r="AD422" s="584"/>
      <c r="AE422" s="584"/>
      <c r="AF422" s="584"/>
    </row>
    <row r="423" ht="14.25" customHeight="1">
      <c r="A423" s="579"/>
      <c r="B423" s="580"/>
      <c r="C423" s="581"/>
      <c r="D423" s="581"/>
      <c r="E423" s="581"/>
      <c r="F423" s="580"/>
      <c r="G423" s="589"/>
      <c r="H423" s="589"/>
      <c r="I423" s="580"/>
      <c r="J423" s="580"/>
      <c r="K423" s="580"/>
      <c r="L423" s="582"/>
      <c r="M423" s="582"/>
      <c r="N423" s="585"/>
      <c r="O423" s="580"/>
      <c r="P423" s="593"/>
      <c r="Q423" s="584"/>
      <c r="R423" s="584"/>
      <c r="S423" s="584"/>
      <c r="T423" s="584"/>
      <c r="U423" s="584"/>
      <c r="V423" s="584"/>
      <c r="W423" s="584"/>
      <c r="X423" s="584"/>
      <c r="Y423" s="584"/>
      <c r="Z423" s="584"/>
      <c r="AA423" s="584"/>
      <c r="AB423" s="584"/>
      <c r="AC423" s="584"/>
      <c r="AD423" s="584"/>
      <c r="AE423" s="584"/>
      <c r="AF423" s="584"/>
    </row>
    <row r="424" ht="14.25" customHeight="1">
      <c r="A424" s="579"/>
      <c r="B424" s="580"/>
      <c r="C424" s="581"/>
      <c r="D424" s="581"/>
      <c r="E424" s="581"/>
      <c r="F424" s="580"/>
      <c r="G424" s="589"/>
      <c r="H424" s="589"/>
      <c r="I424" s="580"/>
      <c r="J424" s="580"/>
      <c r="K424" s="580"/>
      <c r="L424" s="582"/>
      <c r="M424" s="582"/>
      <c r="N424" s="585"/>
      <c r="O424" s="580"/>
      <c r="P424" s="593"/>
      <c r="Q424" s="584"/>
      <c r="R424" s="584"/>
      <c r="S424" s="584"/>
      <c r="T424" s="584"/>
      <c r="U424" s="584"/>
      <c r="V424" s="584"/>
      <c r="W424" s="584"/>
      <c r="X424" s="584"/>
      <c r="Y424" s="584"/>
      <c r="Z424" s="584"/>
      <c r="AA424" s="584"/>
      <c r="AB424" s="584"/>
      <c r="AC424" s="584"/>
      <c r="AD424" s="584"/>
      <c r="AE424" s="584"/>
      <c r="AF424" s="584"/>
    </row>
    <row r="425" ht="14.25" customHeight="1">
      <c r="A425" s="579"/>
      <c r="B425" s="580"/>
      <c r="C425" s="581"/>
      <c r="D425" s="581"/>
      <c r="E425" s="581"/>
      <c r="F425" s="580"/>
      <c r="G425" s="589"/>
      <c r="H425" s="589"/>
      <c r="I425" s="580"/>
      <c r="J425" s="580"/>
      <c r="K425" s="580"/>
      <c r="L425" s="582"/>
      <c r="M425" s="582"/>
      <c r="N425" s="585"/>
      <c r="O425" s="580"/>
      <c r="P425" s="593"/>
      <c r="Q425" s="584"/>
      <c r="R425" s="584"/>
      <c r="S425" s="584"/>
      <c r="T425" s="584"/>
      <c r="U425" s="584"/>
      <c r="V425" s="584"/>
      <c r="W425" s="584"/>
      <c r="X425" s="584"/>
      <c r="Y425" s="584"/>
      <c r="Z425" s="584"/>
      <c r="AA425" s="584"/>
      <c r="AB425" s="584"/>
      <c r="AC425" s="584"/>
      <c r="AD425" s="584"/>
      <c r="AE425" s="584"/>
      <c r="AF425" s="584"/>
    </row>
    <row r="426" ht="14.25" customHeight="1">
      <c r="A426" s="579"/>
      <c r="B426" s="580"/>
      <c r="C426" s="581"/>
      <c r="D426" s="581"/>
      <c r="E426" s="581"/>
      <c r="F426" s="580"/>
      <c r="G426" s="589"/>
      <c r="H426" s="589"/>
      <c r="I426" s="580"/>
      <c r="J426" s="580"/>
      <c r="K426" s="580"/>
      <c r="L426" s="582"/>
      <c r="M426" s="582"/>
      <c r="N426" s="585"/>
      <c r="O426" s="580"/>
      <c r="P426" s="593"/>
      <c r="Q426" s="584"/>
      <c r="R426" s="584"/>
      <c r="S426" s="584"/>
      <c r="T426" s="584"/>
      <c r="U426" s="584"/>
      <c r="V426" s="584"/>
      <c r="W426" s="584"/>
      <c r="X426" s="584"/>
      <c r="Y426" s="584"/>
      <c r="Z426" s="584"/>
      <c r="AA426" s="584"/>
      <c r="AB426" s="584"/>
      <c r="AC426" s="584"/>
      <c r="AD426" s="584"/>
      <c r="AE426" s="584"/>
      <c r="AF426" s="584"/>
    </row>
    <row r="427" ht="14.25" customHeight="1">
      <c r="A427" s="579"/>
      <c r="B427" s="580"/>
      <c r="C427" s="581"/>
      <c r="D427" s="581"/>
      <c r="E427" s="581"/>
      <c r="F427" s="580"/>
      <c r="G427" s="589"/>
      <c r="H427" s="589"/>
      <c r="I427" s="580"/>
      <c r="J427" s="580"/>
      <c r="K427" s="580"/>
      <c r="L427" s="582"/>
      <c r="M427" s="582"/>
      <c r="N427" s="585"/>
      <c r="O427" s="580"/>
      <c r="P427" s="593"/>
      <c r="Q427" s="584"/>
      <c r="R427" s="584"/>
      <c r="S427" s="584"/>
      <c r="T427" s="584"/>
      <c r="U427" s="584"/>
      <c r="V427" s="584"/>
      <c r="W427" s="584"/>
      <c r="X427" s="584"/>
      <c r="Y427" s="584"/>
      <c r="Z427" s="584"/>
      <c r="AA427" s="584"/>
      <c r="AB427" s="584"/>
      <c r="AC427" s="584"/>
      <c r="AD427" s="584"/>
      <c r="AE427" s="584"/>
      <c r="AF427" s="584"/>
    </row>
    <row r="428" ht="14.25" customHeight="1">
      <c r="A428" s="579"/>
      <c r="B428" s="580"/>
      <c r="C428" s="581"/>
      <c r="D428" s="581"/>
      <c r="E428" s="581"/>
      <c r="F428" s="580"/>
      <c r="G428" s="589"/>
      <c r="H428" s="589"/>
      <c r="I428" s="580"/>
      <c r="J428" s="580"/>
      <c r="K428" s="580"/>
      <c r="L428" s="582"/>
      <c r="M428" s="582"/>
      <c r="N428" s="585"/>
      <c r="O428" s="580"/>
      <c r="P428" s="593"/>
      <c r="Q428" s="584"/>
      <c r="R428" s="584"/>
      <c r="S428" s="584"/>
      <c r="T428" s="584"/>
      <c r="U428" s="584"/>
      <c r="V428" s="584"/>
      <c r="W428" s="584"/>
      <c r="X428" s="584"/>
      <c r="Y428" s="584"/>
      <c r="Z428" s="584"/>
      <c r="AA428" s="584"/>
      <c r="AB428" s="584"/>
      <c r="AC428" s="584"/>
      <c r="AD428" s="584"/>
      <c r="AE428" s="584"/>
      <c r="AF428" s="584"/>
    </row>
    <row r="429" ht="14.25" customHeight="1">
      <c r="A429" s="579"/>
      <c r="B429" s="580"/>
      <c r="C429" s="581"/>
      <c r="D429" s="581"/>
      <c r="E429" s="581"/>
      <c r="F429" s="580"/>
      <c r="G429" s="589"/>
      <c r="H429" s="589"/>
      <c r="I429" s="580"/>
      <c r="J429" s="580"/>
      <c r="K429" s="580"/>
      <c r="L429" s="582"/>
      <c r="M429" s="582"/>
      <c r="N429" s="585"/>
      <c r="O429" s="580"/>
      <c r="P429" s="593"/>
      <c r="Q429" s="584"/>
      <c r="R429" s="584"/>
      <c r="S429" s="584"/>
      <c r="T429" s="584"/>
      <c r="U429" s="584"/>
      <c r="V429" s="584"/>
      <c r="W429" s="584"/>
      <c r="X429" s="584"/>
      <c r="Y429" s="584"/>
      <c r="Z429" s="584"/>
      <c r="AA429" s="584"/>
      <c r="AB429" s="584"/>
      <c r="AC429" s="584"/>
      <c r="AD429" s="584"/>
      <c r="AE429" s="584"/>
      <c r="AF429" s="584"/>
    </row>
    <row r="430" ht="14.25" customHeight="1">
      <c r="A430" s="579"/>
      <c r="B430" s="580"/>
      <c r="C430" s="581"/>
      <c r="D430" s="581"/>
      <c r="E430" s="581"/>
      <c r="F430" s="580"/>
      <c r="G430" s="589"/>
      <c r="H430" s="589"/>
      <c r="I430" s="580"/>
      <c r="J430" s="580"/>
      <c r="K430" s="580"/>
      <c r="L430" s="582"/>
      <c r="M430" s="582"/>
      <c r="N430" s="585"/>
      <c r="O430" s="580"/>
      <c r="P430" s="593"/>
      <c r="Q430" s="584"/>
      <c r="R430" s="584"/>
      <c r="S430" s="584"/>
      <c r="T430" s="584"/>
      <c r="U430" s="584"/>
      <c r="V430" s="584"/>
      <c r="W430" s="584"/>
      <c r="X430" s="584"/>
      <c r="Y430" s="584"/>
      <c r="Z430" s="584"/>
      <c r="AA430" s="584"/>
      <c r="AB430" s="584"/>
      <c r="AC430" s="584"/>
      <c r="AD430" s="584"/>
      <c r="AE430" s="584"/>
      <c r="AF430" s="584"/>
    </row>
    <row r="431" ht="14.25" customHeight="1">
      <c r="A431" s="579"/>
      <c r="B431" s="580"/>
      <c r="C431" s="581"/>
      <c r="D431" s="581"/>
      <c r="E431" s="581"/>
      <c r="F431" s="580"/>
      <c r="G431" s="589"/>
      <c r="H431" s="589"/>
      <c r="I431" s="580"/>
      <c r="J431" s="580"/>
      <c r="K431" s="580"/>
      <c r="L431" s="582"/>
      <c r="M431" s="582"/>
      <c r="N431" s="585"/>
      <c r="O431" s="580"/>
      <c r="P431" s="593"/>
      <c r="Q431" s="584"/>
      <c r="R431" s="584"/>
      <c r="S431" s="584"/>
      <c r="T431" s="584"/>
      <c r="U431" s="584"/>
      <c r="V431" s="584"/>
      <c r="W431" s="584"/>
      <c r="X431" s="584"/>
      <c r="Y431" s="584"/>
      <c r="Z431" s="584"/>
      <c r="AA431" s="584"/>
      <c r="AB431" s="584"/>
      <c r="AC431" s="584"/>
      <c r="AD431" s="584"/>
      <c r="AE431" s="584"/>
      <c r="AF431" s="584"/>
    </row>
    <row r="432" ht="14.25" customHeight="1">
      <c r="A432" s="579"/>
      <c r="B432" s="580"/>
      <c r="C432" s="581"/>
      <c r="D432" s="581"/>
      <c r="E432" s="581"/>
      <c r="F432" s="580"/>
      <c r="G432" s="589"/>
      <c r="H432" s="589"/>
      <c r="I432" s="580"/>
      <c r="J432" s="580"/>
      <c r="K432" s="580"/>
      <c r="L432" s="582"/>
      <c r="M432" s="582"/>
      <c r="N432" s="585"/>
      <c r="O432" s="580"/>
      <c r="P432" s="593"/>
      <c r="Q432" s="584"/>
      <c r="R432" s="584"/>
      <c r="S432" s="584"/>
      <c r="T432" s="584"/>
      <c r="U432" s="584"/>
      <c r="V432" s="584"/>
      <c r="W432" s="584"/>
      <c r="X432" s="584"/>
      <c r="Y432" s="584"/>
      <c r="Z432" s="584"/>
      <c r="AA432" s="584"/>
      <c r="AB432" s="584"/>
      <c r="AC432" s="584"/>
      <c r="AD432" s="584"/>
      <c r="AE432" s="584"/>
      <c r="AF432" s="584"/>
    </row>
    <row r="433" ht="14.25" customHeight="1">
      <c r="A433" s="579"/>
      <c r="B433" s="580"/>
      <c r="C433" s="581"/>
      <c r="D433" s="581"/>
      <c r="E433" s="581"/>
      <c r="F433" s="580"/>
      <c r="G433" s="589"/>
      <c r="H433" s="589"/>
      <c r="I433" s="580"/>
      <c r="J433" s="580"/>
      <c r="K433" s="580"/>
      <c r="L433" s="582"/>
      <c r="M433" s="582"/>
      <c r="N433" s="585"/>
      <c r="O433" s="580"/>
      <c r="P433" s="593"/>
      <c r="Q433" s="584"/>
      <c r="R433" s="584"/>
      <c r="S433" s="584"/>
      <c r="T433" s="584"/>
      <c r="U433" s="584"/>
      <c r="V433" s="584"/>
      <c r="W433" s="584"/>
      <c r="X433" s="584"/>
      <c r="Y433" s="584"/>
      <c r="Z433" s="584"/>
      <c r="AA433" s="584"/>
      <c r="AB433" s="584"/>
      <c r="AC433" s="584"/>
      <c r="AD433" s="584"/>
      <c r="AE433" s="584"/>
      <c r="AF433" s="584"/>
    </row>
    <row r="434" ht="14.25" customHeight="1">
      <c r="A434" s="579"/>
      <c r="B434" s="580"/>
      <c r="C434" s="581"/>
      <c r="D434" s="581"/>
      <c r="E434" s="581"/>
      <c r="F434" s="580"/>
      <c r="G434" s="589"/>
      <c r="H434" s="589"/>
      <c r="I434" s="580"/>
      <c r="J434" s="580"/>
      <c r="K434" s="580"/>
      <c r="L434" s="582"/>
      <c r="M434" s="582"/>
      <c r="N434" s="585"/>
      <c r="O434" s="580"/>
      <c r="P434" s="593"/>
      <c r="Q434" s="584"/>
      <c r="R434" s="584"/>
      <c r="S434" s="584"/>
      <c r="T434" s="584"/>
      <c r="U434" s="584"/>
      <c r="V434" s="584"/>
      <c r="W434" s="584"/>
      <c r="X434" s="584"/>
      <c r="Y434" s="584"/>
      <c r="Z434" s="584"/>
      <c r="AA434" s="584"/>
      <c r="AB434" s="584"/>
      <c r="AC434" s="584"/>
      <c r="AD434" s="584"/>
      <c r="AE434" s="584"/>
      <c r="AF434" s="584"/>
    </row>
    <row r="435" ht="14.25" customHeight="1">
      <c r="A435" s="579"/>
      <c r="B435" s="580"/>
      <c r="C435" s="581"/>
      <c r="D435" s="581"/>
      <c r="E435" s="581"/>
      <c r="F435" s="580"/>
      <c r="G435" s="589"/>
      <c r="H435" s="589"/>
      <c r="I435" s="580"/>
      <c r="J435" s="580"/>
      <c r="K435" s="580"/>
      <c r="L435" s="582"/>
      <c r="M435" s="582"/>
      <c r="N435" s="585"/>
      <c r="O435" s="580"/>
      <c r="P435" s="593"/>
      <c r="Q435" s="584"/>
      <c r="R435" s="584"/>
      <c r="S435" s="584"/>
      <c r="T435" s="584"/>
      <c r="U435" s="584"/>
      <c r="V435" s="584"/>
      <c r="W435" s="584"/>
      <c r="X435" s="584"/>
      <c r="Y435" s="584"/>
      <c r="Z435" s="584"/>
      <c r="AA435" s="584"/>
      <c r="AB435" s="584"/>
      <c r="AC435" s="584"/>
      <c r="AD435" s="584"/>
      <c r="AE435" s="584"/>
      <c r="AF435" s="584"/>
    </row>
    <row r="436" ht="14.25" customHeight="1">
      <c r="A436" s="579"/>
      <c r="B436" s="580"/>
      <c r="C436" s="581"/>
      <c r="D436" s="581"/>
      <c r="E436" s="581"/>
      <c r="F436" s="580"/>
      <c r="G436" s="589"/>
      <c r="H436" s="589"/>
      <c r="I436" s="580"/>
      <c r="J436" s="580"/>
      <c r="K436" s="580"/>
      <c r="L436" s="582"/>
      <c r="M436" s="582"/>
      <c r="N436" s="585"/>
      <c r="O436" s="580"/>
      <c r="P436" s="593"/>
      <c r="Q436" s="584"/>
      <c r="R436" s="584"/>
      <c r="S436" s="584"/>
      <c r="T436" s="584"/>
      <c r="U436" s="584"/>
      <c r="V436" s="584"/>
      <c r="W436" s="584"/>
      <c r="X436" s="584"/>
      <c r="Y436" s="584"/>
      <c r="Z436" s="584"/>
      <c r="AA436" s="584"/>
      <c r="AB436" s="584"/>
      <c r="AC436" s="584"/>
      <c r="AD436" s="584"/>
      <c r="AE436" s="584"/>
      <c r="AF436" s="584"/>
    </row>
    <row r="437" ht="14.25" customHeight="1">
      <c r="A437" s="579"/>
      <c r="B437" s="580"/>
      <c r="C437" s="581"/>
      <c r="D437" s="581"/>
      <c r="E437" s="581"/>
      <c r="F437" s="580"/>
      <c r="G437" s="589"/>
      <c r="H437" s="589"/>
      <c r="I437" s="580"/>
      <c r="J437" s="580"/>
      <c r="K437" s="580"/>
      <c r="L437" s="582"/>
      <c r="M437" s="582"/>
      <c r="N437" s="585"/>
      <c r="O437" s="580"/>
      <c r="P437" s="593"/>
      <c r="Q437" s="584"/>
      <c r="R437" s="584"/>
      <c r="S437" s="584"/>
      <c r="T437" s="584"/>
      <c r="U437" s="584"/>
      <c r="V437" s="584"/>
      <c r="W437" s="584"/>
      <c r="X437" s="584"/>
      <c r="Y437" s="584"/>
      <c r="Z437" s="584"/>
      <c r="AA437" s="584"/>
      <c r="AB437" s="584"/>
      <c r="AC437" s="584"/>
      <c r="AD437" s="584"/>
      <c r="AE437" s="584"/>
      <c r="AF437" s="584"/>
    </row>
    <row r="438" ht="14.25" customHeight="1">
      <c r="A438" s="579"/>
      <c r="B438" s="580"/>
      <c r="C438" s="581"/>
      <c r="D438" s="581"/>
      <c r="E438" s="581"/>
      <c r="F438" s="580"/>
      <c r="G438" s="589"/>
      <c r="H438" s="589"/>
      <c r="I438" s="580"/>
      <c r="J438" s="580"/>
      <c r="K438" s="580"/>
      <c r="L438" s="582"/>
      <c r="M438" s="582"/>
      <c r="N438" s="585"/>
      <c r="O438" s="580"/>
      <c r="P438" s="593"/>
      <c r="Q438" s="584"/>
      <c r="R438" s="584"/>
      <c r="S438" s="584"/>
      <c r="T438" s="584"/>
      <c r="U438" s="584"/>
      <c r="V438" s="584"/>
      <c r="W438" s="584"/>
      <c r="X438" s="584"/>
      <c r="Y438" s="584"/>
      <c r="Z438" s="584"/>
      <c r="AA438" s="584"/>
      <c r="AB438" s="584"/>
      <c r="AC438" s="584"/>
      <c r="AD438" s="584"/>
      <c r="AE438" s="584"/>
      <c r="AF438" s="584"/>
    </row>
    <row r="439" ht="14.25" customHeight="1">
      <c r="A439" s="579"/>
      <c r="B439" s="580"/>
      <c r="C439" s="581"/>
      <c r="D439" s="581"/>
      <c r="E439" s="581"/>
      <c r="F439" s="580"/>
      <c r="G439" s="589"/>
      <c r="H439" s="589"/>
      <c r="I439" s="580"/>
      <c r="J439" s="580"/>
      <c r="K439" s="580"/>
      <c r="L439" s="582"/>
      <c r="M439" s="582"/>
      <c r="N439" s="585"/>
      <c r="O439" s="580"/>
      <c r="P439" s="593"/>
      <c r="Q439" s="584"/>
      <c r="R439" s="584"/>
      <c r="S439" s="584"/>
      <c r="T439" s="584"/>
      <c r="U439" s="584"/>
      <c r="V439" s="584"/>
      <c r="W439" s="584"/>
      <c r="X439" s="584"/>
      <c r="Y439" s="584"/>
      <c r="Z439" s="584"/>
      <c r="AA439" s="584"/>
      <c r="AB439" s="584"/>
      <c r="AC439" s="584"/>
      <c r="AD439" s="584"/>
      <c r="AE439" s="584"/>
      <c r="AF439" s="584"/>
    </row>
    <row r="440" ht="14.25" customHeight="1">
      <c r="A440" s="579"/>
      <c r="B440" s="580"/>
      <c r="C440" s="581"/>
      <c r="D440" s="581"/>
      <c r="E440" s="581"/>
      <c r="F440" s="580"/>
      <c r="G440" s="589"/>
      <c r="H440" s="589"/>
      <c r="I440" s="580"/>
      <c r="J440" s="580"/>
      <c r="K440" s="580"/>
      <c r="L440" s="582"/>
      <c r="M440" s="582"/>
      <c r="N440" s="585"/>
      <c r="O440" s="580"/>
      <c r="P440" s="593"/>
      <c r="Q440" s="584"/>
      <c r="R440" s="584"/>
      <c r="S440" s="584"/>
      <c r="T440" s="584"/>
      <c r="U440" s="584"/>
      <c r="V440" s="584"/>
      <c r="W440" s="584"/>
      <c r="X440" s="584"/>
      <c r="Y440" s="584"/>
      <c r="Z440" s="584"/>
      <c r="AA440" s="584"/>
      <c r="AB440" s="584"/>
      <c r="AC440" s="584"/>
      <c r="AD440" s="584"/>
      <c r="AE440" s="584"/>
      <c r="AF440" s="584"/>
    </row>
    <row r="441" ht="14.25" customHeight="1">
      <c r="A441" s="579"/>
      <c r="B441" s="580"/>
      <c r="C441" s="581"/>
      <c r="D441" s="581"/>
      <c r="E441" s="581"/>
      <c r="F441" s="580"/>
      <c r="G441" s="589"/>
      <c r="H441" s="589"/>
      <c r="I441" s="580"/>
      <c r="J441" s="580"/>
      <c r="K441" s="580"/>
      <c r="L441" s="582"/>
      <c r="M441" s="582"/>
      <c r="N441" s="585"/>
      <c r="O441" s="580"/>
      <c r="P441" s="593"/>
      <c r="Q441" s="584"/>
      <c r="R441" s="584"/>
      <c r="S441" s="584"/>
      <c r="T441" s="584"/>
      <c r="U441" s="584"/>
      <c r="V441" s="584"/>
      <c r="W441" s="584"/>
      <c r="X441" s="584"/>
      <c r="Y441" s="584"/>
      <c r="Z441" s="584"/>
      <c r="AA441" s="584"/>
      <c r="AB441" s="584"/>
      <c r="AC441" s="584"/>
      <c r="AD441" s="584"/>
      <c r="AE441" s="584"/>
      <c r="AF441" s="584"/>
    </row>
    <row r="442" ht="14.25" customHeight="1">
      <c r="A442" s="579"/>
      <c r="B442" s="580"/>
      <c r="C442" s="581"/>
      <c r="D442" s="581"/>
      <c r="E442" s="581"/>
      <c r="F442" s="580"/>
      <c r="G442" s="589"/>
      <c r="H442" s="589"/>
      <c r="I442" s="580"/>
      <c r="J442" s="580"/>
      <c r="K442" s="580"/>
      <c r="L442" s="582"/>
      <c r="M442" s="582"/>
      <c r="N442" s="585"/>
      <c r="O442" s="580"/>
      <c r="P442" s="593"/>
      <c r="Q442" s="584"/>
      <c r="R442" s="584"/>
      <c r="S442" s="584"/>
      <c r="T442" s="584"/>
      <c r="U442" s="584"/>
      <c r="V442" s="584"/>
      <c r="W442" s="584"/>
      <c r="X442" s="584"/>
      <c r="Y442" s="584"/>
      <c r="Z442" s="584"/>
      <c r="AA442" s="584"/>
      <c r="AB442" s="584"/>
      <c r="AC442" s="584"/>
      <c r="AD442" s="584"/>
      <c r="AE442" s="584"/>
      <c r="AF442" s="584"/>
    </row>
    <row r="443" ht="14.25" customHeight="1">
      <c r="A443" s="579"/>
      <c r="B443" s="580"/>
      <c r="C443" s="581"/>
      <c r="D443" s="581"/>
      <c r="E443" s="581"/>
      <c r="F443" s="580"/>
      <c r="G443" s="589"/>
      <c r="H443" s="589"/>
      <c r="I443" s="580"/>
      <c r="J443" s="580"/>
      <c r="K443" s="580"/>
      <c r="L443" s="582"/>
      <c r="M443" s="582"/>
      <c r="N443" s="585"/>
      <c r="O443" s="580"/>
      <c r="P443" s="593"/>
      <c r="Q443" s="584"/>
      <c r="R443" s="584"/>
      <c r="S443" s="584"/>
      <c r="T443" s="584"/>
      <c r="U443" s="584"/>
      <c r="V443" s="584"/>
      <c r="W443" s="584"/>
      <c r="X443" s="584"/>
      <c r="Y443" s="584"/>
      <c r="Z443" s="584"/>
      <c r="AA443" s="584"/>
      <c r="AB443" s="584"/>
      <c r="AC443" s="584"/>
      <c r="AD443" s="584"/>
      <c r="AE443" s="584"/>
      <c r="AF443" s="584"/>
    </row>
    <row r="444" ht="14.25" customHeight="1">
      <c r="A444" s="579"/>
      <c r="B444" s="580"/>
      <c r="C444" s="581"/>
      <c r="D444" s="581"/>
      <c r="E444" s="581"/>
      <c r="F444" s="580"/>
      <c r="G444" s="589"/>
      <c r="H444" s="589"/>
      <c r="I444" s="580"/>
      <c r="J444" s="580"/>
      <c r="K444" s="580"/>
      <c r="L444" s="582"/>
      <c r="M444" s="582"/>
      <c r="N444" s="585"/>
      <c r="O444" s="580"/>
      <c r="P444" s="593"/>
      <c r="Q444" s="584"/>
      <c r="R444" s="584"/>
      <c r="S444" s="584"/>
      <c r="T444" s="584"/>
      <c r="U444" s="584"/>
      <c r="V444" s="584"/>
      <c r="W444" s="584"/>
      <c r="X444" s="584"/>
      <c r="Y444" s="584"/>
      <c r="Z444" s="584"/>
      <c r="AA444" s="584"/>
      <c r="AB444" s="584"/>
      <c r="AC444" s="584"/>
      <c r="AD444" s="584"/>
      <c r="AE444" s="584"/>
      <c r="AF444" s="584"/>
    </row>
    <row r="445" ht="14.25" customHeight="1">
      <c r="A445" s="579"/>
      <c r="B445" s="580"/>
      <c r="C445" s="581"/>
      <c r="D445" s="581"/>
      <c r="E445" s="581"/>
      <c r="F445" s="580"/>
      <c r="G445" s="589"/>
      <c r="H445" s="589"/>
      <c r="I445" s="580"/>
      <c r="J445" s="580"/>
      <c r="K445" s="580"/>
      <c r="L445" s="582"/>
      <c r="M445" s="582"/>
      <c r="N445" s="585"/>
      <c r="O445" s="580"/>
      <c r="P445" s="593"/>
      <c r="Q445" s="584"/>
      <c r="R445" s="584"/>
      <c r="S445" s="584"/>
      <c r="T445" s="584"/>
      <c r="U445" s="584"/>
      <c r="V445" s="584"/>
      <c r="W445" s="584"/>
      <c r="X445" s="584"/>
      <c r="Y445" s="584"/>
      <c r="Z445" s="584"/>
      <c r="AA445" s="584"/>
      <c r="AB445" s="584"/>
      <c r="AC445" s="584"/>
      <c r="AD445" s="584"/>
      <c r="AE445" s="584"/>
      <c r="AF445" s="584"/>
    </row>
    <row r="446" ht="14.25" customHeight="1">
      <c r="A446" s="579"/>
      <c r="B446" s="580"/>
      <c r="C446" s="581"/>
      <c r="D446" s="581"/>
      <c r="E446" s="581"/>
      <c r="F446" s="580"/>
      <c r="G446" s="589"/>
      <c r="H446" s="589"/>
      <c r="I446" s="580"/>
      <c r="J446" s="580"/>
      <c r="K446" s="580"/>
      <c r="L446" s="582"/>
      <c r="M446" s="582"/>
      <c r="N446" s="585"/>
      <c r="O446" s="580"/>
      <c r="P446" s="593"/>
      <c r="Q446" s="584"/>
      <c r="R446" s="584"/>
      <c r="S446" s="584"/>
      <c r="T446" s="584"/>
      <c r="U446" s="584"/>
      <c r="V446" s="584"/>
      <c r="W446" s="584"/>
      <c r="X446" s="584"/>
      <c r="Y446" s="584"/>
      <c r="Z446" s="584"/>
      <c r="AA446" s="584"/>
      <c r="AB446" s="584"/>
      <c r="AC446" s="584"/>
      <c r="AD446" s="584"/>
      <c r="AE446" s="584"/>
      <c r="AF446" s="584"/>
    </row>
    <row r="447" ht="14.25" customHeight="1">
      <c r="A447" s="579"/>
      <c r="B447" s="580"/>
      <c r="C447" s="581"/>
      <c r="D447" s="581"/>
      <c r="E447" s="581"/>
      <c r="F447" s="580"/>
      <c r="G447" s="589"/>
      <c r="H447" s="589"/>
      <c r="I447" s="580"/>
      <c r="J447" s="580"/>
      <c r="K447" s="580"/>
      <c r="L447" s="582"/>
      <c r="M447" s="582"/>
      <c r="N447" s="585"/>
      <c r="O447" s="580"/>
      <c r="P447" s="593"/>
      <c r="Q447" s="584"/>
      <c r="R447" s="584"/>
      <c r="S447" s="584"/>
      <c r="T447" s="584"/>
      <c r="U447" s="584"/>
      <c r="V447" s="584"/>
      <c r="W447" s="584"/>
      <c r="X447" s="584"/>
      <c r="Y447" s="584"/>
      <c r="Z447" s="584"/>
      <c r="AA447" s="584"/>
      <c r="AB447" s="584"/>
      <c r="AC447" s="584"/>
      <c r="AD447" s="584"/>
      <c r="AE447" s="584"/>
      <c r="AF447" s="584"/>
    </row>
    <row r="448" ht="14.25" customHeight="1">
      <c r="A448" s="579"/>
      <c r="B448" s="580"/>
      <c r="C448" s="581"/>
      <c r="D448" s="581"/>
      <c r="E448" s="581"/>
      <c r="F448" s="580"/>
      <c r="G448" s="589"/>
      <c r="H448" s="589"/>
      <c r="I448" s="580"/>
      <c r="J448" s="580"/>
      <c r="K448" s="580"/>
      <c r="L448" s="582"/>
      <c r="M448" s="582"/>
      <c r="N448" s="585"/>
      <c r="O448" s="580"/>
      <c r="P448" s="593"/>
      <c r="Q448" s="584"/>
      <c r="R448" s="584"/>
      <c r="S448" s="584"/>
      <c r="T448" s="584"/>
      <c r="U448" s="584"/>
      <c r="V448" s="584"/>
      <c r="W448" s="584"/>
      <c r="X448" s="584"/>
      <c r="Y448" s="584"/>
      <c r="Z448" s="584"/>
      <c r="AA448" s="584"/>
      <c r="AB448" s="584"/>
      <c r="AC448" s="584"/>
      <c r="AD448" s="584"/>
      <c r="AE448" s="584"/>
      <c r="AF448" s="584"/>
    </row>
    <row r="449" ht="14.25" customHeight="1">
      <c r="A449" s="579"/>
      <c r="B449" s="580"/>
      <c r="C449" s="581"/>
      <c r="D449" s="581"/>
      <c r="E449" s="581"/>
      <c r="F449" s="580"/>
      <c r="G449" s="589"/>
      <c r="H449" s="589"/>
      <c r="I449" s="580"/>
      <c r="J449" s="580"/>
      <c r="K449" s="580"/>
      <c r="L449" s="582"/>
      <c r="M449" s="582"/>
      <c r="N449" s="585"/>
      <c r="O449" s="580"/>
      <c r="P449" s="593"/>
      <c r="Q449" s="584"/>
      <c r="R449" s="584"/>
      <c r="S449" s="584"/>
      <c r="T449" s="584"/>
      <c r="U449" s="584"/>
      <c r="V449" s="584"/>
      <c r="W449" s="584"/>
      <c r="X449" s="584"/>
      <c r="Y449" s="584"/>
      <c r="Z449" s="584"/>
      <c r="AA449" s="584"/>
      <c r="AB449" s="584"/>
      <c r="AC449" s="584"/>
      <c r="AD449" s="584"/>
      <c r="AE449" s="584"/>
      <c r="AF449" s="584"/>
    </row>
    <row r="450" ht="14.25" customHeight="1">
      <c r="A450" s="579"/>
      <c r="B450" s="580"/>
      <c r="C450" s="581"/>
      <c r="D450" s="581"/>
      <c r="E450" s="581"/>
      <c r="F450" s="580"/>
      <c r="G450" s="589"/>
      <c r="H450" s="589"/>
      <c r="I450" s="580"/>
      <c r="J450" s="580"/>
      <c r="K450" s="580"/>
      <c r="L450" s="582"/>
      <c r="M450" s="582"/>
      <c r="N450" s="585"/>
      <c r="O450" s="580"/>
      <c r="P450" s="593"/>
      <c r="Q450" s="584"/>
      <c r="R450" s="584"/>
      <c r="S450" s="584"/>
      <c r="T450" s="584"/>
      <c r="U450" s="584"/>
      <c r="V450" s="584"/>
      <c r="W450" s="584"/>
      <c r="X450" s="584"/>
      <c r="Y450" s="584"/>
      <c r="Z450" s="584"/>
      <c r="AA450" s="584"/>
      <c r="AB450" s="584"/>
      <c r="AC450" s="584"/>
      <c r="AD450" s="584"/>
      <c r="AE450" s="584"/>
      <c r="AF450" s="584"/>
    </row>
    <row r="451" ht="14.25" customHeight="1">
      <c r="A451" s="579"/>
      <c r="B451" s="580"/>
      <c r="C451" s="581"/>
      <c r="D451" s="581"/>
      <c r="E451" s="581"/>
      <c r="F451" s="580"/>
      <c r="G451" s="589"/>
      <c r="H451" s="589"/>
      <c r="I451" s="580"/>
      <c r="J451" s="580"/>
      <c r="K451" s="580"/>
      <c r="L451" s="582"/>
      <c r="M451" s="582"/>
      <c r="N451" s="585"/>
      <c r="O451" s="580"/>
      <c r="P451" s="593"/>
      <c r="Q451" s="584"/>
      <c r="R451" s="584"/>
      <c r="S451" s="584"/>
      <c r="T451" s="584"/>
      <c r="U451" s="584"/>
      <c r="V451" s="584"/>
      <c r="W451" s="584"/>
      <c r="X451" s="584"/>
      <c r="Y451" s="584"/>
      <c r="Z451" s="584"/>
      <c r="AA451" s="584"/>
      <c r="AB451" s="584"/>
      <c r="AC451" s="584"/>
      <c r="AD451" s="584"/>
      <c r="AE451" s="584"/>
      <c r="AF451" s="584"/>
    </row>
    <row r="452" ht="14.25" customHeight="1">
      <c r="A452" s="579"/>
      <c r="B452" s="580"/>
      <c r="C452" s="581"/>
      <c r="D452" s="581"/>
      <c r="E452" s="581"/>
      <c r="F452" s="580"/>
      <c r="G452" s="589"/>
      <c r="H452" s="589"/>
      <c r="I452" s="580"/>
      <c r="J452" s="580"/>
      <c r="K452" s="580"/>
      <c r="L452" s="582"/>
      <c r="M452" s="582"/>
      <c r="N452" s="585"/>
      <c r="O452" s="580"/>
      <c r="P452" s="593"/>
      <c r="Q452" s="584"/>
      <c r="R452" s="584"/>
      <c r="S452" s="584"/>
      <c r="T452" s="584"/>
      <c r="U452" s="584"/>
      <c r="V452" s="584"/>
      <c r="W452" s="584"/>
      <c r="X452" s="584"/>
      <c r="Y452" s="584"/>
      <c r="Z452" s="584"/>
      <c r="AA452" s="584"/>
      <c r="AB452" s="584"/>
      <c r="AC452" s="584"/>
      <c r="AD452" s="584"/>
      <c r="AE452" s="584"/>
      <c r="AF452" s="584"/>
    </row>
    <row r="453" ht="14.25" customHeight="1">
      <c r="A453" s="579"/>
      <c r="B453" s="580"/>
      <c r="C453" s="581"/>
      <c r="D453" s="581"/>
      <c r="E453" s="581"/>
      <c r="F453" s="580"/>
      <c r="G453" s="589"/>
      <c r="H453" s="589"/>
      <c r="I453" s="580"/>
      <c r="J453" s="580"/>
      <c r="K453" s="580"/>
      <c r="L453" s="582"/>
      <c r="M453" s="582"/>
      <c r="N453" s="585"/>
      <c r="O453" s="580"/>
      <c r="P453" s="593"/>
      <c r="Q453" s="584"/>
      <c r="R453" s="584"/>
      <c r="S453" s="584"/>
      <c r="T453" s="584"/>
      <c r="U453" s="584"/>
      <c r="V453" s="584"/>
      <c r="W453" s="584"/>
      <c r="X453" s="584"/>
      <c r="Y453" s="584"/>
      <c r="Z453" s="584"/>
      <c r="AA453" s="584"/>
      <c r="AB453" s="584"/>
      <c r="AC453" s="584"/>
      <c r="AD453" s="584"/>
      <c r="AE453" s="584"/>
      <c r="AF453" s="584"/>
    </row>
    <row r="454" ht="14.25" customHeight="1">
      <c r="A454" s="579"/>
      <c r="B454" s="580"/>
      <c r="C454" s="581"/>
      <c r="D454" s="581"/>
      <c r="E454" s="581"/>
      <c r="F454" s="580"/>
      <c r="G454" s="589"/>
      <c r="H454" s="589"/>
      <c r="I454" s="580"/>
      <c r="J454" s="580"/>
      <c r="K454" s="580"/>
      <c r="L454" s="582"/>
      <c r="M454" s="582"/>
      <c r="N454" s="585"/>
      <c r="O454" s="580"/>
      <c r="P454" s="593"/>
      <c r="Q454" s="584"/>
      <c r="R454" s="584"/>
      <c r="S454" s="584"/>
      <c r="T454" s="584"/>
      <c r="U454" s="584"/>
      <c r="V454" s="584"/>
      <c r="W454" s="584"/>
      <c r="X454" s="584"/>
      <c r="Y454" s="584"/>
      <c r="Z454" s="584"/>
      <c r="AA454" s="584"/>
      <c r="AB454" s="584"/>
      <c r="AC454" s="584"/>
      <c r="AD454" s="584"/>
      <c r="AE454" s="584"/>
      <c r="AF454" s="584"/>
    </row>
    <row r="455" ht="14.25" customHeight="1">
      <c r="A455" s="579"/>
      <c r="B455" s="580"/>
      <c r="C455" s="581"/>
      <c r="D455" s="581"/>
      <c r="E455" s="581"/>
      <c r="F455" s="580"/>
      <c r="G455" s="589"/>
      <c r="H455" s="589"/>
      <c r="I455" s="580"/>
      <c r="J455" s="580"/>
      <c r="K455" s="580"/>
      <c r="L455" s="582"/>
      <c r="M455" s="582"/>
      <c r="N455" s="585"/>
      <c r="O455" s="580"/>
      <c r="P455" s="593"/>
      <c r="Q455" s="584"/>
      <c r="R455" s="584"/>
      <c r="S455" s="584"/>
      <c r="T455" s="584"/>
      <c r="U455" s="584"/>
      <c r="V455" s="584"/>
      <c r="W455" s="584"/>
      <c r="X455" s="584"/>
      <c r="Y455" s="584"/>
      <c r="Z455" s="584"/>
      <c r="AA455" s="584"/>
      <c r="AB455" s="584"/>
      <c r="AC455" s="584"/>
      <c r="AD455" s="584"/>
      <c r="AE455" s="584"/>
      <c r="AF455" s="584"/>
    </row>
    <row r="456" ht="14.25" customHeight="1">
      <c r="A456" s="579"/>
      <c r="B456" s="580"/>
      <c r="C456" s="581"/>
      <c r="D456" s="581"/>
      <c r="E456" s="581"/>
      <c r="F456" s="580"/>
      <c r="G456" s="589"/>
      <c r="H456" s="589"/>
      <c r="I456" s="580"/>
      <c r="J456" s="580"/>
      <c r="K456" s="580"/>
      <c r="L456" s="582"/>
      <c r="M456" s="582"/>
      <c r="N456" s="585"/>
      <c r="O456" s="580"/>
      <c r="P456" s="593"/>
      <c r="Q456" s="584"/>
      <c r="R456" s="584"/>
      <c r="S456" s="584"/>
      <c r="T456" s="584"/>
      <c r="U456" s="584"/>
      <c r="V456" s="584"/>
      <c r="W456" s="584"/>
      <c r="X456" s="584"/>
      <c r="Y456" s="584"/>
      <c r="Z456" s="584"/>
      <c r="AA456" s="584"/>
      <c r="AB456" s="584"/>
      <c r="AC456" s="584"/>
      <c r="AD456" s="584"/>
      <c r="AE456" s="584"/>
      <c r="AF456" s="584"/>
    </row>
    <row r="457" ht="14.25" customHeight="1">
      <c r="A457" s="579"/>
      <c r="B457" s="580"/>
      <c r="C457" s="581"/>
      <c r="D457" s="581"/>
      <c r="E457" s="581"/>
      <c r="F457" s="580"/>
      <c r="G457" s="589"/>
      <c r="H457" s="589"/>
      <c r="I457" s="580"/>
      <c r="J457" s="580"/>
      <c r="K457" s="580"/>
      <c r="L457" s="582"/>
      <c r="M457" s="582"/>
      <c r="N457" s="585"/>
      <c r="O457" s="580"/>
      <c r="P457" s="593"/>
      <c r="Q457" s="584"/>
      <c r="R457" s="584"/>
      <c r="S457" s="584"/>
      <c r="T457" s="584"/>
      <c r="U457" s="584"/>
      <c r="V457" s="584"/>
      <c r="W457" s="584"/>
      <c r="X457" s="584"/>
      <c r="Y457" s="584"/>
      <c r="Z457" s="584"/>
      <c r="AA457" s="584"/>
      <c r="AB457" s="584"/>
      <c r="AC457" s="584"/>
      <c r="AD457" s="584"/>
      <c r="AE457" s="584"/>
      <c r="AF457" s="584"/>
    </row>
    <row r="458" ht="14.25" customHeight="1">
      <c r="A458" s="579"/>
      <c r="B458" s="580"/>
      <c r="C458" s="581"/>
      <c r="D458" s="581"/>
      <c r="E458" s="581"/>
      <c r="F458" s="580"/>
      <c r="G458" s="589"/>
      <c r="H458" s="589"/>
      <c r="I458" s="580"/>
      <c r="J458" s="580"/>
      <c r="K458" s="580"/>
      <c r="L458" s="582"/>
      <c r="M458" s="582"/>
      <c r="N458" s="585"/>
      <c r="O458" s="580"/>
      <c r="P458" s="593"/>
      <c r="Q458" s="584"/>
      <c r="R458" s="584"/>
      <c r="S458" s="584"/>
      <c r="T458" s="584"/>
      <c r="U458" s="584"/>
      <c r="V458" s="584"/>
      <c r="W458" s="584"/>
      <c r="X458" s="584"/>
      <c r="Y458" s="584"/>
      <c r="Z458" s="584"/>
      <c r="AA458" s="584"/>
      <c r="AB458" s="584"/>
      <c r="AC458" s="584"/>
      <c r="AD458" s="584"/>
      <c r="AE458" s="584"/>
      <c r="AF458" s="584"/>
    </row>
    <row r="459" ht="14.25" customHeight="1">
      <c r="A459" s="579"/>
      <c r="B459" s="580"/>
      <c r="C459" s="581"/>
      <c r="D459" s="581"/>
      <c r="E459" s="581"/>
      <c r="F459" s="580"/>
      <c r="G459" s="589"/>
      <c r="H459" s="589"/>
      <c r="I459" s="580"/>
      <c r="J459" s="580"/>
      <c r="K459" s="580"/>
      <c r="L459" s="582"/>
      <c r="M459" s="582"/>
      <c r="N459" s="585"/>
      <c r="O459" s="580"/>
      <c r="P459" s="593"/>
      <c r="Q459" s="584"/>
      <c r="R459" s="584"/>
      <c r="S459" s="584"/>
      <c r="T459" s="584"/>
      <c r="U459" s="584"/>
      <c r="V459" s="584"/>
      <c r="W459" s="584"/>
      <c r="X459" s="584"/>
      <c r="Y459" s="584"/>
      <c r="Z459" s="584"/>
      <c r="AA459" s="584"/>
      <c r="AB459" s="584"/>
      <c r="AC459" s="584"/>
      <c r="AD459" s="584"/>
      <c r="AE459" s="584"/>
      <c r="AF459" s="584"/>
    </row>
    <row r="460" ht="14.25" customHeight="1">
      <c r="A460" s="579"/>
      <c r="B460" s="580"/>
      <c r="C460" s="581"/>
      <c r="D460" s="581"/>
      <c r="E460" s="581"/>
      <c r="F460" s="580"/>
      <c r="G460" s="589"/>
      <c r="H460" s="589"/>
      <c r="I460" s="580"/>
      <c r="J460" s="580"/>
      <c r="K460" s="580"/>
      <c r="L460" s="582"/>
      <c r="M460" s="582"/>
      <c r="N460" s="585"/>
      <c r="O460" s="580"/>
      <c r="P460" s="593"/>
      <c r="Q460" s="584"/>
      <c r="R460" s="584"/>
      <c r="S460" s="584"/>
      <c r="T460" s="584"/>
      <c r="U460" s="584"/>
      <c r="V460" s="584"/>
      <c r="W460" s="584"/>
      <c r="X460" s="584"/>
      <c r="Y460" s="584"/>
      <c r="Z460" s="584"/>
      <c r="AA460" s="584"/>
      <c r="AB460" s="584"/>
      <c r="AC460" s="584"/>
      <c r="AD460" s="584"/>
      <c r="AE460" s="584"/>
      <c r="AF460" s="584"/>
    </row>
    <row r="461" ht="14.25" customHeight="1">
      <c r="A461" s="579"/>
      <c r="B461" s="580"/>
      <c r="C461" s="581"/>
      <c r="D461" s="581"/>
      <c r="E461" s="581"/>
      <c r="F461" s="580"/>
      <c r="G461" s="589"/>
      <c r="H461" s="589"/>
      <c r="I461" s="580"/>
      <c r="J461" s="580"/>
      <c r="K461" s="580"/>
      <c r="L461" s="582"/>
      <c r="M461" s="582"/>
      <c r="N461" s="585"/>
      <c r="O461" s="580"/>
      <c r="P461" s="593"/>
      <c r="Q461" s="584"/>
      <c r="R461" s="584"/>
      <c r="S461" s="584"/>
      <c r="T461" s="584"/>
      <c r="U461" s="584"/>
      <c r="V461" s="584"/>
      <c r="W461" s="584"/>
      <c r="X461" s="584"/>
      <c r="Y461" s="584"/>
      <c r="Z461" s="584"/>
      <c r="AA461" s="584"/>
      <c r="AB461" s="584"/>
      <c r="AC461" s="584"/>
      <c r="AD461" s="584"/>
      <c r="AE461" s="584"/>
      <c r="AF461" s="584"/>
    </row>
    <row r="462" ht="14.25" customHeight="1">
      <c r="A462" s="579"/>
      <c r="B462" s="580"/>
      <c r="C462" s="581"/>
      <c r="D462" s="581"/>
      <c r="E462" s="581"/>
      <c r="F462" s="580"/>
      <c r="G462" s="589"/>
      <c r="H462" s="589"/>
      <c r="I462" s="580"/>
      <c r="J462" s="580"/>
      <c r="K462" s="580"/>
      <c r="L462" s="582"/>
      <c r="M462" s="582"/>
      <c r="N462" s="585"/>
      <c r="O462" s="580"/>
      <c r="P462" s="593"/>
      <c r="Q462" s="584"/>
      <c r="R462" s="584"/>
      <c r="S462" s="584"/>
      <c r="T462" s="584"/>
      <c r="U462" s="584"/>
      <c r="V462" s="584"/>
      <c r="W462" s="584"/>
      <c r="X462" s="584"/>
      <c r="Y462" s="584"/>
      <c r="Z462" s="584"/>
      <c r="AA462" s="584"/>
      <c r="AB462" s="584"/>
      <c r="AC462" s="584"/>
      <c r="AD462" s="584"/>
      <c r="AE462" s="584"/>
      <c r="AF462" s="584"/>
    </row>
    <row r="463" ht="14.25" customHeight="1">
      <c r="A463" s="579"/>
      <c r="B463" s="580"/>
      <c r="C463" s="581"/>
      <c r="D463" s="581"/>
      <c r="E463" s="581"/>
      <c r="F463" s="580"/>
      <c r="G463" s="589"/>
      <c r="H463" s="589"/>
      <c r="I463" s="580"/>
      <c r="J463" s="580"/>
      <c r="K463" s="580"/>
      <c r="L463" s="582"/>
      <c r="M463" s="582"/>
      <c r="N463" s="585"/>
      <c r="O463" s="580"/>
      <c r="P463" s="593"/>
      <c r="Q463" s="584"/>
      <c r="R463" s="584"/>
      <c r="S463" s="584"/>
      <c r="T463" s="584"/>
      <c r="U463" s="584"/>
      <c r="V463" s="584"/>
      <c r="W463" s="584"/>
      <c r="X463" s="584"/>
      <c r="Y463" s="584"/>
      <c r="Z463" s="584"/>
      <c r="AA463" s="584"/>
      <c r="AB463" s="584"/>
      <c r="AC463" s="584"/>
      <c r="AD463" s="584"/>
      <c r="AE463" s="584"/>
      <c r="AF463" s="584"/>
    </row>
    <row r="464" ht="14.25" customHeight="1">
      <c r="A464" s="579"/>
      <c r="B464" s="580"/>
      <c r="C464" s="581"/>
      <c r="D464" s="581"/>
      <c r="E464" s="581"/>
      <c r="F464" s="580"/>
      <c r="G464" s="589"/>
      <c r="H464" s="589"/>
      <c r="I464" s="580"/>
      <c r="J464" s="580"/>
      <c r="K464" s="580"/>
      <c r="L464" s="582"/>
      <c r="M464" s="582"/>
      <c r="N464" s="585"/>
      <c r="O464" s="580"/>
      <c r="P464" s="593"/>
      <c r="Q464" s="584"/>
      <c r="R464" s="584"/>
      <c r="S464" s="584"/>
      <c r="T464" s="584"/>
      <c r="U464" s="584"/>
      <c r="V464" s="584"/>
      <c r="W464" s="584"/>
      <c r="X464" s="584"/>
      <c r="Y464" s="584"/>
      <c r="Z464" s="584"/>
      <c r="AA464" s="584"/>
      <c r="AB464" s="584"/>
      <c r="AC464" s="584"/>
      <c r="AD464" s="584"/>
      <c r="AE464" s="584"/>
      <c r="AF464" s="584"/>
    </row>
    <row r="465" ht="14.25" customHeight="1">
      <c r="A465" s="579"/>
      <c r="B465" s="580"/>
      <c r="C465" s="581"/>
      <c r="D465" s="581"/>
      <c r="E465" s="581"/>
      <c r="F465" s="580"/>
      <c r="G465" s="589"/>
      <c r="H465" s="589"/>
      <c r="I465" s="580"/>
      <c r="J465" s="580"/>
      <c r="K465" s="580"/>
      <c r="L465" s="582"/>
      <c r="M465" s="582"/>
      <c r="N465" s="585"/>
      <c r="O465" s="580"/>
      <c r="P465" s="593"/>
      <c r="Q465" s="584"/>
      <c r="R465" s="584"/>
      <c r="S465" s="584"/>
      <c r="T465" s="584"/>
      <c r="U465" s="584"/>
      <c r="V465" s="584"/>
      <c r="W465" s="584"/>
      <c r="X465" s="584"/>
      <c r="Y465" s="584"/>
      <c r="Z465" s="584"/>
      <c r="AA465" s="584"/>
      <c r="AB465" s="584"/>
      <c r="AC465" s="584"/>
      <c r="AD465" s="584"/>
      <c r="AE465" s="584"/>
      <c r="AF465" s="584"/>
    </row>
    <row r="466" ht="14.25" customHeight="1">
      <c r="A466" s="579"/>
      <c r="B466" s="580"/>
      <c r="C466" s="581"/>
      <c r="D466" s="581"/>
      <c r="E466" s="581"/>
      <c r="F466" s="580"/>
      <c r="G466" s="589"/>
      <c r="H466" s="589"/>
      <c r="I466" s="580"/>
      <c r="J466" s="580"/>
      <c r="K466" s="580"/>
      <c r="L466" s="582"/>
      <c r="M466" s="582"/>
      <c r="N466" s="585"/>
      <c r="O466" s="580"/>
      <c r="P466" s="593"/>
      <c r="Q466" s="584"/>
      <c r="R466" s="584"/>
      <c r="S466" s="584"/>
      <c r="T466" s="584"/>
      <c r="U466" s="584"/>
      <c r="V466" s="584"/>
      <c r="W466" s="584"/>
      <c r="X466" s="584"/>
      <c r="Y466" s="584"/>
      <c r="Z466" s="584"/>
      <c r="AA466" s="584"/>
      <c r="AB466" s="584"/>
      <c r="AC466" s="584"/>
      <c r="AD466" s="584"/>
      <c r="AE466" s="584"/>
      <c r="AF466" s="584"/>
    </row>
    <row r="467" ht="14.25" customHeight="1">
      <c r="A467" s="579"/>
      <c r="B467" s="580"/>
      <c r="C467" s="581"/>
      <c r="D467" s="581"/>
      <c r="E467" s="581"/>
      <c r="F467" s="580"/>
      <c r="G467" s="589"/>
      <c r="H467" s="589"/>
      <c r="I467" s="580"/>
      <c r="J467" s="580"/>
      <c r="K467" s="580"/>
      <c r="L467" s="582"/>
      <c r="M467" s="582"/>
      <c r="N467" s="585"/>
      <c r="O467" s="580"/>
      <c r="P467" s="593"/>
      <c r="Q467" s="584"/>
      <c r="R467" s="584"/>
      <c r="S467" s="584"/>
      <c r="T467" s="584"/>
      <c r="U467" s="584"/>
      <c r="V467" s="584"/>
      <c r="W467" s="584"/>
      <c r="X467" s="584"/>
      <c r="Y467" s="584"/>
      <c r="Z467" s="584"/>
      <c r="AA467" s="584"/>
      <c r="AB467" s="584"/>
      <c r="AC467" s="584"/>
      <c r="AD467" s="584"/>
      <c r="AE467" s="584"/>
      <c r="AF467" s="584"/>
    </row>
    <row r="468" ht="14.25" customHeight="1">
      <c r="A468" s="579"/>
      <c r="B468" s="580"/>
      <c r="C468" s="581"/>
      <c r="D468" s="581"/>
      <c r="E468" s="581"/>
      <c r="F468" s="580"/>
      <c r="G468" s="589"/>
      <c r="H468" s="589"/>
      <c r="I468" s="580"/>
      <c r="J468" s="580"/>
      <c r="K468" s="580"/>
      <c r="L468" s="582"/>
      <c r="M468" s="582"/>
      <c r="N468" s="585"/>
      <c r="O468" s="580"/>
      <c r="P468" s="593"/>
      <c r="Q468" s="584"/>
      <c r="R468" s="584"/>
      <c r="S468" s="584"/>
      <c r="T468" s="584"/>
      <c r="U468" s="584"/>
      <c r="V468" s="584"/>
      <c r="W468" s="584"/>
      <c r="X468" s="584"/>
      <c r="Y468" s="584"/>
      <c r="Z468" s="584"/>
      <c r="AA468" s="584"/>
      <c r="AB468" s="584"/>
      <c r="AC468" s="584"/>
      <c r="AD468" s="584"/>
      <c r="AE468" s="584"/>
      <c r="AF468" s="584"/>
    </row>
    <row r="469" ht="14.25" customHeight="1">
      <c r="A469" s="579"/>
      <c r="B469" s="580"/>
      <c r="C469" s="581"/>
      <c r="D469" s="581"/>
      <c r="E469" s="581"/>
      <c r="F469" s="580"/>
      <c r="G469" s="589"/>
      <c r="H469" s="589"/>
      <c r="I469" s="580"/>
      <c r="J469" s="580"/>
      <c r="K469" s="580"/>
      <c r="L469" s="582"/>
      <c r="M469" s="582"/>
      <c r="N469" s="585"/>
      <c r="O469" s="580"/>
      <c r="P469" s="593"/>
      <c r="Q469" s="584"/>
      <c r="R469" s="584"/>
      <c r="S469" s="584"/>
      <c r="T469" s="584"/>
      <c r="U469" s="584"/>
      <c r="V469" s="584"/>
      <c r="W469" s="584"/>
      <c r="X469" s="584"/>
      <c r="Y469" s="584"/>
      <c r="Z469" s="584"/>
      <c r="AA469" s="584"/>
      <c r="AB469" s="584"/>
      <c r="AC469" s="584"/>
      <c r="AD469" s="584"/>
      <c r="AE469" s="584"/>
      <c r="AF469" s="584"/>
    </row>
    <row r="470" ht="14.25" customHeight="1">
      <c r="A470" s="579"/>
      <c r="B470" s="580"/>
      <c r="C470" s="581"/>
      <c r="D470" s="581"/>
      <c r="E470" s="581"/>
      <c r="F470" s="580"/>
      <c r="G470" s="589"/>
      <c r="H470" s="589"/>
      <c r="I470" s="580"/>
      <c r="J470" s="580"/>
      <c r="K470" s="580"/>
      <c r="L470" s="582"/>
      <c r="M470" s="582"/>
      <c r="N470" s="585"/>
      <c r="O470" s="580"/>
      <c r="P470" s="593"/>
      <c r="Q470" s="584"/>
      <c r="R470" s="584"/>
      <c r="S470" s="584"/>
      <c r="T470" s="584"/>
      <c r="U470" s="584"/>
      <c r="V470" s="584"/>
      <c r="W470" s="584"/>
      <c r="X470" s="584"/>
      <c r="Y470" s="584"/>
      <c r="Z470" s="584"/>
      <c r="AA470" s="584"/>
      <c r="AB470" s="584"/>
      <c r="AC470" s="584"/>
      <c r="AD470" s="584"/>
      <c r="AE470" s="584"/>
      <c r="AF470" s="584"/>
    </row>
    <row r="471" ht="14.25" customHeight="1">
      <c r="A471" s="579"/>
      <c r="B471" s="580"/>
      <c r="C471" s="581"/>
      <c r="D471" s="581"/>
      <c r="E471" s="581"/>
      <c r="F471" s="580"/>
      <c r="G471" s="589"/>
      <c r="H471" s="589"/>
      <c r="I471" s="580"/>
      <c r="J471" s="580"/>
      <c r="K471" s="580"/>
      <c r="L471" s="582"/>
      <c r="M471" s="582"/>
      <c r="N471" s="585"/>
      <c r="O471" s="580"/>
      <c r="P471" s="593"/>
      <c r="Q471" s="584"/>
      <c r="R471" s="584"/>
      <c r="S471" s="584"/>
      <c r="T471" s="584"/>
      <c r="U471" s="584"/>
      <c r="V471" s="584"/>
      <c r="W471" s="584"/>
      <c r="X471" s="584"/>
      <c r="Y471" s="584"/>
      <c r="Z471" s="584"/>
      <c r="AA471" s="584"/>
      <c r="AB471" s="584"/>
      <c r="AC471" s="584"/>
      <c r="AD471" s="584"/>
      <c r="AE471" s="584"/>
      <c r="AF471" s="584"/>
    </row>
    <row r="472" ht="14.25" customHeight="1">
      <c r="A472" s="579"/>
      <c r="B472" s="580"/>
      <c r="C472" s="581"/>
      <c r="D472" s="581"/>
      <c r="E472" s="581"/>
      <c r="F472" s="580"/>
      <c r="G472" s="589"/>
      <c r="H472" s="589"/>
      <c r="I472" s="580"/>
      <c r="J472" s="580"/>
      <c r="K472" s="580"/>
      <c r="L472" s="582"/>
      <c r="M472" s="582"/>
      <c r="N472" s="585"/>
      <c r="O472" s="580"/>
      <c r="P472" s="593"/>
      <c r="Q472" s="584"/>
      <c r="R472" s="584"/>
      <c r="S472" s="584"/>
      <c r="T472" s="584"/>
      <c r="U472" s="584"/>
      <c r="V472" s="584"/>
      <c r="W472" s="584"/>
      <c r="X472" s="584"/>
      <c r="Y472" s="584"/>
      <c r="Z472" s="584"/>
      <c r="AA472" s="584"/>
      <c r="AB472" s="584"/>
      <c r="AC472" s="584"/>
      <c r="AD472" s="584"/>
      <c r="AE472" s="584"/>
      <c r="AF472" s="584"/>
    </row>
    <row r="473" ht="14.25" customHeight="1">
      <c r="A473" s="579"/>
      <c r="B473" s="580"/>
      <c r="C473" s="581"/>
      <c r="D473" s="581"/>
      <c r="E473" s="581"/>
      <c r="F473" s="580"/>
      <c r="G473" s="589"/>
      <c r="H473" s="589"/>
      <c r="I473" s="580"/>
      <c r="J473" s="580"/>
      <c r="K473" s="580"/>
      <c r="L473" s="582"/>
      <c r="M473" s="582"/>
      <c r="N473" s="585"/>
      <c r="O473" s="580"/>
      <c r="P473" s="593"/>
      <c r="Q473" s="584"/>
      <c r="R473" s="584"/>
      <c r="S473" s="584"/>
      <c r="T473" s="584"/>
      <c r="U473" s="584"/>
      <c r="V473" s="584"/>
      <c r="W473" s="584"/>
      <c r="X473" s="584"/>
      <c r="Y473" s="584"/>
      <c r="Z473" s="584"/>
      <c r="AA473" s="584"/>
      <c r="AB473" s="584"/>
      <c r="AC473" s="584"/>
      <c r="AD473" s="584"/>
      <c r="AE473" s="584"/>
      <c r="AF473" s="584"/>
    </row>
    <row r="474" ht="14.25" customHeight="1">
      <c r="A474" s="579"/>
      <c r="B474" s="580"/>
      <c r="C474" s="581"/>
      <c r="D474" s="581"/>
      <c r="E474" s="581"/>
      <c r="F474" s="580"/>
      <c r="G474" s="589"/>
      <c r="H474" s="589"/>
      <c r="I474" s="580"/>
      <c r="J474" s="580"/>
      <c r="K474" s="580"/>
      <c r="L474" s="582"/>
      <c r="M474" s="582"/>
      <c r="N474" s="585"/>
      <c r="O474" s="580"/>
      <c r="P474" s="593"/>
      <c r="Q474" s="584"/>
      <c r="R474" s="584"/>
      <c r="S474" s="584"/>
      <c r="T474" s="584"/>
      <c r="U474" s="584"/>
      <c r="V474" s="584"/>
      <c r="W474" s="584"/>
      <c r="X474" s="584"/>
      <c r="Y474" s="584"/>
      <c r="Z474" s="584"/>
      <c r="AA474" s="584"/>
      <c r="AB474" s="584"/>
      <c r="AC474" s="584"/>
      <c r="AD474" s="584"/>
      <c r="AE474" s="584"/>
      <c r="AF474" s="584"/>
    </row>
    <row r="475" ht="14.25" customHeight="1">
      <c r="A475" s="579"/>
      <c r="B475" s="580"/>
      <c r="C475" s="581"/>
      <c r="D475" s="581"/>
      <c r="E475" s="581"/>
      <c r="F475" s="580"/>
      <c r="G475" s="589"/>
      <c r="H475" s="589"/>
      <c r="I475" s="580"/>
      <c r="J475" s="580"/>
      <c r="K475" s="580"/>
      <c r="L475" s="582"/>
      <c r="M475" s="582"/>
      <c r="N475" s="585"/>
      <c r="O475" s="580"/>
      <c r="P475" s="593"/>
      <c r="Q475" s="584"/>
      <c r="R475" s="584"/>
      <c r="S475" s="584"/>
      <c r="T475" s="584"/>
      <c r="U475" s="584"/>
      <c r="V475" s="584"/>
      <c r="W475" s="584"/>
      <c r="X475" s="584"/>
      <c r="Y475" s="584"/>
      <c r="Z475" s="584"/>
      <c r="AA475" s="584"/>
      <c r="AB475" s="584"/>
      <c r="AC475" s="584"/>
      <c r="AD475" s="584"/>
      <c r="AE475" s="584"/>
      <c r="AF475" s="584"/>
    </row>
    <row r="476" ht="14.25" customHeight="1">
      <c r="A476" s="579"/>
      <c r="B476" s="580"/>
      <c r="C476" s="581"/>
      <c r="D476" s="581"/>
      <c r="E476" s="581"/>
      <c r="F476" s="580"/>
      <c r="G476" s="589"/>
      <c r="H476" s="589"/>
      <c r="I476" s="580"/>
      <c r="J476" s="580"/>
      <c r="K476" s="580"/>
      <c r="L476" s="582"/>
      <c r="M476" s="582"/>
      <c r="N476" s="585"/>
      <c r="O476" s="580"/>
      <c r="P476" s="593"/>
      <c r="Q476" s="584"/>
      <c r="R476" s="584"/>
      <c r="S476" s="584"/>
      <c r="T476" s="584"/>
      <c r="U476" s="584"/>
      <c r="V476" s="584"/>
      <c r="W476" s="584"/>
      <c r="X476" s="584"/>
      <c r="Y476" s="584"/>
      <c r="Z476" s="584"/>
      <c r="AA476" s="584"/>
      <c r="AB476" s="584"/>
      <c r="AC476" s="584"/>
      <c r="AD476" s="584"/>
      <c r="AE476" s="584"/>
      <c r="AF476" s="584"/>
    </row>
    <row r="477" ht="14.25" customHeight="1">
      <c r="A477" s="579"/>
      <c r="B477" s="580"/>
      <c r="C477" s="581"/>
      <c r="D477" s="581"/>
      <c r="E477" s="581"/>
      <c r="F477" s="580"/>
      <c r="G477" s="589"/>
      <c r="H477" s="589"/>
      <c r="I477" s="580"/>
      <c r="J477" s="580"/>
      <c r="K477" s="580"/>
      <c r="L477" s="582"/>
      <c r="M477" s="582"/>
      <c r="N477" s="585"/>
      <c r="O477" s="580"/>
      <c r="P477" s="593"/>
      <c r="Q477" s="584"/>
      <c r="R477" s="584"/>
      <c r="S477" s="584"/>
      <c r="T477" s="584"/>
      <c r="U477" s="584"/>
      <c r="V477" s="584"/>
      <c r="W477" s="584"/>
      <c r="X477" s="584"/>
      <c r="Y477" s="584"/>
      <c r="Z477" s="584"/>
      <c r="AA477" s="584"/>
      <c r="AB477" s="584"/>
      <c r="AC477" s="584"/>
      <c r="AD477" s="584"/>
      <c r="AE477" s="584"/>
      <c r="AF477" s="584"/>
    </row>
    <row r="478" ht="14.25" customHeight="1">
      <c r="A478" s="579"/>
      <c r="B478" s="580"/>
      <c r="C478" s="581"/>
      <c r="D478" s="581"/>
      <c r="E478" s="581"/>
      <c r="F478" s="580"/>
      <c r="G478" s="589"/>
      <c r="H478" s="589"/>
      <c r="I478" s="580"/>
      <c r="J478" s="580"/>
      <c r="K478" s="580"/>
      <c r="L478" s="582"/>
      <c r="M478" s="582"/>
      <c r="N478" s="585"/>
      <c r="O478" s="580"/>
      <c r="P478" s="593"/>
      <c r="Q478" s="584"/>
      <c r="R478" s="584"/>
      <c r="S478" s="584"/>
      <c r="T478" s="584"/>
      <c r="U478" s="584"/>
      <c r="V478" s="584"/>
      <c r="W478" s="584"/>
      <c r="X478" s="584"/>
      <c r="Y478" s="584"/>
      <c r="Z478" s="584"/>
      <c r="AA478" s="584"/>
      <c r="AB478" s="584"/>
      <c r="AC478" s="584"/>
      <c r="AD478" s="584"/>
      <c r="AE478" s="584"/>
      <c r="AF478" s="584"/>
    </row>
    <row r="479" ht="14.25" customHeight="1">
      <c r="A479" s="579"/>
      <c r="B479" s="580"/>
      <c r="C479" s="581"/>
      <c r="D479" s="581"/>
      <c r="E479" s="581"/>
      <c r="F479" s="580"/>
      <c r="G479" s="589"/>
      <c r="H479" s="589"/>
      <c r="I479" s="580"/>
      <c r="J479" s="580"/>
      <c r="K479" s="580"/>
      <c r="L479" s="582"/>
      <c r="M479" s="582"/>
      <c r="N479" s="585"/>
      <c r="O479" s="580"/>
      <c r="P479" s="593"/>
      <c r="Q479" s="584"/>
      <c r="R479" s="584"/>
      <c r="S479" s="584"/>
      <c r="T479" s="584"/>
      <c r="U479" s="584"/>
      <c r="V479" s="584"/>
      <c r="W479" s="584"/>
      <c r="X479" s="584"/>
      <c r="Y479" s="584"/>
      <c r="Z479" s="584"/>
      <c r="AA479" s="584"/>
      <c r="AB479" s="584"/>
      <c r="AC479" s="584"/>
      <c r="AD479" s="584"/>
      <c r="AE479" s="584"/>
      <c r="AF479" s="584"/>
    </row>
    <row r="480" ht="14.25" customHeight="1">
      <c r="A480" s="579"/>
      <c r="B480" s="580"/>
      <c r="C480" s="581"/>
      <c r="D480" s="581"/>
      <c r="E480" s="581"/>
      <c r="F480" s="580"/>
      <c r="G480" s="589"/>
      <c r="H480" s="589"/>
      <c r="I480" s="580"/>
      <c r="J480" s="580"/>
      <c r="K480" s="580"/>
      <c r="L480" s="582"/>
      <c r="M480" s="582"/>
      <c r="N480" s="585"/>
      <c r="O480" s="580"/>
      <c r="P480" s="593"/>
      <c r="Q480" s="584"/>
      <c r="R480" s="584"/>
      <c r="S480" s="584"/>
      <c r="T480" s="584"/>
      <c r="U480" s="584"/>
      <c r="V480" s="584"/>
      <c r="W480" s="584"/>
      <c r="X480" s="584"/>
      <c r="Y480" s="584"/>
      <c r="Z480" s="584"/>
      <c r="AA480" s="584"/>
      <c r="AB480" s="584"/>
      <c r="AC480" s="584"/>
      <c r="AD480" s="584"/>
      <c r="AE480" s="584"/>
      <c r="AF480" s="584"/>
    </row>
    <row r="481" ht="14.25" customHeight="1">
      <c r="A481" s="579"/>
      <c r="B481" s="580"/>
      <c r="C481" s="581"/>
      <c r="D481" s="581"/>
      <c r="E481" s="581"/>
      <c r="F481" s="580"/>
      <c r="G481" s="589"/>
      <c r="H481" s="589"/>
      <c r="I481" s="580"/>
      <c r="J481" s="580"/>
      <c r="K481" s="580"/>
      <c r="L481" s="582"/>
      <c r="M481" s="582"/>
      <c r="N481" s="585"/>
      <c r="O481" s="580"/>
      <c r="P481" s="593"/>
      <c r="Q481" s="584"/>
      <c r="R481" s="584"/>
      <c r="S481" s="584"/>
      <c r="T481" s="584"/>
      <c r="U481" s="584"/>
      <c r="V481" s="584"/>
      <c r="W481" s="584"/>
      <c r="X481" s="584"/>
      <c r="Y481" s="584"/>
      <c r="Z481" s="584"/>
      <c r="AA481" s="584"/>
      <c r="AB481" s="584"/>
      <c r="AC481" s="584"/>
      <c r="AD481" s="584"/>
      <c r="AE481" s="584"/>
      <c r="AF481" s="584"/>
    </row>
    <row r="482" ht="14.25" customHeight="1">
      <c r="A482" s="579"/>
      <c r="B482" s="580"/>
      <c r="C482" s="581"/>
      <c r="D482" s="581"/>
      <c r="E482" s="581"/>
      <c r="F482" s="580"/>
      <c r="G482" s="589"/>
      <c r="H482" s="589"/>
      <c r="I482" s="580"/>
      <c r="J482" s="580"/>
      <c r="K482" s="580"/>
      <c r="L482" s="582"/>
      <c r="M482" s="582"/>
      <c r="N482" s="585"/>
      <c r="O482" s="580"/>
      <c r="P482" s="593"/>
      <c r="Q482" s="584"/>
      <c r="R482" s="584"/>
      <c r="S482" s="584"/>
      <c r="T482" s="584"/>
      <c r="U482" s="584"/>
      <c r="V482" s="584"/>
      <c r="W482" s="584"/>
      <c r="X482" s="584"/>
      <c r="Y482" s="584"/>
      <c r="Z482" s="584"/>
      <c r="AA482" s="584"/>
      <c r="AB482" s="584"/>
      <c r="AC482" s="584"/>
      <c r="AD482" s="584"/>
      <c r="AE482" s="584"/>
      <c r="AF482" s="584"/>
    </row>
    <row r="483" ht="14.25" customHeight="1">
      <c r="A483" s="579"/>
      <c r="B483" s="580"/>
      <c r="C483" s="581"/>
      <c r="D483" s="581"/>
      <c r="E483" s="581"/>
      <c r="F483" s="580"/>
      <c r="G483" s="589"/>
      <c r="H483" s="589"/>
      <c r="I483" s="580"/>
      <c r="J483" s="580"/>
      <c r="K483" s="580"/>
      <c r="L483" s="582"/>
      <c r="M483" s="582"/>
      <c r="N483" s="585"/>
      <c r="O483" s="580"/>
      <c r="P483" s="593"/>
      <c r="Q483" s="584"/>
      <c r="R483" s="584"/>
      <c r="S483" s="584"/>
      <c r="T483" s="584"/>
      <c r="U483" s="584"/>
      <c r="V483" s="584"/>
      <c r="W483" s="584"/>
      <c r="X483" s="584"/>
      <c r="Y483" s="584"/>
      <c r="Z483" s="584"/>
      <c r="AA483" s="584"/>
      <c r="AB483" s="584"/>
      <c r="AC483" s="584"/>
      <c r="AD483" s="584"/>
      <c r="AE483" s="584"/>
      <c r="AF483" s="584"/>
    </row>
    <row r="484" ht="14.25" customHeight="1">
      <c r="A484" s="579"/>
      <c r="B484" s="580"/>
      <c r="C484" s="581"/>
      <c r="D484" s="581"/>
      <c r="E484" s="581"/>
      <c r="F484" s="580"/>
      <c r="G484" s="589"/>
      <c r="H484" s="589"/>
      <c r="I484" s="580"/>
      <c r="J484" s="580"/>
      <c r="K484" s="580"/>
      <c r="L484" s="582"/>
      <c r="M484" s="582"/>
      <c r="N484" s="585"/>
      <c r="O484" s="580"/>
      <c r="P484" s="593"/>
      <c r="Q484" s="584"/>
      <c r="R484" s="584"/>
      <c r="S484" s="584"/>
      <c r="T484" s="584"/>
      <c r="U484" s="584"/>
      <c r="V484" s="584"/>
      <c r="W484" s="584"/>
      <c r="X484" s="584"/>
      <c r="Y484" s="584"/>
      <c r="Z484" s="584"/>
      <c r="AA484" s="584"/>
      <c r="AB484" s="584"/>
      <c r="AC484" s="584"/>
      <c r="AD484" s="584"/>
      <c r="AE484" s="584"/>
      <c r="AF484" s="584"/>
    </row>
    <row r="485" ht="14.25" customHeight="1">
      <c r="A485" s="579"/>
      <c r="B485" s="580"/>
      <c r="C485" s="581"/>
      <c r="D485" s="581"/>
      <c r="E485" s="581"/>
      <c r="F485" s="580"/>
      <c r="G485" s="589"/>
      <c r="H485" s="589"/>
      <c r="I485" s="580"/>
      <c r="J485" s="580"/>
      <c r="K485" s="580"/>
      <c r="L485" s="582"/>
      <c r="M485" s="582"/>
      <c r="N485" s="585"/>
      <c r="O485" s="580"/>
      <c r="P485" s="593"/>
      <c r="Q485" s="584"/>
      <c r="R485" s="584"/>
      <c r="S485" s="584"/>
      <c r="T485" s="584"/>
      <c r="U485" s="584"/>
      <c r="V485" s="584"/>
      <c r="W485" s="584"/>
      <c r="X485" s="584"/>
      <c r="Y485" s="584"/>
      <c r="Z485" s="584"/>
      <c r="AA485" s="584"/>
      <c r="AB485" s="584"/>
      <c r="AC485" s="584"/>
      <c r="AD485" s="584"/>
      <c r="AE485" s="584"/>
      <c r="AF485" s="584"/>
    </row>
    <row r="486" ht="14.25" customHeight="1">
      <c r="A486" s="579"/>
      <c r="B486" s="580"/>
      <c r="C486" s="581"/>
      <c r="D486" s="581"/>
      <c r="E486" s="581"/>
      <c r="F486" s="580"/>
      <c r="G486" s="589"/>
      <c r="H486" s="589"/>
      <c r="I486" s="580"/>
      <c r="J486" s="580"/>
      <c r="K486" s="580"/>
      <c r="L486" s="582"/>
      <c r="M486" s="582"/>
      <c r="N486" s="585"/>
      <c r="O486" s="580"/>
      <c r="P486" s="593"/>
      <c r="Q486" s="584"/>
      <c r="R486" s="584"/>
      <c r="S486" s="584"/>
      <c r="T486" s="584"/>
      <c r="U486" s="584"/>
      <c r="V486" s="584"/>
      <c r="W486" s="584"/>
      <c r="X486" s="584"/>
      <c r="Y486" s="584"/>
      <c r="Z486" s="584"/>
      <c r="AA486" s="584"/>
      <c r="AB486" s="584"/>
      <c r="AC486" s="584"/>
      <c r="AD486" s="584"/>
      <c r="AE486" s="584"/>
      <c r="AF486" s="584"/>
    </row>
    <row r="487" ht="14.25" customHeight="1">
      <c r="A487" s="579"/>
      <c r="B487" s="580"/>
      <c r="C487" s="581"/>
      <c r="D487" s="581"/>
      <c r="E487" s="581"/>
      <c r="F487" s="580"/>
      <c r="G487" s="589"/>
      <c r="H487" s="589"/>
      <c r="I487" s="580"/>
      <c r="J487" s="580"/>
      <c r="K487" s="580"/>
      <c r="L487" s="582"/>
      <c r="M487" s="582"/>
      <c r="N487" s="585"/>
      <c r="O487" s="580"/>
      <c r="P487" s="593"/>
      <c r="Q487" s="584"/>
      <c r="R487" s="584"/>
      <c r="S487" s="584"/>
      <c r="T487" s="584"/>
      <c r="U487" s="584"/>
      <c r="V487" s="584"/>
      <c r="W487" s="584"/>
      <c r="X487" s="584"/>
      <c r="Y487" s="584"/>
      <c r="Z487" s="584"/>
      <c r="AA487" s="584"/>
      <c r="AB487" s="584"/>
      <c r="AC487" s="584"/>
      <c r="AD487" s="584"/>
      <c r="AE487" s="584"/>
      <c r="AF487" s="584"/>
    </row>
    <row r="488" ht="14.25" customHeight="1">
      <c r="A488" s="579"/>
      <c r="B488" s="580"/>
      <c r="C488" s="581"/>
      <c r="D488" s="581"/>
      <c r="E488" s="581"/>
      <c r="F488" s="580"/>
      <c r="G488" s="589"/>
      <c r="H488" s="589"/>
      <c r="I488" s="580"/>
      <c r="J488" s="580"/>
      <c r="K488" s="580"/>
      <c r="L488" s="582"/>
      <c r="M488" s="582"/>
      <c r="N488" s="585"/>
      <c r="O488" s="580"/>
      <c r="P488" s="593"/>
      <c r="Q488" s="584"/>
      <c r="R488" s="584"/>
      <c r="S488" s="584"/>
      <c r="T488" s="584"/>
      <c r="U488" s="584"/>
      <c r="V488" s="584"/>
      <c r="W488" s="584"/>
      <c r="X488" s="584"/>
      <c r="Y488" s="584"/>
      <c r="Z488" s="584"/>
      <c r="AA488" s="584"/>
      <c r="AB488" s="584"/>
      <c r="AC488" s="584"/>
      <c r="AD488" s="584"/>
      <c r="AE488" s="584"/>
      <c r="AF488" s="584"/>
    </row>
    <row r="489" ht="14.25" customHeight="1">
      <c r="A489" s="579"/>
      <c r="B489" s="580"/>
      <c r="C489" s="581"/>
      <c r="D489" s="581"/>
      <c r="E489" s="581"/>
      <c r="F489" s="580"/>
      <c r="G489" s="589"/>
      <c r="H489" s="589"/>
      <c r="I489" s="580"/>
      <c r="J489" s="580"/>
      <c r="K489" s="580"/>
      <c r="L489" s="582"/>
      <c r="M489" s="582"/>
      <c r="N489" s="585"/>
      <c r="O489" s="580"/>
      <c r="P489" s="593"/>
      <c r="Q489" s="584"/>
      <c r="R489" s="584"/>
      <c r="S489" s="584"/>
      <c r="T489" s="584"/>
      <c r="U489" s="584"/>
      <c r="V489" s="584"/>
      <c r="W489" s="584"/>
      <c r="X489" s="584"/>
      <c r="Y489" s="584"/>
      <c r="Z489" s="584"/>
      <c r="AA489" s="584"/>
      <c r="AB489" s="584"/>
      <c r="AC489" s="584"/>
      <c r="AD489" s="584"/>
      <c r="AE489" s="584"/>
      <c r="AF489" s="584"/>
    </row>
    <row r="490" ht="14.25" customHeight="1">
      <c r="A490" s="579"/>
      <c r="B490" s="580"/>
      <c r="C490" s="581"/>
      <c r="D490" s="581"/>
      <c r="E490" s="581"/>
      <c r="F490" s="580"/>
      <c r="G490" s="589"/>
      <c r="H490" s="589"/>
      <c r="I490" s="580"/>
      <c r="J490" s="580"/>
      <c r="K490" s="580"/>
      <c r="L490" s="582"/>
      <c r="M490" s="582"/>
      <c r="N490" s="585"/>
      <c r="O490" s="580"/>
      <c r="P490" s="593"/>
      <c r="Q490" s="584"/>
      <c r="R490" s="584"/>
      <c r="S490" s="584"/>
      <c r="T490" s="584"/>
      <c r="U490" s="584"/>
      <c r="V490" s="584"/>
      <c r="W490" s="584"/>
      <c r="X490" s="584"/>
      <c r="Y490" s="584"/>
      <c r="Z490" s="584"/>
      <c r="AA490" s="584"/>
      <c r="AB490" s="584"/>
      <c r="AC490" s="584"/>
      <c r="AD490" s="584"/>
      <c r="AE490" s="584"/>
      <c r="AF490" s="584"/>
    </row>
    <row r="491" ht="14.25" customHeight="1">
      <c r="A491" s="579"/>
      <c r="B491" s="580"/>
      <c r="C491" s="581"/>
      <c r="D491" s="581"/>
      <c r="E491" s="581"/>
      <c r="F491" s="580"/>
      <c r="G491" s="589"/>
      <c r="H491" s="589"/>
      <c r="I491" s="580"/>
      <c r="J491" s="580"/>
      <c r="K491" s="580"/>
      <c r="L491" s="582"/>
      <c r="M491" s="582"/>
      <c r="N491" s="585"/>
      <c r="O491" s="580"/>
      <c r="P491" s="593"/>
      <c r="Q491" s="584"/>
      <c r="R491" s="584"/>
      <c r="S491" s="584"/>
      <c r="T491" s="584"/>
      <c r="U491" s="584"/>
      <c r="V491" s="584"/>
      <c r="W491" s="584"/>
      <c r="X491" s="584"/>
      <c r="Y491" s="584"/>
      <c r="Z491" s="584"/>
      <c r="AA491" s="584"/>
      <c r="AB491" s="584"/>
      <c r="AC491" s="584"/>
      <c r="AD491" s="584"/>
      <c r="AE491" s="584"/>
      <c r="AF491" s="584"/>
    </row>
    <row r="492" ht="14.25" customHeight="1">
      <c r="A492" s="579"/>
      <c r="B492" s="580"/>
      <c r="C492" s="581"/>
      <c r="D492" s="581"/>
      <c r="E492" s="581"/>
      <c r="F492" s="580"/>
      <c r="G492" s="589"/>
      <c r="H492" s="589"/>
      <c r="I492" s="580"/>
      <c r="J492" s="580"/>
      <c r="K492" s="580"/>
      <c r="L492" s="582"/>
      <c r="M492" s="582"/>
      <c r="N492" s="585"/>
      <c r="O492" s="580"/>
      <c r="P492" s="593"/>
      <c r="Q492" s="584"/>
      <c r="R492" s="584"/>
      <c r="S492" s="584"/>
      <c r="T492" s="584"/>
      <c r="U492" s="584"/>
      <c r="V492" s="584"/>
      <c r="W492" s="584"/>
      <c r="X492" s="584"/>
      <c r="Y492" s="584"/>
      <c r="Z492" s="584"/>
      <c r="AA492" s="584"/>
      <c r="AB492" s="584"/>
      <c r="AC492" s="584"/>
      <c r="AD492" s="584"/>
      <c r="AE492" s="584"/>
      <c r="AF492" s="584"/>
    </row>
    <row r="493" ht="14.25" customHeight="1">
      <c r="A493" s="579"/>
      <c r="B493" s="580"/>
      <c r="C493" s="581"/>
      <c r="D493" s="581"/>
      <c r="E493" s="581"/>
      <c r="F493" s="580"/>
      <c r="G493" s="589"/>
      <c r="H493" s="589"/>
      <c r="I493" s="580"/>
      <c r="J493" s="580"/>
      <c r="K493" s="580"/>
      <c r="L493" s="582"/>
      <c r="M493" s="582"/>
      <c r="N493" s="585"/>
      <c r="O493" s="580"/>
      <c r="P493" s="593"/>
      <c r="Q493" s="584"/>
      <c r="R493" s="584"/>
      <c r="S493" s="584"/>
      <c r="T493" s="584"/>
      <c r="U493" s="584"/>
      <c r="V493" s="584"/>
      <c r="W493" s="584"/>
      <c r="X493" s="584"/>
      <c r="Y493" s="584"/>
      <c r="Z493" s="584"/>
      <c r="AA493" s="584"/>
      <c r="AB493" s="584"/>
      <c r="AC493" s="584"/>
      <c r="AD493" s="584"/>
      <c r="AE493" s="584"/>
      <c r="AF493" s="584"/>
    </row>
    <row r="494" ht="14.25" customHeight="1">
      <c r="A494" s="579"/>
      <c r="B494" s="580"/>
      <c r="C494" s="581"/>
      <c r="D494" s="581"/>
      <c r="E494" s="581"/>
      <c r="F494" s="580"/>
      <c r="G494" s="589"/>
      <c r="H494" s="589"/>
      <c r="I494" s="580"/>
      <c r="J494" s="580"/>
      <c r="K494" s="580"/>
      <c r="L494" s="582"/>
      <c r="M494" s="582"/>
      <c r="N494" s="585"/>
      <c r="O494" s="580"/>
      <c r="P494" s="593"/>
      <c r="Q494" s="584"/>
      <c r="R494" s="584"/>
      <c r="S494" s="584"/>
      <c r="T494" s="584"/>
      <c r="U494" s="584"/>
      <c r="V494" s="584"/>
      <c r="W494" s="584"/>
      <c r="X494" s="584"/>
      <c r="Y494" s="584"/>
      <c r="Z494" s="584"/>
      <c r="AA494" s="584"/>
      <c r="AB494" s="584"/>
      <c r="AC494" s="584"/>
      <c r="AD494" s="584"/>
      <c r="AE494" s="584"/>
      <c r="AF494" s="584"/>
    </row>
    <row r="495" ht="14.25" customHeight="1">
      <c r="A495" s="579"/>
      <c r="B495" s="580"/>
      <c r="C495" s="581"/>
      <c r="D495" s="581"/>
      <c r="E495" s="581"/>
      <c r="F495" s="580"/>
      <c r="G495" s="589"/>
      <c r="H495" s="589"/>
      <c r="I495" s="580"/>
      <c r="J495" s="580"/>
      <c r="K495" s="580"/>
      <c r="L495" s="582"/>
      <c r="M495" s="582"/>
      <c r="N495" s="585"/>
      <c r="O495" s="580"/>
      <c r="P495" s="593"/>
      <c r="Q495" s="584"/>
      <c r="R495" s="584"/>
      <c r="S495" s="584"/>
      <c r="T495" s="584"/>
      <c r="U495" s="584"/>
      <c r="V495" s="584"/>
      <c r="W495" s="584"/>
      <c r="X495" s="584"/>
      <c r="Y495" s="584"/>
      <c r="Z495" s="584"/>
      <c r="AA495" s="584"/>
      <c r="AB495" s="584"/>
      <c r="AC495" s="584"/>
      <c r="AD495" s="584"/>
      <c r="AE495" s="584"/>
      <c r="AF495" s="584"/>
    </row>
    <row r="496" ht="14.25" customHeight="1">
      <c r="A496" s="579"/>
      <c r="B496" s="580"/>
      <c r="C496" s="581"/>
      <c r="D496" s="581"/>
      <c r="E496" s="581"/>
      <c r="F496" s="580"/>
      <c r="G496" s="589"/>
      <c r="H496" s="589"/>
      <c r="I496" s="580"/>
      <c r="J496" s="580"/>
      <c r="K496" s="580"/>
      <c r="L496" s="582"/>
      <c r="M496" s="582"/>
      <c r="N496" s="585"/>
      <c r="O496" s="580"/>
      <c r="P496" s="593"/>
      <c r="Q496" s="584"/>
      <c r="R496" s="584"/>
      <c r="S496" s="584"/>
      <c r="T496" s="584"/>
      <c r="U496" s="584"/>
      <c r="V496" s="584"/>
      <c r="W496" s="584"/>
      <c r="X496" s="584"/>
      <c r="Y496" s="584"/>
      <c r="Z496" s="584"/>
      <c r="AA496" s="584"/>
      <c r="AB496" s="584"/>
      <c r="AC496" s="584"/>
      <c r="AD496" s="584"/>
      <c r="AE496" s="584"/>
      <c r="AF496" s="584"/>
    </row>
    <row r="497" ht="14.25" customHeight="1">
      <c r="A497" s="579"/>
      <c r="B497" s="580"/>
      <c r="C497" s="581"/>
      <c r="D497" s="581"/>
      <c r="E497" s="581"/>
      <c r="F497" s="580"/>
      <c r="G497" s="589"/>
      <c r="H497" s="589"/>
      <c r="I497" s="580"/>
      <c r="J497" s="580"/>
      <c r="K497" s="580"/>
      <c r="L497" s="582"/>
      <c r="M497" s="582"/>
      <c r="N497" s="585"/>
      <c r="O497" s="580"/>
      <c r="P497" s="593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A497" s="584"/>
      <c r="AB497" s="584"/>
      <c r="AC497" s="584"/>
      <c r="AD497" s="584"/>
      <c r="AE497" s="584"/>
      <c r="AF497" s="584"/>
    </row>
    <row r="498" ht="14.25" customHeight="1">
      <c r="A498" s="579"/>
      <c r="B498" s="580"/>
      <c r="C498" s="581"/>
      <c r="D498" s="581"/>
      <c r="E498" s="581"/>
      <c r="F498" s="580"/>
      <c r="G498" s="589"/>
      <c r="H498" s="589"/>
      <c r="I498" s="580"/>
      <c r="J498" s="580"/>
      <c r="K498" s="580"/>
      <c r="L498" s="582"/>
      <c r="M498" s="582"/>
      <c r="N498" s="585"/>
      <c r="O498" s="580"/>
      <c r="P498" s="593"/>
      <c r="Q498" s="584"/>
      <c r="R498" s="584"/>
      <c r="S498" s="584"/>
      <c r="T498" s="584"/>
      <c r="U498" s="584"/>
      <c r="V498" s="584"/>
      <c r="W498" s="584"/>
      <c r="X498" s="584"/>
      <c r="Y498" s="584"/>
      <c r="Z498" s="584"/>
      <c r="AA498" s="584"/>
      <c r="AB498" s="584"/>
      <c r="AC498" s="584"/>
      <c r="AD498" s="584"/>
      <c r="AE498" s="584"/>
      <c r="AF498" s="584"/>
    </row>
    <row r="499" ht="14.25" customHeight="1">
      <c r="A499" s="579"/>
      <c r="B499" s="580"/>
      <c r="C499" s="581"/>
      <c r="D499" s="581"/>
      <c r="E499" s="581"/>
      <c r="F499" s="580"/>
      <c r="G499" s="589"/>
      <c r="H499" s="589"/>
      <c r="I499" s="580"/>
      <c r="J499" s="580"/>
      <c r="K499" s="580"/>
      <c r="L499" s="582"/>
      <c r="M499" s="582"/>
      <c r="N499" s="585"/>
      <c r="O499" s="580"/>
      <c r="P499" s="593"/>
      <c r="Q499" s="584"/>
      <c r="R499" s="584"/>
      <c r="S499" s="584"/>
      <c r="T499" s="584"/>
      <c r="U499" s="584"/>
      <c r="V499" s="584"/>
      <c r="W499" s="584"/>
      <c r="X499" s="584"/>
      <c r="Y499" s="584"/>
      <c r="Z499" s="584"/>
      <c r="AA499" s="584"/>
      <c r="AB499" s="584"/>
      <c r="AC499" s="584"/>
      <c r="AD499" s="584"/>
      <c r="AE499" s="584"/>
      <c r="AF499" s="584"/>
    </row>
    <row r="500" ht="14.25" customHeight="1">
      <c r="A500" s="579"/>
      <c r="B500" s="580"/>
      <c r="C500" s="581"/>
      <c r="D500" s="581"/>
      <c r="E500" s="581"/>
      <c r="F500" s="580"/>
      <c r="G500" s="589"/>
      <c r="H500" s="589"/>
      <c r="I500" s="580"/>
      <c r="J500" s="580"/>
      <c r="K500" s="580"/>
      <c r="L500" s="582"/>
      <c r="M500" s="582"/>
      <c r="N500" s="585"/>
      <c r="O500" s="580"/>
      <c r="P500" s="593"/>
      <c r="Q500" s="584"/>
      <c r="R500" s="584"/>
      <c r="S500" s="584"/>
      <c r="T500" s="584"/>
      <c r="U500" s="584"/>
      <c r="V500" s="584"/>
      <c r="W500" s="584"/>
      <c r="X500" s="584"/>
      <c r="Y500" s="584"/>
      <c r="Z500" s="584"/>
      <c r="AA500" s="584"/>
      <c r="AB500" s="584"/>
      <c r="AC500" s="584"/>
      <c r="AD500" s="584"/>
      <c r="AE500" s="584"/>
      <c r="AF500" s="584"/>
    </row>
    <row r="501" ht="14.25" customHeight="1">
      <c r="A501" s="579"/>
      <c r="B501" s="580"/>
      <c r="C501" s="581"/>
      <c r="D501" s="581"/>
      <c r="E501" s="581"/>
      <c r="F501" s="580"/>
      <c r="G501" s="589"/>
      <c r="H501" s="589"/>
      <c r="I501" s="580"/>
      <c r="J501" s="580"/>
      <c r="K501" s="580"/>
      <c r="L501" s="582"/>
      <c r="M501" s="582"/>
      <c r="N501" s="585"/>
      <c r="O501" s="580"/>
      <c r="P501" s="593"/>
      <c r="Q501" s="584"/>
      <c r="R501" s="584"/>
      <c r="S501" s="584"/>
      <c r="T501" s="584"/>
      <c r="U501" s="584"/>
      <c r="V501" s="584"/>
      <c r="W501" s="584"/>
      <c r="X501" s="584"/>
      <c r="Y501" s="584"/>
      <c r="Z501" s="584"/>
      <c r="AA501" s="584"/>
      <c r="AB501" s="584"/>
      <c r="AC501" s="584"/>
      <c r="AD501" s="584"/>
      <c r="AE501" s="584"/>
      <c r="AF501" s="584"/>
    </row>
    <row r="502" ht="14.25" customHeight="1">
      <c r="A502" s="579"/>
      <c r="B502" s="580"/>
      <c r="C502" s="581"/>
      <c r="D502" s="581"/>
      <c r="E502" s="581"/>
      <c r="F502" s="580"/>
      <c r="G502" s="589"/>
      <c r="H502" s="589"/>
      <c r="I502" s="580"/>
      <c r="J502" s="580"/>
      <c r="K502" s="580"/>
      <c r="L502" s="582"/>
      <c r="M502" s="582"/>
      <c r="N502" s="585"/>
      <c r="O502" s="580"/>
      <c r="P502" s="593"/>
      <c r="Q502" s="584"/>
      <c r="R502" s="584"/>
      <c r="S502" s="584"/>
      <c r="T502" s="584"/>
      <c r="U502" s="584"/>
      <c r="V502" s="584"/>
      <c r="W502" s="584"/>
      <c r="X502" s="584"/>
      <c r="Y502" s="584"/>
      <c r="Z502" s="584"/>
      <c r="AA502" s="584"/>
      <c r="AB502" s="584"/>
      <c r="AC502" s="584"/>
      <c r="AD502" s="584"/>
      <c r="AE502" s="584"/>
      <c r="AF502" s="584"/>
    </row>
    <row r="503" ht="14.25" customHeight="1">
      <c r="A503" s="579"/>
      <c r="B503" s="580"/>
      <c r="C503" s="581"/>
      <c r="D503" s="581"/>
      <c r="E503" s="581"/>
      <c r="F503" s="580"/>
      <c r="G503" s="589"/>
      <c r="H503" s="589"/>
      <c r="I503" s="580"/>
      <c r="J503" s="580"/>
      <c r="K503" s="580"/>
      <c r="L503" s="582"/>
      <c r="M503" s="582"/>
      <c r="N503" s="585"/>
      <c r="O503" s="580"/>
      <c r="P503" s="593"/>
      <c r="Q503" s="584"/>
      <c r="R503" s="584"/>
      <c r="S503" s="584"/>
      <c r="T503" s="584"/>
      <c r="U503" s="584"/>
      <c r="V503" s="584"/>
      <c r="W503" s="584"/>
      <c r="X503" s="584"/>
      <c r="Y503" s="584"/>
      <c r="Z503" s="584"/>
      <c r="AA503" s="584"/>
      <c r="AB503" s="584"/>
      <c r="AC503" s="584"/>
      <c r="AD503" s="584"/>
      <c r="AE503" s="584"/>
      <c r="AF503" s="584"/>
    </row>
    <row r="504" ht="14.25" customHeight="1">
      <c r="A504" s="579"/>
      <c r="B504" s="580"/>
      <c r="C504" s="581"/>
      <c r="D504" s="581"/>
      <c r="E504" s="581"/>
      <c r="F504" s="580"/>
      <c r="G504" s="589"/>
      <c r="H504" s="589"/>
      <c r="I504" s="580"/>
      <c r="J504" s="580"/>
      <c r="K504" s="580"/>
      <c r="L504" s="582"/>
      <c r="M504" s="582"/>
      <c r="N504" s="585"/>
      <c r="O504" s="580"/>
      <c r="P504" s="593"/>
      <c r="Q504" s="584"/>
      <c r="R504" s="584"/>
      <c r="S504" s="584"/>
      <c r="T504" s="584"/>
      <c r="U504" s="584"/>
      <c r="V504" s="584"/>
      <c r="W504" s="584"/>
      <c r="X504" s="584"/>
      <c r="Y504" s="584"/>
      <c r="Z504" s="584"/>
      <c r="AA504" s="584"/>
      <c r="AB504" s="584"/>
      <c r="AC504" s="584"/>
      <c r="AD504" s="584"/>
      <c r="AE504" s="584"/>
      <c r="AF504" s="584"/>
    </row>
    <row r="505" ht="14.25" customHeight="1">
      <c r="A505" s="579"/>
      <c r="B505" s="580"/>
      <c r="C505" s="581"/>
      <c r="D505" s="581"/>
      <c r="E505" s="581"/>
      <c r="F505" s="580"/>
      <c r="G505" s="589"/>
      <c r="H505" s="589"/>
      <c r="I505" s="580"/>
      <c r="J505" s="580"/>
      <c r="K505" s="580"/>
      <c r="L505" s="582"/>
      <c r="M505" s="582"/>
      <c r="N505" s="585"/>
      <c r="O505" s="580"/>
      <c r="P505" s="593"/>
      <c r="Q505" s="584"/>
      <c r="R505" s="584"/>
      <c r="S505" s="584"/>
      <c r="T505" s="584"/>
      <c r="U505" s="584"/>
      <c r="V505" s="584"/>
      <c r="W505" s="584"/>
      <c r="X505" s="584"/>
      <c r="Y505" s="584"/>
      <c r="Z505" s="584"/>
      <c r="AA505" s="584"/>
      <c r="AB505" s="584"/>
      <c r="AC505" s="584"/>
      <c r="AD505" s="584"/>
      <c r="AE505" s="584"/>
      <c r="AF505" s="584"/>
    </row>
    <row r="506" ht="14.25" customHeight="1">
      <c r="A506" s="579"/>
      <c r="B506" s="580"/>
      <c r="C506" s="581"/>
      <c r="D506" s="581"/>
      <c r="E506" s="581"/>
      <c r="F506" s="580"/>
      <c r="G506" s="589"/>
      <c r="H506" s="589"/>
      <c r="I506" s="580"/>
      <c r="J506" s="580"/>
      <c r="K506" s="580"/>
      <c r="L506" s="582"/>
      <c r="M506" s="582"/>
      <c r="N506" s="585"/>
      <c r="O506" s="580"/>
      <c r="P506" s="593"/>
      <c r="Q506" s="584"/>
      <c r="R506" s="584"/>
      <c r="S506" s="584"/>
      <c r="T506" s="584"/>
      <c r="U506" s="584"/>
      <c r="V506" s="584"/>
      <c r="W506" s="584"/>
      <c r="X506" s="584"/>
      <c r="Y506" s="584"/>
      <c r="Z506" s="584"/>
      <c r="AA506" s="584"/>
      <c r="AB506" s="584"/>
      <c r="AC506" s="584"/>
      <c r="AD506" s="584"/>
      <c r="AE506" s="584"/>
      <c r="AF506" s="584"/>
    </row>
    <row r="507" ht="14.25" customHeight="1">
      <c r="A507" s="579"/>
      <c r="B507" s="580"/>
      <c r="C507" s="581"/>
      <c r="D507" s="581"/>
      <c r="E507" s="581"/>
      <c r="F507" s="580"/>
      <c r="G507" s="589"/>
      <c r="H507" s="589"/>
      <c r="I507" s="580"/>
      <c r="J507" s="580"/>
      <c r="K507" s="580"/>
      <c r="L507" s="582"/>
      <c r="M507" s="582"/>
      <c r="N507" s="585"/>
      <c r="O507" s="580"/>
      <c r="P507" s="593"/>
      <c r="Q507" s="584"/>
      <c r="R507" s="584"/>
      <c r="S507" s="584"/>
      <c r="T507" s="584"/>
      <c r="U507" s="584"/>
      <c r="V507" s="584"/>
      <c r="W507" s="584"/>
      <c r="X507" s="584"/>
      <c r="Y507" s="584"/>
      <c r="Z507" s="584"/>
      <c r="AA507" s="584"/>
      <c r="AB507" s="584"/>
      <c r="AC507" s="584"/>
      <c r="AD507" s="584"/>
      <c r="AE507" s="584"/>
      <c r="AF507" s="584"/>
    </row>
    <row r="508" ht="14.25" customHeight="1">
      <c r="A508" s="579"/>
      <c r="B508" s="580"/>
      <c r="C508" s="581"/>
      <c r="D508" s="581"/>
      <c r="E508" s="581"/>
      <c r="F508" s="580"/>
      <c r="G508" s="589"/>
      <c r="H508" s="589"/>
      <c r="I508" s="580"/>
      <c r="J508" s="580"/>
      <c r="K508" s="580"/>
      <c r="L508" s="582"/>
      <c r="M508" s="582"/>
      <c r="N508" s="585"/>
      <c r="O508" s="580"/>
      <c r="P508" s="593"/>
      <c r="Q508" s="584"/>
      <c r="R508" s="584"/>
      <c r="S508" s="584"/>
      <c r="T508" s="584"/>
      <c r="U508" s="584"/>
      <c r="V508" s="584"/>
      <c r="W508" s="584"/>
      <c r="X508" s="584"/>
      <c r="Y508" s="584"/>
      <c r="Z508" s="584"/>
      <c r="AA508" s="584"/>
      <c r="AB508" s="584"/>
      <c r="AC508" s="584"/>
      <c r="AD508" s="584"/>
      <c r="AE508" s="584"/>
      <c r="AF508" s="584"/>
    </row>
    <row r="509" ht="14.25" customHeight="1">
      <c r="A509" s="579"/>
      <c r="B509" s="580"/>
      <c r="C509" s="581"/>
      <c r="D509" s="581"/>
      <c r="E509" s="581"/>
      <c r="F509" s="580"/>
      <c r="G509" s="589"/>
      <c r="H509" s="589"/>
      <c r="I509" s="580"/>
      <c r="J509" s="580"/>
      <c r="K509" s="580"/>
      <c r="L509" s="582"/>
      <c r="M509" s="582"/>
      <c r="N509" s="585"/>
      <c r="O509" s="580"/>
      <c r="P509" s="593"/>
      <c r="Q509" s="584"/>
      <c r="R509" s="584"/>
      <c r="S509" s="584"/>
      <c r="T509" s="584"/>
      <c r="U509" s="584"/>
      <c r="V509" s="584"/>
      <c r="W509" s="584"/>
      <c r="X509" s="584"/>
      <c r="Y509" s="584"/>
      <c r="Z509" s="584"/>
      <c r="AA509" s="584"/>
      <c r="AB509" s="584"/>
      <c r="AC509" s="584"/>
      <c r="AD509" s="584"/>
      <c r="AE509" s="584"/>
      <c r="AF509" s="584"/>
    </row>
    <row r="510" ht="14.25" customHeight="1">
      <c r="A510" s="579"/>
      <c r="B510" s="580"/>
      <c r="C510" s="581"/>
      <c r="D510" s="581"/>
      <c r="E510" s="581"/>
      <c r="F510" s="580"/>
      <c r="G510" s="589"/>
      <c r="H510" s="589"/>
      <c r="I510" s="580"/>
      <c r="J510" s="580"/>
      <c r="K510" s="580"/>
      <c r="L510" s="582"/>
      <c r="M510" s="582"/>
      <c r="N510" s="585"/>
      <c r="O510" s="580"/>
      <c r="P510" s="593"/>
      <c r="Q510" s="584"/>
      <c r="R510" s="584"/>
      <c r="S510" s="584"/>
      <c r="T510" s="584"/>
      <c r="U510" s="584"/>
      <c r="V510" s="584"/>
      <c r="W510" s="584"/>
      <c r="X510" s="584"/>
      <c r="Y510" s="584"/>
      <c r="Z510" s="584"/>
      <c r="AA510" s="584"/>
      <c r="AB510" s="584"/>
      <c r="AC510" s="584"/>
      <c r="AD510" s="584"/>
      <c r="AE510" s="584"/>
      <c r="AF510" s="584"/>
    </row>
    <row r="511" ht="14.25" customHeight="1">
      <c r="A511" s="579"/>
      <c r="B511" s="580"/>
      <c r="C511" s="581"/>
      <c r="D511" s="581"/>
      <c r="E511" s="581"/>
      <c r="F511" s="580"/>
      <c r="G511" s="589"/>
      <c r="H511" s="589"/>
      <c r="I511" s="580"/>
      <c r="J511" s="580"/>
      <c r="K511" s="580"/>
      <c r="L511" s="582"/>
      <c r="M511" s="582"/>
      <c r="N511" s="585"/>
      <c r="O511" s="580"/>
      <c r="P511" s="593"/>
      <c r="Q511" s="584"/>
      <c r="R511" s="584"/>
      <c r="S511" s="584"/>
      <c r="T511" s="584"/>
      <c r="U511" s="584"/>
      <c r="V511" s="584"/>
      <c r="W511" s="584"/>
      <c r="X511" s="584"/>
      <c r="Y511" s="584"/>
      <c r="Z511" s="584"/>
      <c r="AA511" s="584"/>
      <c r="AB511" s="584"/>
      <c r="AC511" s="584"/>
      <c r="AD511" s="584"/>
      <c r="AE511" s="584"/>
      <c r="AF511" s="584"/>
    </row>
    <row r="512" ht="14.25" customHeight="1">
      <c r="A512" s="579"/>
      <c r="B512" s="580"/>
      <c r="C512" s="581"/>
      <c r="D512" s="581"/>
      <c r="E512" s="581"/>
      <c r="F512" s="580"/>
      <c r="G512" s="589"/>
      <c r="H512" s="589"/>
      <c r="I512" s="580"/>
      <c r="J512" s="580"/>
      <c r="K512" s="580"/>
      <c r="L512" s="582"/>
      <c r="M512" s="582"/>
      <c r="N512" s="585"/>
      <c r="O512" s="580"/>
      <c r="P512" s="593"/>
      <c r="Q512" s="584"/>
      <c r="R512" s="584"/>
      <c r="S512" s="584"/>
      <c r="T512" s="584"/>
      <c r="U512" s="584"/>
      <c r="V512" s="584"/>
      <c r="W512" s="584"/>
      <c r="X512" s="584"/>
      <c r="Y512" s="584"/>
      <c r="Z512" s="584"/>
      <c r="AA512" s="584"/>
      <c r="AB512" s="584"/>
      <c r="AC512" s="584"/>
      <c r="AD512" s="584"/>
      <c r="AE512" s="584"/>
      <c r="AF512" s="584"/>
    </row>
    <row r="513" ht="14.25" customHeight="1">
      <c r="A513" s="579"/>
      <c r="B513" s="580"/>
      <c r="C513" s="581"/>
      <c r="D513" s="581"/>
      <c r="E513" s="581"/>
      <c r="F513" s="580"/>
      <c r="G513" s="589"/>
      <c r="H513" s="589"/>
      <c r="I513" s="580"/>
      <c r="J513" s="580"/>
      <c r="K513" s="580"/>
      <c r="L513" s="582"/>
      <c r="M513" s="582"/>
      <c r="N513" s="585"/>
      <c r="O513" s="580"/>
      <c r="P513" s="593"/>
      <c r="Q513" s="584"/>
      <c r="R513" s="584"/>
      <c r="S513" s="584"/>
      <c r="T513" s="584"/>
      <c r="U513" s="584"/>
      <c r="V513" s="584"/>
      <c r="W513" s="584"/>
      <c r="X513" s="584"/>
      <c r="Y513" s="584"/>
      <c r="Z513" s="584"/>
      <c r="AA513" s="584"/>
      <c r="AB513" s="584"/>
      <c r="AC513" s="584"/>
      <c r="AD513" s="584"/>
      <c r="AE513" s="584"/>
      <c r="AF513" s="584"/>
    </row>
    <row r="514" ht="14.25" customHeight="1">
      <c r="A514" s="579"/>
      <c r="B514" s="580"/>
      <c r="C514" s="581"/>
      <c r="D514" s="581"/>
      <c r="E514" s="581"/>
      <c r="F514" s="580"/>
      <c r="G514" s="589"/>
      <c r="H514" s="589"/>
      <c r="I514" s="580"/>
      <c r="J514" s="580"/>
      <c r="K514" s="580"/>
      <c r="L514" s="582"/>
      <c r="M514" s="582"/>
      <c r="N514" s="585"/>
      <c r="O514" s="580"/>
      <c r="P514" s="593"/>
      <c r="Q514" s="584"/>
      <c r="R514" s="584"/>
      <c r="S514" s="584"/>
      <c r="T514" s="584"/>
      <c r="U514" s="584"/>
      <c r="V514" s="584"/>
      <c r="W514" s="584"/>
      <c r="X514" s="584"/>
      <c r="Y514" s="584"/>
      <c r="Z514" s="584"/>
      <c r="AA514" s="584"/>
      <c r="AB514" s="584"/>
      <c r="AC514" s="584"/>
      <c r="AD514" s="584"/>
      <c r="AE514" s="584"/>
      <c r="AF514" s="584"/>
    </row>
    <row r="515" ht="14.25" customHeight="1">
      <c r="A515" s="579"/>
      <c r="B515" s="580"/>
      <c r="C515" s="581"/>
      <c r="D515" s="581"/>
      <c r="E515" s="581"/>
      <c r="F515" s="580"/>
      <c r="G515" s="589"/>
      <c r="H515" s="589"/>
      <c r="I515" s="580"/>
      <c r="J515" s="580"/>
      <c r="K515" s="580"/>
      <c r="L515" s="582"/>
      <c r="M515" s="582"/>
      <c r="N515" s="585"/>
      <c r="O515" s="580"/>
      <c r="P515" s="593"/>
      <c r="Q515" s="584"/>
      <c r="R515" s="584"/>
      <c r="S515" s="584"/>
      <c r="T515" s="584"/>
      <c r="U515" s="584"/>
      <c r="V515" s="584"/>
      <c r="W515" s="584"/>
      <c r="X515" s="584"/>
      <c r="Y515" s="584"/>
      <c r="Z515" s="584"/>
      <c r="AA515" s="584"/>
      <c r="AB515" s="584"/>
      <c r="AC515" s="584"/>
      <c r="AD515" s="584"/>
      <c r="AE515" s="584"/>
      <c r="AF515" s="584"/>
    </row>
    <row r="516" ht="14.25" customHeight="1">
      <c r="A516" s="579"/>
      <c r="B516" s="580"/>
      <c r="C516" s="581"/>
      <c r="D516" s="581"/>
      <c r="E516" s="581"/>
      <c r="F516" s="580"/>
      <c r="G516" s="589"/>
      <c r="H516" s="589"/>
      <c r="I516" s="580"/>
      <c r="J516" s="580"/>
      <c r="K516" s="580"/>
      <c r="L516" s="582"/>
      <c r="M516" s="582"/>
      <c r="N516" s="585"/>
      <c r="O516" s="580"/>
      <c r="P516" s="593"/>
      <c r="Q516" s="584"/>
      <c r="R516" s="584"/>
      <c r="S516" s="584"/>
      <c r="T516" s="584"/>
      <c r="U516" s="584"/>
      <c r="V516" s="584"/>
      <c r="W516" s="584"/>
      <c r="X516" s="584"/>
      <c r="Y516" s="584"/>
      <c r="Z516" s="584"/>
      <c r="AA516" s="584"/>
      <c r="AB516" s="584"/>
      <c r="AC516" s="584"/>
      <c r="AD516" s="584"/>
      <c r="AE516" s="584"/>
      <c r="AF516" s="584"/>
    </row>
    <row r="517" ht="14.25" customHeight="1">
      <c r="A517" s="579"/>
      <c r="B517" s="580"/>
      <c r="C517" s="581"/>
      <c r="D517" s="581"/>
      <c r="E517" s="581"/>
      <c r="F517" s="580"/>
      <c r="G517" s="589"/>
      <c r="H517" s="589"/>
      <c r="I517" s="580"/>
      <c r="J517" s="580"/>
      <c r="K517" s="580"/>
      <c r="L517" s="582"/>
      <c r="M517" s="582"/>
      <c r="N517" s="585"/>
      <c r="O517" s="580"/>
      <c r="P517" s="593"/>
      <c r="Q517" s="584"/>
      <c r="R517" s="584"/>
      <c r="S517" s="584"/>
      <c r="T517" s="584"/>
      <c r="U517" s="584"/>
      <c r="V517" s="584"/>
      <c r="W517" s="584"/>
      <c r="X517" s="584"/>
      <c r="Y517" s="584"/>
      <c r="Z517" s="584"/>
      <c r="AA517" s="584"/>
      <c r="AB517" s="584"/>
      <c r="AC517" s="584"/>
      <c r="AD517" s="584"/>
      <c r="AE517" s="584"/>
      <c r="AF517" s="584"/>
    </row>
    <row r="518" ht="14.25" customHeight="1">
      <c r="A518" s="579"/>
      <c r="B518" s="580"/>
      <c r="C518" s="581"/>
      <c r="D518" s="581"/>
      <c r="E518" s="581"/>
      <c r="F518" s="580"/>
      <c r="G518" s="589"/>
      <c r="H518" s="589"/>
      <c r="I518" s="580"/>
      <c r="J518" s="580"/>
      <c r="K518" s="580"/>
      <c r="L518" s="582"/>
      <c r="M518" s="582"/>
      <c r="N518" s="585"/>
      <c r="O518" s="580"/>
      <c r="P518" s="593"/>
      <c r="Q518" s="584"/>
      <c r="R518" s="584"/>
      <c r="S518" s="584"/>
      <c r="T518" s="584"/>
      <c r="U518" s="584"/>
      <c r="V518" s="584"/>
      <c r="W518" s="584"/>
      <c r="X518" s="584"/>
      <c r="Y518" s="584"/>
      <c r="Z518" s="584"/>
      <c r="AA518" s="584"/>
      <c r="AB518" s="584"/>
      <c r="AC518" s="584"/>
      <c r="AD518" s="584"/>
      <c r="AE518" s="584"/>
      <c r="AF518" s="584"/>
    </row>
    <row r="519" ht="14.25" customHeight="1">
      <c r="A519" s="579"/>
      <c r="B519" s="580"/>
      <c r="C519" s="581"/>
      <c r="D519" s="581"/>
      <c r="E519" s="581"/>
      <c r="F519" s="580"/>
      <c r="G519" s="589"/>
      <c r="H519" s="589"/>
      <c r="I519" s="580"/>
      <c r="J519" s="580"/>
      <c r="K519" s="580"/>
      <c r="L519" s="582"/>
      <c r="M519" s="582"/>
      <c r="N519" s="585"/>
      <c r="O519" s="580"/>
      <c r="P519" s="593"/>
      <c r="Q519" s="584"/>
      <c r="R519" s="584"/>
      <c r="S519" s="584"/>
      <c r="T519" s="584"/>
      <c r="U519" s="584"/>
      <c r="V519" s="584"/>
      <c r="W519" s="584"/>
      <c r="X519" s="584"/>
      <c r="Y519" s="584"/>
      <c r="Z519" s="584"/>
      <c r="AA519" s="584"/>
      <c r="AB519" s="584"/>
      <c r="AC519" s="584"/>
      <c r="AD519" s="584"/>
      <c r="AE519" s="584"/>
      <c r="AF519" s="584"/>
    </row>
    <row r="520" ht="14.25" customHeight="1">
      <c r="A520" s="579"/>
      <c r="B520" s="580"/>
      <c r="C520" s="581"/>
      <c r="D520" s="581"/>
      <c r="E520" s="581"/>
      <c r="F520" s="580"/>
      <c r="G520" s="589"/>
      <c r="H520" s="589"/>
      <c r="I520" s="580"/>
      <c r="J520" s="580"/>
      <c r="K520" s="580"/>
      <c r="L520" s="582"/>
      <c r="M520" s="582"/>
      <c r="N520" s="585"/>
      <c r="O520" s="580"/>
      <c r="P520" s="593"/>
      <c r="Q520" s="584"/>
      <c r="R520" s="584"/>
      <c r="S520" s="584"/>
      <c r="T520" s="584"/>
      <c r="U520" s="584"/>
      <c r="V520" s="584"/>
      <c r="W520" s="584"/>
      <c r="X520" s="584"/>
      <c r="Y520" s="584"/>
      <c r="Z520" s="584"/>
      <c r="AA520" s="584"/>
      <c r="AB520" s="584"/>
      <c r="AC520" s="584"/>
      <c r="AD520" s="584"/>
      <c r="AE520" s="584"/>
      <c r="AF520" s="584"/>
    </row>
    <row r="521" ht="14.25" customHeight="1">
      <c r="A521" s="579"/>
      <c r="B521" s="580"/>
      <c r="C521" s="581"/>
      <c r="D521" s="581"/>
      <c r="E521" s="581"/>
      <c r="F521" s="580"/>
      <c r="G521" s="589"/>
      <c r="H521" s="589"/>
      <c r="I521" s="580"/>
      <c r="J521" s="580"/>
      <c r="K521" s="580"/>
      <c r="L521" s="582"/>
      <c r="M521" s="582"/>
      <c r="N521" s="585"/>
      <c r="O521" s="580"/>
      <c r="P521" s="593"/>
      <c r="Q521" s="584"/>
      <c r="R521" s="584"/>
      <c r="S521" s="584"/>
      <c r="T521" s="584"/>
      <c r="U521" s="584"/>
      <c r="V521" s="584"/>
      <c r="W521" s="584"/>
      <c r="X521" s="584"/>
      <c r="Y521" s="584"/>
      <c r="Z521" s="584"/>
      <c r="AA521" s="584"/>
      <c r="AB521" s="584"/>
      <c r="AC521" s="584"/>
      <c r="AD521" s="584"/>
      <c r="AE521" s="584"/>
      <c r="AF521" s="584"/>
    </row>
    <row r="522" ht="14.25" customHeight="1">
      <c r="A522" s="579"/>
      <c r="B522" s="580"/>
      <c r="C522" s="581"/>
      <c r="D522" s="581"/>
      <c r="E522" s="581"/>
      <c r="F522" s="580"/>
      <c r="G522" s="589"/>
      <c r="H522" s="589"/>
      <c r="I522" s="580"/>
      <c r="J522" s="580"/>
      <c r="K522" s="580"/>
      <c r="L522" s="582"/>
      <c r="M522" s="582"/>
      <c r="N522" s="585"/>
      <c r="O522" s="580"/>
      <c r="P522" s="593"/>
      <c r="Q522" s="584"/>
      <c r="R522" s="584"/>
      <c r="S522" s="584"/>
      <c r="T522" s="584"/>
      <c r="U522" s="584"/>
      <c r="V522" s="584"/>
      <c r="W522" s="584"/>
      <c r="X522" s="584"/>
      <c r="Y522" s="584"/>
      <c r="Z522" s="584"/>
      <c r="AA522" s="584"/>
      <c r="AB522" s="584"/>
      <c r="AC522" s="584"/>
      <c r="AD522" s="584"/>
      <c r="AE522" s="584"/>
      <c r="AF522" s="584"/>
    </row>
    <row r="523" ht="14.25" customHeight="1">
      <c r="A523" s="579"/>
      <c r="B523" s="580"/>
      <c r="C523" s="581"/>
      <c r="D523" s="581"/>
      <c r="E523" s="581"/>
      <c r="F523" s="580"/>
      <c r="G523" s="589"/>
      <c r="H523" s="589"/>
      <c r="I523" s="580"/>
      <c r="J523" s="580"/>
      <c r="K523" s="580"/>
      <c r="L523" s="582"/>
      <c r="M523" s="582"/>
      <c r="N523" s="585"/>
      <c r="O523" s="580"/>
      <c r="P523" s="593"/>
      <c r="Q523" s="584"/>
      <c r="R523" s="584"/>
      <c r="S523" s="584"/>
      <c r="T523" s="584"/>
      <c r="U523" s="584"/>
      <c r="V523" s="584"/>
      <c r="W523" s="584"/>
      <c r="X523" s="584"/>
      <c r="Y523" s="584"/>
      <c r="Z523" s="584"/>
      <c r="AA523" s="584"/>
      <c r="AB523" s="584"/>
      <c r="AC523" s="584"/>
      <c r="AD523" s="584"/>
      <c r="AE523" s="584"/>
      <c r="AF523" s="584"/>
    </row>
    <row r="524" ht="14.25" customHeight="1">
      <c r="A524" s="579"/>
      <c r="B524" s="580"/>
      <c r="C524" s="581"/>
      <c r="D524" s="581"/>
      <c r="E524" s="581"/>
      <c r="F524" s="580"/>
      <c r="G524" s="589"/>
      <c r="H524" s="589"/>
      <c r="I524" s="580"/>
      <c r="J524" s="580"/>
      <c r="K524" s="580"/>
      <c r="L524" s="582"/>
      <c r="M524" s="582"/>
      <c r="N524" s="585"/>
      <c r="O524" s="580"/>
      <c r="P524" s="593"/>
      <c r="Q524" s="584"/>
      <c r="R524" s="584"/>
      <c r="S524" s="584"/>
      <c r="T524" s="584"/>
      <c r="U524" s="584"/>
      <c r="V524" s="584"/>
      <c r="W524" s="584"/>
      <c r="X524" s="584"/>
      <c r="Y524" s="584"/>
      <c r="Z524" s="584"/>
      <c r="AA524" s="584"/>
      <c r="AB524" s="584"/>
      <c r="AC524" s="584"/>
      <c r="AD524" s="584"/>
      <c r="AE524" s="584"/>
      <c r="AF524" s="584"/>
    </row>
    <row r="525" ht="14.25" customHeight="1">
      <c r="A525" s="579"/>
      <c r="B525" s="580"/>
      <c r="C525" s="581"/>
      <c r="D525" s="581"/>
      <c r="E525" s="581"/>
      <c r="F525" s="580"/>
      <c r="G525" s="589"/>
      <c r="H525" s="589"/>
      <c r="I525" s="580"/>
      <c r="J525" s="580"/>
      <c r="K525" s="580"/>
      <c r="L525" s="582"/>
      <c r="M525" s="582"/>
      <c r="N525" s="585"/>
      <c r="O525" s="580"/>
      <c r="P525" s="593"/>
      <c r="Q525" s="584"/>
      <c r="R525" s="584"/>
      <c r="S525" s="584"/>
      <c r="T525" s="584"/>
      <c r="U525" s="584"/>
      <c r="V525" s="584"/>
      <c r="W525" s="584"/>
      <c r="X525" s="584"/>
      <c r="Y525" s="584"/>
      <c r="Z525" s="584"/>
      <c r="AA525" s="584"/>
      <c r="AB525" s="584"/>
      <c r="AC525" s="584"/>
      <c r="AD525" s="584"/>
      <c r="AE525" s="584"/>
      <c r="AF525" s="584"/>
    </row>
    <row r="526" ht="14.25" customHeight="1">
      <c r="A526" s="579"/>
      <c r="B526" s="580"/>
      <c r="C526" s="581"/>
      <c r="D526" s="581"/>
      <c r="E526" s="581"/>
      <c r="F526" s="580"/>
      <c r="G526" s="589"/>
      <c r="H526" s="589"/>
      <c r="I526" s="580"/>
      <c r="J526" s="580"/>
      <c r="K526" s="580"/>
      <c r="L526" s="582"/>
      <c r="M526" s="582"/>
      <c r="N526" s="585"/>
      <c r="O526" s="580"/>
      <c r="P526" s="593"/>
      <c r="Q526" s="584"/>
      <c r="R526" s="584"/>
      <c r="S526" s="584"/>
      <c r="T526" s="584"/>
      <c r="U526" s="584"/>
      <c r="V526" s="584"/>
      <c r="W526" s="584"/>
      <c r="X526" s="584"/>
      <c r="Y526" s="584"/>
      <c r="Z526" s="584"/>
      <c r="AA526" s="584"/>
      <c r="AB526" s="584"/>
      <c r="AC526" s="584"/>
      <c r="AD526" s="584"/>
      <c r="AE526" s="584"/>
      <c r="AF526" s="584"/>
    </row>
    <row r="527" ht="14.25" customHeight="1">
      <c r="A527" s="579"/>
      <c r="B527" s="580"/>
      <c r="C527" s="581"/>
      <c r="D527" s="581"/>
      <c r="E527" s="581"/>
      <c r="F527" s="580"/>
      <c r="G527" s="589"/>
      <c r="H527" s="589"/>
      <c r="I527" s="580"/>
      <c r="J527" s="580"/>
      <c r="K527" s="580"/>
      <c r="L527" s="582"/>
      <c r="M527" s="582"/>
      <c r="N527" s="585"/>
      <c r="O527" s="580"/>
      <c r="P527" s="593"/>
      <c r="Q527" s="584"/>
      <c r="R527" s="584"/>
      <c r="S527" s="584"/>
      <c r="T527" s="584"/>
      <c r="U527" s="584"/>
      <c r="V527" s="584"/>
      <c r="W527" s="584"/>
      <c r="X527" s="584"/>
      <c r="Y527" s="584"/>
      <c r="Z527" s="584"/>
      <c r="AA527" s="584"/>
      <c r="AB527" s="584"/>
      <c r="AC527" s="584"/>
      <c r="AD527" s="584"/>
      <c r="AE527" s="584"/>
      <c r="AF527" s="584"/>
    </row>
    <row r="528" ht="14.25" customHeight="1">
      <c r="A528" s="579"/>
      <c r="B528" s="580"/>
      <c r="C528" s="581"/>
      <c r="D528" s="581"/>
      <c r="E528" s="581"/>
      <c r="F528" s="580"/>
      <c r="G528" s="589"/>
      <c r="H528" s="589"/>
      <c r="I528" s="580"/>
      <c r="J528" s="580"/>
      <c r="K528" s="580"/>
      <c r="L528" s="582"/>
      <c r="M528" s="582"/>
      <c r="N528" s="585"/>
      <c r="O528" s="580"/>
      <c r="P528" s="593"/>
      <c r="Q528" s="584"/>
      <c r="R528" s="584"/>
      <c r="S528" s="584"/>
      <c r="T528" s="584"/>
      <c r="U528" s="584"/>
      <c r="V528" s="584"/>
      <c r="W528" s="584"/>
      <c r="X528" s="584"/>
      <c r="Y528" s="584"/>
      <c r="Z528" s="584"/>
      <c r="AA528" s="584"/>
      <c r="AB528" s="584"/>
      <c r="AC528" s="584"/>
      <c r="AD528" s="584"/>
      <c r="AE528" s="584"/>
      <c r="AF528" s="584"/>
    </row>
    <row r="529" ht="14.25" customHeight="1">
      <c r="A529" s="579"/>
      <c r="B529" s="580"/>
      <c r="C529" s="581"/>
      <c r="D529" s="581"/>
      <c r="E529" s="581"/>
      <c r="F529" s="580"/>
      <c r="G529" s="589"/>
      <c r="H529" s="589"/>
      <c r="I529" s="580"/>
      <c r="J529" s="580"/>
      <c r="K529" s="580"/>
      <c r="L529" s="582"/>
      <c r="M529" s="582"/>
      <c r="N529" s="585"/>
      <c r="O529" s="580"/>
      <c r="P529" s="593"/>
      <c r="Q529" s="584"/>
      <c r="R529" s="584"/>
      <c r="S529" s="584"/>
      <c r="T529" s="584"/>
      <c r="U529" s="584"/>
      <c r="V529" s="584"/>
      <c r="W529" s="584"/>
      <c r="X529" s="584"/>
      <c r="Y529" s="584"/>
      <c r="Z529" s="584"/>
      <c r="AA529" s="584"/>
      <c r="AB529" s="584"/>
      <c r="AC529" s="584"/>
      <c r="AD529" s="584"/>
      <c r="AE529" s="584"/>
      <c r="AF529" s="584"/>
    </row>
    <row r="530" ht="14.25" customHeight="1">
      <c r="A530" s="579"/>
      <c r="B530" s="580"/>
      <c r="C530" s="581"/>
      <c r="D530" s="581"/>
      <c r="E530" s="581"/>
      <c r="F530" s="580"/>
      <c r="G530" s="589"/>
      <c r="H530" s="589"/>
      <c r="I530" s="580"/>
      <c r="J530" s="580"/>
      <c r="K530" s="580"/>
      <c r="L530" s="582"/>
      <c r="M530" s="582"/>
      <c r="N530" s="585"/>
      <c r="O530" s="580"/>
      <c r="P530" s="593"/>
      <c r="Q530" s="584"/>
      <c r="R530" s="584"/>
      <c r="S530" s="584"/>
      <c r="T530" s="584"/>
      <c r="U530" s="584"/>
      <c r="V530" s="584"/>
      <c r="W530" s="584"/>
      <c r="X530" s="584"/>
      <c r="Y530" s="584"/>
      <c r="Z530" s="584"/>
      <c r="AA530" s="584"/>
      <c r="AB530" s="584"/>
      <c r="AC530" s="584"/>
      <c r="AD530" s="584"/>
      <c r="AE530" s="584"/>
      <c r="AF530" s="584"/>
    </row>
    <row r="531" ht="14.25" customHeight="1">
      <c r="A531" s="579"/>
      <c r="B531" s="580"/>
      <c r="C531" s="581"/>
      <c r="D531" s="581"/>
      <c r="E531" s="581"/>
      <c r="F531" s="580"/>
      <c r="G531" s="589"/>
      <c r="H531" s="589"/>
      <c r="I531" s="580"/>
      <c r="J531" s="580"/>
      <c r="K531" s="580"/>
      <c r="L531" s="582"/>
      <c r="M531" s="582"/>
      <c r="N531" s="585"/>
      <c r="O531" s="580"/>
      <c r="P531" s="593"/>
      <c r="Q531" s="584"/>
      <c r="R531" s="584"/>
      <c r="S531" s="584"/>
      <c r="T531" s="584"/>
      <c r="U531" s="584"/>
      <c r="V531" s="584"/>
      <c r="W531" s="584"/>
      <c r="X531" s="584"/>
      <c r="Y531" s="584"/>
      <c r="Z531" s="584"/>
      <c r="AA531" s="584"/>
      <c r="AB531" s="584"/>
      <c r="AC531" s="584"/>
      <c r="AD531" s="584"/>
      <c r="AE531" s="584"/>
      <c r="AF531" s="584"/>
    </row>
    <row r="532" ht="14.25" customHeight="1">
      <c r="A532" s="579"/>
      <c r="B532" s="580"/>
      <c r="C532" s="581"/>
      <c r="D532" s="581"/>
      <c r="E532" s="581"/>
      <c r="F532" s="580"/>
      <c r="G532" s="589"/>
      <c r="H532" s="589"/>
      <c r="I532" s="580"/>
      <c r="J532" s="580"/>
      <c r="K532" s="580"/>
      <c r="L532" s="582"/>
      <c r="M532" s="582"/>
      <c r="N532" s="585"/>
      <c r="O532" s="580"/>
      <c r="P532" s="593"/>
      <c r="Q532" s="584"/>
      <c r="R532" s="584"/>
      <c r="S532" s="584"/>
      <c r="T532" s="584"/>
      <c r="U532" s="584"/>
      <c r="V532" s="584"/>
      <c r="W532" s="584"/>
      <c r="X532" s="584"/>
      <c r="Y532" s="584"/>
      <c r="Z532" s="584"/>
      <c r="AA532" s="584"/>
      <c r="AB532" s="584"/>
      <c r="AC532" s="584"/>
      <c r="AD532" s="584"/>
      <c r="AE532" s="584"/>
      <c r="AF532" s="584"/>
    </row>
    <row r="533" ht="14.25" customHeight="1">
      <c r="A533" s="579"/>
      <c r="B533" s="580"/>
      <c r="C533" s="581"/>
      <c r="D533" s="581"/>
      <c r="E533" s="581"/>
      <c r="F533" s="580"/>
      <c r="G533" s="589"/>
      <c r="H533" s="589"/>
      <c r="I533" s="580"/>
      <c r="J533" s="580"/>
      <c r="K533" s="580"/>
      <c r="L533" s="582"/>
      <c r="M533" s="582"/>
      <c r="N533" s="585"/>
      <c r="O533" s="580"/>
      <c r="P533" s="593"/>
      <c r="Q533" s="584"/>
      <c r="R533" s="584"/>
      <c r="S533" s="584"/>
      <c r="T533" s="584"/>
      <c r="U533" s="584"/>
      <c r="V533" s="584"/>
      <c r="W533" s="584"/>
      <c r="X533" s="584"/>
      <c r="Y533" s="584"/>
      <c r="Z533" s="584"/>
      <c r="AA533" s="584"/>
      <c r="AB533" s="584"/>
      <c r="AC533" s="584"/>
      <c r="AD533" s="584"/>
      <c r="AE533" s="584"/>
      <c r="AF533" s="584"/>
    </row>
    <row r="534" ht="14.25" customHeight="1">
      <c r="A534" s="579"/>
      <c r="B534" s="580"/>
      <c r="C534" s="581"/>
      <c r="D534" s="581"/>
      <c r="E534" s="581"/>
      <c r="F534" s="580"/>
      <c r="G534" s="589"/>
      <c r="H534" s="589"/>
      <c r="I534" s="580"/>
      <c r="J534" s="580"/>
      <c r="K534" s="580"/>
      <c r="L534" s="582"/>
      <c r="M534" s="582"/>
      <c r="N534" s="585"/>
      <c r="O534" s="580"/>
      <c r="P534" s="593"/>
      <c r="Q534" s="584"/>
      <c r="R534" s="584"/>
      <c r="S534" s="584"/>
      <c r="T534" s="584"/>
      <c r="U534" s="584"/>
      <c r="V534" s="584"/>
      <c r="W534" s="584"/>
      <c r="X534" s="584"/>
      <c r="Y534" s="584"/>
      <c r="Z534" s="584"/>
      <c r="AA534" s="584"/>
      <c r="AB534" s="584"/>
      <c r="AC534" s="584"/>
      <c r="AD534" s="584"/>
      <c r="AE534" s="584"/>
      <c r="AF534" s="584"/>
    </row>
    <row r="535" ht="14.25" customHeight="1">
      <c r="A535" s="579"/>
      <c r="B535" s="580"/>
      <c r="C535" s="581"/>
      <c r="D535" s="581"/>
      <c r="E535" s="581"/>
      <c r="F535" s="580"/>
      <c r="G535" s="589"/>
      <c r="H535" s="589"/>
      <c r="I535" s="580"/>
      <c r="J535" s="580"/>
      <c r="K535" s="580"/>
      <c r="L535" s="582"/>
      <c r="M535" s="582"/>
      <c r="N535" s="585"/>
      <c r="O535" s="580"/>
      <c r="P535" s="593"/>
      <c r="Q535" s="584"/>
      <c r="R535" s="584"/>
      <c r="S535" s="584"/>
      <c r="T535" s="584"/>
      <c r="U535" s="584"/>
      <c r="V535" s="584"/>
      <c r="W535" s="584"/>
      <c r="X535" s="584"/>
      <c r="Y535" s="584"/>
      <c r="Z535" s="584"/>
      <c r="AA535" s="584"/>
      <c r="AB535" s="584"/>
      <c r="AC535" s="584"/>
      <c r="AD535" s="584"/>
      <c r="AE535" s="584"/>
      <c r="AF535" s="584"/>
    </row>
    <row r="536" ht="14.25" customHeight="1">
      <c r="A536" s="579"/>
      <c r="B536" s="580"/>
      <c r="C536" s="581"/>
      <c r="D536" s="581"/>
      <c r="E536" s="581"/>
      <c r="F536" s="580"/>
      <c r="G536" s="589"/>
      <c r="H536" s="589"/>
      <c r="I536" s="580"/>
      <c r="J536" s="580"/>
      <c r="K536" s="580"/>
      <c r="L536" s="582"/>
      <c r="M536" s="582"/>
      <c r="N536" s="585"/>
      <c r="O536" s="580"/>
      <c r="P536" s="593"/>
      <c r="Q536" s="584"/>
      <c r="R536" s="584"/>
      <c r="S536" s="584"/>
      <c r="T536" s="584"/>
      <c r="U536" s="584"/>
      <c r="V536" s="584"/>
      <c r="W536" s="584"/>
      <c r="X536" s="584"/>
      <c r="Y536" s="584"/>
      <c r="Z536" s="584"/>
      <c r="AA536" s="584"/>
      <c r="AB536" s="584"/>
      <c r="AC536" s="584"/>
      <c r="AD536" s="584"/>
      <c r="AE536" s="584"/>
      <c r="AF536" s="584"/>
    </row>
    <row r="537" ht="14.25" customHeight="1">
      <c r="A537" s="579"/>
      <c r="B537" s="580"/>
      <c r="C537" s="581"/>
      <c r="D537" s="581"/>
      <c r="E537" s="581"/>
      <c r="F537" s="580"/>
      <c r="G537" s="589"/>
      <c r="H537" s="589"/>
      <c r="I537" s="580"/>
      <c r="J537" s="580"/>
      <c r="K537" s="580"/>
      <c r="L537" s="582"/>
      <c r="M537" s="582"/>
      <c r="N537" s="585"/>
      <c r="O537" s="580"/>
      <c r="P537" s="593"/>
      <c r="Q537" s="584"/>
      <c r="R537" s="584"/>
      <c r="S537" s="584"/>
      <c r="T537" s="584"/>
      <c r="U537" s="584"/>
      <c r="V537" s="584"/>
      <c r="W537" s="584"/>
      <c r="X537" s="584"/>
      <c r="Y537" s="584"/>
      <c r="Z537" s="584"/>
      <c r="AA537" s="584"/>
      <c r="AB537" s="584"/>
      <c r="AC537" s="584"/>
      <c r="AD537" s="584"/>
      <c r="AE537" s="584"/>
      <c r="AF537" s="584"/>
    </row>
    <row r="538" ht="14.25" customHeight="1">
      <c r="A538" s="579"/>
      <c r="B538" s="580"/>
      <c r="C538" s="581"/>
      <c r="D538" s="581"/>
      <c r="E538" s="581"/>
      <c r="F538" s="580"/>
      <c r="G538" s="589"/>
      <c r="H538" s="589"/>
      <c r="I538" s="580"/>
      <c r="J538" s="580"/>
      <c r="K538" s="580"/>
      <c r="L538" s="582"/>
      <c r="M538" s="582"/>
      <c r="N538" s="585"/>
      <c r="O538" s="580"/>
      <c r="P538" s="593"/>
      <c r="Q538" s="584"/>
      <c r="R538" s="584"/>
      <c r="S538" s="584"/>
      <c r="T538" s="584"/>
      <c r="U538" s="584"/>
      <c r="V538" s="584"/>
      <c r="W538" s="584"/>
      <c r="X538" s="584"/>
      <c r="Y538" s="584"/>
      <c r="Z538" s="584"/>
      <c r="AA538" s="584"/>
      <c r="AB538" s="584"/>
      <c r="AC538" s="584"/>
      <c r="AD538" s="584"/>
      <c r="AE538" s="584"/>
      <c r="AF538" s="584"/>
    </row>
    <row r="539" ht="14.25" customHeight="1">
      <c r="A539" s="579"/>
      <c r="B539" s="580"/>
      <c r="C539" s="581"/>
      <c r="D539" s="581"/>
      <c r="E539" s="581"/>
      <c r="F539" s="580"/>
      <c r="G539" s="589"/>
      <c r="H539" s="589"/>
      <c r="I539" s="580"/>
      <c r="J539" s="580"/>
      <c r="K539" s="580"/>
      <c r="L539" s="582"/>
      <c r="M539" s="582"/>
      <c r="N539" s="585"/>
      <c r="O539" s="611"/>
      <c r="P539" s="593"/>
      <c r="Q539" s="584"/>
      <c r="R539" s="584"/>
      <c r="S539" s="584"/>
      <c r="T539" s="584"/>
      <c r="U539" s="584"/>
      <c r="V539" s="584"/>
      <c r="W539" s="584"/>
      <c r="X539" s="584"/>
      <c r="Y539" s="584"/>
      <c r="Z539" s="584"/>
      <c r="AA539" s="584"/>
      <c r="AB539" s="584"/>
      <c r="AC539" s="584"/>
      <c r="AD539" s="584"/>
      <c r="AE539" s="584"/>
      <c r="AF539" s="584"/>
    </row>
    <row r="540" ht="14.25" customHeight="1">
      <c r="A540" s="579"/>
      <c r="B540" s="580"/>
      <c r="C540" s="581"/>
      <c r="D540" s="581"/>
      <c r="E540" s="581"/>
      <c r="F540" s="580"/>
      <c r="G540" s="589"/>
      <c r="H540" s="589"/>
      <c r="I540" s="580"/>
      <c r="J540" s="580"/>
      <c r="K540" s="580"/>
      <c r="L540" s="582"/>
      <c r="M540" s="582"/>
      <c r="N540" s="585"/>
      <c r="O540" s="580"/>
      <c r="P540" s="593"/>
      <c r="Q540" s="584"/>
      <c r="R540" s="584"/>
      <c r="S540" s="584"/>
      <c r="T540" s="584"/>
      <c r="U540" s="584"/>
      <c r="V540" s="584"/>
      <c r="W540" s="584"/>
      <c r="X540" s="584"/>
      <c r="Y540" s="584"/>
      <c r="Z540" s="584"/>
      <c r="AA540" s="584"/>
      <c r="AB540" s="584"/>
      <c r="AC540" s="584"/>
      <c r="AD540" s="584"/>
      <c r="AE540" s="584"/>
      <c r="AF540" s="584"/>
    </row>
    <row r="541" ht="14.25" customHeight="1">
      <c r="A541" s="579"/>
      <c r="B541" s="580"/>
      <c r="C541" s="581"/>
      <c r="D541" s="581"/>
      <c r="E541" s="581"/>
      <c r="F541" s="580"/>
      <c r="G541" s="589"/>
      <c r="H541" s="589"/>
      <c r="I541" s="580"/>
      <c r="J541" s="580"/>
      <c r="K541" s="580"/>
      <c r="L541" s="582"/>
      <c r="M541" s="582"/>
      <c r="N541" s="585"/>
      <c r="O541" s="580"/>
      <c r="P541" s="593"/>
      <c r="Q541" s="584"/>
      <c r="R541" s="584"/>
      <c r="S541" s="584"/>
      <c r="T541" s="584"/>
      <c r="U541" s="584"/>
      <c r="V541" s="584"/>
      <c r="W541" s="584"/>
      <c r="X541" s="584"/>
      <c r="Y541" s="584"/>
      <c r="Z541" s="584"/>
      <c r="AA541" s="584"/>
      <c r="AB541" s="584"/>
      <c r="AC541" s="584"/>
      <c r="AD541" s="584"/>
      <c r="AE541" s="584"/>
      <c r="AF541" s="584"/>
    </row>
    <row r="542" ht="14.25" customHeight="1">
      <c r="A542" s="579"/>
      <c r="B542" s="580"/>
      <c r="C542" s="581"/>
      <c r="D542" s="581"/>
      <c r="E542" s="581"/>
      <c r="F542" s="580"/>
      <c r="G542" s="589"/>
      <c r="H542" s="589"/>
      <c r="I542" s="580"/>
      <c r="J542" s="580"/>
      <c r="K542" s="580"/>
      <c r="L542" s="582"/>
      <c r="M542" s="582"/>
      <c r="N542" s="585"/>
      <c r="O542" s="580"/>
      <c r="P542" s="593"/>
      <c r="Q542" s="584"/>
      <c r="R542" s="584"/>
      <c r="S542" s="584"/>
      <c r="T542" s="584"/>
      <c r="U542" s="584"/>
      <c r="V542" s="584"/>
      <c r="W542" s="584"/>
      <c r="X542" s="584"/>
      <c r="Y542" s="584"/>
      <c r="Z542" s="584"/>
      <c r="AA542" s="584"/>
      <c r="AB542" s="584"/>
      <c r="AC542" s="584"/>
      <c r="AD542" s="584"/>
      <c r="AE542" s="584"/>
      <c r="AF542" s="584"/>
    </row>
    <row r="543" ht="14.25" customHeight="1">
      <c r="A543" s="579"/>
      <c r="B543" s="580"/>
      <c r="C543" s="581"/>
      <c r="D543" s="581"/>
      <c r="E543" s="581"/>
      <c r="F543" s="580"/>
      <c r="G543" s="589"/>
      <c r="H543" s="589"/>
      <c r="I543" s="580"/>
      <c r="J543" s="580"/>
      <c r="K543" s="580"/>
      <c r="L543" s="582"/>
      <c r="M543" s="582"/>
      <c r="N543" s="585"/>
      <c r="O543" s="580"/>
      <c r="P543" s="593"/>
      <c r="Q543" s="584"/>
      <c r="R543" s="584"/>
      <c r="S543" s="584"/>
      <c r="T543" s="584"/>
      <c r="U543" s="584"/>
      <c r="V543" s="584"/>
      <c r="W543" s="584"/>
      <c r="X543" s="584"/>
      <c r="Y543" s="584"/>
      <c r="Z543" s="584"/>
      <c r="AA543" s="584"/>
      <c r="AB543" s="584"/>
      <c r="AC543" s="584"/>
      <c r="AD543" s="584"/>
      <c r="AE543" s="584"/>
      <c r="AF543" s="584"/>
    </row>
    <row r="544" ht="14.25" customHeight="1">
      <c r="A544" s="579"/>
      <c r="B544" s="580"/>
      <c r="C544" s="581"/>
      <c r="D544" s="581"/>
      <c r="E544" s="581"/>
      <c r="F544" s="580"/>
      <c r="G544" s="589"/>
      <c r="H544" s="589"/>
      <c r="I544" s="580"/>
      <c r="J544" s="580"/>
      <c r="K544" s="580"/>
      <c r="L544" s="582"/>
      <c r="M544" s="582"/>
      <c r="N544" s="585"/>
      <c r="O544" s="580"/>
      <c r="P544" s="593"/>
      <c r="Q544" s="584"/>
      <c r="R544" s="584"/>
      <c r="S544" s="584"/>
      <c r="T544" s="584"/>
      <c r="U544" s="584"/>
      <c r="V544" s="584"/>
      <c r="W544" s="584"/>
      <c r="X544" s="584"/>
      <c r="Y544" s="584"/>
      <c r="Z544" s="584"/>
      <c r="AA544" s="584"/>
      <c r="AB544" s="584"/>
      <c r="AC544" s="584"/>
      <c r="AD544" s="584"/>
      <c r="AE544" s="584"/>
      <c r="AF544" s="584"/>
    </row>
    <row r="545" ht="14.25" customHeight="1">
      <c r="A545" s="579"/>
      <c r="B545" s="580"/>
      <c r="C545" s="581"/>
      <c r="D545" s="581"/>
      <c r="E545" s="581"/>
      <c r="F545" s="580"/>
      <c r="G545" s="589"/>
      <c r="H545" s="589"/>
      <c r="I545" s="580"/>
      <c r="J545" s="580"/>
      <c r="K545" s="580"/>
      <c r="L545" s="582"/>
      <c r="M545" s="582"/>
      <c r="N545" s="585"/>
      <c r="O545" s="580"/>
      <c r="P545" s="593"/>
      <c r="Q545" s="584"/>
      <c r="R545" s="584"/>
      <c r="S545" s="584"/>
      <c r="T545" s="584"/>
      <c r="U545" s="584"/>
      <c r="V545" s="584"/>
      <c r="W545" s="584"/>
      <c r="X545" s="584"/>
      <c r="Y545" s="584"/>
      <c r="Z545" s="584"/>
      <c r="AA545" s="584"/>
      <c r="AB545" s="584"/>
      <c r="AC545" s="584"/>
      <c r="AD545" s="584"/>
      <c r="AE545" s="584"/>
      <c r="AF545" s="584"/>
    </row>
    <row r="546" ht="14.25" customHeight="1">
      <c r="A546" s="579"/>
      <c r="B546" s="580"/>
      <c r="C546" s="581"/>
      <c r="D546" s="581"/>
      <c r="E546" s="581"/>
      <c r="F546" s="580"/>
      <c r="G546" s="589"/>
      <c r="H546" s="589"/>
      <c r="I546" s="580"/>
      <c r="J546" s="580"/>
      <c r="K546" s="580"/>
      <c r="L546" s="582"/>
      <c r="M546" s="582"/>
      <c r="N546" s="585"/>
      <c r="O546" s="580"/>
      <c r="P546" s="593"/>
      <c r="Q546" s="584"/>
      <c r="R546" s="584"/>
      <c r="S546" s="584"/>
      <c r="T546" s="584"/>
      <c r="U546" s="584"/>
      <c r="V546" s="584"/>
      <c r="W546" s="584"/>
      <c r="X546" s="584"/>
      <c r="Y546" s="584"/>
      <c r="Z546" s="584"/>
      <c r="AA546" s="584"/>
      <c r="AB546" s="584"/>
      <c r="AC546" s="584"/>
      <c r="AD546" s="584"/>
      <c r="AE546" s="584"/>
      <c r="AF546" s="584"/>
    </row>
    <row r="547" ht="14.25" customHeight="1">
      <c r="A547" s="579"/>
      <c r="B547" s="580"/>
      <c r="C547" s="581"/>
      <c r="D547" s="581"/>
      <c r="E547" s="581"/>
      <c r="F547" s="580"/>
      <c r="G547" s="589"/>
      <c r="H547" s="589"/>
      <c r="I547" s="580"/>
      <c r="J547" s="580"/>
      <c r="K547" s="580"/>
      <c r="L547" s="582"/>
      <c r="M547" s="582"/>
      <c r="N547" s="585"/>
      <c r="O547" s="580"/>
      <c r="P547" s="593"/>
      <c r="Q547" s="584"/>
      <c r="R547" s="584"/>
      <c r="S547" s="584"/>
      <c r="T547" s="584"/>
      <c r="U547" s="584"/>
      <c r="V547" s="584"/>
      <c r="W547" s="584"/>
      <c r="X547" s="584"/>
      <c r="Y547" s="584"/>
      <c r="Z547" s="584"/>
      <c r="AA547" s="584"/>
      <c r="AB547" s="584"/>
      <c r="AC547" s="584"/>
      <c r="AD547" s="584"/>
      <c r="AE547" s="584"/>
      <c r="AF547" s="584"/>
    </row>
    <row r="548" ht="14.25" customHeight="1">
      <c r="A548" s="579"/>
      <c r="B548" s="580"/>
      <c r="C548" s="581"/>
      <c r="D548" s="581"/>
      <c r="E548" s="581"/>
      <c r="F548" s="580"/>
      <c r="G548" s="589"/>
      <c r="H548" s="589"/>
      <c r="I548" s="580"/>
      <c r="J548" s="580"/>
      <c r="K548" s="580"/>
      <c r="L548" s="582"/>
      <c r="M548" s="582"/>
      <c r="N548" s="585"/>
      <c r="O548" s="580"/>
      <c r="P548" s="593"/>
      <c r="Q548" s="584"/>
      <c r="R548" s="584"/>
      <c r="S548" s="584"/>
      <c r="T548" s="584"/>
      <c r="U548" s="584"/>
      <c r="V548" s="584"/>
      <c r="W548" s="584"/>
      <c r="X548" s="584"/>
      <c r="Y548" s="584"/>
      <c r="Z548" s="584"/>
      <c r="AA548" s="584"/>
      <c r="AB548" s="584"/>
      <c r="AC548" s="584"/>
      <c r="AD548" s="584"/>
      <c r="AE548" s="584"/>
      <c r="AF548" s="584"/>
    </row>
    <row r="549" ht="14.25" customHeight="1">
      <c r="A549" s="579"/>
      <c r="B549" s="580"/>
      <c r="C549" s="581"/>
      <c r="D549" s="581"/>
      <c r="E549" s="581"/>
      <c r="F549" s="580"/>
      <c r="G549" s="589"/>
      <c r="H549" s="589"/>
      <c r="I549" s="580"/>
      <c r="J549" s="580"/>
      <c r="K549" s="580"/>
      <c r="L549" s="582"/>
      <c r="M549" s="582"/>
      <c r="N549" s="585"/>
      <c r="O549" s="580"/>
      <c r="P549" s="593"/>
      <c r="Q549" s="584"/>
      <c r="R549" s="584"/>
      <c r="S549" s="584"/>
      <c r="T549" s="584"/>
      <c r="U549" s="584"/>
      <c r="V549" s="584"/>
      <c r="W549" s="584"/>
      <c r="X549" s="584"/>
      <c r="Y549" s="584"/>
      <c r="Z549" s="584"/>
      <c r="AA549" s="584"/>
      <c r="AB549" s="584"/>
      <c r="AC549" s="584"/>
      <c r="AD549" s="584"/>
      <c r="AE549" s="584"/>
      <c r="AF549" s="584"/>
    </row>
    <row r="550" ht="14.25" customHeight="1">
      <c r="A550" s="579"/>
      <c r="B550" s="580"/>
      <c r="C550" s="581"/>
      <c r="D550" s="581"/>
      <c r="E550" s="581"/>
      <c r="F550" s="580"/>
      <c r="G550" s="589"/>
      <c r="H550" s="589"/>
      <c r="I550" s="580"/>
      <c r="J550" s="580"/>
      <c r="K550" s="580"/>
      <c r="L550" s="582"/>
      <c r="M550" s="582"/>
      <c r="N550" s="585"/>
      <c r="O550" s="580"/>
      <c r="P550" s="593"/>
      <c r="Q550" s="584"/>
      <c r="R550" s="584"/>
      <c r="S550" s="584"/>
      <c r="T550" s="584"/>
      <c r="U550" s="584"/>
      <c r="V550" s="584"/>
      <c r="W550" s="584"/>
      <c r="X550" s="584"/>
      <c r="Y550" s="584"/>
      <c r="Z550" s="584"/>
      <c r="AA550" s="584"/>
      <c r="AB550" s="584"/>
      <c r="AC550" s="584"/>
      <c r="AD550" s="584"/>
      <c r="AE550" s="584"/>
      <c r="AF550" s="584"/>
    </row>
    <row r="551" ht="14.25" customHeight="1">
      <c r="A551" s="579"/>
      <c r="B551" s="580"/>
      <c r="C551" s="581"/>
      <c r="D551" s="581"/>
      <c r="E551" s="581"/>
      <c r="F551" s="580"/>
      <c r="G551" s="589"/>
      <c r="H551" s="589"/>
      <c r="I551" s="580"/>
      <c r="J551" s="580"/>
      <c r="K551" s="580"/>
      <c r="L551" s="582"/>
      <c r="M551" s="582"/>
      <c r="N551" s="585"/>
      <c r="O551" s="580"/>
      <c r="P551" s="593"/>
      <c r="Q551" s="584"/>
      <c r="R551" s="584"/>
      <c r="S551" s="584"/>
      <c r="T551" s="584"/>
      <c r="U551" s="584"/>
      <c r="V551" s="584"/>
      <c r="W551" s="584"/>
      <c r="X551" s="584"/>
      <c r="Y551" s="584"/>
      <c r="Z551" s="584"/>
      <c r="AA551" s="584"/>
      <c r="AB551" s="584"/>
      <c r="AC551" s="584"/>
      <c r="AD551" s="584"/>
      <c r="AE551" s="584"/>
      <c r="AF551" s="584"/>
    </row>
    <row r="552" ht="14.25" customHeight="1">
      <c r="A552" s="579"/>
      <c r="B552" s="580"/>
      <c r="C552" s="581"/>
      <c r="D552" s="581"/>
      <c r="E552" s="581"/>
      <c r="F552" s="580"/>
      <c r="G552" s="589"/>
      <c r="H552" s="589"/>
      <c r="I552" s="580"/>
      <c r="J552" s="580"/>
      <c r="K552" s="580"/>
      <c r="L552" s="582"/>
      <c r="M552" s="582"/>
      <c r="N552" s="585"/>
      <c r="O552" s="580"/>
      <c r="P552" s="593"/>
      <c r="Q552" s="584"/>
      <c r="R552" s="584"/>
      <c r="S552" s="584"/>
      <c r="T552" s="584"/>
      <c r="U552" s="584"/>
      <c r="V552" s="584"/>
      <c r="W552" s="584"/>
      <c r="X552" s="584"/>
      <c r="Y552" s="584"/>
      <c r="Z552" s="584"/>
      <c r="AA552" s="584"/>
      <c r="AB552" s="584"/>
      <c r="AC552" s="584"/>
      <c r="AD552" s="584"/>
      <c r="AE552" s="584"/>
      <c r="AF552" s="584"/>
    </row>
    <row r="553" ht="14.25" customHeight="1">
      <c r="A553" s="579"/>
      <c r="B553" s="580"/>
      <c r="C553" s="581"/>
      <c r="D553" s="581"/>
      <c r="E553" s="581"/>
      <c r="F553" s="580"/>
      <c r="G553" s="589"/>
      <c r="H553" s="589"/>
      <c r="I553" s="580"/>
      <c r="J553" s="580"/>
      <c r="K553" s="580"/>
      <c r="L553" s="582"/>
      <c r="M553" s="582"/>
      <c r="N553" s="585"/>
      <c r="O553" s="580"/>
      <c r="P553" s="593"/>
      <c r="Q553" s="584"/>
      <c r="R553" s="584"/>
      <c r="S553" s="584"/>
      <c r="T553" s="584"/>
      <c r="U553" s="584"/>
      <c r="V553" s="584"/>
      <c r="W553" s="584"/>
      <c r="X553" s="584"/>
      <c r="Y553" s="584"/>
      <c r="Z553" s="584"/>
      <c r="AA553" s="584"/>
      <c r="AB553" s="584"/>
      <c r="AC553" s="584"/>
      <c r="AD553" s="584"/>
      <c r="AE553" s="584"/>
      <c r="AF553" s="584"/>
    </row>
    <row r="554" ht="14.25" customHeight="1">
      <c r="A554" s="579"/>
      <c r="B554" s="580"/>
      <c r="C554" s="581"/>
      <c r="D554" s="581"/>
      <c r="E554" s="581"/>
      <c r="F554" s="580"/>
      <c r="G554" s="589"/>
      <c r="H554" s="589"/>
      <c r="I554" s="580"/>
      <c r="J554" s="580"/>
      <c r="K554" s="580"/>
      <c r="L554" s="582"/>
      <c r="M554" s="582"/>
      <c r="N554" s="585"/>
      <c r="O554" s="580"/>
      <c r="P554" s="593"/>
      <c r="Q554" s="584"/>
      <c r="R554" s="584"/>
      <c r="S554" s="584"/>
      <c r="T554" s="584"/>
      <c r="U554" s="584"/>
      <c r="V554" s="584"/>
      <c r="W554" s="584"/>
      <c r="X554" s="584"/>
      <c r="Y554" s="584"/>
      <c r="Z554" s="584"/>
      <c r="AA554" s="584"/>
      <c r="AB554" s="584"/>
      <c r="AC554" s="584"/>
      <c r="AD554" s="584"/>
      <c r="AE554" s="584"/>
      <c r="AF554" s="584"/>
    </row>
    <row r="555" ht="14.25" customHeight="1">
      <c r="A555" s="579"/>
      <c r="B555" s="580"/>
      <c r="C555" s="581"/>
      <c r="D555" s="581"/>
      <c r="E555" s="581"/>
      <c r="F555" s="580"/>
      <c r="G555" s="589"/>
      <c r="H555" s="589"/>
      <c r="I555" s="580"/>
      <c r="J555" s="580"/>
      <c r="K555" s="580"/>
      <c r="L555" s="582"/>
      <c r="M555" s="582"/>
      <c r="N555" s="585"/>
      <c r="O555" s="580"/>
      <c r="P555" s="593"/>
      <c r="Q555" s="584"/>
      <c r="R555" s="584"/>
      <c r="S555" s="584"/>
      <c r="T555" s="584"/>
      <c r="U555" s="584"/>
      <c r="V555" s="584"/>
      <c r="W555" s="584"/>
      <c r="X555" s="584"/>
      <c r="Y555" s="584"/>
      <c r="Z555" s="584"/>
      <c r="AA555" s="584"/>
      <c r="AB555" s="584"/>
      <c r="AC555" s="584"/>
      <c r="AD555" s="584"/>
      <c r="AE555" s="584"/>
      <c r="AF555" s="584"/>
    </row>
    <row r="556" ht="14.25" customHeight="1">
      <c r="A556" s="579"/>
      <c r="B556" s="580"/>
      <c r="C556" s="581"/>
      <c r="D556" s="581"/>
      <c r="E556" s="581"/>
      <c r="F556" s="580"/>
      <c r="G556" s="589"/>
      <c r="H556" s="589"/>
      <c r="I556" s="580"/>
      <c r="J556" s="580"/>
      <c r="K556" s="580"/>
      <c r="L556" s="582"/>
      <c r="M556" s="582"/>
      <c r="N556" s="585"/>
      <c r="O556" s="580"/>
      <c r="P556" s="593"/>
      <c r="Q556" s="584"/>
      <c r="R556" s="584"/>
      <c r="S556" s="584"/>
      <c r="T556" s="584"/>
      <c r="U556" s="584"/>
      <c r="V556" s="584"/>
      <c r="W556" s="584"/>
      <c r="X556" s="584"/>
      <c r="Y556" s="584"/>
      <c r="Z556" s="584"/>
      <c r="AA556" s="584"/>
      <c r="AB556" s="584"/>
      <c r="AC556" s="584"/>
      <c r="AD556" s="584"/>
      <c r="AE556" s="584"/>
      <c r="AF556" s="584"/>
    </row>
    <row r="557" ht="14.25" customHeight="1">
      <c r="A557" s="579"/>
      <c r="B557" s="580"/>
      <c r="C557" s="581"/>
      <c r="D557" s="581"/>
      <c r="E557" s="581"/>
      <c r="F557" s="580"/>
      <c r="G557" s="589"/>
      <c r="H557" s="589"/>
      <c r="I557" s="580"/>
      <c r="J557" s="580"/>
      <c r="K557" s="580"/>
      <c r="L557" s="582"/>
      <c r="M557" s="582"/>
      <c r="N557" s="585"/>
      <c r="O557" s="580"/>
      <c r="P557" s="593"/>
      <c r="Q557" s="584"/>
      <c r="R557" s="584"/>
      <c r="S557" s="584"/>
      <c r="T557" s="584"/>
      <c r="U557" s="584"/>
      <c r="V557" s="584"/>
      <c r="W557" s="584"/>
      <c r="X557" s="584"/>
      <c r="Y557" s="584"/>
      <c r="Z557" s="584"/>
      <c r="AA557" s="584"/>
      <c r="AB557" s="584"/>
      <c r="AC557" s="584"/>
      <c r="AD557" s="584"/>
      <c r="AE557" s="584"/>
      <c r="AF557" s="584"/>
    </row>
    <row r="558" ht="14.25" customHeight="1">
      <c r="A558" s="579"/>
      <c r="B558" s="580"/>
      <c r="C558" s="581"/>
      <c r="D558" s="581"/>
      <c r="E558" s="581"/>
      <c r="F558" s="580"/>
      <c r="G558" s="589"/>
      <c r="H558" s="589"/>
      <c r="I558" s="580"/>
      <c r="J558" s="580"/>
      <c r="K558" s="580"/>
      <c r="L558" s="582"/>
      <c r="M558" s="582"/>
      <c r="N558" s="585"/>
      <c r="O558" s="580"/>
      <c r="P558" s="593"/>
      <c r="Q558" s="584"/>
      <c r="R558" s="584"/>
      <c r="S558" s="584"/>
      <c r="T558" s="584"/>
      <c r="U558" s="584"/>
      <c r="V558" s="584"/>
      <c r="W558" s="584"/>
      <c r="X558" s="584"/>
      <c r="Y558" s="584"/>
      <c r="Z558" s="584"/>
      <c r="AA558" s="584"/>
      <c r="AB558" s="584"/>
      <c r="AC558" s="584"/>
      <c r="AD558" s="584"/>
      <c r="AE558" s="584"/>
      <c r="AF558" s="584"/>
    </row>
    <row r="559" ht="14.25" customHeight="1">
      <c r="A559" s="579"/>
      <c r="B559" s="580"/>
      <c r="C559" s="581"/>
      <c r="D559" s="581"/>
      <c r="E559" s="581"/>
      <c r="F559" s="580"/>
      <c r="G559" s="589"/>
      <c r="H559" s="589"/>
      <c r="I559" s="580"/>
      <c r="J559" s="580"/>
      <c r="K559" s="580"/>
      <c r="L559" s="582"/>
      <c r="M559" s="582"/>
      <c r="N559" s="585"/>
      <c r="O559" s="580"/>
      <c r="P559" s="593"/>
      <c r="Q559" s="584"/>
      <c r="R559" s="584"/>
      <c r="S559" s="584"/>
      <c r="T559" s="584"/>
      <c r="U559" s="584"/>
      <c r="V559" s="584"/>
      <c r="W559" s="584"/>
      <c r="X559" s="584"/>
      <c r="Y559" s="584"/>
      <c r="Z559" s="584"/>
      <c r="AA559" s="584"/>
      <c r="AB559" s="584"/>
      <c r="AC559" s="584"/>
      <c r="AD559" s="584"/>
      <c r="AE559" s="584"/>
      <c r="AF559" s="584"/>
    </row>
    <row r="560" ht="14.25" customHeight="1">
      <c r="A560" s="579"/>
      <c r="B560" s="580"/>
      <c r="C560" s="581"/>
      <c r="D560" s="581"/>
      <c r="E560" s="581"/>
      <c r="F560" s="580"/>
      <c r="G560" s="589"/>
      <c r="H560" s="589"/>
      <c r="I560" s="580"/>
      <c r="J560" s="580"/>
      <c r="K560" s="580"/>
      <c r="L560" s="582"/>
      <c r="M560" s="582"/>
      <c r="N560" s="585"/>
      <c r="O560" s="580"/>
      <c r="P560" s="593"/>
      <c r="Q560" s="584"/>
      <c r="R560" s="584"/>
      <c r="S560" s="584"/>
      <c r="T560" s="584"/>
      <c r="U560" s="584"/>
      <c r="V560" s="584"/>
      <c r="W560" s="584"/>
      <c r="X560" s="584"/>
      <c r="Y560" s="584"/>
      <c r="Z560" s="584"/>
      <c r="AA560" s="584"/>
      <c r="AB560" s="584"/>
      <c r="AC560" s="584"/>
      <c r="AD560" s="584"/>
      <c r="AE560" s="584"/>
      <c r="AF560" s="584"/>
    </row>
    <row r="561" ht="14.25" customHeight="1">
      <c r="A561" s="579"/>
      <c r="B561" s="580"/>
      <c r="C561" s="581"/>
      <c r="D561" s="581"/>
      <c r="E561" s="581"/>
      <c r="F561" s="580"/>
      <c r="G561" s="589"/>
      <c r="H561" s="589"/>
      <c r="I561" s="580"/>
      <c r="J561" s="580"/>
      <c r="K561" s="580"/>
      <c r="L561" s="582"/>
      <c r="M561" s="582"/>
      <c r="N561" s="585"/>
      <c r="O561" s="580"/>
      <c r="P561" s="593"/>
      <c r="Q561" s="584"/>
      <c r="R561" s="584"/>
      <c r="S561" s="584"/>
      <c r="T561" s="584"/>
      <c r="U561" s="584"/>
      <c r="V561" s="584"/>
      <c r="W561" s="584"/>
      <c r="X561" s="584"/>
      <c r="Y561" s="584"/>
      <c r="Z561" s="584"/>
      <c r="AA561" s="584"/>
      <c r="AB561" s="584"/>
      <c r="AC561" s="584"/>
      <c r="AD561" s="584"/>
      <c r="AE561" s="584"/>
      <c r="AF561" s="584"/>
    </row>
    <row r="562" ht="14.25" customHeight="1">
      <c r="A562" s="579"/>
      <c r="B562" s="580"/>
      <c r="C562" s="581"/>
      <c r="D562" s="581"/>
      <c r="E562" s="581"/>
      <c r="F562" s="580"/>
      <c r="G562" s="589"/>
      <c r="H562" s="589"/>
      <c r="I562" s="580"/>
      <c r="J562" s="580"/>
      <c r="K562" s="580"/>
      <c r="L562" s="582"/>
      <c r="M562" s="582"/>
      <c r="N562" s="585"/>
      <c r="O562" s="580"/>
      <c r="P562" s="593"/>
      <c r="Q562" s="584"/>
      <c r="R562" s="584"/>
      <c r="S562" s="584"/>
      <c r="T562" s="584"/>
      <c r="U562" s="584"/>
      <c r="V562" s="584"/>
      <c r="W562" s="584"/>
      <c r="X562" s="584"/>
      <c r="Y562" s="584"/>
      <c r="Z562" s="584"/>
      <c r="AA562" s="584"/>
      <c r="AB562" s="584"/>
      <c r="AC562" s="584"/>
      <c r="AD562" s="584"/>
      <c r="AE562" s="584"/>
      <c r="AF562" s="584"/>
    </row>
    <row r="563" ht="14.25" customHeight="1">
      <c r="A563" s="579"/>
      <c r="B563" s="580"/>
      <c r="C563" s="581"/>
      <c r="D563" s="581"/>
      <c r="E563" s="581"/>
      <c r="F563" s="580"/>
      <c r="G563" s="589"/>
      <c r="H563" s="589"/>
      <c r="I563" s="580"/>
      <c r="J563" s="580"/>
      <c r="K563" s="580"/>
      <c r="L563" s="582"/>
      <c r="M563" s="582"/>
      <c r="N563" s="585"/>
      <c r="O563" s="580"/>
      <c r="P563" s="593"/>
      <c r="Q563" s="584"/>
      <c r="R563" s="584"/>
      <c r="S563" s="584"/>
      <c r="T563" s="584"/>
      <c r="U563" s="584"/>
      <c r="V563" s="584"/>
      <c r="W563" s="584"/>
      <c r="X563" s="584"/>
      <c r="Y563" s="584"/>
      <c r="Z563" s="584"/>
      <c r="AA563" s="584"/>
      <c r="AB563" s="584"/>
      <c r="AC563" s="584"/>
      <c r="AD563" s="584"/>
      <c r="AE563" s="584"/>
      <c r="AF563" s="584"/>
    </row>
    <row r="564" ht="14.25" customHeight="1">
      <c r="A564" s="579"/>
      <c r="B564" s="580"/>
      <c r="C564" s="581"/>
      <c r="D564" s="581"/>
      <c r="E564" s="581"/>
      <c r="F564" s="580"/>
      <c r="G564" s="589"/>
      <c r="H564" s="589"/>
      <c r="I564" s="580"/>
      <c r="J564" s="580"/>
      <c r="K564" s="580"/>
      <c r="L564" s="582"/>
      <c r="M564" s="582"/>
      <c r="N564" s="585"/>
      <c r="O564" s="580"/>
      <c r="P564" s="593"/>
      <c r="Q564" s="584"/>
      <c r="R564" s="584"/>
      <c r="S564" s="584"/>
      <c r="T564" s="584"/>
      <c r="U564" s="584"/>
      <c r="V564" s="584"/>
      <c r="W564" s="584"/>
      <c r="X564" s="584"/>
      <c r="Y564" s="584"/>
      <c r="Z564" s="584"/>
      <c r="AA564" s="584"/>
      <c r="AB564" s="584"/>
      <c r="AC564" s="584"/>
      <c r="AD564" s="584"/>
      <c r="AE564" s="584"/>
      <c r="AF564" s="584"/>
    </row>
    <row r="565" ht="14.25" customHeight="1">
      <c r="A565" s="579"/>
      <c r="B565" s="580"/>
      <c r="C565" s="581"/>
      <c r="D565" s="581"/>
      <c r="E565" s="581"/>
      <c r="F565" s="580"/>
      <c r="G565" s="589"/>
      <c r="H565" s="589"/>
      <c r="I565" s="580"/>
      <c r="J565" s="580"/>
      <c r="K565" s="580"/>
      <c r="L565" s="582"/>
      <c r="M565" s="582"/>
      <c r="N565" s="585"/>
      <c r="O565" s="580"/>
      <c r="P565" s="593"/>
      <c r="Q565" s="584"/>
      <c r="R565" s="584"/>
      <c r="S565" s="584"/>
      <c r="T565" s="584"/>
      <c r="U565" s="584"/>
      <c r="V565" s="584"/>
      <c r="W565" s="584"/>
      <c r="X565" s="584"/>
      <c r="Y565" s="584"/>
      <c r="Z565" s="584"/>
      <c r="AA565" s="584"/>
      <c r="AB565" s="584"/>
      <c r="AC565" s="584"/>
      <c r="AD565" s="584"/>
      <c r="AE565" s="584"/>
      <c r="AF565" s="584"/>
    </row>
    <row r="566" ht="14.25" customHeight="1">
      <c r="A566" s="579"/>
      <c r="B566" s="580"/>
      <c r="C566" s="581"/>
      <c r="D566" s="581"/>
      <c r="E566" s="581"/>
      <c r="F566" s="580"/>
      <c r="G566" s="589"/>
      <c r="H566" s="589"/>
      <c r="I566" s="580"/>
      <c r="J566" s="580"/>
      <c r="K566" s="580"/>
      <c r="L566" s="582"/>
      <c r="M566" s="582"/>
      <c r="N566" s="585"/>
      <c r="O566" s="580"/>
      <c r="P566" s="593"/>
      <c r="Q566" s="584"/>
      <c r="R566" s="584"/>
      <c r="S566" s="584"/>
      <c r="T566" s="584"/>
      <c r="U566" s="584"/>
      <c r="V566" s="584"/>
      <c r="W566" s="584"/>
      <c r="X566" s="584"/>
      <c r="Y566" s="584"/>
      <c r="Z566" s="584"/>
      <c r="AA566" s="584"/>
      <c r="AB566" s="584"/>
      <c r="AC566" s="584"/>
      <c r="AD566" s="584"/>
      <c r="AE566" s="584"/>
      <c r="AF566" s="584"/>
    </row>
    <row r="567" ht="14.25" customHeight="1">
      <c r="A567" s="579"/>
      <c r="B567" s="580"/>
      <c r="C567" s="581"/>
      <c r="D567" s="581"/>
      <c r="E567" s="581"/>
      <c r="F567" s="580"/>
      <c r="G567" s="589"/>
      <c r="H567" s="589"/>
      <c r="I567" s="580"/>
      <c r="J567" s="580"/>
      <c r="K567" s="580"/>
      <c r="L567" s="582"/>
      <c r="M567" s="582"/>
      <c r="N567" s="585"/>
      <c r="O567" s="580"/>
      <c r="P567" s="593"/>
      <c r="Q567" s="584"/>
      <c r="R567" s="584"/>
      <c r="S567" s="584"/>
      <c r="T567" s="584"/>
      <c r="U567" s="584"/>
      <c r="V567" s="584"/>
      <c r="W567" s="584"/>
      <c r="X567" s="584"/>
      <c r="Y567" s="584"/>
      <c r="Z567" s="584"/>
      <c r="AA567" s="584"/>
      <c r="AB567" s="584"/>
      <c r="AC567" s="584"/>
      <c r="AD567" s="584"/>
      <c r="AE567" s="584"/>
      <c r="AF567" s="584"/>
    </row>
    <row r="568" ht="14.25" customHeight="1">
      <c r="A568" s="579"/>
      <c r="B568" s="580"/>
      <c r="C568" s="581"/>
      <c r="D568" s="581"/>
      <c r="E568" s="581"/>
      <c r="F568" s="580"/>
      <c r="G568" s="589"/>
      <c r="H568" s="589"/>
      <c r="I568" s="580"/>
      <c r="J568" s="580"/>
      <c r="K568" s="580"/>
      <c r="L568" s="582"/>
      <c r="M568" s="582"/>
      <c r="N568" s="585"/>
      <c r="O568" s="580"/>
      <c r="P568" s="593"/>
      <c r="Q568" s="584"/>
      <c r="R568" s="584"/>
      <c r="S568" s="584"/>
      <c r="T568" s="584"/>
      <c r="U568" s="584"/>
      <c r="V568" s="584"/>
      <c r="W568" s="584"/>
      <c r="X568" s="584"/>
      <c r="Y568" s="584"/>
      <c r="Z568" s="584"/>
      <c r="AA568" s="584"/>
      <c r="AB568" s="584"/>
      <c r="AC568" s="584"/>
      <c r="AD568" s="584"/>
      <c r="AE568" s="584"/>
      <c r="AF568" s="584"/>
    </row>
    <row r="569" ht="14.25" customHeight="1">
      <c r="A569" s="579"/>
      <c r="B569" s="580"/>
      <c r="C569" s="581"/>
      <c r="D569" s="581"/>
      <c r="E569" s="581"/>
      <c r="F569" s="580"/>
      <c r="G569" s="589"/>
      <c r="H569" s="589"/>
      <c r="I569" s="580"/>
      <c r="J569" s="580"/>
      <c r="K569" s="580"/>
      <c r="L569" s="582"/>
      <c r="M569" s="582"/>
      <c r="N569" s="585"/>
      <c r="O569" s="580"/>
      <c r="P569" s="593"/>
      <c r="Q569" s="584"/>
      <c r="R569" s="584"/>
      <c r="S569" s="584"/>
      <c r="T569" s="584"/>
      <c r="U569" s="584"/>
      <c r="V569" s="584"/>
      <c r="W569" s="584"/>
      <c r="X569" s="584"/>
      <c r="Y569" s="584"/>
      <c r="Z569" s="584"/>
      <c r="AA569" s="584"/>
      <c r="AB569" s="584"/>
      <c r="AC569" s="584"/>
      <c r="AD569" s="584"/>
      <c r="AE569" s="584"/>
      <c r="AF569" s="584"/>
    </row>
    <row r="570" ht="14.25" customHeight="1">
      <c r="A570" s="579"/>
      <c r="B570" s="580"/>
      <c r="C570" s="581"/>
      <c r="D570" s="581"/>
      <c r="E570" s="581"/>
      <c r="F570" s="580"/>
      <c r="G570" s="589"/>
      <c r="H570" s="589"/>
      <c r="I570" s="580"/>
      <c r="J570" s="580"/>
      <c r="K570" s="580"/>
      <c r="L570" s="582"/>
      <c r="M570" s="582"/>
      <c r="N570" s="585"/>
      <c r="O570" s="580"/>
      <c r="P570" s="593"/>
      <c r="Q570" s="584"/>
      <c r="R570" s="584"/>
      <c r="S570" s="584"/>
      <c r="T570" s="584"/>
      <c r="U570" s="584"/>
      <c r="V570" s="584"/>
      <c r="W570" s="584"/>
      <c r="X570" s="584"/>
      <c r="Y570" s="584"/>
      <c r="Z570" s="584"/>
      <c r="AA570" s="584"/>
      <c r="AB570" s="584"/>
      <c r="AC570" s="584"/>
      <c r="AD570" s="584"/>
      <c r="AE570" s="584"/>
      <c r="AF570" s="584"/>
    </row>
    <row r="571" ht="14.25" customHeight="1">
      <c r="A571" s="579"/>
      <c r="B571" s="580"/>
      <c r="C571" s="581"/>
      <c r="D571" s="581"/>
      <c r="E571" s="581"/>
      <c r="F571" s="580"/>
      <c r="G571" s="589"/>
      <c r="H571" s="589"/>
      <c r="I571" s="580"/>
      <c r="J571" s="580"/>
      <c r="K571" s="580"/>
      <c r="L571" s="582"/>
      <c r="M571" s="582"/>
      <c r="N571" s="585"/>
      <c r="O571" s="580"/>
      <c r="P571" s="593"/>
      <c r="Q571" s="584"/>
      <c r="R571" s="584"/>
      <c r="S571" s="584"/>
      <c r="T571" s="584"/>
      <c r="U571" s="584"/>
      <c r="V571" s="584"/>
      <c r="W571" s="584"/>
      <c r="X571" s="584"/>
      <c r="Y571" s="584"/>
      <c r="Z571" s="584"/>
      <c r="AA571" s="584"/>
      <c r="AB571" s="584"/>
      <c r="AC571" s="584"/>
      <c r="AD571" s="584"/>
      <c r="AE571" s="584"/>
      <c r="AF571" s="584"/>
    </row>
    <row r="572" ht="14.25" customHeight="1">
      <c r="A572" s="579"/>
      <c r="B572" s="580"/>
      <c r="C572" s="581"/>
      <c r="D572" s="581"/>
      <c r="E572" s="581"/>
      <c r="F572" s="580"/>
      <c r="G572" s="589"/>
      <c r="H572" s="589"/>
      <c r="I572" s="580"/>
      <c r="J572" s="580"/>
      <c r="K572" s="580"/>
      <c r="L572" s="582"/>
      <c r="M572" s="582"/>
      <c r="N572" s="585"/>
      <c r="O572" s="580"/>
      <c r="P572" s="593"/>
      <c r="Q572" s="584"/>
      <c r="R572" s="584"/>
      <c r="S572" s="584"/>
      <c r="T572" s="584"/>
      <c r="U572" s="584"/>
      <c r="V572" s="584"/>
      <c r="W572" s="584"/>
      <c r="X572" s="584"/>
      <c r="Y572" s="584"/>
      <c r="Z572" s="584"/>
      <c r="AA572" s="584"/>
      <c r="AB572" s="584"/>
      <c r="AC572" s="584"/>
      <c r="AD572" s="584"/>
      <c r="AE572" s="584"/>
      <c r="AF572" s="584"/>
    </row>
    <row r="573" ht="14.25" customHeight="1">
      <c r="A573" s="579"/>
      <c r="B573" s="580"/>
      <c r="C573" s="581"/>
      <c r="D573" s="581"/>
      <c r="E573" s="581"/>
      <c r="F573" s="580"/>
      <c r="G573" s="589"/>
      <c r="H573" s="589"/>
      <c r="I573" s="580"/>
      <c r="J573" s="580"/>
      <c r="K573" s="580"/>
      <c r="L573" s="582"/>
      <c r="M573" s="582"/>
      <c r="N573" s="585"/>
      <c r="O573" s="580"/>
      <c r="P573" s="593"/>
      <c r="Q573" s="584"/>
      <c r="R573" s="584"/>
      <c r="S573" s="584"/>
      <c r="T573" s="584"/>
      <c r="U573" s="584"/>
      <c r="V573" s="584"/>
      <c r="W573" s="584"/>
      <c r="X573" s="584"/>
      <c r="Y573" s="584"/>
      <c r="Z573" s="584"/>
      <c r="AA573" s="584"/>
      <c r="AB573" s="584"/>
      <c r="AC573" s="584"/>
      <c r="AD573" s="584"/>
      <c r="AE573" s="584"/>
      <c r="AF573" s="584"/>
    </row>
    <row r="574" ht="14.25" customHeight="1">
      <c r="A574" s="579"/>
      <c r="B574" s="580"/>
      <c r="C574" s="581"/>
      <c r="D574" s="581"/>
      <c r="E574" s="581"/>
      <c r="F574" s="580"/>
      <c r="G574" s="589"/>
      <c r="H574" s="589"/>
      <c r="I574" s="580"/>
      <c r="J574" s="580"/>
      <c r="K574" s="580"/>
      <c r="L574" s="582"/>
      <c r="M574" s="582"/>
      <c r="N574" s="585"/>
      <c r="O574" s="580"/>
      <c r="P574" s="593"/>
      <c r="Q574" s="584"/>
      <c r="R574" s="584"/>
      <c r="S574" s="584"/>
      <c r="T574" s="584"/>
      <c r="U574" s="584"/>
      <c r="V574" s="584"/>
      <c r="W574" s="584"/>
      <c r="X574" s="584"/>
      <c r="Y574" s="584"/>
      <c r="Z574" s="584"/>
      <c r="AA574" s="584"/>
      <c r="AB574" s="584"/>
      <c r="AC574" s="584"/>
      <c r="AD574" s="584"/>
      <c r="AE574" s="584"/>
      <c r="AF574" s="584"/>
    </row>
    <row r="575" ht="14.25" customHeight="1">
      <c r="A575" s="579"/>
      <c r="B575" s="580"/>
      <c r="C575" s="581"/>
      <c r="D575" s="581"/>
      <c r="E575" s="581"/>
      <c r="F575" s="580"/>
      <c r="G575" s="589"/>
      <c r="H575" s="589"/>
      <c r="I575" s="580"/>
      <c r="J575" s="580"/>
      <c r="K575" s="580"/>
      <c r="L575" s="582"/>
      <c r="M575" s="582"/>
      <c r="N575" s="585"/>
      <c r="O575" s="580"/>
      <c r="P575" s="593"/>
      <c r="Q575" s="584"/>
      <c r="R575" s="584"/>
      <c r="S575" s="584"/>
      <c r="T575" s="584"/>
      <c r="U575" s="584"/>
      <c r="V575" s="584"/>
      <c r="W575" s="584"/>
      <c r="X575" s="584"/>
      <c r="Y575" s="584"/>
      <c r="Z575" s="584"/>
      <c r="AA575" s="584"/>
      <c r="AB575" s="584"/>
      <c r="AC575" s="584"/>
      <c r="AD575" s="584"/>
      <c r="AE575" s="584"/>
      <c r="AF575" s="584"/>
    </row>
    <row r="576" ht="14.25" customHeight="1">
      <c r="A576" s="579"/>
      <c r="B576" s="580"/>
      <c r="C576" s="581"/>
      <c r="D576" s="581"/>
      <c r="E576" s="581"/>
      <c r="F576" s="580"/>
      <c r="G576" s="589"/>
      <c r="H576" s="589"/>
      <c r="I576" s="580"/>
      <c r="J576" s="580"/>
      <c r="K576" s="580"/>
      <c r="L576" s="582"/>
      <c r="M576" s="582"/>
      <c r="N576" s="585"/>
      <c r="O576" s="580"/>
      <c r="P576" s="593"/>
      <c r="Q576" s="584"/>
      <c r="R576" s="584"/>
      <c r="S576" s="584"/>
      <c r="T576" s="584"/>
      <c r="U576" s="584"/>
      <c r="V576" s="584"/>
      <c r="W576" s="584"/>
      <c r="X576" s="584"/>
      <c r="Y576" s="584"/>
      <c r="Z576" s="584"/>
      <c r="AA576" s="584"/>
      <c r="AB576" s="584"/>
      <c r="AC576" s="584"/>
      <c r="AD576" s="584"/>
      <c r="AE576" s="584"/>
      <c r="AF576" s="584"/>
    </row>
    <row r="577" ht="14.25" customHeight="1">
      <c r="A577" s="579"/>
      <c r="B577" s="580"/>
      <c r="C577" s="581"/>
      <c r="D577" s="581"/>
      <c r="E577" s="581"/>
      <c r="F577" s="580"/>
      <c r="G577" s="589"/>
      <c r="H577" s="589"/>
      <c r="I577" s="580"/>
      <c r="J577" s="580"/>
      <c r="K577" s="580"/>
      <c r="L577" s="582"/>
      <c r="M577" s="582"/>
      <c r="N577" s="585"/>
      <c r="O577" s="580"/>
      <c r="P577" s="593"/>
      <c r="Q577" s="584"/>
      <c r="R577" s="584"/>
      <c r="S577" s="584"/>
      <c r="T577" s="584"/>
      <c r="U577" s="584"/>
      <c r="V577" s="584"/>
      <c r="W577" s="584"/>
      <c r="X577" s="584"/>
      <c r="Y577" s="584"/>
      <c r="Z577" s="584"/>
      <c r="AA577" s="584"/>
      <c r="AB577" s="584"/>
      <c r="AC577" s="584"/>
      <c r="AD577" s="584"/>
      <c r="AE577" s="584"/>
      <c r="AF577" s="584"/>
    </row>
    <row r="578" ht="14.25" customHeight="1">
      <c r="A578" s="579"/>
      <c r="B578" s="580"/>
      <c r="C578" s="581"/>
      <c r="D578" s="581"/>
      <c r="E578" s="581"/>
      <c r="F578" s="580"/>
      <c r="G578" s="589"/>
      <c r="H578" s="589"/>
      <c r="I578" s="580"/>
      <c r="J578" s="580"/>
      <c r="K578" s="580"/>
      <c r="L578" s="582"/>
      <c r="M578" s="582"/>
      <c r="N578" s="585"/>
      <c r="O578" s="580"/>
      <c r="P578" s="593"/>
      <c r="Q578" s="584"/>
      <c r="R578" s="584"/>
      <c r="S578" s="584"/>
      <c r="T578" s="584"/>
      <c r="U578" s="584"/>
      <c r="V578" s="584"/>
      <c r="W578" s="584"/>
      <c r="X578" s="584"/>
      <c r="Y578" s="584"/>
      <c r="Z578" s="584"/>
      <c r="AA578" s="584"/>
      <c r="AB578" s="584"/>
      <c r="AC578" s="584"/>
      <c r="AD578" s="584"/>
      <c r="AE578" s="584"/>
      <c r="AF578" s="584"/>
    </row>
    <row r="579" ht="14.25" customHeight="1">
      <c r="A579" s="579"/>
      <c r="B579" s="580"/>
      <c r="C579" s="581"/>
      <c r="D579" s="581"/>
      <c r="E579" s="581"/>
      <c r="F579" s="580"/>
      <c r="G579" s="589"/>
      <c r="H579" s="589"/>
      <c r="I579" s="580"/>
      <c r="J579" s="580"/>
      <c r="K579" s="580"/>
      <c r="L579" s="582"/>
      <c r="M579" s="582"/>
      <c r="N579" s="585"/>
      <c r="O579" s="580"/>
      <c r="P579" s="593"/>
      <c r="Q579" s="584"/>
      <c r="R579" s="584"/>
      <c r="S579" s="584"/>
      <c r="T579" s="584"/>
      <c r="U579" s="584"/>
      <c r="V579" s="584"/>
      <c r="W579" s="584"/>
      <c r="X579" s="584"/>
      <c r="Y579" s="584"/>
      <c r="Z579" s="584"/>
      <c r="AA579" s="584"/>
      <c r="AB579" s="584"/>
      <c r="AC579" s="584"/>
      <c r="AD579" s="584"/>
      <c r="AE579" s="584"/>
      <c r="AF579" s="584"/>
    </row>
    <row r="580" ht="14.25" customHeight="1">
      <c r="A580" s="579"/>
      <c r="B580" s="580"/>
      <c r="C580" s="581"/>
      <c r="D580" s="581"/>
      <c r="E580" s="581"/>
      <c r="F580" s="580"/>
      <c r="G580" s="589"/>
      <c r="H580" s="589"/>
      <c r="I580" s="580"/>
      <c r="J580" s="580"/>
      <c r="K580" s="580"/>
      <c r="L580" s="582"/>
      <c r="M580" s="582"/>
      <c r="N580" s="585"/>
      <c r="O580" s="580"/>
      <c r="P580" s="593"/>
      <c r="Q580" s="584"/>
      <c r="R580" s="584"/>
      <c r="S580" s="584"/>
      <c r="T580" s="584"/>
      <c r="U580" s="584"/>
      <c r="V580" s="584"/>
      <c r="W580" s="584"/>
      <c r="X580" s="584"/>
      <c r="Y580" s="584"/>
      <c r="Z580" s="584"/>
      <c r="AA580" s="584"/>
      <c r="AB580" s="584"/>
      <c r="AC580" s="584"/>
      <c r="AD580" s="584"/>
      <c r="AE580" s="584"/>
      <c r="AF580" s="584"/>
    </row>
    <row r="581" ht="14.25" customHeight="1">
      <c r="A581" s="579"/>
      <c r="B581" s="580"/>
      <c r="C581" s="581"/>
      <c r="D581" s="581"/>
      <c r="E581" s="581"/>
      <c r="F581" s="580"/>
      <c r="G581" s="589"/>
      <c r="H581" s="589"/>
      <c r="I581" s="580"/>
      <c r="J581" s="580"/>
      <c r="K581" s="580"/>
      <c r="L581" s="582"/>
      <c r="M581" s="582"/>
      <c r="N581" s="585"/>
      <c r="O581" s="580"/>
      <c r="P581" s="593"/>
      <c r="Q581" s="584"/>
      <c r="R581" s="584"/>
      <c r="S581" s="584"/>
      <c r="T581" s="584"/>
      <c r="U581" s="584"/>
      <c r="V581" s="584"/>
      <c r="W581" s="584"/>
      <c r="X581" s="584"/>
      <c r="Y581" s="584"/>
      <c r="Z581" s="584"/>
      <c r="AA581" s="584"/>
      <c r="AB581" s="584"/>
      <c r="AC581" s="584"/>
      <c r="AD581" s="584"/>
      <c r="AE581" s="584"/>
      <c r="AF581" s="584"/>
    </row>
    <row r="582" ht="14.25" customHeight="1">
      <c r="A582" s="579"/>
      <c r="B582" s="580"/>
      <c r="C582" s="581"/>
      <c r="D582" s="581"/>
      <c r="E582" s="581"/>
      <c r="F582" s="580"/>
      <c r="G582" s="589"/>
      <c r="H582" s="589"/>
      <c r="I582" s="580"/>
      <c r="J582" s="580"/>
      <c r="K582" s="580"/>
      <c r="L582" s="582"/>
      <c r="M582" s="582"/>
      <c r="N582" s="585"/>
      <c r="O582" s="580"/>
      <c r="P582" s="593"/>
      <c r="Q582" s="584"/>
      <c r="R582" s="584"/>
      <c r="S582" s="584"/>
      <c r="T582" s="584"/>
      <c r="U582" s="584"/>
      <c r="V582" s="584"/>
      <c r="W582" s="584"/>
      <c r="X582" s="584"/>
      <c r="Y582" s="584"/>
      <c r="Z582" s="584"/>
      <c r="AA582" s="584"/>
      <c r="AB582" s="584"/>
      <c r="AC582" s="584"/>
      <c r="AD582" s="584"/>
      <c r="AE582" s="584"/>
      <c r="AF582" s="584"/>
    </row>
    <row r="583" ht="14.25" customHeight="1">
      <c r="A583" s="579"/>
      <c r="B583" s="580"/>
      <c r="C583" s="581"/>
      <c r="D583" s="581"/>
      <c r="E583" s="581"/>
      <c r="F583" s="580"/>
      <c r="G583" s="589"/>
      <c r="H583" s="589"/>
      <c r="I583" s="580"/>
      <c r="J583" s="580"/>
      <c r="K583" s="580"/>
      <c r="L583" s="582"/>
      <c r="M583" s="582"/>
      <c r="N583" s="585"/>
      <c r="O583" s="580"/>
      <c r="P583" s="593"/>
      <c r="Q583" s="584"/>
      <c r="R583" s="584"/>
      <c r="S583" s="584"/>
      <c r="T583" s="584"/>
      <c r="U583" s="584"/>
      <c r="V583" s="584"/>
      <c r="W583" s="584"/>
      <c r="X583" s="584"/>
      <c r="Y583" s="584"/>
      <c r="Z583" s="584"/>
      <c r="AA583" s="584"/>
      <c r="AB583" s="584"/>
      <c r="AC583" s="584"/>
      <c r="AD583" s="584"/>
      <c r="AE583" s="584"/>
      <c r="AF583" s="584"/>
    </row>
    <row r="584" ht="14.25" customHeight="1">
      <c r="A584" s="579"/>
      <c r="B584" s="580"/>
      <c r="C584" s="581"/>
      <c r="D584" s="581"/>
      <c r="E584" s="581"/>
      <c r="F584" s="580"/>
      <c r="G584" s="589"/>
      <c r="H584" s="589"/>
      <c r="I584" s="580"/>
      <c r="J584" s="580"/>
      <c r="K584" s="580"/>
      <c r="L584" s="582"/>
      <c r="M584" s="582"/>
      <c r="N584" s="585"/>
      <c r="O584" s="580"/>
      <c r="P584" s="593"/>
      <c r="Q584" s="584"/>
      <c r="R584" s="584"/>
      <c r="S584" s="584"/>
      <c r="T584" s="584"/>
      <c r="U584" s="584"/>
      <c r="V584" s="584"/>
      <c r="W584" s="584"/>
      <c r="X584" s="584"/>
      <c r="Y584" s="584"/>
      <c r="Z584" s="584"/>
      <c r="AA584" s="584"/>
      <c r="AB584" s="584"/>
      <c r="AC584" s="584"/>
      <c r="AD584" s="584"/>
      <c r="AE584" s="584"/>
      <c r="AF584" s="584"/>
    </row>
    <row r="585" ht="14.25" customHeight="1">
      <c r="A585" s="579"/>
      <c r="B585" s="580"/>
      <c r="C585" s="581"/>
      <c r="D585" s="581"/>
      <c r="E585" s="581"/>
      <c r="F585" s="580"/>
      <c r="G585" s="589"/>
      <c r="H585" s="589"/>
      <c r="I585" s="580"/>
      <c r="J585" s="580"/>
      <c r="K585" s="580"/>
      <c r="L585" s="582"/>
      <c r="M585" s="582"/>
      <c r="N585" s="585"/>
      <c r="O585" s="580"/>
      <c r="P585" s="593"/>
      <c r="Q585" s="584"/>
      <c r="R585" s="584"/>
      <c r="S585" s="584"/>
      <c r="T585" s="584"/>
      <c r="U585" s="584"/>
      <c r="V585" s="584"/>
      <c r="W585" s="584"/>
      <c r="X585" s="584"/>
      <c r="Y585" s="584"/>
      <c r="Z585" s="584"/>
      <c r="AA585" s="584"/>
      <c r="AB585" s="584"/>
      <c r="AC585" s="584"/>
      <c r="AD585" s="584"/>
      <c r="AE585" s="584"/>
      <c r="AF585" s="584"/>
    </row>
    <row r="586" ht="14.25" customHeight="1">
      <c r="A586" s="579"/>
      <c r="B586" s="580"/>
      <c r="C586" s="581"/>
      <c r="D586" s="581"/>
      <c r="E586" s="581"/>
      <c r="F586" s="580"/>
      <c r="G586" s="589"/>
      <c r="H586" s="589"/>
      <c r="I586" s="580"/>
      <c r="J586" s="580"/>
      <c r="K586" s="580"/>
      <c r="L586" s="582"/>
      <c r="M586" s="582"/>
      <c r="N586" s="585"/>
      <c r="O586" s="580"/>
      <c r="P586" s="593"/>
      <c r="Q586" s="584"/>
      <c r="R586" s="584"/>
      <c r="S586" s="584"/>
      <c r="T586" s="584"/>
      <c r="U586" s="584"/>
      <c r="V586" s="584"/>
      <c r="W586" s="584"/>
      <c r="X586" s="584"/>
      <c r="Y586" s="584"/>
      <c r="Z586" s="584"/>
      <c r="AA586" s="584"/>
      <c r="AB586" s="584"/>
      <c r="AC586" s="584"/>
      <c r="AD586" s="584"/>
      <c r="AE586" s="584"/>
      <c r="AF586" s="584"/>
    </row>
    <row r="587" ht="14.25" customHeight="1">
      <c r="A587" s="579"/>
      <c r="B587" s="580"/>
      <c r="C587" s="581"/>
      <c r="D587" s="581"/>
      <c r="E587" s="581"/>
      <c r="F587" s="580"/>
      <c r="G587" s="589"/>
      <c r="H587" s="589"/>
      <c r="I587" s="580"/>
      <c r="J587" s="580"/>
      <c r="K587" s="580"/>
      <c r="L587" s="582"/>
      <c r="M587" s="582"/>
      <c r="N587" s="585"/>
      <c r="O587" s="580"/>
      <c r="P587" s="593"/>
      <c r="Q587" s="584"/>
      <c r="R587" s="584"/>
      <c r="S587" s="584"/>
      <c r="T587" s="584"/>
      <c r="U587" s="584"/>
      <c r="V587" s="584"/>
      <c r="W587" s="584"/>
      <c r="X587" s="584"/>
      <c r="Y587" s="584"/>
      <c r="Z587" s="584"/>
      <c r="AA587" s="584"/>
      <c r="AB587" s="584"/>
      <c r="AC587" s="584"/>
      <c r="AD587" s="584"/>
      <c r="AE587" s="584"/>
      <c r="AF587" s="584"/>
    </row>
    <row r="588" ht="14.25" customHeight="1">
      <c r="A588" s="579"/>
      <c r="B588" s="580"/>
      <c r="C588" s="581"/>
      <c r="D588" s="581"/>
      <c r="E588" s="581"/>
      <c r="F588" s="580"/>
      <c r="G588" s="589"/>
      <c r="H588" s="589"/>
      <c r="I588" s="580"/>
      <c r="J588" s="580"/>
      <c r="K588" s="580"/>
      <c r="L588" s="582"/>
      <c r="M588" s="582"/>
      <c r="N588" s="585"/>
      <c r="O588" s="580"/>
      <c r="P588" s="593"/>
      <c r="Q588" s="584"/>
      <c r="R588" s="584"/>
      <c r="S588" s="584"/>
      <c r="T588" s="584"/>
      <c r="U588" s="584"/>
      <c r="V588" s="584"/>
      <c r="W588" s="584"/>
      <c r="X588" s="584"/>
      <c r="Y588" s="584"/>
      <c r="Z588" s="584"/>
      <c r="AA588" s="584"/>
      <c r="AB588" s="584"/>
      <c r="AC588" s="584"/>
      <c r="AD588" s="584"/>
      <c r="AE588" s="584"/>
      <c r="AF588" s="584"/>
    </row>
    <row r="589" ht="14.25" customHeight="1">
      <c r="A589" s="579"/>
      <c r="B589" s="580"/>
      <c r="C589" s="581"/>
      <c r="D589" s="581"/>
      <c r="E589" s="581"/>
      <c r="F589" s="580"/>
      <c r="G589" s="589"/>
      <c r="H589" s="589"/>
      <c r="I589" s="580"/>
      <c r="J589" s="580"/>
      <c r="K589" s="580"/>
      <c r="L589" s="582"/>
      <c r="M589" s="582"/>
      <c r="N589" s="585"/>
      <c r="O589" s="580"/>
      <c r="P589" s="593"/>
      <c r="Q589" s="584"/>
      <c r="R589" s="584"/>
      <c r="S589" s="584"/>
      <c r="T589" s="584"/>
      <c r="U589" s="584"/>
      <c r="V589" s="584"/>
      <c r="W589" s="584"/>
      <c r="X589" s="584"/>
      <c r="Y589" s="584"/>
      <c r="Z589" s="584"/>
      <c r="AA589" s="584"/>
      <c r="AB589" s="584"/>
      <c r="AC589" s="584"/>
      <c r="AD589" s="584"/>
      <c r="AE589" s="584"/>
      <c r="AF589" s="584"/>
    </row>
    <row r="590" ht="14.25" customHeight="1">
      <c r="A590" s="579"/>
      <c r="B590" s="580"/>
      <c r="C590" s="581"/>
      <c r="D590" s="581"/>
      <c r="E590" s="581"/>
      <c r="F590" s="580"/>
      <c r="G590" s="589"/>
      <c r="H590" s="589"/>
      <c r="I590" s="580"/>
      <c r="J590" s="580"/>
      <c r="K590" s="580"/>
      <c r="L590" s="582"/>
      <c r="M590" s="582"/>
      <c r="N590" s="585"/>
      <c r="O590" s="580"/>
      <c r="P590" s="593"/>
      <c r="Q590" s="584"/>
      <c r="R590" s="584"/>
      <c r="S590" s="584"/>
      <c r="T590" s="584"/>
      <c r="U590" s="584"/>
      <c r="V590" s="584"/>
      <c r="W590" s="584"/>
      <c r="X590" s="584"/>
      <c r="Y590" s="584"/>
      <c r="Z590" s="584"/>
      <c r="AA590" s="584"/>
      <c r="AB590" s="584"/>
      <c r="AC590" s="584"/>
      <c r="AD590" s="584"/>
      <c r="AE590" s="584"/>
      <c r="AF590" s="584"/>
    </row>
    <row r="591" ht="14.25" customHeight="1">
      <c r="A591" s="579"/>
      <c r="B591" s="580"/>
      <c r="C591" s="581"/>
      <c r="D591" s="581"/>
      <c r="E591" s="581"/>
      <c r="F591" s="580"/>
      <c r="G591" s="589"/>
      <c r="H591" s="589"/>
      <c r="I591" s="580"/>
      <c r="J591" s="580"/>
      <c r="K591" s="580"/>
      <c r="L591" s="582"/>
      <c r="M591" s="582"/>
      <c r="N591" s="585"/>
      <c r="O591" s="580"/>
      <c r="P591" s="593"/>
      <c r="Q591" s="584"/>
      <c r="R591" s="584"/>
      <c r="S591" s="584"/>
      <c r="T591" s="584"/>
      <c r="U591" s="584"/>
      <c r="V591" s="584"/>
      <c r="W591" s="584"/>
      <c r="X591" s="584"/>
      <c r="Y591" s="584"/>
      <c r="Z591" s="584"/>
      <c r="AA591" s="584"/>
      <c r="AB591" s="584"/>
      <c r="AC591" s="584"/>
      <c r="AD591" s="584"/>
      <c r="AE591" s="584"/>
      <c r="AF591" s="584"/>
    </row>
    <row r="592" ht="14.25" customHeight="1">
      <c r="A592" s="579"/>
      <c r="B592" s="580"/>
      <c r="C592" s="581"/>
      <c r="D592" s="581"/>
      <c r="E592" s="581"/>
      <c r="F592" s="580"/>
      <c r="G592" s="589"/>
      <c r="H592" s="589"/>
      <c r="I592" s="580"/>
      <c r="J592" s="580"/>
      <c r="K592" s="580"/>
      <c r="L592" s="582"/>
      <c r="M592" s="582"/>
      <c r="N592" s="585"/>
      <c r="O592" s="580"/>
      <c r="P592" s="593"/>
      <c r="Q592" s="584"/>
      <c r="R592" s="584"/>
      <c r="S592" s="584"/>
      <c r="T592" s="584"/>
      <c r="U592" s="584"/>
      <c r="V592" s="584"/>
      <c r="W592" s="584"/>
      <c r="X592" s="584"/>
      <c r="Y592" s="584"/>
      <c r="Z592" s="584"/>
      <c r="AA592" s="584"/>
      <c r="AB592" s="584"/>
      <c r="AC592" s="584"/>
      <c r="AD592" s="584"/>
      <c r="AE592" s="584"/>
      <c r="AF592" s="584"/>
    </row>
    <row r="593" ht="14.25" customHeight="1">
      <c r="A593" s="579"/>
      <c r="B593" s="580"/>
      <c r="C593" s="581"/>
      <c r="D593" s="581"/>
      <c r="E593" s="581"/>
      <c r="F593" s="580"/>
      <c r="G593" s="589"/>
      <c r="H593" s="589"/>
      <c r="I593" s="580"/>
      <c r="J593" s="580"/>
      <c r="K593" s="580"/>
      <c r="L593" s="582"/>
      <c r="M593" s="582"/>
      <c r="N593" s="585"/>
      <c r="O593" s="580"/>
      <c r="P593" s="593"/>
      <c r="Q593" s="584"/>
      <c r="R593" s="584"/>
      <c r="S593" s="584"/>
      <c r="T593" s="584"/>
      <c r="U593" s="584"/>
      <c r="V593" s="584"/>
      <c r="W593" s="584"/>
      <c r="X593" s="584"/>
      <c r="Y593" s="584"/>
      <c r="Z593" s="584"/>
      <c r="AA593" s="584"/>
      <c r="AB593" s="584"/>
      <c r="AC593" s="584"/>
      <c r="AD593" s="584"/>
      <c r="AE593" s="584"/>
      <c r="AF593" s="584"/>
    </row>
    <row r="594" ht="14.25" customHeight="1">
      <c r="A594" s="579"/>
      <c r="B594" s="580"/>
      <c r="C594" s="581"/>
      <c r="D594" s="581"/>
      <c r="E594" s="581"/>
      <c r="F594" s="580"/>
      <c r="G594" s="589"/>
      <c r="H594" s="589"/>
      <c r="I594" s="580"/>
      <c r="J594" s="580"/>
      <c r="K594" s="580"/>
      <c r="L594" s="582"/>
      <c r="M594" s="582"/>
      <c r="N594" s="585"/>
      <c r="O594" s="580"/>
      <c r="P594" s="593"/>
      <c r="Q594" s="584"/>
      <c r="R594" s="584"/>
      <c r="S594" s="584"/>
      <c r="T594" s="584"/>
      <c r="U594" s="584"/>
      <c r="V594" s="584"/>
      <c r="W594" s="584"/>
      <c r="X594" s="584"/>
      <c r="Y594" s="584"/>
      <c r="Z594" s="584"/>
      <c r="AA594" s="584"/>
      <c r="AB594" s="584"/>
      <c r="AC594" s="584"/>
      <c r="AD594" s="584"/>
      <c r="AE594" s="584"/>
      <c r="AF594" s="584"/>
    </row>
    <row r="595" ht="14.25" customHeight="1">
      <c r="A595" s="579"/>
      <c r="B595" s="580"/>
      <c r="C595" s="581"/>
      <c r="D595" s="581"/>
      <c r="E595" s="581"/>
      <c r="F595" s="580"/>
      <c r="G595" s="589"/>
      <c r="H595" s="589"/>
      <c r="I595" s="580"/>
      <c r="J595" s="580"/>
      <c r="K595" s="580"/>
      <c r="L595" s="582"/>
      <c r="M595" s="582"/>
      <c r="N595" s="585"/>
      <c r="O595" s="580"/>
      <c r="P595" s="593"/>
      <c r="Q595" s="584"/>
      <c r="R595" s="584"/>
      <c r="S595" s="584"/>
      <c r="T595" s="584"/>
      <c r="U595" s="584"/>
      <c r="V595" s="584"/>
      <c r="W595" s="584"/>
      <c r="X595" s="584"/>
      <c r="Y595" s="584"/>
      <c r="Z595" s="584"/>
      <c r="AA595" s="584"/>
      <c r="AB595" s="584"/>
      <c r="AC595" s="584"/>
      <c r="AD595" s="584"/>
      <c r="AE595" s="584"/>
      <c r="AF595" s="584"/>
    </row>
    <row r="596" ht="14.25" customHeight="1">
      <c r="A596" s="579"/>
      <c r="B596" s="580"/>
      <c r="C596" s="581"/>
      <c r="D596" s="581"/>
      <c r="E596" s="581"/>
      <c r="F596" s="580"/>
      <c r="G596" s="589"/>
      <c r="H596" s="589"/>
      <c r="I596" s="580"/>
      <c r="J596" s="580"/>
      <c r="K596" s="580"/>
      <c r="L596" s="582"/>
      <c r="M596" s="582"/>
      <c r="N596" s="585"/>
      <c r="O596" s="580"/>
      <c r="P596" s="593"/>
      <c r="Q596" s="584"/>
      <c r="R596" s="584"/>
      <c r="S596" s="584"/>
      <c r="T596" s="584"/>
      <c r="U596" s="584"/>
      <c r="V596" s="584"/>
      <c r="W596" s="584"/>
      <c r="X596" s="584"/>
      <c r="Y596" s="584"/>
      <c r="Z596" s="584"/>
      <c r="AA596" s="584"/>
      <c r="AB596" s="584"/>
      <c r="AC596" s="584"/>
      <c r="AD596" s="584"/>
      <c r="AE596" s="584"/>
      <c r="AF596" s="584"/>
    </row>
    <row r="597" ht="14.25" customHeight="1">
      <c r="A597" s="579"/>
      <c r="B597" s="580"/>
      <c r="C597" s="581"/>
      <c r="D597" s="581"/>
      <c r="E597" s="581"/>
      <c r="F597" s="580"/>
      <c r="G597" s="589"/>
      <c r="H597" s="589"/>
      <c r="I597" s="580"/>
      <c r="J597" s="580"/>
      <c r="K597" s="580"/>
      <c r="L597" s="582"/>
      <c r="M597" s="582"/>
      <c r="N597" s="585"/>
      <c r="O597" s="580"/>
      <c r="P597" s="593"/>
      <c r="Q597" s="584"/>
      <c r="R597" s="584"/>
      <c r="S597" s="584"/>
      <c r="T597" s="584"/>
      <c r="U597" s="584"/>
      <c r="V597" s="584"/>
      <c r="W597" s="584"/>
      <c r="X597" s="584"/>
      <c r="Y597" s="584"/>
      <c r="Z597" s="584"/>
      <c r="AA597" s="584"/>
      <c r="AB597" s="584"/>
      <c r="AC597" s="584"/>
      <c r="AD597" s="584"/>
      <c r="AE597" s="584"/>
      <c r="AF597" s="584"/>
    </row>
    <row r="598" ht="14.25" customHeight="1">
      <c r="A598" s="579"/>
      <c r="B598" s="580"/>
      <c r="C598" s="581"/>
      <c r="D598" s="581"/>
      <c r="E598" s="581"/>
      <c r="F598" s="580"/>
      <c r="G598" s="589"/>
      <c r="H598" s="589"/>
      <c r="I598" s="580"/>
      <c r="J598" s="580"/>
      <c r="K598" s="580"/>
      <c r="L598" s="582"/>
      <c r="M598" s="582"/>
      <c r="N598" s="585"/>
      <c r="O598" s="580"/>
      <c r="P598" s="593"/>
      <c r="Q598" s="584"/>
      <c r="R598" s="584"/>
      <c r="S598" s="584"/>
      <c r="T598" s="584"/>
      <c r="U598" s="584"/>
      <c r="V598" s="584"/>
      <c r="W598" s="584"/>
      <c r="X598" s="584"/>
      <c r="Y598" s="584"/>
      <c r="Z598" s="584"/>
      <c r="AA598" s="584"/>
      <c r="AB598" s="584"/>
      <c r="AC598" s="584"/>
      <c r="AD598" s="584"/>
      <c r="AE598" s="584"/>
      <c r="AF598" s="584"/>
    </row>
    <row r="599" ht="14.25" customHeight="1">
      <c r="A599" s="579"/>
      <c r="B599" s="580"/>
      <c r="C599" s="581"/>
      <c r="D599" s="581"/>
      <c r="E599" s="581"/>
      <c r="F599" s="580"/>
      <c r="G599" s="589"/>
      <c r="H599" s="589"/>
      <c r="I599" s="580"/>
      <c r="J599" s="580"/>
      <c r="K599" s="580"/>
      <c r="L599" s="582"/>
      <c r="M599" s="582"/>
      <c r="N599" s="585"/>
      <c r="O599" s="580"/>
      <c r="P599" s="593"/>
      <c r="Q599" s="584"/>
      <c r="R599" s="584"/>
      <c r="S599" s="584"/>
      <c r="T599" s="584"/>
      <c r="U599" s="584"/>
      <c r="V599" s="584"/>
      <c r="W599" s="584"/>
      <c r="X599" s="584"/>
      <c r="Y599" s="584"/>
      <c r="Z599" s="584"/>
      <c r="AA599" s="584"/>
      <c r="AB599" s="584"/>
      <c r="AC599" s="584"/>
      <c r="AD599" s="584"/>
      <c r="AE599" s="584"/>
      <c r="AF599" s="584"/>
    </row>
    <row r="600" ht="14.25" customHeight="1">
      <c r="A600" s="579"/>
      <c r="B600" s="580"/>
      <c r="C600" s="581"/>
      <c r="D600" s="581"/>
      <c r="E600" s="581"/>
      <c r="F600" s="580"/>
      <c r="G600" s="589"/>
      <c r="H600" s="589"/>
      <c r="I600" s="580"/>
      <c r="J600" s="580"/>
      <c r="K600" s="580"/>
      <c r="L600" s="582"/>
      <c r="M600" s="582"/>
      <c r="N600" s="585"/>
      <c r="O600" s="580"/>
      <c r="P600" s="593"/>
      <c r="Q600" s="584"/>
      <c r="R600" s="584"/>
      <c r="S600" s="584"/>
      <c r="T600" s="584"/>
      <c r="U600" s="584"/>
      <c r="V600" s="584"/>
      <c r="W600" s="584"/>
      <c r="X600" s="584"/>
      <c r="Y600" s="584"/>
      <c r="Z600" s="584"/>
      <c r="AA600" s="584"/>
      <c r="AB600" s="584"/>
      <c r="AC600" s="584"/>
      <c r="AD600" s="584"/>
      <c r="AE600" s="584"/>
      <c r="AF600" s="584"/>
    </row>
    <row r="601" ht="14.25" customHeight="1">
      <c r="A601" s="579"/>
      <c r="B601" s="580"/>
      <c r="C601" s="581"/>
      <c r="D601" s="581"/>
      <c r="E601" s="581"/>
      <c r="F601" s="580"/>
      <c r="G601" s="589"/>
      <c r="H601" s="589"/>
      <c r="I601" s="580"/>
      <c r="J601" s="580"/>
      <c r="K601" s="580"/>
      <c r="L601" s="582"/>
      <c r="M601" s="582"/>
      <c r="N601" s="585"/>
      <c r="O601" s="580"/>
      <c r="P601" s="593"/>
      <c r="Q601" s="584"/>
      <c r="R601" s="584"/>
      <c r="S601" s="584"/>
      <c r="T601" s="584"/>
      <c r="U601" s="584"/>
      <c r="V601" s="584"/>
      <c r="W601" s="584"/>
      <c r="X601" s="584"/>
      <c r="Y601" s="584"/>
      <c r="Z601" s="584"/>
      <c r="AA601" s="584"/>
      <c r="AB601" s="584"/>
      <c r="AC601" s="584"/>
      <c r="AD601" s="584"/>
      <c r="AE601" s="584"/>
      <c r="AF601" s="584"/>
    </row>
    <row r="602" ht="14.25" customHeight="1">
      <c r="A602" s="579"/>
      <c r="B602" s="580"/>
      <c r="C602" s="581"/>
      <c r="D602" s="581"/>
      <c r="E602" s="581"/>
      <c r="F602" s="580"/>
      <c r="G602" s="589"/>
      <c r="H602" s="589"/>
      <c r="I602" s="580"/>
      <c r="J602" s="580"/>
      <c r="K602" s="580"/>
      <c r="L602" s="582"/>
      <c r="M602" s="582"/>
      <c r="N602" s="585"/>
      <c r="O602" s="580"/>
      <c r="P602" s="593"/>
      <c r="Q602" s="584"/>
      <c r="R602" s="584"/>
      <c r="S602" s="584"/>
      <c r="T602" s="584"/>
      <c r="U602" s="584"/>
      <c r="V602" s="584"/>
      <c r="W602" s="584"/>
      <c r="X602" s="584"/>
      <c r="Y602" s="584"/>
      <c r="Z602" s="584"/>
      <c r="AA602" s="584"/>
      <c r="AB602" s="584"/>
      <c r="AC602" s="584"/>
      <c r="AD602" s="584"/>
      <c r="AE602" s="584"/>
      <c r="AF602" s="584"/>
    </row>
    <row r="603" ht="14.25" customHeight="1">
      <c r="A603" s="579"/>
      <c r="B603" s="580"/>
      <c r="C603" s="581"/>
      <c r="D603" s="581"/>
      <c r="E603" s="581"/>
      <c r="F603" s="580"/>
      <c r="G603" s="589"/>
      <c r="H603" s="589"/>
      <c r="I603" s="580"/>
      <c r="J603" s="580"/>
      <c r="K603" s="580"/>
      <c r="L603" s="582"/>
      <c r="M603" s="582"/>
      <c r="N603" s="585"/>
      <c r="O603" s="580"/>
      <c r="P603" s="593"/>
      <c r="Q603" s="584"/>
      <c r="R603" s="584"/>
      <c r="S603" s="584"/>
      <c r="T603" s="584"/>
      <c r="U603" s="584"/>
      <c r="V603" s="584"/>
      <c r="W603" s="584"/>
      <c r="X603" s="584"/>
      <c r="Y603" s="584"/>
      <c r="Z603" s="584"/>
      <c r="AA603" s="584"/>
      <c r="AB603" s="584"/>
      <c r="AC603" s="584"/>
      <c r="AD603" s="584"/>
      <c r="AE603" s="584"/>
      <c r="AF603" s="584"/>
    </row>
    <row r="604" ht="14.25" customHeight="1">
      <c r="A604" s="579"/>
      <c r="B604" s="580"/>
      <c r="C604" s="581"/>
      <c r="D604" s="581"/>
      <c r="E604" s="581"/>
      <c r="F604" s="580"/>
      <c r="G604" s="589"/>
      <c r="H604" s="589"/>
      <c r="I604" s="580"/>
      <c r="J604" s="580"/>
      <c r="K604" s="580"/>
      <c r="L604" s="582"/>
      <c r="M604" s="582"/>
      <c r="N604" s="585"/>
      <c r="O604" s="580"/>
      <c r="P604" s="593"/>
      <c r="Q604" s="584"/>
      <c r="R604" s="584"/>
      <c r="S604" s="584"/>
      <c r="T604" s="584"/>
      <c r="U604" s="584"/>
      <c r="V604" s="584"/>
      <c r="W604" s="584"/>
      <c r="X604" s="584"/>
      <c r="Y604" s="584"/>
      <c r="Z604" s="584"/>
      <c r="AA604" s="584"/>
      <c r="AB604" s="584"/>
      <c r="AC604" s="584"/>
      <c r="AD604" s="584"/>
      <c r="AE604" s="584"/>
      <c r="AF604" s="584"/>
    </row>
    <row r="605" ht="14.25" customHeight="1">
      <c r="A605" s="579"/>
      <c r="B605" s="580"/>
      <c r="C605" s="581"/>
      <c r="D605" s="581"/>
      <c r="E605" s="581"/>
      <c r="F605" s="580"/>
      <c r="G605" s="589"/>
      <c r="H605" s="589"/>
      <c r="I605" s="580"/>
      <c r="J605" s="580"/>
      <c r="K605" s="580"/>
      <c r="L605" s="582"/>
      <c r="M605" s="582"/>
      <c r="N605" s="585"/>
      <c r="O605" s="580"/>
      <c r="P605" s="593"/>
      <c r="Q605" s="584"/>
      <c r="R605" s="584"/>
      <c r="S605" s="584"/>
      <c r="T605" s="584"/>
      <c r="U605" s="584"/>
      <c r="V605" s="584"/>
      <c r="W605" s="584"/>
      <c r="X605" s="584"/>
      <c r="Y605" s="584"/>
      <c r="Z605" s="584"/>
      <c r="AA605" s="584"/>
      <c r="AB605" s="584"/>
      <c r="AC605" s="584"/>
      <c r="AD605" s="584"/>
      <c r="AE605" s="584"/>
      <c r="AF605" s="584"/>
    </row>
    <row r="606" ht="14.25" customHeight="1">
      <c r="A606" s="579"/>
      <c r="B606" s="580"/>
      <c r="C606" s="581"/>
      <c r="D606" s="581"/>
      <c r="E606" s="581"/>
      <c r="F606" s="580"/>
      <c r="G606" s="589"/>
      <c r="H606" s="589"/>
      <c r="I606" s="580"/>
      <c r="J606" s="580"/>
      <c r="K606" s="580"/>
      <c r="L606" s="582"/>
      <c r="M606" s="582"/>
      <c r="N606" s="585"/>
      <c r="O606" s="580"/>
      <c r="P606" s="593"/>
      <c r="Q606" s="584"/>
      <c r="R606" s="584"/>
      <c r="S606" s="584"/>
      <c r="T606" s="584"/>
      <c r="U606" s="584"/>
      <c r="V606" s="584"/>
      <c r="W606" s="584"/>
      <c r="X606" s="584"/>
      <c r="Y606" s="584"/>
      <c r="Z606" s="584"/>
      <c r="AA606" s="584"/>
      <c r="AB606" s="584"/>
      <c r="AC606" s="584"/>
      <c r="AD606" s="584"/>
      <c r="AE606" s="584"/>
      <c r="AF606" s="584"/>
    </row>
    <row r="607" ht="14.25" customHeight="1">
      <c r="A607" s="579"/>
      <c r="B607" s="580"/>
      <c r="C607" s="581"/>
      <c r="D607" s="581"/>
      <c r="E607" s="581"/>
      <c r="F607" s="580"/>
      <c r="G607" s="589"/>
      <c r="H607" s="589"/>
      <c r="I607" s="580"/>
      <c r="J607" s="580"/>
      <c r="K607" s="580"/>
      <c r="L607" s="582"/>
      <c r="M607" s="582"/>
      <c r="N607" s="585"/>
      <c r="O607" s="580"/>
      <c r="P607" s="593"/>
      <c r="Q607" s="584"/>
      <c r="R607" s="584"/>
      <c r="S607" s="584"/>
      <c r="T607" s="584"/>
      <c r="U607" s="584"/>
      <c r="V607" s="584"/>
      <c r="W607" s="584"/>
      <c r="X607" s="584"/>
      <c r="Y607" s="584"/>
      <c r="Z607" s="584"/>
      <c r="AA607" s="584"/>
      <c r="AB607" s="584"/>
      <c r="AC607" s="584"/>
      <c r="AD607" s="584"/>
      <c r="AE607" s="584"/>
      <c r="AF607" s="584"/>
    </row>
    <row r="608" ht="14.25" customHeight="1">
      <c r="A608" s="579"/>
      <c r="B608" s="580"/>
      <c r="C608" s="581"/>
      <c r="D608" s="581"/>
      <c r="E608" s="581"/>
      <c r="F608" s="580"/>
      <c r="G608" s="589"/>
      <c r="H608" s="589"/>
      <c r="I608" s="580"/>
      <c r="J608" s="580"/>
      <c r="K608" s="580"/>
      <c r="L608" s="582"/>
      <c r="M608" s="582"/>
      <c r="N608" s="585"/>
      <c r="O608" s="580"/>
      <c r="P608" s="593"/>
      <c r="Q608" s="584"/>
      <c r="R608" s="584"/>
      <c r="S608" s="584"/>
      <c r="T608" s="584"/>
      <c r="U608" s="584"/>
      <c r="V608" s="584"/>
      <c r="W608" s="584"/>
      <c r="X608" s="584"/>
      <c r="Y608" s="584"/>
      <c r="Z608" s="584"/>
      <c r="AA608" s="584"/>
      <c r="AB608" s="584"/>
      <c r="AC608" s="584"/>
      <c r="AD608" s="584"/>
      <c r="AE608" s="584"/>
      <c r="AF608" s="584"/>
    </row>
    <row r="609" ht="14.25" customHeight="1">
      <c r="A609" s="579"/>
      <c r="B609" s="580"/>
      <c r="C609" s="581"/>
      <c r="D609" s="581"/>
      <c r="E609" s="581"/>
      <c r="F609" s="580"/>
      <c r="G609" s="589"/>
      <c r="H609" s="589"/>
      <c r="I609" s="580"/>
      <c r="J609" s="580"/>
      <c r="K609" s="580"/>
      <c r="L609" s="582"/>
      <c r="M609" s="582"/>
      <c r="N609" s="585"/>
      <c r="O609" s="580"/>
      <c r="P609" s="593"/>
      <c r="Q609" s="584"/>
      <c r="R609" s="584"/>
      <c r="S609" s="584"/>
      <c r="T609" s="584"/>
      <c r="U609" s="584"/>
      <c r="V609" s="584"/>
      <c r="W609" s="584"/>
      <c r="X609" s="584"/>
      <c r="Y609" s="584"/>
      <c r="Z609" s="584"/>
      <c r="AA609" s="584"/>
      <c r="AB609" s="584"/>
      <c r="AC609" s="584"/>
      <c r="AD609" s="584"/>
      <c r="AE609" s="584"/>
      <c r="AF609" s="584"/>
    </row>
    <row r="610" ht="14.25" customHeight="1">
      <c r="A610" s="579"/>
      <c r="B610" s="580"/>
      <c r="C610" s="581"/>
      <c r="D610" s="581"/>
      <c r="E610" s="581"/>
      <c r="F610" s="580"/>
      <c r="G610" s="589"/>
      <c r="H610" s="589"/>
      <c r="I610" s="580"/>
      <c r="J610" s="580"/>
      <c r="K610" s="580"/>
      <c r="L610" s="582"/>
      <c r="M610" s="582"/>
      <c r="N610" s="585"/>
      <c r="O610" s="580"/>
      <c r="P610" s="593"/>
      <c r="Q610" s="584"/>
      <c r="R610" s="584"/>
      <c r="S610" s="584"/>
      <c r="T610" s="584"/>
      <c r="U610" s="584"/>
      <c r="V610" s="584"/>
      <c r="W610" s="584"/>
      <c r="X610" s="584"/>
      <c r="Y610" s="584"/>
      <c r="Z610" s="584"/>
      <c r="AA610" s="584"/>
      <c r="AB610" s="584"/>
      <c r="AC610" s="584"/>
      <c r="AD610" s="584"/>
      <c r="AE610" s="584"/>
      <c r="AF610" s="584"/>
    </row>
    <row r="611" ht="14.25" customHeight="1">
      <c r="A611" s="579"/>
      <c r="B611" s="580"/>
      <c r="C611" s="581"/>
      <c r="D611" s="581"/>
      <c r="E611" s="581"/>
      <c r="F611" s="580"/>
      <c r="G611" s="589"/>
      <c r="H611" s="589"/>
      <c r="I611" s="580"/>
      <c r="J611" s="580"/>
      <c r="K611" s="580"/>
      <c r="L611" s="582"/>
      <c r="M611" s="582"/>
      <c r="N611" s="585"/>
      <c r="O611" s="580"/>
      <c r="P611" s="593"/>
      <c r="Q611" s="584"/>
      <c r="R611" s="584"/>
      <c r="S611" s="584"/>
      <c r="T611" s="584"/>
      <c r="U611" s="584"/>
      <c r="V611" s="584"/>
      <c r="W611" s="584"/>
      <c r="X611" s="584"/>
      <c r="Y611" s="584"/>
      <c r="Z611" s="584"/>
      <c r="AA611" s="584"/>
      <c r="AB611" s="584"/>
      <c r="AC611" s="584"/>
      <c r="AD611" s="584"/>
      <c r="AE611" s="584"/>
      <c r="AF611" s="584"/>
    </row>
    <row r="612" ht="14.25" customHeight="1">
      <c r="A612" s="579"/>
      <c r="B612" s="580"/>
      <c r="C612" s="581"/>
      <c r="D612" s="581"/>
      <c r="E612" s="581"/>
      <c r="F612" s="580"/>
      <c r="G612" s="589"/>
      <c r="H612" s="589"/>
      <c r="I612" s="580"/>
      <c r="J612" s="580"/>
      <c r="K612" s="580"/>
      <c r="L612" s="582"/>
      <c r="M612" s="582"/>
      <c r="N612" s="585"/>
      <c r="O612" s="580"/>
      <c r="P612" s="593"/>
      <c r="Q612" s="584"/>
      <c r="R612" s="584"/>
      <c r="S612" s="584"/>
      <c r="T612" s="584"/>
      <c r="U612" s="584"/>
      <c r="V612" s="584"/>
      <c r="W612" s="584"/>
      <c r="X612" s="584"/>
      <c r="Y612" s="584"/>
      <c r="Z612" s="584"/>
      <c r="AA612" s="584"/>
      <c r="AB612" s="584"/>
      <c r="AC612" s="584"/>
      <c r="AD612" s="584"/>
      <c r="AE612" s="584"/>
      <c r="AF612" s="584"/>
    </row>
    <row r="613" ht="14.25" customHeight="1">
      <c r="A613" s="579"/>
      <c r="B613" s="580"/>
      <c r="C613" s="581"/>
      <c r="D613" s="581"/>
      <c r="E613" s="581"/>
      <c r="F613" s="580"/>
      <c r="G613" s="589"/>
      <c r="H613" s="589"/>
      <c r="I613" s="580"/>
      <c r="J613" s="580"/>
      <c r="K613" s="580"/>
      <c r="L613" s="582"/>
      <c r="M613" s="582"/>
      <c r="N613" s="585"/>
      <c r="O613" s="580"/>
      <c r="P613" s="593"/>
      <c r="Q613" s="584"/>
      <c r="R613" s="584"/>
      <c r="S613" s="584"/>
      <c r="T613" s="584"/>
      <c r="U613" s="584"/>
      <c r="V613" s="584"/>
      <c r="W613" s="584"/>
      <c r="X613" s="584"/>
      <c r="Y613" s="584"/>
      <c r="Z613" s="584"/>
      <c r="AA613" s="584"/>
      <c r="AB613" s="584"/>
      <c r="AC613" s="584"/>
      <c r="AD613" s="584"/>
      <c r="AE613" s="584"/>
      <c r="AF613" s="584"/>
    </row>
    <row r="614" ht="14.25" customHeight="1">
      <c r="A614" s="579"/>
      <c r="B614" s="580"/>
      <c r="C614" s="581"/>
      <c r="D614" s="581"/>
      <c r="E614" s="581"/>
      <c r="F614" s="580"/>
      <c r="G614" s="589"/>
      <c r="H614" s="589"/>
      <c r="I614" s="580"/>
      <c r="J614" s="580"/>
      <c r="K614" s="580"/>
      <c r="L614" s="582"/>
      <c r="M614" s="582"/>
      <c r="N614" s="585"/>
      <c r="O614" s="580"/>
      <c r="P614" s="593"/>
      <c r="Q614" s="584"/>
      <c r="R614" s="584"/>
      <c r="S614" s="584"/>
      <c r="T614" s="584"/>
      <c r="U614" s="584"/>
      <c r="V614" s="584"/>
      <c r="W614" s="584"/>
      <c r="X614" s="584"/>
      <c r="Y614" s="584"/>
      <c r="Z614" s="584"/>
      <c r="AA614" s="584"/>
      <c r="AB614" s="584"/>
      <c r="AC614" s="584"/>
      <c r="AD614" s="584"/>
      <c r="AE614" s="584"/>
      <c r="AF614" s="584"/>
    </row>
    <row r="615" ht="14.25" customHeight="1">
      <c r="A615" s="579"/>
      <c r="B615" s="580"/>
      <c r="C615" s="581"/>
      <c r="D615" s="581"/>
      <c r="E615" s="581"/>
      <c r="F615" s="580"/>
      <c r="G615" s="589"/>
      <c r="H615" s="589"/>
      <c r="I615" s="580"/>
      <c r="J615" s="580"/>
      <c r="K615" s="580"/>
      <c r="L615" s="582"/>
      <c r="M615" s="582"/>
      <c r="N615" s="585"/>
      <c r="O615" s="580"/>
      <c r="P615" s="593"/>
      <c r="Q615" s="584"/>
      <c r="R615" s="584"/>
      <c r="S615" s="584"/>
      <c r="T615" s="584"/>
      <c r="U615" s="584"/>
      <c r="V615" s="584"/>
      <c r="W615" s="584"/>
      <c r="X615" s="584"/>
      <c r="Y615" s="584"/>
      <c r="Z615" s="584"/>
      <c r="AA615" s="584"/>
      <c r="AB615" s="584"/>
      <c r="AC615" s="584"/>
      <c r="AD615" s="584"/>
      <c r="AE615" s="584"/>
      <c r="AF615" s="584"/>
    </row>
    <row r="616" ht="14.25" customHeight="1">
      <c r="A616" s="579"/>
      <c r="B616" s="580"/>
      <c r="C616" s="581"/>
      <c r="D616" s="581"/>
      <c r="E616" s="581"/>
      <c r="F616" s="580"/>
      <c r="G616" s="589"/>
      <c r="H616" s="589"/>
      <c r="I616" s="580"/>
      <c r="J616" s="580"/>
      <c r="K616" s="580"/>
      <c r="L616" s="582"/>
      <c r="M616" s="582"/>
      <c r="N616" s="585"/>
      <c r="O616" s="580"/>
      <c r="P616" s="593"/>
      <c r="Q616" s="584"/>
      <c r="R616" s="584"/>
      <c r="S616" s="584"/>
      <c r="T616" s="584"/>
      <c r="U616" s="584"/>
      <c r="V616" s="584"/>
      <c r="W616" s="584"/>
      <c r="X616" s="584"/>
      <c r="Y616" s="584"/>
      <c r="Z616" s="584"/>
      <c r="AA616" s="584"/>
      <c r="AB616" s="584"/>
      <c r="AC616" s="584"/>
      <c r="AD616" s="584"/>
      <c r="AE616" s="584"/>
      <c r="AF616" s="584"/>
    </row>
    <row r="617" ht="14.25" customHeight="1">
      <c r="A617" s="584"/>
      <c r="B617" s="584"/>
      <c r="C617" s="612"/>
      <c r="D617" s="612"/>
      <c r="E617" s="584"/>
      <c r="F617" s="584"/>
      <c r="G617" s="584"/>
      <c r="H617" s="584"/>
      <c r="I617" s="584"/>
      <c r="J617" s="584"/>
      <c r="K617" s="584"/>
      <c r="L617" s="613"/>
      <c r="M617" s="613"/>
      <c r="N617" s="614"/>
      <c r="O617" s="584"/>
      <c r="P617" s="584"/>
      <c r="Q617" s="584"/>
      <c r="R617" s="584"/>
      <c r="S617" s="584"/>
      <c r="T617" s="584"/>
      <c r="U617" s="584"/>
      <c r="V617" s="584"/>
      <c r="W617" s="584"/>
      <c r="X617" s="584"/>
      <c r="Y617" s="584"/>
      <c r="Z617" s="584"/>
      <c r="AA617" s="584"/>
      <c r="AB617" s="584"/>
      <c r="AC617" s="584"/>
      <c r="AD617" s="584"/>
      <c r="AE617" s="584"/>
      <c r="AF617" s="584"/>
    </row>
    <row r="618" ht="14.25" customHeight="1">
      <c r="A618" s="584"/>
      <c r="B618" s="584"/>
      <c r="C618" s="612"/>
      <c r="D618" s="612"/>
      <c r="E618" s="584"/>
      <c r="F618" s="584"/>
      <c r="G618" s="584"/>
      <c r="H618" s="584"/>
      <c r="I618" s="584"/>
      <c r="J618" s="584"/>
      <c r="K618" s="584"/>
      <c r="L618" s="613"/>
      <c r="M618" s="613"/>
      <c r="N618" s="613"/>
      <c r="O618" s="584"/>
      <c r="P618" s="584"/>
      <c r="Q618" s="584"/>
      <c r="R618" s="584"/>
      <c r="S618" s="584"/>
      <c r="T618" s="584"/>
      <c r="U618" s="584"/>
      <c r="V618" s="584"/>
      <c r="W618" s="584"/>
      <c r="X618" s="584"/>
      <c r="Y618" s="584"/>
      <c r="Z618" s="584"/>
      <c r="AA618" s="584"/>
      <c r="AB618" s="584"/>
      <c r="AC618" s="584"/>
      <c r="AD618" s="584"/>
      <c r="AE618" s="584"/>
      <c r="AF618" s="584"/>
    </row>
    <row r="619" ht="14.25" customHeight="1">
      <c r="A619" s="584"/>
      <c r="B619" s="584"/>
      <c r="C619" s="612"/>
      <c r="D619" s="612"/>
      <c r="E619" s="584"/>
      <c r="F619" s="584"/>
      <c r="G619" s="584"/>
      <c r="H619" s="584"/>
      <c r="I619" s="584"/>
      <c r="J619" s="584"/>
      <c r="K619" s="584"/>
      <c r="L619" s="613"/>
      <c r="M619" s="613"/>
      <c r="N619" s="613"/>
      <c r="O619" s="584"/>
      <c r="P619" s="584"/>
      <c r="Q619" s="584"/>
      <c r="R619" s="584"/>
      <c r="S619" s="584"/>
      <c r="T619" s="584"/>
      <c r="U619" s="584"/>
      <c r="V619" s="584"/>
      <c r="W619" s="584"/>
      <c r="X619" s="584"/>
      <c r="Y619" s="584"/>
      <c r="Z619" s="584"/>
      <c r="AA619" s="584"/>
      <c r="AB619" s="584"/>
      <c r="AC619" s="584"/>
      <c r="AD619" s="584"/>
      <c r="AE619" s="584"/>
      <c r="AF619" s="584"/>
    </row>
    <row r="620" ht="14.25" customHeight="1">
      <c r="A620" s="584"/>
      <c r="B620" s="584"/>
      <c r="C620" s="612"/>
      <c r="D620" s="612"/>
      <c r="E620" s="584"/>
      <c r="F620" s="584"/>
      <c r="G620" s="584"/>
      <c r="H620" s="584"/>
      <c r="I620" s="584"/>
      <c r="J620" s="584"/>
      <c r="K620" s="584"/>
      <c r="L620" s="613"/>
      <c r="M620" s="613"/>
      <c r="N620" s="613"/>
      <c r="O620" s="584"/>
      <c r="P620" s="584"/>
      <c r="Q620" s="584"/>
      <c r="R620" s="584"/>
      <c r="S620" s="584"/>
      <c r="T620" s="584"/>
      <c r="U620" s="584"/>
      <c r="V620" s="584"/>
      <c r="W620" s="584"/>
      <c r="X620" s="584"/>
      <c r="Y620" s="584"/>
      <c r="Z620" s="584"/>
      <c r="AA620" s="584"/>
      <c r="AB620" s="584"/>
      <c r="AC620" s="584"/>
      <c r="AD620" s="584"/>
      <c r="AE620" s="584"/>
      <c r="AF620" s="584"/>
    </row>
    <row r="621" ht="14.25" customHeight="1">
      <c r="A621" s="584"/>
      <c r="B621" s="584"/>
      <c r="C621" s="612"/>
      <c r="D621" s="612"/>
      <c r="E621" s="584"/>
      <c r="F621" s="584"/>
      <c r="G621" s="584"/>
      <c r="H621" s="584"/>
      <c r="I621" s="584"/>
      <c r="J621" s="584"/>
      <c r="K621" s="584"/>
      <c r="L621" s="613"/>
      <c r="M621" s="613"/>
      <c r="N621" s="613"/>
      <c r="O621" s="584"/>
      <c r="P621" s="584"/>
      <c r="Q621" s="584"/>
      <c r="R621" s="584"/>
      <c r="S621" s="584"/>
      <c r="T621" s="584"/>
      <c r="U621" s="584"/>
      <c r="V621" s="584"/>
      <c r="W621" s="584"/>
      <c r="X621" s="584"/>
      <c r="Y621" s="584"/>
      <c r="Z621" s="584"/>
      <c r="AA621" s="584"/>
      <c r="AB621" s="584"/>
      <c r="AC621" s="584"/>
      <c r="AD621" s="584"/>
      <c r="AE621" s="584"/>
      <c r="AF621" s="584"/>
    </row>
    <row r="622" ht="14.25" customHeight="1">
      <c r="A622" s="584"/>
      <c r="B622" s="584"/>
      <c r="C622" s="612"/>
      <c r="D622" s="612"/>
      <c r="E622" s="584"/>
      <c r="F622" s="584"/>
      <c r="G622" s="584"/>
      <c r="H622" s="584"/>
      <c r="I622" s="584"/>
      <c r="J622" s="584"/>
      <c r="K622" s="584"/>
      <c r="L622" s="613"/>
      <c r="M622" s="613"/>
      <c r="N622" s="613"/>
      <c r="O622" s="584"/>
      <c r="P622" s="584"/>
      <c r="Q622" s="584"/>
      <c r="R622" s="584"/>
      <c r="S622" s="584"/>
      <c r="T622" s="584"/>
      <c r="U622" s="584"/>
      <c r="V622" s="584"/>
      <c r="W622" s="584"/>
      <c r="X622" s="584"/>
      <c r="Y622" s="584"/>
      <c r="Z622" s="584"/>
      <c r="AA622" s="584"/>
      <c r="AB622" s="584"/>
      <c r="AC622" s="584"/>
      <c r="AD622" s="584"/>
      <c r="AE622" s="584"/>
      <c r="AF622" s="584"/>
    </row>
    <row r="623" ht="14.25" customHeight="1">
      <c r="A623" s="584"/>
      <c r="B623" s="584"/>
      <c r="C623" s="612"/>
      <c r="D623" s="612"/>
      <c r="E623" s="584"/>
      <c r="F623" s="584"/>
      <c r="G623" s="584"/>
      <c r="H623" s="584"/>
      <c r="I623" s="584"/>
      <c r="J623" s="584"/>
      <c r="K623" s="584"/>
      <c r="L623" s="613"/>
      <c r="M623" s="613"/>
      <c r="N623" s="614"/>
      <c r="O623" s="584"/>
      <c r="P623" s="584"/>
      <c r="Q623" s="584"/>
      <c r="R623" s="584"/>
      <c r="S623" s="584"/>
      <c r="T623" s="584"/>
      <c r="U623" s="584"/>
      <c r="V623" s="584"/>
      <c r="W623" s="584"/>
      <c r="X623" s="584"/>
      <c r="Y623" s="584"/>
      <c r="Z623" s="584"/>
      <c r="AA623" s="584"/>
      <c r="AB623" s="584"/>
      <c r="AC623" s="584"/>
      <c r="AD623" s="584"/>
      <c r="AE623" s="584"/>
      <c r="AF623" s="584"/>
    </row>
    <row r="624" ht="14.25" customHeight="1">
      <c r="A624" s="579"/>
      <c r="B624" s="580"/>
      <c r="C624" s="581"/>
      <c r="D624" s="581"/>
      <c r="E624" s="581"/>
      <c r="F624" s="580"/>
      <c r="G624" s="589"/>
      <c r="H624" s="589"/>
      <c r="I624" s="580"/>
      <c r="J624" s="580"/>
      <c r="K624" s="580"/>
      <c r="L624" s="582"/>
      <c r="M624" s="582"/>
      <c r="N624" s="585"/>
      <c r="O624" s="580"/>
      <c r="P624" s="593"/>
      <c r="Q624" s="584"/>
      <c r="R624" s="584"/>
      <c r="S624" s="584"/>
      <c r="T624" s="584"/>
      <c r="U624" s="584"/>
      <c r="V624" s="584"/>
      <c r="W624" s="584"/>
      <c r="X624" s="584"/>
      <c r="Y624" s="584"/>
      <c r="Z624" s="584"/>
      <c r="AA624" s="584"/>
      <c r="AB624" s="584"/>
      <c r="AC624" s="584"/>
      <c r="AD624" s="584"/>
      <c r="AE624" s="584"/>
      <c r="AF624" s="584"/>
    </row>
    <row r="625" ht="14.25" customHeight="1">
      <c r="A625" s="579"/>
      <c r="B625" s="580"/>
      <c r="C625" s="581"/>
      <c r="D625" s="581"/>
      <c r="E625" s="581"/>
      <c r="F625" s="580"/>
      <c r="G625" s="589"/>
      <c r="H625" s="589"/>
      <c r="I625" s="580"/>
      <c r="J625" s="580"/>
      <c r="K625" s="580"/>
      <c r="L625" s="582"/>
      <c r="M625" s="582"/>
      <c r="N625" s="585"/>
      <c r="O625" s="580"/>
      <c r="P625" s="593"/>
      <c r="Q625" s="584"/>
      <c r="R625" s="584"/>
      <c r="S625" s="584"/>
      <c r="T625" s="584"/>
      <c r="U625" s="584"/>
      <c r="V625" s="584"/>
      <c r="W625" s="584"/>
      <c r="X625" s="584"/>
      <c r="Y625" s="584"/>
      <c r="Z625" s="584"/>
      <c r="AA625" s="584"/>
      <c r="AB625" s="584"/>
      <c r="AC625" s="584"/>
      <c r="AD625" s="584"/>
      <c r="AE625" s="584"/>
      <c r="AF625" s="584"/>
    </row>
    <row r="626" ht="14.25" customHeight="1">
      <c r="A626" s="579"/>
      <c r="B626" s="580"/>
      <c r="C626" s="581"/>
      <c r="D626" s="581"/>
      <c r="E626" s="581"/>
      <c r="F626" s="580"/>
      <c r="G626" s="589"/>
      <c r="H626" s="589"/>
      <c r="I626" s="580"/>
      <c r="J626" s="580"/>
      <c r="K626" s="580"/>
      <c r="L626" s="582"/>
      <c r="M626" s="582"/>
      <c r="N626" s="585"/>
      <c r="O626" s="580"/>
      <c r="P626" s="593"/>
      <c r="Q626" s="584"/>
      <c r="R626" s="584"/>
      <c r="S626" s="584"/>
      <c r="T626" s="584"/>
      <c r="U626" s="584"/>
      <c r="V626" s="584"/>
      <c r="W626" s="584"/>
      <c r="X626" s="584"/>
      <c r="Y626" s="584"/>
      <c r="Z626" s="584"/>
      <c r="AA626" s="584"/>
      <c r="AB626" s="584"/>
      <c r="AC626" s="584"/>
      <c r="AD626" s="584"/>
      <c r="AE626" s="584"/>
      <c r="AF626" s="584"/>
    </row>
    <row r="627" ht="14.25" customHeight="1">
      <c r="A627" s="579"/>
      <c r="B627" s="580"/>
      <c r="C627" s="581"/>
      <c r="D627" s="581"/>
      <c r="E627" s="581"/>
      <c r="F627" s="580"/>
      <c r="G627" s="589"/>
      <c r="H627" s="589"/>
      <c r="I627" s="580"/>
      <c r="J627" s="580"/>
      <c r="K627" s="580"/>
      <c r="L627" s="582"/>
      <c r="M627" s="582"/>
      <c r="N627" s="585"/>
      <c r="O627" s="580"/>
      <c r="P627" s="593"/>
      <c r="Q627" s="584"/>
      <c r="R627" s="584"/>
      <c r="S627" s="584"/>
      <c r="T627" s="584"/>
      <c r="U627" s="584"/>
      <c r="V627" s="584"/>
      <c r="W627" s="584"/>
      <c r="X627" s="584"/>
      <c r="Y627" s="584"/>
      <c r="Z627" s="584"/>
      <c r="AA627" s="584"/>
      <c r="AB627" s="584"/>
      <c r="AC627" s="584"/>
      <c r="AD627" s="584"/>
      <c r="AE627" s="584"/>
      <c r="AF627" s="584"/>
    </row>
    <row r="628" ht="14.25" customHeight="1">
      <c r="A628" s="579"/>
      <c r="B628" s="580"/>
      <c r="C628" s="581"/>
      <c r="D628" s="581"/>
      <c r="E628" s="581"/>
      <c r="F628" s="580"/>
      <c r="G628" s="589"/>
      <c r="H628" s="589"/>
      <c r="I628" s="580"/>
      <c r="J628" s="580"/>
      <c r="K628" s="580"/>
      <c r="L628" s="582"/>
      <c r="M628" s="582"/>
      <c r="N628" s="585"/>
      <c r="O628" s="580"/>
      <c r="P628" s="593"/>
      <c r="Q628" s="584"/>
      <c r="R628" s="584"/>
      <c r="S628" s="584"/>
      <c r="T628" s="584"/>
      <c r="U628" s="584"/>
      <c r="V628" s="584"/>
      <c r="W628" s="584"/>
      <c r="X628" s="584"/>
      <c r="Y628" s="584"/>
      <c r="Z628" s="584"/>
      <c r="AA628" s="584"/>
      <c r="AB628" s="584"/>
      <c r="AC628" s="584"/>
      <c r="AD628" s="584"/>
      <c r="AE628" s="584"/>
      <c r="AF628" s="584"/>
    </row>
    <row r="629" ht="14.25" customHeight="1">
      <c r="A629" s="579"/>
      <c r="B629" s="580"/>
      <c r="C629" s="581"/>
      <c r="D629" s="581"/>
      <c r="E629" s="581"/>
      <c r="F629" s="580"/>
      <c r="G629" s="589"/>
      <c r="H629" s="589"/>
      <c r="I629" s="580"/>
      <c r="J629" s="580"/>
      <c r="K629" s="580"/>
      <c r="L629" s="582"/>
      <c r="M629" s="582"/>
      <c r="N629" s="585"/>
      <c r="O629" s="580"/>
      <c r="P629" s="593"/>
      <c r="Q629" s="584"/>
      <c r="R629" s="584"/>
      <c r="S629" s="584"/>
      <c r="T629" s="584"/>
      <c r="U629" s="584"/>
      <c r="V629" s="584"/>
      <c r="W629" s="584"/>
      <c r="X629" s="584"/>
      <c r="Y629" s="584"/>
      <c r="Z629" s="584"/>
      <c r="AA629" s="584"/>
      <c r="AB629" s="584"/>
      <c r="AC629" s="584"/>
      <c r="AD629" s="584"/>
      <c r="AE629" s="584"/>
      <c r="AF629" s="584"/>
    </row>
    <row r="630" ht="14.25" customHeight="1">
      <c r="A630" s="579"/>
      <c r="B630" s="580"/>
      <c r="C630" s="581"/>
      <c r="D630" s="581"/>
      <c r="E630" s="581"/>
      <c r="F630" s="580"/>
      <c r="G630" s="589"/>
      <c r="H630" s="589"/>
      <c r="I630" s="580"/>
      <c r="J630" s="580"/>
      <c r="K630" s="580"/>
      <c r="L630" s="582"/>
      <c r="M630" s="582"/>
      <c r="N630" s="585"/>
      <c r="O630" s="580"/>
      <c r="P630" s="593"/>
      <c r="Q630" s="584"/>
      <c r="R630" s="584"/>
      <c r="S630" s="584"/>
      <c r="T630" s="584"/>
      <c r="U630" s="584"/>
      <c r="V630" s="584"/>
      <c r="W630" s="584"/>
      <c r="X630" s="584"/>
      <c r="Y630" s="584"/>
      <c r="Z630" s="584"/>
      <c r="AA630" s="584"/>
      <c r="AB630" s="584"/>
      <c r="AC630" s="584"/>
      <c r="AD630" s="584"/>
      <c r="AE630" s="584"/>
      <c r="AF630" s="584"/>
    </row>
    <row r="631" ht="14.25" customHeight="1">
      <c r="A631" s="579"/>
      <c r="B631" s="580"/>
      <c r="C631" s="581"/>
      <c r="D631" s="581"/>
      <c r="E631" s="581"/>
      <c r="F631" s="580"/>
      <c r="G631" s="589"/>
      <c r="H631" s="589"/>
      <c r="I631" s="580"/>
      <c r="J631" s="580"/>
      <c r="K631" s="580"/>
      <c r="L631" s="582"/>
      <c r="M631" s="582"/>
      <c r="N631" s="585"/>
      <c r="O631" s="580"/>
      <c r="P631" s="593"/>
      <c r="Q631" s="584"/>
      <c r="R631" s="584"/>
      <c r="S631" s="584"/>
      <c r="T631" s="584"/>
      <c r="U631" s="584"/>
      <c r="V631" s="584"/>
      <c r="W631" s="584"/>
      <c r="X631" s="584"/>
      <c r="Y631" s="584"/>
      <c r="Z631" s="584"/>
      <c r="AA631" s="584"/>
      <c r="AB631" s="584"/>
      <c r="AC631" s="584"/>
      <c r="AD631" s="584"/>
      <c r="AE631" s="584"/>
      <c r="AF631" s="584"/>
    </row>
    <row r="632" ht="14.25" customHeight="1">
      <c r="A632" s="579"/>
      <c r="B632" s="580"/>
      <c r="C632" s="581"/>
      <c r="D632" s="581"/>
      <c r="E632" s="581"/>
      <c r="F632" s="580"/>
      <c r="G632" s="589"/>
      <c r="H632" s="589"/>
      <c r="I632" s="580"/>
      <c r="J632" s="580"/>
      <c r="K632" s="580"/>
      <c r="L632" s="582"/>
      <c r="M632" s="582"/>
      <c r="N632" s="585"/>
      <c r="O632" s="580"/>
      <c r="P632" s="593"/>
      <c r="Q632" s="584"/>
      <c r="R632" s="584"/>
      <c r="S632" s="584"/>
      <c r="T632" s="584"/>
      <c r="U632" s="584"/>
      <c r="V632" s="584"/>
      <c r="W632" s="584"/>
      <c r="X632" s="584"/>
      <c r="Y632" s="584"/>
      <c r="Z632" s="584"/>
      <c r="AA632" s="584"/>
      <c r="AB632" s="584"/>
      <c r="AC632" s="584"/>
      <c r="AD632" s="584"/>
      <c r="AE632" s="584"/>
      <c r="AF632" s="584"/>
    </row>
    <row r="633" ht="14.25" customHeight="1">
      <c r="A633" s="579"/>
      <c r="B633" s="580"/>
      <c r="C633" s="581"/>
      <c r="D633" s="581"/>
      <c r="E633" s="581"/>
      <c r="F633" s="580"/>
      <c r="G633" s="589"/>
      <c r="H633" s="589"/>
      <c r="I633" s="580"/>
      <c r="J633" s="580"/>
      <c r="K633" s="580"/>
      <c r="L633" s="582"/>
      <c r="M633" s="582"/>
      <c r="N633" s="585"/>
      <c r="O633" s="580"/>
      <c r="P633" s="593"/>
      <c r="Q633" s="584"/>
      <c r="R633" s="584"/>
      <c r="S633" s="584"/>
      <c r="T633" s="584"/>
      <c r="U633" s="584"/>
      <c r="V633" s="584"/>
      <c r="W633" s="584"/>
      <c r="X633" s="584"/>
      <c r="Y633" s="584"/>
      <c r="Z633" s="584"/>
      <c r="AA633" s="584"/>
      <c r="AB633" s="584"/>
      <c r="AC633" s="584"/>
      <c r="AD633" s="584"/>
      <c r="AE633" s="584"/>
      <c r="AF633" s="584"/>
    </row>
    <row r="634" ht="14.25" customHeight="1">
      <c r="A634" s="579"/>
      <c r="B634" s="580"/>
      <c r="C634" s="581"/>
      <c r="D634" s="581"/>
      <c r="E634" s="581"/>
      <c r="F634" s="580"/>
      <c r="G634" s="589"/>
      <c r="H634" s="589"/>
      <c r="I634" s="580"/>
      <c r="J634" s="580"/>
      <c r="K634" s="580"/>
      <c r="L634" s="582"/>
      <c r="M634" s="582"/>
      <c r="N634" s="585"/>
      <c r="O634" s="580"/>
      <c r="P634" s="593"/>
      <c r="Q634" s="584"/>
      <c r="R634" s="584"/>
      <c r="S634" s="584"/>
      <c r="T634" s="584"/>
      <c r="U634" s="584"/>
      <c r="V634" s="584"/>
      <c r="W634" s="584"/>
      <c r="X634" s="584"/>
      <c r="Y634" s="584"/>
      <c r="Z634" s="584"/>
      <c r="AA634" s="584"/>
      <c r="AB634" s="584"/>
      <c r="AC634" s="584"/>
      <c r="AD634" s="584"/>
      <c r="AE634" s="584"/>
      <c r="AF634" s="584"/>
    </row>
    <row r="635" ht="14.25" customHeight="1">
      <c r="A635" s="579"/>
      <c r="B635" s="580"/>
      <c r="C635" s="581"/>
      <c r="D635" s="581"/>
      <c r="E635" s="581"/>
      <c r="F635" s="580"/>
      <c r="G635" s="589"/>
      <c r="H635" s="589"/>
      <c r="I635" s="580"/>
      <c r="J635" s="580"/>
      <c r="K635" s="580"/>
      <c r="L635" s="582"/>
      <c r="M635" s="582"/>
      <c r="N635" s="585"/>
      <c r="O635" s="580"/>
      <c r="P635" s="593"/>
      <c r="Q635" s="584"/>
      <c r="R635" s="584"/>
      <c r="S635" s="584"/>
      <c r="T635" s="584"/>
      <c r="U635" s="584"/>
      <c r="V635" s="584"/>
      <c r="W635" s="584"/>
      <c r="X635" s="584"/>
      <c r="Y635" s="584"/>
      <c r="Z635" s="584"/>
      <c r="AA635" s="584"/>
      <c r="AB635" s="584"/>
      <c r="AC635" s="584"/>
      <c r="AD635" s="584"/>
      <c r="AE635" s="584"/>
      <c r="AF635" s="584"/>
    </row>
    <row r="636" ht="14.25" customHeight="1">
      <c r="A636" s="579"/>
      <c r="B636" s="580"/>
      <c r="C636" s="581"/>
      <c r="D636" s="581"/>
      <c r="E636" s="581"/>
      <c r="F636" s="580"/>
      <c r="G636" s="589"/>
      <c r="H636" s="589"/>
      <c r="I636" s="580"/>
      <c r="J636" s="580"/>
      <c r="K636" s="580"/>
      <c r="L636" s="582"/>
      <c r="M636" s="582"/>
      <c r="N636" s="585"/>
      <c r="O636" s="580"/>
      <c r="P636" s="593"/>
      <c r="Q636" s="584"/>
      <c r="R636" s="584"/>
      <c r="S636" s="584"/>
      <c r="T636" s="584"/>
      <c r="U636" s="584"/>
      <c r="V636" s="584"/>
      <c r="W636" s="584"/>
      <c r="X636" s="584"/>
      <c r="Y636" s="584"/>
      <c r="Z636" s="584"/>
      <c r="AA636" s="584"/>
      <c r="AB636" s="584"/>
      <c r="AC636" s="584"/>
      <c r="AD636" s="584"/>
      <c r="AE636" s="584"/>
      <c r="AF636" s="584"/>
    </row>
    <row r="637" ht="14.25" customHeight="1">
      <c r="A637" s="579"/>
      <c r="B637" s="580"/>
      <c r="C637" s="581"/>
      <c r="D637" s="581"/>
      <c r="E637" s="581"/>
      <c r="F637" s="580"/>
      <c r="G637" s="589"/>
      <c r="H637" s="589"/>
      <c r="I637" s="580"/>
      <c r="J637" s="580"/>
      <c r="K637" s="580"/>
      <c r="L637" s="582"/>
      <c r="M637" s="582"/>
      <c r="N637" s="585"/>
      <c r="O637" s="580"/>
      <c r="P637" s="593"/>
      <c r="Q637" s="584"/>
      <c r="R637" s="584"/>
      <c r="S637" s="584"/>
      <c r="T637" s="584"/>
      <c r="U637" s="584"/>
      <c r="V637" s="584"/>
      <c r="W637" s="584"/>
      <c r="X637" s="584"/>
      <c r="Y637" s="584"/>
      <c r="Z637" s="584"/>
      <c r="AA637" s="584"/>
      <c r="AB637" s="584"/>
      <c r="AC637" s="584"/>
      <c r="AD637" s="584"/>
      <c r="AE637" s="584"/>
      <c r="AF637" s="584"/>
    </row>
    <row r="638" ht="14.25" customHeight="1">
      <c r="A638" s="584"/>
      <c r="B638" s="584"/>
      <c r="C638" s="612"/>
      <c r="D638" s="612"/>
      <c r="E638" s="584"/>
      <c r="F638" s="584"/>
      <c r="G638" s="584"/>
      <c r="H638" s="584"/>
      <c r="I638" s="584"/>
      <c r="J638" s="584"/>
      <c r="K638" s="584"/>
      <c r="L638" s="613"/>
      <c r="M638" s="613"/>
      <c r="N638" s="613"/>
      <c r="O638" s="584"/>
      <c r="P638" s="584"/>
      <c r="Q638" s="584"/>
      <c r="R638" s="584"/>
      <c r="S638" s="584"/>
      <c r="T638" s="584"/>
      <c r="U638" s="584"/>
      <c r="V638" s="584"/>
      <c r="W638" s="584"/>
      <c r="X638" s="584"/>
      <c r="Y638" s="584"/>
      <c r="Z638" s="584"/>
      <c r="AA638" s="584"/>
      <c r="AB638" s="584"/>
      <c r="AC638" s="584"/>
      <c r="AD638" s="584"/>
      <c r="AE638" s="584"/>
      <c r="AF638" s="584"/>
    </row>
    <row r="639" ht="14.25" customHeight="1">
      <c r="A639" s="584"/>
      <c r="B639" s="584"/>
      <c r="C639" s="612"/>
      <c r="D639" s="612"/>
      <c r="E639" s="584"/>
      <c r="F639" s="584"/>
      <c r="G639" s="584"/>
      <c r="H639" s="584"/>
      <c r="I639" s="584"/>
      <c r="J639" s="584"/>
      <c r="K639" s="584"/>
      <c r="L639" s="613"/>
      <c r="M639" s="613"/>
      <c r="N639" s="613"/>
      <c r="O639" s="584"/>
      <c r="P639" s="584"/>
      <c r="Q639" s="584"/>
      <c r="R639" s="584"/>
      <c r="S639" s="584"/>
      <c r="T639" s="584"/>
      <c r="U639" s="584"/>
      <c r="V639" s="584"/>
      <c r="W639" s="584"/>
      <c r="X639" s="584"/>
      <c r="Y639" s="584"/>
      <c r="Z639" s="584"/>
      <c r="AA639" s="584"/>
      <c r="AB639" s="584"/>
      <c r="AC639" s="584"/>
      <c r="AD639" s="584"/>
      <c r="AE639" s="584"/>
      <c r="AF639" s="584"/>
    </row>
    <row r="640" ht="14.25" customHeight="1">
      <c r="A640" s="584"/>
      <c r="B640" s="584"/>
      <c r="C640" s="612"/>
      <c r="D640" s="612"/>
      <c r="E640" s="584"/>
      <c r="F640" s="584"/>
      <c r="G640" s="584"/>
      <c r="H640" s="584"/>
      <c r="I640" s="584"/>
      <c r="J640" s="584"/>
      <c r="K640" s="584"/>
      <c r="L640" s="613"/>
      <c r="M640" s="613"/>
      <c r="N640" s="613"/>
      <c r="O640" s="584"/>
      <c r="P640" s="584"/>
      <c r="Q640" s="584"/>
      <c r="R640" s="584"/>
      <c r="S640" s="584"/>
      <c r="T640" s="584"/>
      <c r="U640" s="584"/>
      <c r="V640" s="584"/>
      <c r="W640" s="584"/>
      <c r="X640" s="584"/>
      <c r="Y640" s="584"/>
      <c r="Z640" s="584"/>
      <c r="AA640" s="584"/>
      <c r="AB640" s="584"/>
      <c r="AC640" s="584"/>
      <c r="AD640" s="584"/>
      <c r="AE640" s="584"/>
      <c r="AF640" s="584"/>
    </row>
    <row r="641" ht="14.25" customHeight="1">
      <c r="A641" s="584"/>
      <c r="B641" s="584"/>
      <c r="C641" s="612"/>
      <c r="D641" s="612"/>
      <c r="E641" s="584"/>
      <c r="F641" s="584"/>
      <c r="G641" s="584"/>
      <c r="H641" s="584"/>
      <c r="I641" s="584"/>
      <c r="J641" s="584"/>
      <c r="K641" s="584"/>
      <c r="L641" s="613"/>
      <c r="M641" s="613"/>
      <c r="N641" s="613"/>
      <c r="O641" s="584"/>
      <c r="P641" s="584"/>
      <c r="Q641" s="584"/>
      <c r="R641" s="584"/>
      <c r="S641" s="584"/>
      <c r="T641" s="584"/>
      <c r="U641" s="584"/>
      <c r="V641" s="584"/>
      <c r="W641" s="584"/>
      <c r="X641" s="584"/>
      <c r="Y641" s="584"/>
      <c r="Z641" s="584"/>
      <c r="AA641" s="584"/>
      <c r="AB641" s="584"/>
      <c r="AC641" s="584"/>
      <c r="AD641" s="584"/>
      <c r="AE641" s="584"/>
      <c r="AF641" s="584"/>
    </row>
    <row r="642" ht="14.25" customHeight="1">
      <c r="A642" s="584"/>
      <c r="B642" s="584"/>
      <c r="C642" s="612"/>
      <c r="D642" s="612"/>
      <c r="E642" s="584"/>
      <c r="F642" s="584"/>
      <c r="G642" s="584"/>
      <c r="H642" s="584"/>
      <c r="I642" s="584"/>
      <c r="J642" s="584"/>
      <c r="K642" s="584"/>
      <c r="L642" s="613"/>
      <c r="M642" s="613"/>
      <c r="N642" s="613"/>
      <c r="O642" s="584"/>
      <c r="P642" s="584"/>
      <c r="Q642" s="584"/>
      <c r="R642" s="584"/>
      <c r="S642" s="584"/>
      <c r="T642" s="584"/>
      <c r="U642" s="584"/>
      <c r="V642" s="584"/>
      <c r="W642" s="584"/>
      <c r="X642" s="584"/>
      <c r="Y642" s="584"/>
      <c r="Z642" s="584"/>
      <c r="AA642" s="584"/>
      <c r="AB642" s="584"/>
      <c r="AC642" s="584"/>
      <c r="AD642" s="584"/>
      <c r="AE642" s="584"/>
      <c r="AF642" s="584"/>
    </row>
    <row r="643" ht="14.25" customHeight="1">
      <c r="A643" s="584"/>
      <c r="B643" s="584"/>
      <c r="C643" s="612"/>
      <c r="D643" s="612"/>
      <c r="E643" s="584"/>
      <c r="F643" s="584"/>
      <c r="G643" s="584"/>
      <c r="H643" s="584"/>
      <c r="I643" s="584"/>
      <c r="J643" s="584"/>
      <c r="K643" s="584"/>
      <c r="L643" s="615"/>
      <c r="M643" s="615"/>
      <c r="N643" s="615"/>
      <c r="O643" s="584"/>
      <c r="P643" s="584"/>
      <c r="Q643" s="584"/>
      <c r="R643" s="584"/>
      <c r="S643" s="584"/>
      <c r="T643" s="584"/>
      <c r="U643" s="584"/>
      <c r="V643" s="584"/>
      <c r="W643" s="584"/>
      <c r="X643" s="584"/>
      <c r="Y643" s="584"/>
      <c r="Z643" s="584"/>
      <c r="AA643" s="584"/>
      <c r="AB643" s="584"/>
      <c r="AC643" s="584"/>
      <c r="AD643" s="584"/>
      <c r="AE643" s="584"/>
      <c r="AF643" s="584"/>
    </row>
    <row r="644" ht="14.25" customHeight="1">
      <c r="A644" s="584"/>
      <c r="B644" s="584"/>
      <c r="C644" s="612"/>
      <c r="D644" s="612"/>
      <c r="E644" s="616"/>
      <c r="F644" s="584"/>
      <c r="G644" s="584"/>
      <c r="H644" s="584"/>
      <c r="I644" s="584"/>
      <c r="J644" s="584"/>
      <c r="K644" s="584"/>
      <c r="L644" s="613"/>
      <c r="M644" s="613"/>
      <c r="N644" s="613"/>
      <c r="O644" s="584"/>
      <c r="P644" s="584"/>
      <c r="Q644" s="584"/>
      <c r="R644" s="584"/>
      <c r="S644" s="584"/>
      <c r="T644" s="584"/>
      <c r="U644" s="584"/>
      <c r="V644" s="584"/>
      <c r="W644" s="584"/>
      <c r="X644" s="584"/>
      <c r="Y644" s="584"/>
      <c r="Z644" s="584"/>
      <c r="AA644" s="584"/>
      <c r="AB644" s="584"/>
      <c r="AC644" s="584"/>
      <c r="AD644" s="584"/>
      <c r="AE644" s="584"/>
      <c r="AF644" s="584"/>
    </row>
    <row r="645" ht="14.25" customHeight="1">
      <c r="A645" s="584"/>
      <c r="B645" s="584"/>
      <c r="C645" s="612"/>
      <c r="D645" s="612"/>
      <c r="E645" s="584"/>
      <c r="F645" s="584"/>
      <c r="G645" s="584"/>
      <c r="H645" s="584"/>
      <c r="I645" s="584"/>
      <c r="J645" s="584"/>
      <c r="K645" s="584"/>
      <c r="L645" s="613"/>
      <c r="M645" s="613"/>
      <c r="N645" s="613"/>
      <c r="O645" s="584"/>
      <c r="P645" s="584"/>
      <c r="Q645" s="584"/>
      <c r="R645" s="584"/>
      <c r="S645" s="584"/>
      <c r="T645" s="584"/>
      <c r="U645" s="584"/>
      <c r="V645" s="584"/>
      <c r="W645" s="584"/>
      <c r="X645" s="584"/>
      <c r="Y645" s="584"/>
      <c r="Z645" s="584"/>
      <c r="AA645" s="584"/>
      <c r="AB645" s="584"/>
      <c r="AC645" s="584"/>
      <c r="AD645" s="584"/>
      <c r="AE645" s="584"/>
      <c r="AF645" s="584"/>
    </row>
    <row r="646" ht="14.25" customHeight="1">
      <c r="A646" s="584"/>
      <c r="B646" s="584"/>
      <c r="C646" s="612"/>
      <c r="D646" s="612"/>
      <c r="E646" s="584"/>
      <c r="F646" s="584"/>
      <c r="G646" s="584"/>
      <c r="H646" s="584"/>
      <c r="I646" s="584"/>
      <c r="J646" s="584"/>
      <c r="K646" s="584"/>
      <c r="L646" s="613"/>
      <c r="M646" s="613"/>
      <c r="N646" s="613"/>
      <c r="O646" s="584"/>
      <c r="P646" s="584"/>
      <c r="Q646" s="584"/>
      <c r="R646" s="584"/>
      <c r="S646" s="584"/>
      <c r="T646" s="584"/>
      <c r="U646" s="584"/>
      <c r="V646" s="584"/>
      <c r="W646" s="584"/>
      <c r="X646" s="584"/>
      <c r="Y646" s="584"/>
      <c r="Z646" s="584"/>
      <c r="AA646" s="584"/>
      <c r="AB646" s="584"/>
      <c r="AC646" s="584"/>
      <c r="AD646" s="584"/>
      <c r="AE646" s="584"/>
      <c r="AF646" s="584"/>
    </row>
    <row r="647" ht="14.25" customHeight="1">
      <c r="A647" s="584"/>
      <c r="B647" s="584"/>
      <c r="C647" s="612"/>
      <c r="D647" s="612"/>
      <c r="E647" s="584"/>
      <c r="F647" s="584"/>
      <c r="G647" s="584"/>
      <c r="H647" s="584"/>
      <c r="I647" s="584"/>
      <c r="J647" s="584"/>
      <c r="K647" s="584"/>
      <c r="L647" s="613"/>
      <c r="M647" s="613"/>
      <c r="N647" s="613"/>
      <c r="O647" s="584"/>
      <c r="P647" s="584"/>
      <c r="Q647" s="584"/>
      <c r="R647" s="584"/>
      <c r="S647" s="584"/>
      <c r="T647" s="584"/>
      <c r="U647" s="584"/>
      <c r="V647" s="584"/>
      <c r="W647" s="584"/>
      <c r="X647" s="584"/>
      <c r="Y647" s="584"/>
      <c r="Z647" s="584"/>
      <c r="AA647" s="584"/>
      <c r="AB647" s="584"/>
      <c r="AC647" s="584"/>
      <c r="AD647" s="584"/>
      <c r="AE647" s="584"/>
      <c r="AF647" s="584"/>
    </row>
    <row r="648" ht="14.25" customHeight="1">
      <c r="A648" s="584"/>
      <c r="B648" s="584"/>
      <c r="C648" s="612"/>
      <c r="D648" s="612"/>
      <c r="E648" s="584"/>
      <c r="F648" s="584"/>
      <c r="G648" s="584"/>
      <c r="H648" s="584"/>
      <c r="I648" s="584"/>
      <c r="J648" s="584"/>
      <c r="K648" s="584"/>
      <c r="L648" s="613"/>
      <c r="M648" s="613"/>
      <c r="N648" s="613"/>
      <c r="O648" s="584"/>
      <c r="P648" s="584"/>
      <c r="Q648" s="584"/>
      <c r="R648" s="584"/>
      <c r="S648" s="584"/>
      <c r="T648" s="584"/>
      <c r="U648" s="584"/>
      <c r="V648" s="584"/>
      <c r="W648" s="584"/>
      <c r="X648" s="584"/>
      <c r="Y648" s="584"/>
      <c r="Z648" s="584"/>
      <c r="AA648" s="584"/>
      <c r="AB648" s="584"/>
      <c r="AC648" s="584"/>
      <c r="AD648" s="584"/>
      <c r="AE648" s="584"/>
      <c r="AF648" s="584"/>
    </row>
    <row r="649" ht="14.25" customHeight="1">
      <c r="A649" s="584"/>
      <c r="B649" s="584"/>
      <c r="C649" s="612"/>
      <c r="D649" s="612"/>
      <c r="E649" s="584"/>
      <c r="F649" s="584"/>
      <c r="G649" s="584"/>
      <c r="H649" s="584"/>
      <c r="I649" s="584"/>
      <c r="J649" s="584"/>
      <c r="K649" s="584"/>
      <c r="L649" s="613"/>
      <c r="M649" s="613"/>
      <c r="N649" s="613"/>
      <c r="O649" s="584"/>
      <c r="P649" s="584"/>
      <c r="Q649" s="584"/>
      <c r="R649" s="584"/>
      <c r="S649" s="584"/>
      <c r="T649" s="584"/>
      <c r="U649" s="584"/>
      <c r="V649" s="584"/>
      <c r="W649" s="584"/>
      <c r="X649" s="584"/>
      <c r="Y649" s="584"/>
      <c r="Z649" s="584"/>
      <c r="AA649" s="584"/>
      <c r="AB649" s="584"/>
      <c r="AC649" s="584"/>
      <c r="AD649" s="584"/>
      <c r="AE649" s="584"/>
      <c r="AF649" s="584"/>
    </row>
    <row r="650" ht="14.25" customHeight="1">
      <c r="A650" s="584"/>
      <c r="B650" s="584"/>
      <c r="C650" s="612"/>
      <c r="D650" s="612"/>
      <c r="E650" s="584"/>
      <c r="F650" s="584"/>
      <c r="G650" s="584"/>
      <c r="H650" s="584"/>
      <c r="I650" s="584"/>
      <c r="J650" s="584"/>
      <c r="K650" s="584"/>
      <c r="L650" s="613"/>
      <c r="M650" s="613"/>
      <c r="N650" s="613"/>
      <c r="O650" s="584"/>
      <c r="P650" s="584"/>
      <c r="Q650" s="584"/>
      <c r="R650" s="584"/>
      <c r="S650" s="584"/>
      <c r="T650" s="584"/>
      <c r="U650" s="584"/>
      <c r="V650" s="584"/>
      <c r="W650" s="584"/>
      <c r="X650" s="584"/>
      <c r="Y650" s="584"/>
      <c r="Z650" s="584"/>
      <c r="AA650" s="584"/>
      <c r="AB650" s="584"/>
      <c r="AC650" s="584"/>
      <c r="AD650" s="584"/>
      <c r="AE650" s="584"/>
      <c r="AF650" s="584"/>
    </row>
    <row r="651" ht="14.25" customHeight="1">
      <c r="A651" s="584"/>
      <c r="B651" s="584"/>
      <c r="C651" s="612"/>
      <c r="D651" s="612"/>
      <c r="E651" s="584"/>
      <c r="F651" s="584"/>
      <c r="G651" s="584"/>
      <c r="H651" s="584"/>
      <c r="I651" s="584"/>
      <c r="J651" s="584"/>
      <c r="K651" s="584"/>
      <c r="L651" s="613"/>
      <c r="M651" s="613"/>
      <c r="N651" s="614"/>
      <c r="O651" s="584"/>
      <c r="P651" s="584"/>
      <c r="Q651" s="584"/>
      <c r="R651" s="584"/>
      <c r="S651" s="584"/>
      <c r="T651" s="584"/>
      <c r="U651" s="584"/>
      <c r="V651" s="584"/>
      <c r="W651" s="584"/>
      <c r="X651" s="584"/>
      <c r="Y651" s="584"/>
      <c r="Z651" s="584"/>
      <c r="AA651" s="584"/>
      <c r="AB651" s="584"/>
      <c r="AC651" s="584"/>
      <c r="AD651" s="584"/>
      <c r="AE651" s="584"/>
      <c r="AF651" s="584"/>
    </row>
    <row r="652" ht="14.25" customHeight="1">
      <c r="A652" s="584"/>
      <c r="B652" s="584"/>
      <c r="C652" s="612"/>
      <c r="D652" s="612"/>
      <c r="E652" s="584"/>
      <c r="F652" s="584"/>
      <c r="G652" s="584"/>
      <c r="H652" s="584"/>
      <c r="I652" s="584"/>
      <c r="J652" s="584"/>
      <c r="K652" s="584"/>
      <c r="L652" s="613"/>
      <c r="M652" s="613"/>
      <c r="N652" s="613"/>
      <c r="O652" s="584"/>
      <c r="P652" s="584"/>
      <c r="Q652" s="584"/>
      <c r="R652" s="584"/>
      <c r="S652" s="584"/>
      <c r="T652" s="584"/>
      <c r="U652" s="584"/>
      <c r="V652" s="584"/>
      <c r="W652" s="584"/>
      <c r="X652" s="584"/>
      <c r="Y652" s="584"/>
      <c r="Z652" s="584"/>
      <c r="AA652" s="584"/>
      <c r="AB652" s="584"/>
      <c r="AC652" s="584"/>
      <c r="AD652" s="584"/>
      <c r="AE652" s="584"/>
      <c r="AF652" s="584"/>
    </row>
    <row r="653" ht="14.25" customHeight="1">
      <c r="A653" s="584"/>
      <c r="B653" s="584"/>
      <c r="C653" s="612"/>
      <c r="D653" s="612"/>
      <c r="E653" s="584"/>
      <c r="F653" s="584"/>
      <c r="G653" s="584"/>
      <c r="H653" s="584"/>
      <c r="I653" s="584"/>
      <c r="J653" s="584"/>
      <c r="K653" s="584"/>
      <c r="L653" s="613"/>
      <c r="M653" s="613"/>
      <c r="N653" s="613"/>
      <c r="O653" s="584"/>
      <c r="P653" s="584"/>
      <c r="Q653" s="584"/>
      <c r="R653" s="584"/>
      <c r="S653" s="584"/>
      <c r="T653" s="584"/>
      <c r="U653" s="584"/>
      <c r="V653" s="584"/>
      <c r="W653" s="584"/>
      <c r="X653" s="584"/>
      <c r="Y653" s="584"/>
      <c r="Z653" s="584"/>
      <c r="AA653" s="584"/>
      <c r="AB653" s="584"/>
      <c r="AC653" s="584"/>
      <c r="AD653" s="584"/>
      <c r="AE653" s="584"/>
      <c r="AF653" s="584"/>
    </row>
    <row r="654" ht="14.25" customHeight="1">
      <c r="A654" s="584"/>
      <c r="B654" s="584"/>
      <c r="C654" s="612"/>
      <c r="D654" s="612"/>
      <c r="E654" s="584"/>
      <c r="F654" s="584"/>
      <c r="G654" s="584"/>
      <c r="H654" s="584"/>
      <c r="I654" s="584"/>
      <c r="J654" s="584"/>
      <c r="K654" s="584"/>
      <c r="L654" s="613"/>
      <c r="M654" s="613"/>
      <c r="N654" s="614"/>
      <c r="O654" s="584"/>
      <c r="P654" s="584"/>
      <c r="Q654" s="584"/>
      <c r="R654" s="584"/>
      <c r="S654" s="584"/>
      <c r="T654" s="584"/>
      <c r="U654" s="584"/>
      <c r="V654" s="584"/>
      <c r="W654" s="584"/>
      <c r="X654" s="584"/>
      <c r="Y654" s="584"/>
      <c r="Z654" s="584"/>
      <c r="AA654" s="584"/>
      <c r="AB654" s="584"/>
      <c r="AC654" s="584"/>
      <c r="AD654" s="584"/>
      <c r="AE654" s="584"/>
      <c r="AF654" s="584"/>
    </row>
    <row r="655" ht="14.25" customHeight="1">
      <c r="A655" s="584"/>
      <c r="B655" s="584"/>
      <c r="C655" s="612"/>
      <c r="D655" s="612"/>
      <c r="E655" s="584"/>
      <c r="F655" s="584"/>
      <c r="G655" s="584"/>
      <c r="H655" s="584"/>
      <c r="I655" s="584"/>
      <c r="J655" s="584"/>
      <c r="K655" s="584"/>
      <c r="L655" s="613"/>
      <c r="M655" s="613"/>
      <c r="N655" s="613"/>
      <c r="O655" s="584"/>
      <c r="P655" s="584"/>
      <c r="Q655" s="584"/>
      <c r="R655" s="584"/>
      <c r="S655" s="584"/>
      <c r="T655" s="584"/>
      <c r="U655" s="584"/>
      <c r="V655" s="584"/>
      <c r="W655" s="584"/>
      <c r="X655" s="584"/>
      <c r="Y655" s="584"/>
      <c r="Z655" s="584"/>
      <c r="AA655" s="584"/>
      <c r="AB655" s="584"/>
      <c r="AC655" s="584"/>
      <c r="AD655" s="584"/>
      <c r="AE655" s="584"/>
      <c r="AF655" s="584"/>
    </row>
    <row r="656" ht="14.25" customHeight="1">
      <c r="A656" s="584"/>
      <c r="B656" s="584"/>
      <c r="C656" s="612"/>
      <c r="D656" s="612"/>
      <c r="E656" s="584"/>
      <c r="F656" s="584"/>
      <c r="G656" s="584"/>
      <c r="H656" s="584"/>
      <c r="I656" s="584"/>
      <c r="J656" s="584"/>
      <c r="K656" s="584"/>
      <c r="L656" s="613"/>
      <c r="M656" s="613"/>
      <c r="N656" s="613"/>
      <c r="O656" s="584"/>
      <c r="P656" s="584"/>
      <c r="Q656" s="584"/>
      <c r="R656" s="584"/>
      <c r="S656" s="584"/>
      <c r="T656" s="584"/>
      <c r="U656" s="584"/>
      <c r="V656" s="584"/>
      <c r="W656" s="584"/>
      <c r="X656" s="584"/>
      <c r="Y656" s="584"/>
      <c r="Z656" s="584"/>
      <c r="AA656" s="584"/>
      <c r="AB656" s="584"/>
      <c r="AC656" s="584"/>
      <c r="AD656" s="584"/>
      <c r="AE656" s="584"/>
      <c r="AF656" s="584"/>
    </row>
    <row r="657" ht="14.25" customHeight="1">
      <c r="A657" s="584"/>
      <c r="B657" s="584"/>
      <c r="C657" s="612"/>
      <c r="D657" s="612"/>
      <c r="E657" s="584"/>
      <c r="F657" s="584"/>
      <c r="G657" s="584"/>
      <c r="H657" s="584"/>
      <c r="I657" s="584"/>
      <c r="J657" s="584"/>
      <c r="K657" s="584"/>
      <c r="L657" s="613"/>
      <c r="M657" s="613"/>
      <c r="N657" s="613"/>
      <c r="O657" s="584"/>
      <c r="P657" s="584"/>
      <c r="Q657" s="584"/>
      <c r="R657" s="584"/>
      <c r="S657" s="584"/>
      <c r="T657" s="584"/>
      <c r="U657" s="584"/>
      <c r="V657" s="584"/>
      <c r="W657" s="584"/>
      <c r="X657" s="584"/>
      <c r="Y657" s="584"/>
      <c r="Z657" s="584"/>
      <c r="AA657" s="584"/>
      <c r="AB657" s="584"/>
      <c r="AC657" s="584"/>
      <c r="AD657" s="584"/>
      <c r="AE657" s="584"/>
      <c r="AF657" s="584"/>
    </row>
    <row r="658" ht="14.25" customHeight="1">
      <c r="A658" s="584"/>
      <c r="B658" s="584"/>
      <c r="C658" s="612"/>
      <c r="D658" s="612"/>
      <c r="E658" s="616"/>
      <c r="F658" s="584"/>
      <c r="G658" s="584"/>
      <c r="H658" s="584"/>
      <c r="I658" s="584"/>
      <c r="J658" s="584"/>
      <c r="K658" s="584"/>
      <c r="L658" s="613"/>
      <c r="M658" s="613"/>
      <c r="N658" s="613"/>
      <c r="O658" s="584"/>
      <c r="P658" s="584"/>
      <c r="Q658" s="584"/>
      <c r="R658" s="584"/>
      <c r="S658" s="584"/>
      <c r="T658" s="584"/>
      <c r="U658" s="584"/>
      <c r="V658" s="584"/>
      <c r="W658" s="584"/>
      <c r="X658" s="584"/>
      <c r="Y658" s="584"/>
      <c r="Z658" s="584"/>
      <c r="AA658" s="584"/>
      <c r="AB658" s="584"/>
      <c r="AC658" s="584"/>
      <c r="AD658" s="584"/>
      <c r="AE658" s="584"/>
      <c r="AF658" s="584"/>
    </row>
    <row r="659" ht="14.25" customHeight="1">
      <c r="A659" s="584"/>
      <c r="B659" s="584"/>
      <c r="C659" s="612"/>
      <c r="D659" s="612"/>
      <c r="E659" s="584"/>
      <c r="F659" s="584"/>
      <c r="G659" s="584"/>
      <c r="H659" s="584"/>
      <c r="I659" s="584"/>
      <c r="J659" s="584"/>
      <c r="K659" s="584"/>
      <c r="L659" s="613"/>
      <c r="M659" s="613"/>
      <c r="N659" s="613"/>
      <c r="O659" s="584"/>
      <c r="P659" s="584"/>
      <c r="Q659" s="584"/>
      <c r="R659" s="584"/>
      <c r="S659" s="584"/>
      <c r="T659" s="584"/>
      <c r="U659" s="584"/>
      <c r="V659" s="584"/>
      <c r="W659" s="584"/>
      <c r="X659" s="584"/>
      <c r="Y659" s="584"/>
      <c r="Z659" s="584"/>
      <c r="AA659" s="584"/>
      <c r="AB659" s="584"/>
      <c r="AC659" s="584"/>
      <c r="AD659" s="584"/>
      <c r="AE659" s="584"/>
      <c r="AF659" s="584"/>
    </row>
    <row r="660" ht="14.25" customHeight="1">
      <c r="A660" s="584"/>
      <c r="B660" s="584"/>
      <c r="C660" s="612"/>
      <c r="D660" s="612"/>
      <c r="E660" s="584"/>
      <c r="F660" s="584"/>
      <c r="G660" s="584"/>
      <c r="H660" s="584"/>
      <c r="I660" s="584"/>
      <c r="J660" s="584"/>
      <c r="K660" s="584"/>
      <c r="L660" s="613"/>
      <c r="M660" s="613"/>
      <c r="N660" s="613"/>
      <c r="O660" s="584"/>
      <c r="P660" s="584"/>
      <c r="Q660" s="584"/>
      <c r="R660" s="584"/>
      <c r="S660" s="584"/>
      <c r="T660" s="584"/>
      <c r="U660" s="584"/>
      <c r="V660" s="584"/>
      <c r="W660" s="584"/>
      <c r="X660" s="584"/>
      <c r="Y660" s="584"/>
      <c r="Z660" s="584"/>
      <c r="AA660" s="584"/>
      <c r="AB660" s="584"/>
      <c r="AC660" s="584"/>
      <c r="AD660" s="584"/>
      <c r="AE660" s="584"/>
      <c r="AF660" s="584"/>
    </row>
    <row r="661" ht="14.25" customHeight="1">
      <c r="A661" s="584"/>
      <c r="B661" s="584"/>
      <c r="C661" s="612"/>
      <c r="D661" s="612"/>
      <c r="E661" s="584"/>
      <c r="F661" s="584"/>
      <c r="G661" s="584"/>
      <c r="H661" s="584"/>
      <c r="I661" s="584"/>
      <c r="J661" s="584"/>
      <c r="K661" s="584"/>
      <c r="L661" s="615"/>
      <c r="M661" s="615"/>
      <c r="N661" s="615"/>
      <c r="O661" s="584"/>
      <c r="P661" s="613"/>
      <c r="Q661" s="584"/>
      <c r="R661" s="584"/>
      <c r="S661" s="584"/>
      <c r="T661" s="584"/>
      <c r="U661" s="584"/>
      <c r="V661" s="584"/>
      <c r="W661" s="584"/>
      <c r="X661" s="584"/>
      <c r="Y661" s="584"/>
      <c r="Z661" s="584"/>
      <c r="AA661" s="584"/>
      <c r="AB661" s="584"/>
      <c r="AC661" s="584"/>
      <c r="AD661" s="584"/>
      <c r="AE661" s="584"/>
      <c r="AF661" s="584"/>
    </row>
    <row r="662" ht="14.25" customHeight="1">
      <c r="A662" s="584"/>
      <c r="B662" s="584"/>
      <c r="C662" s="612"/>
      <c r="D662" s="612"/>
      <c r="E662" s="584"/>
      <c r="F662" s="584"/>
      <c r="G662" s="584"/>
      <c r="H662" s="584"/>
      <c r="I662" s="584"/>
      <c r="J662" s="584"/>
      <c r="K662" s="584"/>
      <c r="L662" s="613"/>
      <c r="M662" s="613"/>
      <c r="N662" s="613"/>
      <c r="O662" s="584"/>
      <c r="P662" s="613"/>
      <c r="Q662" s="584"/>
      <c r="R662" s="584"/>
      <c r="S662" s="584"/>
      <c r="T662" s="584"/>
      <c r="U662" s="584"/>
      <c r="V662" s="584"/>
      <c r="W662" s="584"/>
      <c r="X662" s="584"/>
      <c r="Y662" s="584"/>
      <c r="Z662" s="584"/>
      <c r="AA662" s="584"/>
      <c r="AB662" s="584"/>
      <c r="AC662" s="584"/>
      <c r="AD662" s="584"/>
      <c r="AE662" s="584"/>
      <c r="AF662" s="584"/>
    </row>
    <row r="663" ht="14.25" customHeight="1">
      <c r="A663" s="584"/>
      <c r="B663" s="584"/>
      <c r="C663" s="612"/>
      <c r="D663" s="612"/>
      <c r="E663" s="584"/>
      <c r="F663" s="584"/>
      <c r="G663" s="584"/>
      <c r="H663" s="584"/>
      <c r="I663" s="584"/>
      <c r="J663" s="584"/>
      <c r="K663" s="584"/>
      <c r="L663" s="613"/>
      <c r="M663" s="613"/>
      <c r="N663" s="613"/>
      <c r="O663" s="584"/>
      <c r="P663" s="584"/>
      <c r="Q663" s="584"/>
      <c r="R663" s="584"/>
      <c r="S663" s="584"/>
      <c r="T663" s="584"/>
      <c r="U663" s="584"/>
      <c r="V663" s="584"/>
      <c r="W663" s="584"/>
      <c r="X663" s="584"/>
      <c r="Y663" s="584"/>
      <c r="Z663" s="584"/>
      <c r="AA663" s="584"/>
      <c r="AB663" s="584"/>
      <c r="AC663" s="584"/>
      <c r="AD663" s="584"/>
      <c r="AE663" s="584"/>
      <c r="AF663" s="584"/>
    </row>
    <row r="664" ht="14.25" customHeight="1">
      <c r="A664" s="584"/>
      <c r="B664" s="584"/>
      <c r="C664" s="612"/>
      <c r="D664" s="612"/>
      <c r="E664" s="584"/>
      <c r="F664" s="584"/>
      <c r="G664" s="584"/>
      <c r="H664" s="584"/>
      <c r="I664" s="584"/>
      <c r="J664" s="584"/>
      <c r="K664" s="584"/>
      <c r="L664" s="613"/>
      <c r="M664" s="613"/>
      <c r="N664" s="613"/>
      <c r="O664" s="584"/>
      <c r="P664" s="584"/>
      <c r="Q664" s="584"/>
      <c r="R664" s="584"/>
      <c r="S664" s="584"/>
      <c r="T664" s="584"/>
      <c r="U664" s="584"/>
      <c r="V664" s="584"/>
      <c r="W664" s="584"/>
      <c r="X664" s="584"/>
      <c r="Y664" s="584"/>
      <c r="Z664" s="584"/>
      <c r="AA664" s="584"/>
      <c r="AB664" s="584"/>
      <c r="AC664" s="584"/>
      <c r="AD664" s="584"/>
      <c r="AE664" s="584"/>
      <c r="AF664" s="584"/>
    </row>
    <row r="665" ht="14.25" customHeight="1">
      <c r="A665" s="584"/>
      <c r="B665" s="584"/>
      <c r="C665" s="612"/>
      <c r="D665" s="612"/>
      <c r="E665" s="584"/>
      <c r="F665" s="584"/>
      <c r="G665" s="584"/>
      <c r="H665" s="584"/>
      <c r="I665" s="584"/>
      <c r="J665" s="584"/>
      <c r="K665" s="584"/>
      <c r="L665" s="613"/>
      <c r="M665" s="613"/>
      <c r="N665" s="613"/>
      <c r="O665" s="584"/>
      <c r="P665" s="584"/>
      <c r="Q665" s="584"/>
      <c r="R665" s="584"/>
      <c r="S665" s="584"/>
      <c r="T665" s="584"/>
      <c r="U665" s="584"/>
      <c r="V665" s="584"/>
      <c r="W665" s="584"/>
      <c r="X665" s="584"/>
      <c r="Y665" s="584"/>
      <c r="Z665" s="584"/>
      <c r="AA665" s="584"/>
      <c r="AB665" s="584"/>
      <c r="AC665" s="584"/>
      <c r="AD665" s="584"/>
      <c r="AE665" s="584"/>
      <c r="AF665" s="584"/>
    </row>
    <row r="666" ht="14.25" customHeight="1">
      <c r="A666" s="584"/>
      <c r="B666" s="584"/>
      <c r="C666" s="612"/>
      <c r="D666" s="612"/>
      <c r="E666" s="584"/>
      <c r="F666" s="584"/>
      <c r="G666" s="584"/>
      <c r="H666" s="584"/>
      <c r="I666" s="584"/>
      <c r="J666" s="584"/>
      <c r="K666" s="584"/>
      <c r="L666" s="613"/>
      <c r="M666" s="613"/>
      <c r="N666" s="613"/>
      <c r="O666" s="584"/>
      <c r="P666" s="584"/>
      <c r="Q666" s="584"/>
      <c r="R666" s="584"/>
      <c r="S666" s="584"/>
      <c r="T666" s="584"/>
      <c r="U666" s="584"/>
      <c r="V666" s="584"/>
      <c r="W666" s="584"/>
      <c r="X666" s="584"/>
      <c r="Y666" s="584"/>
      <c r="Z666" s="584"/>
      <c r="AA666" s="584"/>
      <c r="AB666" s="584"/>
      <c r="AC666" s="584"/>
      <c r="AD666" s="584"/>
      <c r="AE666" s="584"/>
      <c r="AF666" s="584"/>
    </row>
    <row r="667" ht="14.25" customHeight="1">
      <c r="A667" s="584"/>
      <c r="B667" s="584"/>
      <c r="C667" s="612"/>
      <c r="D667" s="612"/>
      <c r="E667" s="584"/>
      <c r="F667" s="584"/>
      <c r="G667" s="584"/>
      <c r="H667" s="584"/>
      <c r="I667" s="584"/>
      <c r="J667" s="584"/>
      <c r="K667" s="584"/>
      <c r="L667" s="613"/>
      <c r="M667" s="613"/>
      <c r="N667" s="613"/>
      <c r="O667" s="584"/>
      <c r="P667" s="584"/>
      <c r="Q667" s="584"/>
      <c r="R667" s="584"/>
      <c r="S667" s="584"/>
      <c r="T667" s="584"/>
      <c r="U667" s="584"/>
      <c r="V667" s="584"/>
      <c r="W667" s="584"/>
      <c r="X667" s="584"/>
      <c r="Y667" s="584"/>
      <c r="Z667" s="584"/>
      <c r="AA667" s="584"/>
      <c r="AB667" s="584"/>
      <c r="AC667" s="584"/>
      <c r="AD667" s="584"/>
      <c r="AE667" s="584"/>
      <c r="AF667" s="584"/>
    </row>
    <row r="668" ht="14.25" customHeight="1">
      <c r="A668" s="584"/>
      <c r="B668" s="584"/>
      <c r="C668" s="612"/>
      <c r="D668" s="612"/>
      <c r="E668" s="584"/>
      <c r="F668" s="584"/>
      <c r="G668" s="584"/>
      <c r="H668" s="584"/>
      <c r="I668" s="584"/>
      <c r="J668" s="584"/>
      <c r="K668" s="584"/>
      <c r="L668" s="613"/>
      <c r="M668" s="613"/>
      <c r="N668" s="613"/>
      <c r="O668" s="584"/>
      <c r="P668" s="584"/>
      <c r="Q668" s="584"/>
      <c r="R668" s="584"/>
      <c r="S668" s="584"/>
      <c r="T668" s="584"/>
      <c r="U668" s="584"/>
      <c r="V668" s="584"/>
      <c r="W668" s="584"/>
      <c r="X668" s="584"/>
      <c r="Y668" s="584"/>
      <c r="Z668" s="584"/>
      <c r="AA668" s="584"/>
      <c r="AB668" s="584"/>
      <c r="AC668" s="584"/>
      <c r="AD668" s="584"/>
      <c r="AE668" s="584"/>
      <c r="AF668" s="584"/>
    </row>
    <row r="669" ht="14.25" customHeight="1">
      <c r="A669" s="584"/>
      <c r="B669" s="584"/>
      <c r="C669" s="612"/>
      <c r="D669" s="612"/>
      <c r="E669" s="584"/>
      <c r="F669" s="584"/>
      <c r="G669" s="584"/>
      <c r="H669" s="584"/>
      <c r="I669" s="584"/>
      <c r="J669" s="584"/>
      <c r="K669" s="584"/>
      <c r="L669" s="613"/>
      <c r="M669" s="613"/>
      <c r="N669" s="613"/>
      <c r="O669" s="584"/>
      <c r="P669" s="584"/>
      <c r="Q669" s="584"/>
      <c r="R669" s="584"/>
      <c r="S669" s="584"/>
      <c r="T669" s="584"/>
      <c r="U669" s="584"/>
      <c r="V669" s="584"/>
      <c r="W669" s="584"/>
      <c r="X669" s="584"/>
      <c r="Y669" s="584"/>
      <c r="Z669" s="584"/>
      <c r="AA669" s="584"/>
      <c r="AB669" s="584"/>
      <c r="AC669" s="584"/>
      <c r="AD669" s="584"/>
      <c r="AE669" s="584"/>
      <c r="AF669" s="584"/>
    </row>
    <row r="670" ht="14.25" customHeight="1">
      <c r="A670" s="584"/>
      <c r="B670" s="584"/>
      <c r="C670" s="612"/>
      <c r="D670" s="612"/>
      <c r="E670" s="584"/>
      <c r="F670" s="584"/>
      <c r="G670" s="584"/>
      <c r="H670" s="584"/>
      <c r="I670" s="584"/>
      <c r="J670" s="584"/>
      <c r="K670" s="584"/>
      <c r="L670" s="613"/>
      <c r="M670" s="613"/>
      <c r="N670" s="613"/>
      <c r="O670" s="584"/>
      <c r="P670" s="615"/>
      <c r="Q670" s="584"/>
      <c r="R670" s="584"/>
      <c r="S670" s="584"/>
      <c r="T670" s="584"/>
      <c r="U670" s="584"/>
      <c r="V670" s="584"/>
      <c r="W670" s="584"/>
      <c r="X670" s="584"/>
      <c r="Y670" s="584"/>
      <c r="Z670" s="584"/>
      <c r="AA670" s="584"/>
      <c r="AB670" s="584"/>
      <c r="AC670" s="584"/>
      <c r="AD670" s="584"/>
      <c r="AE670" s="584"/>
      <c r="AF670" s="584"/>
    </row>
    <row r="671" ht="14.25" customHeight="1">
      <c r="A671" s="584"/>
      <c r="B671" s="584"/>
      <c r="C671" s="612"/>
      <c r="D671" s="612"/>
      <c r="E671" s="584"/>
      <c r="F671" s="584"/>
      <c r="G671" s="584"/>
      <c r="H671" s="584"/>
      <c r="I671" s="584"/>
      <c r="J671" s="584"/>
      <c r="K671" s="584"/>
      <c r="L671" s="613"/>
      <c r="M671" s="613"/>
      <c r="N671" s="613"/>
      <c r="O671" s="584"/>
      <c r="P671" s="584"/>
      <c r="Q671" s="584"/>
      <c r="R671" s="584"/>
      <c r="S671" s="584"/>
      <c r="T671" s="584"/>
      <c r="U671" s="584"/>
      <c r="V671" s="584"/>
      <c r="W671" s="584"/>
      <c r="X671" s="584"/>
      <c r="Y671" s="584"/>
      <c r="Z671" s="584"/>
      <c r="AA671" s="584"/>
      <c r="AB671" s="584"/>
      <c r="AC671" s="584"/>
      <c r="AD671" s="584"/>
      <c r="AE671" s="584"/>
      <c r="AF671" s="584"/>
    </row>
    <row r="672" ht="14.25" customHeight="1">
      <c r="A672" s="584"/>
      <c r="B672" s="584"/>
      <c r="C672" s="612"/>
      <c r="D672" s="612"/>
      <c r="E672" s="584"/>
      <c r="F672" s="584"/>
      <c r="G672" s="584"/>
      <c r="H672" s="584"/>
      <c r="I672" s="584"/>
      <c r="J672" s="584"/>
      <c r="K672" s="584"/>
      <c r="L672" s="613"/>
      <c r="M672" s="613"/>
      <c r="N672" s="614"/>
      <c r="O672" s="584"/>
      <c r="P672" s="584"/>
      <c r="Q672" s="584"/>
      <c r="R672" s="584"/>
      <c r="S672" s="584"/>
      <c r="T672" s="584"/>
      <c r="U672" s="584"/>
      <c r="V672" s="584"/>
      <c r="W672" s="584"/>
      <c r="X672" s="584"/>
      <c r="Y672" s="584"/>
      <c r="Z672" s="584"/>
      <c r="AA672" s="584"/>
      <c r="AB672" s="584"/>
      <c r="AC672" s="584"/>
      <c r="AD672" s="584"/>
      <c r="AE672" s="584"/>
      <c r="AF672" s="584"/>
    </row>
    <row r="673" ht="14.25" customHeight="1">
      <c r="A673" s="584"/>
      <c r="B673" s="584"/>
      <c r="C673" s="612"/>
      <c r="D673" s="612"/>
      <c r="E673" s="584"/>
      <c r="F673" s="584"/>
      <c r="G673" s="584"/>
      <c r="H673" s="584"/>
      <c r="I673" s="584"/>
      <c r="J673" s="584"/>
      <c r="K673" s="584"/>
      <c r="L673" s="613"/>
      <c r="M673" s="613"/>
      <c r="N673" s="613"/>
      <c r="O673" s="584"/>
      <c r="P673" s="584"/>
      <c r="Q673" s="584"/>
      <c r="R673" s="584"/>
      <c r="S673" s="584"/>
      <c r="T673" s="584"/>
      <c r="U673" s="584"/>
      <c r="V673" s="584"/>
      <c r="W673" s="584"/>
      <c r="X673" s="584"/>
      <c r="Y673" s="584"/>
      <c r="Z673" s="584"/>
      <c r="AA673" s="584"/>
      <c r="AB673" s="584"/>
      <c r="AC673" s="584"/>
      <c r="AD673" s="584"/>
      <c r="AE673" s="584"/>
      <c r="AF673" s="584"/>
    </row>
    <row r="674" ht="14.25" customHeight="1">
      <c r="A674" s="584"/>
      <c r="B674" s="584"/>
      <c r="C674" s="612"/>
      <c r="D674" s="612"/>
      <c r="E674" s="584"/>
      <c r="F674" s="584"/>
      <c r="G674" s="584"/>
      <c r="H674" s="584"/>
      <c r="I674" s="584"/>
      <c r="J674" s="584"/>
      <c r="K674" s="584"/>
      <c r="L674" s="615"/>
      <c r="M674" s="615"/>
      <c r="N674" s="615"/>
      <c r="O674" s="584"/>
      <c r="P674" s="584"/>
      <c r="Q674" s="584"/>
      <c r="R674" s="584"/>
      <c r="S674" s="584"/>
      <c r="T674" s="584"/>
      <c r="U674" s="584"/>
      <c r="V674" s="584"/>
      <c r="W674" s="584"/>
      <c r="X674" s="584"/>
      <c r="Y674" s="584"/>
      <c r="Z674" s="584"/>
      <c r="AA674" s="584"/>
      <c r="AB674" s="584"/>
      <c r="AC674" s="584"/>
      <c r="AD674" s="584"/>
      <c r="AE674" s="584"/>
      <c r="AF674" s="584"/>
    </row>
    <row r="675" ht="14.25" customHeight="1">
      <c r="A675" s="584"/>
      <c r="B675" s="584"/>
      <c r="C675" s="612"/>
      <c r="D675" s="612"/>
      <c r="E675" s="584"/>
      <c r="F675" s="584"/>
      <c r="G675" s="584"/>
      <c r="H675" s="584"/>
      <c r="I675" s="584"/>
      <c r="J675" s="584"/>
      <c r="K675" s="584"/>
      <c r="L675" s="613"/>
      <c r="M675" s="613"/>
      <c r="N675" s="613"/>
      <c r="O675" s="584"/>
      <c r="P675" s="613"/>
      <c r="Q675" s="584"/>
      <c r="R675" s="584"/>
      <c r="S675" s="584"/>
      <c r="T675" s="584"/>
      <c r="U675" s="584"/>
      <c r="V675" s="584"/>
      <c r="W675" s="584"/>
      <c r="X675" s="584"/>
      <c r="Y675" s="584"/>
      <c r="Z675" s="584"/>
      <c r="AA675" s="584"/>
      <c r="AB675" s="584"/>
      <c r="AC675" s="584"/>
      <c r="AD675" s="584"/>
      <c r="AE675" s="584"/>
      <c r="AF675" s="584"/>
    </row>
    <row r="676" ht="14.25" customHeight="1">
      <c r="A676" s="584"/>
      <c r="B676" s="584"/>
      <c r="C676" s="612"/>
      <c r="D676" s="612"/>
      <c r="E676" s="584"/>
      <c r="F676" s="584"/>
      <c r="G676" s="584"/>
      <c r="H676" s="584"/>
      <c r="I676" s="584"/>
      <c r="J676" s="584"/>
      <c r="K676" s="584"/>
      <c r="L676" s="613"/>
      <c r="M676" s="613"/>
      <c r="N676" s="613"/>
      <c r="O676" s="584"/>
      <c r="P676" s="584"/>
      <c r="Q676" s="584"/>
      <c r="R676" s="584"/>
      <c r="S676" s="584"/>
      <c r="T676" s="584"/>
      <c r="U676" s="584"/>
      <c r="V676" s="584"/>
      <c r="W676" s="584"/>
      <c r="X676" s="584"/>
      <c r="Y676" s="584"/>
      <c r="Z676" s="584"/>
      <c r="AA676" s="584"/>
      <c r="AB676" s="584"/>
      <c r="AC676" s="584"/>
      <c r="AD676" s="584"/>
      <c r="AE676" s="584"/>
      <c r="AF676" s="584"/>
    </row>
    <row r="677" ht="14.25" customHeight="1">
      <c r="A677" s="584"/>
      <c r="B677" s="584"/>
      <c r="C677" s="612"/>
      <c r="D677" s="612"/>
      <c r="E677" s="584"/>
      <c r="F677" s="584"/>
      <c r="G677" s="584"/>
      <c r="H677" s="584"/>
      <c r="I677" s="584"/>
      <c r="J677" s="584"/>
      <c r="K677" s="584"/>
      <c r="L677" s="613"/>
      <c r="M677" s="613"/>
      <c r="N677" s="614"/>
      <c r="O677" s="584"/>
      <c r="P677" s="584"/>
      <c r="Q677" s="584"/>
      <c r="R677" s="584"/>
      <c r="S677" s="584"/>
      <c r="T677" s="584"/>
      <c r="U677" s="584"/>
      <c r="V677" s="584"/>
      <c r="W677" s="584"/>
      <c r="X677" s="584"/>
      <c r="Y677" s="584"/>
      <c r="Z677" s="584"/>
      <c r="AA677" s="584"/>
      <c r="AB677" s="584"/>
      <c r="AC677" s="584"/>
      <c r="AD677" s="584"/>
      <c r="AE677" s="584"/>
      <c r="AF677" s="584"/>
    </row>
    <row r="678" ht="14.25" customHeight="1">
      <c r="A678" s="584"/>
      <c r="B678" s="584"/>
      <c r="C678" s="612"/>
      <c r="D678" s="612"/>
      <c r="E678" s="584"/>
      <c r="F678" s="584"/>
      <c r="G678" s="584"/>
      <c r="H678" s="584"/>
      <c r="I678" s="584"/>
      <c r="J678" s="584"/>
      <c r="K678" s="584"/>
      <c r="L678" s="613"/>
      <c r="M678" s="613"/>
      <c r="N678" s="613"/>
      <c r="O678" s="584"/>
      <c r="P678" s="584"/>
      <c r="Q678" s="584"/>
      <c r="R678" s="584"/>
      <c r="S678" s="584"/>
      <c r="T678" s="584"/>
      <c r="U678" s="584"/>
      <c r="V678" s="584"/>
      <c r="W678" s="584"/>
      <c r="X678" s="584"/>
      <c r="Y678" s="584"/>
      <c r="Z678" s="584"/>
      <c r="AA678" s="584"/>
      <c r="AB678" s="584"/>
      <c r="AC678" s="584"/>
      <c r="AD678" s="584"/>
      <c r="AE678" s="584"/>
      <c r="AF678" s="584"/>
    </row>
    <row r="679" ht="14.25" customHeight="1">
      <c r="A679" s="584"/>
      <c r="B679" s="584"/>
      <c r="C679" s="612"/>
      <c r="D679" s="612"/>
      <c r="E679" s="584"/>
      <c r="F679" s="584"/>
      <c r="G679" s="584"/>
      <c r="H679" s="584"/>
      <c r="I679" s="584"/>
      <c r="J679" s="584"/>
      <c r="K679" s="584"/>
      <c r="L679" s="613"/>
      <c r="M679" s="613"/>
      <c r="N679" s="613"/>
      <c r="O679" s="584"/>
      <c r="P679" s="584"/>
      <c r="Q679" s="584"/>
      <c r="R679" s="584"/>
      <c r="S679" s="584"/>
      <c r="T679" s="584"/>
      <c r="U679" s="584"/>
      <c r="V679" s="584"/>
      <c r="W679" s="584"/>
      <c r="X679" s="584"/>
      <c r="Y679" s="584"/>
      <c r="Z679" s="584"/>
      <c r="AA679" s="584"/>
      <c r="AB679" s="584"/>
      <c r="AC679" s="584"/>
      <c r="AD679" s="584"/>
      <c r="AE679" s="584"/>
      <c r="AF679" s="584"/>
    </row>
    <row r="680" ht="14.25" customHeight="1">
      <c r="A680" s="584"/>
      <c r="B680" s="584"/>
      <c r="C680" s="612"/>
      <c r="D680" s="612"/>
      <c r="E680" s="584"/>
      <c r="F680" s="584"/>
      <c r="G680" s="584"/>
      <c r="H680" s="584"/>
      <c r="I680" s="584"/>
      <c r="J680" s="584"/>
      <c r="K680" s="584"/>
      <c r="L680" s="613"/>
      <c r="M680" s="613"/>
      <c r="N680" s="613"/>
      <c r="O680" s="584"/>
      <c r="P680" s="584"/>
      <c r="Q680" s="584"/>
      <c r="R680" s="584"/>
      <c r="S680" s="584"/>
      <c r="T680" s="584"/>
      <c r="U680" s="584"/>
      <c r="V680" s="584"/>
      <c r="W680" s="584"/>
      <c r="X680" s="584"/>
      <c r="Y680" s="584"/>
      <c r="Z680" s="584"/>
      <c r="AA680" s="584"/>
      <c r="AB680" s="584"/>
      <c r="AC680" s="584"/>
      <c r="AD680" s="584"/>
      <c r="AE680" s="584"/>
      <c r="AF680" s="584"/>
    </row>
    <row r="681" ht="14.25" customHeight="1">
      <c r="A681" s="584"/>
      <c r="B681" s="584"/>
      <c r="C681" s="612"/>
      <c r="D681" s="612"/>
      <c r="E681" s="584"/>
      <c r="F681" s="584"/>
      <c r="G681" s="584"/>
      <c r="H681" s="584"/>
      <c r="I681" s="584"/>
      <c r="J681" s="584"/>
      <c r="K681" s="584"/>
      <c r="L681" s="613"/>
      <c r="M681" s="613"/>
      <c r="N681" s="613"/>
      <c r="O681" s="584"/>
      <c r="P681" s="584"/>
      <c r="Q681" s="584"/>
      <c r="R681" s="584"/>
      <c r="S681" s="584"/>
      <c r="T681" s="584"/>
      <c r="U681" s="584"/>
      <c r="V681" s="584"/>
      <c r="W681" s="584"/>
      <c r="X681" s="584"/>
      <c r="Y681" s="584"/>
      <c r="Z681" s="584"/>
      <c r="AA681" s="584"/>
      <c r="AB681" s="584"/>
      <c r="AC681" s="584"/>
      <c r="AD681" s="584"/>
      <c r="AE681" s="584"/>
      <c r="AF681" s="584"/>
    </row>
    <row r="682" ht="14.25" customHeight="1">
      <c r="A682" s="584"/>
      <c r="B682" s="584"/>
      <c r="C682" s="612"/>
      <c r="D682" s="612"/>
      <c r="E682" s="584"/>
      <c r="F682" s="584"/>
      <c r="G682" s="584"/>
      <c r="H682" s="584"/>
      <c r="I682" s="584"/>
      <c r="J682" s="584"/>
      <c r="K682" s="584"/>
      <c r="L682" s="613"/>
      <c r="M682" s="613"/>
      <c r="N682" s="613"/>
      <c r="O682" s="584"/>
      <c r="P682" s="584"/>
      <c r="Q682" s="584"/>
      <c r="R682" s="584"/>
      <c r="S682" s="584"/>
      <c r="T682" s="584"/>
      <c r="U682" s="584"/>
      <c r="V682" s="584"/>
      <c r="W682" s="584"/>
      <c r="X682" s="584"/>
      <c r="Y682" s="584"/>
      <c r="Z682" s="584"/>
      <c r="AA682" s="584"/>
      <c r="AB682" s="584"/>
      <c r="AC682" s="584"/>
      <c r="AD682" s="584"/>
      <c r="AE682" s="584"/>
      <c r="AF682" s="584"/>
    </row>
    <row r="683" ht="14.25" customHeight="1">
      <c r="A683" s="584"/>
      <c r="B683" s="584"/>
      <c r="C683" s="612"/>
      <c r="D683" s="612"/>
      <c r="E683" s="584"/>
      <c r="F683" s="584"/>
      <c r="G683" s="584"/>
      <c r="H683" s="584"/>
      <c r="I683" s="584"/>
      <c r="J683" s="584"/>
      <c r="K683" s="584"/>
      <c r="L683" s="613"/>
      <c r="M683" s="613"/>
      <c r="N683" s="613"/>
      <c r="O683" s="584"/>
      <c r="P683" s="584"/>
      <c r="Q683" s="584"/>
      <c r="R683" s="584"/>
      <c r="S683" s="584"/>
      <c r="T683" s="584"/>
      <c r="U683" s="584"/>
      <c r="V683" s="584"/>
      <c r="W683" s="584"/>
      <c r="X683" s="584"/>
      <c r="Y683" s="584"/>
      <c r="Z683" s="584"/>
      <c r="AA683" s="584"/>
      <c r="AB683" s="584"/>
      <c r="AC683" s="584"/>
      <c r="AD683" s="584"/>
      <c r="AE683" s="584"/>
      <c r="AF683" s="584"/>
    </row>
    <row r="684" ht="14.25" customHeight="1">
      <c r="A684" s="584"/>
      <c r="B684" s="584"/>
      <c r="C684" s="612"/>
      <c r="D684" s="612"/>
      <c r="E684" s="584"/>
      <c r="F684" s="584"/>
      <c r="G684" s="584"/>
      <c r="H684" s="584"/>
      <c r="I684" s="584"/>
      <c r="J684" s="584"/>
      <c r="K684" s="584"/>
      <c r="L684" s="613"/>
      <c r="M684" s="613"/>
      <c r="N684" s="613"/>
      <c r="O684" s="584"/>
      <c r="P684" s="613"/>
      <c r="Q684" s="584"/>
      <c r="R684" s="584"/>
      <c r="S684" s="584"/>
      <c r="T684" s="584"/>
      <c r="U684" s="584"/>
      <c r="V684" s="584"/>
      <c r="W684" s="584"/>
      <c r="X684" s="584"/>
      <c r="Y684" s="584"/>
      <c r="Z684" s="584"/>
      <c r="AA684" s="584"/>
      <c r="AB684" s="584"/>
      <c r="AC684" s="584"/>
      <c r="AD684" s="584"/>
      <c r="AE684" s="584"/>
      <c r="AF684" s="584"/>
    </row>
    <row r="685" ht="14.25" customHeight="1">
      <c r="A685" s="584"/>
      <c r="B685" s="584"/>
      <c r="C685" s="612"/>
      <c r="D685" s="612"/>
      <c r="E685" s="584"/>
      <c r="F685" s="584"/>
      <c r="G685" s="584"/>
      <c r="H685" s="584"/>
      <c r="I685" s="584"/>
      <c r="J685" s="584"/>
      <c r="K685" s="584"/>
      <c r="L685" s="613"/>
      <c r="M685" s="613"/>
      <c r="N685" s="613"/>
      <c r="O685" s="584"/>
      <c r="P685" s="613"/>
      <c r="Q685" s="584"/>
      <c r="R685" s="584"/>
      <c r="S685" s="584"/>
      <c r="T685" s="584"/>
      <c r="U685" s="584"/>
      <c r="V685" s="584"/>
      <c r="W685" s="584"/>
      <c r="X685" s="584"/>
      <c r="Y685" s="584"/>
      <c r="Z685" s="584"/>
      <c r="AA685" s="584"/>
      <c r="AB685" s="584"/>
      <c r="AC685" s="584"/>
      <c r="AD685" s="584"/>
      <c r="AE685" s="584"/>
      <c r="AF685" s="584"/>
    </row>
    <row r="686" ht="14.25" customHeight="1">
      <c r="A686" s="584"/>
      <c r="B686" s="584"/>
      <c r="C686" s="612"/>
      <c r="D686" s="612"/>
      <c r="E686" s="584"/>
      <c r="F686" s="584"/>
      <c r="G686" s="584"/>
      <c r="H686" s="584"/>
      <c r="I686" s="584"/>
      <c r="J686" s="584"/>
      <c r="K686" s="584"/>
      <c r="L686" s="613"/>
      <c r="M686" s="613"/>
      <c r="N686" s="613"/>
      <c r="O686" s="584"/>
      <c r="P686" s="584"/>
      <c r="Q686" s="584"/>
      <c r="R686" s="584"/>
      <c r="S686" s="584"/>
      <c r="T686" s="584"/>
      <c r="U686" s="584"/>
      <c r="V686" s="584"/>
      <c r="W686" s="584"/>
      <c r="X686" s="584"/>
      <c r="Y686" s="584"/>
      <c r="Z686" s="584"/>
      <c r="AA686" s="584"/>
      <c r="AB686" s="584"/>
      <c r="AC686" s="584"/>
      <c r="AD686" s="584"/>
      <c r="AE686" s="584"/>
      <c r="AF686" s="584"/>
    </row>
    <row r="687" ht="14.25" customHeight="1">
      <c r="A687" s="584"/>
      <c r="B687" s="584"/>
      <c r="C687" s="612"/>
      <c r="D687" s="612"/>
      <c r="E687" s="584"/>
      <c r="F687" s="584"/>
      <c r="G687" s="584"/>
      <c r="H687" s="584"/>
      <c r="I687" s="584"/>
      <c r="J687" s="584"/>
      <c r="K687" s="584"/>
      <c r="L687" s="613"/>
      <c r="M687" s="613"/>
      <c r="N687" s="613"/>
      <c r="O687" s="584"/>
      <c r="P687" s="584"/>
      <c r="Q687" s="584"/>
      <c r="R687" s="584"/>
      <c r="S687" s="584"/>
      <c r="T687" s="584"/>
      <c r="U687" s="584"/>
      <c r="V687" s="584"/>
      <c r="W687" s="584"/>
      <c r="X687" s="584"/>
      <c r="Y687" s="584"/>
      <c r="Z687" s="584"/>
      <c r="AA687" s="584"/>
      <c r="AB687" s="584"/>
      <c r="AC687" s="584"/>
      <c r="AD687" s="584"/>
      <c r="AE687" s="584"/>
      <c r="AF687" s="584"/>
    </row>
    <row r="688" ht="14.25" customHeight="1">
      <c r="A688" s="584"/>
      <c r="B688" s="584"/>
      <c r="C688" s="612"/>
      <c r="D688" s="612"/>
      <c r="E688" s="584"/>
      <c r="F688" s="584"/>
      <c r="G688" s="584"/>
      <c r="H688" s="584"/>
      <c r="I688" s="584"/>
      <c r="J688" s="584"/>
      <c r="K688" s="584"/>
      <c r="L688" s="613"/>
      <c r="M688" s="613"/>
      <c r="N688" s="613"/>
      <c r="O688" s="584"/>
      <c r="P688" s="584"/>
      <c r="Q688" s="584"/>
      <c r="R688" s="584"/>
      <c r="S688" s="584"/>
      <c r="T688" s="584"/>
      <c r="U688" s="584"/>
      <c r="V688" s="584"/>
      <c r="W688" s="584"/>
      <c r="X688" s="584"/>
      <c r="Y688" s="584"/>
      <c r="Z688" s="584"/>
      <c r="AA688" s="584"/>
      <c r="AB688" s="584"/>
      <c r="AC688" s="584"/>
      <c r="AD688" s="584"/>
      <c r="AE688" s="584"/>
      <c r="AF688" s="584"/>
    </row>
    <row r="689" ht="14.25" customHeight="1">
      <c r="A689" s="584"/>
      <c r="B689" s="584"/>
      <c r="C689" s="612"/>
      <c r="D689" s="612"/>
      <c r="E689" s="584"/>
      <c r="F689" s="584"/>
      <c r="G689" s="584"/>
      <c r="H689" s="584"/>
      <c r="I689" s="584"/>
      <c r="J689" s="584"/>
      <c r="K689" s="584"/>
      <c r="L689" s="613"/>
      <c r="M689" s="613"/>
      <c r="N689" s="613"/>
      <c r="O689" s="584"/>
      <c r="P689" s="584"/>
      <c r="Q689" s="584"/>
      <c r="R689" s="584"/>
      <c r="S689" s="584"/>
      <c r="T689" s="584"/>
      <c r="U689" s="584"/>
      <c r="V689" s="584"/>
      <c r="W689" s="584"/>
      <c r="X689" s="584"/>
      <c r="Y689" s="584"/>
      <c r="Z689" s="584"/>
      <c r="AA689" s="584"/>
      <c r="AB689" s="584"/>
      <c r="AC689" s="584"/>
      <c r="AD689" s="584"/>
      <c r="AE689" s="584"/>
      <c r="AF689" s="584"/>
    </row>
    <row r="690" ht="14.25" customHeight="1">
      <c r="A690" s="584"/>
      <c r="B690" s="584"/>
      <c r="C690" s="612"/>
      <c r="D690" s="612"/>
      <c r="E690" s="584"/>
      <c r="F690" s="584"/>
      <c r="G690" s="584"/>
      <c r="H690" s="584"/>
      <c r="I690" s="584"/>
      <c r="J690" s="584"/>
      <c r="K690" s="584"/>
      <c r="L690" s="613"/>
      <c r="M690" s="613"/>
      <c r="N690" s="613"/>
      <c r="O690" s="584"/>
      <c r="P690" s="584"/>
      <c r="Q690" s="584"/>
      <c r="R690" s="584"/>
      <c r="S690" s="584"/>
      <c r="T690" s="584"/>
      <c r="U690" s="584"/>
      <c r="V690" s="584"/>
      <c r="W690" s="584"/>
      <c r="X690" s="584"/>
      <c r="Y690" s="584"/>
      <c r="Z690" s="584"/>
      <c r="AA690" s="584"/>
      <c r="AB690" s="584"/>
      <c r="AC690" s="584"/>
      <c r="AD690" s="584"/>
      <c r="AE690" s="584"/>
      <c r="AF690" s="584"/>
    </row>
    <row r="691" ht="14.25" customHeight="1">
      <c r="A691" s="584"/>
      <c r="B691" s="584"/>
      <c r="C691" s="612"/>
      <c r="D691" s="612"/>
      <c r="E691" s="584"/>
      <c r="F691" s="584"/>
      <c r="G691" s="584"/>
      <c r="H691" s="584"/>
      <c r="I691" s="584"/>
      <c r="J691" s="584"/>
      <c r="K691" s="584"/>
      <c r="L691" s="613"/>
      <c r="M691" s="613"/>
      <c r="N691" s="613"/>
      <c r="O691" s="584"/>
      <c r="P691" s="584"/>
      <c r="Q691" s="584"/>
      <c r="R691" s="584"/>
      <c r="S691" s="584"/>
      <c r="T691" s="584"/>
      <c r="U691" s="584"/>
      <c r="V691" s="584"/>
      <c r="W691" s="584"/>
      <c r="X691" s="584"/>
      <c r="Y691" s="584"/>
      <c r="Z691" s="584"/>
      <c r="AA691" s="584"/>
      <c r="AB691" s="584"/>
      <c r="AC691" s="584"/>
      <c r="AD691" s="584"/>
      <c r="AE691" s="584"/>
      <c r="AF691" s="584"/>
    </row>
    <row r="692" ht="14.25" customHeight="1">
      <c r="A692" s="584"/>
      <c r="B692" s="584"/>
      <c r="C692" s="612"/>
      <c r="D692" s="612"/>
      <c r="E692" s="584"/>
      <c r="F692" s="584"/>
      <c r="G692" s="584"/>
      <c r="H692" s="584"/>
      <c r="I692" s="584"/>
      <c r="J692" s="584"/>
      <c r="K692" s="584"/>
      <c r="L692" s="613"/>
      <c r="M692" s="613"/>
      <c r="N692" s="613"/>
      <c r="O692" s="584"/>
      <c r="P692" s="584"/>
      <c r="Q692" s="584"/>
      <c r="R692" s="584"/>
      <c r="S692" s="584"/>
      <c r="T692" s="584"/>
      <c r="U692" s="584"/>
      <c r="V692" s="584"/>
      <c r="W692" s="584"/>
      <c r="X692" s="584"/>
      <c r="Y692" s="584"/>
      <c r="Z692" s="584"/>
      <c r="AA692" s="584"/>
      <c r="AB692" s="584"/>
      <c r="AC692" s="584"/>
      <c r="AD692" s="584"/>
      <c r="AE692" s="584"/>
      <c r="AF692" s="584"/>
    </row>
    <row r="693" ht="14.25" customHeight="1">
      <c r="A693" s="584"/>
      <c r="B693" s="584"/>
      <c r="C693" s="612"/>
      <c r="D693" s="612"/>
      <c r="E693" s="584"/>
      <c r="F693" s="584"/>
      <c r="G693" s="584"/>
      <c r="H693" s="584"/>
      <c r="I693" s="584"/>
      <c r="J693" s="584"/>
      <c r="K693" s="584"/>
      <c r="L693" s="613"/>
      <c r="M693" s="613"/>
      <c r="N693" s="613"/>
      <c r="O693" s="584"/>
      <c r="P693" s="584"/>
      <c r="Q693" s="584"/>
      <c r="R693" s="584"/>
      <c r="S693" s="584"/>
      <c r="T693" s="584"/>
      <c r="U693" s="584"/>
      <c r="V693" s="584"/>
      <c r="W693" s="584"/>
      <c r="X693" s="584"/>
      <c r="Y693" s="584"/>
      <c r="Z693" s="584"/>
      <c r="AA693" s="584"/>
      <c r="AB693" s="584"/>
      <c r="AC693" s="584"/>
      <c r="AD693" s="584"/>
      <c r="AE693" s="584"/>
      <c r="AF693" s="584"/>
    </row>
    <row r="694" ht="14.25" customHeight="1">
      <c r="A694" s="584"/>
      <c r="B694" s="584"/>
      <c r="C694" s="612"/>
      <c r="D694" s="612"/>
      <c r="E694" s="584"/>
      <c r="F694" s="584"/>
      <c r="G694" s="584"/>
      <c r="H694" s="584"/>
      <c r="I694" s="584"/>
      <c r="J694" s="584"/>
      <c r="K694" s="584"/>
      <c r="L694" s="613"/>
      <c r="M694" s="613"/>
      <c r="N694" s="613"/>
      <c r="O694" s="584"/>
      <c r="P694" s="584"/>
      <c r="Q694" s="584"/>
      <c r="R694" s="584"/>
      <c r="S694" s="584"/>
      <c r="T694" s="584"/>
      <c r="U694" s="584"/>
      <c r="V694" s="584"/>
      <c r="W694" s="584"/>
      <c r="X694" s="584"/>
      <c r="Y694" s="584"/>
      <c r="Z694" s="584"/>
      <c r="AA694" s="584"/>
      <c r="AB694" s="584"/>
      <c r="AC694" s="584"/>
      <c r="AD694" s="584"/>
      <c r="AE694" s="584"/>
      <c r="AF694" s="584"/>
    </row>
    <row r="695" ht="14.25" customHeight="1">
      <c r="A695" s="584"/>
      <c r="B695" s="584"/>
      <c r="C695" s="612"/>
      <c r="D695" s="612"/>
      <c r="E695" s="584"/>
      <c r="F695" s="584"/>
      <c r="G695" s="584"/>
      <c r="H695" s="584"/>
      <c r="I695" s="584"/>
      <c r="J695" s="584"/>
      <c r="K695" s="584"/>
      <c r="L695" s="613"/>
      <c r="M695" s="613"/>
      <c r="N695" s="613"/>
      <c r="O695" s="584"/>
      <c r="P695" s="584"/>
      <c r="Q695" s="584"/>
      <c r="R695" s="584"/>
      <c r="S695" s="584"/>
      <c r="T695" s="584"/>
      <c r="U695" s="584"/>
      <c r="V695" s="584"/>
      <c r="W695" s="584"/>
      <c r="X695" s="584"/>
      <c r="Y695" s="584"/>
      <c r="Z695" s="584"/>
      <c r="AA695" s="584"/>
      <c r="AB695" s="584"/>
      <c r="AC695" s="584"/>
      <c r="AD695" s="584"/>
      <c r="AE695" s="584"/>
      <c r="AF695" s="584"/>
    </row>
    <row r="696" ht="14.25" customHeight="1">
      <c r="A696" s="584"/>
      <c r="B696" s="584"/>
      <c r="C696" s="612"/>
      <c r="D696" s="612"/>
      <c r="E696" s="584"/>
      <c r="F696" s="584"/>
      <c r="G696" s="584"/>
      <c r="H696" s="584"/>
      <c r="I696" s="584"/>
      <c r="J696" s="584"/>
      <c r="K696" s="584"/>
      <c r="L696" s="613"/>
      <c r="M696" s="613"/>
      <c r="N696" s="613"/>
      <c r="O696" s="584"/>
      <c r="P696" s="584"/>
      <c r="Q696" s="584"/>
      <c r="R696" s="584"/>
      <c r="S696" s="584"/>
      <c r="T696" s="584"/>
      <c r="U696" s="584"/>
      <c r="V696" s="584"/>
      <c r="W696" s="584"/>
      <c r="X696" s="584"/>
      <c r="Y696" s="584"/>
      <c r="Z696" s="584"/>
      <c r="AA696" s="584"/>
      <c r="AB696" s="584"/>
      <c r="AC696" s="584"/>
      <c r="AD696" s="584"/>
      <c r="AE696" s="584"/>
      <c r="AF696" s="584"/>
    </row>
    <row r="697" ht="14.25" customHeight="1">
      <c r="A697" s="584"/>
      <c r="B697" s="584"/>
      <c r="C697" s="612"/>
      <c r="D697" s="612"/>
      <c r="E697" s="584"/>
      <c r="F697" s="584"/>
      <c r="G697" s="584"/>
      <c r="H697" s="584"/>
      <c r="I697" s="584"/>
      <c r="J697" s="584"/>
      <c r="K697" s="584"/>
      <c r="L697" s="613"/>
      <c r="M697" s="613"/>
      <c r="N697" s="613"/>
      <c r="O697" s="584"/>
      <c r="P697" s="584"/>
      <c r="Q697" s="584"/>
      <c r="R697" s="584"/>
      <c r="S697" s="584"/>
      <c r="T697" s="584"/>
      <c r="U697" s="584"/>
      <c r="V697" s="584"/>
      <c r="W697" s="584"/>
      <c r="X697" s="584"/>
      <c r="Y697" s="584"/>
      <c r="Z697" s="584"/>
      <c r="AA697" s="584"/>
      <c r="AB697" s="584"/>
      <c r="AC697" s="584"/>
      <c r="AD697" s="584"/>
      <c r="AE697" s="584"/>
      <c r="AF697" s="584"/>
    </row>
    <row r="698" ht="14.25" customHeight="1">
      <c r="A698" s="584"/>
      <c r="B698" s="584"/>
      <c r="C698" s="612"/>
      <c r="D698" s="612"/>
      <c r="E698" s="584"/>
      <c r="F698" s="584"/>
      <c r="G698" s="584"/>
      <c r="H698" s="584"/>
      <c r="I698" s="584"/>
      <c r="J698" s="584"/>
      <c r="K698" s="584"/>
      <c r="L698" s="613"/>
      <c r="M698" s="613"/>
      <c r="N698" s="613"/>
      <c r="O698" s="584"/>
      <c r="P698" s="584"/>
      <c r="Q698" s="584"/>
      <c r="R698" s="584"/>
      <c r="S698" s="584"/>
      <c r="T698" s="584"/>
      <c r="U698" s="584"/>
      <c r="V698" s="584"/>
      <c r="W698" s="584"/>
      <c r="X698" s="584"/>
      <c r="Y698" s="584"/>
      <c r="Z698" s="584"/>
      <c r="AA698" s="584"/>
      <c r="AB698" s="584"/>
      <c r="AC698" s="584"/>
      <c r="AD698" s="584"/>
      <c r="AE698" s="584"/>
      <c r="AF698" s="584"/>
    </row>
    <row r="699" ht="14.25" customHeight="1">
      <c r="A699" s="584"/>
      <c r="B699" s="584"/>
      <c r="C699" s="612"/>
      <c r="D699" s="612"/>
      <c r="E699" s="584"/>
      <c r="F699" s="584"/>
      <c r="G699" s="584"/>
      <c r="H699" s="584"/>
      <c r="I699" s="584"/>
      <c r="J699" s="584"/>
      <c r="K699" s="584"/>
      <c r="L699" s="613"/>
      <c r="M699" s="613"/>
      <c r="N699" s="613"/>
      <c r="O699" s="584"/>
      <c r="P699" s="584"/>
      <c r="Q699" s="584"/>
      <c r="R699" s="584"/>
      <c r="S699" s="584"/>
      <c r="T699" s="584"/>
      <c r="U699" s="584"/>
      <c r="V699" s="584"/>
      <c r="W699" s="584"/>
      <c r="X699" s="584"/>
      <c r="Y699" s="584"/>
      <c r="Z699" s="584"/>
      <c r="AA699" s="584"/>
      <c r="AB699" s="584"/>
      <c r="AC699" s="584"/>
      <c r="AD699" s="584"/>
      <c r="AE699" s="584"/>
      <c r="AF699" s="584"/>
    </row>
    <row r="700" ht="14.25" customHeight="1">
      <c r="A700" s="584"/>
      <c r="B700" s="584"/>
      <c r="C700" s="612"/>
      <c r="D700" s="612"/>
      <c r="E700" s="584"/>
      <c r="F700" s="584"/>
      <c r="G700" s="584"/>
      <c r="H700" s="584"/>
      <c r="I700" s="584"/>
      <c r="J700" s="584"/>
      <c r="K700" s="584"/>
      <c r="L700" s="613"/>
      <c r="M700" s="613"/>
      <c r="N700" s="613"/>
      <c r="O700" s="584"/>
      <c r="P700" s="584"/>
      <c r="Q700" s="584"/>
      <c r="R700" s="584"/>
      <c r="S700" s="584"/>
      <c r="T700" s="584"/>
      <c r="U700" s="584"/>
      <c r="V700" s="584"/>
      <c r="W700" s="584"/>
      <c r="X700" s="584"/>
      <c r="Y700" s="584"/>
      <c r="Z700" s="584"/>
      <c r="AA700" s="584"/>
      <c r="AB700" s="584"/>
      <c r="AC700" s="584"/>
      <c r="AD700" s="584"/>
      <c r="AE700" s="584"/>
      <c r="AF700" s="584"/>
    </row>
    <row r="701" ht="14.25" customHeight="1">
      <c r="A701" s="584"/>
      <c r="B701" s="584"/>
      <c r="C701" s="612"/>
      <c r="D701" s="612"/>
      <c r="E701" s="616"/>
      <c r="F701" s="584"/>
      <c r="G701" s="584"/>
      <c r="H701" s="584"/>
      <c r="I701" s="584"/>
      <c r="J701" s="584"/>
      <c r="K701" s="584"/>
      <c r="L701" s="613"/>
      <c r="M701" s="613"/>
      <c r="N701" s="613"/>
      <c r="O701" s="584"/>
      <c r="P701" s="584"/>
      <c r="Q701" s="584"/>
      <c r="R701" s="584"/>
      <c r="S701" s="584"/>
      <c r="T701" s="584"/>
      <c r="U701" s="584"/>
      <c r="V701" s="584"/>
      <c r="W701" s="584"/>
      <c r="X701" s="584"/>
      <c r="Y701" s="584"/>
      <c r="Z701" s="584"/>
      <c r="AA701" s="584"/>
      <c r="AB701" s="584"/>
      <c r="AC701" s="584"/>
      <c r="AD701" s="584"/>
      <c r="AE701" s="584"/>
      <c r="AF701" s="584"/>
    </row>
    <row r="702" ht="14.25" customHeight="1">
      <c r="A702" s="584"/>
      <c r="B702" s="584"/>
      <c r="C702" s="612"/>
      <c r="D702" s="612"/>
      <c r="E702" s="584"/>
      <c r="F702" s="584"/>
      <c r="G702" s="584"/>
      <c r="H702" s="584"/>
      <c r="I702" s="584"/>
      <c r="J702" s="584"/>
      <c r="K702" s="584"/>
      <c r="L702" s="613"/>
      <c r="M702" s="613"/>
      <c r="N702" s="613"/>
      <c r="O702" s="584"/>
      <c r="P702" s="584"/>
      <c r="Q702" s="584"/>
      <c r="R702" s="584"/>
      <c r="S702" s="584"/>
      <c r="T702" s="584"/>
      <c r="U702" s="584"/>
      <c r="V702" s="584"/>
      <c r="W702" s="584"/>
      <c r="X702" s="584"/>
      <c r="Y702" s="584"/>
      <c r="Z702" s="584"/>
      <c r="AA702" s="584"/>
      <c r="AB702" s="584"/>
      <c r="AC702" s="584"/>
      <c r="AD702" s="584"/>
      <c r="AE702" s="584"/>
      <c r="AF702" s="584"/>
    </row>
    <row r="703" ht="14.25" customHeight="1">
      <c r="A703" s="584"/>
      <c r="B703" s="584"/>
      <c r="C703" s="612"/>
      <c r="D703" s="612"/>
      <c r="E703" s="584"/>
      <c r="F703" s="584"/>
      <c r="G703" s="584"/>
      <c r="H703" s="584"/>
      <c r="I703" s="584"/>
      <c r="J703" s="584"/>
      <c r="K703" s="584"/>
      <c r="L703" s="613"/>
      <c r="M703" s="613"/>
      <c r="N703" s="613"/>
      <c r="O703" s="584"/>
      <c r="P703" s="584"/>
      <c r="Q703" s="584"/>
      <c r="R703" s="584"/>
      <c r="S703" s="584"/>
      <c r="T703" s="584"/>
      <c r="U703" s="584"/>
      <c r="V703" s="584"/>
      <c r="W703" s="584"/>
      <c r="X703" s="584"/>
      <c r="Y703" s="584"/>
      <c r="Z703" s="584"/>
      <c r="AA703" s="584"/>
      <c r="AB703" s="584"/>
      <c r="AC703" s="584"/>
      <c r="AD703" s="584"/>
      <c r="AE703" s="584"/>
      <c r="AF703" s="584"/>
    </row>
    <row r="704" ht="14.25" customHeight="1">
      <c r="A704" s="584"/>
      <c r="B704" s="584"/>
      <c r="C704" s="612"/>
      <c r="D704" s="612"/>
      <c r="E704" s="584"/>
      <c r="F704" s="584"/>
      <c r="G704" s="584"/>
      <c r="H704" s="584"/>
      <c r="I704" s="584"/>
      <c r="J704" s="584"/>
      <c r="K704" s="584"/>
      <c r="L704" s="613"/>
      <c r="M704" s="613"/>
      <c r="N704" s="613"/>
      <c r="O704" s="584"/>
      <c r="P704" s="584"/>
      <c r="Q704" s="584"/>
      <c r="R704" s="584"/>
      <c r="S704" s="584"/>
      <c r="T704" s="584"/>
      <c r="U704" s="584"/>
      <c r="V704" s="584"/>
      <c r="W704" s="584"/>
      <c r="X704" s="584"/>
      <c r="Y704" s="584"/>
      <c r="Z704" s="584"/>
      <c r="AA704" s="584"/>
      <c r="AB704" s="584"/>
      <c r="AC704" s="584"/>
      <c r="AD704" s="584"/>
      <c r="AE704" s="584"/>
      <c r="AF704" s="584"/>
    </row>
    <row r="705" ht="14.25" customHeight="1">
      <c r="A705" s="584"/>
      <c r="B705" s="584"/>
      <c r="C705" s="612"/>
      <c r="D705" s="612"/>
      <c r="E705" s="584"/>
      <c r="F705" s="584"/>
      <c r="G705" s="584"/>
      <c r="H705" s="584"/>
      <c r="I705" s="584"/>
      <c r="J705" s="584"/>
      <c r="K705" s="584"/>
      <c r="L705" s="613"/>
      <c r="M705" s="613"/>
      <c r="N705" s="613"/>
      <c r="O705" s="584"/>
      <c r="P705" s="584"/>
      <c r="Q705" s="584"/>
      <c r="R705" s="584"/>
      <c r="S705" s="584"/>
      <c r="T705" s="584"/>
      <c r="U705" s="584"/>
      <c r="V705" s="584"/>
      <c r="W705" s="584"/>
      <c r="X705" s="584"/>
      <c r="Y705" s="584"/>
      <c r="Z705" s="584"/>
      <c r="AA705" s="584"/>
      <c r="AB705" s="584"/>
      <c r="AC705" s="584"/>
      <c r="AD705" s="584"/>
      <c r="AE705" s="584"/>
      <c r="AF705" s="584"/>
    </row>
    <row r="706" ht="14.25" customHeight="1">
      <c r="A706" s="584"/>
      <c r="B706" s="584"/>
      <c r="C706" s="612"/>
      <c r="D706" s="612"/>
      <c r="E706" s="584"/>
      <c r="F706" s="584"/>
      <c r="G706" s="584"/>
      <c r="H706" s="584"/>
      <c r="I706" s="584"/>
      <c r="J706" s="584"/>
      <c r="K706" s="584"/>
      <c r="L706" s="613"/>
      <c r="M706" s="613"/>
      <c r="N706" s="613"/>
      <c r="O706" s="584"/>
      <c r="P706" s="584"/>
      <c r="Q706" s="584"/>
      <c r="R706" s="584"/>
      <c r="S706" s="584"/>
      <c r="T706" s="584"/>
      <c r="U706" s="584"/>
      <c r="V706" s="584"/>
      <c r="W706" s="584"/>
      <c r="X706" s="584"/>
      <c r="Y706" s="584"/>
      <c r="Z706" s="584"/>
      <c r="AA706" s="584"/>
      <c r="AB706" s="584"/>
      <c r="AC706" s="584"/>
      <c r="AD706" s="584"/>
      <c r="AE706" s="584"/>
      <c r="AF706" s="584"/>
    </row>
    <row r="707" ht="14.25" customHeight="1">
      <c r="A707" s="584"/>
      <c r="B707" s="584"/>
      <c r="C707" s="612"/>
      <c r="D707" s="612"/>
      <c r="E707" s="584"/>
      <c r="F707" s="584"/>
      <c r="G707" s="584"/>
      <c r="H707" s="584"/>
      <c r="I707" s="584"/>
      <c r="J707" s="584"/>
      <c r="K707" s="584"/>
      <c r="L707" s="613"/>
      <c r="M707" s="613"/>
      <c r="N707" s="613"/>
      <c r="O707" s="584"/>
      <c r="P707" s="584"/>
      <c r="Q707" s="584"/>
      <c r="R707" s="584"/>
      <c r="S707" s="584"/>
      <c r="T707" s="584"/>
      <c r="U707" s="584"/>
      <c r="V707" s="584"/>
      <c r="W707" s="584"/>
      <c r="X707" s="584"/>
      <c r="Y707" s="584"/>
      <c r="Z707" s="584"/>
      <c r="AA707" s="584"/>
      <c r="AB707" s="584"/>
      <c r="AC707" s="584"/>
      <c r="AD707" s="584"/>
      <c r="AE707" s="584"/>
      <c r="AF707" s="584"/>
    </row>
    <row r="708" ht="14.25" customHeight="1">
      <c r="A708" s="584"/>
      <c r="B708" s="584"/>
      <c r="C708" s="612"/>
      <c r="D708" s="612"/>
      <c r="E708" s="584"/>
      <c r="F708" s="584"/>
      <c r="G708" s="584"/>
      <c r="H708" s="584"/>
      <c r="I708" s="584"/>
      <c r="J708" s="584"/>
      <c r="K708" s="584"/>
      <c r="L708" s="613"/>
      <c r="M708" s="613"/>
      <c r="N708" s="614"/>
      <c r="O708" s="584"/>
      <c r="P708" s="584"/>
      <c r="Q708" s="584"/>
      <c r="R708" s="584"/>
      <c r="S708" s="584"/>
      <c r="T708" s="584"/>
      <c r="U708" s="584"/>
      <c r="V708" s="584"/>
      <c r="W708" s="584"/>
      <c r="X708" s="584"/>
      <c r="Y708" s="584"/>
      <c r="Z708" s="584"/>
      <c r="AA708" s="584"/>
      <c r="AB708" s="584"/>
      <c r="AC708" s="584"/>
      <c r="AD708" s="584"/>
      <c r="AE708" s="584"/>
      <c r="AF708" s="584"/>
    </row>
    <row r="709" ht="14.25" customHeight="1">
      <c r="A709" s="584"/>
      <c r="B709" s="584"/>
      <c r="C709" s="612"/>
      <c r="D709" s="612"/>
      <c r="E709" s="584"/>
      <c r="F709" s="584"/>
      <c r="G709" s="584"/>
      <c r="H709" s="584"/>
      <c r="I709" s="584"/>
      <c r="J709" s="584"/>
      <c r="K709" s="584"/>
      <c r="L709" s="613"/>
      <c r="M709" s="613"/>
      <c r="N709" s="613"/>
      <c r="O709" s="584"/>
      <c r="P709" s="584"/>
      <c r="Q709" s="584"/>
      <c r="R709" s="584"/>
      <c r="S709" s="584"/>
      <c r="T709" s="584"/>
      <c r="U709" s="584"/>
      <c r="V709" s="584"/>
      <c r="W709" s="584"/>
      <c r="X709" s="584"/>
      <c r="Y709" s="584"/>
      <c r="Z709" s="584"/>
      <c r="AA709" s="584"/>
      <c r="AB709" s="584"/>
      <c r="AC709" s="584"/>
      <c r="AD709" s="584"/>
      <c r="AE709" s="584"/>
      <c r="AF709" s="584"/>
    </row>
    <row r="710" ht="14.25" customHeight="1">
      <c r="A710" s="584"/>
      <c r="B710" s="584"/>
      <c r="C710" s="612"/>
      <c r="D710" s="612"/>
      <c r="E710" s="584"/>
      <c r="F710" s="584"/>
      <c r="G710" s="584"/>
      <c r="H710" s="584"/>
      <c r="I710" s="584"/>
      <c r="J710" s="584"/>
      <c r="K710" s="584"/>
      <c r="L710" s="613"/>
      <c r="M710" s="613"/>
      <c r="N710" s="613"/>
      <c r="O710" s="584"/>
      <c r="P710" s="584"/>
      <c r="Q710" s="584"/>
      <c r="R710" s="584"/>
      <c r="S710" s="584"/>
      <c r="T710" s="584"/>
      <c r="U710" s="584"/>
      <c r="V710" s="584"/>
      <c r="W710" s="584"/>
      <c r="X710" s="584"/>
      <c r="Y710" s="584"/>
      <c r="Z710" s="584"/>
      <c r="AA710" s="584"/>
      <c r="AB710" s="584"/>
      <c r="AC710" s="584"/>
      <c r="AD710" s="584"/>
      <c r="AE710" s="584"/>
      <c r="AF710" s="584"/>
    </row>
    <row r="711" ht="14.25" customHeight="1">
      <c r="A711" s="584"/>
      <c r="B711" s="584"/>
      <c r="C711" s="612"/>
      <c r="D711" s="612"/>
      <c r="E711" s="616"/>
      <c r="F711" s="584"/>
      <c r="G711" s="584"/>
      <c r="H711" s="584"/>
      <c r="I711" s="584"/>
      <c r="J711" s="584"/>
      <c r="K711" s="584"/>
      <c r="L711" s="613"/>
      <c r="M711" s="613"/>
      <c r="N711" s="613"/>
      <c r="O711" s="584"/>
      <c r="P711" s="584"/>
      <c r="Q711" s="584"/>
      <c r="R711" s="584"/>
      <c r="S711" s="584"/>
      <c r="T711" s="584"/>
      <c r="U711" s="584"/>
      <c r="V711" s="584"/>
      <c r="W711" s="584"/>
      <c r="X711" s="584"/>
      <c r="Y711" s="584"/>
      <c r="Z711" s="584"/>
      <c r="AA711" s="584"/>
      <c r="AB711" s="584"/>
      <c r="AC711" s="584"/>
      <c r="AD711" s="584"/>
      <c r="AE711" s="584"/>
      <c r="AF711" s="584"/>
    </row>
    <row r="712" ht="14.25" customHeight="1">
      <c r="A712" s="584"/>
      <c r="B712" s="584"/>
      <c r="C712" s="612"/>
      <c r="D712" s="612"/>
      <c r="E712" s="584"/>
      <c r="F712" s="584"/>
      <c r="G712" s="584"/>
      <c r="H712" s="584"/>
      <c r="I712" s="584"/>
      <c r="J712" s="584"/>
      <c r="K712" s="584"/>
      <c r="L712" s="613"/>
      <c r="M712" s="613"/>
      <c r="N712" s="614"/>
      <c r="O712" s="584"/>
      <c r="P712" s="584"/>
      <c r="Q712" s="584"/>
      <c r="R712" s="584"/>
      <c r="S712" s="584"/>
      <c r="T712" s="584"/>
      <c r="U712" s="584"/>
      <c r="V712" s="584"/>
      <c r="W712" s="584"/>
      <c r="X712" s="584"/>
      <c r="Y712" s="584"/>
      <c r="Z712" s="584"/>
      <c r="AA712" s="584"/>
      <c r="AB712" s="584"/>
      <c r="AC712" s="584"/>
      <c r="AD712" s="584"/>
      <c r="AE712" s="584"/>
      <c r="AF712" s="584"/>
    </row>
    <row r="713" ht="14.25" customHeight="1">
      <c r="A713" s="584"/>
      <c r="B713" s="584"/>
      <c r="C713" s="612"/>
      <c r="D713" s="612"/>
      <c r="E713" s="584"/>
      <c r="F713" s="584"/>
      <c r="G713" s="584"/>
      <c r="H713" s="584"/>
      <c r="I713" s="584"/>
      <c r="J713" s="584"/>
      <c r="K713" s="584"/>
      <c r="L713" s="613"/>
      <c r="M713" s="613"/>
      <c r="N713" s="613"/>
      <c r="O713" s="584"/>
      <c r="P713" s="584"/>
      <c r="Q713" s="584"/>
      <c r="R713" s="584"/>
      <c r="S713" s="584"/>
      <c r="T713" s="584"/>
      <c r="U713" s="584"/>
      <c r="V713" s="584"/>
      <c r="W713" s="584"/>
      <c r="X713" s="584"/>
      <c r="Y713" s="584"/>
      <c r="Z713" s="584"/>
      <c r="AA713" s="584"/>
      <c r="AB713" s="584"/>
      <c r="AC713" s="584"/>
      <c r="AD713" s="584"/>
      <c r="AE713" s="584"/>
      <c r="AF713" s="584"/>
    </row>
    <row r="714" ht="14.25" customHeight="1">
      <c r="A714" s="584"/>
      <c r="B714" s="584"/>
      <c r="C714" s="612"/>
      <c r="D714" s="612"/>
      <c r="E714" s="584"/>
      <c r="F714" s="584"/>
      <c r="G714" s="584"/>
      <c r="H714" s="584"/>
      <c r="I714" s="584"/>
      <c r="J714" s="584"/>
      <c r="K714" s="584"/>
      <c r="L714" s="613"/>
      <c r="M714" s="613"/>
      <c r="N714" s="613"/>
      <c r="O714" s="584"/>
      <c r="P714" s="584"/>
      <c r="Q714" s="584"/>
      <c r="R714" s="584"/>
      <c r="S714" s="584"/>
      <c r="T714" s="584"/>
      <c r="U714" s="584"/>
      <c r="V714" s="584"/>
      <c r="W714" s="584"/>
      <c r="X714" s="584"/>
      <c r="Y714" s="584"/>
      <c r="Z714" s="584"/>
      <c r="AA714" s="584"/>
      <c r="AB714" s="584"/>
      <c r="AC714" s="584"/>
      <c r="AD714" s="584"/>
      <c r="AE714" s="584"/>
      <c r="AF714" s="584"/>
    </row>
    <row r="715" ht="14.25" customHeight="1">
      <c r="A715" s="584"/>
      <c r="B715" s="584"/>
      <c r="C715" s="612"/>
      <c r="D715" s="612"/>
      <c r="E715" s="584"/>
      <c r="F715" s="584"/>
      <c r="G715" s="584"/>
      <c r="H715" s="584"/>
      <c r="I715" s="584"/>
      <c r="J715" s="584"/>
      <c r="K715" s="584"/>
      <c r="L715" s="613"/>
      <c r="M715" s="613"/>
      <c r="N715" s="613"/>
      <c r="O715" s="584"/>
      <c r="P715" s="584"/>
      <c r="Q715" s="584"/>
      <c r="R715" s="584"/>
      <c r="S715" s="584"/>
      <c r="T715" s="584"/>
      <c r="U715" s="584"/>
      <c r="V715" s="584"/>
      <c r="W715" s="584"/>
      <c r="X715" s="584"/>
      <c r="Y715" s="584"/>
      <c r="Z715" s="584"/>
      <c r="AA715" s="584"/>
      <c r="AB715" s="584"/>
      <c r="AC715" s="584"/>
      <c r="AD715" s="584"/>
      <c r="AE715" s="584"/>
      <c r="AF715" s="584"/>
    </row>
    <row r="716" ht="14.25" customHeight="1">
      <c r="A716" s="584"/>
      <c r="B716" s="584"/>
      <c r="C716" s="612"/>
      <c r="D716" s="612"/>
      <c r="E716" s="584"/>
      <c r="F716" s="584"/>
      <c r="G716" s="584"/>
      <c r="H716" s="584"/>
      <c r="I716" s="584"/>
      <c r="J716" s="584"/>
      <c r="K716" s="584"/>
      <c r="L716" s="613"/>
      <c r="M716" s="613"/>
      <c r="N716" s="613"/>
      <c r="O716" s="584"/>
      <c r="P716" s="584"/>
      <c r="Q716" s="584"/>
      <c r="R716" s="584"/>
      <c r="S716" s="584"/>
      <c r="T716" s="584"/>
      <c r="U716" s="584"/>
      <c r="V716" s="584"/>
      <c r="W716" s="584"/>
      <c r="X716" s="584"/>
      <c r="Y716" s="584"/>
      <c r="Z716" s="584"/>
      <c r="AA716" s="584"/>
      <c r="AB716" s="584"/>
      <c r="AC716" s="584"/>
      <c r="AD716" s="584"/>
      <c r="AE716" s="584"/>
      <c r="AF716" s="584"/>
    </row>
    <row r="717" ht="14.25" customHeight="1">
      <c r="A717" s="584"/>
      <c r="B717" s="584"/>
      <c r="C717" s="612"/>
      <c r="D717" s="612"/>
      <c r="E717" s="584"/>
      <c r="F717" s="584"/>
      <c r="G717" s="584"/>
      <c r="H717" s="584"/>
      <c r="I717" s="584"/>
      <c r="J717" s="584"/>
      <c r="K717" s="584"/>
      <c r="L717" s="613"/>
      <c r="M717" s="613"/>
      <c r="N717" s="613"/>
      <c r="O717" s="584"/>
      <c r="P717" s="584"/>
      <c r="Q717" s="584"/>
      <c r="R717" s="584"/>
      <c r="S717" s="584"/>
      <c r="T717" s="584"/>
      <c r="U717" s="584"/>
      <c r="V717" s="584"/>
      <c r="W717" s="584"/>
      <c r="X717" s="584"/>
      <c r="Y717" s="584"/>
      <c r="Z717" s="584"/>
      <c r="AA717" s="584"/>
      <c r="AB717" s="584"/>
      <c r="AC717" s="584"/>
      <c r="AD717" s="584"/>
      <c r="AE717" s="584"/>
      <c r="AF717" s="584"/>
    </row>
    <row r="718" ht="14.25" customHeight="1">
      <c r="A718" s="584"/>
      <c r="B718" s="584"/>
      <c r="C718" s="612"/>
      <c r="D718" s="612"/>
      <c r="E718" s="584"/>
      <c r="F718" s="584"/>
      <c r="G718" s="584"/>
      <c r="H718" s="584"/>
      <c r="I718" s="584"/>
      <c r="J718" s="584"/>
      <c r="K718" s="584"/>
      <c r="L718" s="613"/>
      <c r="M718" s="613"/>
      <c r="N718" s="613"/>
      <c r="O718" s="584"/>
      <c r="P718" s="584"/>
      <c r="Q718" s="584"/>
      <c r="R718" s="584"/>
      <c r="S718" s="584"/>
      <c r="T718" s="584"/>
      <c r="U718" s="584"/>
      <c r="V718" s="584"/>
      <c r="W718" s="584"/>
      <c r="X718" s="584"/>
      <c r="Y718" s="584"/>
      <c r="Z718" s="584"/>
      <c r="AA718" s="584"/>
      <c r="AB718" s="584"/>
      <c r="AC718" s="584"/>
      <c r="AD718" s="584"/>
      <c r="AE718" s="584"/>
      <c r="AF718" s="584"/>
    </row>
    <row r="719" ht="14.25" customHeight="1">
      <c r="A719" s="584"/>
      <c r="B719" s="584"/>
      <c r="C719" s="612"/>
      <c r="D719" s="612"/>
      <c r="E719" s="584"/>
      <c r="F719" s="584"/>
      <c r="G719" s="584"/>
      <c r="H719" s="584"/>
      <c r="I719" s="584"/>
      <c r="J719" s="584"/>
      <c r="K719" s="584"/>
      <c r="L719" s="613"/>
      <c r="M719" s="613"/>
      <c r="N719" s="613"/>
      <c r="O719" s="584"/>
      <c r="P719" s="584"/>
      <c r="Q719" s="584"/>
      <c r="R719" s="584"/>
      <c r="S719" s="584"/>
      <c r="T719" s="584"/>
      <c r="U719" s="584"/>
      <c r="V719" s="584"/>
      <c r="W719" s="584"/>
      <c r="X719" s="584"/>
      <c r="Y719" s="584"/>
      <c r="Z719" s="584"/>
      <c r="AA719" s="584"/>
      <c r="AB719" s="584"/>
      <c r="AC719" s="584"/>
      <c r="AD719" s="584"/>
      <c r="AE719" s="584"/>
      <c r="AF719" s="584"/>
    </row>
    <row r="720" ht="14.25" customHeight="1">
      <c r="A720" s="584"/>
      <c r="B720" s="584"/>
      <c r="C720" s="612"/>
      <c r="D720" s="612"/>
      <c r="E720" s="584"/>
      <c r="F720" s="584"/>
      <c r="G720" s="584"/>
      <c r="H720" s="584"/>
      <c r="I720" s="584"/>
      <c r="J720" s="584"/>
      <c r="K720" s="584"/>
      <c r="L720" s="613"/>
      <c r="M720" s="613"/>
      <c r="N720" s="613"/>
      <c r="O720" s="584"/>
      <c r="P720" s="584"/>
      <c r="Q720" s="584"/>
      <c r="R720" s="584"/>
      <c r="S720" s="584"/>
      <c r="T720" s="584"/>
      <c r="U720" s="584"/>
      <c r="V720" s="584"/>
      <c r="W720" s="584"/>
      <c r="X720" s="584"/>
      <c r="Y720" s="584"/>
      <c r="Z720" s="584"/>
      <c r="AA720" s="584"/>
      <c r="AB720" s="584"/>
      <c r="AC720" s="584"/>
      <c r="AD720" s="584"/>
      <c r="AE720" s="584"/>
      <c r="AF720" s="584"/>
    </row>
    <row r="721" ht="14.25" customHeight="1">
      <c r="A721" s="584"/>
      <c r="B721" s="584"/>
      <c r="C721" s="612"/>
      <c r="D721" s="612"/>
      <c r="E721" s="584"/>
      <c r="F721" s="584"/>
      <c r="G721" s="584"/>
      <c r="H721" s="584"/>
      <c r="I721" s="584"/>
      <c r="J721" s="584"/>
      <c r="K721" s="584"/>
      <c r="L721" s="613"/>
      <c r="M721" s="613"/>
      <c r="N721" s="613"/>
      <c r="O721" s="584"/>
      <c r="P721" s="584"/>
      <c r="Q721" s="584"/>
      <c r="R721" s="584"/>
      <c r="S721" s="584"/>
      <c r="T721" s="584"/>
      <c r="U721" s="584"/>
      <c r="V721" s="584"/>
      <c r="W721" s="584"/>
      <c r="X721" s="584"/>
      <c r="Y721" s="584"/>
      <c r="Z721" s="584"/>
      <c r="AA721" s="584"/>
      <c r="AB721" s="584"/>
      <c r="AC721" s="584"/>
      <c r="AD721" s="584"/>
      <c r="AE721" s="584"/>
      <c r="AF721" s="584"/>
    </row>
    <row r="722" ht="14.25" customHeight="1">
      <c r="A722" s="584"/>
      <c r="B722" s="584"/>
      <c r="C722" s="612"/>
      <c r="D722" s="612"/>
      <c r="E722" s="584"/>
      <c r="F722" s="584"/>
      <c r="G722" s="584"/>
      <c r="H722" s="584"/>
      <c r="I722" s="584"/>
      <c r="J722" s="584"/>
      <c r="K722" s="584"/>
      <c r="L722" s="613"/>
      <c r="M722" s="613"/>
      <c r="N722" s="613"/>
      <c r="O722" s="584"/>
      <c r="P722" s="584"/>
      <c r="Q722" s="584"/>
      <c r="R722" s="584"/>
      <c r="S722" s="584"/>
      <c r="T722" s="584"/>
      <c r="U722" s="584"/>
      <c r="V722" s="584"/>
      <c r="W722" s="584"/>
      <c r="X722" s="584"/>
      <c r="Y722" s="584"/>
      <c r="Z722" s="584"/>
      <c r="AA722" s="584"/>
      <c r="AB722" s="584"/>
      <c r="AC722" s="584"/>
      <c r="AD722" s="584"/>
      <c r="AE722" s="584"/>
      <c r="AF722" s="584"/>
    </row>
    <row r="723" ht="14.25" customHeight="1">
      <c r="A723" s="584"/>
      <c r="B723" s="584"/>
      <c r="C723" s="612"/>
      <c r="D723" s="612"/>
      <c r="E723" s="584"/>
      <c r="F723" s="584"/>
      <c r="G723" s="584"/>
      <c r="H723" s="584"/>
      <c r="I723" s="584"/>
      <c r="J723" s="584"/>
      <c r="K723" s="584"/>
      <c r="L723" s="613"/>
      <c r="M723" s="613"/>
      <c r="N723" s="613"/>
      <c r="O723" s="584"/>
      <c r="P723" s="584"/>
      <c r="Q723" s="584"/>
      <c r="R723" s="584"/>
      <c r="S723" s="584"/>
      <c r="T723" s="584"/>
      <c r="U723" s="584"/>
      <c r="V723" s="584"/>
      <c r="W723" s="584"/>
      <c r="X723" s="584"/>
      <c r="Y723" s="584"/>
      <c r="Z723" s="584"/>
      <c r="AA723" s="584"/>
      <c r="AB723" s="584"/>
      <c r="AC723" s="584"/>
      <c r="AD723" s="584"/>
      <c r="AE723" s="584"/>
      <c r="AF723" s="584"/>
    </row>
    <row r="724" ht="14.25" customHeight="1">
      <c r="A724" s="584"/>
      <c r="B724" s="584"/>
      <c r="C724" s="612"/>
      <c r="D724" s="612"/>
      <c r="E724" s="584"/>
      <c r="F724" s="584"/>
      <c r="G724" s="584"/>
      <c r="H724" s="584"/>
      <c r="I724" s="584"/>
      <c r="J724" s="584"/>
      <c r="K724" s="584"/>
      <c r="L724" s="613"/>
      <c r="M724" s="613"/>
      <c r="N724" s="613"/>
      <c r="O724" s="584"/>
      <c r="P724" s="584"/>
      <c r="Q724" s="584"/>
      <c r="R724" s="584"/>
      <c r="S724" s="584"/>
      <c r="T724" s="584"/>
      <c r="U724" s="584"/>
      <c r="V724" s="584"/>
      <c r="W724" s="584"/>
      <c r="X724" s="584"/>
      <c r="Y724" s="584"/>
      <c r="Z724" s="584"/>
      <c r="AA724" s="584"/>
      <c r="AB724" s="584"/>
      <c r="AC724" s="584"/>
      <c r="AD724" s="584"/>
      <c r="AE724" s="584"/>
      <c r="AF724" s="584"/>
    </row>
    <row r="725" ht="14.25" customHeight="1">
      <c r="A725" s="584"/>
      <c r="B725" s="584"/>
      <c r="C725" s="612"/>
      <c r="D725" s="612"/>
      <c r="E725" s="584"/>
      <c r="F725" s="584"/>
      <c r="G725" s="584"/>
      <c r="H725" s="584"/>
      <c r="I725" s="584"/>
      <c r="J725" s="584"/>
      <c r="K725" s="584"/>
      <c r="L725" s="613"/>
      <c r="M725" s="613"/>
      <c r="N725" s="613"/>
      <c r="O725" s="584"/>
      <c r="P725" s="584"/>
      <c r="Q725" s="584"/>
      <c r="R725" s="584"/>
      <c r="S725" s="584"/>
      <c r="T725" s="584"/>
      <c r="U725" s="584"/>
      <c r="V725" s="584"/>
      <c r="W725" s="584"/>
      <c r="X725" s="584"/>
      <c r="Y725" s="584"/>
      <c r="Z725" s="584"/>
      <c r="AA725" s="584"/>
      <c r="AB725" s="584"/>
      <c r="AC725" s="584"/>
      <c r="AD725" s="584"/>
      <c r="AE725" s="584"/>
      <c r="AF725" s="584"/>
    </row>
    <row r="726" ht="14.25" customHeight="1">
      <c r="A726" s="584"/>
      <c r="B726" s="584"/>
      <c r="C726" s="612"/>
      <c r="D726" s="612"/>
      <c r="E726" s="584"/>
      <c r="F726" s="584"/>
      <c r="G726" s="584"/>
      <c r="H726" s="584"/>
      <c r="I726" s="584"/>
      <c r="J726" s="584"/>
      <c r="K726" s="584"/>
      <c r="L726" s="613"/>
      <c r="M726" s="613"/>
      <c r="N726" s="613"/>
      <c r="O726" s="584"/>
      <c r="P726" s="584"/>
      <c r="Q726" s="584"/>
      <c r="R726" s="584"/>
      <c r="S726" s="584"/>
      <c r="T726" s="584"/>
      <c r="U726" s="584"/>
      <c r="V726" s="584"/>
      <c r="W726" s="584"/>
      <c r="X726" s="584"/>
      <c r="Y726" s="584"/>
      <c r="Z726" s="584"/>
      <c r="AA726" s="584"/>
      <c r="AB726" s="584"/>
      <c r="AC726" s="584"/>
      <c r="AD726" s="584"/>
      <c r="AE726" s="584"/>
      <c r="AF726" s="584"/>
    </row>
    <row r="727" ht="14.25" customHeight="1">
      <c r="A727" s="584"/>
      <c r="B727" s="584"/>
      <c r="C727" s="612"/>
      <c r="D727" s="612"/>
      <c r="E727" s="584"/>
      <c r="F727" s="584"/>
      <c r="G727" s="584"/>
      <c r="H727" s="584"/>
      <c r="I727" s="584"/>
      <c r="J727" s="584"/>
      <c r="K727" s="584"/>
      <c r="L727" s="613"/>
      <c r="M727" s="613"/>
      <c r="N727" s="613"/>
      <c r="O727" s="584"/>
      <c r="P727" s="584"/>
      <c r="Q727" s="584"/>
      <c r="R727" s="584"/>
      <c r="S727" s="584"/>
      <c r="T727" s="584"/>
      <c r="U727" s="584"/>
      <c r="V727" s="584"/>
      <c r="W727" s="584"/>
      <c r="X727" s="584"/>
      <c r="Y727" s="584"/>
      <c r="Z727" s="584"/>
      <c r="AA727" s="584"/>
      <c r="AB727" s="584"/>
      <c r="AC727" s="584"/>
      <c r="AD727" s="584"/>
      <c r="AE727" s="584"/>
      <c r="AF727" s="584"/>
    </row>
    <row r="728" ht="14.25" customHeight="1">
      <c r="A728" s="584"/>
      <c r="B728" s="584"/>
      <c r="C728" s="612"/>
      <c r="D728" s="612"/>
      <c r="E728" s="584"/>
      <c r="F728" s="584"/>
      <c r="G728" s="584"/>
      <c r="H728" s="584"/>
      <c r="I728" s="584"/>
      <c r="J728" s="584"/>
      <c r="K728" s="584"/>
      <c r="L728" s="613"/>
      <c r="M728" s="613"/>
      <c r="N728" s="613"/>
      <c r="O728" s="584"/>
      <c r="P728" s="584"/>
      <c r="Q728" s="584"/>
      <c r="R728" s="584"/>
      <c r="S728" s="584"/>
      <c r="T728" s="584"/>
      <c r="U728" s="584"/>
      <c r="V728" s="584"/>
      <c r="W728" s="584"/>
      <c r="X728" s="584"/>
      <c r="Y728" s="584"/>
      <c r="Z728" s="584"/>
      <c r="AA728" s="584"/>
      <c r="AB728" s="584"/>
      <c r="AC728" s="584"/>
      <c r="AD728" s="584"/>
      <c r="AE728" s="584"/>
      <c r="AF728" s="584"/>
    </row>
    <row r="729" ht="14.25" customHeight="1">
      <c r="A729" s="584"/>
      <c r="B729" s="584"/>
      <c r="C729" s="612"/>
      <c r="D729" s="612"/>
      <c r="E729" s="584"/>
      <c r="F729" s="584"/>
      <c r="G729" s="584"/>
      <c r="H729" s="584"/>
      <c r="I729" s="584"/>
      <c r="J729" s="584"/>
      <c r="K729" s="584"/>
      <c r="L729" s="613"/>
      <c r="M729" s="613"/>
      <c r="N729" s="613"/>
      <c r="O729" s="584"/>
      <c r="P729" s="613"/>
      <c r="Q729" s="584"/>
      <c r="R729" s="584"/>
      <c r="S729" s="584"/>
      <c r="T729" s="584"/>
      <c r="U729" s="584"/>
      <c r="V729" s="584"/>
      <c r="W729" s="584"/>
      <c r="X729" s="584"/>
      <c r="Y729" s="584"/>
      <c r="Z729" s="584"/>
      <c r="AA729" s="584"/>
      <c r="AB729" s="584"/>
      <c r="AC729" s="584"/>
      <c r="AD729" s="584"/>
      <c r="AE729" s="584"/>
      <c r="AF729" s="584"/>
    </row>
    <row r="730" ht="14.25" customHeight="1">
      <c r="A730" s="584"/>
      <c r="B730" s="584"/>
      <c r="C730" s="612"/>
      <c r="D730" s="612"/>
      <c r="E730" s="584"/>
      <c r="F730" s="584"/>
      <c r="G730" s="584"/>
      <c r="H730" s="584"/>
      <c r="I730" s="584"/>
      <c r="J730" s="584"/>
      <c r="K730" s="584"/>
      <c r="L730" s="613"/>
      <c r="M730" s="613"/>
      <c r="N730" s="613"/>
      <c r="O730" s="584"/>
      <c r="P730" s="584"/>
      <c r="Q730" s="584"/>
      <c r="R730" s="584"/>
      <c r="S730" s="584"/>
      <c r="T730" s="584"/>
      <c r="U730" s="584"/>
      <c r="V730" s="584"/>
      <c r="W730" s="584"/>
      <c r="X730" s="584"/>
      <c r="Y730" s="584"/>
      <c r="Z730" s="584"/>
      <c r="AA730" s="584"/>
      <c r="AB730" s="584"/>
      <c r="AC730" s="584"/>
      <c r="AD730" s="584"/>
      <c r="AE730" s="584"/>
      <c r="AF730" s="584"/>
    </row>
    <row r="731" ht="14.25" customHeight="1">
      <c r="A731" s="584"/>
      <c r="B731" s="584"/>
      <c r="C731" s="612"/>
      <c r="D731" s="612"/>
      <c r="E731" s="584"/>
      <c r="F731" s="584"/>
      <c r="G731" s="584"/>
      <c r="H731" s="584"/>
      <c r="I731" s="584"/>
      <c r="J731" s="584"/>
      <c r="K731" s="584"/>
      <c r="L731" s="613"/>
      <c r="M731" s="613"/>
      <c r="N731" s="613"/>
      <c r="O731" s="584"/>
      <c r="P731" s="584"/>
      <c r="Q731" s="584"/>
      <c r="R731" s="584"/>
      <c r="S731" s="584"/>
      <c r="T731" s="584"/>
      <c r="U731" s="584"/>
      <c r="V731" s="584"/>
      <c r="W731" s="584"/>
      <c r="X731" s="584"/>
      <c r="Y731" s="584"/>
      <c r="Z731" s="584"/>
      <c r="AA731" s="584"/>
      <c r="AB731" s="584"/>
      <c r="AC731" s="584"/>
      <c r="AD731" s="584"/>
      <c r="AE731" s="584"/>
      <c r="AF731" s="584"/>
    </row>
    <row r="732" ht="14.25" customHeight="1">
      <c r="A732" s="584"/>
      <c r="B732" s="584"/>
      <c r="C732" s="612"/>
      <c r="D732" s="612"/>
      <c r="E732" s="584"/>
      <c r="F732" s="584"/>
      <c r="G732" s="584"/>
      <c r="H732" s="584"/>
      <c r="I732" s="584"/>
      <c r="J732" s="584"/>
      <c r="K732" s="584"/>
      <c r="L732" s="613"/>
      <c r="M732" s="613"/>
      <c r="N732" s="614"/>
      <c r="O732" s="584"/>
      <c r="P732" s="584"/>
      <c r="Q732" s="584"/>
      <c r="R732" s="584"/>
      <c r="S732" s="584"/>
      <c r="T732" s="584"/>
      <c r="U732" s="584"/>
      <c r="V732" s="584"/>
      <c r="W732" s="584"/>
      <c r="X732" s="584"/>
      <c r="Y732" s="584"/>
      <c r="Z732" s="584"/>
      <c r="AA732" s="584"/>
      <c r="AB732" s="584"/>
      <c r="AC732" s="584"/>
      <c r="AD732" s="584"/>
      <c r="AE732" s="584"/>
      <c r="AF732" s="584"/>
    </row>
    <row r="733" ht="14.25" customHeight="1">
      <c r="A733" s="584"/>
      <c r="B733" s="584"/>
      <c r="C733" s="612"/>
      <c r="D733" s="612"/>
      <c r="E733" s="584"/>
      <c r="F733" s="584"/>
      <c r="G733" s="584"/>
      <c r="H733" s="584"/>
      <c r="I733" s="584"/>
      <c r="J733" s="584"/>
      <c r="K733" s="584"/>
      <c r="L733" s="613"/>
      <c r="M733" s="613"/>
      <c r="N733" s="613"/>
      <c r="O733" s="584"/>
      <c r="P733" s="584"/>
      <c r="Q733" s="584"/>
      <c r="R733" s="584"/>
      <c r="S733" s="584"/>
      <c r="T733" s="584"/>
      <c r="U733" s="584"/>
      <c r="V733" s="584"/>
      <c r="W733" s="584"/>
      <c r="X733" s="584"/>
      <c r="Y733" s="584"/>
      <c r="Z733" s="584"/>
      <c r="AA733" s="584"/>
      <c r="AB733" s="584"/>
      <c r="AC733" s="584"/>
      <c r="AD733" s="584"/>
      <c r="AE733" s="584"/>
      <c r="AF733" s="584"/>
    </row>
    <row r="734" ht="14.25" customHeight="1">
      <c r="A734" s="584"/>
      <c r="B734" s="584"/>
      <c r="C734" s="612"/>
      <c r="D734" s="612"/>
      <c r="E734" s="584"/>
      <c r="F734" s="584"/>
      <c r="G734" s="584"/>
      <c r="H734" s="584"/>
      <c r="I734" s="584"/>
      <c r="J734" s="584"/>
      <c r="K734" s="584"/>
      <c r="L734" s="613"/>
      <c r="M734" s="613"/>
      <c r="N734" s="613"/>
      <c r="O734" s="584"/>
      <c r="P734" s="584"/>
      <c r="Q734" s="584"/>
      <c r="R734" s="584"/>
      <c r="S734" s="584"/>
      <c r="T734" s="584"/>
      <c r="U734" s="584"/>
      <c r="V734" s="584"/>
      <c r="W734" s="584"/>
      <c r="X734" s="584"/>
      <c r="Y734" s="584"/>
      <c r="Z734" s="584"/>
      <c r="AA734" s="584"/>
      <c r="AB734" s="584"/>
      <c r="AC734" s="584"/>
      <c r="AD734" s="584"/>
      <c r="AE734" s="584"/>
      <c r="AF734" s="584"/>
    </row>
    <row r="735" ht="14.25" customHeight="1">
      <c r="A735" s="584"/>
      <c r="B735" s="584"/>
      <c r="C735" s="612"/>
      <c r="D735" s="612"/>
      <c r="E735" s="584"/>
      <c r="F735" s="584"/>
      <c r="G735" s="584"/>
      <c r="H735" s="584"/>
      <c r="I735" s="584"/>
      <c r="J735" s="584"/>
      <c r="K735" s="584"/>
      <c r="L735" s="613"/>
      <c r="M735" s="613"/>
      <c r="N735" s="613"/>
      <c r="O735" s="584"/>
      <c r="P735" s="584"/>
      <c r="Q735" s="584"/>
      <c r="R735" s="584"/>
      <c r="S735" s="584"/>
      <c r="T735" s="584"/>
      <c r="U735" s="584"/>
      <c r="V735" s="584"/>
      <c r="W735" s="584"/>
      <c r="X735" s="584"/>
      <c r="Y735" s="584"/>
      <c r="Z735" s="584"/>
      <c r="AA735" s="584"/>
      <c r="AB735" s="584"/>
      <c r="AC735" s="584"/>
      <c r="AD735" s="584"/>
      <c r="AE735" s="584"/>
      <c r="AF735" s="584"/>
    </row>
    <row r="736" ht="14.25" customHeight="1">
      <c r="A736" s="584"/>
      <c r="B736" s="584"/>
      <c r="C736" s="612"/>
      <c r="D736" s="612"/>
      <c r="E736" s="584"/>
      <c r="F736" s="584"/>
      <c r="G736" s="584"/>
      <c r="H736" s="584"/>
      <c r="I736" s="584"/>
      <c r="J736" s="584"/>
      <c r="K736" s="584"/>
      <c r="L736" s="613"/>
      <c r="M736" s="613"/>
      <c r="N736" s="613"/>
      <c r="O736" s="584"/>
      <c r="P736" s="584"/>
      <c r="Q736" s="584"/>
      <c r="R736" s="584"/>
      <c r="S736" s="584"/>
      <c r="T736" s="584"/>
      <c r="U736" s="584"/>
      <c r="V736" s="584"/>
      <c r="W736" s="584"/>
      <c r="X736" s="584"/>
      <c r="Y736" s="584"/>
      <c r="Z736" s="584"/>
      <c r="AA736" s="584"/>
      <c r="AB736" s="584"/>
      <c r="AC736" s="584"/>
      <c r="AD736" s="584"/>
      <c r="AE736" s="584"/>
      <c r="AF736" s="584"/>
    </row>
    <row r="737" ht="14.25" customHeight="1">
      <c r="A737" s="584"/>
      <c r="B737" s="584"/>
      <c r="C737" s="612"/>
      <c r="D737" s="612"/>
      <c r="E737" s="584"/>
      <c r="F737" s="584"/>
      <c r="G737" s="584"/>
      <c r="H737" s="584"/>
      <c r="I737" s="584"/>
      <c r="J737" s="584"/>
      <c r="K737" s="584"/>
      <c r="L737" s="613"/>
      <c r="M737" s="613"/>
      <c r="N737" s="613"/>
      <c r="O737" s="584"/>
      <c r="P737" s="584"/>
      <c r="Q737" s="584"/>
      <c r="R737" s="584"/>
      <c r="S737" s="584"/>
      <c r="T737" s="584"/>
      <c r="U737" s="584"/>
      <c r="V737" s="584"/>
      <c r="W737" s="584"/>
      <c r="X737" s="584"/>
      <c r="Y737" s="584"/>
      <c r="Z737" s="584"/>
      <c r="AA737" s="584"/>
      <c r="AB737" s="584"/>
      <c r="AC737" s="584"/>
      <c r="AD737" s="584"/>
      <c r="AE737" s="584"/>
      <c r="AF737" s="584"/>
    </row>
    <row r="738" ht="14.25" customHeight="1">
      <c r="A738" s="584"/>
      <c r="B738" s="584"/>
      <c r="C738" s="612"/>
      <c r="D738" s="612"/>
      <c r="E738" s="584"/>
      <c r="F738" s="584"/>
      <c r="G738" s="584"/>
      <c r="H738" s="584"/>
      <c r="I738" s="584"/>
      <c r="J738" s="584"/>
      <c r="K738" s="584"/>
      <c r="L738" s="613"/>
      <c r="M738" s="613"/>
      <c r="N738" s="613"/>
      <c r="O738" s="584"/>
      <c r="P738" s="584"/>
      <c r="Q738" s="584"/>
      <c r="R738" s="584"/>
      <c r="S738" s="584"/>
      <c r="T738" s="584"/>
      <c r="U738" s="584"/>
      <c r="V738" s="584"/>
      <c r="W738" s="584"/>
      <c r="X738" s="584"/>
      <c r="Y738" s="584"/>
      <c r="Z738" s="584"/>
      <c r="AA738" s="584"/>
      <c r="AB738" s="584"/>
      <c r="AC738" s="584"/>
      <c r="AD738" s="584"/>
      <c r="AE738" s="584"/>
      <c r="AF738" s="584"/>
    </row>
    <row r="739" ht="14.25" customHeight="1">
      <c r="A739" s="584"/>
      <c r="B739" s="584"/>
      <c r="C739" s="612"/>
      <c r="D739" s="612"/>
      <c r="E739" s="584"/>
      <c r="F739" s="584"/>
      <c r="G739" s="584"/>
      <c r="H739" s="584"/>
      <c r="I739" s="584"/>
      <c r="J739" s="584"/>
      <c r="K739" s="584"/>
      <c r="L739" s="613"/>
      <c r="M739" s="613"/>
      <c r="N739" s="613"/>
      <c r="O739" s="584"/>
      <c r="P739" s="584"/>
      <c r="Q739" s="584"/>
      <c r="R739" s="584"/>
      <c r="S739" s="584"/>
      <c r="T739" s="584"/>
      <c r="U739" s="584"/>
      <c r="V739" s="584"/>
      <c r="W739" s="584"/>
      <c r="X739" s="584"/>
      <c r="Y739" s="584"/>
      <c r="Z739" s="584"/>
      <c r="AA739" s="584"/>
      <c r="AB739" s="584"/>
      <c r="AC739" s="584"/>
      <c r="AD739" s="584"/>
      <c r="AE739" s="584"/>
      <c r="AF739" s="584"/>
    </row>
    <row r="740" ht="14.25" customHeight="1">
      <c r="A740" s="584"/>
      <c r="B740" s="584"/>
      <c r="C740" s="612"/>
      <c r="D740" s="612"/>
      <c r="E740" s="584"/>
      <c r="F740" s="584"/>
      <c r="G740" s="584"/>
      <c r="H740" s="584"/>
      <c r="I740" s="584"/>
      <c r="J740" s="584"/>
      <c r="K740" s="584"/>
      <c r="L740" s="613"/>
      <c r="M740" s="613"/>
      <c r="N740" s="613"/>
      <c r="O740" s="584"/>
      <c r="P740" s="584"/>
      <c r="Q740" s="584"/>
      <c r="R740" s="584"/>
      <c r="S740" s="584"/>
      <c r="T740" s="584"/>
      <c r="U740" s="584"/>
      <c r="V740" s="584"/>
      <c r="W740" s="584"/>
      <c r="X740" s="584"/>
      <c r="Y740" s="584"/>
      <c r="Z740" s="584"/>
      <c r="AA740" s="584"/>
      <c r="AB740" s="584"/>
      <c r="AC740" s="584"/>
      <c r="AD740" s="584"/>
      <c r="AE740" s="584"/>
      <c r="AF740" s="584"/>
    </row>
    <row r="741" ht="14.25" customHeight="1">
      <c r="A741" s="584"/>
      <c r="B741" s="584"/>
      <c r="C741" s="612"/>
      <c r="D741" s="612"/>
      <c r="E741" s="584"/>
      <c r="F741" s="584"/>
      <c r="G741" s="584"/>
      <c r="H741" s="584"/>
      <c r="I741" s="584"/>
      <c r="J741" s="584"/>
      <c r="K741" s="584"/>
      <c r="L741" s="613"/>
      <c r="M741" s="613"/>
      <c r="N741" s="613"/>
      <c r="O741" s="584"/>
      <c r="P741" s="584"/>
      <c r="Q741" s="584"/>
      <c r="R741" s="584"/>
      <c r="S741" s="584"/>
      <c r="T741" s="584"/>
      <c r="U741" s="584"/>
      <c r="V741" s="584"/>
      <c r="W741" s="584"/>
      <c r="X741" s="584"/>
      <c r="Y741" s="584"/>
      <c r="Z741" s="584"/>
      <c r="AA741" s="584"/>
      <c r="AB741" s="584"/>
      <c r="AC741" s="584"/>
      <c r="AD741" s="584"/>
      <c r="AE741" s="584"/>
      <c r="AF741" s="584"/>
    </row>
    <row r="742" ht="14.25" customHeight="1">
      <c r="A742" s="584"/>
      <c r="B742" s="584"/>
      <c r="C742" s="612"/>
      <c r="D742" s="612"/>
      <c r="E742" s="584"/>
      <c r="F742" s="584"/>
      <c r="G742" s="584"/>
      <c r="H742" s="584"/>
      <c r="I742" s="584"/>
      <c r="J742" s="584"/>
      <c r="K742" s="584"/>
      <c r="L742" s="613"/>
      <c r="M742" s="613"/>
      <c r="N742" s="613"/>
      <c r="O742" s="584"/>
      <c r="P742" s="584"/>
      <c r="Q742" s="584"/>
      <c r="R742" s="584"/>
      <c r="S742" s="584"/>
      <c r="T742" s="584"/>
      <c r="U742" s="584"/>
      <c r="V742" s="584"/>
      <c r="W742" s="584"/>
      <c r="X742" s="584"/>
      <c r="Y742" s="584"/>
      <c r="Z742" s="584"/>
      <c r="AA742" s="584"/>
      <c r="AB742" s="584"/>
      <c r="AC742" s="584"/>
      <c r="AD742" s="584"/>
      <c r="AE742" s="584"/>
      <c r="AF742" s="584"/>
    </row>
    <row r="743" ht="14.25" customHeight="1">
      <c r="A743" s="584"/>
      <c r="B743" s="584"/>
      <c r="C743" s="612"/>
      <c r="D743" s="612"/>
      <c r="E743" s="584"/>
      <c r="F743" s="584"/>
      <c r="G743" s="584"/>
      <c r="H743" s="584"/>
      <c r="I743" s="584"/>
      <c r="J743" s="584"/>
      <c r="K743" s="584"/>
      <c r="L743" s="613"/>
      <c r="M743" s="613"/>
      <c r="N743" s="613"/>
      <c r="O743" s="584"/>
      <c r="P743" s="584"/>
      <c r="Q743" s="584"/>
      <c r="R743" s="584"/>
      <c r="S743" s="584"/>
      <c r="T743" s="584"/>
      <c r="U743" s="584"/>
      <c r="V743" s="584"/>
      <c r="W743" s="584"/>
      <c r="X743" s="584"/>
      <c r="Y743" s="584"/>
      <c r="Z743" s="584"/>
      <c r="AA743" s="584"/>
      <c r="AB743" s="584"/>
      <c r="AC743" s="584"/>
      <c r="AD743" s="584"/>
      <c r="AE743" s="584"/>
      <c r="AF743" s="584"/>
    </row>
    <row r="744" ht="14.25" customHeight="1">
      <c r="A744" s="584"/>
      <c r="B744" s="584"/>
      <c r="C744" s="612"/>
      <c r="D744" s="612"/>
      <c r="E744" s="584"/>
      <c r="F744" s="584"/>
      <c r="G744" s="584"/>
      <c r="H744" s="584"/>
      <c r="I744" s="584"/>
      <c r="J744" s="584"/>
      <c r="K744" s="584"/>
      <c r="L744" s="613"/>
      <c r="M744" s="613"/>
      <c r="N744" s="613"/>
      <c r="O744" s="584"/>
      <c r="P744" s="584"/>
      <c r="Q744" s="584"/>
      <c r="R744" s="584"/>
      <c r="S744" s="584"/>
      <c r="T744" s="584"/>
      <c r="U744" s="584"/>
      <c r="V744" s="584"/>
      <c r="W744" s="584"/>
      <c r="X744" s="584"/>
      <c r="Y744" s="584"/>
      <c r="Z744" s="584"/>
      <c r="AA744" s="584"/>
      <c r="AB744" s="584"/>
      <c r="AC744" s="584"/>
      <c r="AD744" s="584"/>
      <c r="AE744" s="584"/>
      <c r="AF744" s="584"/>
    </row>
    <row r="745" ht="14.25" customHeight="1">
      <c r="A745" s="584"/>
      <c r="B745" s="584"/>
      <c r="C745" s="612"/>
      <c r="D745" s="612"/>
      <c r="E745" s="616"/>
      <c r="F745" s="584"/>
      <c r="G745" s="584"/>
      <c r="H745" s="584"/>
      <c r="I745" s="584"/>
      <c r="J745" s="584"/>
      <c r="K745" s="584"/>
      <c r="L745" s="613"/>
      <c r="M745" s="613"/>
      <c r="N745" s="613"/>
      <c r="O745" s="584"/>
      <c r="P745" s="584"/>
      <c r="Q745" s="584"/>
      <c r="R745" s="584"/>
      <c r="S745" s="584"/>
      <c r="T745" s="584"/>
      <c r="U745" s="584"/>
      <c r="V745" s="584"/>
      <c r="W745" s="584"/>
      <c r="X745" s="584"/>
      <c r="Y745" s="584"/>
      <c r="Z745" s="584"/>
      <c r="AA745" s="584"/>
      <c r="AB745" s="584"/>
      <c r="AC745" s="584"/>
      <c r="AD745" s="584"/>
      <c r="AE745" s="584"/>
      <c r="AF745" s="584"/>
    </row>
    <row r="746" ht="14.25" customHeight="1">
      <c r="A746" s="584"/>
      <c r="B746" s="584"/>
      <c r="C746" s="612"/>
      <c r="D746" s="612"/>
      <c r="E746" s="584"/>
      <c r="F746" s="584"/>
      <c r="G746" s="584"/>
      <c r="H746" s="584"/>
      <c r="I746" s="584"/>
      <c r="J746" s="584"/>
      <c r="K746" s="584"/>
      <c r="L746" s="613"/>
      <c r="M746" s="613"/>
      <c r="N746" s="613"/>
      <c r="O746" s="584"/>
      <c r="P746" s="584"/>
      <c r="Q746" s="584"/>
      <c r="R746" s="584"/>
      <c r="S746" s="584"/>
      <c r="T746" s="584"/>
      <c r="U746" s="584"/>
      <c r="V746" s="584"/>
      <c r="W746" s="584"/>
      <c r="X746" s="584"/>
      <c r="Y746" s="584"/>
      <c r="Z746" s="584"/>
      <c r="AA746" s="584"/>
      <c r="AB746" s="584"/>
      <c r="AC746" s="584"/>
      <c r="AD746" s="584"/>
      <c r="AE746" s="584"/>
      <c r="AF746" s="584"/>
    </row>
    <row r="747" ht="14.25" customHeight="1">
      <c r="A747" s="584"/>
      <c r="B747" s="584"/>
      <c r="C747" s="612"/>
      <c r="D747" s="612"/>
      <c r="E747" s="584"/>
      <c r="F747" s="584"/>
      <c r="G747" s="584"/>
      <c r="H747" s="584"/>
      <c r="I747" s="584"/>
      <c r="J747" s="584"/>
      <c r="K747" s="584"/>
      <c r="L747" s="613"/>
      <c r="M747" s="613"/>
      <c r="N747" s="613"/>
      <c r="O747" s="584"/>
      <c r="P747" s="584"/>
      <c r="Q747" s="584"/>
      <c r="R747" s="584"/>
      <c r="S747" s="584"/>
      <c r="T747" s="584"/>
      <c r="U747" s="584"/>
      <c r="V747" s="584"/>
      <c r="W747" s="584"/>
      <c r="X747" s="584"/>
      <c r="Y747" s="584"/>
      <c r="Z747" s="584"/>
      <c r="AA747" s="584"/>
      <c r="AB747" s="584"/>
      <c r="AC747" s="584"/>
      <c r="AD747" s="584"/>
      <c r="AE747" s="584"/>
      <c r="AF747" s="584"/>
    </row>
    <row r="748" ht="14.25" customHeight="1">
      <c r="A748" s="584"/>
      <c r="B748" s="584"/>
      <c r="C748" s="612"/>
      <c r="D748" s="612"/>
      <c r="E748" s="584"/>
      <c r="F748" s="584"/>
      <c r="G748" s="584"/>
      <c r="H748" s="584"/>
      <c r="I748" s="584"/>
      <c r="J748" s="584"/>
      <c r="K748" s="584"/>
      <c r="L748" s="613"/>
      <c r="M748" s="613"/>
      <c r="N748" s="613"/>
      <c r="O748" s="584"/>
      <c r="P748" s="584"/>
      <c r="Q748" s="584"/>
      <c r="R748" s="584"/>
      <c r="S748" s="584"/>
      <c r="T748" s="584"/>
      <c r="U748" s="584"/>
      <c r="V748" s="584"/>
      <c r="W748" s="584"/>
      <c r="X748" s="584"/>
      <c r="Y748" s="584"/>
      <c r="Z748" s="584"/>
      <c r="AA748" s="584"/>
      <c r="AB748" s="584"/>
      <c r="AC748" s="584"/>
      <c r="AD748" s="584"/>
      <c r="AE748" s="584"/>
      <c r="AF748" s="584"/>
    </row>
    <row r="749" ht="14.25" customHeight="1">
      <c r="A749" s="584"/>
      <c r="B749" s="584"/>
      <c r="C749" s="612"/>
      <c r="D749" s="612"/>
      <c r="E749" s="584"/>
      <c r="F749" s="584"/>
      <c r="G749" s="584"/>
      <c r="H749" s="584"/>
      <c r="I749" s="584"/>
      <c r="J749" s="584"/>
      <c r="K749" s="584"/>
      <c r="L749" s="613"/>
      <c r="M749" s="613"/>
      <c r="N749" s="613"/>
      <c r="O749" s="584"/>
      <c r="P749" s="584"/>
      <c r="Q749" s="584"/>
      <c r="R749" s="584"/>
      <c r="S749" s="584"/>
      <c r="T749" s="584"/>
      <c r="U749" s="584"/>
      <c r="V749" s="584"/>
      <c r="W749" s="584"/>
      <c r="X749" s="584"/>
      <c r="Y749" s="584"/>
      <c r="Z749" s="584"/>
      <c r="AA749" s="584"/>
      <c r="AB749" s="584"/>
      <c r="AC749" s="584"/>
      <c r="AD749" s="584"/>
      <c r="AE749" s="584"/>
      <c r="AF749" s="584"/>
    </row>
    <row r="750" ht="14.25" customHeight="1">
      <c r="A750" s="584"/>
      <c r="B750" s="584"/>
      <c r="C750" s="612"/>
      <c r="D750" s="612"/>
      <c r="E750" s="584"/>
      <c r="F750" s="584"/>
      <c r="G750" s="584"/>
      <c r="H750" s="584"/>
      <c r="I750" s="584"/>
      <c r="J750" s="584"/>
      <c r="K750" s="584"/>
      <c r="L750" s="613"/>
      <c r="M750" s="613"/>
      <c r="N750" s="613"/>
      <c r="O750" s="584"/>
      <c r="P750" s="584"/>
      <c r="Q750" s="584"/>
      <c r="R750" s="584"/>
      <c r="S750" s="584"/>
      <c r="T750" s="584"/>
      <c r="U750" s="584"/>
      <c r="V750" s="584"/>
      <c r="W750" s="584"/>
      <c r="X750" s="584"/>
      <c r="Y750" s="584"/>
      <c r="Z750" s="584"/>
      <c r="AA750" s="584"/>
      <c r="AB750" s="584"/>
      <c r="AC750" s="584"/>
      <c r="AD750" s="584"/>
      <c r="AE750" s="584"/>
      <c r="AF750" s="584"/>
    </row>
    <row r="751" ht="14.25" customHeight="1">
      <c r="A751" s="584"/>
      <c r="B751" s="584"/>
      <c r="C751" s="612"/>
      <c r="D751" s="612"/>
      <c r="E751" s="584"/>
      <c r="F751" s="584"/>
      <c r="G751" s="584"/>
      <c r="H751" s="584"/>
      <c r="I751" s="584"/>
      <c r="J751" s="584"/>
      <c r="K751" s="584"/>
      <c r="L751" s="613"/>
      <c r="M751" s="613"/>
      <c r="N751" s="613"/>
      <c r="O751" s="584"/>
      <c r="P751" s="584"/>
      <c r="Q751" s="584"/>
      <c r="R751" s="584"/>
      <c r="S751" s="584"/>
      <c r="T751" s="584"/>
      <c r="U751" s="584"/>
      <c r="V751" s="584"/>
      <c r="W751" s="584"/>
      <c r="X751" s="584"/>
      <c r="Y751" s="584"/>
      <c r="Z751" s="584"/>
      <c r="AA751" s="584"/>
      <c r="AB751" s="584"/>
      <c r="AC751" s="584"/>
      <c r="AD751" s="584"/>
      <c r="AE751" s="584"/>
      <c r="AF751" s="584"/>
    </row>
    <row r="752" ht="14.25" customHeight="1">
      <c r="A752" s="584"/>
      <c r="B752" s="584"/>
      <c r="C752" s="612"/>
      <c r="D752" s="612"/>
      <c r="E752" s="584"/>
      <c r="F752" s="584"/>
      <c r="G752" s="584"/>
      <c r="H752" s="584"/>
      <c r="I752" s="584"/>
      <c r="J752" s="584"/>
      <c r="K752" s="584"/>
      <c r="L752" s="613"/>
      <c r="M752" s="613"/>
      <c r="N752" s="613"/>
      <c r="O752" s="584"/>
      <c r="P752" s="584"/>
      <c r="Q752" s="584"/>
      <c r="R752" s="584"/>
      <c r="S752" s="584"/>
      <c r="T752" s="584"/>
      <c r="U752" s="584"/>
      <c r="V752" s="584"/>
      <c r="W752" s="584"/>
      <c r="X752" s="584"/>
      <c r="Y752" s="584"/>
      <c r="Z752" s="584"/>
      <c r="AA752" s="584"/>
      <c r="AB752" s="584"/>
      <c r="AC752" s="584"/>
      <c r="AD752" s="584"/>
      <c r="AE752" s="584"/>
      <c r="AF752" s="584"/>
    </row>
    <row r="753" ht="14.25" customHeight="1">
      <c r="A753" s="584"/>
      <c r="B753" s="584"/>
      <c r="C753" s="612"/>
      <c r="D753" s="612"/>
      <c r="E753" s="584"/>
      <c r="F753" s="584"/>
      <c r="G753" s="584"/>
      <c r="H753" s="584"/>
      <c r="I753" s="584"/>
      <c r="J753" s="584"/>
      <c r="K753" s="584"/>
      <c r="L753" s="613"/>
      <c r="M753" s="613"/>
      <c r="N753" s="613"/>
      <c r="O753" s="584"/>
      <c r="P753" s="584"/>
      <c r="Q753" s="584"/>
      <c r="R753" s="584"/>
      <c r="S753" s="584"/>
      <c r="T753" s="584"/>
      <c r="U753" s="584"/>
      <c r="V753" s="584"/>
      <c r="W753" s="584"/>
      <c r="X753" s="584"/>
      <c r="Y753" s="584"/>
      <c r="Z753" s="584"/>
      <c r="AA753" s="584"/>
      <c r="AB753" s="584"/>
      <c r="AC753" s="584"/>
      <c r="AD753" s="584"/>
      <c r="AE753" s="584"/>
      <c r="AF753" s="584"/>
    </row>
    <row r="754" ht="14.25" customHeight="1">
      <c r="A754" s="584"/>
      <c r="B754" s="584"/>
      <c r="C754" s="612"/>
      <c r="D754" s="612"/>
      <c r="E754" s="584"/>
      <c r="F754" s="584"/>
      <c r="G754" s="584"/>
      <c r="H754" s="584"/>
      <c r="I754" s="584"/>
      <c r="J754" s="584"/>
      <c r="K754" s="584"/>
      <c r="L754" s="613"/>
      <c r="M754" s="613"/>
      <c r="N754" s="613"/>
      <c r="O754" s="584"/>
      <c r="P754" s="584"/>
      <c r="Q754" s="584"/>
      <c r="R754" s="584"/>
      <c r="S754" s="584"/>
      <c r="T754" s="584"/>
      <c r="U754" s="584"/>
      <c r="V754" s="584"/>
      <c r="W754" s="584"/>
      <c r="X754" s="584"/>
      <c r="Y754" s="584"/>
      <c r="Z754" s="584"/>
      <c r="AA754" s="584"/>
      <c r="AB754" s="584"/>
      <c r="AC754" s="584"/>
      <c r="AD754" s="584"/>
      <c r="AE754" s="584"/>
      <c r="AF754" s="584"/>
    </row>
    <row r="755" ht="14.25" customHeight="1">
      <c r="A755" s="584"/>
      <c r="B755" s="584"/>
      <c r="C755" s="612"/>
      <c r="D755" s="612"/>
      <c r="E755" s="584"/>
      <c r="F755" s="584"/>
      <c r="G755" s="584"/>
      <c r="H755" s="584"/>
      <c r="I755" s="584"/>
      <c r="J755" s="584"/>
      <c r="K755" s="584"/>
      <c r="L755" s="613"/>
      <c r="M755" s="613"/>
      <c r="N755" s="613"/>
      <c r="O755" s="584"/>
      <c r="P755" s="584"/>
      <c r="Q755" s="584"/>
      <c r="R755" s="584"/>
      <c r="S755" s="584"/>
      <c r="T755" s="584"/>
      <c r="U755" s="584"/>
      <c r="V755" s="584"/>
      <c r="W755" s="584"/>
      <c r="X755" s="584"/>
      <c r="Y755" s="584"/>
      <c r="Z755" s="584"/>
      <c r="AA755" s="584"/>
      <c r="AB755" s="584"/>
      <c r="AC755" s="584"/>
      <c r="AD755" s="584"/>
      <c r="AE755" s="584"/>
      <c r="AF755" s="584"/>
    </row>
    <row r="756" ht="14.25" customHeight="1">
      <c r="A756" s="584"/>
      <c r="B756" s="584"/>
      <c r="C756" s="612"/>
      <c r="D756" s="612"/>
      <c r="E756" s="584"/>
      <c r="F756" s="584"/>
      <c r="G756" s="584"/>
      <c r="H756" s="584"/>
      <c r="I756" s="584"/>
      <c r="J756" s="584"/>
      <c r="K756" s="584"/>
      <c r="L756" s="613"/>
      <c r="M756" s="613"/>
      <c r="N756" s="613"/>
      <c r="O756" s="584"/>
      <c r="P756" s="584"/>
      <c r="Q756" s="584"/>
      <c r="R756" s="584"/>
      <c r="S756" s="584"/>
      <c r="T756" s="584"/>
      <c r="U756" s="584"/>
      <c r="V756" s="584"/>
      <c r="W756" s="584"/>
      <c r="X756" s="584"/>
      <c r="Y756" s="584"/>
      <c r="Z756" s="584"/>
      <c r="AA756" s="584"/>
      <c r="AB756" s="584"/>
      <c r="AC756" s="584"/>
      <c r="AD756" s="584"/>
      <c r="AE756" s="584"/>
      <c r="AF756" s="584"/>
    </row>
    <row r="757" ht="14.25" customHeight="1">
      <c r="A757" s="584"/>
      <c r="B757" s="584"/>
      <c r="C757" s="612"/>
      <c r="D757" s="612"/>
      <c r="E757" s="584"/>
      <c r="F757" s="584"/>
      <c r="G757" s="584"/>
      <c r="H757" s="584"/>
      <c r="I757" s="584"/>
      <c r="J757" s="584"/>
      <c r="K757" s="584"/>
      <c r="L757" s="613"/>
      <c r="M757" s="613"/>
      <c r="N757" s="613"/>
      <c r="O757" s="584"/>
      <c r="P757" s="584"/>
      <c r="Q757" s="584"/>
      <c r="R757" s="584"/>
      <c r="S757" s="584"/>
      <c r="T757" s="584"/>
      <c r="U757" s="584"/>
      <c r="V757" s="584"/>
      <c r="W757" s="584"/>
      <c r="X757" s="584"/>
      <c r="Y757" s="584"/>
      <c r="Z757" s="584"/>
      <c r="AA757" s="584"/>
      <c r="AB757" s="584"/>
      <c r="AC757" s="584"/>
      <c r="AD757" s="584"/>
      <c r="AE757" s="584"/>
      <c r="AF757" s="584"/>
    </row>
    <row r="758" ht="14.25" customHeight="1">
      <c r="A758" s="584"/>
      <c r="B758" s="584"/>
      <c r="C758" s="612"/>
      <c r="D758" s="612"/>
      <c r="E758" s="584"/>
      <c r="F758" s="584"/>
      <c r="G758" s="584"/>
      <c r="H758" s="584"/>
      <c r="I758" s="584"/>
      <c r="J758" s="584"/>
      <c r="K758" s="584"/>
      <c r="L758" s="613"/>
      <c r="M758" s="613"/>
      <c r="N758" s="613"/>
      <c r="O758" s="584"/>
      <c r="P758" s="584"/>
      <c r="Q758" s="584"/>
      <c r="R758" s="584"/>
      <c r="S758" s="584"/>
      <c r="T758" s="584"/>
      <c r="U758" s="584"/>
      <c r="V758" s="584"/>
      <c r="W758" s="584"/>
      <c r="X758" s="584"/>
      <c r="Y758" s="584"/>
      <c r="Z758" s="584"/>
      <c r="AA758" s="584"/>
      <c r="AB758" s="584"/>
      <c r="AC758" s="584"/>
      <c r="AD758" s="584"/>
      <c r="AE758" s="584"/>
      <c r="AF758" s="584"/>
    </row>
    <row r="759" ht="14.25" customHeight="1">
      <c r="A759" s="584"/>
      <c r="B759" s="584"/>
      <c r="C759" s="612"/>
      <c r="D759" s="612"/>
      <c r="E759" s="584"/>
      <c r="F759" s="584"/>
      <c r="G759" s="584"/>
      <c r="H759" s="584"/>
      <c r="I759" s="584"/>
      <c r="J759" s="584"/>
      <c r="K759" s="584"/>
      <c r="L759" s="613"/>
      <c r="M759" s="613"/>
      <c r="N759" s="613"/>
      <c r="O759" s="584"/>
      <c r="P759" s="584"/>
      <c r="Q759" s="584"/>
      <c r="R759" s="584"/>
      <c r="S759" s="584"/>
      <c r="T759" s="584"/>
      <c r="U759" s="584"/>
      <c r="V759" s="584"/>
      <c r="W759" s="584"/>
      <c r="X759" s="584"/>
      <c r="Y759" s="584"/>
      <c r="Z759" s="584"/>
      <c r="AA759" s="584"/>
      <c r="AB759" s="584"/>
      <c r="AC759" s="584"/>
      <c r="AD759" s="584"/>
      <c r="AE759" s="584"/>
      <c r="AF759" s="584"/>
    </row>
    <row r="760" ht="14.25" customHeight="1">
      <c r="A760" s="584"/>
      <c r="B760" s="584"/>
      <c r="C760" s="612"/>
      <c r="D760" s="612"/>
      <c r="E760" s="584"/>
      <c r="F760" s="584"/>
      <c r="G760" s="584"/>
      <c r="H760" s="584"/>
      <c r="I760" s="584"/>
      <c r="J760" s="584"/>
      <c r="K760" s="584"/>
      <c r="L760" s="613"/>
      <c r="M760" s="613"/>
      <c r="N760" s="613"/>
      <c r="O760" s="584"/>
      <c r="P760" s="584"/>
      <c r="Q760" s="584"/>
      <c r="R760" s="584"/>
      <c r="S760" s="584"/>
      <c r="T760" s="584"/>
      <c r="U760" s="584"/>
      <c r="V760" s="584"/>
      <c r="W760" s="584"/>
      <c r="X760" s="584"/>
      <c r="Y760" s="584"/>
      <c r="Z760" s="584"/>
      <c r="AA760" s="584"/>
      <c r="AB760" s="584"/>
      <c r="AC760" s="584"/>
      <c r="AD760" s="584"/>
      <c r="AE760" s="584"/>
      <c r="AF760" s="584"/>
    </row>
    <row r="761" ht="14.25" customHeight="1">
      <c r="A761" s="584"/>
      <c r="B761" s="584"/>
      <c r="C761" s="612"/>
      <c r="D761" s="612"/>
      <c r="E761" s="584"/>
      <c r="F761" s="584"/>
      <c r="G761" s="584"/>
      <c r="H761" s="584"/>
      <c r="I761" s="584"/>
      <c r="J761" s="584"/>
      <c r="K761" s="584"/>
      <c r="L761" s="613"/>
      <c r="M761" s="613"/>
      <c r="N761" s="613"/>
      <c r="O761" s="584"/>
      <c r="P761" s="584"/>
      <c r="Q761" s="584"/>
      <c r="R761" s="584"/>
      <c r="S761" s="584"/>
      <c r="T761" s="584"/>
      <c r="U761" s="584"/>
      <c r="V761" s="584"/>
      <c r="W761" s="584"/>
      <c r="X761" s="584"/>
      <c r="Y761" s="584"/>
      <c r="Z761" s="584"/>
      <c r="AA761" s="584"/>
      <c r="AB761" s="584"/>
      <c r="AC761" s="584"/>
      <c r="AD761" s="584"/>
      <c r="AE761" s="584"/>
      <c r="AF761" s="584"/>
    </row>
    <row r="762" ht="14.25" customHeight="1">
      <c r="A762" s="584"/>
      <c r="B762" s="584"/>
      <c r="C762" s="612"/>
      <c r="D762" s="612"/>
      <c r="E762" s="584"/>
      <c r="F762" s="584"/>
      <c r="G762" s="584"/>
      <c r="H762" s="584"/>
      <c r="I762" s="584"/>
      <c r="J762" s="584"/>
      <c r="K762" s="584"/>
      <c r="L762" s="613"/>
      <c r="M762" s="613"/>
      <c r="N762" s="613"/>
      <c r="O762" s="584"/>
      <c r="P762" s="584"/>
      <c r="Q762" s="584"/>
      <c r="R762" s="584"/>
      <c r="S762" s="584"/>
      <c r="T762" s="584"/>
      <c r="U762" s="584"/>
      <c r="V762" s="584"/>
      <c r="W762" s="584"/>
      <c r="X762" s="584"/>
      <c r="Y762" s="584"/>
      <c r="Z762" s="584"/>
      <c r="AA762" s="584"/>
      <c r="AB762" s="584"/>
      <c r="AC762" s="584"/>
      <c r="AD762" s="584"/>
      <c r="AE762" s="584"/>
      <c r="AF762" s="584"/>
    </row>
    <row r="763" ht="14.25" customHeight="1">
      <c r="A763" s="584"/>
      <c r="B763" s="584"/>
      <c r="C763" s="612"/>
      <c r="D763" s="612"/>
      <c r="E763" s="584"/>
      <c r="F763" s="584"/>
      <c r="G763" s="584"/>
      <c r="H763" s="584"/>
      <c r="I763" s="584"/>
      <c r="J763" s="584"/>
      <c r="K763" s="584"/>
      <c r="L763" s="613"/>
      <c r="M763" s="613"/>
      <c r="N763" s="613"/>
      <c r="O763" s="584"/>
      <c r="P763" s="584"/>
      <c r="Q763" s="584"/>
      <c r="R763" s="584"/>
      <c r="S763" s="584"/>
      <c r="T763" s="584"/>
      <c r="U763" s="584"/>
      <c r="V763" s="584"/>
      <c r="W763" s="584"/>
      <c r="X763" s="584"/>
      <c r="Y763" s="584"/>
      <c r="Z763" s="584"/>
      <c r="AA763" s="584"/>
      <c r="AB763" s="584"/>
      <c r="AC763" s="584"/>
      <c r="AD763" s="584"/>
      <c r="AE763" s="584"/>
      <c r="AF763" s="584"/>
    </row>
    <row r="764" ht="14.25" customHeight="1">
      <c r="A764" s="584"/>
      <c r="B764" s="584"/>
      <c r="C764" s="612"/>
      <c r="D764" s="612"/>
      <c r="E764" s="584"/>
      <c r="F764" s="584"/>
      <c r="G764" s="584"/>
      <c r="H764" s="584"/>
      <c r="I764" s="584"/>
      <c r="J764" s="584"/>
      <c r="K764" s="584"/>
      <c r="L764" s="613"/>
      <c r="M764" s="613"/>
      <c r="N764" s="613"/>
      <c r="O764" s="584"/>
      <c r="P764" s="584"/>
      <c r="Q764" s="584"/>
      <c r="R764" s="584"/>
      <c r="S764" s="584"/>
      <c r="T764" s="584"/>
      <c r="U764" s="584"/>
      <c r="V764" s="584"/>
      <c r="W764" s="584"/>
      <c r="X764" s="584"/>
      <c r="Y764" s="584"/>
      <c r="Z764" s="584"/>
      <c r="AA764" s="584"/>
      <c r="AB764" s="584"/>
      <c r="AC764" s="584"/>
      <c r="AD764" s="584"/>
      <c r="AE764" s="584"/>
      <c r="AF764" s="584"/>
    </row>
    <row r="765" ht="14.25" customHeight="1">
      <c r="A765" s="584"/>
      <c r="B765" s="584"/>
      <c r="C765" s="612"/>
      <c r="D765" s="612"/>
      <c r="E765" s="584"/>
      <c r="F765" s="584"/>
      <c r="G765" s="584"/>
      <c r="H765" s="584"/>
      <c r="I765" s="584"/>
      <c r="J765" s="584"/>
      <c r="K765" s="584"/>
      <c r="L765" s="613"/>
      <c r="M765" s="613"/>
      <c r="N765" s="614"/>
      <c r="O765" s="584"/>
      <c r="P765" s="584"/>
      <c r="Q765" s="584"/>
      <c r="R765" s="584"/>
      <c r="S765" s="584"/>
      <c r="T765" s="584"/>
      <c r="U765" s="584"/>
      <c r="V765" s="584"/>
      <c r="W765" s="584"/>
      <c r="X765" s="584"/>
      <c r="Y765" s="584"/>
      <c r="Z765" s="584"/>
      <c r="AA765" s="584"/>
      <c r="AB765" s="584"/>
      <c r="AC765" s="584"/>
      <c r="AD765" s="584"/>
      <c r="AE765" s="584"/>
      <c r="AF765" s="584"/>
    </row>
    <row r="766" ht="14.25" customHeight="1">
      <c r="A766" s="584"/>
      <c r="B766" s="584"/>
      <c r="C766" s="612"/>
      <c r="D766" s="612"/>
      <c r="E766" s="584"/>
      <c r="F766" s="584"/>
      <c r="G766" s="584"/>
      <c r="H766" s="584"/>
      <c r="I766" s="584"/>
      <c r="J766" s="584"/>
      <c r="K766" s="584"/>
      <c r="L766" s="613"/>
      <c r="M766" s="613"/>
      <c r="N766" s="614"/>
      <c r="O766" s="584"/>
      <c r="P766" s="584"/>
      <c r="Q766" s="584"/>
      <c r="R766" s="584"/>
      <c r="S766" s="584"/>
      <c r="T766" s="584"/>
      <c r="U766" s="584"/>
      <c r="V766" s="584"/>
      <c r="W766" s="584"/>
      <c r="X766" s="584"/>
      <c r="Y766" s="584"/>
      <c r="Z766" s="584"/>
      <c r="AA766" s="584"/>
      <c r="AB766" s="584"/>
      <c r="AC766" s="584"/>
      <c r="AD766" s="584"/>
      <c r="AE766" s="584"/>
      <c r="AF766" s="584"/>
    </row>
    <row r="767" ht="14.25" customHeight="1">
      <c r="A767" s="584"/>
      <c r="B767" s="584"/>
      <c r="C767" s="612"/>
      <c r="D767" s="612"/>
      <c r="E767" s="584"/>
      <c r="F767" s="584"/>
      <c r="G767" s="584"/>
      <c r="H767" s="584"/>
      <c r="I767" s="584"/>
      <c r="J767" s="584"/>
      <c r="K767" s="584"/>
      <c r="L767" s="613"/>
      <c r="M767" s="613"/>
      <c r="N767" s="613"/>
      <c r="O767" s="584"/>
      <c r="P767" s="584"/>
      <c r="Q767" s="584"/>
      <c r="R767" s="584"/>
      <c r="S767" s="584"/>
      <c r="T767" s="584"/>
      <c r="U767" s="584"/>
      <c r="V767" s="584"/>
      <c r="W767" s="584"/>
      <c r="X767" s="584"/>
      <c r="Y767" s="584"/>
      <c r="Z767" s="584"/>
      <c r="AA767" s="584"/>
      <c r="AB767" s="584"/>
      <c r="AC767" s="584"/>
      <c r="AD767" s="584"/>
      <c r="AE767" s="584"/>
      <c r="AF767" s="584"/>
    </row>
    <row r="768" ht="14.25" customHeight="1">
      <c r="A768" s="584"/>
      <c r="B768" s="584"/>
      <c r="C768" s="612"/>
      <c r="D768" s="612"/>
      <c r="E768" s="584"/>
      <c r="F768" s="584"/>
      <c r="G768" s="584"/>
      <c r="H768" s="584"/>
      <c r="I768" s="584"/>
      <c r="J768" s="584"/>
      <c r="K768" s="584"/>
      <c r="L768" s="613"/>
      <c r="M768" s="613"/>
      <c r="N768" s="613"/>
      <c r="O768" s="584"/>
      <c r="P768" s="584"/>
      <c r="Q768" s="584"/>
      <c r="R768" s="584"/>
      <c r="S768" s="584"/>
      <c r="T768" s="584"/>
      <c r="U768" s="584"/>
      <c r="V768" s="584"/>
      <c r="W768" s="584"/>
      <c r="X768" s="584"/>
      <c r="Y768" s="584"/>
      <c r="Z768" s="584"/>
      <c r="AA768" s="584"/>
      <c r="AB768" s="584"/>
      <c r="AC768" s="584"/>
      <c r="AD768" s="584"/>
      <c r="AE768" s="584"/>
      <c r="AF768" s="584"/>
    </row>
    <row r="769" ht="14.25" customHeight="1">
      <c r="A769" s="584"/>
      <c r="B769" s="584"/>
      <c r="C769" s="612"/>
      <c r="D769" s="612"/>
      <c r="E769" s="584"/>
      <c r="F769" s="584"/>
      <c r="G769" s="584"/>
      <c r="H769" s="584"/>
      <c r="I769" s="584"/>
      <c r="J769" s="584"/>
      <c r="K769" s="584"/>
      <c r="L769" s="613"/>
      <c r="M769" s="613"/>
      <c r="N769" s="613"/>
      <c r="O769" s="584"/>
      <c r="P769" s="584"/>
      <c r="Q769" s="584"/>
      <c r="R769" s="584"/>
      <c r="S769" s="584"/>
      <c r="T769" s="584"/>
      <c r="U769" s="584"/>
      <c r="V769" s="584"/>
      <c r="W769" s="584"/>
      <c r="X769" s="584"/>
      <c r="Y769" s="584"/>
      <c r="Z769" s="584"/>
      <c r="AA769" s="584"/>
      <c r="AB769" s="584"/>
      <c r="AC769" s="584"/>
      <c r="AD769" s="584"/>
      <c r="AE769" s="584"/>
      <c r="AF769" s="584"/>
    </row>
    <row r="770" ht="14.25" customHeight="1">
      <c r="A770" s="584"/>
      <c r="B770" s="584"/>
      <c r="C770" s="612"/>
      <c r="D770" s="612"/>
      <c r="E770" s="584"/>
      <c r="F770" s="584"/>
      <c r="G770" s="584"/>
      <c r="H770" s="584"/>
      <c r="I770" s="584"/>
      <c r="J770" s="584"/>
      <c r="K770" s="584"/>
      <c r="L770" s="613"/>
      <c r="M770" s="613"/>
      <c r="N770" s="613"/>
      <c r="O770" s="584"/>
      <c r="P770" s="584"/>
      <c r="Q770" s="584"/>
      <c r="R770" s="584"/>
      <c r="S770" s="584"/>
      <c r="T770" s="584"/>
      <c r="U770" s="584"/>
      <c r="V770" s="584"/>
      <c r="W770" s="584"/>
      <c r="X770" s="584"/>
      <c r="Y770" s="584"/>
      <c r="Z770" s="584"/>
      <c r="AA770" s="584"/>
      <c r="AB770" s="584"/>
      <c r="AC770" s="584"/>
      <c r="AD770" s="584"/>
      <c r="AE770" s="584"/>
      <c r="AF770" s="584"/>
    </row>
    <row r="771" ht="14.25" customHeight="1">
      <c r="A771" s="584"/>
      <c r="B771" s="584"/>
      <c r="C771" s="612"/>
      <c r="D771" s="612"/>
      <c r="E771" s="584"/>
      <c r="F771" s="584"/>
      <c r="G771" s="584"/>
      <c r="H771" s="584"/>
      <c r="I771" s="584"/>
      <c r="J771" s="584"/>
      <c r="K771" s="584"/>
      <c r="L771" s="613"/>
      <c r="M771" s="613"/>
      <c r="N771" s="613"/>
      <c r="O771" s="584"/>
      <c r="P771" s="584"/>
      <c r="Q771" s="584"/>
      <c r="R771" s="584"/>
      <c r="S771" s="584"/>
      <c r="T771" s="584"/>
      <c r="U771" s="584"/>
      <c r="V771" s="584"/>
      <c r="W771" s="584"/>
      <c r="X771" s="584"/>
      <c r="Y771" s="584"/>
      <c r="Z771" s="584"/>
      <c r="AA771" s="584"/>
      <c r="AB771" s="584"/>
      <c r="AC771" s="584"/>
      <c r="AD771" s="584"/>
      <c r="AE771" s="584"/>
      <c r="AF771" s="584"/>
    </row>
    <row r="772" ht="14.25" customHeight="1">
      <c r="A772" s="584"/>
      <c r="B772" s="584"/>
      <c r="C772" s="612"/>
      <c r="D772" s="612"/>
      <c r="E772" s="616"/>
      <c r="F772" s="584"/>
      <c r="G772" s="584"/>
      <c r="H772" s="584"/>
      <c r="I772" s="584"/>
      <c r="J772" s="584"/>
      <c r="K772" s="584"/>
      <c r="L772" s="613"/>
      <c r="M772" s="613"/>
      <c r="N772" s="613"/>
      <c r="O772" s="584"/>
      <c r="P772" s="613"/>
      <c r="Q772" s="584"/>
      <c r="R772" s="584"/>
      <c r="S772" s="584"/>
      <c r="T772" s="584"/>
      <c r="U772" s="584"/>
      <c r="V772" s="584"/>
      <c r="W772" s="584"/>
      <c r="X772" s="584"/>
      <c r="Y772" s="584"/>
      <c r="Z772" s="584"/>
      <c r="AA772" s="584"/>
      <c r="AB772" s="584"/>
      <c r="AC772" s="584"/>
      <c r="AD772" s="584"/>
      <c r="AE772" s="584"/>
      <c r="AF772" s="584"/>
    </row>
    <row r="773" ht="14.25" customHeight="1">
      <c r="A773" s="584"/>
      <c r="B773" s="584"/>
      <c r="C773" s="612"/>
      <c r="D773" s="612"/>
      <c r="E773" s="584"/>
      <c r="F773" s="584"/>
      <c r="G773" s="584"/>
      <c r="H773" s="584"/>
      <c r="I773" s="584"/>
      <c r="J773" s="584"/>
      <c r="K773" s="584"/>
      <c r="L773" s="613"/>
      <c r="M773" s="613"/>
      <c r="N773" s="613"/>
      <c r="O773" s="584"/>
      <c r="P773" s="584"/>
      <c r="Q773" s="584"/>
      <c r="R773" s="584"/>
      <c r="S773" s="584"/>
      <c r="T773" s="584"/>
      <c r="U773" s="584"/>
      <c r="V773" s="584"/>
      <c r="W773" s="584"/>
      <c r="X773" s="584"/>
      <c r="Y773" s="584"/>
      <c r="Z773" s="584"/>
      <c r="AA773" s="584"/>
      <c r="AB773" s="584"/>
      <c r="AC773" s="584"/>
      <c r="AD773" s="584"/>
      <c r="AE773" s="584"/>
      <c r="AF773" s="584"/>
    </row>
    <row r="774" ht="14.25" customHeight="1">
      <c r="A774" s="584"/>
      <c r="B774" s="584"/>
      <c r="C774" s="612"/>
      <c r="D774" s="612"/>
      <c r="E774" s="584"/>
      <c r="F774" s="584"/>
      <c r="G774" s="584"/>
      <c r="H774" s="584"/>
      <c r="I774" s="584"/>
      <c r="J774" s="584"/>
      <c r="K774" s="584"/>
      <c r="L774" s="613"/>
      <c r="M774" s="613"/>
      <c r="N774" s="613"/>
      <c r="O774" s="584"/>
      <c r="P774" s="584"/>
      <c r="Q774" s="584"/>
      <c r="R774" s="584"/>
      <c r="S774" s="584"/>
      <c r="T774" s="584"/>
      <c r="U774" s="584"/>
      <c r="V774" s="584"/>
      <c r="W774" s="584"/>
      <c r="X774" s="584"/>
      <c r="Y774" s="584"/>
      <c r="Z774" s="584"/>
      <c r="AA774" s="584"/>
      <c r="AB774" s="584"/>
      <c r="AC774" s="584"/>
      <c r="AD774" s="584"/>
      <c r="AE774" s="584"/>
      <c r="AF774" s="584"/>
    </row>
    <row r="775" ht="14.25" customHeight="1">
      <c r="A775" s="584"/>
      <c r="B775" s="584"/>
      <c r="C775" s="612"/>
      <c r="D775" s="612"/>
      <c r="E775" s="584"/>
      <c r="F775" s="584"/>
      <c r="G775" s="584"/>
      <c r="H775" s="584"/>
      <c r="I775" s="584"/>
      <c r="J775" s="584"/>
      <c r="K775" s="584"/>
      <c r="L775" s="613"/>
      <c r="M775" s="613"/>
      <c r="N775" s="613"/>
      <c r="O775" s="584"/>
      <c r="P775" s="613"/>
      <c r="Q775" s="584"/>
      <c r="R775" s="584"/>
      <c r="S775" s="584"/>
      <c r="T775" s="584"/>
      <c r="U775" s="584"/>
      <c r="V775" s="584"/>
      <c r="W775" s="584"/>
      <c r="X775" s="584"/>
      <c r="Y775" s="584"/>
      <c r="Z775" s="584"/>
      <c r="AA775" s="584"/>
      <c r="AB775" s="584"/>
      <c r="AC775" s="584"/>
      <c r="AD775" s="584"/>
      <c r="AE775" s="584"/>
      <c r="AF775" s="584"/>
    </row>
    <row r="776" ht="14.25" customHeight="1">
      <c r="A776" s="584"/>
      <c r="B776" s="584"/>
      <c r="C776" s="612"/>
      <c r="D776" s="612"/>
      <c r="E776" s="584"/>
      <c r="F776" s="584"/>
      <c r="G776" s="584"/>
      <c r="H776" s="584"/>
      <c r="I776" s="584"/>
      <c r="J776" s="584"/>
      <c r="K776" s="584"/>
      <c r="L776" s="613"/>
      <c r="M776" s="613"/>
      <c r="N776" s="613"/>
      <c r="O776" s="584"/>
      <c r="P776" s="613"/>
      <c r="Q776" s="584"/>
      <c r="R776" s="584"/>
      <c r="S776" s="584"/>
      <c r="T776" s="584"/>
      <c r="U776" s="584"/>
      <c r="V776" s="584"/>
      <c r="W776" s="584"/>
      <c r="X776" s="584"/>
      <c r="Y776" s="584"/>
      <c r="Z776" s="584"/>
      <c r="AA776" s="584"/>
      <c r="AB776" s="584"/>
      <c r="AC776" s="584"/>
      <c r="AD776" s="584"/>
      <c r="AE776" s="584"/>
      <c r="AF776" s="584"/>
    </row>
    <row r="777" ht="14.25" customHeight="1">
      <c r="A777" s="584"/>
      <c r="B777" s="584"/>
      <c r="C777" s="612"/>
      <c r="D777" s="612"/>
      <c r="E777" s="584"/>
      <c r="F777" s="584"/>
      <c r="G777" s="584"/>
      <c r="H777" s="584"/>
      <c r="I777" s="584"/>
      <c r="J777" s="584"/>
      <c r="K777" s="584"/>
      <c r="L777" s="613"/>
      <c r="M777" s="613"/>
      <c r="N777" s="613"/>
      <c r="O777" s="584"/>
      <c r="P777" s="584"/>
      <c r="Q777" s="584"/>
      <c r="R777" s="584"/>
      <c r="S777" s="584"/>
      <c r="T777" s="584"/>
      <c r="U777" s="584"/>
      <c r="V777" s="584"/>
      <c r="W777" s="584"/>
      <c r="X777" s="584"/>
      <c r="Y777" s="584"/>
      <c r="Z777" s="584"/>
      <c r="AA777" s="584"/>
      <c r="AB777" s="584"/>
      <c r="AC777" s="584"/>
      <c r="AD777" s="584"/>
      <c r="AE777" s="584"/>
      <c r="AF777" s="584"/>
    </row>
    <row r="778" ht="14.25" customHeight="1">
      <c r="A778" s="584"/>
      <c r="B778" s="584"/>
      <c r="C778" s="612"/>
      <c r="D778" s="612"/>
      <c r="E778" s="584"/>
      <c r="F778" s="584"/>
      <c r="G778" s="584"/>
      <c r="H778" s="584"/>
      <c r="I778" s="584"/>
      <c r="J778" s="584"/>
      <c r="K778" s="584"/>
      <c r="L778" s="613"/>
      <c r="M778" s="613"/>
      <c r="N778" s="613"/>
      <c r="O778" s="584"/>
      <c r="P778" s="584"/>
      <c r="Q778" s="584"/>
      <c r="R778" s="584"/>
      <c r="S778" s="584"/>
      <c r="T778" s="584"/>
      <c r="U778" s="584"/>
      <c r="V778" s="584"/>
      <c r="W778" s="584"/>
      <c r="X778" s="584"/>
      <c r="Y778" s="584"/>
      <c r="Z778" s="584"/>
      <c r="AA778" s="584"/>
      <c r="AB778" s="584"/>
      <c r="AC778" s="584"/>
      <c r="AD778" s="584"/>
      <c r="AE778" s="584"/>
      <c r="AF778" s="584"/>
    </row>
    <row r="779" ht="14.25" customHeight="1">
      <c r="A779" s="584"/>
      <c r="B779" s="584"/>
      <c r="C779" s="612"/>
      <c r="D779" s="612"/>
      <c r="E779" s="584"/>
      <c r="F779" s="584"/>
      <c r="G779" s="584"/>
      <c r="H779" s="584"/>
      <c r="I779" s="584"/>
      <c r="J779" s="584"/>
      <c r="K779" s="584"/>
      <c r="L779" s="613"/>
      <c r="M779" s="613"/>
      <c r="N779" s="613"/>
      <c r="O779" s="584"/>
      <c r="P779" s="584"/>
      <c r="Q779" s="584"/>
      <c r="R779" s="584"/>
      <c r="S779" s="584"/>
      <c r="T779" s="584"/>
      <c r="U779" s="584"/>
      <c r="V779" s="584"/>
      <c r="W779" s="584"/>
      <c r="X779" s="584"/>
      <c r="Y779" s="584"/>
      <c r="Z779" s="584"/>
      <c r="AA779" s="584"/>
      <c r="AB779" s="584"/>
      <c r="AC779" s="584"/>
      <c r="AD779" s="584"/>
      <c r="AE779" s="584"/>
      <c r="AF779" s="584"/>
    </row>
    <row r="780" ht="14.25" customHeight="1">
      <c r="A780" s="584"/>
      <c r="B780" s="584"/>
      <c r="C780" s="612"/>
      <c r="D780" s="612"/>
      <c r="E780" s="584"/>
      <c r="F780" s="584"/>
      <c r="G780" s="584"/>
      <c r="H780" s="584"/>
      <c r="I780" s="584"/>
      <c r="J780" s="584"/>
      <c r="K780" s="584"/>
      <c r="L780" s="613"/>
      <c r="M780" s="613"/>
      <c r="N780" s="613"/>
      <c r="O780" s="584"/>
      <c r="P780" s="584"/>
      <c r="Q780" s="584"/>
      <c r="R780" s="584"/>
      <c r="S780" s="584"/>
      <c r="T780" s="584"/>
      <c r="U780" s="584"/>
      <c r="V780" s="584"/>
      <c r="W780" s="584"/>
      <c r="X780" s="584"/>
      <c r="Y780" s="584"/>
      <c r="Z780" s="584"/>
      <c r="AA780" s="584"/>
      <c r="AB780" s="584"/>
      <c r="AC780" s="584"/>
      <c r="AD780" s="584"/>
      <c r="AE780" s="584"/>
      <c r="AF780" s="584"/>
    </row>
    <row r="781" ht="14.25" customHeight="1">
      <c r="A781" s="584"/>
      <c r="B781" s="584"/>
      <c r="C781" s="612"/>
      <c r="D781" s="612"/>
      <c r="E781" s="584"/>
      <c r="F781" s="584"/>
      <c r="G781" s="584"/>
      <c r="H781" s="584"/>
      <c r="I781" s="584"/>
      <c r="J781" s="584"/>
      <c r="K781" s="584"/>
      <c r="L781" s="613"/>
      <c r="M781" s="613"/>
      <c r="N781" s="613"/>
      <c r="O781" s="584"/>
      <c r="P781" s="584"/>
      <c r="Q781" s="584"/>
      <c r="R781" s="584"/>
      <c r="S781" s="584"/>
      <c r="T781" s="584"/>
      <c r="U781" s="584"/>
      <c r="V781" s="584"/>
      <c r="W781" s="584"/>
      <c r="X781" s="584"/>
      <c r="Y781" s="584"/>
      <c r="Z781" s="584"/>
      <c r="AA781" s="584"/>
      <c r="AB781" s="584"/>
      <c r="AC781" s="584"/>
      <c r="AD781" s="584"/>
      <c r="AE781" s="584"/>
      <c r="AF781" s="584"/>
    </row>
    <row r="782" ht="14.25" customHeight="1">
      <c r="A782" s="584"/>
      <c r="B782" s="584"/>
      <c r="C782" s="612"/>
      <c r="D782" s="612"/>
      <c r="E782" s="584"/>
      <c r="F782" s="584"/>
      <c r="G782" s="584"/>
      <c r="H782" s="584"/>
      <c r="I782" s="584"/>
      <c r="J782" s="584"/>
      <c r="K782" s="584"/>
      <c r="L782" s="613"/>
      <c r="M782" s="613"/>
      <c r="N782" s="613"/>
      <c r="O782" s="584"/>
      <c r="P782" s="584"/>
      <c r="Q782" s="584"/>
      <c r="R782" s="584"/>
      <c r="S782" s="584"/>
      <c r="T782" s="584"/>
      <c r="U782" s="584"/>
      <c r="V782" s="584"/>
      <c r="W782" s="584"/>
      <c r="X782" s="584"/>
      <c r="Y782" s="584"/>
      <c r="Z782" s="584"/>
      <c r="AA782" s="584"/>
      <c r="AB782" s="584"/>
      <c r="AC782" s="584"/>
      <c r="AD782" s="584"/>
      <c r="AE782" s="584"/>
      <c r="AF782" s="584"/>
    </row>
    <row r="783" ht="14.25" customHeight="1">
      <c r="A783" s="584"/>
      <c r="B783" s="584"/>
      <c r="C783" s="612"/>
      <c r="D783" s="612"/>
      <c r="E783" s="584"/>
      <c r="F783" s="584"/>
      <c r="G783" s="584"/>
      <c r="H783" s="584"/>
      <c r="I783" s="584"/>
      <c r="J783" s="584"/>
      <c r="K783" s="584"/>
      <c r="L783" s="613"/>
      <c r="M783" s="613"/>
      <c r="N783" s="613"/>
      <c r="O783" s="584"/>
      <c r="P783" s="584"/>
      <c r="Q783" s="584"/>
      <c r="R783" s="584"/>
      <c r="S783" s="584"/>
      <c r="T783" s="584"/>
      <c r="U783" s="584"/>
      <c r="V783" s="584"/>
      <c r="W783" s="584"/>
      <c r="X783" s="584"/>
      <c r="Y783" s="584"/>
      <c r="Z783" s="584"/>
      <c r="AA783" s="584"/>
      <c r="AB783" s="584"/>
      <c r="AC783" s="584"/>
      <c r="AD783" s="584"/>
      <c r="AE783" s="584"/>
      <c r="AF783" s="584"/>
    </row>
    <row r="784" ht="14.25" customHeight="1">
      <c r="A784" s="584"/>
      <c r="B784" s="584"/>
      <c r="C784" s="612"/>
      <c r="D784" s="612"/>
      <c r="E784" s="584"/>
      <c r="F784" s="584"/>
      <c r="G784" s="584"/>
      <c r="H784" s="584"/>
      <c r="I784" s="584"/>
      <c r="J784" s="584"/>
      <c r="K784" s="584"/>
      <c r="L784" s="613"/>
      <c r="M784" s="613"/>
      <c r="N784" s="613"/>
      <c r="O784" s="584"/>
      <c r="P784" s="584"/>
      <c r="Q784" s="584"/>
      <c r="R784" s="584"/>
      <c r="S784" s="584"/>
      <c r="T784" s="584"/>
      <c r="U784" s="584"/>
      <c r="V784" s="584"/>
      <c r="W784" s="584"/>
      <c r="X784" s="584"/>
      <c r="Y784" s="584"/>
      <c r="Z784" s="584"/>
      <c r="AA784" s="584"/>
      <c r="AB784" s="584"/>
      <c r="AC784" s="584"/>
      <c r="AD784" s="584"/>
      <c r="AE784" s="584"/>
      <c r="AF784" s="584"/>
    </row>
    <row r="785" ht="14.25" customHeight="1">
      <c r="A785" s="584"/>
      <c r="B785" s="584"/>
      <c r="C785" s="612"/>
      <c r="D785" s="612"/>
      <c r="E785" s="584"/>
      <c r="F785" s="584"/>
      <c r="G785" s="584"/>
      <c r="H785" s="584"/>
      <c r="I785" s="584"/>
      <c r="J785" s="584"/>
      <c r="K785" s="584"/>
      <c r="L785" s="613"/>
      <c r="M785" s="613"/>
      <c r="N785" s="613"/>
      <c r="O785" s="584"/>
      <c r="P785" s="584"/>
      <c r="Q785" s="584"/>
      <c r="R785" s="584"/>
      <c r="S785" s="584"/>
      <c r="T785" s="584"/>
      <c r="U785" s="584"/>
      <c r="V785" s="584"/>
      <c r="W785" s="584"/>
      <c r="X785" s="584"/>
      <c r="Y785" s="584"/>
      <c r="Z785" s="584"/>
      <c r="AA785" s="584"/>
      <c r="AB785" s="584"/>
      <c r="AC785" s="584"/>
      <c r="AD785" s="584"/>
      <c r="AE785" s="584"/>
      <c r="AF785" s="584"/>
    </row>
    <row r="786" ht="14.25" customHeight="1">
      <c r="A786" s="584"/>
      <c r="B786" s="584"/>
      <c r="C786" s="612"/>
      <c r="D786" s="612"/>
      <c r="E786" s="584"/>
      <c r="F786" s="584"/>
      <c r="G786" s="584"/>
      <c r="H786" s="584"/>
      <c r="I786" s="584"/>
      <c r="J786" s="584"/>
      <c r="K786" s="584"/>
      <c r="L786" s="613"/>
      <c r="M786" s="613"/>
      <c r="N786" s="614"/>
      <c r="O786" s="584"/>
      <c r="P786" s="584"/>
      <c r="Q786" s="584"/>
      <c r="R786" s="584"/>
      <c r="S786" s="584"/>
      <c r="T786" s="584"/>
      <c r="U786" s="584"/>
      <c r="V786" s="584"/>
      <c r="W786" s="584"/>
      <c r="X786" s="584"/>
      <c r="Y786" s="584"/>
      <c r="Z786" s="584"/>
      <c r="AA786" s="584"/>
      <c r="AB786" s="584"/>
      <c r="AC786" s="584"/>
      <c r="AD786" s="584"/>
      <c r="AE786" s="584"/>
      <c r="AF786" s="584"/>
    </row>
    <row r="787" ht="14.25" customHeight="1">
      <c r="A787" s="584"/>
      <c r="B787" s="584"/>
      <c r="C787" s="612"/>
      <c r="D787" s="612"/>
      <c r="E787" s="584"/>
      <c r="F787" s="584"/>
      <c r="G787" s="584"/>
      <c r="H787" s="584"/>
      <c r="I787" s="584"/>
      <c r="J787" s="584"/>
      <c r="K787" s="584"/>
      <c r="L787" s="613"/>
      <c r="M787" s="613"/>
      <c r="N787" s="613"/>
      <c r="O787" s="584"/>
      <c r="P787" s="584"/>
      <c r="Q787" s="584"/>
      <c r="R787" s="584"/>
      <c r="S787" s="584"/>
      <c r="T787" s="584"/>
      <c r="U787" s="584"/>
      <c r="V787" s="584"/>
      <c r="W787" s="584"/>
      <c r="X787" s="584"/>
      <c r="Y787" s="584"/>
      <c r="Z787" s="584"/>
      <c r="AA787" s="584"/>
      <c r="AB787" s="584"/>
      <c r="AC787" s="584"/>
      <c r="AD787" s="584"/>
      <c r="AE787" s="584"/>
      <c r="AF787" s="584"/>
    </row>
    <row r="788" ht="14.25" customHeight="1">
      <c r="A788" s="584"/>
      <c r="B788" s="584"/>
      <c r="C788" s="612"/>
      <c r="D788" s="612"/>
      <c r="E788" s="584"/>
      <c r="F788" s="584"/>
      <c r="G788" s="584"/>
      <c r="H788" s="584"/>
      <c r="I788" s="584"/>
      <c r="J788" s="584"/>
      <c r="K788" s="584"/>
      <c r="L788" s="613"/>
      <c r="M788" s="613"/>
      <c r="N788" s="613"/>
      <c r="O788" s="584"/>
      <c r="P788" s="584"/>
      <c r="Q788" s="584"/>
      <c r="R788" s="584"/>
      <c r="S788" s="584"/>
      <c r="T788" s="584"/>
      <c r="U788" s="584"/>
      <c r="V788" s="584"/>
      <c r="W788" s="584"/>
      <c r="X788" s="584"/>
      <c r="Y788" s="584"/>
      <c r="Z788" s="584"/>
      <c r="AA788" s="584"/>
      <c r="AB788" s="584"/>
      <c r="AC788" s="584"/>
      <c r="AD788" s="584"/>
      <c r="AE788" s="584"/>
      <c r="AF788" s="584"/>
    </row>
    <row r="789" ht="14.25" customHeight="1">
      <c r="A789" s="584"/>
      <c r="B789" s="584"/>
      <c r="C789" s="612"/>
      <c r="D789" s="612"/>
      <c r="E789" s="584"/>
      <c r="F789" s="584"/>
      <c r="G789" s="584"/>
      <c r="H789" s="584"/>
      <c r="I789" s="584"/>
      <c r="J789" s="584"/>
      <c r="K789" s="584"/>
      <c r="L789" s="613"/>
      <c r="M789" s="613"/>
      <c r="N789" s="613"/>
      <c r="O789" s="584"/>
      <c r="P789" s="584"/>
      <c r="Q789" s="584"/>
      <c r="R789" s="584"/>
      <c r="S789" s="584"/>
      <c r="T789" s="584"/>
      <c r="U789" s="584"/>
      <c r="V789" s="584"/>
      <c r="W789" s="584"/>
      <c r="X789" s="584"/>
      <c r="Y789" s="584"/>
      <c r="Z789" s="584"/>
      <c r="AA789" s="584"/>
      <c r="AB789" s="584"/>
      <c r="AC789" s="584"/>
      <c r="AD789" s="584"/>
      <c r="AE789" s="584"/>
      <c r="AF789" s="584"/>
    </row>
    <row r="790" ht="14.25" customHeight="1">
      <c r="A790" s="584"/>
      <c r="B790" s="584"/>
      <c r="C790" s="612"/>
      <c r="D790" s="612"/>
      <c r="E790" s="584"/>
      <c r="F790" s="584"/>
      <c r="G790" s="584"/>
      <c r="H790" s="584"/>
      <c r="I790" s="584"/>
      <c r="J790" s="584"/>
      <c r="K790" s="584"/>
      <c r="L790" s="613"/>
      <c r="M790" s="613"/>
      <c r="N790" s="613"/>
      <c r="O790" s="584"/>
      <c r="P790" s="584"/>
      <c r="Q790" s="584"/>
      <c r="R790" s="584"/>
      <c r="S790" s="584"/>
      <c r="T790" s="584"/>
      <c r="U790" s="584"/>
      <c r="V790" s="584"/>
      <c r="W790" s="584"/>
      <c r="X790" s="584"/>
      <c r="Y790" s="584"/>
      <c r="Z790" s="584"/>
      <c r="AA790" s="584"/>
      <c r="AB790" s="584"/>
      <c r="AC790" s="584"/>
      <c r="AD790" s="584"/>
      <c r="AE790" s="584"/>
      <c r="AF790" s="584"/>
    </row>
    <row r="791" ht="14.25" customHeight="1">
      <c r="A791" s="584"/>
      <c r="B791" s="584"/>
      <c r="C791" s="612"/>
      <c r="D791" s="612"/>
      <c r="E791" s="584"/>
      <c r="F791" s="584"/>
      <c r="G791" s="584"/>
      <c r="H791" s="584"/>
      <c r="I791" s="584"/>
      <c r="J791" s="584"/>
      <c r="K791" s="584"/>
      <c r="L791" s="613"/>
      <c r="M791" s="613"/>
      <c r="N791" s="613"/>
      <c r="O791" s="584"/>
      <c r="P791" s="584"/>
      <c r="Q791" s="584"/>
      <c r="R791" s="584"/>
      <c r="S791" s="584"/>
      <c r="T791" s="584"/>
      <c r="U791" s="584"/>
      <c r="V791" s="584"/>
      <c r="W791" s="584"/>
      <c r="X791" s="584"/>
      <c r="Y791" s="584"/>
      <c r="Z791" s="584"/>
      <c r="AA791" s="584"/>
      <c r="AB791" s="584"/>
      <c r="AC791" s="584"/>
      <c r="AD791" s="584"/>
      <c r="AE791" s="584"/>
      <c r="AF791" s="584"/>
    </row>
    <row r="792" ht="14.25" customHeight="1">
      <c r="A792" s="584"/>
      <c r="B792" s="584"/>
      <c r="C792" s="612"/>
      <c r="D792" s="612"/>
      <c r="E792" s="584"/>
      <c r="F792" s="584"/>
      <c r="G792" s="584"/>
      <c r="H792" s="584"/>
      <c r="I792" s="584"/>
      <c r="J792" s="584"/>
      <c r="K792" s="584"/>
      <c r="L792" s="613"/>
      <c r="M792" s="613"/>
      <c r="N792" s="613"/>
      <c r="O792" s="584"/>
      <c r="P792" s="584"/>
      <c r="Q792" s="584"/>
      <c r="R792" s="584"/>
      <c r="S792" s="584"/>
      <c r="T792" s="584"/>
      <c r="U792" s="584"/>
      <c r="V792" s="584"/>
      <c r="W792" s="584"/>
      <c r="X792" s="584"/>
      <c r="Y792" s="584"/>
      <c r="Z792" s="584"/>
      <c r="AA792" s="584"/>
      <c r="AB792" s="584"/>
      <c r="AC792" s="584"/>
      <c r="AD792" s="584"/>
      <c r="AE792" s="584"/>
      <c r="AF792" s="584"/>
    </row>
    <row r="793" ht="14.25" customHeight="1">
      <c r="A793" s="584"/>
      <c r="B793" s="584"/>
      <c r="C793" s="612"/>
      <c r="D793" s="612"/>
      <c r="E793" s="584"/>
      <c r="F793" s="584"/>
      <c r="G793" s="584"/>
      <c r="H793" s="584"/>
      <c r="I793" s="584"/>
      <c r="J793" s="584"/>
      <c r="K793" s="584"/>
      <c r="L793" s="613"/>
      <c r="M793" s="613"/>
      <c r="N793" s="613"/>
      <c r="O793" s="584"/>
      <c r="P793" s="584"/>
      <c r="Q793" s="584"/>
      <c r="R793" s="584"/>
      <c r="S793" s="584"/>
      <c r="T793" s="584"/>
      <c r="U793" s="584"/>
      <c r="V793" s="584"/>
      <c r="W793" s="584"/>
      <c r="X793" s="584"/>
      <c r="Y793" s="584"/>
      <c r="Z793" s="584"/>
      <c r="AA793" s="584"/>
      <c r="AB793" s="584"/>
      <c r="AC793" s="584"/>
      <c r="AD793" s="584"/>
      <c r="AE793" s="584"/>
      <c r="AF793" s="584"/>
    </row>
    <row r="794" ht="14.25" customHeight="1">
      <c r="A794" s="584"/>
      <c r="B794" s="584"/>
      <c r="C794" s="612"/>
      <c r="D794" s="612"/>
      <c r="E794" s="584"/>
      <c r="F794" s="584"/>
      <c r="G794" s="584"/>
      <c r="H794" s="584"/>
      <c r="I794" s="584"/>
      <c r="J794" s="584"/>
      <c r="K794" s="584"/>
      <c r="L794" s="613"/>
      <c r="M794" s="613"/>
      <c r="N794" s="613"/>
      <c r="O794" s="584"/>
      <c r="P794" s="613"/>
      <c r="Q794" s="584"/>
      <c r="R794" s="584"/>
      <c r="S794" s="584"/>
      <c r="T794" s="584"/>
      <c r="U794" s="584"/>
      <c r="V794" s="584"/>
      <c r="W794" s="584"/>
      <c r="X794" s="584"/>
      <c r="Y794" s="584"/>
      <c r="Z794" s="584"/>
      <c r="AA794" s="584"/>
      <c r="AB794" s="584"/>
      <c r="AC794" s="584"/>
      <c r="AD794" s="584"/>
      <c r="AE794" s="584"/>
      <c r="AF794" s="584"/>
    </row>
    <row r="795" ht="14.25" customHeight="1">
      <c r="A795" s="584"/>
      <c r="B795" s="584"/>
      <c r="C795" s="612"/>
      <c r="D795" s="612"/>
      <c r="E795" s="584"/>
      <c r="F795" s="584"/>
      <c r="G795" s="584"/>
      <c r="H795" s="584"/>
      <c r="I795" s="584"/>
      <c r="J795" s="584"/>
      <c r="K795" s="584"/>
      <c r="L795" s="613"/>
      <c r="M795" s="613"/>
      <c r="N795" s="614"/>
      <c r="O795" s="584"/>
      <c r="P795" s="613"/>
      <c r="Q795" s="584"/>
      <c r="R795" s="584"/>
      <c r="S795" s="584"/>
      <c r="T795" s="584"/>
      <c r="U795" s="584"/>
      <c r="V795" s="584"/>
      <c r="W795" s="584"/>
      <c r="X795" s="584"/>
      <c r="Y795" s="584"/>
      <c r="Z795" s="584"/>
      <c r="AA795" s="584"/>
      <c r="AB795" s="584"/>
      <c r="AC795" s="584"/>
      <c r="AD795" s="584"/>
      <c r="AE795" s="584"/>
      <c r="AF795" s="584"/>
    </row>
    <row r="796" ht="14.25" customHeight="1">
      <c r="A796" s="584"/>
      <c r="B796" s="584"/>
      <c r="C796" s="612"/>
      <c r="D796" s="612"/>
      <c r="E796" s="584"/>
      <c r="F796" s="584"/>
      <c r="G796" s="584"/>
      <c r="H796" s="584"/>
      <c r="I796" s="584"/>
      <c r="J796" s="584"/>
      <c r="K796" s="584"/>
      <c r="L796" s="613"/>
      <c r="M796" s="613"/>
      <c r="N796" s="613"/>
      <c r="O796" s="584"/>
      <c r="P796" s="584"/>
      <c r="Q796" s="584"/>
      <c r="R796" s="584"/>
      <c r="S796" s="584"/>
      <c r="T796" s="584"/>
      <c r="U796" s="584"/>
      <c r="V796" s="584"/>
      <c r="W796" s="584"/>
      <c r="X796" s="584"/>
      <c r="Y796" s="584"/>
      <c r="Z796" s="584"/>
      <c r="AA796" s="584"/>
      <c r="AB796" s="584"/>
      <c r="AC796" s="584"/>
      <c r="AD796" s="584"/>
      <c r="AE796" s="584"/>
      <c r="AF796" s="584"/>
    </row>
    <row r="797" ht="14.25" customHeight="1">
      <c r="A797" s="584"/>
      <c r="B797" s="584"/>
      <c r="C797" s="612"/>
      <c r="D797" s="612"/>
      <c r="E797" s="584"/>
      <c r="F797" s="584"/>
      <c r="G797" s="584"/>
      <c r="H797" s="584"/>
      <c r="I797" s="584"/>
      <c r="J797" s="584"/>
      <c r="K797" s="584"/>
      <c r="L797" s="613"/>
      <c r="M797" s="613"/>
      <c r="N797" s="613"/>
      <c r="O797" s="584"/>
      <c r="P797" s="584"/>
      <c r="Q797" s="584"/>
      <c r="R797" s="584"/>
      <c r="S797" s="584"/>
      <c r="T797" s="584"/>
      <c r="U797" s="584"/>
      <c r="V797" s="584"/>
      <c r="W797" s="584"/>
      <c r="X797" s="584"/>
      <c r="Y797" s="584"/>
      <c r="Z797" s="584"/>
      <c r="AA797" s="584"/>
      <c r="AB797" s="584"/>
      <c r="AC797" s="584"/>
      <c r="AD797" s="584"/>
      <c r="AE797" s="584"/>
      <c r="AF797" s="584"/>
    </row>
    <row r="798" ht="14.25" customHeight="1">
      <c r="A798" s="584"/>
      <c r="B798" s="584"/>
      <c r="C798" s="612"/>
      <c r="D798" s="612"/>
      <c r="E798" s="584"/>
      <c r="F798" s="584"/>
      <c r="G798" s="584"/>
      <c r="H798" s="584"/>
      <c r="I798" s="584"/>
      <c r="J798" s="584"/>
      <c r="K798" s="584"/>
      <c r="L798" s="613"/>
      <c r="M798" s="613"/>
      <c r="N798" s="613"/>
      <c r="O798" s="584"/>
      <c r="P798" s="584"/>
      <c r="Q798" s="584"/>
      <c r="R798" s="584"/>
      <c r="S798" s="584"/>
      <c r="T798" s="584"/>
      <c r="U798" s="584"/>
      <c r="V798" s="584"/>
      <c r="W798" s="584"/>
      <c r="X798" s="584"/>
      <c r="Y798" s="584"/>
      <c r="Z798" s="584"/>
      <c r="AA798" s="584"/>
      <c r="AB798" s="584"/>
      <c r="AC798" s="584"/>
      <c r="AD798" s="584"/>
      <c r="AE798" s="584"/>
      <c r="AF798" s="584"/>
    </row>
    <row r="799" ht="14.25" customHeight="1">
      <c r="A799" s="584"/>
      <c r="B799" s="584"/>
      <c r="C799" s="612"/>
      <c r="D799" s="612"/>
      <c r="E799" s="616"/>
      <c r="F799" s="584"/>
      <c r="G799" s="584"/>
      <c r="H799" s="584"/>
      <c r="I799" s="584"/>
      <c r="J799" s="584"/>
      <c r="K799" s="584"/>
      <c r="L799" s="613"/>
      <c r="M799" s="613"/>
      <c r="N799" s="613"/>
      <c r="O799" s="584"/>
      <c r="P799" s="584"/>
      <c r="Q799" s="584"/>
      <c r="R799" s="584"/>
      <c r="S799" s="584"/>
      <c r="T799" s="584"/>
      <c r="U799" s="584"/>
      <c r="V799" s="584"/>
      <c r="W799" s="584"/>
      <c r="X799" s="584"/>
      <c r="Y799" s="584"/>
      <c r="Z799" s="584"/>
      <c r="AA799" s="584"/>
      <c r="AB799" s="584"/>
      <c r="AC799" s="584"/>
      <c r="AD799" s="584"/>
      <c r="AE799" s="584"/>
      <c r="AF799" s="584"/>
    </row>
    <row r="800" ht="14.25" customHeight="1">
      <c r="A800" s="584"/>
      <c r="B800" s="584"/>
      <c r="C800" s="612"/>
      <c r="D800" s="612"/>
      <c r="E800" s="584"/>
      <c r="F800" s="584"/>
      <c r="G800" s="584"/>
      <c r="H800" s="584"/>
      <c r="I800" s="584"/>
      <c r="J800" s="584"/>
      <c r="K800" s="584"/>
      <c r="L800" s="613"/>
      <c r="M800" s="613"/>
      <c r="N800" s="613"/>
      <c r="O800" s="584"/>
      <c r="P800" s="584"/>
      <c r="Q800" s="584"/>
      <c r="R800" s="584"/>
      <c r="S800" s="584"/>
      <c r="T800" s="584"/>
      <c r="U800" s="584"/>
      <c r="V800" s="584"/>
      <c r="W800" s="584"/>
      <c r="X800" s="584"/>
      <c r="Y800" s="584"/>
      <c r="Z800" s="584"/>
      <c r="AA800" s="584"/>
      <c r="AB800" s="584"/>
      <c r="AC800" s="584"/>
      <c r="AD800" s="584"/>
      <c r="AE800" s="584"/>
      <c r="AF800" s="584"/>
    </row>
    <row r="801" ht="14.25" customHeight="1">
      <c r="A801" s="584"/>
      <c r="B801" s="584"/>
      <c r="C801" s="612"/>
      <c r="D801" s="612"/>
      <c r="E801" s="584"/>
      <c r="F801" s="584"/>
      <c r="G801" s="584"/>
      <c r="H801" s="584"/>
      <c r="I801" s="584"/>
      <c r="J801" s="584"/>
      <c r="K801" s="584"/>
      <c r="L801" s="613"/>
      <c r="M801" s="613"/>
      <c r="N801" s="613"/>
      <c r="O801" s="584"/>
      <c r="P801" s="584"/>
      <c r="Q801" s="584"/>
      <c r="R801" s="584"/>
      <c r="S801" s="584"/>
      <c r="T801" s="584"/>
      <c r="U801" s="584"/>
      <c r="V801" s="584"/>
      <c r="W801" s="584"/>
      <c r="X801" s="584"/>
      <c r="Y801" s="584"/>
      <c r="Z801" s="584"/>
      <c r="AA801" s="584"/>
      <c r="AB801" s="584"/>
      <c r="AC801" s="584"/>
      <c r="AD801" s="584"/>
      <c r="AE801" s="584"/>
      <c r="AF801" s="584"/>
    </row>
    <row r="802" ht="14.25" customHeight="1">
      <c r="A802" s="584"/>
      <c r="B802" s="584"/>
      <c r="C802" s="612"/>
      <c r="D802" s="612"/>
      <c r="E802" s="584"/>
      <c r="F802" s="584"/>
      <c r="G802" s="584"/>
      <c r="H802" s="584"/>
      <c r="I802" s="584"/>
      <c r="J802" s="584"/>
      <c r="K802" s="584"/>
      <c r="L802" s="613"/>
      <c r="M802" s="613"/>
      <c r="N802" s="613"/>
      <c r="O802" s="584"/>
      <c r="P802" s="584"/>
      <c r="Q802" s="584"/>
      <c r="R802" s="584"/>
      <c r="S802" s="584"/>
      <c r="T802" s="584"/>
      <c r="U802" s="584"/>
      <c r="V802" s="584"/>
      <c r="W802" s="584"/>
      <c r="X802" s="584"/>
      <c r="Y802" s="584"/>
      <c r="Z802" s="584"/>
      <c r="AA802" s="584"/>
      <c r="AB802" s="584"/>
      <c r="AC802" s="584"/>
      <c r="AD802" s="584"/>
      <c r="AE802" s="584"/>
      <c r="AF802" s="584"/>
    </row>
    <row r="803" ht="14.25" customHeight="1">
      <c r="A803" s="584"/>
      <c r="B803" s="584"/>
      <c r="C803" s="612"/>
      <c r="D803" s="612"/>
      <c r="E803" s="584"/>
      <c r="F803" s="584"/>
      <c r="G803" s="584"/>
      <c r="H803" s="584"/>
      <c r="I803" s="584"/>
      <c r="J803" s="584"/>
      <c r="K803" s="584"/>
      <c r="L803" s="613"/>
      <c r="M803" s="613"/>
      <c r="N803" s="613"/>
      <c r="O803" s="584"/>
      <c r="P803" s="584"/>
      <c r="Q803" s="584"/>
      <c r="R803" s="584"/>
      <c r="S803" s="584"/>
      <c r="T803" s="584"/>
      <c r="U803" s="584"/>
      <c r="V803" s="584"/>
      <c r="W803" s="584"/>
      <c r="X803" s="584"/>
      <c r="Y803" s="584"/>
      <c r="Z803" s="584"/>
      <c r="AA803" s="584"/>
      <c r="AB803" s="584"/>
      <c r="AC803" s="584"/>
      <c r="AD803" s="584"/>
      <c r="AE803" s="584"/>
      <c r="AF803" s="584"/>
    </row>
    <row r="804" ht="14.25" customHeight="1">
      <c r="A804" s="584"/>
      <c r="B804" s="584"/>
      <c r="C804" s="612"/>
      <c r="D804" s="612"/>
      <c r="E804" s="584"/>
      <c r="F804" s="584"/>
      <c r="G804" s="584"/>
      <c r="H804" s="584"/>
      <c r="I804" s="584"/>
      <c r="J804" s="584"/>
      <c r="K804" s="584"/>
      <c r="L804" s="613"/>
      <c r="M804" s="613"/>
      <c r="N804" s="613"/>
      <c r="O804" s="584"/>
      <c r="P804" s="584"/>
      <c r="Q804" s="584"/>
      <c r="R804" s="584"/>
      <c r="S804" s="584"/>
      <c r="T804" s="584"/>
      <c r="U804" s="584"/>
      <c r="V804" s="584"/>
      <c r="W804" s="584"/>
      <c r="X804" s="584"/>
      <c r="Y804" s="584"/>
      <c r="Z804" s="584"/>
      <c r="AA804" s="584"/>
      <c r="AB804" s="584"/>
      <c r="AC804" s="584"/>
      <c r="AD804" s="584"/>
      <c r="AE804" s="584"/>
      <c r="AF804" s="584"/>
    </row>
    <row r="805" ht="14.25" customHeight="1">
      <c r="A805" s="584"/>
      <c r="B805" s="584"/>
      <c r="C805" s="612"/>
      <c r="D805" s="612"/>
      <c r="E805" s="584"/>
      <c r="F805" s="584"/>
      <c r="G805" s="584"/>
      <c r="H805" s="584"/>
      <c r="I805" s="584"/>
      <c r="J805" s="584"/>
      <c r="K805" s="584"/>
      <c r="L805" s="613"/>
      <c r="M805" s="613"/>
      <c r="N805" s="613"/>
      <c r="O805" s="584"/>
      <c r="P805" s="584"/>
      <c r="Q805" s="584"/>
      <c r="R805" s="584"/>
      <c r="S805" s="584"/>
      <c r="T805" s="584"/>
      <c r="U805" s="584"/>
      <c r="V805" s="584"/>
      <c r="W805" s="584"/>
      <c r="X805" s="584"/>
      <c r="Y805" s="584"/>
      <c r="Z805" s="584"/>
      <c r="AA805" s="584"/>
      <c r="AB805" s="584"/>
      <c r="AC805" s="584"/>
      <c r="AD805" s="584"/>
      <c r="AE805" s="584"/>
      <c r="AF805" s="584"/>
    </row>
    <row r="806" ht="14.25" customHeight="1">
      <c r="A806" s="584"/>
      <c r="B806" s="584"/>
      <c r="C806" s="612"/>
      <c r="D806" s="612"/>
      <c r="E806" s="584"/>
      <c r="F806" s="584"/>
      <c r="G806" s="584"/>
      <c r="H806" s="584"/>
      <c r="I806" s="584"/>
      <c r="J806" s="584"/>
      <c r="K806" s="584"/>
      <c r="L806" s="613"/>
      <c r="M806" s="613"/>
      <c r="N806" s="613"/>
      <c r="O806" s="584"/>
      <c r="P806" s="584"/>
      <c r="Q806" s="584"/>
      <c r="R806" s="584"/>
      <c r="S806" s="584"/>
      <c r="T806" s="584"/>
      <c r="U806" s="584"/>
      <c r="V806" s="584"/>
      <c r="W806" s="584"/>
      <c r="X806" s="584"/>
      <c r="Y806" s="584"/>
      <c r="Z806" s="584"/>
      <c r="AA806" s="584"/>
      <c r="AB806" s="584"/>
      <c r="AC806" s="584"/>
      <c r="AD806" s="584"/>
      <c r="AE806" s="584"/>
      <c r="AF806" s="584"/>
    </row>
    <row r="807" ht="14.25" customHeight="1">
      <c r="A807" s="584"/>
      <c r="B807" s="584"/>
      <c r="C807" s="612"/>
      <c r="D807" s="612"/>
      <c r="E807" s="584"/>
      <c r="F807" s="584"/>
      <c r="G807" s="584"/>
      <c r="H807" s="584"/>
      <c r="I807" s="584"/>
      <c r="J807" s="584"/>
      <c r="K807" s="584"/>
      <c r="L807" s="613"/>
      <c r="M807" s="613"/>
      <c r="N807" s="613"/>
      <c r="O807" s="584"/>
      <c r="P807" s="584"/>
      <c r="Q807" s="584"/>
      <c r="R807" s="584"/>
      <c r="S807" s="584"/>
      <c r="T807" s="584"/>
      <c r="U807" s="584"/>
      <c r="V807" s="584"/>
      <c r="W807" s="584"/>
      <c r="X807" s="584"/>
      <c r="Y807" s="584"/>
      <c r="Z807" s="584"/>
      <c r="AA807" s="584"/>
      <c r="AB807" s="584"/>
      <c r="AC807" s="584"/>
      <c r="AD807" s="584"/>
      <c r="AE807" s="584"/>
      <c r="AF807" s="584"/>
    </row>
    <row r="808" ht="14.25" customHeight="1">
      <c r="A808" s="584"/>
      <c r="B808" s="584"/>
      <c r="C808" s="612"/>
      <c r="D808" s="612"/>
      <c r="E808" s="584"/>
      <c r="F808" s="584"/>
      <c r="G808" s="584"/>
      <c r="H808" s="584"/>
      <c r="I808" s="584"/>
      <c r="J808" s="584"/>
      <c r="K808" s="584"/>
      <c r="L808" s="613"/>
      <c r="M808" s="613"/>
      <c r="N808" s="613"/>
      <c r="O808" s="584"/>
      <c r="P808" s="584"/>
      <c r="Q808" s="584"/>
      <c r="R808" s="584"/>
      <c r="S808" s="584"/>
      <c r="T808" s="584"/>
      <c r="U808" s="584"/>
      <c r="V808" s="584"/>
      <c r="W808" s="584"/>
      <c r="X808" s="584"/>
      <c r="Y808" s="584"/>
      <c r="Z808" s="584"/>
      <c r="AA808" s="584"/>
      <c r="AB808" s="584"/>
      <c r="AC808" s="584"/>
      <c r="AD808" s="584"/>
      <c r="AE808" s="584"/>
      <c r="AF808" s="584"/>
    </row>
    <row r="809" ht="14.25" customHeight="1">
      <c r="A809" s="584"/>
      <c r="B809" s="584"/>
      <c r="C809" s="612"/>
      <c r="D809" s="612"/>
      <c r="E809" s="584"/>
      <c r="F809" s="584"/>
      <c r="G809" s="584"/>
      <c r="H809" s="584"/>
      <c r="I809" s="584"/>
      <c r="J809" s="584"/>
      <c r="K809" s="584"/>
      <c r="L809" s="613"/>
      <c r="M809" s="613"/>
      <c r="N809" s="613"/>
      <c r="O809" s="584"/>
      <c r="P809" s="584"/>
      <c r="Q809" s="584"/>
      <c r="R809" s="584"/>
      <c r="S809" s="584"/>
      <c r="T809" s="584"/>
      <c r="U809" s="584"/>
      <c r="V809" s="584"/>
      <c r="W809" s="584"/>
      <c r="X809" s="584"/>
      <c r="Y809" s="584"/>
      <c r="Z809" s="584"/>
      <c r="AA809" s="584"/>
      <c r="AB809" s="584"/>
      <c r="AC809" s="584"/>
      <c r="AD809" s="584"/>
      <c r="AE809" s="584"/>
      <c r="AF809" s="584"/>
    </row>
    <row r="810" ht="14.25" customHeight="1">
      <c r="A810" s="584"/>
      <c r="B810" s="584"/>
      <c r="C810" s="612"/>
      <c r="D810" s="612"/>
      <c r="E810" s="584"/>
      <c r="F810" s="584"/>
      <c r="G810" s="584"/>
      <c r="H810" s="584"/>
      <c r="I810" s="584"/>
      <c r="J810" s="584"/>
      <c r="K810" s="584"/>
      <c r="L810" s="613"/>
      <c r="M810" s="613"/>
      <c r="N810" s="613"/>
      <c r="O810" s="584"/>
      <c r="P810" s="584"/>
      <c r="Q810" s="584"/>
      <c r="R810" s="584"/>
      <c r="S810" s="584"/>
      <c r="T810" s="584"/>
      <c r="U810" s="584"/>
      <c r="V810" s="584"/>
      <c r="W810" s="584"/>
      <c r="X810" s="584"/>
      <c r="Y810" s="584"/>
      <c r="Z810" s="584"/>
      <c r="AA810" s="584"/>
      <c r="AB810" s="584"/>
      <c r="AC810" s="584"/>
      <c r="AD810" s="584"/>
      <c r="AE810" s="584"/>
      <c r="AF810" s="584"/>
    </row>
    <row r="811" ht="14.25" customHeight="1">
      <c r="A811" s="584"/>
      <c r="B811" s="584"/>
      <c r="C811" s="612"/>
      <c r="D811" s="612"/>
      <c r="E811" s="584"/>
      <c r="F811" s="584"/>
      <c r="G811" s="584"/>
      <c r="H811" s="584"/>
      <c r="I811" s="584"/>
      <c r="J811" s="584"/>
      <c r="K811" s="584"/>
      <c r="L811" s="613"/>
      <c r="M811" s="613"/>
      <c r="N811" s="613"/>
      <c r="O811" s="584"/>
      <c r="P811" s="584"/>
      <c r="Q811" s="584"/>
      <c r="R811" s="584"/>
      <c r="S811" s="584"/>
      <c r="T811" s="584"/>
      <c r="U811" s="584"/>
      <c r="V811" s="584"/>
      <c r="W811" s="584"/>
      <c r="X811" s="584"/>
      <c r="Y811" s="584"/>
      <c r="Z811" s="584"/>
      <c r="AA811" s="584"/>
      <c r="AB811" s="584"/>
      <c r="AC811" s="584"/>
      <c r="AD811" s="584"/>
      <c r="AE811" s="584"/>
      <c r="AF811" s="584"/>
    </row>
    <row r="812" ht="14.25" customHeight="1">
      <c r="A812" s="584"/>
      <c r="B812" s="584"/>
      <c r="C812" s="612"/>
      <c r="D812" s="612"/>
      <c r="E812" s="584"/>
      <c r="F812" s="584"/>
      <c r="G812" s="584"/>
      <c r="H812" s="584"/>
      <c r="I812" s="584"/>
      <c r="J812" s="584"/>
      <c r="K812" s="584"/>
      <c r="L812" s="613"/>
      <c r="M812" s="613"/>
      <c r="N812" s="613"/>
      <c r="O812" s="584"/>
      <c r="P812" s="584"/>
      <c r="Q812" s="584"/>
      <c r="R812" s="584"/>
      <c r="S812" s="584"/>
      <c r="T812" s="584"/>
      <c r="U812" s="584"/>
      <c r="V812" s="584"/>
      <c r="W812" s="584"/>
      <c r="X812" s="584"/>
      <c r="Y812" s="584"/>
      <c r="Z812" s="584"/>
      <c r="AA812" s="584"/>
      <c r="AB812" s="584"/>
      <c r="AC812" s="584"/>
      <c r="AD812" s="584"/>
      <c r="AE812" s="584"/>
      <c r="AF812" s="584"/>
    </row>
    <row r="813" ht="14.25" customHeight="1">
      <c r="A813" s="584"/>
      <c r="B813" s="584"/>
      <c r="C813" s="612"/>
      <c r="D813" s="612"/>
      <c r="E813" s="584"/>
      <c r="F813" s="584"/>
      <c r="G813" s="584"/>
      <c r="H813" s="584"/>
      <c r="I813" s="584"/>
      <c r="J813" s="584"/>
      <c r="K813" s="584"/>
      <c r="L813" s="613"/>
      <c r="M813" s="613"/>
      <c r="N813" s="613"/>
      <c r="O813" s="584"/>
      <c r="P813" s="584"/>
      <c r="Q813" s="584"/>
      <c r="R813" s="584"/>
      <c r="S813" s="584"/>
      <c r="T813" s="584"/>
      <c r="U813" s="584"/>
      <c r="V813" s="584"/>
      <c r="W813" s="584"/>
      <c r="X813" s="584"/>
      <c r="Y813" s="584"/>
      <c r="Z813" s="584"/>
      <c r="AA813" s="584"/>
      <c r="AB813" s="584"/>
      <c r="AC813" s="584"/>
      <c r="AD813" s="584"/>
      <c r="AE813" s="584"/>
      <c r="AF813" s="584"/>
    </row>
    <row r="814" ht="14.25" customHeight="1">
      <c r="A814" s="584"/>
      <c r="B814" s="584"/>
      <c r="C814" s="612"/>
      <c r="D814" s="612"/>
      <c r="E814" s="616"/>
      <c r="F814" s="584"/>
      <c r="G814" s="584"/>
      <c r="H814" s="584"/>
      <c r="I814" s="584"/>
      <c r="J814" s="584"/>
      <c r="K814" s="584"/>
      <c r="L814" s="613"/>
      <c r="M814" s="613"/>
      <c r="N814" s="613"/>
      <c r="O814" s="584"/>
      <c r="P814" s="584"/>
      <c r="Q814" s="584"/>
      <c r="R814" s="584"/>
      <c r="S814" s="584"/>
      <c r="T814" s="584"/>
      <c r="U814" s="584"/>
      <c r="V814" s="584"/>
      <c r="W814" s="584"/>
      <c r="X814" s="584"/>
      <c r="Y814" s="584"/>
      <c r="Z814" s="584"/>
      <c r="AA814" s="584"/>
      <c r="AB814" s="584"/>
      <c r="AC814" s="584"/>
      <c r="AD814" s="584"/>
      <c r="AE814" s="584"/>
      <c r="AF814" s="584"/>
    </row>
    <row r="815" ht="14.25" customHeight="1">
      <c r="A815" s="584"/>
      <c r="B815" s="584"/>
      <c r="C815" s="612"/>
      <c r="D815" s="612"/>
      <c r="E815" s="584"/>
      <c r="F815" s="584"/>
      <c r="G815" s="584"/>
      <c r="H815" s="584"/>
      <c r="I815" s="584"/>
      <c r="J815" s="584"/>
      <c r="K815" s="584"/>
      <c r="L815" s="613"/>
      <c r="M815" s="613"/>
      <c r="N815" s="613"/>
      <c r="O815" s="584"/>
      <c r="P815" s="584"/>
      <c r="Q815" s="584"/>
      <c r="R815" s="584"/>
      <c r="S815" s="584"/>
      <c r="T815" s="584"/>
      <c r="U815" s="584"/>
      <c r="V815" s="584"/>
      <c r="W815" s="584"/>
      <c r="X815" s="584"/>
      <c r="Y815" s="584"/>
      <c r="Z815" s="584"/>
      <c r="AA815" s="584"/>
      <c r="AB815" s="584"/>
      <c r="AC815" s="584"/>
      <c r="AD815" s="584"/>
      <c r="AE815" s="584"/>
      <c r="AF815" s="584"/>
    </row>
    <row r="816" ht="14.25" customHeight="1">
      <c r="A816" s="584"/>
      <c r="B816" s="584"/>
      <c r="C816" s="612"/>
      <c r="D816" s="612"/>
      <c r="E816" s="584"/>
      <c r="F816" s="584"/>
      <c r="G816" s="584"/>
      <c r="H816" s="584"/>
      <c r="I816" s="584"/>
      <c r="J816" s="584"/>
      <c r="K816" s="584"/>
      <c r="L816" s="613"/>
      <c r="M816" s="613"/>
      <c r="N816" s="613"/>
      <c r="O816" s="584"/>
      <c r="P816" s="584"/>
      <c r="Q816" s="584"/>
      <c r="R816" s="584"/>
      <c r="S816" s="584"/>
      <c r="T816" s="584"/>
      <c r="U816" s="584"/>
      <c r="V816" s="584"/>
      <c r="W816" s="584"/>
      <c r="X816" s="584"/>
      <c r="Y816" s="584"/>
      <c r="Z816" s="584"/>
      <c r="AA816" s="584"/>
      <c r="AB816" s="584"/>
      <c r="AC816" s="584"/>
      <c r="AD816" s="584"/>
      <c r="AE816" s="584"/>
      <c r="AF816" s="584"/>
    </row>
    <row r="817" ht="14.25" customHeight="1">
      <c r="A817" s="584"/>
      <c r="B817" s="584"/>
      <c r="C817" s="612"/>
      <c r="D817" s="612"/>
      <c r="E817" s="584"/>
      <c r="F817" s="584"/>
      <c r="G817" s="584"/>
      <c r="H817" s="584"/>
      <c r="I817" s="584"/>
      <c r="J817" s="584"/>
      <c r="K817" s="584"/>
      <c r="L817" s="613"/>
      <c r="M817" s="613"/>
      <c r="N817" s="613"/>
      <c r="O817" s="584"/>
      <c r="P817" s="584"/>
      <c r="Q817" s="584"/>
      <c r="R817" s="584"/>
      <c r="S817" s="584"/>
      <c r="T817" s="584"/>
      <c r="U817" s="584"/>
      <c r="V817" s="584"/>
      <c r="W817" s="584"/>
      <c r="X817" s="584"/>
      <c r="Y817" s="584"/>
      <c r="Z817" s="584"/>
      <c r="AA817" s="584"/>
      <c r="AB817" s="584"/>
      <c r="AC817" s="584"/>
      <c r="AD817" s="584"/>
      <c r="AE817" s="584"/>
      <c r="AF817" s="584"/>
    </row>
    <row r="818" ht="14.25" customHeight="1">
      <c r="A818" s="584"/>
      <c r="B818" s="584"/>
      <c r="C818" s="612"/>
      <c r="D818" s="612"/>
      <c r="E818" s="584"/>
      <c r="F818" s="584"/>
      <c r="G818" s="584"/>
      <c r="H818" s="584"/>
      <c r="I818" s="584"/>
      <c r="J818" s="584"/>
      <c r="K818" s="584"/>
      <c r="L818" s="613"/>
      <c r="M818" s="613"/>
      <c r="N818" s="613"/>
      <c r="O818" s="584"/>
      <c r="P818" s="584"/>
      <c r="Q818" s="584"/>
      <c r="R818" s="584"/>
      <c r="S818" s="584"/>
      <c r="T818" s="584"/>
      <c r="U818" s="584"/>
      <c r="V818" s="584"/>
      <c r="W818" s="584"/>
      <c r="X818" s="584"/>
      <c r="Y818" s="584"/>
      <c r="Z818" s="584"/>
      <c r="AA818" s="584"/>
      <c r="AB818" s="584"/>
      <c r="AC818" s="584"/>
      <c r="AD818" s="584"/>
      <c r="AE818" s="584"/>
      <c r="AF818" s="584"/>
    </row>
    <row r="819" ht="14.25" customHeight="1">
      <c r="A819" s="584"/>
      <c r="B819" s="584"/>
      <c r="C819" s="612"/>
      <c r="D819" s="612"/>
      <c r="E819" s="584"/>
      <c r="F819" s="584"/>
      <c r="G819" s="584"/>
      <c r="H819" s="584"/>
      <c r="I819" s="584"/>
      <c r="J819" s="584"/>
      <c r="K819" s="584"/>
      <c r="L819" s="613"/>
      <c r="M819" s="613"/>
      <c r="N819" s="613"/>
      <c r="O819" s="584"/>
      <c r="P819" s="584"/>
      <c r="Q819" s="584"/>
      <c r="R819" s="584"/>
      <c r="S819" s="584"/>
      <c r="T819" s="584"/>
      <c r="U819" s="584"/>
      <c r="V819" s="584"/>
      <c r="W819" s="584"/>
      <c r="X819" s="584"/>
      <c r="Y819" s="584"/>
      <c r="Z819" s="584"/>
      <c r="AA819" s="584"/>
      <c r="AB819" s="584"/>
      <c r="AC819" s="584"/>
      <c r="AD819" s="584"/>
      <c r="AE819" s="584"/>
      <c r="AF819" s="584"/>
    </row>
    <row r="820" ht="14.25" customHeight="1">
      <c r="A820" s="584"/>
      <c r="B820" s="584"/>
      <c r="C820" s="612"/>
      <c r="D820" s="612"/>
      <c r="E820" s="584"/>
      <c r="F820" s="584"/>
      <c r="G820" s="584"/>
      <c r="H820" s="584"/>
      <c r="I820" s="584"/>
      <c r="J820" s="584"/>
      <c r="K820" s="584"/>
      <c r="L820" s="613"/>
      <c r="M820" s="613"/>
      <c r="N820" s="613"/>
      <c r="O820" s="584"/>
      <c r="P820" s="584"/>
      <c r="Q820" s="584"/>
      <c r="R820" s="584"/>
      <c r="S820" s="584"/>
      <c r="T820" s="584"/>
      <c r="U820" s="584"/>
      <c r="V820" s="584"/>
      <c r="W820" s="584"/>
      <c r="X820" s="584"/>
      <c r="Y820" s="584"/>
      <c r="Z820" s="584"/>
      <c r="AA820" s="584"/>
      <c r="AB820" s="584"/>
      <c r="AC820" s="584"/>
      <c r="AD820" s="584"/>
      <c r="AE820" s="584"/>
      <c r="AF820" s="584"/>
    </row>
    <row r="821" ht="14.25" customHeight="1">
      <c r="A821" s="584"/>
      <c r="B821" s="584"/>
      <c r="C821" s="612"/>
      <c r="D821" s="612"/>
      <c r="E821" s="584"/>
      <c r="F821" s="584"/>
      <c r="G821" s="584"/>
      <c r="H821" s="584"/>
      <c r="I821" s="584"/>
      <c r="J821" s="584"/>
      <c r="K821" s="584"/>
      <c r="L821" s="613"/>
      <c r="M821" s="613"/>
      <c r="N821" s="613"/>
      <c r="O821" s="584"/>
      <c r="P821" s="584"/>
      <c r="Q821" s="584"/>
      <c r="R821" s="584"/>
      <c r="S821" s="584"/>
      <c r="T821" s="584"/>
      <c r="U821" s="584"/>
      <c r="V821" s="584"/>
      <c r="W821" s="584"/>
      <c r="X821" s="584"/>
      <c r="Y821" s="584"/>
      <c r="Z821" s="584"/>
      <c r="AA821" s="584"/>
      <c r="AB821" s="584"/>
      <c r="AC821" s="584"/>
      <c r="AD821" s="584"/>
      <c r="AE821" s="584"/>
      <c r="AF821" s="584"/>
    </row>
    <row r="822" ht="14.25" customHeight="1">
      <c r="A822" s="584"/>
      <c r="B822" s="584"/>
      <c r="C822" s="612"/>
      <c r="D822" s="612"/>
      <c r="E822" s="584"/>
      <c r="F822" s="584"/>
      <c r="G822" s="584"/>
      <c r="H822" s="584"/>
      <c r="I822" s="584"/>
      <c r="J822" s="584"/>
      <c r="K822" s="584"/>
      <c r="L822" s="613"/>
      <c r="M822" s="613"/>
      <c r="N822" s="613"/>
      <c r="O822" s="584"/>
      <c r="P822" s="584"/>
      <c r="Q822" s="584"/>
      <c r="R822" s="584"/>
      <c r="S822" s="584"/>
      <c r="T822" s="584"/>
      <c r="U822" s="584"/>
      <c r="V822" s="584"/>
      <c r="W822" s="584"/>
      <c r="X822" s="584"/>
      <c r="Y822" s="584"/>
      <c r="Z822" s="584"/>
      <c r="AA822" s="584"/>
      <c r="AB822" s="584"/>
      <c r="AC822" s="584"/>
      <c r="AD822" s="584"/>
      <c r="AE822" s="584"/>
      <c r="AF822" s="584"/>
    </row>
    <row r="823" ht="14.25" customHeight="1">
      <c r="A823" s="584"/>
      <c r="B823" s="584"/>
      <c r="C823" s="612"/>
      <c r="D823" s="612"/>
      <c r="E823" s="584"/>
      <c r="F823" s="584"/>
      <c r="G823" s="584"/>
      <c r="H823" s="584"/>
      <c r="I823" s="584"/>
      <c r="J823" s="584"/>
      <c r="K823" s="584"/>
      <c r="L823" s="613"/>
      <c r="M823" s="613"/>
      <c r="N823" s="613"/>
      <c r="O823" s="584"/>
      <c r="P823" s="584"/>
      <c r="Q823" s="584"/>
      <c r="R823" s="584"/>
      <c r="S823" s="584"/>
      <c r="T823" s="584"/>
      <c r="U823" s="584"/>
      <c r="V823" s="584"/>
      <c r="W823" s="584"/>
      <c r="X823" s="584"/>
      <c r="Y823" s="584"/>
      <c r="Z823" s="584"/>
      <c r="AA823" s="584"/>
      <c r="AB823" s="584"/>
      <c r="AC823" s="584"/>
      <c r="AD823" s="584"/>
      <c r="AE823" s="584"/>
      <c r="AF823" s="584"/>
    </row>
    <row r="824" ht="14.25" customHeight="1">
      <c r="A824" s="584"/>
      <c r="B824" s="584"/>
      <c r="C824" s="612"/>
      <c r="D824" s="612"/>
      <c r="E824" s="584"/>
      <c r="F824" s="584"/>
      <c r="G824" s="584"/>
      <c r="H824" s="584"/>
      <c r="I824" s="584"/>
      <c r="J824" s="584"/>
      <c r="K824" s="584"/>
      <c r="L824" s="613"/>
      <c r="M824" s="613"/>
      <c r="N824" s="613"/>
      <c r="O824" s="584"/>
      <c r="P824" s="584"/>
      <c r="Q824" s="584"/>
      <c r="R824" s="584"/>
      <c r="S824" s="584"/>
      <c r="T824" s="584"/>
      <c r="U824" s="584"/>
      <c r="V824" s="584"/>
      <c r="W824" s="584"/>
      <c r="X824" s="584"/>
      <c r="Y824" s="584"/>
      <c r="Z824" s="584"/>
      <c r="AA824" s="584"/>
      <c r="AB824" s="584"/>
      <c r="AC824" s="584"/>
      <c r="AD824" s="584"/>
      <c r="AE824" s="584"/>
      <c r="AF824" s="584"/>
    </row>
    <row r="825" ht="14.25" customHeight="1">
      <c r="A825" s="584"/>
      <c r="B825" s="584"/>
      <c r="C825" s="612"/>
      <c r="D825" s="612"/>
      <c r="E825" s="584"/>
      <c r="F825" s="584"/>
      <c r="G825" s="584"/>
      <c r="H825" s="584"/>
      <c r="I825" s="584"/>
      <c r="J825" s="584"/>
      <c r="K825" s="584"/>
      <c r="L825" s="613"/>
      <c r="M825" s="613"/>
      <c r="N825" s="613"/>
      <c r="O825" s="584"/>
      <c r="P825" s="584"/>
      <c r="Q825" s="584"/>
      <c r="R825" s="584"/>
      <c r="S825" s="584"/>
      <c r="T825" s="584"/>
      <c r="U825" s="584"/>
      <c r="V825" s="584"/>
      <c r="W825" s="584"/>
      <c r="X825" s="584"/>
      <c r="Y825" s="584"/>
      <c r="Z825" s="584"/>
      <c r="AA825" s="584"/>
      <c r="AB825" s="584"/>
      <c r="AC825" s="584"/>
      <c r="AD825" s="584"/>
      <c r="AE825" s="584"/>
      <c r="AF825" s="584"/>
    </row>
    <row r="826" ht="14.25" customHeight="1">
      <c r="A826" s="584"/>
      <c r="B826" s="584"/>
      <c r="C826" s="612"/>
      <c r="D826" s="612"/>
      <c r="E826" s="584"/>
      <c r="F826" s="584"/>
      <c r="G826" s="584"/>
      <c r="H826" s="584"/>
      <c r="I826" s="584"/>
      <c r="J826" s="584"/>
      <c r="K826" s="584"/>
      <c r="L826" s="613"/>
      <c r="M826" s="613"/>
      <c r="N826" s="613"/>
      <c r="O826" s="584"/>
      <c r="P826" s="584"/>
      <c r="Q826" s="584"/>
      <c r="R826" s="584"/>
      <c r="S826" s="584"/>
      <c r="T826" s="584"/>
      <c r="U826" s="584"/>
      <c r="V826" s="584"/>
      <c r="W826" s="584"/>
      <c r="X826" s="584"/>
      <c r="Y826" s="584"/>
      <c r="Z826" s="584"/>
      <c r="AA826" s="584"/>
      <c r="AB826" s="584"/>
      <c r="AC826" s="584"/>
      <c r="AD826" s="584"/>
      <c r="AE826" s="584"/>
      <c r="AF826" s="584"/>
    </row>
    <row r="827" ht="14.25" customHeight="1">
      <c r="A827" s="584"/>
      <c r="B827" s="584"/>
      <c r="C827" s="612"/>
      <c r="D827" s="612"/>
      <c r="E827" s="584"/>
      <c r="F827" s="584"/>
      <c r="G827" s="584"/>
      <c r="H827" s="584"/>
      <c r="I827" s="584"/>
      <c r="J827" s="584"/>
      <c r="K827" s="584"/>
      <c r="L827" s="613"/>
      <c r="M827" s="613"/>
      <c r="N827" s="613"/>
      <c r="O827" s="584"/>
      <c r="P827" s="584"/>
      <c r="Q827" s="584"/>
      <c r="R827" s="584"/>
      <c r="S827" s="584"/>
      <c r="T827" s="584"/>
      <c r="U827" s="584"/>
      <c r="V827" s="584"/>
      <c r="W827" s="584"/>
      <c r="X827" s="584"/>
      <c r="Y827" s="584"/>
      <c r="Z827" s="584"/>
      <c r="AA827" s="584"/>
      <c r="AB827" s="584"/>
      <c r="AC827" s="584"/>
      <c r="AD827" s="584"/>
      <c r="AE827" s="584"/>
      <c r="AF827" s="584"/>
    </row>
    <row r="828" ht="14.25" customHeight="1">
      <c r="A828" s="584"/>
      <c r="B828" s="584"/>
      <c r="C828" s="612"/>
      <c r="D828" s="612"/>
      <c r="E828" s="584"/>
      <c r="F828" s="584"/>
      <c r="G828" s="584"/>
      <c r="H828" s="584"/>
      <c r="I828" s="584"/>
      <c r="J828" s="584"/>
      <c r="K828" s="584"/>
      <c r="L828" s="613"/>
      <c r="M828" s="613"/>
      <c r="N828" s="614"/>
      <c r="O828" s="584"/>
      <c r="P828" s="584"/>
      <c r="Q828" s="584"/>
      <c r="R828" s="584"/>
      <c r="S828" s="584"/>
      <c r="T828" s="584"/>
      <c r="U828" s="584"/>
      <c r="V828" s="584"/>
      <c r="W828" s="584"/>
      <c r="X828" s="584"/>
      <c r="Y828" s="584"/>
      <c r="Z828" s="584"/>
      <c r="AA828" s="584"/>
      <c r="AB828" s="584"/>
      <c r="AC828" s="584"/>
      <c r="AD828" s="584"/>
      <c r="AE828" s="584"/>
      <c r="AF828" s="584"/>
    </row>
    <row r="829" ht="14.25" customHeight="1">
      <c r="A829" s="584"/>
      <c r="B829" s="584"/>
      <c r="C829" s="612"/>
      <c r="D829" s="612"/>
      <c r="E829" s="584"/>
      <c r="F829" s="584"/>
      <c r="G829" s="584"/>
      <c r="H829" s="584"/>
      <c r="I829" s="584"/>
      <c r="J829" s="584"/>
      <c r="K829" s="584"/>
      <c r="L829" s="613"/>
      <c r="M829" s="613"/>
      <c r="N829" s="613"/>
      <c r="O829" s="584"/>
      <c r="P829" s="584"/>
      <c r="Q829" s="584"/>
      <c r="R829" s="584"/>
      <c r="S829" s="584"/>
      <c r="T829" s="584"/>
      <c r="U829" s="584"/>
      <c r="V829" s="584"/>
      <c r="W829" s="584"/>
      <c r="X829" s="584"/>
      <c r="Y829" s="584"/>
      <c r="Z829" s="584"/>
      <c r="AA829" s="584"/>
      <c r="AB829" s="584"/>
      <c r="AC829" s="584"/>
      <c r="AD829" s="584"/>
      <c r="AE829" s="584"/>
      <c r="AF829" s="584"/>
    </row>
    <row r="830" ht="14.25" customHeight="1">
      <c r="A830" s="584"/>
      <c r="B830" s="584"/>
      <c r="C830" s="612"/>
      <c r="D830" s="612"/>
      <c r="E830" s="584"/>
      <c r="F830" s="584"/>
      <c r="G830" s="584"/>
      <c r="H830" s="584"/>
      <c r="I830" s="584"/>
      <c r="J830" s="584"/>
      <c r="K830" s="584"/>
      <c r="L830" s="613"/>
      <c r="M830" s="613"/>
      <c r="N830" s="613"/>
      <c r="O830" s="584"/>
      <c r="P830" s="584"/>
      <c r="Q830" s="584"/>
      <c r="R830" s="584"/>
      <c r="S830" s="584"/>
      <c r="T830" s="584"/>
      <c r="U830" s="584"/>
      <c r="V830" s="584"/>
      <c r="W830" s="584"/>
      <c r="X830" s="584"/>
      <c r="Y830" s="584"/>
      <c r="Z830" s="584"/>
      <c r="AA830" s="584"/>
      <c r="AB830" s="584"/>
      <c r="AC830" s="584"/>
      <c r="AD830" s="584"/>
      <c r="AE830" s="584"/>
      <c r="AF830" s="584"/>
    </row>
    <row r="831" ht="14.25" customHeight="1">
      <c r="A831" s="584"/>
      <c r="B831" s="584"/>
      <c r="C831" s="612"/>
      <c r="D831" s="612"/>
      <c r="E831" s="584"/>
      <c r="F831" s="584"/>
      <c r="G831" s="584"/>
      <c r="H831" s="584"/>
      <c r="I831" s="584"/>
      <c r="J831" s="584"/>
      <c r="K831" s="584"/>
      <c r="L831" s="613"/>
      <c r="M831" s="613"/>
      <c r="N831" s="613"/>
      <c r="O831" s="584"/>
      <c r="P831" s="584"/>
      <c r="Q831" s="584"/>
      <c r="R831" s="584"/>
      <c r="S831" s="584"/>
      <c r="T831" s="584"/>
      <c r="U831" s="584"/>
      <c r="V831" s="584"/>
      <c r="W831" s="584"/>
      <c r="X831" s="584"/>
      <c r="Y831" s="584"/>
      <c r="Z831" s="584"/>
      <c r="AA831" s="584"/>
      <c r="AB831" s="584"/>
      <c r="AC831" s="584"/>
      <c r="AD831" s="584"/>
      <c r="AE831" s="584"/>
      <c r="AF831" s="584"/>
    </row>
    <row r="832" ht="14.25" customHeight="1">
      <c r="A832" s="584"/>
      <c r="B832" s="584"/>
      <c r="C832" s="612"/>
      <c r="D832" s="612"/>
      <c r="E832" s="584"/>
      <c r="F832" s="584"/>
      <c r="G832" s="584"/>
      <c r="H832" s="584"/>
      <c r="I832" s="584"/>
      <c r="J832" s="584"/>
      <c r="K832" s="584"/>
      <c r="L832" s="613"/>
      <c r="M832" s="613"/>
      <c r="N832" s="613"/>
      <c r="O832" s="584"/>
      <c r="P832" s="584"/>
      <c r="Q832" s="584"/>
      <c r="R832" s="584"/>
      <c r="S832" s="584"/>
      <c r="T832" s="584"/>
      <c r="U832" s="584"/>
      <c r="V832" s="584"/>
      <c r="W832" s="584"/>
      <c r="X832" s="584"/>
      <c r="Y832" s="584"/>
      <c r="Z832" s="584"/>
      <c r="AA832" s="584"/>
      <c r="AB832" s="584"/>
      <c r="AC832" s="584"/>
      <c r="AD832" s="584"/>
      <c r="AE832" s="584"/>
      <c r="AF832" s="584"/>
    </row>
    <row r="833" ht="14.25" customHeight="1">
      <c r="A833" s="584"/>
      <c r="B833" s="584"/>
      <c r="C833" s="612"/>
      <c r="D833" s="612"/>
      <c r="E833" s="584"/>
      <c r="F833" s="584"/>
      <c r="G833" s="584"/>
      <c r="H833" s="584"/>
      <c r="I833" s="584"/>
      <c r="J833" s="584"/>
      <c r="K833" s="584"/>
      <c r="L833" s="613"/>
      <c r="M833" s="613"/>
      <c r="N833" s="613"/>
      <c r="O833" s="584"/>
      <c r="P833" s="584"/>
      <c r="Q833" s="584"/>
      <c r="R833" s="584"/>
      <c r="S833" s="584"/>
      <c r="T833" s="584"/>
      <c r="U833" s="584"/>
      <c r="V833" s="584"/>
      <c r="W833" s="584"/>
      <c r="X833" s="584"/>
      <c r="Y833" s="584"/>
      <c r="Z833" s="584"/>
      <c r="AA833" s="584"/>
      <c r="AB833" s="584"/>
      <c r="AC833" s="584"/>
      <c r="AD833" s="584"/>
      <c r="AE833" s="584"/>
      <c r="AF833" s="584"/>
    </row>
    <row r="834" ht="14.25" customHeight="1">
      <c r="A834" s="584"/>
      <c r="B834" s="584"/>
      <c r="C834" s="612"/>
      <c r="D834" s="612"/>
      <c r="E834" s="584"/>
      <c r="F834" s="584"/>
      <c r="G834" s="584"/>
      <c r="H834" s="584"/>
      <c r="I834" s="584"/>
      <c r="J834" s="584"/>
      <c r="K834" s="584"/>
      <c r="L834" s="613"/>
      <c r="M834" s="613"/>
      <c r="N834" s="613"/>
      <c r="O834" s="584"/>
      <c r="P834" s="584"/>
      <c r="Q834" s="584"/>
      <c r="R834" s="584"/>
      <c r="S834" s="584"/>
      <c r="T834" s="584"/>
      <c r="U834" s="584"/>
      <c r="V834" s="584"/>
      <c r="W834" s="584"/>
      <c r="X834" s="584"/>
      <c r="Y834" s="584"/>
      <c r="Z834" s="584"/>
      <c r="AA834" s="584"/>
      <c r="AB834" s="584"/>
      <c r="AC834" s="584"/>
      <c r="AD834" s="584"/>
      <c r="AE834" s="584"/>
      <c r="AF834" s="584"/>
    </row>
    <row r="835" ht="14.25" customHeight="1">
      <c r="A835" s="584"/>
      <c r="B835" s="584"/>
      <c r="C835" s="612"/>
      <c r="D835" s="612"/>
      <c r="E835" s="584"/>
      <c r="F835" s="584"/>
      <c r="G835" s="584"/>
      <c r="H835" s="584"/>
      <c r="I835" s="584"/>
      <c r="J835" s="584"/>
      <c r="K835" s="584"/>
      <c r="L835" s="613"/>
      <c r="M835" s="613"/>
      <c r="N835" s="613"/>
      <c r="O835" s="584"/>
      <c r="P835" s="584"/>
      <c r="Q835" s="584"/>
      <c r="R835" s="584"/>
      <c r="S835" s="584"/>
      <c r="T835" s="584"/>
      <c r="U835" s="584"/>
      <c r="V835" s="584"/>
      <c r="W835" s="584"/>
      <c r="X835" s="584"/>
      <c r="Y835" s="584"/>
      <c r="Z835" s="584"/>
      <c r="AA835" s="584"/>
      <c r="AB835" s="584"/>
      <c r="AC835" s="584"/>
      <c r="AD835" s="584"/>
      <c r="AE835" s="584"/>
      <c r="AF835" s="584"/>
    </row>
    <row r="836" ht="14.25" customHeight="1">
      <c r="A836" s="584"/>
      <c r="B836" s="584"/>
      <c r="C836" s="612"/>
      <c r="D836" s="612"/>
      <c r="E836" s="584"/>
      <c r="F836" s="584"/>
      <c r="G836" s="584"/>
      <c r="H836" s="584"/>
      <c r="I836" s="584"/>
      <c r="J836" s="584"/>
      <c r="K836" s="584"/>
      <c r="L836" s="613"/>
      <c r="M836" s="613"/>
      <c r="N836" s="613"/>
      <c r="O836" s="584"/>
      <c r="P836" s="584"/>
      <c r="Q836" s="584"/>
      <c r="R836" s="584"/>
      <c r="S836" s="584"/>
      <c r="T836" s="584"/>
      <c r="U836" s="584"/>
      <c r="V836" s="584"/>
      <c r="W836" s="584"/>
      <c r="X836" s="584"/>
      <c r="Y836" s="584"/>
      <c r="Z836" s="584"/>
      <c r="AA836" s="584"/>
      <c r="AB836" s="584"/>
      <c r="AC836" s="584"/>
      <c r="AD836" s="584"/>
      <c r="AE836" s="584"/>
      <c r="AF836" s="584"/>
    </row>
    <row r="837" ht="14.25" customHeight="1">
      <c r="A837" s="584"/>
      <c r="B837" s="584"/>
      <c r="C837" s="612"/>
      <c r="D837" s="612"/>
      <c r="E837" s="584"/>
      <c r="F837" s="584"/>
      <c r="G837" s="584"/>
      <c r="H837" s="584"/>
      <c r="I837" s="584"/>
      <c r="J837" s="584"/>
      <c r="K837" s="584"/>
      <c r="L837" s="613"/>
      <c r="M837" s="613"/>
      <c r="N837" s="613"/>
      <c r="O837" s="584"/>
      <c r="P837" s="584"/>
      <c r="Q837" s="584"/>
      <c r="R837" s="584"/>
      <c r="S837" s="584"/>
      <c r="T837" s="584"/>
      <c r="U837" s="584"/>
      <c r="V837" s="584"/>
      <c r="W837" s="584"/>
      <c r="X837" s="584"/>
      <c r="Y837" s="584"/>
      <c r="Z837" s="584"/>
      <c r="AA837" s="584"/>
      <c r="AB837" s="584"/>
      <c r="AC837" s="584"/>
      <c r="AD837" s="584"/>
      <c r="AE837" s="584"/>
      <c r="AF837" s="584"/>
    </row>
    <row r="838" ht="14.25" customHeight="1">
      <c r="A838" s="584"/>
      <c r="B838" s="584"/>
      <c r="C838" s="612"/>
      <c r="D838" s="612"/>
      <c r="E838" s="584"/>
      <c r="F838" s="584"/>
      <c r="G838" s="584"/>
      <c r="H838" s="584"/>
      <c r="I838" s="584"/>
      <c r="J838" s="584"/>
      <c r="K838" s="584"/>
      <c r="L838" s="613"/>
      <c r="M838" s="613"/>
      <c r="N838" s="613"/>
      <c r="O838" s="584"/>
      <c r="P838" s="584"/>
      <c r="Q838" s="584"/>
      <c r="R838" s="584"/>
      <c r="S838" s="584"/>
      <c r="T838" s="584"/>
      <c r="U838" s="584"/>
      <c r="V838" s="584"/>
      <c r="W838" s="584"/>
      <c r="X838" s="584"/>
      <c r="Y838" s="584"/>
      <c r="Z838" s="584"/>
      <c r="AA838" s="584"/>
      <c r="AB838" s="584"/>
      <c r="AC838" s="584"/>
      <c r="AD838" s="584"/>
      <c r="AE838" s="584"/>
      <c r="AF838" s="584"/>
    </row>
    <row r="839" ht="14.25" customHeight="1">
      <c r="A839" s="584"/>
      <c r="B839" s="584"/>
      <c r="C839" s="612"/>
      <c r="D839" s="612"/>
      <c r="E839" s="584"/>
      <c r="F839" s="584"/>
      <c r="G839" s="584"/>
      <c r="H839" s="584"/>
      <c r="I839" s="584"/>
      <c r="J839" s="584"/>
      <c r="K839" s="584"/>
      <c r="L839" s="613"/>
      <c r="M839" s="613"/>
      <c r="N839" s="613"/>
      <c r="O839" s="584"/>
      <c r="P839" s="584"/>
      <c r="Q839" s="584"/>
      <c r="R839" s="584"/>
      <c r="S839" s="584"/>
      <c r="T839" s="584"/>
      <c r="U839" s="584"/>
      <c r="V839" s="584"/>
      <c r="W839" s="584"/>
      <c r="X839" s="584"/>
      <c r="Y839" s="584"/>
      <c r="Z839" s="584"/>
      <c r="AA839" s="584"/>
      <c r="AB839" s="584"/>
      <c r="AC839" s="584"/>
      <c r="AD839" s="584"/>
      <c r="AE839" s="584"/>
      <c r="AF839" s="584"/>
    </row>
    <row r="840" ht="14.25" customHeight="1">
      <c r="A840" s="584"/>
      <c r="B840" s="584"/>
      <c r="C840" s="612"/>
      <c r="D840" s="612"/>
      <c r="E840" s="584"/>
      <c r="F840" s="584"/>
      <c r="G840" s="584"/>
      <c r="H840" s="584"/>
      <c r="I840" s="584"/>
      <c r="J840" s="584"/>
      <c r="K840" s="584"/>
      <c r="L840" s="613"/>
      <c r="M840" s="613"/>
      <c r="N840" s="613"/>
      <c r="O840" s="584"/>
      <c r="P840" s="584"/>
      <c r="Q840" s="584"/>
      <c r="R840" s="584"/>
      <c r="S840" s="584"/>
      <c r="T840" s="584"/>
      <c r="U840" s="584"/>
      <c r="V840" s="584"/>
      <c r="W840" s="584"/>
      <c r="X840" s="584"/>
      <c r="Y840" s="584"/>
      <c r="Z840" s="584"/>
      <c r="AA840" s="584"/>
      <c r="AB840" s="584"/>
      <c r="AC840" s="584"/>
      <c r="AD840" s="584"/>
      <c r="AE840" s="584"/>
      <c r="AF840" s="584"/>
    </row>
    <row r="841" ht="14.25" customHeight="1">
      <c r="A841" s="584"/>
      <c r="B841" s="584"/>
      <c r="C841" s="612"/>
      <c r="D841" s="612"/>
      <c r="E841" s="584"/>
      <c r="F841" s="584"/>
      <c r="G841" s="584"/>
      <c r="H841" s="584"/>
      <c r="I841" s="584"/>
      <c r="J841" s="584"/>
      <c r="K841" s="584"/>
      <c r="L841" s="613"/>
      <c r="M841" s="613"/>
      <c r="N841" s="614"/>
      <c r="O841" s="584"/>
      <c r="P841" s="584"/>
      <c r="Q841" s="584"/>
      <c r="R841" s="584"/>
      <c r="S841" s="584"/>
      <c r="T841" s="584"/>
      <c r="U841" s="584"/>
      <c r="V841" s="584"/>
      <c r="W841" s="584"/>
      <c r="X841" s="584"/>
      <c r="Y841" s="584"/>
      <c r="Z841" s="584"/>
      <c r="AA841" s="584"/>
      <c r="AB841" s="584"/>
      <c r="AC841" s="584"/>
      <c r="AD841" s="584"/>
      <c r="AE841" s="584"/>
      <c r="AF841" s="584"/>
    </row>
    <row r="842" ht="14.25" customHeight="1">
      <c r="A842" s="584"/>
      <c r="B842" s="584"/>
      <c r="C842" s="612"/>
      <c r="D842" s="612"/>
      <c r="E842" s="584"/>
      <c r="F842" s="584"/>
      <c r="G842" s="584"/>
      <c r="H842" s="584"/>
      <c r="I842" s="584"/>
      <c r="J842" s="584"/>
      <c r="K842" s="584"/>
      <c r="L842" s="613"/>
      <c r="M842" s="613"/>
      <c r="N842" s="613"/>
      <c r="O842" s="584"/>
      <c r="P842" s="584"/>
      <c r="Q842" s="584"/>
      <c r="R842" s="584"/>
      <c r="S842" s="584"/>
      <c r="T842" s="584"/>
      <c r="U842" s="584"/>
      <c r="V842" s="584"/>
      <c r="W842" s="584"/>
      <c r="X842" s="584"/>
      <c r="Y842" s="584"/>
      <c r="Z842" s="584"/>
      <c r="AA842" s="584"/>
      <c r="AB842" s="584"/>
      <c r="AC842" s="584"/>
      <c r="AD842" s="584"/>
      <c r="AE842" s="584"/>
      <c r="AF842" s="584"/>
    </row>
    <row r="843" ht="14.25" customHeight="1">
      <c r="A843" s="584"/>
      <c r="B843" s="584"/>
      <c r="C843" s="612"/>
      <c r="D843" s="612"/>
      <c r="E843" s="584"/>
      <c r="F843" s="584"/>
      <c r="G843" s="584"/>
      <c r="H843" s="584"/>
      <c r="I843" s="584"/>
      <c r="J843" s="584"/>
      <c r="K843" s="584"/>
      <c r="L843" s="613"/>
      <c r="M843" s="613"/>
      <c r="N843" s="613"/>
      <c r="O843" s="584"/>
      <c r="P843" s="584"/>
      <c r="Q843" s="584"/>
      <c r="R843" s="584"/>
      <c r="S843" s="584"/>
      <c r="T843" s="584"/>
      <c r="U843" s="584"/>
      <c r="V843" s="584"/>
      <c r="W843" s="584"/>
      <c r="X843" s="584"/>
      <c r="Y843" s="584"/>
      <c r="Z843" s="584"/>
      <c r="AA843" s="584"/>
      <c r="AB843" s="584"/>
      <c r="AC843" s="584"/>
      <c r="AD843" s="584"/>
      <c r="AE843" s="584"/>
      <c r="AF843" s="584"/>
    </row>
    <row r="844" ht="14.25" customHeight="1">
      <c r="A844" s="584"/>
      <c r="B844" s="584"/>
      <c r="C844" s="612"/>
      <c r="D844" s="612"/>
      <c r="E844" s="584"/>
      <c r="F844" s="584"/>
      <c r="G844" s="584"/>
      <c r="H844" s="584"/>
      <c r="I844" s="584"/>
      <c r="J844" s="584"/>
      <c r="K844" s="584"/>
      <c r="L844" s="613"/>
      <c r="M844" s="613"/>
      <c r="N844" s="613"/>
      <c r="O844" s="584"/>
      <c r="P844" s="584"/>
      <c r="Q844" s="584"/>
      <c r="R844" s="584"/>
      <c r="S844" s="584"/>
      <c r="T844" s="584"/>
      <c r="U844" s="584"/>
      <c r="V844" s="584"/>
      <c r="W844" s="584"/>
      <c r="X844" s="584"/>
      <c r="Y844" s="584"/>
      <c r="Z844" s="584"/>
      <c r="AA844" s="584"/>
      <c r="AB844" s="584"/>
      <c r="AC844" s="584"/>
      <c r="AD844" s="584"/>
      <c r="AE844" s="584"/>
      <c r="AF844" s="584"/>
    </row>
    <row r="845" ht="14.25" customHeight="1">
      <c r="A845" s="584"/>
      <c r="B845" s="584"/>
      <c r="C845" s="612"/>
      <c r="D845" s="612"/>
      <c r="E845" s="584"/>
      <c r="F845" s="584"/>
      <c r="G845" s="584"/>
      <c r="H845" s="584"/>
      <c r="I845" s="584"/>
      <c r="J845" s="584"/>
      <c r="K845" s="584"/>
      <c r="L845" s="613"/>
      <c r="M845" s="613"/>
      <c r="N845" s="613"/>
      <c r="O845" s="584"/>
      <c r="P845" s="584"/>
      <c r="Q845" s="584"/>
      <c r="R845" s="584"/>
      <c r="S845" s="584"/>
      <c r="T845" s="584"/>
      <c r="U845" s="584"/>
      <c r="V845" s="584"/>
      <c r="W845" s="584"/>
      <c r="X845" s="584"/>
      <c r="Y845" s="584"/>
      <c r="Z845" s="584"/>
      <c r="AA845" s="584"/>
      <c r="AB845" s="584"/>
      <c r="AC845" s="584"/>
      <c r="AD845" s="584"/>
      <c r="AE845" s="584"/>
      <c r="AF845" s="584"/>
    </row>
    <row r="846" ht="14.25" customHeight="1">
      <c r="A846" s="584"/>
      <c r="B846" s="584"/>
      <c r="C846" s="612"/>
      <c r="D846" s="612"/>
      <c r="E846" s="584"/>
      <c r="F846" s="584"/>
      <c r="G846" s="584"/>
      <c r="H846" s="584"/>
      <c r="I846" s="584"/>
      <c r="J846" s="584"/>
      <c r="K846" s="584"/>
      <c r="L846" s="613"/>
      <c r="M846" s="613"/>
      <c r="N846" s="613"/>
      <c r="O846" s="584"/>
      <c r="P846" s="584"/>
      <c r="Q846" s="584"/>
      <c r="R846" s="584"/>
      <c r="S846" s="584"/>
      <c r="T846" s="584"/>
      <c r="U846" s="584"/>
      <c r="V846" s="584"/>
      <c r="W846" s="584"/>
      <c r="X846" s="584"/>
      <c r="Y846" s="584"/>
      <c r="Z846" s="584"/>
      <c r="AA846" s="584"/>
      <c r="AB846" s="584"/>
      <c r="AC846" s="584"/>
      <c r="AD846" s="584"/>
      <c r="AE846" s="584"/>
      <c r="AF846" s="584"/>
    </row>
    <row r="847" ht="14.25" customHeight="1">
      <c r="A847" s="584"/>
      <c r="B847" s="584"/>
      <c r="C847" s="612"/>
      <c r="D847" s="612"/>
      <c r="E847" s="584"/>
      <c r="F847" s="584"/>
      <c r="G847" s="584"/>
      <c r="H847" s="584"/>
      <c r="I847" s="584"/>
      <c r="J847" s="584"/>
      <c r="K847" s="584"/>
      <c r="L847" s="613"/>
      <c r="M847" s="613"/>
      <c r="N847" s="613"/>
      <c r="O847" s="584"/>
      <c r="P847" s="584"/>
      <c r="Q847" s="584"/>
      <c r="R847" s="584"/>
      <c r="S847" s="584"/>
      <c r="T847" s="584"/>
      <c r="U847" s="584"/>
      <c r="V847" s="584"/>
      <c r="W847" s="584"/>
      <c r="X847" s="584"/>
      <c r="Y847" s="584"/>
      <c r="Z847" s="584"/>
      <c r="AA847" s="584"/>
      <c r="AB847" s="584"/>
      <c r="AC847" s="584"/>
      <c r="AD847" s="584"/>
      <c r="AE847" s="584"/>
      <c r="AF847" s="584"/>
    </row>
    <row r="848" ht="14.25" customHeight="1">
      <c r="A848" s="584"/>
      <c r="B848" s="584"/>
      <c r="C848" s="612"/>
      <c r="D848" s="612"/>
      <c r="E848" s="584"/>
      <c r="F848" s="584"/>
      <c r="G848" s="584"/>
      <c r="H848" s="584"/>
      <c r="I848" s="584"/>
      <c r="J848" s="584"/>
      <c r="K848" s="584"/>
      <c r="L848" s="613"/>
      <c r="M848" s="613"/>
      <c r="N848" s="613"/>
      <c r="O848" s="584"/>
      <c r="P848" s="584"/>
      <c r="Q848" s="584"/>
      <c r="R848" s="584"/>
      <c r="S848" s="584"/>
      <c r="T848" s="584"/>
      <c r="U848" s="584"/>
      <c r="V848" s="584"/>
      <c r="W848" s="584"/>
      <c r="X848" s="584"/>
      <c r="Y848" s="584"/>
      <c r="Z848" s="584"/>
      <c r="AA848" s="584"/>
      <c r="AB848" s="584"/>
      <c r="AC848" s="584"/>
      <c r="AD848" s="584"/>
      <c r="AE848" s="584"/>
      <c r="AF848" s="584"/>
    </row>
    <row r="849" ht="14.25" customHeight="1">
      <c r="A849" s="584"/>
      <c r="B849" s="584"/>
      <c r="C849" s="612"/>
      <c r="D849" s="612"/>
      <c r="E849" s="584"/>
      <c r="F849" s="584"/>
      <c r="G849" s="584"/>
      <c r="H849" s="584"/>
      <c r="I849" s="584"/>
      <c r="J849" s="584"/>
      <c r="K849" s="584"/>
      <c r="L849" s="613"/>
      <c r="M849" s="613"/>
      <c r="N849" s="613"/>
      <c r="O849" s="584"/>
      <c r="P849" s="584"/>
      <c r="Q849" s="584"/>
      <c r="R849" s="584"/>
      <c r="S849" s="584"/>
      <c r="T849" s="584"/>
      <c r="U849" s="584"/>
      <c r="V849" s="584"/>
      <c r="W849" s="584"/>
      <c r="X849" s="584"/>
      <c r="Y849" s="584"/>
      <c r="Z849" s="584"/>
      <c r="AA849" s="584"/>
      <c r="AB849" s="584"/>
      <c r="AC849" s="584"/>
      <c r="AD849" s="584"/>
      <c r="AE849" s="584"/>
      <c r="AF849" s="584"/>
    </row>
    <row r="850" ht="14.25" customHeight="1">
      <c r="A850" s="584"/>
      <c r="B850" s="584"/>
      <c r="C850" s="612"/>
      <c r="D850" s="612"/>
      <c r="E850" s="584"/>
      <c r="F850" s="584"/>
      <c r="G850" s="584"/>
      <c r="H850" s="584"/>
      <c r="I850" s="584"/>
      <c r="J850" s="584"/>
      <c r="K850" s="584"/>
      <c r="L850" s="613"/>
      <c r="M850" s="613"/>
      <c r="N850" s="613"/>
      <c r="O850" s="584"/>
      <c r="P850" s="584"/>
      <c r="Q850" s="584"/>
      <c r="R850" s="584"/>
      <c r="S850" s="584"/>
      <c r="T850" s="584"/>
      <c r="U850" s="584"/>
      <c r="V850" s="584"/>
      <c r="W850" s="584"/>
      <c r="X850" s="584"/>
      <c r="Y850" s="584"/>
      <c r="Z850" s="584"/>
      <c r="AA850" s="584"/>
      <c r="AB850" s="584"/>
      <c r="AC850" s="584"/>
      <c r="AD850" s="584"/>
      <c r="AE850" s="584"/>
      <c r="AF850" s="584"/>
    </row>
    <row r="851" ht="14.25" customHeight="1">
      <c r="A851" s="584"/>
      <c r="B851" s="584"/>
      <c r="C851" s="612"/>
      <c r="D851" s="612"/>
      <c r="E851" s="616"/>
      <c r="F851" s="584"/>
      <c r="G851" s="584"/>
      <c r="H851" s="584"/>
      <c r="I851" s="584"/>
      <c r="J851" s="584"/>
      <c r="K851" s="584"/>
      <c r="L851" s="613"/>
      <c r="M851" s="613"/>
      <c r="N851" s="613"/>
      <c r="O851" s="584"/>
      <c r="P851" s="584"/>
      <c r="Q851" s="584"/>
      <c r="R851" s="584"/>
      <c r="S851" s="584"/>
      <c r="T851" s="584"/>
      <c r="U851" s="584"/>
      <c r="V851" s="584"/>
      <c r="W851" s="584"/>
      <c r="X851" s="584"/>
      <c r="Y851" s="584"/>
      <c r="Z851" s="584"/>
      <c r="AA851" s="584"/>
      <c r="AB851" s="584"/>
      <c r="AC851" s="584"/>
      <c r="AD851" s="584"/>
      <c r="AE851" s="584"/>
      <c r="AF851" s="584"/>
    </row>
    <row r="852" ht="14.25" customHeight="1">
      <c r="A852" s="584"/>
      <c r="B852" s="584"/>
      <c r="C852" s="612"/>
      <c r="D852" s="612"/>
      <c r="E852" s="616"/>
      <c r="F852" s="584"/>
      <c r="G852" s="584"/>
      <c r="H852" s="584"/>
      <c r="I852" s="584"/>
      <c r="J852" s="584"/>
      <c r="K852" s="584"/>
      <c r="L852" s="613"/>
      <c r="M852" s="613"/>
      <c r="N852" s="613"/>
      <c r="O852" s="584"/>
      <c r="P852" s="584"/>
      <c r="Q852" s="584"/>
      <c r="R852" s="584"/>
      <c r="S852" s="584"/>
      <c r="T852" s="584"/>
      <c r="U852" s="584"/>
      <c r="V852" s="584"/>
      <c r="W852" s="584"/>
      <c r="X852" s="584"/>
      <c r="Y852" s="584"/>
      <c r="Z852" s="584"/>
      <c r="AA852" s="584"/>
      <c r="AB852" s="584"/>
      <c r="AC852" s="584"/>
      <c r="AD852" s="584"/>
      <c r="AE852" s="584"/>
      <c r="AF852" s="584"/>
    </row>
    <row r="853" ht="14.25" customHeight="1">
      <c r="A853" s="584"/>
      <c r="B853" s="584"/>
      <c r="C853" s="612"/>
      <c r="D853" s="612"/>
      <c r="E853" s="584"/>
      <c r="F853" s="584"/>
      <c r="G853" s="584"/>
      <c r="H853" s="584"/>
      <c r="I853" s="584"/>
      <c r="J853" s="584"/>
      <c r="K853" s="584"/>
      <c r="L853" s="613"/>
      <c r="M853" s="613"/>
      <c r="N853" s="613"/>
      <c r="O853" s="584"/>
      <c r="P853" s="613"/>
      <c r="Q853" s="584"/>
      <c r="R853" s="584"/>
      <c r="S853" s="584"/>
      <c r="T853" s="584"/>
      <c r="U853" s="584"/>
      <c r="V853" s="584"/>
      <c r="W853" s="584"/>
      <c r="X853" s="584"/>
      <c r="Y853" s="584"/>
      <c r="Z853" s="584"/>
      <c r="AA853" s="584"/>
      <c r="AB853" s="584"/>
      <c r="AC853" s="584"/>
      <c r="AD853" s="584"/>
      <c r="AE853" s="584"/>
      <c r="AF853" s="584"/>
    </row>
    <row r="854" ht="14.25" customHeight="1">
      <c r="A854" s="584"/>
      <c r="B854" s="584"/>
      <c r="C854" s="612"/>
      <c r="D854" s="612"/>
      <c r="E854" s="584"/>
      <c r="F854" s="584"/>
      <c r="G854" s="584"/>
      <c r="H854" s="584"/>
      <c r="I854" s="584"/>
      <c r="J854" s="584"/>
      <c r="K854" s="584"/>
      <c r="L854" s="613"/>
      <c r="M854" s="613"/>
      <c r="N854" s="613"/>
      <c r="O854" s="584"/>
      <c r="P854" s="584"/>
      <c r="Q854" s="584"/>
      <c r="R854" s="584"/>
      <c r="S854" s="584"/>
      <c r="T854" s="584"/>
      <c r="U854" s="584"/>
      <c r="V854" s="584"/>
      <c r="W854" s="584"/>
      <c r="X854" s="584"/>
      <c r="Y854" s="584"/>
      <c r="Z854" s="584"/>
      <c r="AA854" s="584"/>
      <c r="AB854" s="584"/>
      <c r="AC854" s="584"/>
      <c r="AD854" s="584"/>
      <c r="AE854" s="584"/>
      <c r="AF854" s="584"/>
    </row>
    <row r="855" ht="14.25" customHeight="1">
      <c r="A855" s="584"/>
      <c r="B855" s="584"/>
      <c r="C855" s="612"/>
      <c r="D855" s="612"/>
      <c r="E855" s="584"/>
      <c r="F855" s="584"/>
      <c r="G855" s="584"/>
      <c r="H855" s="584"/>
      <c r="I855" s="584"/>
      <c r="J855" s="584"/>
      <c r="K855" s="584"/>
      <c r="L855" s="613"/>
      <c r="M855" s="613"/>
      <c r="N855" s="613"/>
      <c r="O855" s="584"/>
      <c r="P855" s="584"/>
      <c r="Q855" s="584"/>
      <c r="R855" s="584"/>
      <c r="S855" s="584"/>
      <c r="T855" s="584"/>
      <c r="U855" s="584"/>
      <c r="V855" s="584"/>
      <c r="W855" s="584"/>
      <c r="X855" s="584"/>
      <c r="Y855" s="584"/>
      <c r="Z855" s="584"/>
      <c r="AA855" s="584"/>
      <c r="AB855" s="584"/>
      <c r="AC855" s="584"/>
      <c r="AD855" s="584"/>
      <c r="AE855" s="584"/>
      <c r="AF855" s="584"/>
    </row>
    <row r="856" ht="14.25" customHeight="1">
      <c r="A856" s="584"/>
      <c r="B856" s="584"/>
      <c r="C856" s="612"/>
      <c r="D856" s="612"/>
      <c r="E856" s="584"/>
      <c r="F856" s="584"/>
      <c r="G856" s="584"/>
      <c r="H856" s="584"/>
      <c r="I856" s="584"/>
      <c r="J856" s="584"/>
      <c r="K856" s="584"/>
      <c r="L856" s="613"/>
      <c r="M856" s="613"/>
      <c r="N856" s="613"/>
      <c r="O856" s="584"/>
      <c r="P856" s="584"/>
      <c r="Q856" s="584"/>
      <c r="R856" s="584"/>
      <c r="S856" s="584"/>
      <c r="T856" s="584"/>
      <c r="U856" s="584"/>
      <c r="V856" s="584"/>
      <c r="W856" s="584"/>
      <c r="X856" s="584"/>
      <c r="Y856" s="584"/>
      <c r="Z856" s="584"/>
      <c r="AA856" s="584"/>
      <c r="AB856" s="584"/>
      <c r="AC856" s="584"/>
      <c r="AD856" s="584"/>
      <c r="AE856" s="584"/>
      <c r="AF856" s="584"/>
    </row>
    <row r="857" ht="14.25" customHeight="1">
      <c r="A857" s="584"/>
      <c r="B857" s="584"/>
      <c r="C857" s="612"/>
      <c r="D857" s="612"/>
      <c r="E857" s="584"/>
      <c r="F857" s="584"/>
      <c r="G857" s="584"/>
      <c r="H857" s="584"/>
      <c r="I857" s="584"/>
      <c r="J857" s="584"/>
      <c r="K857" s="584"/>
      <c r="L857" s="613"/>
      <c r="M857" s="613"/>
      <c r="N857" s="613"/>
      <c r="O857" s="584"/>
      <c r="P857" s="584"/>
      <c r="Q857" s="584"/>
      <c r="R857" s="584"/>
      <c r="S857" s="584"/>
      <c r="T857" s="584"/>
      <c r="U857" s="584"/>
      <c r="V857" s="584"/>
      <c r="W857" s="584"/>
      <c r="X857" s="584"/>
      <c r="Y857" s="584"/>
      <c r="Z857" s="584"/>
      <c r="AA857" s="584"/>
      <c r="AB857" s="584"/>
      <c r="AC857" s="584"/>
      <c r="AD857" s="584"/>
      <c r="AE857" s="584"/>
      <c r="AF857" s="584"/>
    </row>
    <row r="858" ht="14.25" customHeight="1">
      <c r="A858" s="584"/>
      <c r="B858" s="584"/>
      <c r="C858" s="612"/>
      <c r="D858" s="612"/>
      <c r="E858" s="584"/>
      <c r="F858" s="584"/>
      <c r="G858" s="584"/>
      <c r="H858" s="584"/>
      <c r="I858" s="584"/>
      <c r="J858" s="584"/>
      <c r="K858" s="584"/>
      <c r="L858" s="613"/>
      <c r="M858" s="613"/>
      <c r="N858" s="613"/>
      <c r="O858" s="584"/>
      <c r="P858" s="584"/>
      <c r="Q858" s="584"/>
      <c r="R858" s="584"/>
      <c r="S858" s="584"/>
      <c r="T858" s="584"/>
      <c r="U858" s="584"/>
      <c r="V858" s="584"/>
      <c r="W858" s="584"/>
      <c r="X858" s="584"/>
      <c r="Y858" s="584"/>
      <c r="Z858" s="584"/>
      <c r="AA858" s="584"/>
      <c r="AB858" s="584"/>
      <c r="AC858" s="584"/>
      <c r="AD858" s="584"/>
      <c r="AE858" s="584"/>
      <c r="AF858" s="584"/>
    </row>
    <row r="859" ht="14.25" customHeight="1">
      <c r="A859" s="584"/>
      <c r="B859" s="584"/>
      <c r="C859" s="612"/>
      <c r="D859" s="612"/>
      <c r="E859" s="584"/>
      <c r="F859" s="584"/>
      <c r="G859" s="584"/>
      <c r="H859" s="584"/>
      <c r="I859" s="584"/>
      <c r="J859" s="584"/>
      <c r="K859" s="584"/>
      <c r="L859" s="613"/>
      <c r="M859" s="613"/>
      <c r="N859" s="613"/>
      <c r="O859" s="584"/>
      <c r="P859" s="584"/>
      <c r="Q859" s="584"/>
      <c r="R859" s="584"/>
      <c r="S859" s="584"/>
      <c r="T859" s="584"/>
      <c r="U859" s="584"/>
      <c r="V859" s="584"/>
      <c r="W859" s="584"/>
      <c r="X859" s="584"/>
      <c r="Y859" s="584"/>
      <c r="Z859" s="584"/>
      <c r="AA859" s="584"/>
      <c r="AB859" s="584"/>
      <c r="AC859" s="584"/>
      <c r="AD859" s="584"/>
      <c r="AE859" s="584"/>
      <c r="AF859" s="584"/>
    </row>
    <row r="860" ht="14.25" customHeight="1">
      <c r="A860" s="584"/>
      <c r="B860" s="584"/>
      <c r="C860" s="612"/>
      <c r="D860" s="612"/>
      <c r="E860" s="584"/>
      <c r="F860" s="584"/>
      <c r="G860" s="584"/>
      <c r="H860" s="584"/>
      <c r="I860" s="584"/>
      <c r="J860" s="584"/>
      <c r="K860" s="584"/>
      <c r="L860" s="615"/>
      <c r="M860" s="615"/>
      <c r="N860" s="615"/>
      <c r="O860" s="584"/>
      <c r="P860" s="584"/>
      <c r="Q860" s="584"/>
      <c r="R860" s="584"/>
      <c r="S860" s="584"/>
      <c r="T860" s="584"/>
      <c r="U860" s="584"/>
      <c r="V860" s="584"/>
      <c r="W860" s="584"/>
      <c r="X860" s="584"/>
      <c r="Y860" s="584"/>
      <c r="Z860" s="584"/>
      <c r="AA860" s="584"/>
      <c r="AB860" s="584"/>
      <c r="AC860" s="584"/>
      <c r="AD860" s="584"/>
      <c r="AE860" s="584"/>
      <c r="AF860" s="584"/>
    </row>
    <row r="861" ht="14.25" customHeight="1">
      <c r="A861" s="584"/>
      <c r="B861" s="584"/>
      <c r="C861" s="612"/>
      <c r="D861" s="612"/>
      <c r="E861" s="584"/>
      <c r="F861" s="584"/>
      <c r="G861" s="584"/>
      <c r="H861" s="584"/>
      <c r="I861" s="584"/>
      <c r="J861" s="584"/>
      <c r="K861" s="584"/>
      <c r="L861" s="613"/>
      <c r="M861" s="613"/>
      <c r="N861" s="613"/>
      <c r="O861" s="584"/>
      <c r="P861" s="584"/>
      <c r="Q861" s="584"/>
      <c r="R861" s="584"/>
      <c r="S861" s="584"/>
      <c r="T861" s="584"/>
      <c r="U861" s="584"/>
      <c r="V861" s="584"/>
      <c r="W861" s="584"/>
      <c r="X861" s="584"/>
      <c r="Y861" s="584"/>
      <c r="Z861" s="584"/>
      <c r="AA861" s="584"/>
      <c r="AB861" s="584"/>
      <c r="AC861" s="584"/>
      <c r="AD861" s="584"/>
      <c r="AE861" s="584"/>
      <c r="AF861" s="584"/>
    </row>
    <row r="862" ht="14.25" customHeight="1">
      <c r="A862" s="584"/>
      <c r="B862" s="584"/>
      <c r="C862" s="612"/>
      <c r="D862" s="612"/>
      <c r="E862" s="584"/>
      <c r="F862" s="584"/>
      <c r="G862" s="584"/>
      <c r="H862" s="584"/>
      <c r="I862" s="584"/>
      <c r="J862" s="584"/>
      <c r="K862" s="584"/>
      <c r="L862" s="613"/>
      <c r="M862" s="613"/>
      <c r="N862" s="613"/>
      <c r="O862" s="584"/>
      <c r="P862" s="584"/>
      <c r="Q862" s="584"/>
      <c r="R862" s="584"/>
      <c r="S862" s="584"/>
      <c r="T862" s="584"/>
      <c r="U862" s="584"/>
      <c r="V862" s="584"/>
      <c r="W862" s="584"/>
      <c r="X862" s="584"/>
      <c r="Y862" s="584"/>
      <c r="Z862" s="584"/>
      <c r="AA862" s="584"/>
      <c r="AB862" s="584"/>
      <c r="AC862" s="584"/>
      <c r="AD862" s="584"/>
      <c r="AE862" s="584"/>
      <c r="AF862" s="584"/>
    </row>
    <row r="863" ht="14.25" customHeight="1">
      <c r="A863" s="584"/>
      <c r="B863" s="584"/>
      <c r="C863" s="612"/>
      <c r="D863" s="612"/>
      <c r="E863" s="584"/>
      <c r="F863" s="584"/>
      <c r="G863" s="584"/>
      <c r="H863" s="584"/>
      <c r="I863" s="584"/>
      <c r="J863" s="584"/>
      <c r="K863" s="584"/>
      <c r="L863" s="613"/>
      <c r="M863" s="613"/>
      <c r="N863" s="613"/>
      <c r="O863" s="584"/>
      <c r="P863" s="584"/>
      <c r="Q863" s="584"/>
      <c r="R863" s="584"/>
      <c r="S863" s="584"/>
      <c r="T863" s="584"/>
      <c r="U863" s="584"/>
      <c r="V863" s="584"/>
      <c r="W863" s="584"/>
      <c r="X863" s="584"/>
      <c r="Y863" s="584"/>
      <c r="Z863" s="584"/>
      <c r="AA863" s="584"/>
      <c r="AB863" s="584"/>
      <c r="AC863" s="584"/>
      <c r="AD863" s="584"/>
      <c r="AE863" s="584"/>
      <c r="AF863" s="584"/>
    </row>
    <row r="864" ht="14.25" customHeight="1">
      <c r="A864" s="584"/>
      <c r="B864" s="584"/>
      <c r="C864" s="612"/>
      <c r="D864" s="612"/>
      <c r="E864" s="584"/>
      <c r="F864" s="584"/>
      <c r="G864" s="584"/>
      <c r="H864" s="584"/>
      <c r="I864" s="584"/>
      <c r="J864" s="584"/>
      <c r="K864" s="584"/>
      <c r="L864" s="613"/>
      <c r="M864" s="613"/>
      <c r="N864" s="613"/>
      <c r="O864" s="584"/>
      <c r="P864" s="584"/>
      <c r="Q864" s="584"/>
      <c r="R864" s="584"/>
      <c r="S864" s="584"/>
      <c r="T864" s="584"/>
      <c r="U864" s="584"/>
      <c r="V864" s="584"/>
      <c r="W864" s="584"/>
      <c r="X864" s="584"/>
      <c r="Y864" s="584"/>
      <c r="Z864" s="584"/>
      <c r="AA864" s="584"/>
      <c r="AB864" s="584"/>
      <c r="AC864" s="584"/>
      <c r="AD864" s="584"/>
      <c r="AE864" s="584"/>
      <c r="AF864" s="584"/>
    </row>
    <row r="865" ht="14.25" customHeight="1">
      <c r="A865" s="584"/>
      <c r="B865" s="584"/>
      <c r="C865" s="612"/>
      <c r="D865" s="612"/>
      <c r="E865" s="584"/>
      <c r="F865" s="584"/>
      <c r="G865" s="584"/>
      <c r="H865" s="584"/>
      <c r="I865" s="584"/>
      <c r="J865" s="584"/>
      <c r="K865" s="584"/>
      <c r="L865" s="613"/>
      <c r="M865" s="613"/>
      <c r="N865" s="613"/>
      <c r="O865" s="584"/>
      <c r="P865" s="584"/>
      <c r="Q865" s="584"/>
      <c r="R865" s="584"/>
      <c r="S865" s="584"/>
      <c r="T865" s="584"/>
      <c r="U865" s="584"/>
      <c r="V865" s="584"/>
      <c r="W865" s="584"/>
      <c r="X865" s="584"/>
      <c r="Y865" s="584"/>
      <c r="Z865" s="584"/>
      <c r="AA865" s="584"/>
      <c r="AB865" s="584"/>
      <c r="AC865" s="584"/>
      <c r="AD865" s="584"/>
      <c r="AE865" s="584"/>
      <c r="AF865" s="584"/>
    </row>
    <row r="866" ht="14.25" customHeight="1">
      <c r="A866" s="584"/>
      <c r="B866" s="584"/>
      <c r="C866" s="612"/>
      <c r="D866" s="612"/>
      <c r="E866" s="584"/>
      <c r="F866" s="584"/>
      <c r="G866" s="584"/>
      <c r="H866" s="584"/>
      <c r="I866" s="584"/>
      <c r="J866" s="584"/>
      <c r="K866" s="584"/>
      <c r="L866" s="613"/>
      <c r="M866" s="613"/>
      <c r="N866" s="613"/>
      <c r="O866" s="584"/>
      <c r="P866" s="584"/>
      <c r="Q866" s="584"/>
      <c r="R866" s="584"/>
      <c r="S866" s="584"/>
      <c r="T866" s="584"/>
      <c r="U866" s="584"/>
      <c r="V866" s="584"/>
      <c r="W866" s="584"/>
      <c r="X866" s="584"/>
      <c r="Y866" s="584"/>
      <c r="Z866" s="584"/>
      <c r="AA866" s="584"/>
      <c r="AB866" s="584"/>
      <c r="AC866" s="584"/>
      <c r="AD866" s="584"/>
      <c r="AE866" s="584"/>
      <c r="AF866" s="584"/>
    </row>
    <row r="867" ht="14.25" customHeight="1">
      <c r="A867" s="584"/>
      <c r="B867" s="584"/>
      <c r="C867" s="612"/>
      <c r="D867" s="612"/>
      <c r="E867" s="584"/>
      <c r="F867" s="584"/>
      <c r="G867" s="584"/>
      <c r="H867" s="584"/>
      <c r="I867" s="584"/>
      <c r="J867" s="584"/>
      <c r="K867" s="584"/>
      <c r="L867" s="613"/>
      <c r="M867" s="613"/>
      <c r="N867" s="613"/>
      <c r="O867" s="584"/>
      <c r="P867" s="584"/>
      <c r="Q867" s="584"/>
      <c r="R867" s="584"/>
      <c r="S867" s="584"/>
      <c r="T867" s="584"/>
      <c r="U867" s="584"/>
      <c r="V867" s="584"/>
      <c r="W867" s="584"/>
      <c r="X867" s="584"/>
      <c r="Y867" s="584"/>
      <c r="Z867" s="584"/>
      <c r="AA867" s="584"/>
      <c r="AB867" s="584"/>
      <c r="AC867" s="584"/>
      <c r="AD867" s="584"/>
      <c r="AE867" s="584"/>
      <c r="AF867" s="584"/>
    </row>
    <row r="868" ht="14.25" customHeight="1">
      <c r="A868" s="584"/>
      <c r="B868" s="584"/>
      <c r="C868" s="612"/>
      <c r="D868" s="612"/>
      <c r="E868" s="584"/>
      <c r="F868" s="584"/>
      <c r="G868" s="584"/>
      <c r="H868" s="584"/>
      <c r="I868" s="584"/>
      <c r="J868" s="584"/>
      <c r="K868" s="584"/>
      <c r="L868" s="613"/>
      <c r="M868" s="613"/>
      <c r="N868" s="613"/>
      <c r="O868" s="584"/>
      <c r="P868" s="584"/>
      <c r="Q868" s="584"/>
      <c r="R868" s="584"/>
      <c r="S868" s="584"/>
      <c r="T868" s="584"/>
      <c r="U868" s="584"/>
      <c r="V868" s="584"/>
      <c r="W868" s="584"/>
      <c r="X868" s="584"/>
      <c r="Y868" s="584"/>
      <c r="Z868" s="584"/>
      <c r="AA868" s="584"/>
      <c r="AB868" s="584"/>
      <c r="AC868" s="584"/>
      <c r="AD868" s="584"/>
      <c r="AE868" s="584"/>
      <c r="AF868" s="584"/>
    </row>
    <row r="869" ht="14.25" customHeight="1">
      <c r="A869" s="584"/>
      <c r="B869" s="584"/>
      <c r="C869" s="612"/>
      <c r="D869" s="612"/>
      <c r="E869" s="584"/>
      <c r="F869" s="584"/>
      <c r="G869" s="584"/>
      <c r="H869" s="584"/>
      <c r="I869" s="584"/>
      <c r="J869" s="584"/>
      <c r="K869" s="584"/>
      <c r="L869" s="613"/>
      <c r="M869" s="613"/>
      <c r="N869" s="613"/>
      <c r="O869" s="584"/>
      <c r="P869" s="584"/>
      <c r="Q869" s="584"/>
      <c r="R869" s="584"/>
      <c r="S869" s="584"/>
      <c r="T869" s="584"/>
      <c r="U869" s="584"/>
      <c r="V869" s="584"/>
      <c r="W869" s="584"/>
      <c r="X869" s="584"/>
      <c r="Y869" s="584"/>
      <c r="Z869" s="584"/>
      <c r="AA869" s="584"/>
      <c r="AB869" s="584"/>
      <c r="AC869" s="584"/>
      <c r="AD869" s="584"/>
      <c r="AE869" s="584"/>
      <c r="AF869" s="584"/>
    </row>
    <row r="870" ht="14.25" customHeight="1">
      <c r="A870" s="584"/>
      <c r="B870" s="584"/>
      <c r="C870" s="612"/>
      <c r="D870" s="612"/>
      <c r="E870" s="616"/>
      <c r="F870" s="584"/>
      <c r="G870" s="584"/>
      <c r="H870" s="584"/>
      <c r="I870" s="584"/>
      <c r="J870" s="584"/>
      <c r="K870" s="584"/>
      <c r="L870" s="613"/>
      <c r="M870" s="613"/>
      <c r="N870" s="613"/>
      <c r="O870" s="584"/>
      <c r="P870" s="584"/>
      <c r="Q870" s="584"/>
      <c r="R870" s="584"/>
      <c r="S870" s="584"/>
      <c r="T870" s="584"/>
      <c r="U870" s="584"/>
      <c r="V870" s="584"/>
      <c r="W870" s="584"/>
      <c r="X870" s="584"/>
      <c r="Y870" s="584"/>
      <c r="Z870" s="584"/>
      <c r="AA870" s="584"/>
      <c r="AB870" s="584"/>
      <c r="AC870" s="584"/>
      <c r="AD870" s="584"/>
      <c r="AE870" s="584"/>
      <c r="AF870" s="584"/>
    </row>
    <row r="871" ht="14.25" customHeight="1">
      <c r="A871" s="584"/>
      <c r="B871" s="584"/>
      <c r="C871" s="612"/>
      <c r="D871" s="612"/>
      <c r="E871" s="584"/>
      <c r="F871" s="584"/>
      <c r="G871" s="584"/>
      <c r="H871" s="584"/>
      <c r="I871" s="584"/>
      <c r="J871" s="584"/>
      <c r="K871" s="584"/>
      <c r="L871" s="613"/>
      <c r="M871" s="613"/>
      <c r="N871" s="613"/>
      <c r="O871" s="584"/>
      <c r="P871" s="584"/>
      <c r="Q871" s="584"/>
      <c r="R871" s="584"/>
      <c r="S871" s="584"/>
      <c r="T871" s="584"/>
      <c r="U871" s="584"/>
      <c r="V871" s="584"/>
      <c r="W871" s="584"/>
      <c r="X871" s="584"/>
      <c r="Y871" s="584"/>
      <c r="Z871" s="584"/>
      <c r="AA871" s="584"/>
      <c r="AB871" s="584"/>
      <c r="AC871" s="584"/>
      <c r="AD871" s="584"/>
      <c r="AE871" s="584"/>
      <c r="AF871" s="584"/>
    </row>
    <row r="872" ht="14.25" customHeight="1">
      <c r="A872" s="584"/>
      <c r="B872" s="584"/>
      <c r="C872" s="612"/>
      <c r="D872" s="612"/>
      <c r="E872" s="584"/>
      <c r="F872" s="584"/>
      <c r="G872" s="584"/>
      <c r="H872" s="584"/>
      <c r="I872" s="584"/>
      <c r="J872" s="584"/>
      <c r="K872" s="584"/>
      <c r="L872" s="613"/>
      <c r="M872" s="613"/>
      <c r="N872" s="613"/>
      <c r="O872" s="584"/>
      <c r="P872" s="584"/>
      <c r="Q872" s="584"/>
      <c r="R872" s="584"/>
      <c r="S872" s="584"/>
      <c r="T872" s="584"/>
      <c r="U872" s="584"/>
      <c r="V872" s="584"/>
      <c r="W872" s="584"/>
      <c r="X872" s="584"/>
      <c r="Y872" s="584"/>
      <c r="Z872" s="584"/>
      <c r="AA872" s="584"/>
      <c r="AB872" s="584"/>
      <c r="AC872" s="584"/>
      <c r="AD872" s="584"/>
      <c r="AE872" s="584"/>
      <c r="AF872" s="584"/>
    </row>
    <row r="873" ht="14.25" customHeight="1">
      <c r="A873" s="584"/>
      <c r="B873" s="584"/>
      <c r="C873" s="612"/>
      <c r="D873" s="612"/>
      <c r="E873" s="584"/>
      <c r="F873" s="584"/>
      <c r="G873" s="584"/>
      <c r="H873" s="584"/>
      <c r="I873" s="584"/>
      <c r="J873" s="584"/>
      <c r="K873" s="584"/>
      <c r="L873" s="613"/>
      <c r="M873" s="613"/>
      <c r="N873" s="613"/>
      <c r="O873" s="584"/>
      <c r="P873" s="584"/>
      <c r="Q873" s="584"/>
      <c r="R873" s="584"/>
      <c r="S873" s="584"/>
      <c r="T873" s="584"/>
      <c r="U873" s="584"/>
      <c r="V873" s="584"/>
      <c r="W873" s="584"/>
      <c r="X873" s="584"/>
      <c r="Y873" s="584"/>
      <c r="Z873" s="584"/>
      <c r="AA873" s="584"/>
      <c r="AB873" s="584"/>
      <c r="AC873" s="584"/>
      <c r="AD873" s="584"/>
      <c r="AE873" s="584"/>
      <c r="AF873" s="584"/>
    </row>
    <row r="874" ht="14.25" customHeight="1">
      <c r="A874" s="584"/>
      <c r="B874" s="584"/>
      <c r="C874" s="612"/>
      <c r="D874" s="612"/>
      <c r="E874" s="584"/>
      <c r="F874" s="584"/>
      <c r="G874" s="584"/>
      <c r="H874" s="584"/>
      <c r="I874" s="584"/>
      <c r="J874" s="584"/>
      <c r="K874" s="584"/>
      <c r="L874" s="613"/>
      <c r="M874" s="613"/>
      <c r="N874" s="613"/>
      <c r="O874" s="584"/>
      <c r="P874" s="584"/>
      <c r="Q874" s="584"/>
      <c r="R874" s="584"/>
      <c r="S874" s="584"/>
      <c r="T874" s="584"/>
      <c r="U874" s="584"/>
      <c r="V874" s="584"/>
      <c r="W874" s="584"/>
      <c r="X874" s="584"/>
      <c r="Y874" s="584"/>
      <c r="Z874" s="584"/>
      <c r="AA874" s="584"/>
      <c r="AB874" s="584"/>
      <c r="AC874" s="584"/>
      <c r="AD874" s="584"/>
      <c r="AE874" s="584"/>
      <c r="AF874" s="584"/>
    </row>
    <row r="875" ht="14.25" customHeight="1">
      <c r="A875" s="584"/>
      <c r="B875" s="584"/>
      <c r="C875" s="612"/>
      <c r="D875" s="612"/>
      <c r="E875" s="584"/>
      <c r="F875" s="584"/>
      <c r="G875" s="584"/>
      <c r="H875" s="584"/>
      <c r="I875" s="584"/>
      <c r="J875" s="584"/>
      <c r="K875" s="584"/>
      <c r="L875" s="613"/>
      <c r="M875" s="613"/>
      <c r="N875" s="613"/>
      <c r="O875" s="584"/>
      <c r="P875" s="584"/>
      <c r="Q875" s="584"/>
      <c r="R875" s="584"/>
      <c r="S875" s="584"/>
      <c r="T875" s="584"/>
      <c r="U875" s="584"/>
      <c r="V875" s="584"/>
      <c r="W875" s="584"/>
      <c r="X875" s="584"/>
      <c r="Y875" s="584"/>
      <c r="Z875" s="584"/>
      <c r="AA875" s="584"/>
      <c r="AB875" s="584"/>
      <c r="AC875" s="584"/>
      <c r="AD875" s="584"/>
      <c r="AE875" s="584"/>
      <c r="AF875" s="584"/>
    </row>
    <row r="876" ht="14.25" customHeight="1">
      <c r="A876" s="584"/>
      <c r="B876" s="584"/>
      <c r="C876" s="612"/>
      <c r="D876" s="612"/>
      <c r="E876" s="584"/>
      <c r="F876" s="584"/>
      <c r="G876" s="584"/>
      <c r="H876" s="584"/>
      <c r="I876" s="584"/>
      <c r="J876" s="584"/>
      <c r="K876" s="584"/>
      <c r="L876" s="613"/>
      <c r="M876" s="613"/>
      <c r="N876" s="613"/>
      <c r="O876" s="584"/>
      <c r="P876" s="584"/>
      <c r="Q876" s="584"/>
      <c r="R876" s="584"/>
      <c r="S876" s="584"/>
      <c r="T876" s="584"/>
      <c r="U876" s="584"/>
      <c r="V876" s="584"/>
      <c r="W876" s="584"/>
      <c r="X876" s="584"/>
      <c r="Y876" s="584"/>
      <c r="Z876" s="584"/>
      <c r="AA876" s="584"/>
      <c r="AB876" s="584"/>
      <c r="AC876" s="584"/>
      <c r="AD876" s="584"/>
      <c r="AE876" s="584"/>
      <c r="AF876" s="584"/>
    </row>
    <row r="877" ht="14.25" customHeight="1">
      <c r="A877" s="584"/>
      <c r="B877" s="584"/>
      <c r="C877" s="612"/>
      <c r="D877" s="612"/>
      <c r="E877" s="584"/>
      <c r="F877" s="584"/>
      <c r="G877" s="584"/>
      <c r="H877" s="584"/>
      <c r="I877" s="584"/>
      <c r="J877" s="584"/>
      <c r="K877" s="584"/>
      <c r="L877" s="613"/>
      <c r="M877" s="613"/>
      <c r="N877" s="613"/>
      <c r="O877" s="584"/>
      <c r="P877" s="584"/>
      <c r="Q877" s="584"/>
      <c r="R877" s="584"/>
      <c r="S877" s="584"/>
      <c r="T877" s="584"/>
      <c r="U877" s="584"/>
      <c r="V877" s="584"/>
      <c r="W877" s="584"/>
      <c r="X877" s="584"/>
      <c r="Y877" s="584"/>
      <c r="Z877" s="584"/>
      <c r="AA877" s="584"/>
      <c r="AB877" s="584"/>
      <c r="AC877" s="584"/>
      <c r="AD877" s="584"/>
      <c r="AE877" s="584"/>
      <c r="AF877" s="584"/>
    </row>
    <row r="878" ht="14.25" customHeight="1">
      <c r="A878" s="584"/>
      <c r="B878" s="584"/>
      <c r="C878" s="612"/>
      <c r="D878" s="612"/>
      <c r="E878" s="584"/>
      <c r="F878" s="584"/>
      <c r="G878" s="584"/>
      <c r="H878" s="584"/>
      <c r="I878" s="584"/>
      <c r="J878" s="584"/>
      <c r="K878" s="584"/>
      <c r="L878" s="613"/>
      <c r="M878" s="613"/>
      <c r="N878" s="613"/>
      <c r="O878" s="584"/>
      <c r="P878" s="584"/>
      <c r="Q878" s="584"/>
      <c r="R878" s="584"/>
      <c r="S878" s="584"/>
      <c r="T878" s="584"/>
      <c r="U878" s="584"/>
      <c r="V878" s="584"/>
      <c r="W878" s="584"/>
      <c r="X878" s="584"/>
      <c r="Y878" s="584"/>
      <c r="Z878" s="584"/>
      <c r="AA878" s="584"/>
      <c r="AB878" s="584"/>
      <c r="AC878" s="584"/>
      <c r="AD878" s="584"/>
      <c r="AE878" s="584"/>
      <c r="AF878" s="584"/>
    </row>
    <row r="879" ht="14.25" customHeight="1">
      <c r="A879" s="584"/>
      <c r="B879" s="584"/>
      <c r="C879" s="612"/>
      <c r="D879" s="612"/>
      <c r="E879" s="584"/>
      <c r="F879" s="584"/>
      <c r="G879" s="584"/>
      <c r="H879" s="584"/>
      <c r="I879" s="584"/>
      <c r="J879" s="584"/>
      <c r="K879" s="584"/>
      <c r="L879" s="613"/>
      <c r="M879" s="613"/>
      <c r="N879" s="613"/>
      <c r="O879" s="584"/>
      <c r="P879" s="584"/>
      <c r="Q879" s="584"/>
      <c r="R879" s="584"/>
      <c r="S879" s="584"/>
      <c r="T879" s="584"/>
      <c r="U879" s="584"/>
      <c r="V879" s="584"/>
      <c r="W879" s="584"/>
      <c r="X879" s="584"/>
      <c r="Y879" s="584"/>
      <c r="Z879" s="584"/>
      <c r="AA879" s="584"/>
      <c r="AB879" s="584"/>
      <c r="AC879" s="584"/>
      <c r="AD879" s="584"/>
      <c r="AE879" s="584"/>
      <c r="AF879" s="584"/>
    </row>
    <row r="880" ht="14.25" customHeight="1">
      <c r="A880" s="584"/>
      <c r="B880" s="584"/>
      <c r="C880" s="612"/>
      <c r="D880" s="612"/>
      <c r="E880" s="584"/>
      <c r="F880" s="584"/>
      <c r="G880" s="584"/>
      <c r="H880" s="584"/>
      <c r="I880" s="584"/>
      <c r="J880" s="584"/>
      <c r="K880" s="584"/>
      <c r="L880" s="613"/>
      <c r="M880" s="613"/>
      <c r="N880" s="613"/>
      <c r="O880" s="584"/>
      <c r="P880" s="584"/>
      <c r="Q880" s="584"/>
      <c r="R880" s="584"/>
      <c r="S880" s="584"/>
      <c r="T880" s="584"/>
      <c r="U880" s="584"/>
      <c r="V880" s="584"/>
      <c r="W880" s="584"/>
      <c r="X880" s="584"/>
      <c r="Y880" s="584"/>
      <c r="Z880" s="584"/>
      <c r="AA880" s="584"/>
      <c r="AB880" s="584"/>
      <c r="AC880" s="584"/>
      <c r="AD880" s="584"/>
      <c r="AE880" s="584"/>
      <c r="AF880" s="584"/>
    </row>
    <row r="881" ht="14.25" customHeight="1">
      <c r="A881" s="584"/>
      <c r="B881" s="584"/>
      <c r="C881" s="612"/>
      <c r="D881" s="612"/>
      <c r="E881" s="584"/>
      <c r="F881" s="584"/>
      <c r="G881" s="584"/>
      <c r="H881" s="584"/>
      <c r="I881" s="584"/>
      <c r="J881" s="584"/>
      <c r="K881" s="584"/>
      <c r="L881" s="613"/>
      <c r="M881" s="613"/>
      <c r="N881" s="613"/>
      <c r="O881" s="584"/>
      <c r="P881" s="584"/>
      <c r="Q881" s="584"/>
      <c r="R881" s="584"/>
      <c r="S881" s="584"/>
      <c r="T881" s="584"/>
      <c r="U881" s="584"/>
      <c r="V881" s="584"/>
      <c r="W881" s="584"/>
      <c r="X881" s="584"/>
      <c r="Y881" s="584"/>
      <c r="Z881" s="584"/>
      <c r="AA881" s="584"/>
      <c r="AB881" s="584"/>
      <c r="AC881" s="584"/>
      <c r="AD881" s="584"/>
      <c r="AE881" s="584"/>
      <c r="AF881" s="584"/>
    </row>
    <row r="882" ht="14.25" customHeight="1">
      <c r="A882" s="584"/>
      <c r="B882" s="584"/>
      <c r="C882" s="612"/>
      <c r="D882" s="612"/>
      <c r="E882" s="584"/>
      <c r="F882" s="584"/>
      <c r="G882" s="584"/>
      <c r="H882" s="584"/>
      <c r="I882" s="584"/>
      <c r="J882" s="584"/>
      <c r="K882" s="584"/>
      <c r="L882" s="613"/>
      <c r="M882" s="613"/>
      <c r="N882" s="613"/>
      <c r="O882" s="584"/>
      <c r="P882" s="584"/>
      <c r="Q882" s="584"/>
      <c r="R882" s="584"/>
      <c r="S882" s="584"/>
      <c r="T882" s="584"/>
      <c r="U882" s="584"/>
      <c r="V882" s="584"/>
      <c r="W882" s="584"/>
      <c r="X882" s="584"/>
      <c r="Y882" s="584"/>
      <c r="Z882" s="584"/>
      <c r="AA882" s="584"/>
      <c r="AB882" s="584"/>
      <c r="AC882" s="584"/>
      <c r="AD882" s="584"/>
      <c r="AE882" s="584"/>
      <c r="AF882" s="584"/>
    </row>
    <row r="883" ht="14.25" customHeight="1">
      <c r="A883" s="584"/>
      <c r="B883" s="584"/>
      <c r="C883" s="612"/>
      <c r="D883" s="612"/>
      <c r="E883" s="584"/>
      <c r="F883" s="584"/>
      <c r="G883" s="584"/>
      <c r="H883" s="584"/>
      <c r="I883" s="584"/>
      <c r="J883" s="584"/>
      <c r="K883" s="584"/>
      <c r="L883" s="613"/>
      <c r="M883" s="613"/>
      <c r="N883" s="613"/>
      <c r="O883" s="584"/>
      <c r="P883" s="584"/>
      <c r="Q883" s="584"/>
      <c r="R883" s="584"/>
      <c r="S883" s="584"/>
      <c r="T883" s="584"/>
      <c r="U883" s="584"/>
      <c r="V883" s="584"/>
      <c r="W883" s="584"/>
      <c r="X883" s="584"/>
      <c r="Y883" s="584"/>
      <c r="Z883" s="584"/>
      <c r="AA883" s="584"/>
      <c r="AB883" s="584"/>
      <c r="AC883" s="584"/>
      <c r="AD883" s="584"/>
      <c r="AE883" s="584"/>
      <c r="AF883" s="584"/>
    </row>
    <row r="884" ht="14.25" customHeight="1">
      <c r="A884" s="584"/>
      <c r="B884" s="584"/>
      <c r="C884" s="612"/>
      <c r="D884" s="612"/>
      <c r="E884" s="584"/>
      <c r="F884" s="584"/>
      <c r="G884" s="584"/>
      <c r="H884" s="584"/>
      <c r="I884" s="584"/>
      <c r="J884" s="584"/>
      <c r="K884" s="584"/>
      <c r="L884" s="613"/>
      <c r="M884" s="613"/>
      <c r="N884" s="613"/>
      <c r="O884" s="584"/>
      <c r="P884" s="584"/>
      <c r="Q884" s="584"/>
      <c r="R884" s="584"/>
      <c r="S884" s="584"/>
      <c r="T884" s="584"/>
      <c r="U884" s="584"/>
      <c r="V884" s="584"/>
      <c r="W884" s="584"/>
      <c r="X884" s="584"/>
      <c r="Y884" s="584"/>
      <c r="Z884" s="584"/>
      <c r="AA884" s="584"/>
      <c r="AB884" s="584"/>
      <c r="AC884" s="584"/>
      <c r="AD884" s="584"/>
      <c r="AE884" s="584"/>
      <c r="AF884" s="584"/>
    </row>
    <row r="885" ht="14.25" customHeight="1">
      <c r="A885" s="584"/>
      <c r="B885" s="584"/>
      <c r="C885" s="612"/>
      <c r="D885" s="612"/>
      <c r="E885" s="584"/>
      <c r="F885" s="584"/>
      <c r="G885" s="584"/>
      <c r="H885" s="584"/>
      <c r="I885" s="584"/>
      <c r="J885" s="584"/>
      <c r="K885" s="584"/>
      <c r="L885" s="613"/>
      <c r="M885" s="613"/>
      <c r="N885" s="613"/>
      <c r="O885" s="584"/>
      <c r="P885" s="584"/>
      <c r="Q885" s="584"/>
      <c r="R885" s="584"/>
      <c r="S885" s="584"/>
      <c r="T885" s="584"/>
      <c r="U885" s="584"/>
      <c r="V885" s="584"/>
      <c r="W885" s="584"/>
      <c r="X885" s="584"/>
      <c r="Y885" s="584"/>
      <c r="Z885" s="584"/>
      <c r="AA885" s="584"/>
      <c r="AB885" s="584"/>
      <c r="AC885" s="584"/>
      <c r="AD885" s="584"/>
      <c r="AE885" s="584"/>
      <c r="AF885" s="584"/>
    </row>
    <row r="886" ht="14.25" customHeight="1">
      <c r="A886" s="584"/>
      <c r="B886" s="584"/>
      <c r="C886" s="612"/>
      <c r="D886" s="612"/>
      <c r="E886" s="584"/>
      <c r="F886" s="584"/>
      <c r="G886" s="584"/>
      <c r="H886" s="584"/>
      <c r="I886" s="584"/>
      <c r="J886" s="584"/>
      <c r="K886" s="584"/>
      <c r="L886" s="613"/>
      <c r="M886" s="613"/>
      <c r="N886" s="613"/>
      <c r="O886" s="584"/>
      <c r="P886" s="584"/>
      <c r="Q886" s="584"/>
      <c r="R886" s="584"/>
      <c r="S886" s="584"/>
      <c r="T886" s="584"/>
      <c r="U886" s="584"/>
      <c r="V886" s="584"/>
      <c r="W886" s="584"/>
      <c r="X886" s="584"/>
      <c r="Y886" s="584"/>
      <c r="Z886" s="584"/>
      <c r="AA886" s="584"/>
      <c r="AB886" s="584"/>
      <c r="AC886" s="584"/>
      <c r="AD886" s="584"/>
      <c r="AE886" s="584"/>
      <c r="AF886" s="584"/>
    </row>
    <row r="887" ht="14.25" customHeight="1">
      <c r="A887" s="584"/>
      <c r="B887" s="584"/>
      <c r="C887" s="612"/>
      <c r="D887" s="612"/>
      <c r="E887" s="584"/>
      <c r="F887" s="584"/>
      <c r="G887" s="584"/>
      <c r="H887" s="584"/>
      <c r="I887" s="584"/>
      <c r="J887" s="584"/>
      <c r="K887" s="584"/>
      <c r="L887" s="613"/>
      <c r="M887" s="613"/>
      <c r="N887" s="613"/>
      <c r="O887" s="584"/>
      <c r="P887" s="584"/>
      <c r="Q887" s="584"/>
      <c r="R887" s="584"/>
      <c r="S887" s="584"/>
      <c r="T887" s="584"/>
      <c r="U887" s="584"/>
      <c r="V887" s="584"/>
      <c r="W887" s="584"/>
      <c r="X887" s="584"/>
      <c r="Y887" s="584"/>
      <c r="Z887" s="584"/>
      <c r="AA887" s="584"/>
      <c r="AB887" s="584"/>
      <c r="AC887" s="584"/>
      <c r="AD887" s="584"/>
      <c r="AE887" s="584"/>
      <c r="AF887" s="584"/>
    </row>
    <row r="888" ht="14.25" customHeight="1">
      <c r="A888" s="584"/>
      <c r="B888" s="584"/>
      <c r="C888" s="612"/>
      <c r="D888" s="612"/>
      <c r="E888" s="584"/>
      <c r="F888" s="584"/>
      <c r="G888" s="584"/>
      <c r="H888" s="584"/>
      <c r="I888" s="584"/>
      <c r="J888" s="584"/>
      <c r="K888" s="584"/>
      <c r="L888" s="613"/>
      <c r="M888" s="613"/>
      <c r="N888" s="613"/>
      <c r="O888" s="584"/>
      <c r="P888" s="584"/>
      <c r="Q888" s="584"/>
      <c r="R888" s="584"/>
      <c r="S888" s="584"/>
      <c r="T888" s="584"/>
      <c r="U888" s="584"/>
      <c r="V888" s="584"/>
      <c r="W888" s="584"/>
      <c r="X888" s="584"/>
      <c r="Y888" s="584"/>
      <c r="Z888" s="584"/>
      <c r="AA888" s="584"/>
      <c r="AB888" s="584"/>
      <c r="AC888" s="584"/>
      <c r="AD888" s="584"/>
      <c r="AE888" s="584"/>
      <c r="AF888" s="584"/>
    </row>
    <row r="889" ht="14.25" customHeight="1">
      <c r="A889" s="584"/>
      <c r="B889" s="584"/>
      <c r="C889" s="612"/>
      <c r="D889" s="612"/>
      <c r="E889" s="584"/>
      <c r="F889" s="584"/>
      <c r="G889" s="584"/>
      <c r="H889" s="584"/>
      <c r="I889" s="584"/>
      <c r="J889" s="584"/>
      <c r="K889" s="584"/>
      <c r="L889" s="613"/>
      <c r="M889" s="613"/>
      <c r="N889" s="613"/>
      <c r="O889" s="584"/>
      <c r="P889" s="584"/>
      <c r="Q889" s="584"/>
      <c r="R889" s="584"/>
      <c r="S889" s="584"/>
      <c r="T889" s="584"/>
      <c r="U889" s="584"/>
      <c r="V889" s="584"/>
      <c r="W889" s="584"/>
      <c r="X889" s="584"/>
      <c r="Y889" s="584"/>
      <c r="Z889" s="584"/>
      <c r="AA889" s="584"/>
      <c r="AB889" s="584"/>
      <c r="AC889" s="584"/>
      <c r="AD889" s="584"/>
      <c r="AE889" s="584"/>
      <c r="AF889" s="584"/>
    </row>
    <row r="890" ht="14.25" customHeight="1">
      <c r="A890" s="584"/>
      <c r="B890" s="584"/>
      <c r="C890" s="612"/>
      <c r="D890" s="612"/>
      <c r="E890" s="584"/>
      <c r="F890" s="584"/>
      <c r="G890" s="584"/>
      <c r="H890" s="584"/>
      <c r="I890" s="584"/>
      <c r="J890" s="584"/>
      <c r="K890" s="584"/>
      <c r="L890" s="613"/>
      <c r="M890" s="613"/>
      <c r="N890" s="613"/>
      <c r="O890" s="584"/>
      <c r="P890" s="584"/>
      <c r="Q890" s="584"/>
      <c r="R890" s="584"/>
      <c r="S890" s="584"/>
      <c r="T890" s="584"/>
      <c r="U890" s="584"/>
      <c r="V890" s="584"/>
      <c r="W890" s="584"/>
      <c r="X890" s="584"/>
      <c r="Y890" s="584"/>
      <c r="Z890" s="584"/>
      <c r="AA890" s="584"/>
      <c r="AB890" s="584"/>
      <c r="AC890" s="584"/>
      <c r="AD890" s="584"/>
      <c r="AE890" s="584"/>
      <c r="AF890" s="584"/>
    </row>
    <row r="891" ht="14.25" customHeight="1">
      <c r="A891" s="584"/>
      <c r="B891" s="584"/>
      <c r="C891" s="612"/>
      <c r="D891" s="612"/>
      <c r="E891" s="584"/>
      <c r="F891" s="584"/>
      <c r="G891" s="584"/>
      <c r="H891" s="584"/>
      <c r="I891" s="584"/>
      <c r="J891" s="584"/>
      <c r="K891" s="584"/>
      <c r="L891" s="613"/>
      <c r="M891" s="613"/>
      <c r="N891" s="613"/>
      <c r="O891" s="584"/>
      <c r="P891" s="584"/>
      <c r="Q891" s="584"/>
      <c r="R891" s="584"/>
      <c r="S891" s="584"/>
      <c r="T891" s="584"/>
      <c r="U891" s="584"/>
      <c r="V891" s="584"/>
      <c r="W891" s="584"/>
      <c r="X891" s="584"/>
      <c r="Y891" s="584"/>
      <c r="Z891" s="584"/>
      <c r="AA891" s="584"/>
      <c r="AB891" s="584"/>
      <c r="AC891" s="584"/>
      <c r="AD891" s="584"/>
      <c r="AE891" s="584"/>
      <c r="AF891" s="584"/>
    </row>
    <row r="892" ht="14.25" customHeight="1">
      <c r="A892" s="584"/>
      <c r="B892" s="584"/>
      <c r="C892" s="612"/>
      <c r="D892" s="612"/>
      <c r="E892" s="584"/>
      <c r="F892" s="584"/>
      <c r="G892" s="584"/>
      <c r="H892" s="584"/>
      <c r="I892" s="584"/>
      <c r="J892" s="584"/>
      <c r="K892" s="584"/>
      <c r="L892" s="613"/>
      <c r="M892" s="613"/>
      <c r="N892" s="613"/>
      <c r="O892" s="584"/>
      <c r="P892" s="584"/>
      <c r="Q892" s="584"/>
      <c r="R892" s="584"/>
      <c r="S892" s="584"/>
      <c r="T892" s="584"/>
      <c r="U892" s="584"/>
      <c r="V892" s="584"/>
      <c r="W892" s="584"/>
      <c r="X892" s="584"/>
      <c r="Y892" s="584"/>
      <c r="Z892" s="584"/>
      <c r="AA892" s="584"/>
      <c r="AB892" s="584"/>
      <c r="AC892" s="584"/>
      <c r="AD892" s="584"/>
      <c r="AE892" s="584"/>
      <c r="AF892" s="584"/>
    </row>
    <row r="893" ht="14.25" customHeight="1">
      <c r="A893" s="584"/>
      <c r="B893" s="584"/>
      <c r="C893" s="612"/>
      <c r="D893" s="612"/>
      <c r="E893" s="584"/>
      <c r="F893" s="584"/>
      <c r="G893" s="584"/>
      <c r="H893" s="584"/>
      <c r="I893" s="584"/>
      <c r="J893" s="584"/>
      <c r="K893" s="584"/>
      <c r="L893" s="613"/>
      <c r="M893" s="613"/>
      <c r="N893" s="613"/>
      <c r="O893" s="584"/>
      <c r="P893" s="584"/>
      <c r="Q893" s="584"/>
      <c r="R893" s="584"/>
      <c r="S893" s="584"/>
      <c r="T893" s="584"/>
      <c r="U893" s="584"/>
      <c r="V893" s="584"/>
      <c r="W893" s="584"/>
      <c r="X893" s="584"/>
      <c r="Y893" s="584"/>
      <c r="Z893" s="584"/>
      <c r="AA893" s="584"/>
      <c r="AB893" s="584"/>
      <c r="AC893" s="584"/>
      <c r="AD893" s="584"/>
      <c r="AE893" s="584"/>
      <c r="AF893" s="584"/>
    </row>
    <row r="894" ht="14.25" customHeight="1">
      <c r="A894" s="584"/>
      <c r="B894" s="584"/>
      <c r="C894" s="612"/>
      <c r="D894" s="612"/>
      <c r="E894" s="584"/>
      <c r="F894" s="584"/>
      <c r="G894" s="584"/>
      <c r="H894" s="584"/>
      <c r="I894" s="584"/>
      <c r="J894" s="584"/>
      <c r="K894" s="584"/>
      <c r="L894" s="613"/>
      <c r="M894" s="613"/>
      <c r="N894" s="613"/>
      <c r="O894" s="584"/>
      <c r="P894" s="584"/>
      <c r="Q894" s="584"/>
      <c r="R894" s="584"/>
      <c r="S894" s="584"/>
      <c r="T894" s="584"/>
      <c r="U894" s="584"/>
      <c r="V894" s="584"/>
      <c r="W894" s="584"/>
      <c r="X894" s="584"/>
      <c r="Y894" s="584"/>
      <c r="Z894" s="584"/>
      <c r="AA894" s="584"/>
      <c r="AB894" s="584"/>
      <c r="AC894" s="584"/>
      <c r="AD894" s="584"/>
      <c r="AE894" s="584"/>
      <c r="AF894" s="584"/>
    </row>
    <row r="895" ht="14.25" customHeight="1">
      <c r="A895" s="584"/>
      <c r="B895" s="584"/>
      <c r="C895" s="612"/>
      <c r="D895" s="612"/>
      <c r="E895" s="584"/>
      <c r="F895" s="584"/>
      <c r="G895" s="584"/>
      <c r="H895" s="584"/>
      <c r="I895" s="584"/>
      <c r="J895" s="584"/>
      <c r="K895" s="584"/>
      <c r="L895" s="613"/>
      <c r="M895" s="613"/>
      <c r="N895" s="613"/>
      <c r="O895" s="584"/>
      <c r="P895" s="584"/>
      <c r="Q895" s="584"/>
      <c r="R895" s="584"/>
      <c r="S895" s="584"/>
      <c r="T895" s="584"/>
      <c r="U895" s="584"/>
      <c r="V895" s="584"/>
      <c r="W895" s="584"/>
      <c r="X895" s="584"/>
      <c r="Y895" s="584"/>
      <c r="Z895" s="584"/>
      <c r="AA895" s="584"/>
      <c r="AB895" s="584"/>
      <c r="AC895" s="584"/>
      <c r="AD895" s="584"/>
      <c r="AE895" s="584"/>
      <c r="AF895" s="584"/>
    </row>
    <row r="896" ht="14.25" customHeight="1">
      <c r="A896" s="584"/>
      <c r="B896" s="584"/>
      <c r="C896" s="612"/>
      <c r="D896" s="612"/>
      <c r="E896" s="584"/>
      <c r="F896" s="584"/>
      <c r="G896" s="584"/>
      <c r="H896" s="584"/>
      <c r="I896" s="584"/>
      <c r="J896" s="584"/>
      <c r="K896" s="584"/>
      <c r="L896" s="613"/>
      <c r="M896" s="613"/>
      <c r="N896" s="613"/>
      <c r="O896" s="584"/>
      <c r="P896" s="584"/>
      <c r="Q896" s="584"/>
      <c r="R896" s="584"/>
      <c r="S896" s="584"/>
      <c r="T896" s="584"/>
      <c r="U896" s="584"/>
      <c r="V896" s="584"/>
      <c r="W896" s="584"/>
      <c r="X896" s="584"/>
      <c r="Y896" s="584"/>
      <c r="Z896" s="584"/>
      <c r="AA896" s="584"/>
      <c r="AB896" s="584"/>
      <c r="AC896" s="584"/>
      <c r="AD896" s="584"/>
      <c r="AE896" s="584"/>
      <c r="AF896" s="584"/>
    </row>
    <row r="897" ht="14.25" customHeight="1">
      <c r="A897" s="584"/>
      <c r="B897" s="584"/>
      <c r="C897" s="612"/>
      <c r="D897" s="612"/>
      <c r="E897" s="584"/>
      <c r="F897" s="584"/>
      <c r="G897" s="584"/>
      <c r="H897" s="584"/>
      <c r="I897" s="584"/>
      <c r="J897" s="584"/>
      <c r="K897" s="584"/>
      <c r="L897" s="613"/>
      <c r="M897" s="613"/>
      <c r="N897" s="613"/>
      <c r="O897" s="584"/>
      <c r="P897" s="584"/>
      <c r="Q897" s="584"/>
      <c r="R897" s="584"/>
      <c r="S897" s="584"/>
      <c r="T897" s="584"/>
      <c r="U897" s="584"/>
      <c r="V897" s="584"/>
      <c r="W897" s="584"/>
      <c r="X897" s="584"/>
      <c r="Y897" s="584"/>
      <c r="Z897" s="584"/>
      <c r="AA897" s="584"/>
      <c r="AB897" s="584"/>
      <c r="AC897" s="584"/>
      <c r="AD897" s="584"/>
      <c r="AE897" s="584"/>
      <c r="AF897" s="584"/>
    </row>
    <row r="898" ht="14.25" customHeight="1">
      <c r="A898" s="584"/>
      <c r="B898" s="584"/>
      <c r="C898" s="612"/>
      <c r="D898" s="612"/>
      <c r="E898" s="584"/>
      <c r="F898" s="584"/>
      <c r="G898" s="584"/>
      <c r="H898" s="584"/>
      <c r="I898" s="584"/>
      <c r="J898" s="584"/>
      <c r="K898" s="584"/>
      <c r="L898" s="613"/>
      <c r="M898" s="613"/>
      <c r="N898" s="613"/>
      <c r="O898" s="584"/>
      <c r="P898" s="584"/>
      <c r="Q898" s="584"/>
      <c r="R898" s="584"/>
      <c r="S898" s="584"/>
      <c r="T898" s="584"/>
      <c r="U898" s="584"/>
      <c r="V898" s="584"/>
      <c r="W898" s="584"/>
      <c r="X898" s="584"/>
      <c r="Y898" s="584"/>
      <c r="Z898" s="584"/>
      <c r="AA898" s="584"/>
      <c r="AB898" s="584"/>
      <c r="AC898" s="584"/>
      <c r="AD898" s="584"/>
      <c r="AE898" s="584"/>
      <c r="AF898" s="584"/>
    </row>
    <row r="899" ht="14.25" customHeight="1">
      <c r="A899" s="584"/>
      <c r="B899" s="584"/>
      <c r="C899" s="612"/>
      <c r="D899" s="612"/>
      <c r="E899" s="584"/>
      <c r="F899" s="584"/>
      <c r="G899" s="584"/>
      <c r="H899" s="584"/>
      <c r="I899" s="584"/>
      <c r="J899" s="584"/>
      <c r="K899" s="584"/>
      <c r="L899" s="613"/>
      <c r="M899" s="613"/>
      <c r="N899" s="613"/>
      <c r="O899" s="584"/>
      <c r="P899" s="584"/>
      <c r="Q899" s="584"/>
      <c r="R899" s="584"/>
      <c r="S899" s="584"/>
      <c r="T899" s="584"/>
      <c r="U899" s="584"/>
      <c r="V899" s="584"/>
      <c r="W899" s="584"/>
      <c r="X899" s="584"/>
      <c r="Y899" s="584"/>
      <c r="Z899" s="584"/>
      <c r="AA899" s="584"/>
      <c r="AB899" s="584"/>
      <c r="AC899" s="584"/>
      <c r="AD899" s="584"/>
      <c r="AE899" s="584"/>
      <c r="AF899" s="584"/>
    </row>
    <row r="900" ht="14.25" customHeight="1">
      <c r="A900" s="584"/>
      <c r="B900" s="584"/>
      <c r="C900" s="612"/>
      <c r="D900" s="612"/>
      <c r="E900" s="584"/>
      <c r="F900" s="584"/>
      <c r="G900" s="584"/>
      <c r="H900" s="584"/>
      <c r="I900" s="584"/>
      <c r="J900" s="584"/>
      <c r="K900" s="584"/>
      <c r="L900" s="613"/>
      <c r="M900" s="613"/>
      <c r="N900" s="613"/>
      <c r="O900" s="584"/>
      <c r="P900" s="584"/>
      <c r="Q900" s="584"/>
      <c r="R900" s="584"/>
      <c r="S900" s="584"/>
      <c r="T900" s="584"/>
      <c r="U900" s="584"/>
      <c r="V900" s="584"/>
      <c r="W900" s="584"/>
      <c r="X900" s="584"/>
      <c r="Y900" s="584"/>
      <c r="Z900" s="584"/>
      <c r="AA900" s="584"/>
      <c r="AB900" s="584"/>
      <c r="AC900" s="584"/>
      <c r="AD900" s="584"/>
      <c r="AE900" s="584"/>
      <c r="AF900" s="584"/>
    </row>
    <row r="901" ht="14.25" customHeight="1">
      <c r="A901" s="584"/>
      <c r="B901" s="584"/>
      <c r="C901" s="612"/>
      <c r="D901" s="612"/>
      <c r="E901" s="584"/>
      <c r="F901" s="584"/>
      <c r="G901" s="584"/>
      <c r="H901" s="584"/>
      <c r="I901" s="584"/>
      <c r="J901" s="584"/>
      <c r="K901" s="584"/>
      <c r="L901" s="613"/>
      <c r="M901" s="613"/>
      <c r="N901" s="613"/>
      <c r="O901" s="584"/>
      <c r="P901" s="584"/>
      <c r="Q901" s="584"/>
      <c r="R901" s="584"/>
      <c r="S901" s="584"/>
      <c r="T901" s="584"/>
      <c r="U901" s="584"/>
      <c r="V901" s="584"/>
      <c r="W901" s="584"/>
      <c r="X901" s="584"/>
      <c r="Y901" s="584"/>
      <c r="Z901" s="584"/>
      <c r="AA901" s="584"/>
      <c r="AB901" s="584"/>
      <c r="AC901" s="584"/>
      <c r="AD901" s="584"/>
      <c r="AE901" s="584"/>
      <c r="AF901" s="584"/>
    </row>
    <row r="902" ht="14.25" customHeight="1">
      <c r="A902" s="584"/>
      <c r="B902" s="584"/>
      <c r="C902" s="612"/>
      <c r="D902" s="612"/>
      <c r="E902" s="584"/>
      <c r="F902" s="584"/>
      <c r="G902" s="584"/>
      <c r="H902" s="584"/>
      <c r="I902" s="584"/>
      <c r="J902" s="584"/>
      <c r="K902" s="584"/>
      <c r="L902" s="613"/>
      <c r="M902" s="613"/>
      <c r="N902" s="613"/>
      <c r="O902" s="584"/>
      <c r="P902" s="584"/>
      <c r="Q902" s="584"/>
      <c r="R902" s="584"/>
      <c r="S902" s="584"/>
      <c r="T902" s="584"/>
      <c r="U902" s="584"/>
      <c r="V902" s="584"/>
      <c r="W902" s="584"/>
      <c r="X902" s="584"/>
      <c r="Y902" s="584"/>
      <c r="Z902" s="584"/>
      <c r="AA902" s="584"/>
      <c r="AB902" s="584"/>
      <c r="AC902" s="584"/>
      <c r="AD902" s="584"/>
      <c r="AE902" s="584"/>
      <c r="AF902" s="584"/>
    </row>
    <row r="903" ht="14.25" customHeight="1">
      <c r="A903" s="584"/>
      <c r="B903" s="584"/>
      <c r="C903" s="612"/>
      <c r="D903" s="612"/>
      <c r="E903" s="584"/>
      <c r="F903" s="584"/>
      <c r="G903" s="584"/>
      <c r="H903" s="584"/>
      <c r="I903" s="584"/>
      <c r="J903" s="584"/>
      <c r="K903" s="584"/>
      <c r="L903" s="613"/>
      <c r="M903" s="613"/>
      <c r="N903" s="613"/>
      <c r="O903" s="584"/>
      <c r="P903" s="613"/>
      <c r="Q903" s="584"/>
      <c r="R903" s="584"/>
      <c r="S903" s="584"/>
      <c r="T903" s="584"/>
      <c r="U903" s="584"/>
      <c r="V903" s="584"/>
      <c r="W903" s="584"/>
      <c r="X903" s="584"/>
      <c r="Y903" s="584"/>
      <c r="Z903" s="584"/>
      <c r="AA903" s="584"/>
      <c r="AB903" s="584"/>
      <c r="AC903" s="584"/>
      <c r="AD903" s="584"/>
      <c r="AE903" s="584"/>
      <c r="AF903" s="584"/>
    </row>
    <row r="904" ht="14.25" customHeight="1">
      <c r="A904" s="584"/>
      <c r="B904" s="584"/>
      <c r="C904" s="612"/>
      <c r="D904" s="612"/>
      <c r="E904" s="584"/>
      <c r="F904" s="584"/>
      <c r="G904" s="584"/>
      <c r="H904" s="584"/>
      <c r="I904" s="584"/>
      <c r="J904" s="584"/>
      <c r="K904" s="584"/>
      <c r="L904" s="613"/>
      <c r="M904" s="613"/>
      <c r="N904" s="613"/>
      <c r="O904" s="584"/>
      <c r="P904" s="584"/>
      <c r="Q904" s="584"/>
      <c r="R904" s="584"/>
      <c r="S904" s="584"/>
      <c r="T904" s="584"/>
      <c r="U904" s="584"/>
      <c r="V904" s="584"/>
      <c r="W904" s="584"/>
      <c r="X904" s="584"/>
      <c r="Y904" s="584"/>
      <c r="Z904" s="584"/>
      <c r="AA904" s="584"/>
      <c r="AB904" s="584"/>
      <c r="AC904" s="584"/>
      <c r="AD904" s="584"/>
      <c r="AE904" s="584"/>
      <c r="AF904" s="584"/>
    </row>
    <row r="905" ht="14.25" customHeight="1">
      <c r="A905" s="584"/>
      <c r="B905" s="584"/>
      <c r="C905" s="612"/>
      <c r="D905" s="612"/>
      <c r="E905" s="584"/>
      <c r="F905" s="584"/>
      <c r="G905" s="584"/>
      <c r="H905" s="584"/>
      <c r="I905" s="584"/>
      <c r="J905" s="584"/>
      <c r="K905" s="584"/>
      <c r="L905" s="613"/>
      <c r="M905" s="613"/>
      <c r="N905" s="613"/>
      <c r="O905" s="584"/>
      <c r="P905" s="584"/>
      <c r="Q905" s="584"/>
      <c r="R905" s="584"/>
      <c r="S905" s="584"/>
      <c r="T905" s="584"/>
      <c r="U905" s="584"/>
      <c r="V905" s="584"/>
      <c r="W905" s="584"/>
      <c r="X905" s="584"/>
      <c r="Y905" s="584"/>
      <c r="Z905" s="584"/>
      <c r="AA905" s="584"/>
      <c r="AB905" s="584"/>
      <c r="AC905" s="584"/>
      <c r="AD905" s="584"/>
      <c r="AE905" s="584"/>
      <c r="AF905" s="584"/>
    </row>
    <row r="906" ht="14.25" customHeight="1">
      <c r="A906" s="584"/>
      <c r="B906" s="584"/>
      <c r="C906" s="612"/>
      <c r="D906" s="612"/>
      <c r="E906" s="584"/>
      <c r="F906" s="584"/>
      <c r="G906" s="584"/>
      <c r="H906" s="584"/>
      <c r="I906" s="584"/>
      <c r="J906" s="584"/>
      <c r="K906" s="584"/>
      <c r="L906" s="613"/>
      <c r="M906" s="613"/>
      <c r="N906" s="613"/>
      <c r="O906" s="584"/>
      <c r="P906" s="584"/>
      <c r="Q906" s="584"/>
      <c r="R906" s="584"/>
      <c r="S906" s="584"/>
      <c r="T906" s="584"/>
      <c r="U906" s="584"/>
      <c r="V906" s="584"/>
      <c r="W906" s="584"/>
      <c r="X906" s="584"/>
      <c r="Y906" s="584"/>
      <c r="Z906" s="584"/>
      <c r="AA906" s="584"/>
      <c r="AB906" s="584"/>
      <c r="AC906" s="584"/>
      <c r="AD906" s="584"/>
      <c r="AE906" s="584"/>
      <c r="AF906" s="584"/>
    </row>
    <row r="907" ht="14.25" customHeight="1">
      <c r="A907" s="584"/>
      <c r="B907" s="584"/>
      <c r="C907" s="612"/>
      <c r="D907" s="612"/>
      <c r="E907" s="584"/>
      <c r="F907" s="584"/>
      <c r="G907" s="584"/>
      <c r="H907" s="584"/>
      <c r="I907" s="584"/>
      <c r="J907" s="584"/>
      <c r="K907" s="584"/>
      <c r="L907" s="613"/>
      <c r="M907" s="613"/>
      <c r="N907" s="613"/>
      <c r="O907" s="584"/>
      <c r="P907" s="584"/>
      <c r="Q907" s="584"/>
      <c r="R907" s="584"/>
      <c r="S907" s="584"/>
      <c r="T907" s="584"/>
      <c r="U907" s="584"/>
      <c r="V907" s="584"/>
      <c r="W907" s="584"/>
      <c r="X907" s="584"/>
      <c r="Y907" s="584"/>
      <c r="Z907" s="584"/>
      <c r="AA907" s="584"/>
      <c r="AB907" s="584"/>
      <c r="AC907" s="584"/>
      <c r="AD907" s="584"/>
      <c r="AE907" s="584"/>
      <c r="AF907" s="584"/>
    </row>
    <row r="908" ht="14.25" customHeight="1">
      <c r="A908" s="584"/>
      <c r="B908" s="584"/>
      <c r="C908" s="612"/>
      <c r="D908" s="612"/>
      <c r="E908" s="584"/>
      <c r="F908" s="584"/>
      <c r="G908" s="584"/>
      <c r="H908" s="584"/>
      <c r="I908" s="584"/>
      <c r="J908" s="584"/>
      <c r="K908" s="584"/>
      <c r="L908" s="613"/>
      <c r="M908" s="613"/>
      <c r="N908" s="613"/>
      <c r="O908" s="584"/>
      <c r="P908" s="584"/>
      <c r="Q908" s="584"/>
      <c r="R908" s="584"/>
      <c r="S908" s="584"/>
      <c r="T908" s="584"/>
      <c r="U908" s="584"/>
      <c r="V908" s="584"/>
      <c r="W908" s="584"/>
      <c r="X908" s="584"/>
      <c r="Y908" s="584"/>
      <c r="Z908" s="584"/>
      <c r="AA908" s="584"/>
      <c r="AB908" s="584"/>
      <c r="AC908" s="584"/>
      <c r="AD908" s="584"/>
      <c r="AE908" s="584"/>
      <c r="AF908" s="584"/>
    </row>
    <row r="909" ht="14.25" customHeight="1">
      <c r="A909" s="584"/>
      <c r="B909" s="584"/>
      <c r="C909" s="612"/>
      <c r="D909" s="612"/>
      <c r="E909" s="616"/>
      <c r="F909" s="584"/>
      <c r="G909" s="584"/>
      <c r="H909" s="584"/>
      <c r="I909" s="584"/>
      <c r="J909" s="584"/>
      <c r="K909" s="584"/>
      <c r="L909" s="613"/>
      <c r="M909" s="613"/>
      <c r="N909" s="613"/>
      <c r="O909" s="584"/>
      <c r="P909" s="584"/>
      <c r="Q909" s="584"/>
      <c r="R909" s="584"/>
      <c r="S909" s="584"/>
      <c r="T909" s="584"/>
      <c r="U909" s="584"/>
      <c r="V909" s="584"/>
      <c r="W909" s="584"/>
      <c r="X909" s="584"/>
      <c r="Y909" s="584"/>
      <c r="Z909" s="584"/>
      <c r="AA909" s="584"/>
      <c r="AB909" s="584"/>
      <c r="AC909" s="584"/>
      <c r="AD909" s="584"/>
      <c r="AE909" s="584"/>
      <c r="AF909" s="584"/>
    </row>
    <row r="910" ht="14.25" customHeight="1">
      <c r="A910" s="584"/>
      <c r="B910" s="584"/>
      <c r="C910" s="612"/>
      <c r="D910" s="612"/>
      <c r="E910" s="584"/>
      <c r="F910" s="584"/>
      <c r="G910" s="584"/>
      <c r="H910" s="584"/>
      <c r="I910" s="584"/>
      <c r="J910" s="584"/>
      <c r="K910" s="584"/>
      <c r="L910" s="613"/>
      <c r="M910" s="613"/>
      <c r="N910" s="613"/>
      <c r="O910" s="584"/>
      <c r="P910" s="584"/>
      <c r="Q910" s="584"/>
      <c r="R910" s="584"/>
      <c r="S910" s="584"/>
      <c r="T910" s="584"/>
      <c r="U910" s="584"/>
      <c r="V910" s="584"/>
      <c r="W910" s="584"/>
      <c r="X910" s="584"/>
      <c r="Y910" s="584"/>
      <c r="Z910" s="584"/>
      <c r="AA910" s="584"/>
      <c r="AB910" s="584"/>
      <c r="AC910" s="584"/>
      <c r="AD910" s="584"/>
      <c r="AE910" s="584"/>
      <c r="AF910" s="584"/>
    </row>
    <row r="911" ht="14.25" customHeight="1">
      <c r="A911" s="584"/>
      <c r="B911" s="584"/>
      <c r="C911" s="612"/>
      <c r="D911" s="612"/>
      <c r="E911" s="584"/>
      <c r="F911" s="584"/>
      <c r="G911" s="584"/>
      <c r="H911" s="584"/>
      <c r="I911" s="584"/>
      <c r="J911" s="584"/>
      <c r="K911" s="584"/>
      <c r="L911" s="613"/>
      <c r="M911" s="613"/>
      <c r="N911" s="613"/>
      <c r="O911" s="584"/>
      <c r="P911" s="584"/>
      <c r="Q911" s="584"/>
      <c r="R911" s="584"/>
      <c r="S911" s="584"/>
      <c r="T911" s="584"/>
      <c r="U911" s="584"/>
      <c r="V911" s="584"/>
      <c r="W911" s="584"/>
      <c r="X911" s="584"/>
      <c r="Y911" s="584"/>
      <c r="Z911" s="584"/>
      <c r="AA911" s="584"/>
      <c r="AB911" s="584"/>
      <c r="AC911" s="584"/>
      <c r="AD911" s="584"/>
      <c r="AE911" s="584"/>
      <c r="AF911" s="584"/>
    </row>
    <row r="912" ht="14.25" customHeight="1">
      <c r="A912" s="584"/>
      <c r="B912" s="584"/>
      <c r="C912" s="612"/>
      <c r="D912" s="612"/>
      <c r="E912" s="584"/>
      <c r="F912" s="584"/>
      <c r="G912" s="584"/>
      <c r="H912" s="584"/>
      <c r="I912" s="584"/>
      <c r="J912" s="584"/>
      <c r="K912" s="584"/>
      <c r="L912" s="613"/>
      <c r="M912" s="613"/>
      <c r="N912" s="613"/>
      <c r="O912" s="584"/>
      <c r="P912" s="584"/>
      <c r="Q912" s="584"/>
      <c r="R912" s="584"/>
      <c r="S912" s="584"/>
      <c r="T912" s="584"/>
      <c r="U912" s="584"/>
      <c r="V912" s="584"/>
      <c r="W912" s="584"/>
      <c r="X912" s="584"/>
      <c r="Y912" s="584"/>
      <c r="Z912" s="584"/>
      <c r="AA912" s="584"/>
      <c r="AB912" s="584"/>
      <c r="AC912" s="584"/>
      <c r="AD912" s="584"/>
      <c r="AE912" s="584"/>
      <c r="AF912" s="584"/>
    </row>
    <row r="913" ht="14.25" customHeight="1">
      <c r="A913" s="584"/>
      <c r="B913" s="584"/>
      <c r="C913" s="612"/>
      <c r="D913" s="612"/>
      <c r="E913" s="584"/>
      <c r="F913" s="584"/>
      <c r="G913" s="584"/>
      <c r="H913" s="584"/>
      <c r="I913" s="584"/>
      <c r="J913" s="584"/>
      <c r="K913" s="584"/>
      <c r="L913" s="613"/>
      <c r="M913" s="613"/>
      <c r="N913" s="613"/>
      <c r="O913" s="584"/>
      <c r="P913" s="584"/>
      <c r="Q913" s="584"/>
      <c r="R913" s="584"/>
      <c r="S913" s="584"/>
      <c r="T913" s="584"/>
      <c r="U913" s="584"/>
      <c r="V913" s="584"/>
      <c r="W913" s="584"/>
      <c r="X913" s="584"/>
      <c r="Y913" s="584"/>
      <c r="Z913" s="584"/>
      <c r="AA913" s="584"/>
      <c r="AB913" s="584"/>
      <c r="AC913" s="584"/>
      <c r="AD913" s="584"/>
      <c r="AE913" s="584"/>
      <c r="AF913" s="584"/>
    </row>
    <row r="914" ht="14.25" customHeight="1">
      <c r="A914" s="584"/>
      <c r="B914" s="584"/>
      <c r="C914" s="612"/>
      <c r="D914" s="612"/>
      <c r="E914" s="584"/>
      <c r="F914" s="584"/>
      <c r="G914" s="584"/>
      <c r="H914" s="584"/>
      <c r="I914" s="584"/>
      <c r="J914" s="584"/>
      <c r="K914" s="584"/>
      <c r="L914" s="613"/>
      <c r="M914" s="613"/>
      <c r="N914" s="613"/>
      <c r="O914" s="584"/>
      <c r="P914" s="584"/>
      <c r="Q914" s="584"/>
      <c r="R914" s="584"/>
      <c r="S914" s="584"/>
      <c r="T914" s="584"/>
      <c r="U914" s="584"/>
      <c r="V914" s="584"/>
      <c r="W914" s="584"/>
      <c r="X914" s="584"/>
      <c r="Y914" s="584"/>
      <c r="Z914" s="584"/>
      <c r="AA914" s="584"/>
      <c r="AB914" s="584"/>
      <c r="AC914" s="584"/>
      <c r="AD914" s="584"/>
      <c r="AE914" s="584"/>
      <c r="AF914" s="584"/>
    </row>
    <row r="915" ht="14.25" customHeight="1">
      <c r="A915" s="584"/>
      <c r="B915" s="584"/>
      <c r="C915" s="612"/>
      <c r="D915" s="612"/>
      <c r="E915" s="584"/>
      <c r="F915" s="584"/>
      <c r="G915" s="584"/>
      <c r="H915" s="584"/>
      <c r="I915" s="584"/>
      <c r="J915" s="584"/>
      <c r="K915" s="584"/>
      <c r="L915" s="613"/>
      <c r="M915" s="613"/>
      <c r="N915" s="613"/>
      <c r="O915" s="584"/>
      <c r="P915" s="584"/>
      <c r="Q915" s="584"/>
      <c r="R915" s="584"/>
      <c r="S915" s="584"/>
      <c r="T915" s="584"/>
      <c r="U915" s="584"/>
      <c r="V915" s="584"/>
      <c r="W915" s="584"/>
      <c r="X915" s="584"/>
      <c r="Y915" s="584"/>
      <c r="Z915" s="584"/>
      <c r="AA915" s="584"/>
      <c r="AB915" s="584"/>
      <c r="AC915" s="584"/>
      <c r="AD915" s="584"/>
      <c r="AE915" s="584"/>
      <c r="AF915" s="584"/>
    </row>
    <row r="916" ht="14.25" customHeight="1">
      <c r="A916" s="584"/>
      <c r="B916" s="584"/>
      <c r="C916" s="612"/>
      <c r="D916" s="612"/>
      <c r="E916" s="584"/>
      <c r="F916" s="584"/>
      <c r="G916" s="584"/>
      <c r="H916" s="584"/>
      <c r="I916" s="584"/>
      <c r="J916" s="584"/>
      <c r="K916" s="584"/>
      <c r="L916" s="613"/>
      <c r="M916" s="613"/>
      <c r="N916" s="613"/>
      <c r="O916" s="584"/>
      <c r="P916" s="584"/>
      <c r="Q916" s="584"/>
      <c r="R916" s="584"/>
      <c r="S916" s="584"/>
      <c r="T916" s="584"/>
      <c r="U916" s="584"/>
      <c r="V916" s="584"/>
      <c r="W916" s="584"/>
      <c r="X916" s="584"/>
      <c r="Y916" s="584"/>
      <c r="Z916" s="584"/>
      <c r="AA916" s="584"/>
      <c r="AB916" s="584"/>
      <c r="AC916" s="584"/>
      <c r="AD916" s="584"/>
      <c r="AE916" s="584"/>
      <c r="AF916" s="584"/>
    </row>
    <row r="917" ht="14.25" customHeight="1">
      <c r="A917" s="584"/>
      <c r="B917" s="584"/>
      <c r="C917" s="612"/>
      <c r="D917" s="612"/>
      <c r="E917" s="584"/>
      <c r="F917" s="584"/>
      <c r="G917" s="584"/>
      <c r="H917" s="584"/>
      <c r="I917" s="584"/>
      <c r="J917" s="584"/>
      <c r="K917" s="584"/>
      <c r="L917" s="613"/>
      <c r="M917" s="613"/>
      <c r="N917" s="613"/>
      <c r="O917" s="584"/>
      <c r="P917" s="584"/>
      <c r="Q917" s="584"/>
      <c r="R917" s="584"/>
      <c r="S917" s="584"/>
      <c r="T917" s="584"/>
      <c r="U917" s="584"/>
      <c r="V917" s="584"/>
      <c r="W917" s="584"/>
      <c r="X917" s="584"/>
      <c r="Y917" s="584"/>
      <c r="Z917" s="584"/>
      <c r="AA917" s="584"/>
      <c r="AB917" s="584"/>
      <c r="AC917" s="584"/>
      <c r="AD917" s="584"/>
      <c r="AE917" s="584"/>
      <c r="AF917" s="584"/>
    </row>
    <row r="918" ht="14.25" customHeight="1">
      <c r="A918" s="584"/>
      <c r="B918" s="584"/>
      <c r="C918" s="612"/>
      <c r="D918" s="612"/>
      <c r="E918" s="584"/>
      <c r="F918" s="584"/>
      <c r="G918" s="584"/>
      <c r="H918" s="584"/>
      <c r="I918" s="584"/>
      <c r="J918" s="584"/>
      <c r="K918" s="584"/>
      <c r="L918" s="613"/>
      <c r="M918" s="613"/>
      <c r="N918" s="613"/>
      <c r="O918" s="584"/>
      <c r="P918" s="584"/>
      <c r="Q918" s="584"/>
      <c r="R918" s="584"/>
      <c r="S918" s="584"/>
      <c r="T918" s="584"/>
      <c r="U918" s="584"/>
      <c r="V918" s="584"/>
      <c r="W918" s="584"/>
      <c r="X918" s="584"/>
      <c r="Y918" s="584"/>
      <c r="Z918" s="584"/>
      <c r="AA918" s="584"/>
      <c r="AB918" s="584"/>
      <c r="AC918" s="584"/>
      <c r="AD918" s="584"/>
      <c r="AE918" s="584"/>
      <c r="AF918" s="584"/>
    </row>
    <row r="919" ht="14.25" customHeight="1">
      <c r="A919" s="584"/>
      <c r="B919" s="584"/>
      <c r="C919" s="612"/>
      <c r="D919" s="612"/>
      <c r="E919" s="584"/>
      <c r="F919" s="584"/>
      <c r="G919" s="584"/>
      <c r="H919" s="584"/>
      <c r="I919" s="584"/>
      <c r="J919" s="584"/>
      <c r="K919" s="584"/>
      <c r="L919" s="613"/>
      <c r="M919" s="613"/>
      <c r="N919" s="613"/>
      <c r="O919" s="584"/>
      <c r="P919" s="584"/>
      <c r="Q919" s="584"/>
      <c r="R919" s="584"/>
      <c r="S919" s="584"/>
      <c r="T919" s="584"/>
      <c r="U919" s="584"/>
      <c r="V919" s="584"/>
      <c r="W919" s="584"/>
      <c r="X919" s="584"/>
      <c r="Y919" s="584"/>
      <c r="Z919" s="584"/>
      <c r="AA919" s="584"/>
      <c r="AB919" s="584"/>
      <c r="AC919" s="584"/>
      <c r="AD919" s="584"/>
      <c r="AE919" s="584"/>
      <c r="AF919" s="584"/>
    </row>
    <row r="920" ht="14.25" customHeight="1">
      <c r="A920" s="584"/>
      <c r="B920" s="584"/>
      <c r="C920" s="612"/>
      <c r="D920" s="612"/>
      <c r="E920" s="584"/>
      <c r="F920" s="584"/>
      <c r="G920" s="584"/>
      <c r="H920" s="584"/>
      <c r="I920" s="584"/>
      <c r="J920" s="584"/>
      <c r="K920" s="584"/>
      <c r="L920" s="613"/>
      <c r="M920" s="613"/>
      <c r="N920" s="613"/>
      <c r="O920" s="584"/>
      <c r="P920" s="584"/>
      <c r="Q920" s="584"/>
      <c r="R920" s="584"/>
      <c r="S920" s="584"/>
      <c r="T920" s="584"/>
      <c r="U920" s="584"/>
      <c r="V920" s="584"/>
      <c r="W920" s="584"/>
      <c r="X920" s="584"/>
      <c r="Y920" s="584"/>
      <c r="Z920" s="584"/>
      <c r="AA920" s="584"/>
      <c r="AB920" s="584"/>
      <c r="AC920" s="584"/>
      <c r="AD920" s="584"/>
      <c r="AE920" s="584"/>
      <c r="AF920" s="584"/>
    </row>
    <row r="921" ht="14.25" customHeight="1">
      <c r="A921" s="584"/>
      <c r="B921" s="584"/>
      <c r="C921" s="612"/>
      <c r="D921" s="612"/>
      <c r="E921" s="584"/>
      <c r="F921" s="584"/>
      <c r="G921" s="584"/>
      <c r="H921" s="584"/>
      <c r="I921" s="584"/>
      <c r="J921" s="584"/>
      <c r="K921" s="584"/>
      <c r="L921" s="613"/>
      <c r="M921" s="613"/>
      <c r="N921" s="613"/>
      <c r="O921" s="584"/>
      <c r="P921" s="584"/>
      <c r="Q921" s="584"/>
      <c r="R921" s="584"/>
      <c r="S921" s="584"/>
      <c r="T921" s="584"/>
      <c r="U921" s="584"/>
      <c r="V921" s="584"/>
      <c r="W921" s="584"/>
      <c r="X921" s="584"/>
      <c r="Y921" s="584"/>
      <c r="Z921" s="584"/>
      <c r="AA921" s="584"/>
      <c r="AB921" s="584"/>
      <c r="AC921" s="584"/>
      <c r="AD921" s="584"/>
      <c r="AE921" s="584"/>
      <c r="AF921" s="584"/>
    </row>
    <row r="922" ht="14.25" customHeight="1">
      <c r="A922" s="584"/>
      <c r="B922" s="584"/>
      <c r="C922" s="612"/>
      <c r="D922" s="612"/>
      <c r="E922" s="584"/>
      <c r="F922" s="584"/>
      <c r="G922" s="584"/>
      <c r="H922" s="584"/>
      <c r="I922" s="584"/>
      <c r="J922" s="584"/>
      <c r="K922" s="584"/>
      <c r="L922" s="613"/>
      <c r="M922" s="613"/>
      <c r="N922" s="613"/>
      <c r="O922" s="584"/>
      <c r="P922" s="584"/>
      <c r="Q922" s="584"/>
      <c r="R922" s="584"/>
      <c r="S922" s="584"/>
      <c r="T922" s="584"/>
      <c r="U922" s="584"/>
      <c r="V922" s="584"/>
      <c r="W922" s="584"/>
      <c r="X922" s="584"/>
      <c r="Y922" s="584"/>
      <c r="Z922" s="584"/>
      <c r="AA922" s="584"/>
      <c r="AB922" s="584"/>
      <c r="AC922" s="584"/>
      <c r="AD922" s="584"/>
      <c r="AE922" s="584"/>
      <c r="AF922" s="584"/>
    </row>
    <row r="923" ht="14.25" customHeight="1">
      <c r="A923" s="584"/>
      <c r="B923" s="584"/>
      <c r="C923" s="612"/>
      <c r="D923" s="612"/>
      <c r="E923" s="584"/>
      <c r="F923" s="584"/>
      <c r="G923" s="584"/>
      <c r="H923" s="584"/>
      <c r="I923" s="584"/>
      <c r="J923" s="584"/>
      <c r="K923" s="584"/>
      <c r="L923" s="613"/>
      <c r="M923" s="613"/>
      <c r="N923" s="613"/>
      <c r="O923" s="584"/>
      <c r="P923" s="584"/>
      <c r="Q923" s="584"/>
      <c r="R923" s="584"/>
      <c r="S923" s="584"/>
      <c r="T923" s="584"/>
      <c r="U923" s="584"/>
      <c r="V923" s="584"/>
      <c r="W923" s="584"/>
      <c r="X923" s="584"/>
      <c r="Y923" s="584"/>
      <c r="Z923" s="584"/>
      <c r="AA923" s="584"/>
      <c r="AB923" s="584"/>
      <c r="AC923" s="584"/>
      <c r="AD923" s="584"/>
      <c r="AE923" s="584"/>
      <c r="AF923" s="584"/>
    </row>
    <row r="924" ht="14.25" customHeight="1">
      <c r="A924" s="584"/>
      <c r="B924" s="584"/>
      <c r="C924" s="612"/>
      <c r="D924" s="612"/>
      <c r="E924" s="584"/>
      <c r="F924" s="584"/>
      <c r="G924" s="584"/>
      <c r="H924" s="584"/>
      <c r="I924" s="584"/>
      <c r="J924" s="584"/>
      <c r="K924" s="584"/>
      <c r="L924" s="613"/>
      <c r="M924" s="613"/>
      <c r="N924" s="613"/>
      <c r="O924" s="584"/>
      <c r="P924" s="584"/>
      <c r="Q924" s="584"/>
      <c r="R924" s="584"/>
      <c r="S924" s="584"/>
      <c r="T924" s="584"/>
      <c r="U924" s="584"/>
      <c r="V924" s="584"/>
      <c r="W924" s="584"/>
      <c r="X924" s="584"/>
      <c r="Y924" s="584"/>
      <c r="Z924" s="584"/>
      <c r="AA924" s="584"/>
      <c r="AB924" s="584"/>
      <c r="AC924" s="584"/>
      <c r="AD924" s="584"/>
      <c r="AE924" s="584"/>
      <c r="AF924" s="584"/>
    </row>
    <row r="925" ht="14.25" customHeight="1">
      <c r="A925" s="584"/>
      <c r="B925" s="584"/>
      <c r="C925" s="612"/>
      <c r="D925" s="612"/>
      <c r="E925" s="584"/>
      <c r="F925" s="584"/>
      <c r="G925" s="584"/>
      <c r="H925" s="584"/>
      <c r="I925" s="584"/>
      <c r="J925" s="584"/>
      <c r="K925" s="584"/>
      <c r="L925" s="613"/>
      <c r="M925" s="613"/>
      <c r="N925" s="613"/>
      <c r="O925" s="584"/>
      <c r="P925" s="584"/>
      <c r="Q925" s="584"/>
      <c r="R925" s="584"/>
      <c r="S925" s="584"/>
      <c r="T925" s="584"/>
      <c r="U925" s="584"/>
      <c r="V925" s="584"/>
      <c r="W925" s="584"/>
      <c r="X925" s="584"/>
      <c r="Y925" s="584"/>
      <c r="Z925" s="584"/>
      <c r="AA925" s="584"/>
      <c r="AB925" s="584"/>
      <c r="AC925" s="584"/>
      <c r="AD925" s="584"/>
      <c r="AE925" s="584"/>
      <c r="AF925" s="584"/>
    </row>
    <row r="926" ht="14.25" customHeight="1">
      <c r="A926" s="584"/>
      <c r="B926" s="584"/>
      <c r="C926" s="612"/>
      <c r="D926" s="612"/>
      <c r="E926" s="584"/>
      <c r="F926" s="584"/>
      <c r="G926" s="584"/>
      <c r="H926" s="584"/>
      <c r="I926" s="584"/>
      <c r="J926" s="584"/>
      <c r="K926" s="584"/>
      <c r="L926" s="613"/>
      <c r="M926" s="613"/>
      <c r="N926" s="613"/>
      <c r="O926" s="584"/>
      <c r="P926" s="584"/>
      <c r="Q926" s="584"/>
      <c r="R926" s="584"/>
      <c r="S926" s="584"/>
      <c r="T926" s="584"/>
      <c r="U926" s="584"/>
      <c r="V926" s="584"/>
      <c r="W926" s="584"/>
      <c r="X926" s="584"/>
      <c r="Y926" s="584"/>
      <c r="Z926" s="584"/>
      <c r="AA926" s="584"/>
      <c r="AB926" s="584"/>
      <c r="AC926" s="584"/>
      <c r="AD926" s="584"/>
      <c r="AE926" s="584"/>
      <c r="AF926" s="584"/>
    </row>
    <row r="927" ht="14.25" customHeight="1">
      <c r="A927" s="584"/>
      <c r="B927" s="584"/>
      <c r="C927" s="612"/>
      <c r="D927" s="612"/>
      <c r="E927" s="584"/>
      <c r="F927" s="584"/>
      <c r="G927" s="584"/>
      <c r="H927" s="584"/>
      <c r="I927" s="584"/>
      <c r="J927" s="584"/>
      <c r="K927" s="584"/>
      <c r="L927" s="613"/>
      <c r="M927" s="613"/>
      <c r="N927" s="613"/>
      <c r="O927" s="584"/>
      <c r="P927" s="584"/>
      <c r="Q927" s="584"/>
      <c r="R927" s="584"/>
      <c r="S927" s="584"/>
      <c r="T927" s="584"/>
      <c r="U927" s="584"/>
      <c r="V927" s="584"/>
      <c r="W927" s="584"/>
      <c r="X927" s="584"/>
      <c r="Y927" s="584"/>
      <c r="Z927" s="584"/>
      <c r="AA927" s="584"/>
      <c r="AB927" s="584"/>
      <c r="AC927" s="584"/>
      <c r="AD927" s="584"/>
      <c r="AE927" s="584"/>
      <c r="AF927" s="584"/>
    </row>
    <row r="928" ht="14.25" customHeight="1">
      <c r="A928" s="584"/>
      <c r="B928" s="584"/>
      <c r="C928" s="612"/>
      <c r="D928" s="612"/>
      <c r="E928" s="584"/>
      <c r="F928" s="584"/>
      <c r="G928" s="584"/>
      <c r="H928" s="584"/>
      <c r="I928" s="584"/>
      <c r="J928" s="584"/>
      <c r="K928" s="584"/>
      <c r="L928" s="613"/>
      <c r="M928" s="613"/>
      <c r="N928" s="613"/>
      <c r="O928" s="584"/>
      <c r="P928" s="584"/>
      <c r="Q928" s="584"/>
      <c r="R928" s="584"/>
      <c r="S928" s="584"/>
      <c r="T928" s="584"/>
      <c r="U928" s="584"/>
      <c r="V928" s="584"/>
      <c r="W928" s="584"/>
      <c r="X928" s="584"/>
      <c r="Y928" s="584"/>
      <c r="Z928" s="584"/>
      <c r="AA928" s="584"/>
      <c r="AB928" s="584"/>
      <c r="AC928" s="584"/>
      <c r="AD928" s="584"/>
      <c r="AE928" s="584"/>
      <c r="AF928" s="584"/>
    </row>
    <row r="929" ht="14.25" customHeight="1">
      <c r="A929" s="584"/>
      <c r="B929" s="584"/>
      <c r="C929" s="612"/>
      <c r="D929" s="612"/>
      <c r="E929" s="584"/>
      <c r="F929" s="584"/>
      <c r="G929" s="584"/>
      <c r="H929" s="584"/>
      <c r="I929" s="584"/>
      <c r="J929" s="584"/>
      <c r="K929" s="584"/>
      <c r="L929" s="613"/>
      <c r="M929" s="613"/>
      <c r="N929" s="613"/>
      <c r="O929" s="584"/>
      <c r="P929" s="584"/>
      <c r="Q929" s="584"/>
      <c r="R929" s="584"/>
      <c r="S929" s="584"/>
      <c r="T929" s="584"/>
      <c r="U929" s="584"/>
      <c r="V929" s="584"/>
      <c r="W929" s="584"/>
      <c r="X929" s="584"/>
      <c r="Y929" s="584"/>
      <c r="Z929" s="584"/>
      <c r="AA929" s="584"/>
      <c r="AB929" s="584"/>
      <c r="AC929" s="584"/>
      <c r="AD929" s="584"/>
      <c r="AE929" s="584"/>
      <c r="AF929" s="584"/>
    </row>
    <row r="930" ht="14.25" customHeight="1">
      <c r="A930" s="584"/>
      <c r="B930" s="584"/>
      <c r="C930" s="612"/>
      <c r="D930" s="612"/>
      <c r="E930" s="584"/>
      <c r="F930" s="584"/>
      <c r="G930" s="584"/>
      <c r="H930" s="584"/>
      <c r="I930" s="584"/>
      <c r="J930" s="584"/>
      <c r="K930" s="584"/>
      <c r="L930" s="613"/>
      <c r="M930" s="613"/>
      <c r="N930" s="613"/>
      <c r="O930" s="584"/>
      <c r="P930" s="584"/>
      <c r="Q930" s="584"/>
      <c r="R930" s="584"/>
      <c r="S930" s="584"/>
      <c r="T930" s="584"/>
      <c r="U930" s="584"/>
      <c r="V930" s="584"/>
      <c r="W930" s="584"/>
      <c r="X930" s="584"/>
      <c r="Y930" s="584"/>
      <c r="Z930" s="584"/>
      <c r="AA930" s="584"/>
      <c r="AB930" s="584"/>
      <c r="AC930" s="584"/>
      <c r="AD930" s="584"/>
      <c r="AE930" s="584"/>
      <c r="AF930" s="584"/>
    </row>
    <row r="931" ht="14.25" customHeight="1">
      <c r="A931" s="584"/>
      <c r="B931" s="584"/>
      <c r="C931" s="612"/>
      <c r="D931" s="612"/>
      <c r="E931" s="584"/>
      <c r="F931" s="584"/>
      <c r="G931" s="584"/>
      <c r="H931" s="584"/>
      <c r="I931" s="584"/>
      <c r="J931" s="584"/>
      <c r="K931" s="584"/>
      <c r="L931" s="613"/>
      <c r="M931" s="613"/>
      <c r="N931" s="613"/>
      <c r="O931" s="584"/>
      <c r="P931" s="584"/>
      <c r="Q931" s="584"/>
      <c r="R931" s="584"/>
      <c r="S931" s="584"/>
      <c r="T931" s="584"/>
      <c r="U931" s="584"/>
      <c r="V931" s="584"/>
      <c r="W931" s="584"/>
      <c r="X931" s="584"/>
      <c r="Y931" s="584"/>
      <c r="Z931" s="584"/>
      <c r="AA931" s="584"/>
      <c r="AB931" s="584"/>
      <c r="AC931" s="584"/>
      <c r="AD931" s="584"/>
      <c r="AE931" s="584"/>
      <c r="AF931" s="584"/>
    </row>
    <row r="932" ht="14.25" customHeight="1">
      <c r="A932" s="584"/>
      <c r="B932" s="584"/>
      <c r="C932" s="612"/>
      <c r="D932" s="612"/>
      <c r="E932" s="584"/>
      <c r="F932" s="584"/>
      <c r="G932" s="584"/>
      <c r="H932" s="584"/>
      <c r="I932" s="584"/>
      <c r="J932" s="584"/>
      <c r="K932" s="584"/>
      <c r="L932" s="613"/>
      <c r="M932" s="613"/>
      <c r="N932" s="613"/>
      <c r="O932" s="584"/>
      <c r="P932" s="584"/>
      <c r="Q932" s="584"/>
      <c r="R932" s="584"/>
      <c r="S932" s="584"/>
      <c r="T932" s="584"/>
      <c r="U932" s="584"/>
      <c r="V932" s="584"/>
      <c r="W932" s="584"/>
      <c r="X932" s="584"/>
      <c r="Y932" s="584"/>
      <c r="Z932" s="584"/>
      <c r="AA932" s="584"/>
      <c r="AB932" s="584"/>
      <c r="AC932" s="584"/>
      <c r="AD932" s="584"/>
      <c r="AE932" s="584"/>
      <c r="AF932" s="584"/>
    </row>
    <row r="933" ht="14.25" customHeight="1">
      <c r="A933" s="584"/>
      <c r="B933" s="584"/>
      <c r="C933" s="612"/>
      <c r="D933" s="612"/>
      <c r="E933" s="584"/>
      <c r="F933" s="584"/>
      <c r="G933" s="584"/>
      <c r="H933" s="584"/>
      <c r="I933" s="584"/>
      <c r="J933" s="584"/>
      <c r="K933" s="584"/>
      <c r="L933" s="613"/>
      <c r="M933" s="613"/>
      <c r="N933" s="614"/>
      <c r="O933" s="584"/>
      <c r="P933" s="584"/>
      <c r="Q933" s="584"/>
      <c r="R933" s="584"/>
      <c r="S933" s="584"/>
      <c r="T933" s="584"/>
      <c r="U933" s="584"/>
      <c r="V933" s="584"/>
      <c r="W933" s="584"/>
      <c r="X933" s="584"/>
      <c r="Y933" s="584"/>
      <c r="Z933" s="584"/>
      <c r="AA933" s="584"/>
      <c r="AB933" s="584"/>
      <c r="AC933" s="584"/>
      <c r="AD933" s="584"/>
      <c r="AE933" s="584"/>
      <c r="AF933" s="584"/>
    </row>
    <row r="934" ht="14.25" customHeight="1">
      <c r="A934" s="584"/>
      <c r="B934" s="584"/>
      <c r="C934" s="612"/>
      <c r="D934" s="612"/>
      <c r="E934" s="584"/>
      <c r="F934" s="584"/>
      <c r="G934" s="584"/>
      <c r="H934" s="584"/>
      <c r="I934" s="584"/>
      <c r="J934" s="584"/>
      <c r="K934" s="584"/>
      <c r="L934" s="613"/>
      <c r="M934" s="613"/>
      <c r="N934" s="613"/>
      <c r="O934" s="584"/>
      <c r="P934" s="584"/>
      <c r="Q934" s="584"/>
      <c r="R934" s="584"/>
      <c r="S934" s="584"/>
      <c r="T934" s="584"/>
      <c r="U934" s="584"/>
      <c r="V934" s="584"/>
      <c r="W934" s="584"/>
      <c r="X934" s="584"/>
      <c r="Y934" s="584"/>
      <c r="Z934" s="584"/>
      <c r="AA934" s="584"/>
      <c r="AB934" s="584"/>
      <c r="AC934" s="584"/>
      <c r="AD934" s="584"/>
      <c r="AE934" s="584"/>
      <c r="AF934" s="584"/>
    </row>
    <row r="935" ht="14.25" customHeight="1">
      <c r="A935" s="584"/>
      <c r="B935" s="584"/>
      <c r="C935" s="612"/>
      <c r="D935" s="612"/>
      <c r="E935" s="584"/>
      <c r="F935" s="584"/>
      <c r="G935" s="584"/>
      <c r="H935" s="584"/>
      <c r="I935" s="584"/>
      <c r="J935" s="584"/>
      <c r="K935" s="584"/>
      <c r="L935" s="613"/>
      <c r="M935" s="613"/>
      <c r="N935" s="613"/>
      <c r="O935" s="584"/>
      <c r="P935" s="584"/>
      <c r="Q935" s="584"/>
      <c r="R935" s="584"/>
      <c r="S935" s="584"/>
      <c r="T935" s="584"/>
      <c r="U935" s="584"/>
      <c r="V935" s="584"/>
      <c r="W935" s="584"/>
      <c r="X935" s="584"/>
      <c r="Y935" s="584"/>
      <c r="Z935" s="584"/>
      <c r="AA935" s="584"/>
      <c r="AB935" s="584"/>
      <c r="AC935" s="584"/>
      <c r="AD935" s="584"/>
      <c r="AE935" s="584"/>
      <c r="AF935" s="584"/>
    </row>
    <row r="936" ht="14.25" customHeight="1">
      <c r="A936" s="584"/>
      <c r="B936" s="584"/>
      <c r="C936" s="612"/>
      <c r="D936" s="612"/>
      <c r="E936" s="584"/>
      <c r="F936" s="584"/>
      <c r="G936" s="584"/>
      <c r="H936" s="584"/>
      <c r="I936" s="584"/>
      <c r="J936" s="584"/>
      <c r="K936" s="584"/>
      <c r="L936" s="613"/>
      <c r="M936" s="613"/>
      <c r="N936" s="613"/>
      <c r="O936" s="584"/>
      <c r="P936" s="584"/>
      <c r="Q936" s="584"/>
      <c r="R936" s="584"/>
      <c r="S936" s="584"/>
      <c r="T936" s="584"/>
      <c r="U936" s="584"/>
      <c r="V936" s="584"/>
      <c r="W936" s="584"/>
      <c r="X936" s="584"/>
      <c r="Y936" s="584"/>
      <c r="Z936" s="584"/>
      <c r="AA936" s="584"/>
      <c r="AB936" s="584"/>
      <c r="AC936" s="584"/>
      <c r="AD936" s="584"/>
      <c r="AE936" s="584"/>
      <c r="AF936" s="584"/>
    </row>
    <row r="937" ht="14.25" customHeight="1">
      <c r="A937" s="584"/>
      <c r="B937" s="584"/>
      <c r="C937" s="612"/>
      <c r="D937" s="612"/>
      <c r="E937" s="584"/>
      <c r="F937" s="584"/>
      <c r="G937" s="584"/>
      <c r="H937" s="584"/>
      <c r="I937" s="584"/>
      <c r="J937" s="584"/>
      <c r="K937" s="584"/>
      <c r="L937" s="613"/>
      <c r="M937" s="613"/>
      <c r="N937" s="613"/>
      <c r="O937" s="584"/>
      <c r="P937" s="584"/>
      <c r="Q937" s="584"/>
      <c r="R937" s="584"/>
      <c r="S937" s="584"/>
      <c r="T937" s="584"/>
      <c r="U937" s="584"/>
      <c r="V937" s="584"/>
      <c r="W937" s="584"/>
      <c r="X937" s="584"/>
      <c r="Y937" s="584"/>
      <c r="Z937" s="584"/>
      <c r="AA937" s="584"/>
      <c r="AB937" s="584"/>
      <c r="AC937" s="584"/>
      <c r="AD937" s="584"/>
      <c r="AE937" s="584"/>
      <c r="AF937" s="584"/>
    </row>
    <row r="938" ht="14.25" customHeight="1">
      <c r="A938" s="584"/>
      <c r="B938" s="584"/>
      <c r="C938" s="612"/>
      <c r="D938" s="612"/>
      <c r="E938" s="584"/>
      <c r="F938" s="584"/>
      <c r="G938" s="584"/>
      <c r="H938" s="584"/>
      <c r="I938" s="584"/>
      <c r="J938" s="584"/>
      <c r="K938" s="584"/>
      <c r="L938" s="613"/>
      <c r="M938" s="613"/>
      <c r="N938" s="613"/>
      <c r="O938" s="584"/>
      <c r="P938" s="584"/>
      <c r="Q938" s="584"/>
      <c r="R938" s="584"/>
      <c r="S938" s="584"/>
      <c r="T938" s="584"/>
      <c r="U938" s="584"/>
      <c r="V938" s="584"/>
      <c r="W938" s="584"/>
      <c r="X938" s="584"/>
      <c r="Y938" s="584"/>
      <c r="Z938" s="584"/>
      <c r="AA938" s="584"/>
      <c r="AB938" s="584"/>
      <c r="AC938" s="584"/>
      <c r="AD938" s="584"/>
      <c r="AE938" s="584"/>
      <c r="AF938" s="584"/>
    </row>
    <row r="939" ht="14.25" customHeight="1">
      <c r="A939" s="584"/>
      <c r="B939" s="584"/>
      <c r="C939" s="612"/>
      <c r="D939" s="612"/>
      <c r="E939" s="584"/>
      <c r="F939" s="584"/>
      <c r="G939" s="584"/>
      <c r="H939" s="584"/>
      <c r="I939" s="584"/>
      <c r="J939" s="584"/>
      <c r="K939" s="584"/>
      <c r="L939" s="613"/>
      <c r="M939" s="613"/>
      <c r="N939" s="613"/>
      <c r="O939" s="584"/>
      <c r="P939" s="584"/>
      <c r="Q939" s="584"/>
      <c r="R939" s="584"/>
      <c r="S939" s="584"/>
      <c r="T939" s="584"/>
      <c r="U939" s="584"/>
      <c r="V939" s="584"/>
      <c r="W939" s="584"/>
      <c r="X939" s="584"/>
      <c r="Y939" s="584"/>
      <c r="Z939" s="584"/>
      <c r="AA939" s="584"/>
      <c r="AB939" s="584"/>
      <c r="AC939" s="584"/>
      <c r="AD939" s="584"/>
      <c r="AE939" s="584"/>
      <c r="AF939" s="584"/>
    </row>
    <row r="940" ht="14.25" customHeight="1">
      <c r="A940" s="584"/>
      <c r="B940" s="584"/>
      <c r="C940" s="612"/>
      <c r="D940" s="612"/>
      <c r="E940" s="584"/>
      <c r="F940" s="584"/>
      <c r="G940" s="584"/>
      <c r="H940" s="584"/>
      <c r="I940" s="584"/>
      <c r="J940" s="584"/>
      <c r="K940" s="584"/>
      <c r="L940" s="613"/>
      <c r="M940" s="613"/>
      <c r="N940" s="613"/>
      <c r="O940" s="584"/>
      <c r="P940" s="584"/>
      <c r="Q940" s="584"/>
      <c r="R940" s="584"/>
      <c r="S940" s="584"/>
      <c r="T940" s="584"/>
      <c r="U940" s="584"/>
      <c r="V940" s="584"/>
      <c r="W940" s="584"/>
      <c r="X940" s="584"/>
      <c r="Y940" s="584"/>
      <c r="Z940" s="584"/>
      <c r="AA940" s="584"/>
      <c r="AB940" s="584"/>
      <c r="AC940" s="584"/>
      <c r="AD940" s="584"/>
      <c r="AE940" s="584"/>
      <c r="AF940" s="584"/>
    </row>
    <row r="941" ht="14.25" customHeight="1">
      <c r="A941" s="584"/>
      <c r="B941" s="584"/>
      <c r="C941" s="612"/>
      <c r="D941" s="612"/>
      <c r="E941" s="584"/>
      <c r="F941" s="584"/>
      <c r="G941" s="584"/>
      <c r="H941" s="584"/>
      <c r="I941" s="584"/>
      <c r="J941" s="584"/>
      <c r="K941" s="584"/>
      <c r="L941" s="613"/>
      <c r="M941" s="613"/>
      <c r="N941" s="613"/>
      <c r="O941" s="584"/>
      <c r="P941" s="584"/>
      <c r="Q941" s="584"/>
      <c r="R941" s="584"/>
      <c r="S941" s="584"/>
      <c r="T941" s="584"/>
      <c r="U941" s="584"/>
      <c r="V941" s="584"/>
      <c r="W941" s="584"/>
      <c r="X941" s="584"/>
      <c r="Y941" s="584"/>
      <c r="Z941" s="584"/>
      <c r="AA941" s="584"/>
      <c r="AB941" s="584"/>
      <c r="AC941" s="584"/>
      <c r="AD941" s="584"/>
      <c r="AE941" s="584"/>
      <c r="AF941" s="584"/>
    </row>
    <row r="942" ht="14.25" customHeight="1">
      <c r="A942" s="584"/>
      <c r="B942" s="584"/>
      <c r="C942" s="612"/>
      <c r="D942" s="612"/>
      <c r="E942" s="584"/>
      <c r="F942" s="584"/>
      <c r="G942" s="584"/>
      <c r="H942" s="584"/>
      <c r="I942" s="584"/>
      <c r="J942" s="584"/>
      <c r="K942" s="584"/>
      <c r="L942" s="613"/>
      <c r="M942" s="613"/>
      <c r="N942" s="613"/>
      <c r="O942" s="584"/>
      <c r="P942" s="584"/>
      <c r="Q942" s="584"/>
      <c r="R942" s="584"/>
      <c r="S942" s="584"/>
      <c r="T942" s="584"/>
      <c r="U942" s="584"/>
      <c r="V942" s="584"/>
      <c r="W942" s="584"/>
      <c r="X942" s="584"/>
      <c r="Y942" s="584"/>
      <c r="Z942" s="584"/>
      <c r="AA942" s="584"/>
      <c r="AB942" s="584"/>
      <c r="AC942" s="584"/>
      <c r="AD942" s="584"/>
      <c r="AE942" s="584"/>
      <c r="AF942" s="584"/>
    </row>
    <row r="943" ht="14.25" customHeight="1">
      <c r="A943" s="584"/>
      <c r="B943" s="584"/>
      <c r="C943" s="612"/>
      <c r="D943" s="612"/>
      <c r="E943" s="584"/>
      <c r="F943" s="584"/>
      <c r="G943" s="584"/>
      <c r="H943" s="584"/>
      <c r="I943" s="584"/>
      <c r="J943" s="584"/>
      <c r="K943" s="584"/>
      <c r="L943" s="613"/>
      <c r="M943" s="613"/>
      <c r="N943" s="613"/>
      <c r="O943" s="584"/>
      <c r="P943" s="584"/>
      <c r="Q943" s="584"/>
      <c r="R943" s="584"/>
      <c r="S943" s="584"/>
      <c r="T943" s="584"/>
      <c r="U943" s="584"/>
      <c r="V943" s="584"/>
      <c r="W943" s="584"/>
      <c r="X943" s="584"/>
      <c r="Y943" s="584"/>
      <c r="Z943" s="584"/>
      <c r="AA943" s="584"/>
      <c r="AB943" s="584"/>
      <c r="AC943" s="584"/>
      <c r="AD943" s="584"/>
      <c r="AE943" s="584"/>
      <c r="AF943" s="584"/>
    </row>
    <row r="944" ht="14.25" customHeight="1">
      <c r="A944" s="584"/>
      <c r="B944" s="584"/>
      <c r="C944" s="612"/>
      <c r="D944" s="612"/>
      <c r="E944" s="584"/>
      <c r="F944" s="584"/>
      <c r="G944" s="584"/>
      <c r="H944" s="584"/>
      <c r="I944" s="584"/>
      <c r="J944" s="584"/>
      <c r="K944" s="584"/>
      <c r="L944" s="613"/>
      <c r="M944" s="613"/>
      <c r="N944" s="613"/>
      <c r="O944" s="584"/>
      <c r="P944" s="584"/>
      <c r="Q944" s="584"/>
      <c r="R944" s="584"/>
      <c r="S944" s="584"/>
      <c r="T944" s="584"/>
      <c r="U944" s="584"/>
      <c r="V944" s="584"/>
      <c r="W944" s="584"/>
      <c r="X944" s="584"/>
      <c r="Y944" s="584"/>
      <c r="Z944" s="584"/>
      <c r="AA944" s="584"/>
      <c r="AB944" s="584"/>
      <c r="AC944" s="584"/>
      <c r="AD944" s="584"/>
      <c r="AE944" s="584"/>
      <c r="AF944" s="584"/>
    </row>
    <row r="945" ht="14.25" customHeight="1">
      <c r="A945" s="584"/>
      <c r="B945" s="584"/>
      <c r="C945" s="612"/>
      <c r="D945" s="612"/>
      <c r="E945" s="584"/>
      <c r="F945" s="584"/>
      <c r="G945" s="584"/>
      <c r="H945" s="584"/>
      <c r="I945" s="584"/>
      <c r="J945" s="584"/>
      <c r="K945" s="584"/>
      <c r="L945" s="613"/>
      <c r="M945" s="613"/>
      <c r="N945" s="613"/>
      <c r="O945" s="584"/>
      <c r="P945" s="584"/>
      <c r="Q945" s="584"/>
      <c r="R945" s="584"/>
      <c r="S945" s="584"/>
      <c r="T945" s="584"/>
      <c r="U945" s="584"/>
      <c r="V945" s="584"/>
      <c r="W945" s="584"/>
      <c r="X945" s="584"/>
      <c r="Y945" s="584"/>
      <c r="Z945" s="584"/>
      <c r="AA945" s="584"/>
      <c r="AB945" s="584"/>
      <c r="AC945" s="584"/>
      <c r="AD945" s="584"/>
      <c r="AE945" s="584"/>
      <c r="AF945" s="584"/>
    </row>
    <row r="946" ht="14.25" customHeight="1">
      <c r="A946" s="584"/>
      <c r="B946" s="584"/>
      <c r="C946" s="612"/>
      <c r="D946" s="612"/>
      <c r="E946" s="584"/>
      <c r="F946" s="584"/>
      <c r="G946" s="584"/>
      <c r="H946" s="584"/>
      <c r="I946" s="584"/>
      <c r="J946" s="584"/>
      <c r="K946" s="584"/>
      <c r="L946" s="613"/>
      <c r="M946" s="613"/>
      <c r="N946" s="613"/>
      <c r="O946" s="584"/>
      <c r="P946" s="584"/>
      <c r="Q946" s="584"/>
      <c r="R946" s="584"/>
      <c r="S946" s="584"/>
      <c r="T946" s="584"/>
      <c r="U946" s="584"/>
      <c r="V946" s="584"/>
      <c r="W946" s="584"/>
      <c r="X946" s="584"/>
      <c r="Y946" s="584"/>
      <c r="Z946" s="584"/>
      <c r="AA946" s="584"/>
      <c r="AB946" s="584"/>
      <c r="AC946" s="584"/>
      <c r="AD946" s="584"/>
      <c r="AE946" s="584"/>
      <c r="AF946" s="584"/>
    </row>
    <row r="947" ht="14.25" customHeight="1">
      <c r="A947" s="584"/>
      <c r="B947" s="584"/>
      <c r="C947" s="612"/>
      <c r="D947" s="612"/>
      <c r="E947" s="584"/>
      <c r="F947" s="584"/>
      <c r="G947" s="584"/>
      <c r="H947" s="584"/>
      <c r="I947" s="584"/>
      <c r="J947" s="584"/>
      <c r="K947" s="584"/>
      <c r="L947" s="613"/>
      <c r="M947" s="613"/>
      <c r="N947" s="613"/>
      <c r="O947" s="584"/>
      <c r="P947" s="584"/>
      <c r="Q947" s="584"/>
      <c r="R947" s="584"/>
      <c r="S947" s="584"/>
      <c r="T947" s="584"/>
      <c r="U947" s="584"/>
      <c r="V947" s="584"/>
      <c r="W947" s="584"/>
      <c r="X947" s="584"/>
      <c r="Y947" s="584"/>
      <c r="Z947" s="584"/>
      <c r="AA947" s="584"/>
      <c r="AB947" s="584"/>
      <c r="AC947" s="584"/>
      <c r="AD947" s="584"/>
      <c r="AE947" s="584"/>
      <c r="AF947" s="584"/>
    </row>
    <row r="948" ht="14.25" customHeight="1">
      <c r="A948" s="584"/>
      <c r="B948" s="584"/>
      <c r="C948" s="612"/>
      <c r="D948" s="612"/>
      <c r="E948" s="584"/>
      <c r="F948" s="584"/>
      <c r="G948" s="584"/>
      <c r="H948" s="584"/>
      <c r="I948" s="584"/>
      <c r="J948" s="584"/>
      <c r="K948" s="584"/>
      <c r="L948" s="613"/>
      <c r="M948" s="613"/>
      <c r="N948" s="613"/>
      <c r="O948" s="584"/>
      <c r="P948" s="584"/>
      <c r="Q948" s="584"/>
      <c r="R948" s="584"/>
      <c r="S948" s="584"/>
      <c r="T948" s="584"/>
      <c r="U948" s="584"/>
      <c r="V948" s="584"/>
      <c r="W948" s="584"/>
      <c r="X948" s="584"/>
      <c r="Y948" s="584"/>
      <c r="Z948" s="584"/>
      <c r="AA948" s="584"/>
      <c r="AB948" s="584"/>
      <c r="AC948" s="584"/>
      <c r="AD948" s="584"/>
      <c r="AE948" s="584"/>
      <c r="AF948" s="584"/>
    </row>
    <row r="949" ht="14.25" customHeight="1">
      <c r="A949" s="584"/>
      <c r="B949" s="584"/>
      <c r="C949" s="612"/>
      <c r="D949" s="612"/>
      <c r="E949" s="584"/>
      <c r="F949" s="584"/>
      <c r="G949" s="584"/>
      <c r="H949" s="584"/>
      <c r="I949" s="584"/>
      <c r="J949" s="584"/>
      <c r="K949" s="584"/>
      <c r="L949" s="613"/>
      <c r="M949" s="613"/>
      <c r="N949" s="613"/>
      <c r="O949" s="584"/>
      <c r="P949" s="584"/>
      <c r="Q949" s="584"/>
      <c r="R949" s="584"/>
      <c r="S949" s="584"/>
      <c r="T949" s="584"/>
      <c r="U949" s="584"/>
      <c r="V949" s="584"/>
      <c r="W949" s="584"/>
      <c r="X949" s="584"/>
      <c r="Y949" s="584"/>
      <c r="Z949" s="584"/>
      <c r="AA949" s="584"/>
      <c r="AB949" s="584"/>
      <c r="AC949" s="584"/>
      <c r="AD949" s="584"/>
      <c r="AE949" s="584"/>
      <c r="AF949" s="584"/>
    </row>
    <row r="950" ht="14.25" customHeight="1">
      <c r="A950" s="584"/>
      <c r="B950" s="584"/>
      <c r="C950" s="612"/>
      <c r="D950" s="612"/>
      <c r="E950" s="584"/>
      <c r="F950" s="584"/>
      <c r="G950" s="584"/>
      <c r="H950" s="584"/>
      <c r="I950" s="584"/>
      <c r="J950" s="584"/>
      <c r="K950" s="584"/>
      <c r="L950" s="615"/>
      <c r="M950" s="615"/>
      <c r="N950" s="615"/>
      <c r="O950" s="584"/>
      <c r="P950" s="584"/>
      <c r="Q950" s="584"/>
      <c r="R950" s="584"/>
      <c r="S950" s="584"/>
      <c r="T950" s="584"/>
      <c r="U950" s="584"/>
      <c r="V950" s="584"/>
      <c r="W950" s="584"/>
      <c r="X950" s="584"/>
      <c r="Y950" s="584"/>
      <c r="Z950" s="584"/>
      <c r="AA950" s="584"/>
      <c r="AB950" s="584"/>
      <c r="AC950" s="584"/>
      <c r="AD950" s="584"/>
      <c r="AE950" s="584"/>
      <c r="AF950" s="584"/>
    </row>
    <row r="951" ht="14.25" customHeight="1">
      <c r="A951" s="584"/>
      <c r="B951" s="584"/>
      <c r="C951" s="612"/>
      <c r="D951" s="612"/>
      <c r="E951" s="584"/>
      <c r="F951" s="584"/>
      <c r="G951" s="584"/>
      <c r="H951" s="584"/>
      <c r="I951" s="584"/>
      <c r="J951" s="584"/>
      <c r="K951" s="584"/>
      <c r="L951" s="613"/>
      <c r="M951" s="613"/>
      <c r="N951" s="613"/>
      <c r="O951" s="584"/>
      <c r="P951" s="584"/>
      <c r="Q951" s="584"/>
      <c r="R951" s="584"/>
      <c r="S951" s="584"/>
      <c r="T951" s="584"/>
      <c r="U951" s="584"/>
      <c r="V951" s="584"/>
      <c r="W951" s="584"/>
      <c r="X951" s="584"/>
      <c r="Y951" s="584"/>
      <c r="Z951" s="584"/>
      <c r="AA951" s="584"/>
      <c r="AB951" s="584"/>
      <c r="AC951" s="584"/>
      <c r="AD951" s="584"/>
      <c r="AE951" s="584"/>
      <c r="AF951" s="584"/>
    </row>
    <row r="952" ht="14.25" customHeight="1">
      <c r="A952" s="584"/>
      <c r="B952" s="584"/>
      <c r="C952" s="612"/>
      <c r="D952" s="612"/>
      <c r="E952" s="584"/>
      <c r="F952" s="584"/>
      <c r="G952" s="584"/>
      <c r="H952" s="584"/>
      <c r="I952" s="584"/>
      <c r="J952" s="584"/>
      <c r="K952" s="584"/>
      <c r="L952" s="613"/>
      <c r="M952" s="613"/>
      <c r="N952" s="613"/>
      <c r="O952" s="584"/>
      <c r="P952" s="584"/>
      <c r="Q952" s="584"/>
      <c r="R952" s="584"/>
      <c r="S952" s="584"/>
      <c r="T952" s="584"/>
      <c r="U952" s="584"/>
      <c r="V952" s="584"/>
      <c r="W952" s="584"/>
      <c r="X952" s="584"/>
      <c r="Y952" s="584"/>
      <c r="Z952" s="584"/>
      <c r="AA952" s="584"/>
      <c r="AB952" s="584"/>
      <c r="AC952" s="584"/>
      <c r="AD952" s="584"/>
      <c r="AE952" s="584"/>
      <c r="AF952" s="584"/>
    </row>
    <row r="953" ht="14.25" customHeight="1">
      <c r="A953" s="584"/>
      <c r="B953" s="584"/>
      <c r="C953" s="612"/>
      <c r="D953" s="612"/>
      <c r="E953" s="584"/>
      <c r="F953" s="584"/>
      <c r="G953" s="584"/>
      <c r="H953" s="584"/>
      <c r="I953" s="584"/>
      <c r="J953" s="584"/>
      <c r="K953" s="584"/>
      <c r="L953" s="613"/>
      <c r="M953" s="613"/>
      <c r="N953" s="613"/>
      <c r="O953" s="584"/>
      <c r="P953" s="584"/>
      <c r="Q953" s="584"/>
      <c r="R953" s="584"/>
      <c r="S953" s="584"/>
      <c r="T953" s="584"/>
      <c r="U953" s="584"/>
      <c r="V953" s="584"/>
      <c r="W953" s="584"/>
      <c r="X953" s="584"/>
      <c r="Y953" s="584"/>
      <c r="Z953" s="584"/>
      <c r="AA953" s="584"/>
      <c r="AB953" s="584"/>
      <c r="AC953" s="584"/>
      <c r="AD953" s="584"/>
      <c r="AE953" s="584"/>
      <c r="AF953" s="584"/>
    </row>
    <row r="954" ht="14.25" customHeight="1">
      <c r="A954" s="584"/>
      <c r="B954" s="584"/>
      <c r="C954" s="612"/>
      <c r="D954" s="612"/>
      <c r="E954" s="584"/>
      <c r="F954" s="584"/>
      <c r="G954" s="584"/>
      <c r="H954" s="584"/>
      <c r="I954" s="584"/>
      <c r="J954" s="584"/>
      <c r="K954" s="584"/>
      <c r="L954" s="613"/>
      <c r="M954" s="613"/>
      <c r="N954" s="613"/>
      <c r="O954" s="584"/>
      <c r="P954" s="584"/>
      <c r="Q954" s="584"/>
      <c r="R954" s="584"/>
      <c r="S954" s="584"/>
      <c r="T954" s="584"/>
      <c r="U954" s="584"/>
      <c r="V954" s="584"/>
      <c r="W954" s="584"/>
      <c r="X954" s="584"/>
      <c r="Y954" s="584"/>
      <c r="Z954" s="584"/>
      <c r="AA954" s="584"/>
      <c r="AB954" s="584"/>
      <c r="AC954" s="584"/>
      <c r="AD954" s="584"/>
      <c r="AE954" s="584"/>
      <c r="AF954" s="584"/>
    </row>
    <row r="955" ht="14.25" customHeight="1">
      <c r="A955" s="584"/>
      <c r="B955" s="584"/>
      <c r="C955" s="612"/>
      <c r="D955" s="612"/>
      <c r="E955" s="584"/>
      <c r="F955" s="584"/>
      <c r="G955" s="584"/>
      <c r="H955" s="584"/>
      <c r="I955" s="584"/>
      <c r="J955" s="584"/>
      <c r="K955" s="584"/>
      <c r="L955" s="613"/>
      <c r="M955" s="613"/>
      <c r="N955" s="613"/>
      <c r="O955" s="584"/>
      <c r="P955" s="584"/>
      <c r="Q955" s="584"/>
      <c r="R955" s="584"/>
      <c r="S955" s="584"/>
      <c r="T955" s="584"/>
      <c r="U955" s="584"/>
      <c r="V955" s="584"/>
      <c r="W955" s="584"/>
      <c r="X955" s="584"/>
      <c r="Y955" s="584"/>
      <c r="Z955" s="584"/>
      <c r="AA955" s="584"/>
      <c r="AB955" s="584"/>
      <c r="AC955" s="584"/>
      <c r="AD955" s="584"/>
      <c r="AE955" s="584"/>
      <c r="AF955" s="584"/>
    </row>
    <row r="956" ht="14.25" customHeight="1">
      <c r="A956" s="584"/>
      <c r="B956" s="584"/>
      <c r="C956" s="612"/>
      <c r="D956" s="612"/>
      <c r="E956" s="584"/>
      <c r="F956" s="584"/>
      <c r="G956" s="584"/>
      <c r="H956" s="584"/>
      <c r="I956" s="584"/>
      <c r="J956" s="584"/>
      <c r="K956" s="584"/>
      <c r="L956" s="613"/>
      <c r="M956" s="613"/>
      <c r="N956" s="613"/>
      <c r="O956" s="584"/>
      <c r="P956" s="584"/>
      <c r="Q956" s="584"/>
      <c r="R956" s="584"/>
      <c r="S956" s="584"/>
      <c r="T956" s="584"/>
      <c r="U956" s="584"/>
      <c r="V956" s="584"/>
      <c r="W956" s="584"/>
      <c r="X956" s="584"/>
      <c r="Y956" s="584"/>
      <c r="Z956" s="584"/>
      <c r="AA956" s="584"/>
      <c r="AB956" s="584"/>
      <c r="AC956" s="584"/>
      <c r="AD956" s="584"/>
      <c r="AE956" s="584"/>
      <c r="AF956" s="584"/>
    </row>
    <row r="957" ht="14.25" customHeight="1">
      <c r="A957" s="584"/>
      <c r="B957" s="584"/>
      <c r="C957" s="612"/>
      <c r="D957" s="612"/>
      <c r="E957" s="584"/>
      <c r="F957" s="584"/>
      <c r="G957" s="584"/>
      <c r="H957" s="584"/>
      <c r="I957" s="584"/>
      <c r="J957" s="584"/>
      <c r="K957" s="584"/>
      <c r="L957" s="613"/>
      <c r="M957" s="613"/>
      <c r="N957" s="613"/>
      <c r="O957" s="584"/>
      <c r="P957" s="584"/>
      <c r="Q957" s="584"/>
      <c r="R957" s="584"/>
      <c r="S957" s="584"/>
      <c r="T957" s="584"/>
      <c r="U957" s="584"/>
      <c r="V957" s="584"/>
      <c r="W957" s="584"/>
      <c r="X957" s="584"/>
      <c r="Y957" s="584"/>
      <c r="Z957" s="584"/>
      <c r="AA957" s="584"/>
      <c r="AB957" s="584"/>
      <c r="AC957" s="584"/>
      <c r="AD957" s="584"/>
      <c r="AE957" s="584"/>
      <c r="AF957" s="584"/>
    </row>
    <row r="958" ht="14.25" customHeight="1">
      <c r="A958" s="584"/>
      <c r="B958" s="584"/>
      <c r="C958" s="612"/>
      <c r="D958" s="612"/>
      <c r="E958" s="584"/>
      <c r="F958" s="584"/>
      <c r="G958" s="584"/>
      <c r="H958" s="584"/>
      <c r="I958" s="584"/>
      <c r="J958" s="584"/>
      <c r="K958" s="584"/>
      <c r="L958" s="613"/>
      <c r="M958" s="613"/>
      <c r="N958" s="613"/>
      <c r="O958" s="584"/>
      <c r="P958" s="584"/>
      <c r="Q958" s="584"/>
      <c r="R958" s="584"/>
      <c r="S958" s="584"/>
      <c r="T958" s="584"/>
      <c r="U958" s="584"/>
      <c r="V958" s="584"/>
      <c r="W958" s="584"/>
      <c r="X958" s="584"/>
      <c r="Y958" s="584"/>
      <c r="Z958" s="584"/>
      <c r="AA958" s="584"/>
      <c r="AB958" s="584"/>
      <c r="AC958" s="584"/>
      <c r="AD958" s="584"/>
      <c r="AE958" s="584"/>
      <c r="AF958" s="584"/>
    </row>
    <row r="959" ht="14.25" customHeight="1">
      <c r="A959" s="584"/>
      <c r="B959" s="584"/>
      <c r="C959" s="612"/>
      <c r="D959" s="612"/>
      <c r="E959" s="584"/>
      <c r="F959" s="584"/>
      <c r="G959" s="584"/>
      <c r="H959" s="584"/>
      <c r="I959" s="584"/>
      <c r="J959" s="584"/>
      <c r="K959" s="584"/>
      <c r="L959" s="613"/>
      <c r="M959" s="613"/>
      <c r="N959" s="613"/>
      <c r="O959" s="584"/>
      <c r="P959" s="584"/>
      <c r="Q959" s="584"/>
      <c r="R959" s="584"/>
      <c r="S959" s="584"/>
      <c r="T959" s="584"/>
      <c r="U959" s="584"/>
      <c r="V959" s="584"/>
      <c r="W959" s="584"/>
      <c r="X959" s="584"/>
      <c r="Y959" s="584"/>
      <c r="Z959" s="584"/>
      <c r="AA959" s="584"/>
      <c r="AB959" s="584"/>
      <c r="AC959" s="584"/>
      <c r="AD959" s="584"/>
      <c r="AE959" s="584"/>
      <c r="AF959" s="584"/>
    </row>
    <row r="960" ht="14.25" customHeight="1">
      <c r="A960" s="584"/>
      <c r="B960" s="584"/>
      <c r="C960" s="612"/>
      <c r="D960" s="612"/>
      <c r="E960" s="584"/>
      <c r="F960" s="584"/>
      <c r="G960" s="584"/>
      <c r="H960" s="584"/>
      <c r="I960" s="584"/>
      <c r="J960" s="584"/>
      <c r="K960" s="584"/>
      <c r="L960" s="613"/>
      <c r="M960" s="613"/>
      <c r="N960" s="613"/>
      <c r="O960" s="584"/>
      <c r="P960" s="584"/>
      <c r="Q960" s="584"/>
      <c r="R960" s="584"/>
      <c r="S960" s="584"/>
      <c r="T960" s="584"/>
      <c r="U960" s="584"/>
      <c r="V960" s="584"/>
      <c r="W960" s="584"/>
      <c r="X960" s="584"/>
      <c r="Y960" s="584"/>
      <c r="Z960" s="584"/>
      <c r="AA960" s="584"/>
      <c r="AB960" s="584"/>
      <c r="AC960" s="584"/>
      <c r="AD960" s="584"/>
      <c r="AE960" s="584"/>
      <c r="AF960" s="584"/>
    </row>
    <row r="961" ht="14.25" customHeight="1">
      <c r="A961" s="584"/>
      <c r="B961" s="584"/>
      <c r="C961" s="612"/>
      <c r="D961" s="612"/>
      <c r="E961" s="584"/>
      <c r="F961" s="584"/>
      <c r="G961" s="584"/>
      <c r="H961" s="584"/>
      <c r="I961" s="584"/>
      <c r="J961" s="584"/>
      <c r="K961" s="584"/>
      <c r="L961" s="613"/>
      <c r="M961" s="613"/>
      <c r="N961" s="613"/>
      <c r="O961" s="584"/>
      <c r="P961" s="615"/>
      <c r="Q961" s="584"/>
      <c r="R961" s="584"/>
      <c r="S961" s="584"/>
      <c r="T961" s="584"/>
      <c r="U961" s="584"/>
      <c r="V961" s="584"/>
      <c r="W961" s="584"/>
      <c r="X961" s="584"/>
      <c r="Y961" s="584"/>
      <c r="Z961" s="584"/>
      <c r="AA961" s="584"/>
      <c r="AB961" s="584"/>
      <c r="AC961" s="584"/>
      <c r="AD961" s="584"/>
      <c r="AE961" s="584"/>
      <c r="AF961" s="584"/>
    </row>
    <row r="962" ht="14.25" customHeight="1">
      <c r="A962" s="584"/>
      <c r="B962" s="584"/>
      <c r="C962" s="612"/>
      <c r="D962" s="612"/>
      <c r="E962" s="584"/>
      <c r="F962" s="584"/>
      <c r="G962" s="584"/>
      <c r="H962" s="584"/>
      <c r="I962" s="584"/>
      <c r="J962" s="584"/>
      <c r="K962" s="584"/>
      <c r="L962" s="613"/>
      <c r="M962" s="613"/>
      <c r="N962" s="613"/>
      <c r="O962" s="584"/>
      <c r="P962" s="584"/>
      <c r="Q962" s="584"/>
      <c r="R962" s="584"/>
      <c r="S962" s="584"/>
      <c r="T962" s="584"/>
      <c r="U962" s="584"/>
      <c r="V962" s="584"/>
      <c r="W962" s="584"/>
      <c r="X962" s="584"/>
      <c r="Y962" s="584"/>
      <c r="Z962" s="584"/>
      <c r="AA962" s="584"/>
      <c r="AB962" s="584"/>
      <c r="AC962" s="584"/>
      <c r="AD962" s="584"/>
      <c r="AE962" s="584"/>
      <c r="AF962" s="584"/>
    </row>
    <row r="963" ht="14.25" customHeight="1">
      <c r="A963" s="584"/>
      <c r="B963" s="584"/>
      <c r="C963" s="612"/>
      <c r="D963" s="612"/>
      <c r="E963" s="584"/>
      <c r="F963" s="584"/>
      <c r="G963" s="584"/>
      <c r="H963" s="584"/>
      <c r="I963" s="584"/>
      <c r="J963" s="584"/>
      <c r="K963" s="584"/>
      <c r="L963" s="613"/>
      <c r="M963" s="613"/>
      <c r="N963" s="613"/>
      <c r="O963" s="584"/>
      <c r="P963" s="584"/>
      <c r="Q963" s="584"/>
      <c r="R963" s="584"/>
      <c r="S963" s="584"/>
      <c r="T963" s="584"/>
      <c r="U963" s="584"/>
      <c r="V963" s="584"/>
      <c r="W963" s="584"/>
      <c r="X963" s="584"/>
      <c r="Y963" s="584"/>
      <c r="Z963" s="584"/>
      <c r="AA963" s="584"/>
      <c r="AB963" s="584"/>
      <c r="AC963" s="584"/>
      <c r="AD963" s="584"/>
      <c r="AE963" s="584"/>
      <c r="AF963" s="584"/>
    </row>
    <row r="964" ht="14.25" customHeight="1">
      <c r="A964" s="584"/>
      <c r="B964" s="584"/>
      <c r="C964" s="612"/>
      <c r="D964" s="612"/>
      <c r="E964" s="584"/>
      <c r="F964" s="584"/>
      <c r="G964" s="584"/>
      <c r="H964" s="584"/>
      <c r="I964" s="584"/>
      <c r="J964" s="584"/>
      <c r="K964" s="584"/>
      <c r="L964" s="613"/>
      <c r="M964" s="613"/>
      <c r="N964" s="613"/>
      <c r="O964" s="584"/>
      <c r="P964" s="584"/>
      <c r="Q964" s="584"/>
      <c r="R964" s="584"/>
      <c r="S964" s="584"/>
      <c r="T964" s="584"/>
      <c r="U964" s="584"/>
      <c r="V964" s="584"/>
      <c r="W964" s="584"/>
      <c r="X964" s="584"/>
      <c r="Y964" s="584"/>
      <c r="Z964" s="584"/>
      <c r="AA964" s="584"/>
      <c r="AB964" s="584"/>
      <c r="AC964" s="584"/>
      <c r="AD964" s="584"/>
      <c r="AE964" s="584"/>
      <c r="AF964" s="584"/>
    </row>
    <row r="965" ht="14.25" customHeight="1">
      <c r="A965" s="584"/>
      <c r="B965" s="584"/>
      <c r="C965" s="612"/>
      <c r="D965" s="612"/>
      <c r="E965" s="584"/>
      <c r="F965" s="584"/>
      <c r="G965" s="584"/>
      <c r="H965" s="584"/>
      <c r="I965" s="584"/>
      <c r="J965" s="584"/>
      <c r="K965" s="584"/>
      <c r="L965" s="613"/>
      <c r="M965" s="613"/>
      <c r="N965" s="613"/>
      <c r="O965" s="584"/>
      <c r="P965" s="584"/>
      <c r="Q965" s="584"/>
      <c r="R965" s="584"/>
      <c r="S965" s="584"/>
      <c r="T965" s="584"/>
      <c r="U965" s="584"/>
      <c r="V965" s="584"/>
      <c r="W965" s="584"/>
      <c r="X965" s="584"/>
      <c r="Y965" s="584"/>
      <c r="Z965" s="584"/>
      <c r="AA965" s="584"/>
      <c r="AB965" s="584"/>
      <c r="AC965" s="584"/>
      <c r="AD965" s="584"/>
      <c r="AE965" s="584"/>
      <c r="AF965" s="584"/>
    </row>
    <row r="966" ht="14.25" customHeight="1">
      <c r="A966" s="584"/>
      <c r="B966" s="584"/>
      <c r="C966" s="612"/>
      <c r="D966" s="612"/>
      <c r="E966" s="584"/>
      <c r="F966" s="584"/>
      <c r="G966" s="584"/>
      <c r="H966" s="584"/>
      <c r="I966" s="584"/>
      <c r="J966" s="584"/>
      <c r="K966" s="584"/>
      <c r="L966" s="613"/>
      <c r="M966" s="613"/>
      <c r="N966" s="613"/>
      <c r="O966" s="584"/>
      <c r="P966" s="584"/>
      <c r="Q966" s="584"/>
      <c r="R966" s="584"/>
      <c r="S966" s="584"/>
      <c r="T966" s="584"/>
      <c r="U966" s="584"/>
      <c r="V966" s="584"/>
      <c r="W966" s="584"/>
      <c r="X966" s="584"/>
      <c r="Y966" s="584"/>
      <c r="Z966" s="584"/>
      <c r="AA966" s="584"/>
      <c r="AB966" s="584"/>
      <c r="AC966" s="584"/>
      <c r="AD966" s="584"/>
      <c r="AE966" s="584"/>
      <c r="AF966" s="584"/>
    </row>
    <row r="967" ht="14.25" customHeight="1">
      <c r="A967" s="584"/>
      <c r="B967" s="584"/>
      <c r="C967" s="612"/>
      <c r="D967" s="612"/>
      <c r="E967" s="584"/>
      <c r="F967" s="584"/>
      <c r="G967" s="584"/>
      <c r="H967" s="584"/>
      <c r="I967" s="584"/>
      <c r="J967" s="584"/>
      <c r="K967" s="584"/>
      <c r="L967" s="613"/>
      <c r="M967" s="613"/>
      <c r="N967" s="613"/>
      <c r="O967" s="584"/>
      <c r="P967" s="584"/>
      <c r="Q967" s="584"/>
      <c r="R967" s="584"/>
      <c r="S967" s="584"/>
      <c r="T967" s="584"/>
      <c r="U967" s="584"/>
      <c r="V967" s="584"/>
      <c r="W967" s="584"/>
      <c r="X967" s="584"/>
      <c r="Y967" s="584"/>
      <c r="Z967" s="584"/>
      <c r="AA967" s="584"/>
      <c r="AB967" s="584"/>
      <c r="AC967" s="584"/>
      <c r="AD967" s="584"/>
      <c r="AE967" s="584"/>
      <c r="AF967" s="584"/>
    </row>
    <row r="968" ht="14.25" customHeight="1">
      <c r="A968" s="584"/>
      <c r="B968" s="584"/>
      <c r="C968" s="612"/>
      <c r="D968" s="612"/>
      <c r="E968" s="584"/>
      <c r="F968" s="584"/>
      <c r="G968" s="584"/>
      <c r="H968" s="584"/>
      <c r="I968" s="584"/>
      <c r="J968" s="584"/>
      <c r="K968" s="584"/>
      <c r="L968" s="613"/>
      <c r="M968" s="613"/>
      <c r="N968" s="614"/>
      <c r="O968" s="584"/>
      <c r="P968" s="584"/>
      <c r="Q968" s="584"/>
      <c r="R968" s="584"/>
      <c r="S968" s="584"/>
      <c r="T968" s="584"/>
      <c r="U968" s="584"/>
      <c r="V968" s="584"/>
      <c r="W968" s="584"/>
      <c r="X968" s="584"/>
      <c r="Y968" s="584"/>
      <c r="Z968" s="584"/>
      <c r="AA968" s="584"/>
      <c r="AB968" s="584"/>
      <c r="AC968" s="584"/>
      <c r="AD968" s="584"/>
      <c r="AE968" s="584"/>
      <c r="AF968" s="584"/>
    </row>
    <row r="969" ht="14.25" customHeight="1">
      <c r="A969" s="584"/>
      <c r="B969" s="584"/>
      <c r="C969" s="612"/>
      <c r="D969" s="612"/>
      <c r="E969" s="584"/>
      <c r="F969" s="584"/>
      <c r="G969" s="584"/>
      <c r="H969" s="584"/>
      <c r="I969" s="584"/>
      <c r="J969" s="584"/>
      <c r="K969" s="584"/>
      <c r="L969" s="613"/>
      <c r="M969" s="613"/>
      <c r="N969" s="613"/>
      <c r="O969" s="584"/>
      <c r="P969" s="584"/>
      <c r="Q969" s="584"/>
      <c r="R969" s="584"/>
      <c r="S969" s="584"/>
      <c r="T969" s="584"/>
      <c r="U969" s="584"/>
      <c r="V969" s="584"/>
      <c r="W969" s="584"/>
      <c r="X969" s="584"/>
      <c r="Y969" s="584"/>
      <c r="Z969" s="584"/>
      <c r="AA969" s="584"/>
      <c r="AB969" s="584"/>
      <c r="AC969" s="584"/>
      <c r="AD969" s="584"/>
      <c r="AE969" s="584"/>
      <c r="AF969" s="584"/>
    </row>
    <row r="970" ht="14.25" customHeight="1">
      <c r="A970" s="584"/>
      <c r="B970" s="584"/>
      <c r="C970" s="612"/>
      <c r="D970" s="612"/>
      <c r="E970" s="584"/>
      <c r="F970" s="584"/>
      <c r="G970" s="584"/>
      <c r="H970" s="584"/>
      <c r="I970" s="584"/>
      <c r="J970" s="584"/>
      <c r="K970" s="584"/>
      <c r="L970" s="613"/>
      <c r="M970" s="613"/>
      <c r="N970" s="613"/>
      <c r="O970" s="584"/>
      <c r="P970" s="584"/>
      <c r="Q970" s="584"/>
      <c r="R970" s="584"/>
      <c r="S970" s="584"/>
      <c r="T970" s="584"/>
      <c r="U970" s="584"/>
      <c r="V970" s="584"/>
      <c r="W970" s="584"/>
      <c r="X970" s="584"/>
      <c r="Y970" s="584"/>
      <c r="Z970" s="584"/>
      <c r="AA970" s="584"/>
      <c r="AB970" s="584"/>
      <c r="AC970" s="584"/>
      <c r="AD970" s="584"/>
      <c r="AE970" s="584"/>
      <c r="AF970" s="584"/>
    </row>
    <row r="971" ht="14.25" customHeight="1">
      <c r="A971" s="584"/>
      <c r="B971" s="584"/>
      <c r="C971" s="612"/>
      <c r="D971" s="612"/>
      <c r="E971" s="584"/>
      <c r="F971" s="584"/>
      <c r="G971" s="584"/>
      <c r="H971" s="584"/>
      <c r="I971" s="584"/>
      <c r="J971" s="584"/>
      <c r="K971" s="584"/>
      <c r="L971" s="613"/>
      <c r="M971" s="613"/>
      <c r="N971" s="613"/>
      <c r="O971" s="584"/>
      <c r="P971" s="584"/>
      <c r="Q971" s="584"/>
      <c r="R971" s="584"/>
      <c r="S971" s="584"/>
      <c r="T971" s="584"/>
      <c r="U971" s="584"/>
      <c r="V971" s="584"/>
      <c r="W971" s="584"/>
      <c r="X971" s="584"/>
      <c r="Y971" s="584"/>
      <c r="Z971" s="584"/>
      <c r="AA971" s="584"/>
      <c r="AB971" s="584"/>
      <c r="AC971" s="584"/>
      <c r="AD971" s="584"/>
      <c r="AE971" s="584"/>
      <c r="AF971" s="584"/>
    </row>
    <row r="972" ht="14.25" customHeight="1">
      <c r="A972" s="584"/>
      <c r="B972" s="584"/>
      <c r="C972" s="612"/>
      <c r="D972" s="612"/>
      <c r="E972" s="584"/>
      <c r="F972" s="584"/>
      <c r="G972" s="584"/>
      <c r="H972" s="584"/>
      <c r="I972" s="584"/>
      <c r="J972" s="584"/>
      <c r="K972" s="584"/>
      <c r="L972" s="613"/>
      <c r="M972" s="613"/>
      <c r="N972" s="613"/>
      <c r="O972" s="584"/>
      <c r="P972" s="584"/>
      <c r="Q972" s="584"/>
      <c r="R972" s="584"/>
      <c r="S972" s="584"/>
      <c r="T972" s="584"/>
      <c r="U972" s="584"/>
      <c r="V972" s="584"/>
      <c r="W972" s="584"/>
      <c r="X972" s="584"/>
      <c r="Y972" s="584"/>
      <c r="Z972" s="584"/>
      <c r="AA972" s="584"/>
      <c r="AB972" s="584"/>
      <c r="AC972" s="584"/>
      <c r="AD972" s="584"/>
      <c r="AE972" s="584"/>
      <c r="AF972" s="584"/>
    </row>
    <row r="973" ht="14.25" customHeight="1">
      <c r="A973" s="584"/>
      <c r="B973" s="584"/>
      <c r="C973" s="612"/>
      <c r="D973" s="612"/>
      <c r="E973" s="584"/>
      <c r="F973" s="584"/>
      <c r="G973" s="584"/>
      <c r="H973" s="584"/>
      <c r="I973" s="584"/>
      <c r="J973" s="584"/>
      <c r="K973" s="584"/>
      <c r="L973" s="613"/>
      <c r="M973" s="613"/>
      <c r="N973" s="613"/>
      <c r="O973" s="584"/>
      <c r="P973" s="584"/>
      <c r="Q973" s="584"/>
      <c r="R973" s="584"/>
      <c r="S973" s="584"/>
      <c r="T973" s="584"/>
      <c r="U973" s="584"/>
      <c r="V973" s="584"/>
      <c r="W973" s="584"/>
      <c r="X973" s="584"/>
      <c r="Y973" s="584"/>
      <c r="Z973" s="584"/>
      <c r="AA973" s="584"/>
      <c r="AB973" s="584"/>
      <c r="AC973" s="584"/>
      <c r="AD973" s="584"/>
      <c r="AE973" s="584"/>
      <c r="AF973" s="584"/>
    </row>
    <row r="974" ht="14.25" customHeight="1">
      <c r="A974" s="584"/>
      <c r="B974" s="584"/>
      <c r="C974" s="612"/>
      <c r="D974" s="612"/>
      <c r="E974" s="584"/>
      <c r="F974" s="584"/>
      <c r="G974" s="584"/>
      <c r="H974" s="584"/>
      <c r="I974" s="584"/>
      <c r="J974" s="584"/>
      <c r="K974" s="584"/>
      <c r="L974" s="613"/>
      <c r="M974" s="613"/>
      <c r="N974" s="613"/>
      <c r="O974" s="584"/>
      <c r="P974" s="584"/>
      <c r="Q974" s="584"/>
      <c r="R974" s="584"/>
      <c r="S974" s="584"/>
      <c r="T974" s="584"/>
      <c r="U974" s="584"/>
      <c r="V974" s="584"/>
      <c r="W974" s="584"/>
      <c r="X974" s="584"/>
      <c r="Y974" s="584"/>
      <c r="Z974" s="584"/>
      <c r="AA974" s="584"/>
      <c r="AB974" s="584"/>
      <c r="AC974" s="584"/>
      <c r="AD974" s="584"/>
      <c r="AE974" s="584"/>
      <c r="AF974" s="584"/>
    </row>
    <row r="975" ht="14.25" customHeight="1">
      <c r="A975" s="584"/>
      <c r="B975" s="584"/>
      <c r="C975" s="612"/>
      <c r="D975" s="612"/>
      <c r="E975" s="584"/>
      <c r="F975" s="584"/>
      <c r="G975" s="584"/>
      <c r="H975" s="584"/>
      <c r="I975" s="584"/>
      <c r="J975" s="584"/>
      <c r="K975" s="584"/>
      <c r="L975" s="613"/>
      <c r="M975" s="613"/>
      <c r="N975" s="613"/>
      <c r="O975" s="584"/>
      <c r="P975" s="584"/>
      <c r="Q975" s="584"/>
      <c r="R975" s="584"/>
      <c r="S975" s="584"/>
      <c r="T975" s="584"/>
      <c r="U975" s="584"/>
      <c r="V975" s="584"/>
      <c r="W975" s="584"/>
      <c r="X975" s="584"/>
      <c r="Y975" s="584"/>
      <c r="Z975" s="584"/>
      <c r="AA975" s="584"/>
      <c r="AB975" s="584"/>
      <c r="AC975" s="584"/>
      <c r="AD975" s="584"/>
      <c r="AE975" s="584"/>
      <c r="AF975" s="584"/>
    </row>
    <row r="976" ht="14.25" customHeight="1">
      <c r="A976" s="584"/>
      <c r="B976" s="584"/>
      <c r="C976" s="612"/>
      <c r="D976" s="612"/>
      <c r="E976" s="584"/>
      <c r="F976" s="584"/>
      <c r="G976" s="584"/>
      <c r="H976" s="584"/>
      <c r="I976" s="584"/>
      <c r="J976" s="584"/>
      <c r="K976" s="584"/>
      <c r="L976" s="613"/>
      <c r="M976" s="613"/>
      <c r="N976" s="613"/>
      <c r="O976" s="584"/>
      <c r="P976" s="613"/>
      <c r="Q976" s="584"/>
      <c r="R976" s="584"/>
      <c r="S976" s="584"/>
      <c r="T976" s="584"/>
      <c r="U976" s="584"/>
      <c r="V976" s="584"/>
      <c r="W976" s="584"/>
      <c r="X976" s="584"/>
      <c r="Y976" s="584"/>
      <c r="Z976" s="584"/>
      <c r="AA976" s="584"/>
      <c r="AB976" s="584"/>
      <c r="AC976" s="584"/>
      <c r="AD976" s="584"/>
      <c r="AE976" s="584"/>
      <c r="AF976" s="584"/>
    </row>
    <row r="977" ht="14.25" customHeight="1">
      <c r="A977" s="584"/>
      <c r="B977" s="584"/>
      <c r="C977" s="612"/>
      <c r="D977" s="612"/>
      <c r="E977" s="584"/>
      <c r="F977" s="584"/>
      <c r="G977" s="584"/>
      <c r="H977" s="584"/>
      <c r="I977" s="584"/>
      <c r="J977" s="584"/>
      <c r="K977" s="584"/>
      <c r="L977" s="613"/>
      <c r="M977" s="613"/>
      <c r="N977" s="613"/>
      <c r="O977" s="584"/>
      <c r="P977" s="613"/>
      <c r="Q977" s="584"/>
      <c r="R977" s="584"/>
      <c r="S977" s="584"/>
      <c r="T977" s="584"/>
      <c r="U977" s="584"/>
      <c r="V977" s="584"/>
      <c r="W977" s="584"/>
      <c r="X977" s="584"/>
      <c r="Y977" s="584"/>
      <c r="Z977" s="584"/>
      <c r="AA977" s="584"/>
      <c r="AB977" s="584"/>
      <c r="AC977" s="584"/>
      <c r="AD977" s="584"/>
      <c r="AE977" s="584"/>
      <c r="AF977" s="584"/>
    </row>
    <row r="978" ht="14.25" customHeight="1">
      <c r="A978" s="584"/>
      <c r="B978" s="584"/>
      <c r="C978" s="612"/>
      <c r="D978" s="612"/>
      <c r="E978" s="584"/>
      <c r="F978" s="584"/>
      <c r="G978" s="584"/>
      <c r="H978" s="584"/>
      <c r="I978" s="584"/>
      <c r="J978" s="584"/>
      <c r="K978" s="584"/>
      <c r="L978" s="613"/>
      <c r="M978" s="613"/>
      <c r="N978" s="613"/>
      <c r="O978" s="584"/>
      <c r="P978" s="584"/>
      <c r="Q978" s="584"/>
      <c r="R978" s="584"/>
      <c r="S978" s="584"/>
      <c r="T978" s="584"/>
      <c r="U978" s="584"/>
      <c r="V978" s="584"/>
      <c r="W978" s="584"/>
      <c r="X978" s="584"/>
      <c r="Y978" s="584"/>
      <c r="Z978" s="584"/>
      <c r="AA978" s="584"/>
      <c r="AB978" s="584"/>
      <c r="AC978" s="584"/>
      <c r="AD978" s="584"/>
      <c r="AE978" s="584"/>
      <c r="AF978" s="584"/>
    </row>
    <row r="979" ht="14.25" customHeight="1">
      <c r="A979" s="584"/>
      <c r="B979" s="584"/>
      <c r="C979" s="612"/>
      <c r="D979" s="612"/>
      <c r="E979" s="584"/>
      <c r="F979" s="584"/>
      <c r="G979" s="584"/>
      <c r="H979" s="584"/>
      <c r="I979" s="584"/>
      <c r="J979" s="584"/>
      <c r="K979" s="584"/>
      <c r="L979" s="613"/>
      <c r="M979" s="613"/>
      <c r="N979" s="613"/>
      <c r="O979" s="584"/>
      <c r="P979" s="584"/>
      <c r="Q979" s="584"/>
      <c r="R979" s="584"/>
      <c r="S979" s="584"/>
      <c r="T979" s="584"/>
      <c r="U979" s="584"/>
      <c r="V979" s="584"/>
      <c r="W979" s="584"/>
      <c r="X979" s="584"/>
      <c r="Y979" s="584"/>
      <c r="Z979" s="584"/>
      <c r="AA979" s="584"/>
      <c r="AB979" s="584"/>
      <c r="AC979" s="584"/>
      <c r="AD979" s="584"/>
      <c r="AE979" s="584"/>
      <c r="AF979" s="584"/>
    </row>
    <row r="980" ht="14.25" customHeight="1">
      <c r="A980" s="584"/>
      <c r="B980" s="584"/>
      <c r="C980" s="612"/>
      <c r="D980" s="612"/>
      <c r="E980" s="584"/>
      <c r="F980" s="584"/>
      <c r="G980" s="584"/>
      <c r="H980" s="584"/>
      <c r="I980" s="584"/>
      <c r="J980" s="584"/>
      <c r="K980" s="584"/>
      <c r="L980" s="613"/>
      <c r="M980" s="613"/>
      <c r="N980" s="613"/>
      <c r="O980" s="584"/>
      <c r="P980" s="584"/>
      <c r="Q980" s="584"/>
      <c r="R980" s="584"/>
      <c r="S980" s="584"/>
      <c r="T980" s="584"/>
      <c r="U980" s="584"/>
      <c r="V980" s="584"/>
      <c r="W980" s="584"/>
      <c r="X980" s="584"/>
      <c r="Y980" s="584"/>
      <c r="Z980" s="584"/>
      <c r="AA980" s="584"/>
      <c r="AB980" s="584"/>
      <c r="AC980" s="584"/>
      <c r="AD980" s="584"/>
      <c r="AE980" s="584"/>
      <c r="AF980" s="584"/>
    </row>
    <row r="981" ht="14.25" customHeight="1">
      <c r="A981" s="584"/>
      <c r="B981" s="584"/>
      <c r="C981" s="612"/>
      <c r="D981" s="612"/>
      <c r="E981" s="584"/>
      <c r="F981" s="584"/>
      <c r="G981" s="584"/>
      <c r="H981" s="584"/>
      <c r="I981" s="584"/>
      <c r="J981" s="584"/>
      <c r="K981" s="584"/>
      <c r="L981" s="613"/>
      <c r="M981" s="613"/>
      <c r="N981" s="613"/>
      <c r="O981" s="584"/>
      <c r="P981" s="584"/>
      <c r="Q981" s="584"/>
      <c r="R981" s="584"/>
      <c r="S981" s="584"/>
      <c r="T981" s="584"/>
      <c r="U981" s="584"/>
      <c r="V981" s="584"/>
      <c r="W981" s="584"/>
      <c r="X981" s="584"/>
      <c r="Y981" s="584"/>
      <c r="Z981" s="584"/>
      <c r="AA981" s="584"/>
      <c r="AB981" s="584"/>
      <c r="AC981" s="584"/>
      <c r="AD981" s="584"/>
      <c r="AE981" s="584"/>
      <c r="AF981" s="584"/>
    </row>
    <row r="982" ht="14.25" customHeight="1">
      <c r="A982" s="584"/>
      <c r="B982" s="584"/>
      <c r="C982" s="612"/>
      <c r="D982" s="612"/>
      <c r="E982" s="584"/>
      <c r="F982" s="584"/>
      <c r="G982" s="584"/>
      <c r="H982" s="584"/>
      <c r="I982" s="584"/>
      <c r="J982" s="584"/>
      <c r="K982" s="584"/>
      <c r="L982" s="613"/>
      <c r="M982" s="613"/>
      <c r="N982" s="613"/>
      <c r="O982" s="584"/>
      <c r="P982" s="584"/>
      <c r="Q982" s="584"/>
      <c r="R982" s="584"/>
      <c r="S982" s="584"/>
      <c r="T982" s="584"/>
      <c r="U982" s="584"/>
      <c r="V982" s="584"/>
      <c r="W982" s="584"/>
      <c r="X982" s="584"/>
      <c r="Y982" s="584"/>
      <c r="Z982" s="584"/>
      <c r="AA982" s="584"/>
      <c r="AB982" s="584"/>
      <c r="AC982" s="584"/>
      <c r="AD982" s="584"/>
      <c r="AE982" s="584"/>
      <c r="AF982" s="584"/>
    </row>
    <row r="983" ht="14.25" customHeight="1">
      <c r="A983" s="584"/>
      <c r="B983" s="584"/>
      <c r="C983" s="612"/>
      <c r="D983" s="612"/>
      <c r="E983" s="584"/>
      <c r="F983" s="584"/>
      <c r="G983" s="584"/>
      <c r="H983" s="584"/>
      <c r="I983" s="584"/>
      <c r="J983" s="584"/>
      <c r="K983" s="584"/>
      <c r="L983" s="613"/>
      <c r="M983" s="613"/>
      <c r="N983" s="613"/>
      <c r="O983" s="584"/>
      <c r="P983" s="584"/>
      <c r="Q983" s="584"/>
      <c r="R983" s="584"/>
      <c r="S983" s="584"/>
      <c r="T983" s="584"/>
      <c r="U983" s="584"/>
      <c r="V983" s="584"/>
      <c r="W983" s="584"/>
      <c r="X983" s="584"/>
      <c r="Y983" s="584"/>
      <c r="Z983" s="584"/>
      <c r="AA983" s="584"/>
      <c r="AB983" s="584"/>
      <c r="AC983" s="584"/>
      <c r="AD983" s="584"/>
      <c r="AE983" s="584"/>
      <c r="AF983" s="584"/>
    </row>
    <row r="984" ht="14.25" customHeight="1">
      <c r="A984" s="584"/>
      <c r="B984" s="584"/>
      <c r="C984" s="612"/>
      <c r="D984" s="612"/>
      <c r="E984" s="584"/>
      <c r="F984" s="584"/>
      <c r="G984" s="584"/>
      <c r="H984" s="584"/>
      <c r="I984" s="584"/>
      <c r="J984" s="584"/>
      <c r="K984" s="584"/>
      <c r="L984" s="613"/>
      <c r="M984" s="613"/>
      <c r="N984" s="613"/>
      <c r="O984" s="584"/>
      <c r="P984" s="584"/>
      <c r="Q984" s="584"/>
      <c r="R984" s="584"/>
      <c r="S984" s="584"/>
      <c r="T984" s="584"/>
      <c r="U984" s="584"/>
      <c r="V984" s="584"/>
      <c r="W984" s="584"/>
      <c r="X984" s="584"/>
      <c r="Y984" s="584"/>
      <c r="Z984" s="584"/>
      <c r="AA984" s="584"/>
      <c r="AB984" s="584"/>
      <c r="AC984" s="584"/>
      <c r="AD984" s="584"/>
      <c r="AE984" s="584"/>
      <c r="AF984" s="584"/>
    </row>
    <row r="985" ht="14.25" customHeight="1">
      <c r="A985" s="584"/>
      <c r="B985" s="584"/>
      <c r="C985" s="612"/>
      <c r="D985" s="612"/>
      <c r="E985" s="584"/>
      <c r="F985" s="584"/>
      <c r="G985" s="584"/>
      <c r="H985" s="584"/>
      <c r="I985" s="584"/>
      <c r="J985" s="584"/>
      <c r="K985" s="584"/>
      <c r="L985" s="613"/>
      <c r="M985" s="613"/>
      <c r="N985" s="613"/>
      <c r="O985" s="584"/>
      <c r="P985" s="584"/>
      <c r="Q985" s="584"/>
      <c r="R985" s="584"/>
      <c r="S985" s="584"/>
      <c r="T985" s="584"/>
      <c r="U985" s="584"/>
      <c r="V985" s="584"/>
      <c r="W985" s="584"/>
      <c r="X985" s="584"/>
      <c r="Y985" s="584"/>
      <c r="Z985" s="584"/>
      <c r="AA985" s="584"/>
      <c r="AB985" s="584"/>
      <c r="AC985" s="584"/>
      <c r="AD985" s="584"/>
      <c r="AE985" s="584"/>
      <c r="AF985" s="584"/>
    </row>
    <row r="986" ht="14.25" customHeight="1">
      <c r="A986" s="584"/>
      <c r="B986" s="584"/>
      <c r="C986" s="612"/>
      <c r="D986" s="612"/>
      <c r="E986" s="584"/>
      <c r="F986" s="584"/>
      <c r="G986" s="584"/>
      <c r="H986" s="584"/>
      <c r="I986" s="584"/>
      <c r="J986" s="584"/>
      <c r="K986" s="584"/>
      <c r="L986" s="613"/>
      <c r="M986" s="613"/>
      <c r="N986" s="613"/>
      <c r="O986" s="584"/>
      <c r="P986" s="584"/>
      <c r="Q986" s="584"/>
      <c r="R986" s="584"/>
      <c r="S986" s="584"/>
      <c r="T986" s="584"/>
      <c r="U986" s="584"/>
      <c r="V986" s="584"/>
      <c r="W986" s="584"/>
      <c r="X986" s="584"/>
      <c r="Y986" s="584"/>
      <c r="Z986" s="584"/>
      <c r="AA986" s="584"/>
      <c r="AB986" s="584"/>
      <c r="AC986" s="584"/>
      <c r="AD986" s="584"/>
      <c r="AE986" s="584"/>
      <c r="AF986" s="584"/>
    </row>
    <row r="987" ht="14.25" customHeight="1">
      <c r="A987" s="584"/>
      <c r="B987" s="584"/>
      <c r="C987" s="612"/>
      <c r="D987" s="612"/>
      <c r="E987" s="584"/>
      <c r="F987" s="584"/>
      <c r="G987" s="584"/>
      <c r="H987" s="584"/>
      <c r="I987" s="584"/>
      <c r="J987" s="584"/>
      <c r="K987" s="584"/>
      <c r="L987" s="613"/>
      <c r="M987" s="613"/>
      <c r="N987" s="613"/>
      <c r="O987" s="584"/>
      <c r="P987" s="584"/>
      <c r="Q987" s="584"/>
      <c r="R987" s="584"/>
      <c r="S987" s="584"/>
      <c r="T987" s="584"/>
      <c r="U987" s="584"/>
      <c r="V987" s="584"/>
      <c r="W987" s="584"/>
      <c r="X987" s="584"/>
      <c r="Y987" s="584"/>
      <c r="Z987" s="584"/>
      <c r="AA987" s="584"/>
      <c r="AB987" s="584"/>
      <c r="AC987" s="584"/>
      <c r="AD987" s="584"/>
      <c r="AE987" s="584"/>
      <c r="AF987" s="584"/>
    </row>
    <row r="988" ht="14.25" customHeight="1">
      <c r="A988" s="584"/>
      <c r="B988" s="584"/>
      <c r="C988" s="612"/>
      <c r="D988" s="612"/>
      <c r="E988" s="584"/>
      <c r="F988" s="584"/>
      <c r="G988" s="584"/>
      <c r="H988" s="584"/>
      <c r="I988" s="584"/>
      <c r="J988" s="584"/>
      <c r="K988" s="584"/>
      <c r="L988" s="584"/>
      <c r="M988" s="584"/>
      <c r="N988" s="584"/>
      <c r="O988" s="584"/>
      <c r="P988" s="584"/>
      <c r="Q988" s="584"/>
      <c r="R988" s="584"/>
      <c r="S988" s="584"/>
      <c r="T988" s="584"/>
      <c r="U988" s="584"/>
      <c r="V988" s="584"/>
      <c r="W988" s="584"/>
      <c r="X988" s="584"/>
      <c r="Y988" s="584"/>
      <c r="Z988" s="584"/>
      <c r="AA988" s="584"/>
      <c r="AB988" s="584"/>
      <c r="AC988" s="584"/>
      <c r="AD988" s="584"/>
      <c r="AE988" s="584"/>
      <c r="AF988" s="584"/>
    </row>
    <row r="989" ht="14.25" customHeight="1">
      <c r="A989" s="584"/>
      <c r="B989" s="584"/>
      <c r="C989" s="612"/>
      <c r="D989" s="612"/>
      <c r="E989" s="584"/>
      <c r="F989" s="584"/>
      <c r="G989" s="584"/>
      <c r="H989" s="584"/>
      <c r="I989" s="584"/>
      <c r="J989" s="584"/>
      <c r="K989" s="584"/>
      <c r="L989" s="613"/>
      <c r="M989" s="613"/>
      <c r="N989" s="613"/>
      <c r="O989" s="584"/>
      <c r="P989" s="584"/>
      <c r="Q989" s="584"/>
      <c r="R989" s="584"/>
      <c r="S989" s="584"/>
      <c r="T989" s="584"/>
      <c r="U989" s="584"/>
      <c r="V989" s="584"/>
      <c r="W989" s="584"/>
      <c r="X989" s="584"/>
      <c r="Y989" s="584"/>
      <c r="Z989" s="584"/>
      <c r="AA989" s="584"/>
      <c r="AB989" s="584"/>
      <c r="AC989" s="584"/>
      <c r="AD989" s="584"/>
      <c r="AE989" s="584"/>
      <c r="AF989" s="584"/>
    </row>
    <row r="990" ht="14.25" customHeight="1">
      <c r="A990" s="584"/>
      <c r="B990" s="584"/>
      <c r="C990" s="612"/>
      <c r="D990" s="612"/>
      <c r="E990" s="584"/>
      <c r="F990" s="584"/>
      <c r="G990" s="584"/>
      <c r="H990" s="584"/>
      <c r="I990" s="584"/>
      <c r="J990" s="584"/>
      <c r="K990" s="584"/>
      <c r="L990" s="613"/>
      <c r="M990" s="613"/>
      <c r="N990" s="613"/>
      <c r="O990" s="584"/>
      <c r="P990" s="584"/>
      <c r="Q990" s="584"/>
      <c r="R990" s="584"/>
      <c r="S990" s="584"/>
      <c r="T990" s="584"/>
      <c r="U990" s="584"/>
      <c r="V990" s="584"/>
      <c r="W990" s="584"/>
      <c r="X990" s="584"/>
      <c r="Y990" s="584"/>
      <c r="Z990" s="584"/>
      <c r="AA990" s="584"/>
      <c r="AB990" s="584"/>
      <c r="AC990" s="584"/>
      <c r="AD990" s="584"/>
      <c r="AE990" s="584"/>
      <c r="AF990" s="584"/>
    </row>
    <row r="991" ht="14.25" customHeight="1">
      <c r="A991" s="584"/>
      <c r="B991" s="584"/>
      <c r="C991" s="612"/>
      <c r="D991" s="612"/>
      <c r="E991" s="584"/>
      <c r="F991" s="584"/>
      <c r="G991" s="584"/>
      <c r="H991" s="584"/>
      <c r="I991" s="584"/>
      <c r="J991" s="584"/>
      <c r="K991" s="584"/>
      <c r="L991" s="613"/>
      <c r="M991" s="613"/>
      <c r="N991" s="613"/>
      <c r="O991" s="584"/>
      <c r="P991" s="584"/>
      <c r="Q991" s="584"/>
      <c r="R991" s="584"/>
      <c r="S991" s="584"/>
      <c r="T991" s="584"/>
      <c r="U991" s="584"/>
      <c r="V991" s="584"/>
      <c r="W991" s="584"/>
      <c r="X991" s="584"/>
      <c r="Y991" s="584"/>
      <c r="Z991" s="584"/>
      <c r="AA991" s="584"/>
      <c r="AB991" s="584"/>
      <c r="AC991" s="584"/>
      <c r="AD991" s="584"/>
      <c r="AE991" s="584"/>
      <c r="AF991" s="584"/>
    </row>
    <row r="992" ht="14.25" customHeight="1">
      <c r="A992" s="584"/>
      <c r="B992" s="584"/>
      <c r="C992" s="612"/>
      <c r="D992" s="612"/>
      <c r="E992" s="584"/>
      <c r="F992" s="584"/>
      <c r="G992" s="584"/>
      <c r="H992" s="584"/>
      <c r="I992" s="584"/>
      <c r="J992" s="584"/>
      <c r="K992" s="584"/>
      <c r="L992" s="613"/>
      <c r="M992" s="613"/>
      <c r="N992" s="613"/>
      <c r="O992" s="584"/>
      <c r="P992" s="584"/>
      <c r="Q992" s="584"/>
      <c r="R992" s="584"/>
      <c r="S992" s="584"/>
      <c r="T992" s="584"/>
      <c r="U992" s="584"/>
      <c r="V992" s="584"/>
      <c r="W992" s="584"/>
      <c r="X992" s="584"/>
      <c r="Y992" s="584"/>
      <c r="Z992" s="584"/>
      <c r="AA992" s="584"/>
      <c r="AB992" s="584"/>
      <c r="AC992" s="584"/>
      <c r="AD992" s="584"/>
      <c r="AE992" s="584"/>
      <c r="AF992" s="584"/>
    </row>
    <row r="993" ht="14.25" customHeight="1">
      <c r="A993" s="584"/>
      <c r="B993" s="584"/>
      <c r="C993" s="612"/>
      <c r="D993" s="612"/>
      <c r="E993" s="584"/>
      <c r="F993" s="584"/>
      <c r="G993" s="584"/>
      <c r="H993" s="584"/>
      <c r="I993" s="584"/>
      <c r="J993" s="584"/>
      <c r="K993" s="584"/>
      <c r="L993" s="613"/>
      <c r="M993" s="613"/>
      <c r="N993" s="613"/>
      <c r="O993" s="584"/>
      <c r="P993" s="584"/>
      <c r="Q993" s="584"/>
      <c r="R993" s="584"/>
      <c r="S993" s="584"/>
      <c r="T993" s="584"/>
      <c r="U993" s="584"/>
      <c r="V993" s="584"/>
      <c r="W993" s="584"/>
      <c r="X993" s="584"/>
      <c r="Y993" s="584"/>
      <c r="Z993" s="584"/>
      <c r="AA993" s="584"/>
      <c r="AB993" s="584"/>
      <c r="AC993" s="584"/>
      <c r="AD993" s="584"/>
      <c r="AE993" s="584"/>
      <c r="AF993" s="584"/>
    </row>
    <row r="994" ht="14.25" customHeight="1">
      <c r="A994" s="584"/>
      <c r="B994" s="584"/>
      <c r="C994" s="612"/>
      <c r="D994" s="612"/>
      <c r="E994" s="584"/>
      <c r="F994" s="584"/>
      <c r="G994" s="584"/>
      <c r="H994" s="584"/>
      <c r="I994" s="584"/>
      <c r="J994" s="584"/>
      <c r="K994" s="584"/>
      <c r="L994" s="613"/>
      <c r="M994" s="613"/>
      <c r="N994" s="613"/>
      <c r="O994" s="584"/>
      <c r="P994" s="584"/>
      <c r="Q994" s="584"/>
      <c r="R994" s="584"/>
      <c r="S994" s="584"/>
      <c r="T994" s="584"/>
      <c r="U994" s="584"/>
      <c r="V994" s="584"/>
      <c r="W994" s="584"/>
      <c r="X994" s="584"/>
      <c r="Y994" s="584"/>
      <c r="Z994" s="584"/>
      <c r="AA994" s="584"/>
      <c r="AB994" s="584"/>
      <c r="AC994" s="584"/>
      <c r="AD994" s="584"/>
      <c r="AE994" s="584"/>
      <c r="AF994" s="584"/>
    </row>
    <row r="995" ht="14.25" customHeight="1">
      <c r="A995" s="584"/>
      <c r="B995" s="584"/>
      <c r="C995" s="612"/>
      <c r="D995" s="612"/>
      <c r="E995" s="584"/>
      <c r="F995" s="584"/>
      <c r="G995" s="584"/>
      <c r="H995" s="584"/>
      <c r="I995" s="584"/>
      <c r="J995" s="584"/>
      <c r="K995" s="584"/>
      <c r="L995" s="613"/>
      <c r="M995" s="613"/>
      <c r="N995" s="613"/>
      <c r="O995" s="584"/>
      <c r="P995" s="584"/>
      <c r="Q995" s="584"/>
      <c r="R995" s="584"/>
      <c r="S995" s="584"/>
      <c r="T995" s="584"/>
      <c r="U995" s="584"/>
      <c r="V995" s="584"/>
      <c r="W995" s="584"/>
      <c r="X995" s="584"/>
      <c r="Y995" s="584"/>
      <c r="Z995" s="584"/>
      <c r="AA995" s="584"/>
      <c r="AB995" s="584"/>
      <c r="AC995" s="584"/>
      <c r="AD995" s="584"/>
      <c r="AE995" s="584"/>
      <c r="AF995" s="584"/>
    </row>
    <row r="996" ht="14.25" customHeight="1">
      <c r="A996" s="584"/>
      <c r="B996" s="584"/>
      <c r="C996" s="612"/>
      <c r="D996" s="612"/>
      <c r="E996" s="584"/>
      <c r="F996" s="584"/>
      <c r="G996" s="584"/>
      <c r="H996" s="584"/>
      <c r="I996" s="584"/>
      <c r="J996" s="584"/>
      <c r="K996" s="584"/>
      <c r="L996" s="613"/>
      <c r="M996" s="613"/>
      <c r="N996" s="613"/>
      <c r="O996" s="584"/>
      <c r="P996" s="584"/>
      <c r="Q996" s="584"/>
      <c r="R996" s="584"/>
      <c r="S996" s="584"/>
      <c r="T996" s="584"/>
      <c r="U996" s="584"/>
      <c r="V996" s="584"/>
      <c r="W996" s="584"/>
      <c r="X996" s="584"/>
      <c r="Y996" s="584"/>
      <c r="Z996" s="584"/>
      <c r="AA996" s="584"/>
      <c r="AB996" s="584"/>
      <c r="AC996" s="584"/>
      <c r="AD996" s="584"/>
      <c r="AE996" s="584"/>
      <c r="AF996" s="584"/>
    </row>
    <row r="997" ht="14.25" customHeight="1">
      <c r="A997" s="584"/>
      <c r="B997" s="584"/>
      <c r="C997" s="612"/>
      <c r="D997" s="612"/>
      <c r="E997" s="584"/>
      <c r="F997" s="584"/>
      <c r="G997" s="584"/>
      <c r="H997" s="584"/>
      <c r="I997" s="584"/>
      <c r="J997" s="584"/>
      <c r="K997" s="584"/>
      <c r="L997" s="613"/>
      <c r="M997" s="613"/>
      <c r="N997" s="613"/>
      <c r="O997" s="584"/>
      <c r="P997" s="584"/>
      <c r="Q997" s="584"/>
      <c r="R997" s="584"/>
      <c r="S997" s="584"/>
      <c r="T997" s="584"/>
      <c r="U997" s="584"/>
      <c r="V997" s="584"/>
      <c r="W997" s="584"/>
      <c r="X997" s="584"/>
      <c r="Y997" s="584"/>
      <c r="Z997" s="584"/>
      <c r="AA997" s="584"/>
      <c r="AB997" s="584"/>
      <c r="AC997" s="584"/>
      <c r="AD997" s="584"/>
      <c r="AE997" s="584"/>
      <c r="AF997" s="584"/>
    </row>
    <row r="998" ht="14.25" customHeight="1">
      <c r="A998" s="584"/>
      <c r="B998" s="584"/>
      <c r="C998" s="612"/>
      <c r="D998" s="612"/>
      <c r="E998" s="584"/>
      <c r="F998" s="584"/>
      <c r="G998" s="584"/>
      <c r="H998" s="584"/>
      <c r="I998" s="584"/>
      <c r="J998" s="584"/>
      <c r="K998" s="584"/>
      <c r="L998" s="613"/>
      <c r="M998" s="613"/>
      <c r="N998" s="613"/>
      <c r="O998" s="584"/>
      <c r="P998" s="584"/>
      <c r="Q998" s="584"/>
      <c r="R998" s="584"/>
      <c r="S998" s="584"/>
      <c r="T998" s="584"/>
      <c r="U998" s="584"/>
      <c r="V998" s="584"/>
      <c r="W998" s="584"/>
      <c r="X998" s="584"/>
      <c r="Y998" s="584"/>
      <c r="Z998" s="584"/>
      <c r="AA998" s="584"/>
      <c r="AB998" s="584"/>
      <c r="AC998" s="584"/>
      <c r="AD998" s="584"/>
      <c r="AE998" s="584"/>
      <c r="AF998" s="584"/>
    </row>
    <row r="999" ht="14.25" customHeight="1">
      <c r="A999" s="584"/>
      <c r="B999" s="584"/>
      <c r="C999" s="612"/>
      <c r="D999" s="612"/>
      <c r="E999" s="584"/>
      <c r="F999" s="584"/>
      <c r="G999" s="584"/>
      <c r="H999" s="584"/>
      <c r="I999" s="584"/>
      <c r="J999" s="584"/>
      <c r="K999" s="584"/>
      <c r="L999" s="613"/>
      <c r="M999" s="613"/>
      <c r="N999" s="613"/>
      <c r="O999" s="584"/>
      <c r="P999" s="584"/>
      <c r="Q999" s="584"/>
      <c r="R999" s="584"/>
      <c r="S999" s="584"/>
      <c r="T999" s="584"/>
      <c r="U999" s="584"/>
      <c r="V999" s="584"/>
      <c r="W999" s="584"/>
      <c r="X999" s="584"/>
      <c r="Y999" s="584"/>
      <c r="Z999" s="584"/>
      <c r="AA999" s="584"/>
      <c r="AB999" s="584"/>
      <c r="AC999" s="584"/>
      <c r="AD999" s="584"/>
      <c r="AE999" s="584"/>
      <c r="AF999" s="584"/>
    </row>
    <row r="1000" ht="14.25" customHeight="1">
      <c r="A1000" s="584"/>
      <c r="B1000" s="584"/>
      <c r="C1000" s="612"/>
      <c r="D1000" s="612"/>
      <c r="E1000" s="584"/>
      <c r="F1000" s="584"/>
      <c r="G1000" s="584"/>
      <c r="H1000" s="584"/>
      <c r="I1000" s="584"/>
      <c r="J1000" s="584"/>
      <c r="K1000" s="584"/>
      <c r="L1000" s="613"/>
      <c r="M1000" s="613"/>
      <c r="N1000" s="613"/>
      <c r="O1000" s="584"/>
      <c r="P1000" s="584"/>
      <c r="Q1000" s="584"/>
      <c r="R1000" s="584"/>
      <c r="S1000" s="584"/>
      <c r="T1000" s="584"/>
      <c r="U1000" s="584"/>
      <c r="V1000" s="584"/>
      <c r="W1000" s="584"/>
      <c r="X1000" s="584"/>
      <c r="Y1000" s="584"/>
      <c r="Z1000" s="584"/>
      <c r="AA1000" s="584"/>
      <c r="AB1000" s="584"/>
      <c r="AC1000" s="584"/>
      <c r="AD1000" s="584"/>
      <c r="AE1000" s="584"/>
      <c r="AF1000" s="584"/>
    </row>
    <row r="1001" ht="14.25" customHeight="1">
      <c r="A1001" s="584"/>
      <c r="B1001" s="584"/>
      <c r="C1001" s="612"/>
      <c r="D1001" s="612"/>
      <c r="E1001" s="584"/>
      <c r="F1001" s="584"/>
      <c r="G1001" s="584"/>
      <c r="H1001" s="584"/>
      <c r="I1001" s="584"/>
      <c r="J1001" s="584"/>
      <c r="K1001" s="584"/>
      <c r="L1001" s="613"/>
      <c r="M1001" s="613"/>
      <c r="N1001" s="613"/>
      <c r="O1001" s="584"/>
      <c r="P1001" s="584"/>
      <c r="Q1001" s="584"/>
      <c r="R1001" s="584"/>
      <c r="S1001" s="584"/>
      <c r="T1001" s="584"/>
      <c r="U1001" s="584"/>
      <c r="V1001" s="584"/>
      <c r="W1001" s="584"/>
      <c r="X1001" s="584"/>
      <c r="Y1001" s="584"/>
      <c r="Z1001" s="584"/>
      <c r="AA1001" s="584"/>
      <c r="AB1001" s="584"/>
      <c r="AC1001" s="584"/>
      <c r="AD1001" s="584"/>
      <c r="AE1001" s="584"/>
      <c r="AF1001" s="584"/>
    </row>
    <row r="1002" ht="14.25" customHeight="1">
      <c r="A1002" s="584"/>
      <c r="B1002" s="584"/>
      <c r="C1002" s="612"/>
      <c r="D1002" s="612"/>
      <c r="E1002" s="584"/>
      <c r="F1002" s="584"/>
      <c r="G1002" s="584"/>
      <c r="H1002" s="584"/>
      <c r="I1002" s="584"/>
      <c r="J1002" s="584"/>
      <c r="K1002" s="584"/>
      <c r="L1002" s="613"/>
      <c r="M1002" s="613"/>
      <c r="N1002" s="613"/>
      <c r="O1002" s="584"/>
      <c r="P1002" s="584"/>
      <c r="Q1002" s="584"/>
      <c r="R1002" s="584"/>
      <c r="S1002" s="584"/>
      <c r="T1002" s="584"/>
      <c r="U1002" s="584"/>
      <c r="V1002" s="584"/>
      <c r="W1002" s="584"/>
      <c r="X1002" s="584"/>
      <c r="Y1002" s="584"/>
      <c r="Z1002" s="584"/>
      <c r="AA1002" s="584"/>
      <c r="AB1002" s="584"/>
      <c r="AC1002" s="584"/>
      <c r="AD1002" s="584"/>
      <c r="AE1002" s="584"/>
      <c r="AF1002" s="584"/>
    </row>
    <row r="1003" ht="14.25" customHeight="1">
      <c r="A1003" s="584"/>
      <c r="B1003" s="584"/>
      <c r="C1003" s="612"/>
      <c r="D1003" s="612"/>
      <c r="E1003" s="584"/>
      <c r="F1003" s="584"/>
      <c r="G1003" s="584"/>
      <c r="H1003" s="584"/>
      <c r="I1003" s="584"/>
      <c r="J1003" s="584"/>
      <c r="K1003" s="584"/>
      <c r="L1003" s="613"/>
      <c r="M1003" s="613"/>
      <c r="N1003" s="613"/>
      <c r="O1003" s="584"/>
      <c r="P1003" s="584"/>
      <c r="Q1003" s="584"/>
      <c r="R1003" s="584"/>
      <c r="S1003" s="584"/>
      <c r="T1003" s="584"/>
      <c r="U1003" s="584"/>
      <c r="V1003" s="584"/>
      <c r="W1003" s="584"/>
      <c r="X1003" s="584"/>
      <c r="Y1003" s="584"/>
      <c r="Z1003" s="584"/>
      <c r="AA1003" s="584"/>
      <c r="AB1003" s="584"/>
      <c r="AC1003" s="584"/>
      <c r="AD1003" s="584"/>
      <c r="AE1003" s="584"/>
      <c r="AF1003" s="584"/>
    </row>
    <row r="1004" ht="14.25" customHeight="1">
      <c r="A1004" s="584"/>
      <c r="B1004" s="584"/>
      <c r="C1004" s="612"/>
      <c r="D1004" s="612"/>
      <c r="E1004" s="584"/>
      <c r="F1004" s="584"/>
      <c r="G1004" s="584"/>
      <c r="H1004" s="584"/>
      <c r="I1004" s="584"/>
      <c r="J1004" s="584"/>
      <c r="K1004" s="584"/>
      <c r="L1004" s="613"/>
      <c r="M1004" s="613"/>
      <c r="N1004" s="613"/>
      <c r="O1004" s="584"/>
      <c r="P1004" s="584"/>
      <c r="Q1004" s="584"/>
      <c r="R1004" s="584"/>
      <c r="S1004" s="584"/>
      <c r="T1004" s="584"/>
      <c r="U1004" s="584"/>
      <c r="V1004" s="584"/>
      <c r="W1004" s="584"/>
      <c r="X1004" s="584"/>
      <c r="Y1004" s="584"/>
      <c r="Z1004" s="584"/>
      <c r="AA1004" s="584"/>
      <c r="AB1004" s="584"/>
      <c r="AC1004" s="584"/>
      <c r="AD1004" s="584"/>
      <c r="AE1004" s="584"/>
      <c r="AF1004" s="584"/>
    </row>
    <row r="1005" ht="14.25" customHeight="1">
      <c r="A1005" s="584"/>
      <c r="B1005" s="584"/>
      <c r="C1005" s="612"/>
      <c r="D1005" s="612"/>
      <c r="E1005" s="584"/>
      <c r="F1005" s="584"/>
      <c r="G1005" s="584"/>
      <c r="H1005" s="584"/>
      <c r="I1005" s="584"/>
      <c r="J1005" s="584"/>
      <c r="K1005" s="584"/>
      <c r="L1005" s="613"/>
      <c r="M1005" s="613"/>
      <c r="N1005" s="613"/>
      <c r="O1005" s="584"/>
      <c r="P1005" s="584"/>
      <c r="Q1005" s="584"/>
      <c r="R1005" s="584"/>
      <c r="S1005" s="584"/>
      <c r="T1005" s="584"/>
      <c r="U1005" s="584"/>
      <c r="V1005" s="584"/>
      <c r="W1005" s="584"/>
      <c r="X1005" s="584"/>
      <c r="Y1005" s="584"/>
      <c r="Z1005" s="584"/>
      <c r="AA1005" s="584"/>
      <c r="AB1005" s="584"/>
      <c r="AC1005" s="584"/>
      <c r="AD1005" s="584"/>
      <c r="AE1005" s="584"/>
      <c r="AF1005" s="584"/>
    </row>
    <row r="1006" ht="14.25" customHeight="1">
      <c r="A1006" s="584"/>
      <c r="B1006" s="584"/>
      <c r="C1006" s="612"/>
      <c r="D1006" s="612"/>
      <c r="E1006" s="584"/>
      <c r="F1006" s="584"/>
      <c r="G1006" s="584"/>
      <c r="H1006" s="584"/>
      <c r="I1006" s="584"/>
      <c r="J1006" s="584"/>
      <c r="K1006" s="584"/>
      <c r="L1006" s="613"/>
      <c r="M1006" s="613"/>
      <c r="N1006" s="613"/>
      <c r="O1006" s="584"/>
      <c r="P1006" s="584"/>
      <c r="Q1006" s="584"/>
      <c r="R1006" s="584"/>
      <c r="S1006" s="584"/>
      <c r="T1006" s="584"/>
      <c r="U1006" s="584"/>
      <c r="V1006" s="584"/>
      <c r="W1006" s="584"/>
      <c r="X1006" s="584"/>
      <c r="Y1006" s="584"/>
      <c r="Z1006" s="584"/>
      <c r="AA1006" s="584"/>
      <c r="AB1006" s="584"/>
      <c r="AC1006" s="584"/>
      <c r="AD1006" s="584"/>
      <c r="AE1006" s="584"/>
      <c r="AF1006" s="584"/>
    </row>
    <row r="1007" ht="14.25" customHeight="1">
      <c r="A1007" s="584"/>
      <c r="B1007" s="584"/>
      <c r="C1007" s="612"/>
      <c r="D1007" s="612"/>
      <c r="E1007" s="584"/>
      <c r="F1007" s="584"/>
      <c r="G1007" s="584"/>
      <c r="H1007" s="584"/>
      <c r="I1007" s="584"/>
      <c r="J1007" s="584"/>
      <c r="K1007" s="584"/>
      <c r="L1007" s="613"/>
      <c r="M1007" s="613"/>
      <c r="N1007" s="613"/>
      <c r="O1007" s="584"/>
      <c r="P1007" s="584"/>
      <c r="Q1007" s="584"/>
      <c r="R1007" s="584"/>
      <c r="S1007" s="584"/>
      <c r="T1007" s="584"/>
      <c r="U1007" s="584"/>
      <c r="V1007" s="584"/>
      <c r="W1007" s="584"/>
      <c r="X1007" s="584"/>
      <c r="Y1007" s="584"/>
      <c r="Z1007" s="584"/>
      <c r="AA1007" s="584"/>
      <c r="AB1007" s="584"/>
      <c r="AC1007" s="584"/>
      <c r="AD1007" s="584"/>
      <c r="AE1007" s="584"/>
      <c r="AF1007" s="584"/>
    </row>
    <row r="1008" ht="14.25" customHeight="1">
      <c r="A1008" s="584"/>
      <c r="B1008" s="584"/>
      <c r="C1008" s="612"/>
      <c r="D1008" s="612"/>
      <c r="E1008" s="584"/>
      <c r="F1008" s="584"/>
      <c r="G1008" s="584"/>
      <c r="H1008" s="584"/>
      <c r="I1008" s="584"/>
      <c r="J1008" s="584"/>
      <c r="K1008" s="584"/>
      <c r="L1008" s="613"/>
      <c r="M1008" s="613"/>
      <c r="N1008" s="613"/>
      <c r="O1008" s="584"/>
      <c r="P1008" s="584"/>
      <c r="Q1008" s="584"/>
      <c r="R1008" s="584"/>
      <c r="S1008" s="584"/>
      <c r="T1008" s="584"/>
      <c r="U1008" s="584"/>
      <c r="V1008" s="584"/>
      <c r="W1008" s="584"/>
      <c r="X1008" s="584"/>
      <c r="Y1008" s="584"/>
      <c r="Z1008" s="584"/>
      <c r="AA1008" s="584"/>
      <c r="AB1008" s="584"/>
      <c r="AC1008" s="584"/>
      <c r="AD1008" s="584"/>
      <c r="AE1008" s="584"/>
      <c r="AF1008" s="584"/>
    </row>
    <row r="1009" ht="14.25" customHeight="1">
      <c r="A1009" s="584"/>
      <c r="B1009" s="584"/>
      <c r="C1009" s="612"/>
      <c r="D1009" s="612"/>
      <c r="E1009" s="584"/>
      <c r="F1009" s="584"/>
      <c r="G1009" s="584"/>
      <c r="H1009" s="584"/>
      <c r="I1009" s="584"/>
      <c r="J1009" s="584"/>
      <c r="K1009" s="584"/>
      <c r="L1009" s="615"/>
      <c r="M1009" s="615"/>
      <c r="N1009" s="615"/>
      <c r="O1009" s="584"/>
      <c r="P1009" s="584"/>
      <c r="Q1009" s="584"/>
      <c r="R1009" s="584"/>
      <c r="S1009" s="584"/>
      <c r="T1009" s="584"/>
      <c r="U1009" s="584"/>
      <c r="V1009" s="584"/>
      <c r="W1009" s="584"/>
      <c r="X1009" s="584"/>
      <c r="Y1009" s="584"/>
      <c r="Z1009" s="584"/>
      <c r="AA1009" s="584"/>
      <c r="AB1009" s="584"/>
      <c r="AC1009" s="584"/>
      <c r="AD1009" s="584"/>
      <c r="AE1009" s="584"/>
      <c r="AF1009" s="584"/>
    </row>
    <row r="1010" ht="14.25" customHeight="1">
      <c r="A1010" s="584"/>
      <c r="B1010" s="584"/>
      <c r="C1010" s="612"/>
      <c r="D1010" s="612"/>
      <c r="E1010" s="584"/>
      <c r="F1010" s="584"/>
      <c r="G1010" s="584"/>
      <c r="H1010" s="584"/>
      <c r="I1010" s="584"/>
      <c r="J1010" s="584"/>
      <c r="K1010" s="584"/>
      <c r="L1010" s="613"/>
      <c r="M1010" s="613"/>
      <c r="N1010" s="613"/>
      <c r="O1010" s="584"/>
      <c r="P1010" s="584"/>
      <c r="Q1010" s="584"/>
      <c r="R1010" s="584"/>
      <c r="S1010" s="584"/>
      <c r="T1010" s="584"/>
      <c r="U1010" s="584"/>
      <c r="V1010" s="584"/>
      <c r="W1010" s="584"/>
      <c r="X1010" s="584"/>
      <c r="Y1010" s="584"/>
      <c r="Z1010" s="584"/>
      <c r="AA1010" s="584"/>
      <c r="AB1010" s="584"/>
      <c r="AC1010" s="584"/>
      <c r="AD1010" s="584"/>
      <c r="AE1010" s="584"/>
      <c r="AF1010" s="584"/>
    </row>
    <row r="1011" ht="14.25" customHeight="1">
      <c r="A1011" s="584"/>
      <c r="B1011" s="584"/>
      <c r="C1011" s="612"/>
      <c r="D1011" s="612"/>
      <c r="E1011" s="584"/>
      <c r="F1011" s="584"/>
      <c r="G1011" s="584"/>
      <c r="H1011" s="584"/>
      <c r="I1011" s="584"/>
      <c r="J1011" s="584"/>
      <c r="K1011" s="584"/>
      <c r="L1011" s="613"/>
      <c r="M1011" s="613"/>
      <c r="N1011" s="613"/>
      <c r="O1011" s="584"/>
      <c r="P1011" s="584"/>
      <c r="Q1011" s="584"/>
      <c r="R1011" s="584"/>
      <c r="S1011" s="584"/>
      <c r="T1011" s="584"/>
      <c r="U1011" s="584"/>
      <c r="V1011" s="584"/>
      <c r="W1011" s="584"/>
      <c r="X1011" s="584"/>
      <c r="Y1011" s="584"/>
      <c r="Z1011" s="584"/>
      <c r="AA1011" s="584"/>
      <c r="AB1011" s="584"/>
      <c r="AC1011" s="584"/>
      <c r="AD1011" s="584"/>
      <c r="AE1011" s="584"/>
      <c r="AF1011" s="584"/>
    </row>
    <row r="1012" ht="14.25" customHeight="1">
      <c r="A1012" s="584"/>
      <c r="B1012" s="584"/>
      <c r="C1012" s="612"/>
      <c r="D1012" s="612"/>
      <c r="E1012" s="584"/>
      <c r="F1012" s="584"/>
      <c r="G1012" s="584"/>
      <c r="H1012" s="584"/>
      <c r="I1012" s="584"/>
      <c r="J1012" s="584"/>
      <c r="K1012" s="584"/>
      <c r="L1012" s="613"/>
      <c r="M1012" s="613"/>
      <c r="N1012" s="613"/>
      <c r="O1012" s="584"/>
      <c r="P1012" s="584"/>
      <c r="Q1012" s="584"/>
      <c r="R1012" s="584"/>
      <c r="S1012" s="584"/>
      <c r="T1012" s="584"/>
      <c r="U1012" s="584"/>
      <c r="V1012" s="584"/>
      <c r="W1012" s="584"/>
      <c r="X1012" s="584"/>
      <c r="Y1012" s="584"/>
      <c r="Z1012" s="584"/>
      <c r="AA1012" s="584"/>
      <c r="AB1012" s="584"/>
      <c r="AC1012" s="584"/>
      <c r="AD1012" s="584"/>
      <c r="AE1012" s="584"/>
      <c r="AF1012" s="584"/>
    </row>
    <row r="1013" ht="14.25" customHeight="1">
      <c r="A1013" s="584"/>
      <c r="B1013" s="584"/>
      <c r="C1013" s="612"/>
      <c r="D1013" s="612"/>
      <c r="E1013" s="584"/>
      <c r="F1013" s="584"/>
      <c r="G1013" s="584"/>
      <c r="H1013" s="584"/>
      <c r="I1013" s="584"/>
      <c r="J1013" s="584"/>
      <c r="K1013" s="584"/>
      <c r="L1013" s="613"/>
      <c r="M1013" s="613"/>
      <c r="N1013" s="613"/>
      <c r="O1013" s="584"/>
      <c r="P1013" s="584"/>
      <c r="Q1013" s="584"/>
      <c r="R1013" s="584"/>
      <c r="S1013" s="584"/>
      <c r="T1013" s="584"/>
      <c r="U1013" s="584"/>
      <c r="V1013" s="584"/>
      <c r="W1013" s="584"/>
      <c r="X1013" s="584"/>
      <c r="Y1013" s="584"/>
      <c r="Z1013" s="584"/>
      <c r="AA1013" s="584"/>
      <c r="AB1013" s="584"/>
      <c r="AC1013" s="584"/>
      <c r="AD1013" s="584"/>
      <c r="AE1013" s="584"/>
      <c r="AF1013" s="584"/>
    </row>
    <row r="1014" ht="14.25" customHeight="1">
      <c r="A1014" s="584"/>
      <c r="B1014" s="584"/>
      <c r="C1014" s="612"/>
      <c r="D1014" s="612"/>
      <c r="E1014" s="584"/>
      <c r="F1014" s="584"/>
      <c r="G1014" s="584"/>
      <c r="H1014" s="584"/>
      <c r="I1014" s="584"/>
      <c r="J1014" s="584"/>
      <c r="K1014" s="584"/>
      <c r="L1014" s="613"/>
      <c r="M1014" s="613"/>
      <c r="N1014" s="613"/>
      <c r="O1014" s="584"/>
      <c r="P1014" s="584"/>
      <c r="Q1014" s="584"/>
      <c r="R1014" s="584"/>
      <c r="S1014" s="584"/>
      <c r="T1014" s="584"/>
      <c r="U1014" s="584"/>
      <c r="V1014" s="584"/>
      <c r="W1014" s="584"/>
      <c r="X1014" s="584"/>
      <c r="Y1014" s="584"/>
      <c r="Z1014" s="584"/>
      <c r="AA1014" s="584"/>
      <c r="AB1014" s="584"/>
      <c r="AC1014" s="584"/>
      <c r="AD1014" s="584"/>
      <c r="AE1014" s="584"/>
      <c r="AF1014" s="584"/>
    </row>
    <row r="1015" ht="14.25" customHeight="1">
      <c r="A1015" s="584"/>
      <c r="B1015" s="584"/>
      <c r="C1015" s="612"/>
      <c r="D1015" s="612"/>
      <c r="E1015" s="584"/>
      <c r="F1015" s="584"/>
      <c r="G1015" s="584"/>
      <c r="H1015" s="584"/>
      <c r="I1015" s="584"/>
      <c r="J1015" s="584"/>
      <c r="K1015" s="584"/>
      <c r="L1015" s="613"/>
      <c r="M1015" s="613"/>
      <c r="N1015" s="613"/>
      <c r="O1015" s="584"/>
      <c r="P1015" s="584"/>
      <c r="Q1015" s="584"/>
      <c r="R1015" s="584"/>
      <c r="S1015" s="584"/>
      <c r="T1015" s="584"/>
      <c r="U1015" s="584"/>
      <c r="V1015" s="584"/>
      <c r="W1015" s="584"/>
      <c r="X1015" s="584"/>
      <c r="Y1015" s="584"/>
      <c r="Z1015" s="584"/>
      <c r="AA1015" s="584"/>
      <c r="AB1015" s="584"/>
      <c r="AC1015" s="584"/>
      <c r="AD1015" s="584"/>
      <c r="AE1015" s="584"/>
      <c r="AF1015" s="584"/>
    </row>
    <row r="1016" ht="14.25" customHeight="1">
      <c r="A1016" s="584"/>
      <c r="B1016" s="584"/>
      <c r="C1016" s="612"/>
      <c r="D1016" s="612"/>
      <c r="E1016" s="584"/>
      <c r="F1016" s="584"/>
      <c r="G1016" s="584"/>
      <c r="H1016" s="584"/>
      <c r="I1016" s="584"/>
      <c r="J1016" s="584"/>
      <c r="K1016" s="584"/>
      <c r="L1016" s="613"/>
      <c r="M1016" s="613"/>
      <c r="N1016" s="613"/>
      <c r="O1016" s="584"/>
      <c r="P1016" s="584"/>
      <c r="Q1016" s="584"/>
      <c r="R1016" s="584"/>
      <c r="S1016" s="584"/>
      <c r="T1016" s="584"/>
      <c r="U1016" s="584"/>
      <c r="V1016" s="584"/>
      <c r="W1016" s="584"/>
      <c r="X1016" s="584"/>
      <c r="Y1016" s="584"/>
      <c r="Z1016" s="584"/>
      <c r="AA1016" s="584"/>
      <c r="AB1016" s="584"/>
      <c r="AC1016" s="584"/>
      <c r="AD1016" s="584"/>
      <c r="AE1016" s="584"/>
      <c r="AF1016" s="584"/>
    </row>
    <row r="1017" ht="14.25" customHeight="1">
      <c r="A1017" s="584"/>
      <c r="B1017" s="584"/>
      <c r="C1017" s="612"/>
      <c r="D1017" s="612"/>
      <c r="E1017" s="584"/>
      <c r="F1017" s="584"/>
      <c r="G1017" s="584"/>
      <c r="H1017" s="584"/>
      <c r="I1017" s="584"/>
      <c r="J1017" s="584"/>
      <c r="K1017" s="584"/>
      <c r="L1017" s="613"/>
      <c r="M1017" s="613"/>
      <c r="N1017" s="613"/>
      <c r="O1017" s="584"/>
      <c r="P1017" s="584"/>
      <c r="Q1017" s="584"/>
      <c r="R1017" s="584"/>
      <c r="S1017" s="584"/>
      <c r="T1017" s="584"/>
      <c r="U1017" s="584"/>
      <c r="V1017" s="584"/>
      <c r="W1017" s="584"/>
      <c r="X1017" s="584"/>
      <c r="Y1017" s="584"/>
      <c r="Z1017" s="584"/>
      <c r="AA1017" s="584"/>
      <c r="AB1017" s="584"/>
      <c r="AC1017" s="584"/>
      <c r="AD1017" s="584"/>
      <c r="AE1017" s="584"/>
      <c r="AF1017" s="584"/>
    </row>
    <row r="1018" ht="14.25" customHeight="1">
      <c r="A1018" s="584"/>
      <c r="B1018" s="584"/>
      <c r="C1018" s="612"/>
      <c r="D1018" s="612"/>
      <c r="E1018" s="584"/>
      <c r="F1018" s="584"/>
      <c r="G1018" s="584"/>
      <c r="H1018" s="584"/>
      <c r="I1018" s="584"/>
      <c r="J1018" s="584"/>
      <c r="K1018" s="584"/>
      <c r="L1018" s="613"/>
      <c r="M1018" s="613"/>
      <c r="N1018" s="613"/>
      <c r="O1018" s="584"/>
      <c r="P1018" s="584"/>
      <c r="Q1018" s="584"/>
      <c r="R1018" s="584"/>
      <c r="S1018" s="584"/>
      <c r="T1018" s="584"/>
      <c r="U1018" s="584"/>
      <c r="V1018" s="584"/>
      <c r="W1018" s="584"/>
      <c r="X1018" s="584"/>
      <c r="Y1018" s="584"/>
      <c r="Z1018" s="584"/>
      <c r="AA1018" s="584"/>
      <c r="AB1018" s="584"/>
      <c r="AC1018" s="584"/>
      <c r="AD1018" s="584"/>
      <c r="AE1018" s="584"/>
      <c r="AF1018" s="584"/>
    </row>
    <row r="1019" ht="14.25" customHeight="1">
      <c r="A1019" s="584"/>
      <c r="B1019" s="584"/>
      <c r="C1019" s="612"/>
      <c r="D1019" s="612"/>
      <c r="E1019" s="584"/>
      <c r="F1019" s="584"/>
      <c r="G1019" s="584"/>
      <c r="H1019" s="584"/>
      <c r="I1019" s="584"/>
      <c r="J1019" s="584"/>
      <c r="K1019" s="584"/>
      <c r="L1019" s="613"/>
      <c r="M1019" s="613"/>
      <c r="N1019" s="613"/>
      <c r="O1019" s="584"/>
      <c r="P1019" s="584"/>
      <c r="Q1019" s="584"/>
      <c r="R1019" s="584"/>
      <c r="S1019" s="584"/>
      <c r="T1019" s="584"/>
      <c r="U1019" s="584"/>
      <c r="V1019" s="584"/>
      <c r="W1019" s="584"/>
      <c r="X1019" s="584"/>
      <c r="Y1019" s="584"/>
      <c r="Z1019" s="584"/>
      <c r="AA1019" s="584"/>
      <c r="AB1019" s="584"/>
      <c r="AC1019" s="584"/>
      <c r="AD1019" s="584"/>
      <c r="AE1019" s="584"/>
      <c r="AF1019" s="584"/>
    </row>
    <row r="1020" ht="14.25" customHeight="1">
      <c r="A1020" s="584"/>
      <c r="B1020" s="584"/>
      <c r="C1020" s="612"/>
      <c r="D1020" s="612"/>
      <c r="E1020" s="584"/>
      <c r="F1020" s="584"/>
      <c r="G1020" s="584"/>
      <c r="H1020" s="584"/>
      <c r="I1020" s="584"/>
      <c r="J1020" s="584"/>
      <c r="K1020" s="584"/>
      <c r="L1020" s="613"/>
      <c r="M1020" s="613"/>
      <c r="N1020" s="613"/>
      <c r="O1020" s="584"/>
      <c r="P1020" s="584"/>
      <c r="Q1020" s="584"/>
      <c r="R1020" s="584"/>
      <c r="S1020" s="584"/>
      <c r="T1020" s="584"/>
      <c r="U1020" s="584"/>
      <c r="V1020" s="584"/>
      <c r="W1020" s="584"/>
      <c r="X1020" s="584"/>
      <c r="Y1020" s="584"/>
      <c r="Z1020" s="584"/>
      <c r="AA1020" s="584"/>
      <c r="AB1020" s="584"/>
      <c r="AC1020" s="584"/>
      <c r="AD1020" s="584"/>
      <c r="AE1020" s="584"/>
      <c r="AF1020" s="584"/>
    </row>
    <row r="1021" ht="14.25" customHeight="1">
      <c r="A1021" s="584"/>
      <c r="B1021" s="584"/>
      <c r="C1021" s="612"/>
      <c r="D1021" s="612"/>
      <c r="E1021" s="584"/>
      <c r="F1021" s="584"/>
      <c r="G1021" s="584"/>
      <c r="H1021" s="584"/>
      <c r="I1021" s="584"/>
      <c r="J1021" s="584"/>
      <c r="K1021" s="584"/>
      <c r="L1021" s="613"/>
      <c r="M1021" s="613"/>
      <c r="N1021" s="613"/>
      <c r="O1021" s="584"/>
      <c r="P1021" s="584"/>
      <c r="Q1021" s="584"/>
      <c r="R1021" s="584"/>
      <c r="S1021" s="584"/>
      <c r="T1021" s="584"/>
      <c r="U1021" s="584"/>
      <c r="V1021" s="584"/>
      <c r="W1021" s="584"/>
      <c r="X1021" s="584"/>
      <c r="Y1021" s="584"/>
      <c r="Z1021" s="584"/>
      <c r="AA1021" s="584"/>
      <c r="AB1021" s="584"/>
      <c r="AC1021" s="584"/>
      <c r="AD1021" s="584"/>
      <c r="AE1021" s="584"/>
      <c r="AF1021" s="584"/>
    </row>
    <row r="1022" ht="14.25" customHeight="1">
      <c r="A1022" s="584"/>
      <c r="B1022" s="584"/>
      <c r="C1022" s="612"/>
      <c r="D1022" s="612"/>
      <c r="E1022" s="584"/>
      <c r="F1022" s="584"/>
      <c r="G1022" s="584"/>
      <c r="H1022" s="584"/>
      <c r="I1022" s="584"/>
      <c r="J1022" s="584"/>
      <c r="K1022" s="584"/>
      <c r="L1022" s="613"/>
      <c r="M1022" s="613"/>
      <c r="N1022" s="613"/>
      <c r="O1022" s="584"/>
      <c r="P1022" s="584"/>
      <c r="Q1022" s="584"/>
      <c r="R1022" s="584"/>
      <c r="S1022" s="584"/>
      <c r="T1022" s="584"/>
      <c r="U1022" s="584"/>
      <c r="V1022" s="584"/>
      <c r="W1022" s="584"/>
      <c r="X1022" s="584"/>
      <c r="Y1022" s="584"/>
      <c r="Z1022" s="584"/>
      <c r="AA1022" s="584"/>
      <c r="AB1022" s="584"/>
      <c r="AC1022" s="584"/>
      <c r="AD1022" s="584"/>
      <c r="AE1022" s="584"/>
      <c r="AF1022" s="584"/>
    </row>
    <row r="1023" ht="14.25" customHeight="1">
      <c r="A1023" s="584"/>
      <c r="B1023" s="584"/>
      <c r="C1023" s="612"/>
      <c r="D1023" s="612"/>
      <c r="E1023" s="584"/>
      <c r="F1023" s="584"/>
      <c r="G1023" s="584"/>
      <c r="H1023" s="584"/>
      <c r="I1023" s="584"/>
      <c r="J1023" s="584"/>
      <c r="K1023" s="584"/>
      <c r="L1023" s="613"/>
      <c r="M1023" s="613"/>
      <c r="N1023" s="613"/>
      <c r="O1023" s="584"/>
      <c r="P1023" s="584"/>
      <c r="Q1023" s="584"/>
      <c r="R1023" s="584"/>
      <c r="S1023" s="584"/>
      <c r="T1023" s="584"/>
      <c r="U1023" s="584"/>
      <c r="V1023" s="584"/>
      <c r="W1023" s="584"/>
      <c r="X1023" s="584"/>
      <c r="Y1023" s="584"/>
      <c r="Z1023" s="584"/>
      <c r="AA1023" s="584"/>
      <c r="AB1023" s="584"/>
      <c r="AC1023" s="584"/>
      <c r="AD1023" s="584"/>
      <c r="AE1023" s="584"/>
      <c r="AF1023" s="584"/>
    </row>
    <row r="1024" ht="14.25" customHeight="1">
      <c r="A1024" s="584"/>
      <c r="B1024" s="584"/>
      <c r="C1024" s="612"/>
      <c r="D1024" s="612"/>
      <c r="E1024" s="584"/>
      <c r="F1024" s="584"/>
      <c r="G1024" s="584"/>
      <c r="H1024" s="584"/>
      <c r="I1024" s="584"/>
      <c r="J1024" s="584"/>
      <c r="K1024" s="584"/>
      <c r="L1024" s="613"/>
      <c r="M1024" s="613"/>
      <c r="N1024" s="613"/>
      <c r="O1024" s="584"/>
      <c r="P1024" s="584"/>
      <c r="Q1024" s="584"/>
      <c r="R1024" s="584"/>
      <c r="S1024" s="584"/>
      <c r="T1024" s="584"/>
      <c r="U1024" s="584"/>
      <c r="V1024" s="584"/>
      <c r="W1024" s="584"/>
      <c r="X1024" s="584"/>
      <c r="Y1024" s="584"/>
      <c r="Z1024" s="584"/>
      <c r="AA1024" s="584"/>
      <c r="AB1024" s="584"/>
      <c r="AC1024" s="584"/>
      <c r="AD1024" s="584"/>
      <c r="AE1024" s="584"/>
      <c r="AF1024" s="584"/>
    </row>
    <row r="1025" ht="14.25" customHeight="1">
      <c r="A1025" s="584"/>
      <c r="B1025" s="584"/>
      <c r="C1025" s="612"/>
      <c r="D1025" s="612"/>
      <c r="E1025" s="584"/>
      <c r="F1025" s="584"/>
      <c r="G1025" s="584"/>
      <c r="H1025" s="584"/>
      <c r="I1025" s="584"/>
      <c r="J1025" s="584"/>
      <c r="K1025" s="584"/>
      <c r="L1025" s="613"/>
      <c r="M1025" s="613"/>
      <c r="N1025" s="614"/>
      <c r="O1025" s="584"/>
      <c r="P1025" s="584"/>
      <c r="Q1025" s="584"/>
      <c r="R1025" s="584"/>
      <c r="S1025" s="584"/>
      <c r="T1025" s="584"/>
      <c r="U1025" s="584"/>
      <c r="V1025" s="584"/>
      <c r="W1025" s="584"/>
      <c r="X1025" s="584"/>
      <c r="Y1025" s="584"/>
      <c r="Z1025" s="584"/>
      <c r="AA1025" s="584"/>
      <c r="AB1025" s="584"/>
      <c r="AC1025" s="584"/>
      <c r="AD1025" s="584"/>
      <c r="AE1025" s="584"/>
      <c r="AF1025" s="584"/>
    </row>
    <row r="1026" ht="14.25" customHeight="1">
      <c r="A1026" s="584"/>
      <c r="B1026" s="584"/>
      <c r="C1026" s="612"/>
      <c r="D1026" s="612"/>
      <c r="E1026" s="584"/>
      <c r="F1026" s="584"/>
      <c r="G1026" s="584"/>
      <c r="H1026" s="584"/>
      <c r="I1026" s="584"/>
      <c r="J1026" s="584"/>
      <c r="K1026" s="584"/>
      <c r="L1026" s="613"/>
      <c r="M1026" s="613"/>
      <c r="N1026" s="613"/>
      <c r="O1026" s="584"/>
      <c r="P1026" s="584"/>
      <c r="Q1026" s="584"/>
      <c r="R1026" s="584"/>
      <c r="S1026" s="584"/>
      <c r="T1026" s="584"/>
      <c r="U1026" s="584"/>
      <c r="V1026" s="584"/>
      <c r="W1026" s="584"/>
      <c r="X1026" s="584"/>
      <c r="Y1026" s="584"/>
      <c r="Z1026" s="584"/>
      <c r="AA1026" s="584"/>
      <c r="AB1026" s="584"/>
      <c r="AC1026" s="584"/>
      <c r="AD1026" s="584"/>
      <c r="AE1026" s="584"/>
      <c r="AF1026" s="584"/>
    </row>
    <row r="1027" ht="14.25" customHeight="1">
      <c r="A1027" s="584"/>
      <c r="B1027" s="584"/>
      <c r="C1027" s="612"/>
      <c r="D1027" s="612"/>
      <c r="E1027" s="584"/>
      <c r="F1027" s="584"/>
      <c r="G1027" s="584"/>
      <c r="H1027" s="584"/>
      <c r="I1027" s="584"/>
      <c r="J1027" s="584"/>
      <c r="K1027" s="584"/>
      <c r="L1027" s="613"/>
      <c r="M1027" s="613"/>
      <c r="N1027" s="613"/>
      <c r="O1027" s="584"/>
      <c r="P1027" s="584"/>
      <c r="Q1027" s="584"/>
      <c r="R1027" s="584"/>
      <c r="S1027" s="584"/>
      <c r="T1027" s="584"/>
      <c r="U1027" s="584"/>
      <c r="V1027" s="584"/>
      <c r="W1027" s="584"/>
      <c r="X1027" s="584"/>
      <c r="Y1027" s="584"/>
      <c r="Z1027" s="584"/>
      <c r="AA1027" s="584"/>
      <c r="AB1027" s="584"/>
      <c r="AC1027" s="584"/>
      <c r="AD1027" s="584"/>
      <c r="AE1027" s="584"/>
      <c r="AF1027" s="584"/>
    </row>
    <row r="1028" ht="14.25" customHeight="1">
      <c r="A1028" s="584"/>
      <c r="B1028" s="584"/>
      <c r="C1028" s="612"/>
      <c r="D1028" s="612"/>
      <c r="E1028" s="584"/>
      <c r="F1028" s="584"/>
      <c r="G1028" s="584"/>
      <c r="H1028" s="584"/>
      <c r="I1028" s="584"/>
      <c r="J1028" s="584"/>
      <c r="K1028" s="584"/>
      <c r="L1028" s="613"/>
      <c r="M1028" s="613"/>
      <c r="N1028" s="613"/>
      <c r="O1028" s="584"/>
      <c r="P1028" s="584"/>
      <c r="Q1028" s="584"/>
      <c r="R1028" s="584"/>
      <c r="S1028" s="584"/>
      <c r="T1028" s="584"/>
      <c r="U1028" s="584"/>
      <c r="V1028" s="584"/>
      <c r="W1028" s="584"/>
      <c r="X1028" s="584"/>
      <c r="Y1028" s="584"/>
      <c r="Z1028" s="584"/>
      <c r="AA1028" s="584"/>
      <c r="AB1028" s="584"/>
      <c r="AC1028" s="584"/>
      <c r="AD1028" s="584"/>
      <c r="AE1028" s="584"/>
      <c r="AF1028" s="584"/>
    </row>
    <row r="1029" ht="14.25" customHeight="1">
      <c r="A1029" s="584"/>
      <c r="B1029" s="584"/>
      <c r="C1029" s="612"/>
      <c r="D1029" s="612"/>
      <c r="E1029" s="584"/>
      <c r="F1029" s="584"/>
      <c r="G1029" s="584"/>
      <c r="H1029" s="584"/>
      <c r="I1029" s="584"/>
      <c r="J1029" s="584"/>
      <c r="K1029" s="584"/>
      <c r="L1029" s="613"/>
      <c r="M1029" s="613"/>
      <c r="N1029" s="613"/>
      <c r="O1029" s="584"/>
      <c r="P1029" s="584"/>
      <c r="Q1029" s="584"/>
      <c r="R1029" s="584"/>
      <c r="S1029" s="584"/>
      <c r="T1029" s="584"/>
      <c r="U1029" s="584"/>
      <c r="V1029" s="584"/>
      <c r="W1029" s="584"/>
      <c r="X1029" s="584"/>
      <c r="Y1029" s="584"/>
      <c r="Z1029" s="584"/>
      <c r="AA1029" s="584"/>
      <c r="AB1029" s="584"/>
      <c r="AC1029" s="584"/>
      <c r="AD1029" s="584"/>
      <c r="AE1029" s="584"/>
      <c r="AF1029" s="584"/>
    </row>
    <row r="1030" ht="14.25" customHeight="1">
      <c r="A1030" s="584"/>
      <c r="B1030" s="584"/>
      <c r="C1030" s="612"/>
      <c r="D1030" s="612"/>
      <c r="E1030" s="584"/>
      <c r="F1030" s="584"/>
      <c r="G1030" s="584"/>
      <c r="H1030" s="584"/>
      <c r="I1030" s="584"/>
      <c r="J1030" s="584"/>
      <c r="K1030" s="584"/>
      <c r="L1030" s="613"/>
      <c r="M1030" s="613"/>
      <c r="N1030" s="613"/>
      <c r="O1030" s="584"/>
      <c r="P1030" s="584"/>
      <c r="Q1030" s="584"/>
      <c r="R1030" s="584"/>
      <c r="S1030" s="584"/>
      <c r="T1030" s="584"/>
      <c r="U1030" s="584"/>
      <c r="V1030" s="584"/>
      <c r="W1030" s="584"/>
      <c r="X1030" s="584"/>
      <c r="Y1030" s="584"/>
      <c r="Z1030" s="584"/>
      <c r="AA1030" s="584"/>
      <c r="AB1030" s="584"/>
      <c r="AC1030" s="584"/>
      <c r="AD1030" s="584"/>
      <c r="AE1030" s="584"/>
      <c r="AF1030" s="584"/>
    </row>
    <row r="1031" ht="14.25" customHeight="1">
      <c r="A1031" s="584"/>
      <c r="B1031" s="584"/>
      <c r="C1031" s="612"/>
      <c r="D1031" s="612"/>
      <c r="E1031" s="584"/>
      <c r="F1031" s="584"/>
      <c r="G1031" s="584"/>
      <c r="H1031" s="584"/>
      <c r="I1031" s="584"/>
      <c r="J1031" s="584"/>
      <c r="K1031" s="584"/>
      <c r="L1031" s="613"/>
      <c r="M1031" s="613"/>
      <c r="N1031" s="613"/>
      <c r="O1031" s="584"/>
      <c r="P1031" s="584"/>
      <c r="Q1031" s="584"/>
      <c r="R1031" s="584"/>
      <c r="S1031" s="584"/>
      <c r="T1031" s="584"/>
      <c r="U1031" s="584"/>
      <c r="V1031" s="584"/>
      <c r="W1031" s="584"/>
      <c r="X1031" s="584"/>
      <c r="Y1031" s="584"/>
      <c r="Z1031" s="584"/>
      <c r="AA1031" s="584"/>
      <c r="AB1031" s="584"/>
      <c r="AC1031" s="584"/>
      <c r="AD1031" s="584"/>
      <c r="AE1031" s="584"/>
      <c r="AF1031" s="584"/>
    </row>
    <row r="1032" ht="14.25" customHeight="1">
      <c r="A1032" s="584"/>
      <c r="B1032" s="584"/>
      <c r="C1032" s="612"/>
      <c r="D1032" s="612"/>
      <c r="E1032" s="584"/>
      <c r="F1032" s="584"/>
      <c r="G1032" s="584"/>
      <c r="H1032" s="584"/>
      <c r="I1032" s="584"/>
      <c r="J1032" s="584"/>
      <c r="K1032" s="584"/>
      <c r="L1032" s="613"/>
      <c r="M1032" s="613"/>
      <c r="N1032" s="613"/>
      <c r="O1032" s="584"/>
      <c r="P1032" s="584"/>
      <c r="Q1032" s="584"/>
      <c r="R1032" s="584"/>
      <c r="S1032" s="584"/>
      <c r="T1032" s="584"/>
      <c r="U1032" s="584"/>
      <c r="V1032" s="584"/>
      <c r="W1032" s="584"/>
      <c r="X1032" s="584"/>
      <c r="Y1032" s="584"/>
      <c r="Z1032" s="584"/>
      <c r="AA1032" s="584"/>
      <c r="AB1032" s="584"/>
      <c r="AC1032" s="584"/>
      <c r="AD1032" s="584"/>
      <c r="AE1032" s="584"/>
      <c r="AF1032" s="584"/>
    </row>
    <row r="1033" ht="14.25" customHeight="1">
      <c r="A1033" s="584"/>
      <c r="B1033" s="584"/>
      <c r="C1033" s="612"/>
      <c r="D1033" s="612"/>
      <c r="E1033" s="584"/>
      <c r="F1033" s="584"/>
      <c r="G1033" s="584"/>
      <c r="H1033" s="584"/>
      <c r="I1033" s="584"/>
      <c r="J1033" s="584"/>
      <c r="K1033" s="584"/>
      <c r="L1033" s="613"/>
      <c r="M1033" s="613"/>
      <c r="N1033" s="613"/>
      <c r="O1033" s="584"/>
      <c r="P1033" s="584"/>
      <c r="Q1033" s="584"/>
      <c r="R1033" s="584"/>
      <c r="S1033" s="584"/>
      <c r="T1033" s="584"/>
      <c r="U1033" s="584"/>
      <c r="V1033" s="584"/>
      <c r="W1033" s="584"/>
      <c r="X1033" s="584"/>
      <c r="Y1033" s="584"/>
      <c r="Z1033" s="584"/>
      <c r="AA1033" s="584"/>
      <c r="AB1033" s="584"/>
      <c r="AC1033" s="584"/>
      <c r="AD1033" s="584"/>
      <c r="AE1033" s="584"/>
      <c r="AF1033" s="584"/>
    </row>
    <row r="1034" ht="14.25" customHeight="1">
      <c r="A1034" s="584"/>
      <c r="B1034" s="584"/>
      <c r="C1034" s="612"/>
      <c r="D1034" s="612"/>
      <c r="E1034" s="584"/>
      <c r="F1034" s="584"/>
      <c r="G1034" s="584"/>
      <c r="H1034" s="584"/>
      <c r="I1034" s="584"/>
      <c r="J1034" s="584"/>
      <c r="K1034" s="584"/>
      <c r="L1034" s="613"/>
      <c r="M1034" s="613"/>
      <c r="N1034" s="613"/>
      <c r="O1034" s="584"/>
      <c r="P1034" s="584"/>
      <c r="Q1034" s="584"/>
      <c r="R1034" s="584"/>
      <c r="S1034" s="584"/>
      <c r="T1034" s="584"/>
      <c r="U1034" s="584"/>
      <c r="V1034" s="584"/>
      <c r="W1034" s="584"/>
      <c r="X1034" s="584"/>
      <c r="Y1034" s="584"/>
      <c r="Z1034" s="584"/>
      <c r="AA1034" s="584"/>
      <c r="AB1034" s="584"/>
      <c r="AC1034" s="584"/>
      <c r="AD1034" s="584"/>
      <c r="AE1034" s="584"/>
      <c r="AF1034" s="584"/>
    </row>
    <row r="1035" ht="14.25" customHeight="1">
      <c r="A1035" s="584"/>
      <c r="B1035" s="584"/>
      <c r="C1035" s="612"/>
      <c r="D1035" s="612"/>
      <c r="E1035" s="584"/>
      <c r="F1035" s="584"/>
      <c r="G1035" s="584"/>
      <c r="H1035" s="584"/>
      <c r="I1035" s="584"/>
      <c r="J1035" s="584"/>
      <c r="K1035" s="584"/>
      <c r="L1035" s="613"/>
      <c r="M1035" s="613"/>
      <c r="N1035" s="613"/>
      <c r="O1035" s="584"/>
      <c r="P1035" s="584"/>
      <c r="Q1035" s="584"/>
      <c r="R1035" s="584"/>
      <c r="S1035" s="584"/>
      <c r="T1035" s="584"/>
      <c r="U1035" s="584"/>
      <c r="V1035" s="584"/>
      <c r="W1035" s="584"/>
      <c r="X1035" s="584"/>
      <c r="Y1035" s="584"/>
      <c r="Z1035" s="584"/>
      <c r="AA1035" s="584"/>
      <c r="AB1035" s="584"/>
      <c r="AC1035" s="584"/>
      <c r="AD1035" s="584"/>
      <c r="AE1035" s="584"/>
      <c r="AF1035" s="584"/>
    </row>
    <row r="1036" ht="14.25" customHeight="1">
      <c r="A1036" s="584"/>
      <c r="B1036" s="584"/>
      <c r="C1036" s="612"/>
      <c r="D1036" s="612"/>
      <c r="E1036" s="584"/>
      <c r="F1036" s="584"/>
      <c r="G1036" s="584"/>
      <c r="H1036" s="584"/>
      <c r="I1036" s="584"/>
      <c r="J1036" s="584"/>
      <c r="K1036" s="584"/>
      <c r="L1036" s="613"/>
      <c r="M1036" s="613"/>
      <c r="N1036" s="613"/>
      <c r="O1036" s="584"/>
      <c r="P1036" s="584"/>
      <c r="Q1036" s="584"/>
      <c r="R1036" s="584"/>
      <c r="S1036" s="584"/>
      <c r="T1036" s="584"/>
      <c r="U1036" s="584"/>
      <c r="V1036" s="584"/>
      <c r="W1036" s="584"/>
      <c r="X1036" s="584"/>
      <c r="Y1036" s="584"/>
      <c r="Z1036" s="584"/>
      <c r="AA1036" s="584"/>
      <c r="AB1036" s="584"/>
      <c r="AC1036" s="584"/>
      <c r="AD1036" s="584"/>
      <c r="AE1036" s="584"/>
      <c r="AF1036" s="584"/>
    </row>
    <row r="1037" ht="14.25" customHeight="1">
      <c r="A1037" s="584"/>
      <c r="B1037" s="584"/>
      <c r="C1037" s="612"/>
      <c r="D1037" s="612"/>
      <c r="E1037" s="584"/>
      <c r="F1037" s="584"/>
      <c r="G1037" s="584"/>
      <c r="H1037" s="584"/>
      <c r="I1037" s="584"/>
      <c r="J1037" s="584"/>
      <c r="K1037" s="584"/>
      <c r="L1037" s="613"/>
      <c r="M1037" s="613"/>
      <c r="N1037" s="613"/>
      <c r="O1037" s="584"/>
      <c r="P1037" s="584"/>
      <c r="Q1037" s="584"/>
      <c r="R1037" s="584"/>
      <c r="S1037" s="584"/>
      <c r="T1037" s="584"/>
      <c r="U1037" s="584"/>
      <c r="V1037" s="584"/>
      <c r="W1037" s="584"/>
      <c r="X1037" s="584"/>
      <c r="Y1037" s="584"/>
      <c r="Z1037" s="584"/>
      <c r="AA1037" s="584"/>
      <c r="AB1037" s="584"/>
      <c r="AC1037" s="584"/>
      <c r="AD1037" s="584"/>
      <c r="AE1037" s="584"/>
      <c r="AF1037" s="584"/>
    </row>
    <row r="1038" ht="14.25" customHeight="1">
      <c r="A1038" s="584"/>
      <c r="B1038" s="584"/>
      <c r="C1038" s="612"/>
      <c r="D1038" s="612"/>
      <c r="E1038" s="584"/>
      <c r="F1038" s="584"/>
      <c r="G1038" s="584"/>
      <c r="H1038" s="584"/>
      <c r="I1038" s="584"/>
      <c r="J1038" s="584"/>
      <c r="K1038" s="584"/>
      <c r="L1038" s="613"/>
      <c r="M1038" s="613"/>
      <c r="N1038" s="613"/>
      <c r="O1038" s="584"/>
      <c r="P1038" s="584"/>
      <c r="Q1038" s="584"/>
      <c r="R1038" s="584"/>
      <c r="S1038" s="584"/>
      <c r="T1038" s="584"/>
      <c r="U1038" s="584"/>
      <c r="V1038" s="584"/>
      <c r="W1038" s="584"/>
      <c r="X1038" s="584"/>
      <c r="Y1038" s="584"/>
      <c r="Z1038" s="584"/>
      <c r="AA1038" s="584"/>
      <c r="AB1038" s="584"/>
      <c r="AC1038" s="584"/>
      <c r="AD1038" s="584"/>
      <c r="AE1038" s="584"/>
      <c r="AF1038" s="584"/>
    </row>
    <row r="1039" ht="14.25" customHeight="1">
      <c r="A1039" s="584"/>
      <c r="B1039" s="584"/>
      <c r="C1039" s="612"/>
      <c r="D1039" s="612"/>
      <c r="E1039" s="584"/>
      <c r="F1039" s="584"/>
      <c r="G1039" s="584"/>
      <c r="H1039" s="584"/>
      <c r="I1039" s="584"/>
      <c r="J1039" s="584"/>
      <c r="K1039" s="584"/>
      <c r="L1039" s="613"/>
      <c r="M1039" s="613"/>
      <c r="N1039" s="613"/>
      <c r="O1039" s="584"/>
      <c r="P1039" s="584"/>
      <c r="Q1039" s="584"/>
      <c r="R1039" s="584"/>
      <c r="S1039" s="584"/>
      <c r="T1039" s="584"/>
      <c r="U1039" s="584"/>
      <c r="V1039" s="584"/>
      <c r="W1039" s="584"/>
      <c r="X1039" s="584"/>
      <c r="Y1039" s="584"/>
      <c r="Z1039" s="584"/>
      <c r="AA1039" s="584"/>
      <c r="AB1039" s="584"/>
      <c r="AC1039" s="584"/>
      <c r="AD1039" s="584"/>
      <c r="AE1039" s="584"/>
      <c r="AF1039" s="584"/>
    </row>
    <row r="1040" ht="14.25" customHeight="1">
      <c r="A1040" s="584"/>
      <c r="B1040" s="584"/>
      <c r="C1040" s="612"/>
      <c r="D1040" s="612"/>
      <c r="E1040" s="584"/>
      <c r="F1040" s="584"/>
      <c r="G1040" s="584"/>
      <c r="H1040" s="584"/>
      <c r="I1040" s="584"/>
      <c r="J1040" s="584"/>
      <c r="K1040" s="584"/>
      <c r="L1040" s="613"/>
      <c r="M1040" s="613"/>
      <c r="N1040" s="613"/>
      <c r="O1040" s="584"/>
      <c r="P1040" s="584"/>
      <c r="Q1040" s="584"/>
      <c r="R1040" s="584"/>
      <c r="S1040" s="584"/>
      <c r="T1040" s="584"/>
      <c r="U1040" s="584"/>
      <c r="V1040" s="584"/>
      <c r="W1040" s="584"/>
      <c r="X1040" s="584"/>
      <c r="Y1040" s="584"/>
      <c r="Z1040" s="584"/>
      <c r="AA1040" s="584"/>
      <c r="AB1040" s="584"/>
      <c r="AC1040" s="584"/>
      <c r="AD1040" s="584"/>
      <c r="AE1040" s="584"/>
      <c r="AF1040" s="584"/>
    </row>
    <row r="1041" ht="14.25" customHeight="1">
      <c r="A1041" s="584"/>
      <c r="B1041" s="584"/>
      <c r="C1041" s="612"/>
      <c r="D1041" s="612"/>
      <c r="E1041" s="584"/>
      <c r="F1041" s="584"/>
      <c r="G1041" s="584"/>
      <c r="H1041" s="584"/>
      <c r="I1041" s="584"/>
      <c r="J1041" s="584"/>
      <c r="K1041" s="584"/>
      <c r="L1041" s="613"/>
      <c r="M1041" s="613"/>
      <c r="N1041" s="613"/>
      <c r="O1041" s="584"/>
      <c r="P1041" s="584"/>
      <c r="Q1041" s="584"/>
      <c r="R1041" s="584"/>
      <c r="S1041" s="584"/>
      <c r="T1041" s="584"/>
      <c r="U1041" s="584"/>
      <c r="V1041" s="584"/>
      <c r="W1041" s="584"/>
      <c r="X1041" s="584"/>
      <c r="Y1041" s="584"/>
      <c r="Z1041" s="584"/>
      <c r="AA1041" s="584"/>
      <c r="AB1041" s="584"/>
      <c r="AC1041" s="584"/>
      <c r="AD1041" s="584"/>
      <c r="AE1041" s="584"/>
      <c r="AF1041" s="584"/>
    </row>
    <row r="1042" ht="14.25" customHeight="1">
      <c r="A1042" s="584"/>
      <c r="B1042" s="584"/>
      <c r="C1042" s="612"/>
      <c r="D1042" s="612"/>
      <c r="E1042" s="584"/>
      <c r="F1042" s="584"/>
      <c r="G1042" s="584"/>
      <c r="H1042" s="584"/>
      <c r="I1042" s="584"/>
      <c r="J1042" s="584"/>
      <c r="K1042" s="584"/>
      <c r="L1042" s="613"/>
      <c r="M1042" s="613"/>
      <c r="N1042" s="613"/>
      <c r="O1042" s="584"/>
      <c r="P1042" s="584"/>
      <c r="Q1042" s="584"/>
      <c r="R1042" s="584"/>
      <c r="S1042" s="584"/>
      <c r="T1042" s="584"/>
      <c r="U1042" s="584"/>
      <c r="V1042" s="584"/>
      <c r="W1042" s="584"/>
      <c r="X1042" s="584"/>
      <c r="Y1042" s="584"/>
      <c r="Z1042" s="584"/>
      <c r="AA1042" s="584"/>
      <c r="AB1042" s="584"/>
      <c r="AC1042" s="584"/>
      <c r="AD1042" s="584"/>
      <c r="AE1042" s="584"/>
      <c r="AF1042" s="584"/>
    </row>
    <row r="1043" ht="14.25" customHeight="1">
      <c r="A1043" s="584"/>
      <c r="B1043" s="584"/>
      <c r="C1043" s="612"/>
      <c r="D1043" s="612"/>
      <c r="E1043" s="584"/>
      <c r="F1043" s="584"/>
      <c r="G1043" s="584"/>
      <c r="H1043" s="584"/>
      <c r="I1043" s="584"/>
      <c r="J1043" s="584"/>
      <c r="K1043" s="584"/>
      <c r="L1043" s="613"/>
      <c r="M1043" s="613"/>
      <c r="N1043" s="613"/>
      <c r="O1043" s="584"/>
      <c r="P1043" s="584"/>
      <c r="Q1043" s="584"/>
      <c r="R1043" s="584"/>
      <c r="S1043" s="584"/>
      <c r="T1043" s="584"/>
      <c r="U1043" s="584"/>
      <c r="V1043" s="584"/>
      <c r="W1043" s="584"/>
      <c r="X1043" s="584"/>
      <c r="Y1043" s="584"/>
      <c r="Z1043" s="584"/>
      <c r="AA1043" s="584"/>
      <c r="AB1043" s="584"/>
      <c r="AC1043" s="584"/>
      <c r="AD1043" s="584"/>
      <c r="AE1043" s="584"/>
      <c r="AF1043" s="584"/>
    </row>
    <row r="1044" ht="14.25" customHeight="1">
      <c r="A1044" s="584"/>
      <c r="B1044" s="584"/>
      <c r="C1044" s="612"/>
      <c r="D1044" s="612"/>
      <c r="E1044" s="584"/>
      <c r="F1044" s="584"/>
      <c r="G1044" s="584"/>
      <c r="H1044" s="584"/>
      <c r="I1044" s="584"/>
      <c r="J1044" s="584"/>
      <c r="K1044" s="584"/>
      <c r="L1044" s="613"/>
      <c r="M1044" s="613"/>
      <c r="N1044" s="613"/>
      <c r="O1044" s="584"/>
      <c r="P1044" s="584"/>
      <c r="Q1044" s="584"/>
      <c r="R1044" s="584"/>
      <c r="S1044" s="584"/>
      <c r="T1044" s="584"/>
      <c r="U1044" s="584"/>
      <c r="V1044" s="584"/>
      <c r="W1044" s="584"/>
      <c r="X1044" s="584"/>
      <c r="Y1044" s="584"/>
      <c r="Z1044" s="584"/>
      <c r="AA1044" s="584"/>
      <c r="AB1044" s="584"/>
      <c r="AC1044" s="584"/>
      <c r="AD1044" s="584"/>
      <c r="AE1044" s="584"/>
      <c r="AF1044" s="584"/>
    </row>
    <row r="1045" ht="14.25" customHeight="1">
      <c r="A1045" s="584"/>
      <c r="B1045" s="584"/>
      <c r="C1045" s="612"/>
      <c r="D1045" s="612"/>
      <c r="E1045" s="584"/>
      <c r="F1045" s="584"/>
      <c r="G1045" s="584"/>
      <c r="H1045" s="584"/>
      <c r="I1045" s="584"/>
      <c r="J1045" s="584"/>
      <c r="K1045" s="584"/>
      <c r="L1045" s="613"/>
      <c r="M1045" s="613"/>
      <c r="N1045" s="613"/>
      <c r="O1045" s="584"/>
      <c r="P1045" s="584"/>
      <c r="Q1045" s="584"/>
      <c r="R1045" s="584"/>
      <c r="S1045" s="584"/>
      <c r="T1045" s="584"/>
      <c r="U1045" s="584"/>
      <c r="V1045" s="584"/>
      <c r="W1045" s="584"/>
      <c r="X1045" s="584"/>
      <c r="Y1045" s="584"/>
      <c r="Z1045" s="584"/>
      <c r="AA1045" s="584"/>
      <c r="AB1045" s="584"/>
      <c r="AC1045" s="584"/>
      <c r="AD1045" s="584"/>
      <c r="AE1045" s="584"/>
      <c r="AF1045" s="584"/>
    </row>
    <row r="1046" ht="14.25" customHeight="1">
      <c r="A1046" s="584"/>
      <c r="B1046" s="584"/>
      <c r="C1046" s="612"/>
      <c r="D1046" s="612"/>
      <c r="E1046" s="584"/>
      <c r="F1046" s="584"/>
      <c r="G1046" s="584"/>
      <c r="H1046" s="584"/>
      <c r="I1046" s="584"/>
      <c r="J1046" s="584"/>
      <c r="K1046" s="584"/>
      <c r="L1046" s="613"/>
      <c r="M1046" s="613"/>
      <c r="N1046" s="613"/>
      <c r="O1046" s="584"/>
      <c r="P1046" s="584"/>
      <c r="Q1046" s="584"/>
      <c r="R1046" s="584"/>
      <c r="S1046" s="584"/>
      <c r="T1046" s="584"/>
      <c r="U1046" s="584"/>
      <c r="V1046" s="584"/>
      <c r="W1046" s="584"/>
      <c r="X1046" s="584"/>
      <c r="Y1046" s="584"/>
      <c r="Z1046" s="584"/>
      <c r="AA1046" s="584"/>
      <c r="AB1046" s="584"/>
      <c r="AC1046" s="584"/>
      <c r="AD1046" s="584"/>
      <c r="AE1046" s="584"/>
      <c r="AF1046" s="584"/>
    </row>
    <row r="1047" ht="14.25" customHeight="1">
      <c r="A1047" s="584"/>
      <c r="B1047" s="584"/>
      <c r="C1047" s="612"/>
      <c r="D1047" s="612"/>
      <c r="E1047" s="584"/>
      <c r="F1047" s="584"/>
      <c r="G1047" s="584"/>
      <c r="H1047" s="584"/>
      <c r="I1047" s="584"/>
      <c r="J1047" s="584"/>
      <c r="K1047" s="584"/>
      <c r="L1047" s="613"/>
      <c r="M1047" s="613"/>
      <c r="N1047" s="613"/>
      <c r="O1047" s="584"/>
      <c r="P1047" s="584"/>
      <c r="Q1047" s="584"/>
      <c r="R1047" s="584"/>
      <c r="S1047" s="584"/>
      <c r="T1047" s="584"/>
      <c r="U1047" s="584"/>
      <c r="V1047" s="584"/>
      <c r="W1047" s="584"/>
      <c r="X1047" s="584"/>
      <c r="Y1047" s="584"/>
      <c r="Z1047" s="584"/>
      <c r="AA1047" s="584"/>
      <c r="AB1047" s="584"/>
      <c r="AC1047" s="584"/>
      <c r="AD1047" s="584"/>
      <c r="AE1047" s="584"/>
      <c r="AF1047" s="584"/>
    </row>
    <row r="1048" ht="14.25" customHeight="1">
      <c r="A1048" s="584"/>
      <c r="B1048" s="584"/>
      <c r="C1048" s="612"/>
      <c r="D1048" s="612"/>
      <c r="E1048" s="584"/>
      <c r="F1048" s="584"/>
      <c r="G1048" s="584"/>
      <c r="H1048" s="584"/>
      <c r="I1048" s="584"/>
      <c r="J1048" s="584"/>
      <c r="K1048" s="584"/>
      <c r="L1048" s="613"/>
      <c r="M1048" s="613"/>
      <c r="N1048" s="613"/>
      <c r="O1048" s="584"/>
      <c r="P1048" s="584"/>
      <c r="Q1048" s="584"/>
      <c r="R1048" s="584"/>
      <c r="S1048" s="584"/>
      <c r="T1048" s="584"/>
      <c r="U1048" s="584"/>
      <c r="V1048" s="584"/>
      <c r="W1048" s="584"/>
      <c r="X1048" s="584"/>
      <c r="Y1048" s="584"/>
      <c r="Z1048" s="584"/>
      <c r="AA1048" s="584"/>
      <c r="AB1048" s="584"/>
      <c r="AC1048" s="584"/>
      <c r="AD1048" s="584"/>
      <c r="AE1048" s="584"/>
      <c r="AF1048" s="584"/>
    </row>
    <row r="1049" ht="14.25" customHeight="1">
      <c r="A1049" s="584"/>
      <c r="B1049" s="584"/>
      <c r="C1049" s="612"/>
      <c r="D1049" s="612"/>
      <c r="E1049" s="584"/>
      <c r="F1049" s="584"/>
      <c r="G1049" s="584"/>
      <c r="H1049" s="584"/>
      <c r="I1049" s="584"/>
      <c r="J1049" s="584"/>
      <c r="K1049" s="584"/>
      <c r="L1049" s="615"/>
      <c r="M1049" s="615"/>
      <c r="N1049" s="615"/>
      <c r="O1049" s="584"/>
      <c r="P1049" s="584"/>
      <c r="Q1049" s="584"/>
      <c r="R1049" s="584"/>
      <c r="S1049" s="584"/>
      <c r="T1049" s="584"/>
      <c r="U1049" s="584"/>
      <c r="V1049" s="584"/>
      <c r="W1049" s="584"/>
      <c r="X1049" s="584"/>
      <c r="Y1049" s="584"/>
      <c r="Z1049" s="584"/>
      <c r="AA1049" s="584"/>
      <c r="AB1049" s="584"/>
      <c r="AC1049" s="584"/>
      <c r="AD1049" s="584"/>
      <c r="AE1049" s="584"/>
      <c r="AF1049" s="584"/>
    </row>
    <row r="1050" ht="14.25" customHeight="1">
      <c r="A1050" s="584"/>
      <c r="B1050" s="584"/>
      <c r="C1050" s="612"/>
      <c r="D1050" s="612"/>
      <c r="E1050" s="584"/>
      <c r="F1050" s="584"/>
      <c r="G1050" s="584"/>
      <c r="H1050" s="584"/>
      <c r="I1050" s="584"/>
      <c r="J1050" s="584"/>
      <c r="K1050" s="584"/>
      <c r="L1050" s="613"/>
      <c r="M1050" s="613"/>
      <c r="N1050" s="613"/>
      <c r="O1050" s="584"/>
      <c r="P1050" s="584"/>
      <c r="Q1050" s="584"/>
      <c r="R1050" s="584"/>
      <c r="S1050" s="584"/>
      <c r="T1050" s="584"/>
      <c r="U1050" s="584"/>
      <c r="V1050" s="584"/>
      <c r="W1050" s="584"/>
      <c r="X1050" s="584"/>
      <c r="Y1050" s="584"/>
      <c r="Z1050" s="584"/>
      <c r="AA1050" s="584"/>
      <c r="AB1050" s="584"/>
      <c r="AC1050" s="584"/>
      <c r="AD1050" s="584"/>
      <c r="AE1050" s="584"/>
      <c r="AF1050" s="584"/>
    </row>
    <row r="1051" ht="14.25" customHeight="1">
      <c r="A1051" s="584"/>
      <c r="B1051" s="584"/>
      <c r="C1051" s="612"/>
      <c r="D1051" s="612"/>
      <c r="E1051" s="584"/>
      <c r="F1051" s="584"/>
      <c r="G1051" s="584"/>
      <c r="H1051" s="584"/>
      <c r="I1051" s="584"/>
      <c r="J1051" s="584"/>
      <c r="K1051" s="584"/>
      <c r="L1051" s="613"/>
      <c r="M1051" s="613"/>
      <c r="N1051" s="613"/>
      <c r="O1051" s="584"/>
      <c r="P1051" s="584"/>
      <c r="Q1051" s="584"/>
      <c r="R1051" s="584"/>
      <c r="S1051" s="584"/>
      <c r="T1051" s="584"/>
      <c r="U1051" s="584"/>
      <c r="V1051" s="584"/>
      <c r="W1051" s="584"/>
      <c r="X1051" s="584"/>
      <c r="Y1051" s="584"/>
      <c r="Z1051" s="584"/>
      <c r="AA1051" s="584"/>
      <c r="AB1051" s="584"/>
      <c r="AC1051" s="584"/>
      <c r="AD1051" s="584"/>
      <c r="AE1051" s="584"/>
      <c r="AF1051" s="584"/>
    </row>
    <row r="1052" ht="14.25" customHeight="1">
      <c r="A1052" s="584"/>
      <c r="B1052" s="584"/>
      <c r="C1052" s="612"/>
      <c r="D1052" s="612"/>
      <c r="E1052" s="584"/>
      <c r="F1052" s="584"/>
      <c r="G1052" s="584"/>
      <c r="H1052" s="584"/>
      <c r="I1052" s="584"/>
      <c r="J1052" s="584"/>
      <c r="K1052" s="584"/>
      <c r="L1052" s="613"/>
      <c r="M1052" s="613"/>
      <c r="N1052" s="613"/>
      <c r="O1052" s="584"/>
      <c r="P1052" s="584"/>
      <c r="Q1052" s="584"/>
      <c r="R1052" s="584"/>
      <c r="S1052" s="584"/>
      <c r="T1052" s="584"/>
      <c r="U1052" s="584"/>
      <c r="V1052" s="584"/>
      <c r="W1052" s="584"/>
      <c r="X1052" s="584"/>
      <c r="Y1052" s="584"/>
      <c r="Z1052" s="584"/>
      <c r="AA1052" s="584"/>
      <c r="AB1052" s="584"/>
      <c r="AC1052" s="584"/>
      <c r="AD1052" s="584"/>
      <c r="AE1052" s="584"/>
      <c r="AF1052" s="584"/>
    </row>
    <row r="1053" ht="14.25" customHeight="1">
      <c r="A1053" s="584"/>
      <c r="B1053" s="584"/>
      <c r="C1053" s="612"/>
      <c r="D1053" s="612"/>
      <c r="E1053" s="584"/>
      <c r="F1053" s="584"/>
      <c r="G1053" s="584"/>
      <c r="H1053" s="584"/>
      <c r="I1053" s="584"/>
      <c r="J1053" s="584"/>
      <c r="K1053" s="584"/>
      <c r="L1053" s="613"/>
      <c r="M1053" s="613"/>
      <c r="N1053" s="613"/>
      <c r="O1053" s="584"/>
      <c r="P1053" s="584"/>
      <c r="Q1053" s="584"/>
      <c r="R1053" s="584"/>
      <c r="S1053" s="584"/>
      <c r="T1053" s="584"/>
      <c r="U1053" s="584"/>
      <c r="V1053" s="584"/>
      <c r="W1053" s="584"/>
      <c r="X1053" s="584"/>
      <c r="Y1053" s="584"/>
      <c r="Z1053" s="584"/>
      <c r="AA1053" s="584"/>
      <c r="AB1053" s="584"/>
      <c r="AC1053" s="584"/>
      <c r="AD1053" s="584"/>
      <c r="AE1053" s="584"/>
      <c r="AF1053" s="584"/>
    </row>
    <row r="1054" ht="14.25" customHeight="1">
      <c r="A1054" s="584"/>
      <c r="B1054" s="584"/>
      <c r="C1054" s="612"/>
      <c r="D1054" s="612"/>
      <c r="E1054" s="584"/>
      <c r="F1054" s="584"/>
      <c r="G1054" s="584"/>
      <c r="H1054" s="584"/>
      <c r="I1054" s="584"/>
      <c r="J1054" s="584"/>
      <c r="K1054" s="584"/>
      <c r="L1054" s="613"/>
      <c r="M1054" s="613"/>
      <c r="N1054" s="613"/>
      <c r="O1054" s="584"/>
      <c r="P1054" s="584"/>
      <c r="Q1054" s="584"/>
      <c r="R1054" s="584"/>
      <c r="S1054" s="584"/>
      <c r="T1054" s="584"/>
      <c r="U1054" s="584"/>
      <c r="V1054" s="584"/>
      <c r="W1054" s="584"/>
      <c r="X1054" s="584"/>
      <c r="Y1054" s="584"/>
      <c r="Z1054" s="584"/>
      <c r="AA1054" s="584"/>
      <c r="AB1054" s="584"/>
      <c r="AC1054" s="584"/>
      <c r="AD1054" s="584"/>
      <c r="AE1054" s="584"/>
      <c r="AF1054" s="584"/>
    </row>
    <row r="1055" ht="14.25" customHeight="1">
      <c r="A1055" s="584"/>
      <c r="B1055" s="584"/>
      <c r="C1055" s="612"/>
      <c r="D1055" s="612"/>
      <c r="E1055" s="584"/>
      <c r="F1055" s="584"/>
      <c r="G1055" s="584"/>
      <c r="H1055" s="584"/>
      <c r="I1055" s="584"/>
      <c r="J1055" s="584"/>
      <c r="K1055" s="584"/>
      <c r="L1055" s="613"/>
      <c r="M1055" s="613"/>
      <c r="N1055" s="613"/>
      <c r="O1055" s="584"/>
      <c r="P1055" s="584"/>
      <c r="Q1055" s="584"/>
      <c r="R1055" s="584"/>
      <c r="S1055" s="584"/>
      <c r="T1055" s="584"/>
      <c r="U1055" s="584"/>
      <c r="V1055" s="584"/>
      <c r="W1055" s="584"/>
      <c r="X1055" s="584"/>
      <c r="Y1055" s="584"/>
      <c r="Z1055" s="584"/>
      <c r="AA1055" s="584"/>
      <c r="AB1055" s="584"/>
      <c r="AC1055" s="584"/>
      <c r="AD1055" s="584"/>
      <c r="AE1055" s="584"/>
      <c r="AF1055" s="584"/>
    </row>
    <row r="1056" ht="14.25" customHeight="1">
      <c r="A1056" s="584"/>
      <c r="B1056" s="584"/>
      <c r="C1056" s="612"/>
      <c r="D1056" s="612"/>
      <c r="E1056" s="584"/>
      <c r="F1056" s="584"/>
      <c r="G1056" s="584"/>
      <c r="H1056" s="584"/>
      <c r="I1056" s="584"/>
      <c r="J1056" s="584"/>
      <c r="K1056" s="584"/>
      <c r="L1056" s="613"/>
      <c r="M1056" s="613"/>
      <c r="N1056" s="613"/>
      <c r="O1056" s="584"/>
      <c r="P1056" s="584"/>
      <c r="Q1056" s="584"/>
      <c r="R1056" s="584"/>
      <c r="S1056" s="584"/>
      <c r="T1056" s="584"/>
      <c r="U1056" s="584"/>
      <c r="V1056" s="584"/>
      <c r="W1056" s="584"/>
      <c r="X1056" s="584"/>
      <c r="Y1056" s="584"/>
      <c r="Z1056" s="584"/>
      <c r="AA1056" s="584"/>
      <c r="AB1056" s="584"/>
      <c r="AC1056" s="584"/>
      <c r="AD1056" s="584"/>
      <c r="AE1056" s="584"/>
      <c r="AF1056" s="584"/>
    </row>
    <row r="1057" ht="14.25" customHeight="1">
      <c r="A1057" s="584"/>
      <c r="B1057" s="584"/>
      <c r="C1057" s="612"/>
      <c r="D1057" s="612"/>
      <c r="E1057" s="584"/>
      <c r="F1057" s="584"/>
      <c r="G1057" s="584"/>
      <c r="H1057" s="584"/>
      <c r="I1057" s="584"/>
      <c r="J1057" s="584"/>
      <c r="K1057" s="584"/>
      <c r="L1057" s="613"/>
      <c r="M1057" s="613"/>
      <c r="N1057" s="613"/>
      <c r="O1057" s="584"/>
      <c r="P1057" s="584"/>
      <c r="Q1057" s="584"/>
      <c r="R1057" s="584"/>
      <c r="S1057" s="584"/>
      <c r="T1057" s="584"/>
      <c r="U1057" s="584"/>
      <c r="V1057" s="584"/>
      <c r="W1057" s="584"/>
      <c r="X1057" s="584"/>
      <c r="Y1057" s="584"/>
      <c r="Z1057" s="584"/>
      <c r="AA1057" s="584"/>
      <c r="AB1057" s="584"/>
      <c r="AC1057" s="584"/>
      <c r="AD1057" s="584"/>
      <c r="AE1057" s="584"/>
      <c r="AF1057" s="584"/>
    </row>
    <row r="1058" ht="14.25" customHeight="1">
      <c r="A1058" s="584"/>
      <c r="B1058" s="584"/>
      <c r="C1058" s="612"/>
      <c r="D1058" s="612"/>
      <c r="E1058" s="584"/>
      <c r="F1058" s="584"/>
      <c r="G1058" s="584"/>
      <c r="H1058" s="584"/>
      <c r="I1058" s="584"/>
      <c r="J1058" s="584"/>
      <c r="K1058" s="584"/>
      <c r="L1058" s="613"/>
      <c r="M1058" s="613"/>
      <c r="N1058" s="613"/>
      <c r="O1058" s="584"/>
      <c r="P1058" s="584"/>
      <c r="Q1058" s="584"/>
      <c r="R1058" s="584"/>
      <c r="S1058" s="584"/>
      <c r="T1058" s="584"/>
      <c r="U1058" s="584"/>
      <c r="V1058" s="584"/>
      <c r="W1058" s="584"/>
      <c r="X1058" s="584"/>
      <c r="Y1058" s="584"/>
      <c r="Z1058" s="584"/>
      <c r="AA1058" s="584"/>
      <c r="AB1058" s="584"/>
      <c r="AC1058" s="584"/>
      <c r="AD1058" s="584"/>
      <c r="AE1058" s="584"/>
      <c r="AF1058" s="584"/>
    </row>
    <row r="1059" ht="14.25" customHeight="1">
      <c r="A1059" s="584"/>
      <c r="B1059" s="584"/>
      <c r="C1059" s="612"/>
      <c r="D1059" s="612"/>
      <c r="E1059" s="584"/>
      <c r="F1059" s="584"/>
      <c r="G1059" s="584"/>
      <c r="H1059" s="584"/>
      <c r="I1059" s="584"/>
      <c r="J1059" s="584"/>
      <c r="K1059" s="584"/>
      <c r="L1059" s="613"/>
      <c r="M1059" s="613"/>
      <c r="N1059" s="613"/>
      <c r="O1059" s="584"/>
      <c r="P1059" s="584"/>
      <c r="Q1059" s="584"/>
      <c r="R1059" s="584"/>
      <c r="S1059" s="584"/>
      <c r="T1059" s="584"/>
      <c r="U1059" s="584"/>
      <c r="V1059" s="584"/>
      <c r="W1059" s="584"/>
      <c r="X1059" s="584"/>
      <c r="Y1059" s="584"/>
      <c r="Z1059" s="584"/>
      <c r="AA1059" s="584"/>
      <c r="AB1059" s="584"/>
      <c r="AC1059" s="584"/>
      <c r="AD1059" s="584"/>
      <c r="AE1059" s="584"/>
      <c r="AF1059" s="584"/>
    </row>
    <row r="1060" ht="14.25" customHeight="1">
      <c r="A1060" s="584"/>
      <c r="B1060" s="584"/>
      <c r="C1060" s="612"/>
      <c r="D1060" s="612"/>
      <c r="E1060" s="584"/>
      <c r="F1060" s="584"/>
      <c r="G1060" s="584"/>
      <c r="H1060" s="584"/>
      <c r="I1060" s="584"/>
      <c r="J1060" s="584"/>
      <c r="K1060" s="584"/>
      <c r="L1060" s="613"/>
      <c r="M1060" s="613"/>
      <c r="N1060" s="613"/>
      <c r="O1060" s="584"/>
      <c r="P1060" s="584"/>
      <c r="Q1060" s="584"/>
      <c r="R1060" s="584"/>
      <c r="S1060" s="584"/>
      <c r="T1060" s="584"/>
      <c r="U1060" s="584"/>
      <c r="V1060" s="584"/>
      <c r="W1060" s="584"/>
      <c r="X1060" s="584"/>
      <c r="Y1060" s="584"/>
      <c r="Z1060" s="584"/>
      <c r="AA1060" s="584"/>
      <c r="AB1060" s="584"/>
      <c r="AC1060" s="584"/>
      <c r="AD1060" s="584"/>
      <c r="AE1060" s="584"/>
      <c r="AF1060" s="584"/>
    </row>
    <row r="1061" ht="14.25" customHeight="1">
      <c r="A1061" s="584"/>
      <c r="B1061" s="584"/>
      <c r="C1061" s="612"/>
      <c r="D1061" s="612"/>
      <c r="E1061" s="584"/>
      <c r="F1061" s="584"/>
      <c r="G1061" s="584"/>
      <c r="H1061" s="584"/>
      <c r="I1061" s="584"/>
      <c r="J1061" s="584"/>
      <c r="K1061" s="584"/>
      <c r="L1061" s="613"/>
      <c r="M1061" s="613"/>
      <c r="N1061" s="613"/>
      <c r="O1061" s="584"/>
      <c r="P1061" s="584"/>
      <c r="Q1061" s="584"/>
      <c r="R1061" s="584"/>
      <c r="S1061" s="584"/>
      <c r="T1061" s="584"/>
      <c r="U1061" s="584"/>
      <c r="V1061" s="584"/>
      <c r="W1061" s="584"/>
      <c r="X1061" s="584"/>
      <c r="Y1061" s="584"/>
      <c r="Z1061" s="584"/>
      <c r="AA1061" s="584"/>
      <c r="AB1061" s="584"/>
      <c r="AC1061" s="584"/>
      <c r="AD1061" s="584"/>
      <c r="AE1061" s="584"/>
      <c r="AF1061" s="584"/>
    </row>
    <row r="1062" ht="14.25" customHeight="1">
      <c r="A1062" s="584"/>
      <c r="B1062" s="584"/>
      <c r="C1062" s="612"/>
      <c r="D1062" s="612"/>
      <c r="E1062" s="584"/>
      <c r="F1062" s="584"/>
      <c r="G1062" s="617"/>
      <c r="H1062" s="617"/>
      <c r="I1062" s="584"/>
      <c r="J1062" s="584"/>
      <c r="K1062" s="584"/>
      <c r="L1062" s="613"/>
      <c r="M1062" s="613"/>
      <c r="N1062" s="613"/>
      <c r="O1062" s="584"/>
      <c r="P1062" s="584"/>
      <c r="Q1062" s="584"/>
      <c r="R1062" s="584"/>
      <c r="S1062" s="584"/>
      <c r="T1062" s="584"/>
      <c r="U1062" s="584"/>
      <c r="V1062" s="584"/>
      <c r="W1062" s="584"/>
      <c r="X1062" s="584"/>
      <c r="Y1062" s="584"/>
      <c r="Z1062" s="584"/>
      <c r="AA1062" s="584"/>
      <c r="AB1062" s="584"/>
      <c r="AC1062" s="584"/>
      <c r="AD1062" s="584"/>
      <c r="AE1062" s="584"/>
      <c r="AF1062" s="584"/>
    </row>
    <row r="1063" ht="14.25" customHeight="1">
      <c r="A1063" s="584"/>
      <c r="B1063" s="584"/>
      <c r="C1063" s="612"/>
      <c r="D1063" s="612"/>
      <c r="E1063" s="584"/>
      <c r="F1063" s="584"/>
      <c r="G1063" s="617"/>
      <c r="H1063" s="617"/>
      <c r="I1063" s="584"/>
      <c r="J1063" s="584"/>
      <c r="K1063" s="584"/>
      <c r="L1063" s="613"/>
      <c r="M1063" s="613"/>
      <c r="N1063" s="613"/>
      <c r="O1063" s="584"/>
      <c r="P1063" s="584"/>
      <c r="Q1063" s="584"/>
      <c r="R1063" s="584"/>
      <c r="S1063" s="584"/>
      <c r="T1063" s="584"/>
      <c r="U1063" s="584"/>
      <c r="V1063" s="584"/>
      <c r="W1063" s="584"/>
      <c r="X1063" s="584"/>
      <c r="Y1063" s="584"/>
      <c r="Z1063" s="584"/>
      <c r="AA1063" s="584"/>
      <c r="AB1063" s="584"/>
      <c r="AC1063" s="584"/>
      <c r="AD1063" s="584"/>
      <c r="AE1063" s="584"/>
      <c r="AF1063" s="584"/>
    </row>
    <row r="1064" ht="14.25" customHeight="1">
      <c r="A1064" s="584"/>
      <c r="B1064" s="584"/>
      <c r="C1064" s="612"/>
      <c r="D1064" s="612"/>
      <c r="E1064" s="584"/>
      <c r="F1064" s="584"/>
      <c r="G1064" s="617"/>
      <c r="H1064" s="617"/>
      <c r="I1064" s="584"/>
      <c r="J1064" s="584"/>
      <c r="K1064" s="584"/>
      <c r="L1064" s="613"/>
      <c r="M1064" s="613"/>
      <c r="N1064" s="613"/>
      <c r="O1064" s="584"/>
      <c r="P1064" s="584"/>
      <c r="Q1064" s="584"/>
      <c r="R1064" s="584"/>
      <c r="S1064" s="584"/>
      <c r="T1064" s="584"/>
      <c r="U1064" s="584"/>
      <c r="V1064" s="584"/>
      <c r="W1064" s="584"/>
      <c r="X1064" s="584"/>
      <c r="Y1064" s="584"/>
      <c r="Z1064" s="584"/>
      <c r="AA1064" s="584"/>
      <c r="AB1064" s="584"/>
      <c r="AC1064" s="584"/>
      <c r="AD1064" s="584"/>
      <c r="AE1064" s="584"/>
      <c r="AF1064" s="584"/>
    </row>
    <row r="1065" ht="14.25" customHeight="1">
      <c r="A1065" s="584"/>
      <c r="B1065" s="584"/>
      <c r="C1065" s="612"/>
      <c r="D1065" s="612"/>
      <c r="E1065" s="584"/>
      <c r="F1065" s="584"/>
      <c r="G1065" s="584"/>
      <c r="H1065" s="584"/>
      <c r="I1065" s="584"/>
      <c r="J1065" s="584"/>
      <c r="K1065" s="584"/>
      <c r="L1065" s="613"/>
      <c r="M1065" s="613"/>
      <c r="N1065" s="613"/>
      <c r="O1065" s="584"/>
      <c r="P1065" s="584"/>
      <c r="Q1065" s="584"/>
      <c r="R1065" s="584"/>
      <c r="S1065" s="584"/>
      <c r="T1065" s="584"/>
      <c r="U1065" s="584"/>
      <c r="V1065" s="584"/>
      <c r="W1065" s="584"/>
      <c r="X1065" s="584"/>
      <c r="Y1065" s="584"/>
      <c r="Z1065" s="584"/>
      <c r="AA1065" s="584"/>
      <c r="AB1065" s="584"/>
      <c r="AC1065" s="584"/>
      <c r="AD1065" s="584"/>
      <c r="AE1065" s="584"/>
      <c r="AF1065" s="584"/>
    </row>
    <row r="1066" ht="14.25" customHeight="1">
      <c r="A1066" s="584"/>
      <c r="B1066" s="584"/>
      <c r="C1066" s="612"/>
      <c r="D1066" s="612"/>
      <c r="E1066" s="584"/>
      <c r="F1066" s="584"/>
      <c r="G1066" s="584"/>
      <c r="H1066" s="584"/>
      <c r="I1066" s="584"/>
      <c r="J1066" s="584"/>
      <c r="K1066" s="584"/>
      <c r="L1066" s="613"/>
      <c r="M1066" s="613"/>
      <c r="N1066" s="613"/>
      <c r="O1066" s="584"/>
      <c r="P1066" s="584"/>
      <c r="Q1066" s="584"/>
      <c r="R1066" s="584"/>
      <c r="S1066" s="584"/>
      <c r="T1066" s="584"/>
      <c r="U1066" s="584"/>
      <c r="V1066" s="584"/>
      <c r="W1066" s="584"/>
      <c r="X1066" s="584"/>
      <c r="Y1066" s="584"/>
      <c r="Z1066" s="584"/>
      <c r="AA1066" s="584"/>
      <c r="AB1066" s="584"/>
      <c r="AC1066" s="584"/>
      <c r="AD1066" s="584"/>
      <c r="AE1066" s="584"/>
      <c r="AF1066" s="584"/>
    </row>
    <row r="1067" ht="14.25" customHeight="1">
      <c r="A1067" s="584"/>
      <c r="B1067" s="584"/>
      <c r="C1067" s="612"/>
      <c r="D1067" s="612"/>
      <c r="E1067" s="584"/>
      <c r="F1067" s="584"/>
      <c r="G1067" s="584"/>
      <c r="H1067" s="584"/>
      <c r="I1067" s="584"/>
      <c r="J1067" s="584"/>
      <c r="K1067" s="584"/>
      <c r="L1067" s="584"/>
      <c r="M1067" s="613"/>
      <c r="N1067" s="613"/>
      <c r="O1067" s="584"/>
      <c r="P1067" s="613"/>
      <c r="Q1067" s="584"/>
      <c r="R1067" s="584"/>
      <c r="S1067" s="584"/>
      <c r="T1067" s="584"/>
      <c r="U1067" s="584"/>
      <c r="V1067" s="584"/>
      <c r="W1067" s="584"/>
      <c r="X1067" s="584"/>
      <c r="Y1067" s="584"/>
      <c r="Z1067" s="584"/>
      <c r="AA1067" s="584"/>
      <c r="AB1067" s="584"/>
      <c r="AC1067" s="584"/>
      <c r="AD1067" s="584"/>
      <c r="AE1067" s="584"/>
      <c r="AF1067" s="584"/>
    </row>
    <row r="1068" ht="14.25" customHeight="1">
      <c r="A1068" s="584"/>
      <c r="B1068" s="584"/>
      <c r="C1068" s="612"/>
      <c r="D1068" s="612"/>
      <c r="E1068" s="584"/>
      <c r="F1068" s="584"/>
      <c r="G1068" s="584"/>
      <c r="H1068" s="584"/>
      <c r="I1068" s="584"/>
      <c r="J1068" s="584"/>
      <c r="K1068" s="584"/>
      <c r="L1068" s="584"/>
      <c r="M1068" s="613"/>
      <c r="N1068" s="613"/>
      <c r="O1068" s="584"/>
      <c r="P1068" s="613"/>
      <c r="Q1068" s="584"/>
      <c r="R1068" s="584"/>
      <c r="S1068" s="584"/>
      <c r="T1068" s="584"/>
      <c r="U1068" s="584"/>
      <c r="V1068" s="584"/>
      <c r="W1068" s="584"/>
      <c r="X1068" s="584"/>
      <c r="Y1068" s="584"/>
      <c r="Z1068" s="584"/>
      <c r="AA1068" s="584"/>
      <c r="AB1068" s="584"/>
      <c r="AC1068" s="584"/>
      <c r="AD1068" s="584"/>
      <c r="AE1068" s="584"/>
      <c r="AF1068" s="584"/>
    </row>
    <row r="1069" ht="14.25" customHeight="1">
      <c r="A1069" s="584"/>
      <c r="B1069" s="584"/>
      <c r="C1069" s="612"/>
      <c r="D1069" s="612"/>
      <c r="E1069" s="584"/>
      <c r="F1069" s="584"/>
      <c r="G1069" s="584"/>
      <c r="H1069" s="584"/>
      <c r="I1069" s="584"/>
      <c r="J1069" s="584"/>
      <c r="K1069" s="584"/>
      <c r="L1069" s="584"/>
      <c r="M1069" s="613"/>
      <c r="N1069" s="613"/>
      <c r="O1069" s="584"/>
      <c r="P1069" s="613"/>
      <c r="Q1069" s="584"/>
      <c r="R1069" s="584"/>
      <c r="S1069" s="584"/>
      <c r="T1069" s="584"/>
      <c r="U1069" s="584"/>
      <c r="V1069" s="584"/>
      <c r="W1069" s="584"/>
      <c r="X1069" s="584"/>
      <c r="Y1069" s="584"/>
      <c r="Z1069" s="584"/>
      <c r="AA1069" s="584"/>
      <c r="AB1069" s="584"/>
      <c r="AC1069" s="584"/>
      <c r="AD1069" s="584"/>
      <c r="AE1069" s="584"/>
      <c r="AF1069" s="584"/>
    </row>
    <row r="1070" ht="14.25" customHeight="1">
      <c r="A1070" s="584"/>
      <c r="B1070" s="584"/>
      <c r="C1070" s="612"/>
      <c r="D1070" s="612"/>
      <c r="E1070" s="584"/>
      <c r="F1070" s="584"/>
      <c r="G1070" s="584"/>
      <c r="H1070" s="584"/>
      <c r="I1070" s="584"/>
      <c r="J1070" s="584"/>
      <c r="K1070" s="584"/>
      <c r="L1070" s="584"/>
      <c r="M1070" s="613"/>
      <c r="N1070" s="613"/>
      <c r="O1070" s="584"/>
      <c r="P1070" s="613"/>
      <c r="Q1070" s="584"/>
      <c r="R1070" s="584"/>
      <c r="S1070" s="584"/>
      <c r="T1070" s="584"/>
      <c r="U1070" s="584"/>
      <c r="V1070" s="584"/>
      <c r="W1070" s="584"/>
      <c r="X1070" s="584"/>
      <c r="Y1070" s="584"/>
      <c r="Z1070" s="584"/>
      <c r="AA1070" s="584"/>
      <c r="AB1070" s="584"/>
      <c r="AC1070" s="584"/>
      <c r="AD1070" s="584"/>
      <c r="AE1070" s="584"/>
      <c r="AF1070" s="584"/>
    </row>
    <row r="1071" ht="14.25" customHeight="1">
      <c r="A1071" s="584"/>
      <c r="B1071" s="584"/>
      <c r="C1071" s="612"/>
      <c r="D1071" s="612"/>
      <c r="E1071" s="584"/>
      <c r="F1071" s="584"/>
      <c r="G1071" s="584"/>
      <c r="H1071" s="584"/>
      <c r="I1071" s="584"/>
      <c r="J1071" s="584"/>
      <c r="K1071" s="584"/>
      <c r="L1071" s="584"/>
      <c r="M1071" s="613"/>
      <c r="N1071" s="613"/>
      <c r="O1071" s="584"/>
      <c r="P1071" s="613"/>
      <c r="Q1071" s="584"/>
      <c r="R1071" s="584"/>
      <c r="S1071" s="584"/>
      <c r="T1071" s="584"/>
      <c r="U1071" s="584"/>
      <c r="V1071" s="584"/>
      <c r="W1071" s="584"/>
      <c r="X1071" s="584"/>
      <c r="Y1071" s="584"/>
      <c r="Z1071" s="584"/>
      <c r="AA1071" s="584"/>
      <c r="AB1071" s="584"/>
      <c r="AC1071" s="584"/>
      <c r="AD1071" s="584"/>
      <c r="AE1071" s="584"/>
      <c r="AF1071" s="584"/>
    </row>
    <row r="1072" ht="14.25" customHeight="1">
      <c r="A1072" s="584"/>
      <c r="B1072" s="584"/>
      <c r="C1072" s="612"/>
      <c r="D1072" s="612"/>
      <c r="E1072" s="584"/>
      <c r="F1072" s="584"/>
      <c r="G1072" s="584"/>
      <c r="H1072" s="584"/>
      <c r="I1072" s="584"/>
      <c r="J1072" s="584"/>
      <c r="K1072" s="584"/>
      <c r="L1072" s="584"/>
      <c r="M1072" s="613"/>
      <c r="N1072" s="613"/>
      <c r="O1072" s="584"/>
      <c r="P1072" s="613"/>
      <c r="Q1072" s="584"/>
      <c r="R1072" s="584"/>
      <c r="S1072" s="584"/>
      <c r="T1072" s="584"/>
      <c r="U1072" s="584"/>
      <c r="V1072" s="584"/>
      <c r="W1072" s="584"/>
      <c r="X1072" s="584"/>
      <c r="Y1072" s="584"/>
      <c r="Z1072" s="584"/>
      <c r="AA1072" s="584"/>
      <c r="AB1072" s="584"/>
      <c r="AC1072" s="584"/>
      <c r="AD1072" s="584"/>
      <c r="AE1072" s="584"/>
      <c r="AF1072" s="584"/>
    </row>
    <row r="1073" ht="14.25" customHeight="1">
      <c r="A1073" s="584"/>
      <c r="B1073" s="584"/>
      <c r="C1073" s="612"/>
      <c r="D1073" s="612"/>
      <c r="E1073" s="584"/>
      <c r="F1073" s="584"/>
      <c r="G1073" s="584"/>
      <c r="H1073" s="584"/>
      <c r="I1073" s="584"/>
      <c r="J1073" s="584"/>
      <c r="K1073" s="584"/>
      <c r="L1073" s="584"/>
      <c r="M1073" s="613"/>
      <c r="N1073" s="614"/>
      <c r="O1073" s="584"/>
      <c r="P1073" s="613"/>
      <c r="Q1073" s="584"/>
      <c r="R1073" s="584"/>
      <c r="S1073" s="584"/>
      <c r="T1073" s="584"/>
      <c r="U1073" s="584"/>
      <c r="V1073" s="584"/>
      <c r="W1073" s="584"/>
      <c r="X1073" s="584"/>
      <c r="Y1073" s="584"/>
      <c r="Z1073" s="584"/>
      <c r="AA1073" s="584"/>
      <c r="AB1073" s="584"/>
      <c r="AC1073" s="584"/>
      <c r="AD1073" s="584"/>
      <c r="AE1073" s="584"/>
      <c r="AF1073" s="584"/>
    </row>
    <row r="1074" ht="14.25" customHeight="1">
      <c r="A1074" s="584"/>
      <c r="B1074" s="584"/>
      <c r="C1074" s="612"/>
      <c r="D1074" s="612"/>
      <c r="E1074" s="584"/>
      <c r="F1074" s="584"/>
      <c r="G1074" s="584"/>
      <c r="H1074" s="584"/>
      <c r="I1074" s="584"/>
      <c r="J1074" s="584"/>
      <c r="K1074" s="584"/>
      <c r="L1074" s="584"/>
      <c r="M1074" s="613"/>
      <c r="N1074" s="614"/>
      <c r="O1074" s="584"/>
      <c r="P1074" s="613"/>
      <c r="Q1074" s="584"/>
      <c r="R1074" s="584"/>
      <c r="S1074" s="584"/>
      <c r="T1074" s="584"/>
      <c r="U1074" s="584"/>
      <c r="V1074" s="584"/>
      <c r="W1074" s="584"/>
      <c r="X1074" s="584"/>
      <c r="Y1074" s="584"/>
      <c r="Z1074" s="584"/>
      <c r="AA1074" s="584"/>
      <c r="AB1074" s="584"/>
      <c r="AC1074" s="584"/>
      <c r="AD1074" s="584"/>
      <c r="AE1074" s="584"/>
      <c r="AF1074" s="584"/>
    </row>
    <row r="1075" ht="14.25" customHeight="1">
      <c r="A1075" s="584"/>
      <c r="B1075" s="584"/>
      <c r="C1075" s="612"/>
      <c r="D1075" s="612"/>
      <c r="E1075" s="584"/>
      <c r="F1075" s="584"/>
      <c r="G1075" s="584"/>
      <c r="H1075" s="584"/>
      <c r="I1075" s="584"/>
      <c r="J1075" s="584"/>
      <c r="K1075" s="584"/>
      <c r="L1075" s="584"/>
      <c r="M1075" s="613"/>
      <c r="N1075" s="614"/>
      <c r="O1075" s="584"/>
      <c r="P1075" s="613"/>
      <c r="Q1075" s="584"/>
      <c r="R1075" s="584"/>
      <c r="S1075" s="584"/>
      <c r="T1075" s="584"/>
      <c r="U1075" s="584"/>
      <c r="V1075" s="584"/>
      <c r="W1075" s="584"/>
      <c r="X1075" s="584"/>
      <c r="Y1075" s="584"/>
      <c r="Z1075" s="584"/>
      <c r="AA1075" s="584"/>
      <c r="AB1075" s="584"/>
      <c r="AC1075" s="584"/>
      <c r="AD1075" s="584"/>
      <c r="AE1075" s="584"/>
      <c r="AF1075" s="584"/>
    </row>
    <row r="1076" ht="14.25" customHeight="1">
      <c r="A1076" s="584"/>
      <c r="B1076" s="584"/>
      <c r="C1076" s="612"/>
      <c r="D1076" s="612"/>
      <c r="E1076" s="584"/>
      <c r="F1076" s="584"/>
      <c r="G1076" s="584"/>
      <c r="H1076" s="584"/>
      <c r="I1076" s="584"/>
      <c r="J1076" s="584"/>
      <c r="K1076" s="584"/>
      <c r="L1076" s="584"/>
      <c r="M1076" s="613"/>
      <c r="N1076" s="614"/>
      <c r="O1076" s="584"/>
      <c r="P1076" s="613"/>
      <c r="Q1076" s="584"/>
      <c r="R1076" s="584"/>
      <c r="S1076" s="584"/>
      <c r="T1076" s="584"/>
      <c r="U1076" s="584"/>
      <c r="V1076" s="584"/>
      <c r="W1076" s="584"/>
      <c r="X1076" s="584"/>
      <c r="Y1076" s="584"/>
      <c r="Z1076" s="584"/>
      <c r="AA1076" s="584"/>
      <c r="AB1076" s="584"/>
      <c r="AC1076" s="584"/>
      <c r="AD1076" s="584"/>
      <c r="AE1076" s="584"/>
      <c r="AF1076" s="584"/>
    </row>
    <row r="1077" ht="14.25" customHeight="1">
      <c r="A1077" s="584"/>
      <c r="B1077" s="584"/>
      <c r="C1077" s="612"/>
      <c r="D1077" s="612"/>
      <c r="E1077" s="584"/>
      <c r="F1077" s="584"/>
      <c r="G1077" s="584"/>
      <c r="H1077" s="584"/>
      <c r="I1077" s="584"/>
      <c r="J1077" s="584"/>
      <c r="K1077" s="584"/>
      <c r="L1077" s="584"/>
      <c r="M1077" s="613"/>
      <c r="N1077" s="614"/>
      <c r="O1077" s="584"/>
      <c r="P1077" s="613"/>
      <c r="Q1077" s="584"/>
      <c r="R1077" s="584"/>
      <c r="S1077" s="584"/>
      <c r="T1077" s="584"/>
      <c r="U1077" s="584"/>
      <c r="V1077" s="584"/>
      <c r="W1077" s="584"/>
      <c r="X1077" s="584"/>
      <c r="Y1077" s="584"/>
      <c r="Z1077" s="584"/>
      <c r="AA1077" s="584"/>
      <c r="AB1077" s="584"/>
      <c r="AC1077" s="584"/>
      <c r="AD1077" s="584"/>
      <c r="AE1077" s="584"/>
      <c r="AF1077" s="584"/>
    </row>
    <row r="1078" ht="14.25" customHeight="1">
      <c r="A1078" s="584"/>
      <c r="B1078" s="584"/>
      <c r="C1078" s="612"/>
      <c r="D1078" s="612"/>
      <c r="E1078" s="584"/>
      <c r="F1078" s="584"/>
      <c r="G1078" s="584"/>
      <c r="H1078" s="584"/>
      <c r="I1078" s="584"/>
      <c r="J1078" s="584"/>
      <c r="K1078" s="584"/>
      <c r="L1078" s="584"/>
      <c r="M1078" s="613"/>
      <c r="N1078" s="614"/>
      <c r="O1078" s="584"/>
      <c r="P1078" s="613"/>
      <c r="Q1078" s="584"/>
      <c r="R1078" s="584"/>
      <c r="S1078" s="584"/>
      <c r="T1078" s="584"/>
      <c r="U1078" s="584"/>
      <c r="V1078" s="584"/>
      <c r="W1078" s="584"/>
      <c r="X1078" s="584"/>
      <c r="Y1078" s="584"/>
      <c r="Z1078" s="584"/>
      <c r="AA1078" s="584"/>
      <c r="AB1078" s="584"/>
      <c r="AC1078" s="584"/>
      <c r="AD1078" s="584"/>
      <c r="AE1078" s="584"/>
      <c r="AF1078" s="584"/>
    </row>
    <row r="1079" ht="14.25" customHeight="1">
      <c r="A1079" s="584"/>
      <c r="B1079" s="584"/>
      <c r="C1079" s="612"/>
      <c r="D1079" s="612"/>
      <c r="E1079" s="584"/>
      <c r="F1079" s="584"/>
      <c r="G1079" s="584"/>
      <c r="H1079" s="584"/>
      <c r="I1079" s="584"/>
      <c r="J1079" s="584"/>
      <c r="K1079" s="584"/>
      <c r="L1079" s="615"/>
      <c r="M1079" s="613"/>
      <c r="N1079" s="614"/>
      <c r="O1079" s="584"/>
      <c r="P1079" s="613"/>
      <c r="Q1079" s="584"/>
      <c r="R1079" s="584"/>
      <c r="S1079" s="584"/>
      <c r="T1079" s="584"/>
      <c r="U1079" s="584"/>
      <c r="V1079" s="584"/>
      <c r="W1079" s="584"/>
      <c r="X1079" s="584"/>
      <c r="Y1079" s="584"/>
      <c r="Z1079" s="584"/>
      <c r="AA1079" s="584"/>
      <c r="AB1079" s="584"/>
      <c r="AC1079" s="584"/>
      <c r="AD1079" s="584"/>
      <c r="AE1079" s="584"/>
      <c r="AF1079" s="584"/>
    </row>
    <row r="1080" ht="14.25" customHeight="1">
      <c r="A1080" s="584"/>
      <c r="B1080" s="584"/>
      <c r="C1080" s="612"/>
      <c r="D1080" s="612"/>
      <c r="E1080" s="584"/>
      <c r="F1080" s="584"/>
      <c r="G1080" s="584"/>
      <c r="H1080" s="584"/>
      <c r="I1080" s="584"/>
      <c r="J1080" s="584"/>
      <c r="K1080" s="584"/>
      <c r="L1080" s="615"/>
      <c r="M1080" s="613"/>
      <c r="N1080" s="614"/>
      <c r="O1080" s="584"/>
      <c r="P1080" s="613"/>
      <c r="Q1080" s="584"/>
      <c r="R1080" s="584"/>
      <c r="S1080" s="584"/>
      <c r="T1080" s="584"/>
      <c r="U1080" s="584"/>
      <c r="V1080" s="584"/>
      <c r="W1080" s="584"/>
      <c r="X1080" s="584"/>
      <c r="Y1080" s="584"/>
      <c r="Z1080" s="584"/>
      <c r="AA1080" s="584"/>
      <c r="AB1080" s="584"/>
      <c r="AC1080" s="584"/>
      <c r="AD1080" s="584"/>
      <c r="AE1080" s="584"/>
      <c r="AF1080" s="584"/>
    </row>
    <row r="1081" ht="14.25" customHeight="1">
      <c r="A1081" s="584"/>
      <c r="B1081" s="584"/>
      <c r="C1081" s="612"/>
      <c r="D1081" s="612"/>
      <c r="E1081" s="584"/>
      <c r="F1081" s="584"/>
      <c r="G1081" s="584"/>
      <c r="H1081" s="584"/>
      <c r="I1081" s="584"/>
      <c r="J1081" s="584"/>
      <c r="K1081" s="584"/>
      <c r="L1081" s="613"/>
      <c r="M1081" s="613"/>
      <c r="N1081" s="614"/>
      <c r="O1081" s="584"/>
      <c r="P1081" s="613"/>
      <c r="Q1081" s="584"/>
      <c r="R1081" s="584"/>
      <c r="S1081" s="584"/>
      <c r="T1081" s="584"/>
      <c r="U1081" s="584"/>
      <c r="V1081" s="584"/>
      <c r="W1081" s="584"/>
      <c r="X1081" s="584"/>
      <c r="Y1081" s="584"/>
      <c r="Z1081" s="584"/>
      <c r="AA1081" s="584"/>
      <c r="AB1081" s="584"/>
      <c r="AC1081" s="584"/>
      <c r="AD1081" s="584"/>
      <c r="AE1081" s="584"/>
      <c r="AF1081" s="584"/>
    </row>
    <row r="1082" ht="14.25" customHeight="1">
      <c r="A1082" s="584"/>
      <c r="B1082" s="584"/>
      <c r="C1082" s="612"/>
      <c r="D1082" s="612"/>
      <c r="E1082" s="584"/>
      <c r="F1082" s="584"/>
      <c r="G1082" s="584"/>
      <c r="H1082" s="584"/>
      <c r="I1082" s="584"/>
      <c r="J1082" s="584"/>
      <c r="K1082" s="584"/>
      <c r="L1082" s="613"/>
      <c r="M1082" s="613"/>
      <c r="N1082" s="614"/>
      <c r="O1082" s="584"/>
      <c r="P1082" s="613"/>
      <c r="Q1082" s="584"/>
      <c r="R1082" s="584"/>
      <c r="S1082" s="584"/>
      <c r="T1082" s="584"/>
      <c r="U1082" s="584"/>
      <c r="V1082" s="584"/>
      <c r="W1082" s="584"/>
      <c r="X1082" s="584"/>
      <c r="Y1082" s="584"/>
      <c r="Z1082" s="584"/>
      <c r="AA1082" s="584"/>
      <c r="AB1082" s="584"/>
      <c r="AC1082" s="584"/>
      <c r="AD1082" s="584"/>
      <c r="AE1082" s="584"/>
      <c r="AF1082" s="584"/>
    </row>
    <row r="1083" ht="14.25" customHeight="1">
      <c r="A1083" s="584"/>
      <c r="B1083" s="584"/>
      <c r="C1083" s="612"/>
      <c r="D1083" s="612"/>
      <c r="E1083" s="584"/>
      <c r="F1083" s="584"/>
      <c r="G1083" s="584"/>
      <c r="H1083" s="584"/>
      <c r="I1083" s="584"/>
      <c r="J1083" s="584"/>
      <c r="K1083" s="584"/>
      <c r="L1083" s="613"/>
      <c r="M1083" s="613"/>
      <c r="N1083" s="614"/>
      <c r="O1083" s="584"/>
      <c r="P1083" s="613"/>
      <c r="Q1083" s="584"/>
      <c r="R1083" s="584"/>
      <c r="S1083" s="584"/>
      <c r="T1083" s="584"/>
      <c r="U1083" s="584"/>
      <c r="V1083" s="584"/>
      <c r="W1083" s="584"/>
      <c r="X1083" s="584"/>
      <c r="Y1083" s="584"/>
      <c r="Z1083" s="584"/>
      <c r="AA1083" s="584"/>
      <c r="AB1083" s="584"/>
      <c r="AC1083" s="584"/>
      <c r="AD1083" s="584"/>
      <c r="AE1083" s="584"/>
      <c r="AF1083" s="584"/>
    </row>
    <row r="1084" ht="14.25" customHeight="1">
      <c r="A1084" s="584"/>
      <c r="B1084" s="584"/>
      <c r="C1084" s="612"/>
      <c r="D1084" s="612"/>
      <c r="E1084" s="584"/>
      <c r="F1084" s="584"/>
      <c r="G1084" s="584"/>
      <c r="H1084" s="584"/>
      <c r="I1084" s="584"/>
      <c r="J1084" s="584"/>
      <c r="K1084" s="584"/>
      <c r="L1084" s="613"/>
      <c r="M1084" s="613"/>
      <c r="N1084" s="614"/>
      <c r="O1084" s="584"/>
      <c r="P1084" s="613"/>
      <c r="Q1084" s="584"/>
      <c r="R1084" s="584"/>
      <c r="S1084" s="584"/>
      <c r="T1084" s="584"/>
      <c r="U1084" s="584"/>
      <c r="V1084" s="584"/>
      <c r="W1084" s="584"/>
      <c r="X1084" s="584"/>
      <c r="Y1084" s="584"/>
      <c r="Z1084" s="584"/>
      <c r="AA1084" s="584"/>
      <c r="AB1084" s="584"/>
      <c r="AC1084" s="584"/>
      <c r="AD1084" s="584"/>
      <c r="AE1084" s="584"/>
      <c r="AF1084" s="584"/>
    </row>
    <row r="1085" ht="14.25" customHeight="1">
      <c r="A1085" s="584"/>
      <c r="B1085" s="584"/>
      <c r="C1085" s="612"/>
      <c r="D1085" s="612"/>
      <c r="E1085" s="584"/>
      <c r="F1085" s="584"/>
      <c r="G1085" s="584"/>
      <c r="H1085" s="584"/>
      <c r="I1085" s="584"/>
      <c r="J1085" s="584"/>
      <c r="K1085" s="584"/>
      <c r="L1085" s="613"/>
      <c r="M1085" s="613"/>
      <c r="N1085" s="614"/>
      <c r="O1085" s="584"/>
      <c r="P1085" s="613"/>
      <c r="Q1085" s="584"/>
      <c r="R1085" s="584"/>
      <c r="S1085" s="584"/>
      <c r="T1085" s="584"/>
      <c r="U1085" s="584"/>
      <c r="V1085" s="584"/>
      <c r="W1085" s="584"/>
      <c r="X1085" s="584"/>
      <c r="Y1085" s="584"/>
      <c r="Z1085" s="584"/>
      <c r="AA1085" s="584"/>
      <c r="AB1085" s="584"/>
      <c r="AC1085" s="584"/>
      <c r="AD1085" s="584"/>
      <c r="AE1085" s="584"/>
      <c r="AF1085" s="584"/>
    </row>
    <row r="1086" ht="14.25" customHeight="1">
      <c r="A1086" s="584"/>
      <c r="B1086" s="584"/>
      <c r="C1086" s="612"/>
      <c r="D1086" s="612"/>
      <c r="E1086" s="584"/>
      <c r="F1086" s="584"/>
      <c r="G1086" s="584"/>
      <c r="H1086" s="584"/>
      <c r="I1086" s="584"/>
      <c r="J1086" s="584"/>
      <c r="K1086" s="584"/>
      <c r="L1086" s="613"/>
      <c r="M1086" s="613"/>
      <c r="N1086" s="614"/>
      <c r="O1086" s="584"/>
      <c r="P1086" s="613"/>
      <c r="Q1086" s="584"/>
      <c r="R1086" s="584"/>
      <c r="S1086" s="584"/>
      <c r="T1086" s="584"/>
      <c r="U1086" s="584"/>
      <c r="V1086" s="584"/>
      <c r="W1086" s="584"/>
      <c r="X1086" s="584"/>
      <c r="Y1086" s="584"/>
      <c r="Z1086" s="584"/>
      <c r="AA1086" s="584"/>
      <c r="AB1086" s="584"/>
      <c r="AC1086" s="584"/>
      <c r="AD1086" s="584"/>
      <c r="AE1086" s="584"/>
      <c r="AF1086" s="584"/>
    </row>
    <row r="1087" ht="14.25" customHeight="1">
      <c r="A1087" s="584"/>
      <c r="B1087" s="584"/>
      <c r="C1087" s="612"/>
      <c r="D1087" s="612"/>
      <c r="E1087" s="584"/>
      <c r="F1087" s="584"/>
      <c r="G1087" s="584"/>
      <c r="H1087" s="584"/>
      <c r="I1087" s="584"/>
      <c r="J1087" s="584"/>
      <c r="K1087" s="584"/>
      <c r="L1087" s="613"/>
      <c r="M1087" s="613"/>
      <c r="N1087" s="614"/>
      <c r="O1087" s="584"/>
      <c r="P1087" s="613"/>
      <c r="Q1087" s="584"/>
      <c r="R1087" s="584"/>
      <c r="S1087" s="584"/>
      <c r="T1087" s="584"/>
      <c r="U1087" s="584"/>
      <c r="V1087" s="584"/>
      <c r="W1087" s="584"/>
      <c r="X1087" s="584"/>
      <c r="Y1087" s="584"/>
      <c r="Z1087" s="584"/>
      <c r="AA1087" s="584"/>
      <c r="AB1087" s="584"/>
      <c r="AC1087" s="584"/>
      <c r="AD1087" s="584"/>
      <c r="AE1087" s="584"/>
      <c r="AF1087" s="584"/>
    </row>
    <row r="1088" ht="14.25" customHeight="1">
      <c r="A1088" s="584"/>
      <c r="B1088" s="584"/>
      <c r="C1088" s="612"/>
      <c r="D1088" s="612"/>
      <c r="E1088" s="584"/>
      <c r="F1088" s="584"/>
      <c r="G1088" s="584"/>
      <c r="H1088" s="584"/>
      <c r="I1088" s="584"/>
      <c r="J1088" s="584"/>
      <c r="K1088" s="584"/>
      <c r="L1088" s="613"/>
      <c r="M1088" s="613"/>
      <c r="N1088" s="614"/>
      <c r="O1088" s="584"/>
      <c r="P1088" s="613"/>
      <c r="Q1088" s="584"/>
      <c r="R1088" s="584"/>
      <c r="S1088" s="584"/>
      <c r="T1088" s="584"/>
      <c r="U1088" s="584"/>
      <c r="V1088" s="584"/>
      <c r="W1088" s="584"/>
      <c r="X1088" s="584"/>
      <c r="Y1088" s="584"/>
      <c r="Z1088" s="584"/>
      <c r="AA1088" s="584"/>
      <c r="AB1088" s="584"/>
      <c r="AC1088" s="584"/>
      <c r="AD1088" s="584"/>
      <c r="AE1088" s="584"/>
      <c r="AF1088" s="584"/>
    </row>
    <row r="1089" ht="14.25" customHeight="1">
      <c r="A1089" s="584"/>
      <c r="B1089" s="584"/>
      <c r="C1089" s="612"/>
      <c r="D1089" s="612"/>
      <c r="E1089" s="584"/>
      <c r="F1089" s="584"/>
      <c r="G1089" s="584"/>
      <c r="H1089" s="584"/>
      <c r="I1089" s="584"/>
      <c r="J1089" s="584"/>
      <c r="K1089" s="584"/>
      <c r="L1089" s="613"/>
      <c r="M1089" s="613"/>
      <c r="N1089" s="614"/>
      <c r="O1089" s="584"/>
      <c r="P1089" s="613"/>
      <c r="Q1089" s="584"/>
      <c r="R1089" s="584"/>
      <c r="S1089" s="584"/>
      <c r="T1089" s="584"/>
      <c r="U1089" s="584"/>
      <c r="V1089" s="584"/>
      <c r="W1089" s="584"/>
      <c r="X1089" s="584"/>
      <c r="Y1089" s="584"/>
      <c r="Z1089" s="584"/>
      <c r="AA1089" s="584"/>
      <c r="AB1089" s="584"/>
      <c r="AC1089" s="584"/>
      <c r="AD1089" s="584"/>
      <c r="AE1089" s="584"/>
      <c r="AF1089" s="584"/>
    </row>
    <row r="1090" ht="14.25" customHeight="1">
      <c r="A1090" s="584"/>
      <c r="B1090" s="584"/>
      <c r="C1090" s="612"/>
      <c r="D1090" s="612"/>
      <c r="E1090" s="584"/>
      <c r="F1090" s="584"/>
      <c r="G1090" s="584"/>
      <c r="H1090" s="584"/>
      <c r="I1090" s="584"/>
      <c r="J1090" s="584"/>
      <c r="K1090" s="584"/>
      <c r="L1090" s="613"/>
      <c r="M1090" s="613"/>
      <c r="N1090" s="614"/>
      <c r="O1090" s="584"/>
      <c r="P1090" s="613"/>
      <c r="Q1090" s="584"/>
      <c r="R1090" s="584"/>
      <c r="S1090" s="584"/>
      <c r="T1090" s="584"/>
      <c r="U1090" s="584"/>
      <c r="V1090" s="584"/>
      <c r="W1090" s="584"/>
      <c r="X1090" s="584"/>
      <c r="Y1090" s="584"/>
      <c r="Z1090" s="584"/>
      <c r="AA1090" s="584"/>
      <c r="AB1090" s="584"/>
      <c r="AC1090" s="584"/>
      <c r="AD1090" s="584"/>
      <c r="AE1090" s="584"/>
      <c r="AF1090" s="584"/>
    </row>
    <row r="1091" ht="14.25" customHeight="1">
      <c r="A1091" s="584"/>
      <c r="B1091" s="584"/>
      <c r="C1091" s="612"/>
      <c r="D1091" s="612"/>
      <c r="E1091" s="584"/>
      <c r="F1091" s="584"/>
      <c r="G1091" s="584"/>
      <c r="H1091" s="584"/>
      <c r="I1091" s="584"/>
      <c r="J1091" s="584"/>
      <c r="K1091" s="584"/>
      <c r="L1091" s="613"/>
      <c r="M1091" s="613"/>
      <c r="N1091" s="614"/>
      <c r="O1091" s="584"/>
      <c r="P1091" s="613"/>
      <c r="Q1091" s="584"/>
      <c r="R1091" s="584"/>
      <c r="S1091" s="584"/>
      <c r="T1091" s="584"/>
      <c r="U1091" s="584"/>
      <c r="V1091" s="584"/>
      <c r="W1091" s="584"/>
      <c r="X1091" s="584"/>
      <c r="Y1091" s="584"/>
      <c r="Z1091" s="584"/>
      <c r="AA1091" s="584"/>
      <c r="AB1091" s="584"/>
      <c r="AC1091" s="584"/>
      <c r="AD1091" s="584"/>
      <c r="AE1091" s="584"/>
      <c r="AF1091" s="584"/>
    </row>
    <row r="1092" ht="14.25" customHeight="1">
      <c r="A1092" s="584"/>
      <c r="B1092" s="584"/>
      <c r="C1092" s="612"/>
      <c r="D1092" s="612"/>
      <c r="E1092" s="584"/>
      <c r="F1092" s="584"/>
      <c r="G1092" s="584"/>
      <c r="H1092" s="584"/>
      <c r="I1092" s="584"/>
      <c r="J1092" s="584"/>
      <c r="K1092" s="584"/>
      <c r="L1092" s="613"/>
      <c r="M1092" s="613"/>
      <c r="N1092" s="614"/>
      <c r="O1092" s="584"/>
      <c r="P1092" s="613"/>
      <c r="Q1092" s="584"/>
      <c r="R1092" s="584"/>
      <c r="S1092" s="584"/>
      <c r="T1092" s="584"/>
      <c r="U1092" s="584"/>
      <c r="V1092" s="584"/>
      <c r="W1092" s="584"/>
      <c r="X1092" s="584"/>
      <c r="Y1092" s="584"/>
      <c r="Z1092" s="584"/>
      <c r="AA1092" s="584"/>
      <c r="AB1092" s="584"/>
      <c r="AC1092" s="584"/>
      <c r="AD1092" s="584"/>
      <c r="AE1092" s="584"/>
      <c r="AF1092" s="584"/>
    </row>
    <row r="1093" ht="14.25" customHeight="1">
      <c r="A1093" s="584"/>
      <c r="B1093" s="584"/>
      <c r="C1093" s="612"/>
      <c r="D1093" s="612"/>
      <c r="E1093" s="584"/>
      <c r="F1093" s="584"/>
      <c r="G1093" s="584"/>
      <c r="H1093" s="584"/>
      <c r="I1093" s="584"/>
      <c r="J1093" s="584"/>
      <c r="K1093" s="584"/>
      <c r="L1093" s="613"/>
      <c r="M1093" s="613"/>
      <c r="N1093" s="614"/>
      <c r="O1093" s="584"/>
      <c r="P1093" s="613"/>
      <c r="Q1093" s="584"/>
      <c r="R1093" s="584"/>
      <c r="S1093" s="584"/>
      <c r="T1093" s="584"/>
      <c r="U1093" s="584"/>
      <c r="V1093" s="584"/>
      <c r="W1093" s="584"/>
      <c r="X1093" s="584"/>
      <c r="Y1093" s="584"/>
      <c r="Z1093" s="584"/>
      <c r="AA1093" s="584"/>
      <c r="AB1093" s="584"/>
      <c r="AC1093" s="584"/>
      <c r="AD1093" s="584"/>
      <c r="AE1093" s="584"/>
      <c r="AF1093" s="584"/>
    </row>
    <row r="1094" ht="14.25" customHeight="1">
      <c r="A1094" s="584"/>
      <c r="B1094" s="584"/>
      <c r="C1094" s="612"/>
      <c r="D1094" s="612"/>
      <c r="E1094" s="584"/>
      <c r="F1094" s="584"/>
      <c r="G1094" s="584"/>
      <c r="H1094" s="584"/>
      <c r="I1094" s="584"/>
      <c r="J1094" s="584"/>
      <c r="K1094" s="584"/>
      <c r="L1094" s="613"/>
      <c r="M1094" s="613"/>
      <c r="N1094" s="614"/>
      <c r="O1094" s="584"/>
      <c r="P1094" s="613"/>
      <c r="Q1094" s="584"/>
      <c r="R1094" s="584"/>
      <c r="S1094" s="584"/>
      <c r="T1094" s="584"/>
      <c r="U1094" s="584"/>
      <c r="V1094" s="584"/>
      <c r="W1094" s="584"/>
      <c r="X1094" s="584"/>
      <c r="Y1094" s="584"/>
      <c r="Z1094" s="584"/>
      <c r="AA1094" s="584"/>
      <c r="AB1094" s="584"/>
      <c r="AC1094" s="584"/>
      <c r="AD1094" s="584"/>
      <c r="AE1094" s="584"/>
      <c r="AF1094" s="584"/>
    </row>
    <row r="1095" ht="14.25" customHeight="1">
      <c r="A1095" s="584"/>
      <c r="B1095" s="584"/>
      <c r="C1095" s="612"/>
      <c r="D1095" s="612"/>
      <c r="E1095" s="584"/>
      <c r="F1095" s="584"/>
      <c r="G1095" s="584"/>
      <c r="H1095" s="584"/>
      <c r="I1095" s="584"/>
      <c r="J1095" s="584"/>
      <c r="K1095" s="584"/>
      <c r="L1095" s="613"/>
      <c r="M1095" s="613"/>
      <c r="N1095" s="614"/>
      <c r="O1095" s="584"/>
      <c r="P1095" s="613"/>
      <c r="Q1095" s="584"/>
      <c r="R1095" s="584"/>
      <c r="S1095" s="584"/>
      <c r="T1095" s="584"/>
      <c r="U1095" s="584"/>
      <c r="V1095" s="584"/>
      <c r="W1095" s="584"/>
      <c r="X1095" s="584"/>
      <c r="Y1095" s="584"/>
      <c r="Z1095" s="584"/>
      <c r="AA1095" s="584"/>
      <c r="AB1095" s="584"/>
      <c r="AC1095" s="584"/>
      <c r="AD1095" s="584"/>
      <c r="AE1095" s="584"/>
      <c r="AF1095" s="584"/>
    </row>
    <row r="1096" ht="14.25" customHeight="1">
      <c r="A1096" s="584"/>
      <c r="B1096" s="584"/>
      <c r="C1096" s="612"/>
      <c r="D1096" s="612"/>
      <c r="E1096" s="584"/>
      <c r="F1096" s="584"/>
      <c r="G1096" s="584"/>
      <c r="H1096" s="584"/>
      <c r="I1096" s="584"/>
      <c r="J1096" s="584"/>
      <c r="K1096" s="584"/>
      <c r="L1096" s="613"/>
      <c r="M1096" s="613"/>
      <c r="N1096" s="614"/>
      <c r="O1096" s="584"/>
      <c r="P1096" s="613"/>
      <c r="Q1096" s="584"/>
      <c r="R1096" s="584"/>
      <c r="S1096" s="584"/>
      <c r="T1096" s="584"/>
      <c r="U1096" s="584"/>
      <c r="V1096" s="584"/>
      <c r="W1096" s="584"/>
      <c r="X1096" s="584"/>
      <c r="Y1096" s="584"/>
      <c r="Z1096" s="584"/>
      <c r="AA1096" s="584"/>
      <c r="AB1096" s="584"/>
      <c r="AC1096" s="584"/>
      <c r="AD1096" s="584"/>
      <c r="AE1096" s="584"/>
      <c r="AF1096" s="584"/>
    </row>
    <row r="1097" ht="14.25" customHeight="1">
      <c r="A1097" s="584"/>
      <c r="B1097" s="584"/>
      <c r="C1097" s="612"/>
      <c r="D1097" s="612"/>
      <c r="E1097" s="584"/>
      <c r="F1097" s="584"/>
      <c r="G1097" s="584"/>
      <c r="H1097" s="584"/>
      <c r="I1097" s="584"/>
      <c r="J1097" s="584"/>
      <c r="K1097" s="584"/>
      <c r="L1097" s="584"/>
      <c r="M1097" s="613"/>
      <c r="N1097" s="614"/>
      <c r="O1097" s="584"/>
      <c r="P1097" s="613"/>
      <c r="Q1097" s="584"/>
      <c r="R1097" s="584"/>
      <c r="S1097" s="584"/>
      <c r="T1097" s="584"/>
      <c r="U1097" s="584"/>
      <c r="V1097" s="584"/>
      <c r="W1097" s="584"/>
      <c r="X1097" s="584"/>
      <c r="Y1097" s="584"/>
      <c r="Z1097" s="584"/>
      <c r="AA1097" s="584"/>
      <c r="AB1097" s="584"/>
      <c r="AC1097" s="584"/>
      <c r="AD1097" s="584"/>
      <c r="AE1097" s="584"/>
      <c r="AF1097" s="584"/>
    </row>
    <row r="1098" ht="14.25" customHeight="1">
      <c r="A1098" s="584"/>
      <c r="B1098" s="584"/>
      <c r="C1098" s="612"/>
      <c r="D1098" s="612"/>
      <c r="E1098" s="584"/>
      <c r="F1098" s="584"/>
      <c r="G1098" s="584"/>
      <c r="H1098" s="584"/>
      <c r="I1098" s="584"/>
      <c r="J1098" s="584"/>
      <c r="K1098" s="584"/>
      <c r="L1098" s="613"/>
      <c r="M1098" s="613"/>
      <c r="N1098" s="614"/>
      <c r="O1098" s="584"/>
      <c r="P1098" s="613"/>
      <c r="Q1098" s="584"/>
      <c r="R1098" s="584"/>
      <c r="S1098" s="584"/>
      <c r="T1098" s="584"/>
      <c r="U1098" s="584"/>
      <c r="V1098" s="584"/>
      <c r="W1098" s="584"/>
      <c r="X1098" s="584"/>
      <c r="Y1098" s="584"/>
      <c r="Z1098" s="584"/>
      <c r="AA1098" s="584"/>
      <c r="AB1098" s="584"/>
      <c r="AC1098" s="584"/>
      <c r="AD1098" s="584"/>
      <c r="AE1098" s="584"/>
      <c r="AF1098" s="584"/>
    </row>
    <row r="1099" ht="14.25" customHeight="1">
      <c r="A1099" s="584"/>
      <c r="B1099" s="584"/>
      <c r="C1099" s="612"/>
      <c r="D1099" s="612"/>
      <c r="E1099" s="584"/>
      <c r="F1099" s="584"/>
      <c r="G1099" s="584"/>
      <c r="H1099" s="584"/>
      <c r="I1099" s="584"/>
      <c r="J1099" s="584"/>
      <c r="K1099" s="584"/>
      <c r="L1099" s="613"/>
      <c r="M1099" s="613"/>
      <c r="N1099" s="614"/>
      <c r="O1099" s="584"/>
      <c r="P1099" s="613"/>
      <c r="Q1099" s="584"/>
      <c r="R1099" s="584"/>
      <c r="S1099" s="584"/>
      <c r="T1099" s="584"/>
      <c r="U1099" s="584"/>
      <c r="V1099" s="584"/>
      <c r="W1099" s="584"/>
      <c r="X1099" s="584"/>
      <c r="Y1099" s="584"/>
      <c r="Z1099" s="584"/>
      <c r="AA1099" s="584"/>
      <c r="AB1099" s="584"/>
      <c r="AC1099" s="584"/>
      <c r="AD1099" s="584"/>
      <c r="AE1099" s="584"/>
      <c r="AF1099" s="584"/>
    </row>
    <row r="1100" ht="14.25" customHeight="1">
      <c r="A1100" s="584"/>
      <c r="B1100" s="584"/>
      <c r="C1100" s="612"/>
      <c r="D1100" s="612"/>
      <c r="E1100" s="584"/>
      <c r="F1100" s="584"/>
      <c r="G1100" s="584"/>
      <c r="H1100" s="584"/>
      <c r="I1100" s="584"/>
      <c r="J1100" s="584"/>
      <c r="K1100" s="584"/>
      <c r="L1100" s="613"/>
      <c r="M1100" s="613"/>
      <c r="N1100" s="614"/>
      <c r="O1100" s="584"/>
      <c r="P1100" s="613"/>
      <c r="Q1100" s="584"/>
      <c r="R1100" s="584"/>
      <c r="S1100" s="584"/>
      <c r="T1100" s="584"/>
      <c r="U1100" s="584"/>
      <c r="V1100" s="584"/>
      <c r="W1100" s="584"/>
      <c r="X1100" s="584"/>
      <c r="Y1100" s="584"/>
      <c r="Z1100" s="584"/>
      <c r="AA1100" s="584"/>
      <c r="AB1100" s="584"/>
      <c r="AC1100" s="584"/>
      <c r="AD1100" s="584"/>
      <c r="AE1100" s="584"/>
      <c r="AF1100" s="584"/>
    </row>
    <row r="1101" ht="14.25" customHeight="1">
      <c r="A1101" s="584"/>
      <c r="B1101" s="584"/>
      <c r="C1101" s="612"/>
      <c r="D1101" s="612"/>
      <c r="E1101" s="584"/>
      <c r="F1101" s="584"/>
      <c r="G1101" s="584"/>
      <c r="H1101" s="584"/>
      <c r="I1101" s="584"/>
      <c r="J1101" s="584"/>
      <c r="K1101" s="584"/>
      <c r="L1101" s="613"/>
      <c r="M1101" s="613"/>
      <c r="N1101" s="614"/>
      <c r="O1101" s="584"/>
      <c r="P1101" s="613"/>
      <c r="Q1101" s="584"/>
      <c r="R1101" s="584"/>
      <c r="S1101" s="584"/>
      <c r="T1101" s="584"/>
      <c r="U1101" s="584"/>
      <c r="V1101" s="584"/>
      <c r="W1101" s="584"/>
      <c r="X1101" s="584"/>
      <c r="Y1101" s="584"/>
      <c r="Z1101" s="584"/>
      <c r="AA1101" s="584"/>
      <c r="AB1101" s="584"/>
      <c r="AC1101" s="584"/>
      <c r="AD1101" s="584"/>
      <c r="AE1101" s="584"/>
      <c r="AF1101" s="584"/>
    </row>
    <row r="1102" ht="14.25" customHeight="1">
      <c r="A1102" s="584"/>
      <c r="B1102" s="584"/>
      <c r="C1102" s="612"/>
      <c r="D1102" s="612"/>
      <c r="E1102" s="584"/>
      <c r="F1102" s="584"/>
      <c r="G1102" s="584"/>
      <c r="H1102" s="584"/>
      <c r="I1102" s="584"/>
      <c r="J1102" s="584"/>
      <c r="K1102" s="584"/>
      <c r="L1102" s="613"/>
      <c r="M1102" s="613"/>
      <c r="N1102" s="614"/>
      <c r="O1102" s="584"/>
      <c r="P1102" s="613"/>
      <c r="Q1102" s="584"/>
      <c r="R1102" s="584"/>
      <c r="S1102" s="584"/>
      <c r="T1102" s="584"/>
      <c r="U1102" s="584"/>
      <c r="V1102" s="584"/>
      <c r="W1102" s="584"/>
      <c r="X1102" s="584"/>
      <c r="Y1102" s="584"/>
      <c r="Z1102" s="584"/>
      <c r="AA1102" s="584"/>
      <c r="AB1102" s="584"/>
      <c r="AC1102" s="584"/>
      <c r="AD1102" s="584"/>
      <c r="AE1102" s="584"/>
      <c r="AF1102" s="584"/>
    </row>
    <row r="1103" ht="14.25" customHeight="1">
      <c r="A1103" s="584"/>
      <c r="B1103" s="584"/>
      <c r="C1103" s="612"/>
      <c r="D1103" s="612"/>
      <c r="E1103" s="584"/>
      <c r="F1103" s="584"/>
      <c r="G1103" s="584"/>
      <c r="H1103" s="584"/>
      <c r="I1103" s="584"/>
      <c r="J1103" s="584"/>
      <c r="K1103" s="584"/>
      <c r="L1103" s="613"/>
      <c r="M1103" s="613"/>
      <c r="N1103" s="614"/>
      <c r="O1103" s="584"/>
      <c r="P1103" s="613"/>
      <c r="Q1103" s="584"/>
      <c r="R1103" s="584"/>
      <c r="S1103" s="584"/>
      <c r="T1103" s="584"/>
      <c r="U1103" s="584"/>
      <c r="V1103" s="584"/>
      <c r="W1103" s="584"/>
      <c r="X1103" s="584"/>
      <c r="Y1103" s="584"/>
      <c r="Z1103" s="584"/>
      <c r="AA1103" s="584"/>
      <c r="AB1103" s="584"/>
      <c r="AC1103" s="584"/>
      <c r="AD1103" s="584"/>
      <c r="AE1103" s="584"/>
      <c r="AF1103" s="584"/>
    </row>
    <row r="1104" ht="14.25" customHeight="1">
      <c r="A1104" s="584"/>
      <c r="B1104" s="584"/>
      <c r="C1104" s="612"/>
      <c r="D1104" s="612"/>
      <c r="E1104" s="584"/>
      <c r="F1104" s="584"/>
      <c r="G1104" s="584"/>
      <c r="H1104" s="584"/>
      <c r="I1104" s="584"/>
      <c r="J1104" s="584"/>
      <c r="K1104" s="584"/>
      <c r="L1104" s="615"/>
      <c r="M1104" s="613"/>
      <c r="N1104" s="614"/>
      <c r="O1104" s="584"/>
      <c r="P1104" s="613"/>
      <c r="Q1104" s="584"/>
      <c r="R1104" s="584"/>
      <c r="S1104" s="584"/>
      <c r="T1104" s="584"/>
      <c r="U1104" s="584"/>
      <c r="V1104" s="584"/>
      <c r="W1104" s="584"/>
      <c r="X1104" s="584"/>
      <c r="Y1104" s="584"/>
      <c r="Z1104" s="584"/>
      <c r="AA1104" s="584"/>
      <c r="AB1104" s="584"/>
      <c r="AC1104" s="584"/>
      <c r="AD1104" s="584"/>
      <c r="AE1104" s="584"/>
      <c r="AF1104" s="584"/>
    </row>
    <row r="1105" ht="14.25" customHeight="1">
      <c r="A1105" s="584"/>
      <c r="B1105" s="584"/>
      <c r="C1105" s="612"/>
      <c r="D1105" s="612"/>
      <c r="E1105" s="584"/>
      <c r="F1105" s="584"/>
      <c r="G1105" s="584"/>
      <c r="H1105" s="584"/>
      <c r="I1105" s="584"/>
      <c r="J1105" s="584"/>
      <c r="K1105" s="584"/>
      <c r="L1105" s="613"/>
      <c r="M1105" s="613"/>
      <c r="N1105" s="614"/>
      <c r="O1105" s="584"/>
      <c r="P1105" s="613"/>
      <c r="Q1105" s="584"/>
      <c r="R1105" s="584"/>
      <c r="S1105" s="584"/>
      <c r="T1105" s="584"/>
      <c r="U1105" s="584"/>
      <c r="V1105" s="584"/>
      <c r="W1105" s="584"/>
      <c r="X1105" s="584"/>
      <c r="Y1105" s="584"/>
      <c r="Z1105" s="584"/>
      <c r="AA1105" s="584"/>
      <c r="AB1105" s="584"/>
      <c r="AC1105" s="584"/>
      <c r="AD1105" s="584"/>
      <c r="AE1105" s="584"/>
      <c r="AF1105" s="584"/>
    </row>
    <row r="1106" ht="14.25" customHeight="1">
      <c r="A1106" s="584"/>
      <c r="B1106" s="584"/>
      <c r="C1106" s="612"/>
      <c r="D1106" s="612"/>
      <c r="E1106" s="584"/>
      <c r="F1106" s="584"/>
      <c r="G1106" s="584"/>
      <c r="H1106" s="584"/>
      <c r="I1106" s="584"/>
      <c r="J1106" s="584"/>
      <c r="K1106" s="584"/>
      <c r="L1106" s="613"/>
      <c r="M1106" s="613"/>
      <c r="N1106" s="614"/>
      <c r="O1106" s="584"/>
      <c r="P1106" s="613"/>
      <c r="Q1106" s="584"/>
      <c r="R1106" s="584"/>
      <c r="S1106" s="584"/>
      <c r="T1106" s="584"/>
      <c r="U1106" s="584"/>
      <c r="V1106" s="584"/>
      <c r="W1106" s="584"/>
      <c r="X1106" s="584"/>
      <c r="Y1106" s="584"/>
      <c r="Z1106" s="584"/>
      <c r="AA1106" s="584"/>
      <c r="AB1106" s="584"/>
      <c r="AC1106" s="584"/>
      <c r="AD1106" s="584"/>
      <c r="AE1106" s="584"/>
      <c r="AF1106" s="584"/>
    </row>
    <row r="1107" ht="14.25" customHeight="1">
      <c r="A1107" s="584"/>
      <c r="B1107" s="584"/>
      <c r="C1107" s="612"/>
      <c r="D1107" s="612"/>
      <c r="E1107" s="584"/>
      <c r="F1107" s="584"/>
      <c r="G1107" s="584"/>
      <c r="H1107" s="584"/>
      <c r="I1107" s="584"/>
      <c r="J1107" s="584"/>
      <c r="K1107" s="584"/>
      <c r="L1107" s="584"/>
      <c r="M1107" s="613"/>
      <c r="N1107" s="614"/>
      <c r="O1107" s="584"/>
      <c r="P1107" s="613"/>
      <c r="Q1107" s="584"/>
      <c r="R1107" s="584"/>
      <c r="S1107" s="584"/>
      <c r="T1107" s="584"/>
      <c r="U1107" s="584"/>
      <c r="V1107" s="584"/>
      <c r="W1107" s="584"/>
      <c r="X1107" s="584"/>
      <c r="Y1107" s="584"/>
      <c r="Z1107" s="584"/>
      <c r="AA1107" s="584"/>
      <c r="AB1107" s="584"/>
      <c r="AC1107" s="584"/>
      <c r="AD1107" s="584"/>
      <c r="AE1107" s="584"/>
      <c r="AF1107" s="584"/>
    </row>
    <row r="1108" ht="14.25" customHeight="1">
      <c r="A1108" s="584"/>
      <c r="B1108" s="584"/>
      <c r="C1108" s="612"/>
      <c r="D1108" s="612"/>
      <c r="E1108" s="584"/>
      <c r="F1108" s="584"/>
      <c r="G1108" s="584"/>
      <c r="H1108" s="584"/>
      <c r="I1108" s="584"/>
      <c r="J1108" s="584"/>
      <c r="K1108" s="584"/>
      <c r="L1108" s="613"/>
      <c r="M1108" s="613"/>
      <c r="N1108" s="614"/>
      <c r="O1108" s="584"/>
      <c r="P1108" s="613"/>
      <c r="Q1108" s="584"/>
      <c r="R1108" s="584"/>
      <c r="S1108" s="584"/>
      <c r="T1108" s="584"/>
      <c r="U1108" s="584"/>
      <c r="V1108" s="584"/>
      <c r="W1108" s="584"/>
      <c r="X1108" s="584"/>
      <c r="Y1108" s="584"/>
      <c r="Z1108" s="584"/>
      <c r="AA1108" s="584"/>
      <c r="AB1108" s="584"/>
      <c r="AC1108" s="584"/>
      <c r="AD1108" s="584"/>
      <c r="AE1108" s="584"/>
      <c r="AF1108" s="584"/>
    </row>
    <row r="1109" ht="14.25" customHeight="1">
      <c r="A1109" s="584"/>
      <c r="B1109" s="584"/>
      <c r="C1109" s="612"/>
      <c r="D1109" s="612"/>
      <c r="E1109" s="584"/>
      <c r="F1109" s="584"/>
      <c r="G1109" s="584"/>
      <c r="H1109" s="584"/>
      <c r="I1109" s="584"/>
      <c r="J1109" s="584"/>
      <c r="K1109" s="584"/>
      <c r="L1109" s="613"/>
      <c r="M1109" s="613"/>
      <c r="N1109" s="614"/>
      <c r="O1109" s="584"/>
      <c r="P1109" s="613"/>
      <c r="Q1109" s="584"/>
      <c r="R1109" s="584"/>
      <c r="S1109" s="584"/>
      <c r="T1109" s="584"/>
      <c r="U1109" s="584"/>
      <c r="V1109" s="584"/>
      <c r="W1109" s="584"/>
      <c r="X1109" s="584"/>
      <c r="Y1109" s="584"/>
      <c r="Z1109" s="584"/>
      <c r="AA1109" s="584"/>
      <c r="AB1109" s="584"/>
      <c r="AC1109" s="584"/>
      <c r="AD1109" s="584"/>
      <c r="AE1109" s="584"/>
      <c r="AF1109" s="584"/>
    </row>
    <row r="1110" ht="14.25" customHeight="1">
      <c r="A1110" s="584"/>
      <c r="B1110" s="584"/>
      <c r="C1110" s="612"/>
      <c r="D1110" s="612"/>
      <c r="E1110" s="584"/>
      <c r="F1110" s="584"/>
      <c r="G1110" s="584"/>
      <c r="H1110" s="584"/>
      <c r="I1110" s="584"/>
      <c r="J1110" s="584"/>
      <c r="K1110" s="584"/>
      <c r="L1110" s="613"/>
      <c r="M1110" s="613"/>
      <c r="N1110" s="614"/>
      <c r="O1110" s="584"/>
      <c r="P1110" s="613"/>
      <c r="Q1110" s="584"/>
      <c r="R1110" s="584"/>
      <c r="S1110" s="584"/>
      <c r="T1110" s="584"/>
      <c r="U1110" s="584"/>
      <c r="V1110" s="584"/>
      <c r="W1110" s="584"/>
      <c r="X1110" s="584"/>
      <c r="Y1110" s="584"/>
      <c r="Z1110" s="584"/>
      <c r="AA1110" s="584"/>
      <c r="AB1110" s="584"/>
      <c r="AC1110" s="584"/>
      <c r="AD1110" s="584"/>
      <c r="AE1110" s="584"/>
      <c r="AF1110" s="584"/>
    </row>
    <row r="1111" ht="14.25" customHeight="1">
      <c r="A1111" s="584"/>
      <c r="B1111" s="584"/>
      <c r="C1111" s="612"/>
      <c r="D1111" s="612"/>
      <c r="E1111" s="584"/>
      <c r="F1111" s="584"/>
      <c r="G1111" s="584"/>
      <c r="H1111" s="584"/>
      <c r="I1111" s="584"/>
      <c r="J1111" s="584"/>
      <c r="K1111" s="584"/>
      <c r="L1111" s="613"/>
      <c r="M1111" s="613"/>
      <c r="N1111" s="614"/>
      <c r="O1111" s="584"/>
      <c r="P1111" s="613"/>
      <c r="Q1111" s="584"/>
      <c r="R1111" s="584"/>
      <c r="S1111" s="584"/>
      <c r="T1111" s="584"/>
      <c r="U1111" s="584"/>
      <c r="V1111" s="584"/>
      <c r="W1111" s="584"/>
      <c r="X1111" s="584"/>
      <c r="Y1111" s="584"/>
      <c r="Z1111" s="584"/>
      <c r="AA1111" s="584"/>
      <c r="AB1111" s="584"/>
      <c r="AC1111" s="584"/>
      <c r="AD1111" s="584"/>
      <c r="AE1111" s="584"/>
      <c r="AF1111" s="584"/>
    </row>
    <row r="1112" ht="14.25" customHeight="1">
      <c r="A1112" s="584"/>
      <c r="B1112" s="584"/>
      <c r="C1112" s="612"/>
      <c r="D1112" s="612"/>
      <c r="E1112" s="584"/>
      <c r="F1112" s="584"/>
      <c r="G1112" s="584"/>
      <c r="H1112" s="584"/>
      <c r="I1112" s="584"/>
      <c r="J1112" s="584"/>
      <c r="K1112" s="584"/>
      <c r="L1112" s="613"/>
      <c r="M1112" s="613"/>
      <c r="N1112" s="614"/>
      <c r="O1112" s="584"/>
      <c r="P1112" s="613"/>
      <c r="Q1112" s="584"/>
      <c r="R1112" s="584"/>
      <c r="S1112" s="584"/>
      <c r="T1112" s="584"/>
      <c r="U1112" s="584"/>
      <c r="V1112" s="584"/>
      <c r="W1112" s="584"/>
      <c r="X1112" s="584"/>
      <c r="Y1112" s="584"/>
      <c r="Z1112" s="584"/>
      <c r="AA1112" s="584"/>
      <c r="AB1112" s="584"/>
      <c r="AC1112" s="584"/>
      <c r="AD1112" s="584"/>
      <c r="AE1112" s="584"/>
      <c r="AF1112" s="584"/>
    </row>
    <row r="1113" ht="14.25" customHeight="1">
      <c r="A1113" s="584"/>
      <c r="B1113" s="584"/>
      <c r="C1113" s="612"/>
      <c r="D1113" s="612"/>
      <c r="E1113" s="584"/>
      <c r="F1113" s="584"/>
      <c r="G1113" s="584"/>
      <c r="H1113" s="584"/>
      <c r="I1113" s="584"/>
      <c r="J1113" s="584"/>
      <c r="K1113" s="584"/>
      <c r="L1113" s="584"/>
      <c r="M1113" s="613"/>
      <c r="N1113" s="614"/>
      <c r="O1113" s="584"/>
      <c r="P1113" s="613"/>
      <c r="Q1113" s="584"/>
      <c r="R1113" s="584"/>
      <c r="S1113" s="584"/>
      <c r="T1113" s="584"/>
      <c r="U1113" s="584"/>
      <c r="V1113" s="584"/>
      <c r="W1113" s="584"/>
      <c r="X1113" s="584"/>
      <c r="Y1113" s="584"/>
      <c r="Z1113" s="584"/>
      <c r="AA1113" s="584"/>
      <c r="AB1113" s="584"/>
      <c r="AC1113" s="584"/>
      <c r="AD1113" s="584"/>
      <c r="AE1113" s="584"/>
      <c r="AF1113" s="584"/>
    </row>
    <row r="1114" ht="14.25" customHeight="1">
      <c r="A1114" s="584"/>
      <c r="B1114" s="584"/>
      <c r="C1114" s="612"/>
      <c r="D1114" s="612"/>
      <c r="E1114" s="584"/>
      <c r="F1114" s="584"/>
      <c r="G1114" s="584"/>
      <c r="H1114" s="584"/>
      <c r="I1114" s="584"/>
      <c r="J1114" s="584"/>
      <c r="K1114" s="584"/>
      <c r="L1114" s="613"/>
      <c r="M1114" s="613"/>
      <c r="N1114" s="614"/>
      <c r="O1114" s="584"/>
      <c r="P1114" s="613"/>
      <c r="Q1114" s="584"/>
      <c r="R1114" s="584"/>
      <c r="S1114" s="584"/>
      <c r="T1114" s="584"/>
      <c r="U1114" s="584"/>
      <c r="V1114" s="584"/>
      <c r="W1114" s="584"/>
      <c r="X1114" s="584"/>
      <c r="Y1114" s="584"/>
      <c r="Z1114" s="584"/>
      <c r="AA1114" s="584"/>
      <c r="AB1114" s="584"/>
      <c r="AC1114" s="584"/>
      <c r="AD1114" s="584"/>
      <c r="AE1114" s="584"/>
      <c r="AF1114" s="584"/>
    </row>
    <row r="1115" ht="14.25" customHeight="1">
      <c r="A1115" s="584"/>
      <c r="B1115" s="584"/>
      <c r="C1115" s="612"/>
      <c r="D1115" s="612"/>
      <c r="E1115" s="584"/>
      <c r="F1115" s="584"/>
      <c r="G1115" s="584"/>
      <c r="H1115" s="584"/>
      <c r="I1115" s="584"/>
      <c r="J1115" s="584"/>
      <c r="K1115" s="584"/>
      <c r="L1115" s="613"/>
      <c r="M1115" s="613"/>
      <c r="N1115" s="614"/>
      <c r="O1115" s="584"/>
      <c r="P1115" s="613"/>
      <c r="Q1115" s="584"/>
      <c r="R1115" s="584"/>
      <c r="S1115" s="584"/>
      <c r="T1115" s="584"/>
      <c r="U1115" s="584"/>
      <c r="V1115" s="584"/>
      <c r="W1115" s="584"/>
      <c r="X1115" s="584"/>
      <c r="Y1115" s="584"/>
      <c r="Z1115" s="584"/>
      <c r="AA1115" s="584"/>
      <c r="AB1115" s="584"/>
      <c r="AC1115" s="584"/>
      <c r="AD1115" s="584"/>
      <c r="AE1115" s="584"/>
      <c r="AF1115" s="584"/>
    </row>
    <row r="1116" ht="14.25" customHeight="1">
      <c r="A1116" s="584"/>
      <c r="B1116" s="584"/>
      <c r="C1116" s="612"/>
      <c r="D1116" s="612"/>
      <c r="E1116" s="584"/>
      <c r="F1116" s="584"/>
      <c r="G1116" s="584"/>
      <c r="H1116" s="584"/>
      <c r="I1116" s="584"/>
      <c r="J1116" s="584"/>
      <c r="K1116" s="584"/>
      <c r="L1116" s="613"/>
      <c r="M1116" s="613"/>
      <c r="N1116" s="614"/>
      <c r="O1116" s="584"/>
      <c r="P1116" s="613"/>
      <c r="Q1116" s="584"/>
      <c r="R1116" s="584"/>
      <c r="S1116" s="584"/>
      <c r="T1116" s="584"/>
      <c r="U1116" s="584"/>
      <c r="V1116" s="584"/>
      <c r="W1116" s="584"/>
      <c r="X1116" s="584"/>
      <c r="Y1116" s="584"/>
      <c r="Z1116" s="584"/>
      <c r="AA1116" s="584"/>
      <c r="AB1116" s="584"/>
      <c r="AC1116" s="584"/>
      <c r="AD1116" s="584"/>
      <c r="AE1116" s="584"/>
      <c r="AF1116" s="584"/>
    </row>
    <row r="1117" ht="14.25" customHeight="1">
      <c r="A1117" s="584"/>
      <c r="B1117" s="584"/>
      <c r="C1117" s="612"/>
      <c r="D1117" s="612"/>
      <c r="E1117" s="584"/>
      <c r="F1117" s="584"/>
      <c r="G1117" s="584"/>
      <c r="H1117" s="584"/>
      <c r="I1117" s="584"/>
      <c r="J1117" s="584"/>
      <c r="K1117" s="584"/>
      <c r="L1117" s="613"/>
      <c r="M1117" s="613"/>
      <c r="N1117" s="614"/>
      <c r="O1117" s="584"/>
      <c r="P1117" s="613"/>
      <c r="Q1117" s="584"/>
      <c r="R1117" s="584"/>
      <c r="S1117" s="584"/>
      <c r="T1117" s="584"/>
      <c r="U1117" s="584"/>
      <c r="V1117" s="584"/>
      <c r="W1117" s="584"/>
      <c r="X1117" s="584"/>
      <c r="Y1117" s="584"/>
      <c r="Z1117" s="584"/>
      <c r="AA1117" s="584"/>
      <c r="AB1117" s="584"/>
      <c r="AC1117" s="584"/>
      <c r="AD1117" s="584"/>
      <c r="AE1117" s="584"/>
      <c r="AF1117" s="584"/>
    </row>
    <row r="1118" ht="14.25" customHeight="1">
      <c r="A1118" s="584"/>
      <c r="B1118" s="584"/>
      <c r="C1118" s="612"/>
      <c r="D1118" s="612"/>
      <c r="E1118" s="584"/>
      <c r="F1118" s="584"/>
      <c r="G1118" s="584"/>
      <c r="H1118" s="584"/>
      <c r="I1118" s="584"/>
      <c r="J1118" s="584"/>
      <c r="K1118" s="584"/>
      <c r="L1118" s="613"/>
      <c r="M1118" s="613"/>
      <c r="N1118" s="614"/>
      <c r="O1118" s="584"/>
      <c r="P1118" s="613"/>
      <c r="Q1118" s="584"/>
      <c r="R1118" s="584"/>
      <c r="S1118" s="584"/>
      <c r="T1118" s="584"/>
      <c r="U1118" s="584"/>
      <c r="V1118" s="584"/>
      <c r="W1118" s="584"/>
      <c r="X1118" s="584"/>
      <c r="Y1118" s="584"/>
      <c r="Z1118" s="584"/>
      <c r="AA1118" s="584"/>
      <c r="AB1118" s="584"/>
      <c r="AC1118" s="584"/>
      <c r="AD1118" s="584"/>
      <c r="AE1118" s="584"/>
      <c r="AF1118" s="584"/>
    </row>
    <row r="1119" ht="14.25" customHeight="1">
      <c r="A1119" s="584"/>
      <c r="B1119" s="584"/>
      <c r="C1119" s="612"/>
      <c r="D1119" s="612"/>
      <c r="E1119" s="584"/>
      <c r="F1119" s="584"/>
      <c r="G1119" s="584"/>
      <c r="H1119" s="584"/>
      <c r="I1119" s="584"/>
      <c r="J1119" s="584"/>
      <c r="K1119" s="584"/>
      <c r="L1119" s="613"/>
      <c r="M1119" s="613"/>
      <c r="N1119" s="614"/>
      <c r="O1119" s="584"/>
      <c r="P1119" s="613"/>
      <c r="Q1119" s="584"/>
      <c r="R1119" s="584"/>
      <c r="S1119" s="584"/>
      <c r="T1119" s="584"/>
      <c r="U1119" s="584"/>
      <c r="V1119" s="584"/>
      <c r="W1119" s="584"/>
      <c r="X1119" s="584"/>
      <c r="Y1119" s="584"/>
      <c r="Z1119" s="584"/>
      <c r="AA1119" s="584"/>
      <c r="AB1119" s="584"/>
      <c r="AC1119" s="584"/>
      <c r="AD1119" s="584"/>
      <c r="AE1119" s="584"/>
      <c r="AF1119" s="584"/>
    </row>
    <row r="1120" ht="14.25" customHeight="1">
      <c r="A1120" s="584"/>
      <c r="B1120" s="584"/>
      <c r="C1120" s="612"/>
      <c r="D1120" s="612"/>
      <c r="E1120" s="584"/>
      <c r="F1120" s="584"/>
      <c r="G1120" s="584"/>
      <c r="H1120" s="584"/>
      <c r="I1120" s="584"/>
      <c r="J1120" s="584"/>
      <c r="K1120" s="584"/>
      <c r="L1120" s="613"/>
      <c r="M1120" s="613"/>
      <c r="N1120" s="614"/>
      <c r="O1120" s="584"/>
      <c r="P1120" s="613"/>
      <c r="Q1120" s="584"/>
      <c r="R1120" s="584"/>
      <c r="S1120" s="584"/>
      <c r="T1120" s="584"/>
      <c r="U1120" s="584"/>
      <c r="V1120" s="584"/>
      <c r="W1120" s="584"/>
      <c r="X1120" s="584"/>
      <c r="Y1120" s="584"/>
      <c r="Z1120" s="584"/>
      <c r="AA1120" s="584"/>
      <c r="AB1120" s="584"/>
      <c r="AC1120" s="584"/>
      <c r="AD1120" s="584"/>
      <c r="AE1120" s="584"/>
      <c r="AF1120" s="584"/>
    </row>
    <row r="1121" ht="14.25" customHeight="1">
      <c r="A1121" s="584"/>
      <c r="B1121" s="584"/>
      <c r="C1121" s="612"/>
      <c r="D1121" s="612"/>
      <c r="E1121" s="584"/>
      <c r="F1121" s="584"/>
      <c r="G1121" s="584"/>
      <c r="H1121" s="584"/>
      <c r="I1121" s="584"/>
      <c r="J1121" s="584"/>
      <c r="K1121" s="584"/>
      <c r="L1121" s="615"/>
      <c r="M1121" s="613"/>
      <c r="N1121" s="614"/>
      <c r="O1121" s="584"/>
      <c r="P1121" s="613"/>
      <c r="Q1121" s="584"/>
      <c r="R1121" s="584"/>
      <c r="S1121" s="584"/>
      <c r="T1121" s="584"/>
      <c r="U1121" s="584"/>
      <c r="V1121" s="584"/>
      <c r="W1121" s="584"/>
      <c r="X1121" s="584"/>
      <c r="Y1121" s="584"/>
      <c r="Z1121" s="584"/>
      <c r="AA1121" s="584"/>
      <c r="AB1121" s="584"/>
      <c r="AC1121" s="584"/>
      <c r="AD1121" s="584"/>
      <c r="AE1121" s="584"/>
      <c r="AF1121" s="584"/>
    </row>
    <row r="1122" ht="14.25" customHeight="1">
      <c r="A1122" s="584"/>
      <c r="B1122" s="584"/>
      <c r="C1122" s="612"/>
      <c r="D1122" s="612"/>
      <c r="E1122" s="584"/>
      <c r="F1122" s="584"/>
      <c r="G1122" s="584"/>
      <c r="H1122" s="584"/>
      <c r="I1122" s="584"/>
      <c r="J1122" s="584"/>
      <c r="K1122" s="584"/>
      <c r="L1122" s="613"/>
      <c r="M1122" s="613"/>
      <c r="N1122" s="614"/>
      <c r="O1122" s="584"/>
      <c r="P1122" s="613"/>
      <c r="Q1122" s="584"/>
      <c r="R1122" s="584"/>
      <c r="S1122" s="584"/>
      <c r="T1122" s="584"/>
      <c r="U1122" s="584"/>
      <c r="V1122" s="584"/>
      <c r="W1122" s="584"/>
      <c r="X1122" s="584"/>
      <c r="Y1122" s="584"/>
      <c r="Z1122" s="584"/>
      <c r="AA1122" s="584"/>
      <c r="AB1122" s="584"/>
      <c r="AC1122" s="584"/>
      <c r="AD1122" s="584"/>
      <c r="AE1122" s="584"/>
      <c r="AF1122" s="584"/>
    </row>
    <row r="1123" ht="14.25" customHeight="1">
      <c r="A1123" s="584"/>
      <c r="B1123" s="584"/>
      <c r="C1123" s="612"/>
      <c r="D1123" s="612"/>
      <c r="E1123" s="584"/>
      <c r="F1123" s="584"/>
      <c r="G1123" s="584"/>
      <c r="H1123" s="584"/>
      <c r="I1123" s="584"/>
      <c r="J1123" s="584"/>
      <c r="K1123" s="584"/>
      <c r="L1123" s="613"/>
      <c r="M1123" s="613"/>
      <c r="N1123" s="614"/>
      <c r="O1123" s="584"/>
      <c r="P1123" s="613"/>
      <c r="Q1123" s="584"/>
      <c r="R1123" s="584"/>
      <c r="S1123" s="584"/>
      <c r="T1123" s="584"/>
      <c r="U1123" s="584"/>
      <c r="V1123" s="584"/>
      <c r="W1123" s="584"/>
      <c r="X1123" s="584"/>
      <c r="Y1123" s="584"/>
      <c r="Z1123" s="584"/>
      <c r="AA1123" s="584"/>
      <c r="AB1123" s="584"/>
      <c r="AC1123" s="584"/>
      <c r="AD1123" s="584"/>
      <c r="AE1123" s="584"/>
      <c r="AF1123" s="584"/>
    </row>
    <row r="1124" ht="14.25" customHeight="1">
      <c r="A1124" s="584"/>
      <c r="B1124" s="584"/>
      <c r="C1124" s="612"/>
      <c r="D1124" s="612"/>
      <c r="E1124" s="584"/>
      <c r="F1124" s="584"/>
      <c r="G1124" s="584"/>
      <c r="H1124" s="584"/>
      <c r="I1124" s="584"/>
      <c r="J1124" s="584"/>
      <c r="K1124" s="584"/>
      <c r="L1124" s="615"/>
      <c r="M1124" s="613"/>
      <c r="N1124" s="614"/>
      <c r="O1124" s="584"/>
      <c r="P1124" s="613"/>
      <c r="Q1124" s="584"/>
      <c r="R1124" s="584"/>
      <c r="S1124" s="584"/>
      <c r="T1124" s="584"/>
      <c r="U1124" s="584"/>
      <c r="V1124" s="584"/>
      <c r="W1124" s="584"/>
      <c r="X1124" s="584"/>
      <c r="Y1124" s="584"/>
      <c r="Z1124" s="584"/>
      <c r="AA1124" s="584"/>
      <c r="AB1124" s="584"/>
      <c r="AC1124" s="584"/>
      <c r="AD1124" s="584"/>
      <c r="AE1124" s="584"/>
      <c r="AF1124" s="584"/>
    </row>
    <row r="1125" ht="14.25" customHeight="1">
      <c r="A1125" s="584"/>
      <c r="B1125" s="584"/>
      <c r="C1125" s="612"/>
      <c r="D1125" s="612"/>
      <c r="E1125" s="584"/>
      <c r="F1125" s="584"/>
      <c r="G1125" s="584"/>
      <c r="H1125" s="584"/>
      <c r="I1125" s="584"/>
      <c r="J1125" s="584"/>
      <c r="K1125" s="584"/>
      <c r="L1125" s="613"/>
      <c r="M1125" s="613"/>
      <c r="N1125" s="614"/>
      <c r="O1125" s="584"/>
      <c r="P1125" s="613"/>
      <c r="Q1125" s="584"/>
      <c r="R1125" s="584"/>
      <c r="S1125" s="584"/>
      <c r="T1125" s="584"/>
      <c r="U1125" s="584"/>
      <c r="V1125" s="584"/>
      <c r="W1125" s="584"/>
      <c r="X1125" s="584"/>
      <c r="Y1125" s="584"/>
      <c r="Z1125" s="584"/>
      <c r="AA1125" s="584"/>
      <c r="AB1125" s="584"/>
      <c r="AC1125" s="584"/>
      <c r="AD1125" s="584"/>
      <c r="AE1125" s="584"/>
      <c r="AF1125" s="584"/>
    </row>
    <row r="1126" ht="14.25" customHeight="1">
      <c r="A1126" s="584"/>
      <c r="B1126" s="584"/>
      <c r="C1126" s="612"/>
      <c r="D1126" s="612"/>
      <c r="E1126" s="584"/>
      <c r="F1126" s="584"/>
      <c r="G1126" s="584"/>
      <c r="H1126" s="584"/>
      <c r="I1126" s="584"/>
      <c r="J1126" s="584"/>
      <c r="K1126" s="584"/>
      <c r="L1126" s="613"/>
      <c r="M1126" s="613"/>
      <c r="N1126" s="614"/>
      <c r="O1126" s="584"/>
      <c r="P1126" s="613"/>
      <c r="Q1126" s="584"/>
      <c r="R1126" s="584"/>
      <c r="S1126" s="584"/>
      <c r="T1126" s="584"/>
      <c r="U1126" s="584"/>
      <c r="V1126" s="584"/>
      <c r="W1126" s="584"/>
      <c r="X1126" s="584"/>
      <c r="Y1126" s="584"/>
      <c r="Z1126" s="584"/>
      <c r="AA1126" s="584"/>
      <c r="AB1126" s="584"/>
      <c r="AC1126" s="584"/>
      <c r="AD1126" s="584"/>
      <c r="AE1126" s="584"/>
      <c r="AF1126" s="584"/>
    </row>
    <row r="1127" ht="14.25" customHeight="1">
      <c r="A1127" s="584"/>
      <c r="B1127" s="584"/>
      <c r="C1127" s="612"/>
      <c r="D1127" s="612"/>
      <c r="E1127" s="584"/>
      <c r="F1127" s="584"/>
      <c r="G1127" s="584"/>
      <c r="H1127" s="584"/>
      <c r="I1127" s="584"/>
      <c r="J1127" s="584"/>
      <c r="K1127" s="584"/>
      <c r="L1127" s="613"/>
      <c r="M1127" s="613"/>
      <c r="N1127" s="614"/>
      <c r="O1127" s="584"/>
      <c r="P1127" s="613"/>
      <c r="Q1127" s="584"/>
      <c r="R1127" s="584"/>
      <c r="S1127" s="584"/>
      <c r="T1127" s="584"/>
      <c r="U1127" s="584"/>
      <c r="V1127" s="584"/>
      <c r="W1127" s="584"/>
      <c r="X1127" s="584"/>
      <c r="Y1127" s="584"/>
      <c r="Z1127" s="584"/>
      <c r="AA1127" s="584"/>
      <c r="AB1127" s="584"/>
      <c r="AC1127" s="584"/>
      <c r="AD1127" s="584"/>
      <c r="AE1127" s="584"/>
      <c r="AF1127" s="584"/>
    </row>
    <row r="1128" ht="14.25" customHeight="1">
      <c r="A1128" s="584"/>
      <c r="B1128" s="584"/>
      <c r="C1128" s="612"/>
      <c r="D1128" s="612"/>
      <c r="E1128" s="584"/>
      <c r="F1128" s="584"/>
      <c r="G1128" s="584"/>
      <c r="H1128" s="584"/>
      <c r="I1128" s="584"/>
      <c r="J1128" s="584"/>
      <c r="K1128" s="584"/>
      <c r="L1128" s="615"/>
      <c r="M1128" s="613"/>
      <c r="N1128" s="614"/>
      <c r="O1128" s="584"/>
      <c r="P1128" s="613"/>
      <c r="Q1128" s="584"/>
      <c r="R1128" s="584"/>
      <c r="S1128" s="584"/>
      <c r="T1128" s="584"/>
      <c r="U1128" s="584"/>
      <c r="V1128" s="584"/>
      <c r="W1128" s="584"/>
      <c r="X1128" s="584"/>
      <c r="Y1128" s="584"/>
      <c r="Z1128" s="584"/>
      <c r="AA1128" s="584"/>
      <c r="AB1128" s="584"/>
      <c r="AC1128" s="584"/>
      <c r="AD1128" s="584"/>
      <c r="AE1128" s="584"/>
      <c r="AF1128" s="584"/>
    </row>
    <row r="1129" ht="14.25" customHeight="1">
      <c r="A1129" s="584"/>
      <c r="B1129" s="584"/>
      <c r="C1129" s="612"/>
      <c r="D1129" s="612"/>
      <c r="E1129" s="584"/>
      <c r="F1129" s="584"/>
      <c r="G1129" s="584"/>
      <c r="H1129" s="584"/>
      <c r="I1129" s="584"/>
      <c r="J1129" s="584"/>
      <c r="K1129" s="584"/>
      <c r="L1129" s="613"/>
      <c r="M1129" s="613"/>
      <c r="N1129" s="614"/>
      <c r="O1129" s="584"/>
      <c r="P1129" s="613"/>
      <c r="Q1129" s="584"/>
      <c r="R1129" s="584"/>
      <c r="S1129" s="584"/>
      <c r="T1129" s="584"/>
      <c r="U1129" s="584"/>
      <c r="V1129" s="584"/>
      <c r="W1129" s="584"/>
      <c r="X1129" s="584"/>
      <c r="Y1129" s="584"/>
      <c r="Z1129" s="584"/>
      <c r="AA1129" s="584"/>
      <c r="AB1129" s="584"/>
      <c r="AC1129" s="584"/>
      <c r="AD1129" s="584"/>
      <c r="AE1129" s="584"/>
      <c r="AF1129" s="584"/>
    </row>
    <row r="1130" ht="14.25" customHeight="1">
      <c r="A1130" s="584"/>
      <c r="B1130" s="584"/>
      <c r="C1130" s="612"/>
      <c r="D1130" s="612"/>
      <c r="E1130" s="584"/>
      <c r="F1130" s="584"/>
      <c r="G1130" s="584"/>
      <c r="H1130" s="584"/>
      <c r="I1130" s="584"/>
      <c r="J1130" s="584"/>
      <c r="K1130" s="584"/>
      <c r="L1130" s="584"/>
      <c r="M1130" s="613"/>
      <c r="N1130" s="614"/>
      <c r="O1130" s="584"/>
      <c r="P1130" s="613"/>
      <c r="Q1130" s="584"/>
      <c r="R1130" s="584"/>
      <c r="S1130" s="584"/>
      <c r="T1130" s="584"/>
      <c r="U1130" s="584"/>
      <c r="V1130" s="584"/>
      <c r="W1130" s="584"/>
      <c r="X1130" s="584"/>
      <c r="Y1130" s="584"/>
      <c r="Z1130" s="584"/>
      <c r="AA1130" s="584"/>
      <c r="AB1130" s="584"/>
      <c r="AC1130" s="584"/>
      <c r="AD1130" s="584"/>
      <c r="AE1130" s="584"/>
      <c r="AF1130" s="584"/>
    </row>
    <row r="1131" ht="14.25" customHeight="1">
      <c r="A1131" s="584"/>
      <c r="B1131" s="584"/>
      <c r="C1131" s="612"/>
      <c r="D1131" s="612"/>
      <c r="E1131" s="584"/>
      <c r="F1131" s="584"/>
      <c r="G1131" s="584"/>
      <c r="H1131" s="584"/>
      <c r="I1131" s="584"/>
      <c r="J1131" s="584"/>
      <c r="K1131" s="584"/>
      <c r="L1131" s="613"/>
      <c r="M1131" s="613"/>
      <c r="N1131" s="614"/>
      <c r="O1131" s="584"/>
      <c r="P1131" s="613"/>
      <c r="Q1131" s="584"/>
      <c r="R1131" s="584"/>
      <c r="S1131" s="584"/>
      <c r="T1131" s="584"/>
      <c r="U1131" s="584"/>
      <c r="V1131" s="584"/>
      <c r="W1131" s="584"/>
      <c r="X1131" s="584"/>
      <c r="Y1131" s="584"/>
      <c r="Z1131" s="584"/>
      <c r="AA1131" s="584"/>
      <c r="AB1131" s="584"/>
      <c r="AC1131" s="584"/>
      <c r="AD1131" s="584"/>
      <c r="AE1131" s="584"/>
      <c r="AF1131" s="584"/>
    </row>
    <row r="1132" ht="14.25" customHeight="1">
      <c r="A1132" s="584"/>
      <c r="B1132" s="584"/>
      <c r="C1132" s="612"/>
      <c r="D1132" s="612"/>
      <c r="E1132" s="584"/>
      <c r="F1132" s="584"/>
      <c r="G1132" s="584"/>
      <c r="H1132" s="584"/>
      <c r="I1132" s="584"/>
      <c r="J1132" s="584"/>
      <c r="K1132" s="584"/>
      <c r="L1132" s="615"/>
      <c r="M1132" s="613"/>
      <c r="N1132" s="614"/>
      <c r="O1132" s="584"/>
      <c r="P1132" s="613"/>
      <c r="Q1132" s="584"/>
      <c r="R1132" s="584"/>
      <c r="S1132" s="584"/>
      <c r="T1132" s="584"/>
      <c r="U1132" s="584"/>
      <c r="V1132" s="584"/>
      <c r="W1132" s="584"/>
      <c r="X1132" s="584"/>
      <c r="Y1132" s="584"/>
      <c r="Z1132" s="584"/>
      <c r="AA1132" s="584"/>
      <c r="AB1132" s="584"/>
      <c r="AC1132" s="584"/>
      <c r="AD1132" s="584"/>
      <c r="AE1132" s="584"/>
      <c r="AF1132" s="584"/>
    </row>
    <row r="1133" ht="14.25" customHeight="1">
      <c r="A1133" s="584"/>
      <c r="B1133" s="584"/>
      <c r="C1133" s="612"/>
      <c r="D1133" s="612"/>
      <c r="E1133" s="584"/>
      <c r="F1133" s="584"/>
      <c r="G1133" s="584"/>
      <c r="H1133" s="584"/>
      <c r="I1133" s="584"/>
      <c r="J1133" s="584"/>
      <c r="K1133" s="584"/>
      <c r="L1133" s="615"/>
      <c r="M1133" s="613"/>
      <c r="N1133" s="614"/>
      <c r="O1133" s="584"/>
      <c r="P1133" s="613"/>
      <c r="Q1133" s="584"/>
      <c r="R1133" s="584"/>
      <c r="S1133" s="584"/>
      <c r="T1133" s="584"/>
      <c r="U1133" s="584"/>
      <c r="V1133" s="584"/>
      <c r="W1133" s="584"/>
      <c r="X1133" s="584"/>
      <c r="Y1133" s="584"/>
      <c r="Z1133" s="584"/>
      <c r="AA1133" s="584"/>
      <c r="AB1133" s="584"/>
      <c r="AC1133" s="584"/>
      <c r="AD1133" s="584"/>
      <c r="AE1133" s="584"/>
      <c r="AF1133" s="584"/>
    </row>
    <row r="1134" ht="14.25" customHeight="1">
      <c r="A1134" s="584"/>
      <c r="B1134" s="584"/>
      <c r="C1134" s="612"/>
      <c r="D1134" s="612"/>
      <c r="E1134" s="584"/>
      <c r="F1134" s="584"/>
      <c r="G1134" s="584"/>
      <c r="H1134" s="584"/>
      <c r="I1134" s="584"/>
      <c r="J1134" s="584"/>
      <c r="K1134" s="584"/>
      <c r="L1134" s="615"/>
      <c r="M1134" s="613"/>
      <c r="N1134" s="614"/>
      <c r="O1134" s="584"/>
      <c r="P1134" s="613"/>
      <c r="Q1134" s="584"/>
      <c r="R1134" s="584"/>
      <c r="S1134" s="584"/>
      <c r="T1134" s="584"/>
      <c r="U1134" s="584"/>
      <c r="V1134" s="584"/>
      <c r="W1134" s="584"/>
      <c r="X1134" s="584"/>
      <c r="Y1134" s="584"/>
      <c r="Z1134" s="584"/>
      <c r="AA1134" s="584"/>
      <c r="AB1134" s="584"/>
      <c r="AC1134" s="584"/>
      <c r="AD1134" s="584"/>
      <c r="AE1134" s="584"/>
      <c r="AF1134" s="584"/>
    </row>
    <row r="1135" ht="14.25" customHeight="1">
      <c r="A1135" s="584"/>
      <c r="B1135" s="584"/>
      <c r="C1135" s="612"/>
      <c r="D1135" s="612"/>
      <c r="E1135" s="584"/>
      <c r="F1135" s="584"/>
      <c r="G1135" s="584"/>
      <c r="H1135" s="584"/>
      <c r="I1135" s="584"/>
      <c r="J1135" s="584"/>
      <c r="K1135" s="584"/>
      <c r="L1135" s="613"/>
      <c r="M1135" s="613"/>
      <c r="N1135" s="614"/>
      <c r="O1135" s="584"/>
      <c r="P1135" s="613"/>
      <c r="Q1135" s="584"/>
      <c r="R1135" s="584"/>
      <c r="S1135" s="584"/>
      <c r="T1135" s="584"/>
      <c r="U1135" s="584"/>
      <c r="V1135" s="584"/>
      <c r="W1135" s="584"/>
      <c r="X1135" s="584"/>
      <c r="Y1135" s="584"/>
      <c r="Z1135" s="584"/>
      <c r="AA1135" s="584"/>
      <c r="AB1135" s="584"/>
      <c r="AC1135" s="584"/>
      <c r="AD1135" s="584"/>
      <c r="AE1135" s="584"/>
      <c r="AF1135" s="584"/>
    </row>
    <row r="1136" ht="14.25" customHeight="1">
      <c r="A1136" s="584"/>
      <c r="B1136" s="584"/>
      <c r="C1136" s="612"/>
      <c r="D1136" s="612"/>
      <c r="E1136" s="584"/>
      <c r="F1136" s="584"/>
      <c r="G1136" s="584"/>
      <c r="H1136" s="584"/>
      <c r="I1136" s="584"/>
      <c r="J1136" s="584"/>
      <c r="K1136" s="584"/>
      <c r="L1136" s="613"/>
      <c r="M1136" s="613"/>
      <c r="N1136" s="614"/>
      <c r="O1136" s="584"/>
      <c r="P1136" s="613"/>
      <c r="Q1136" s="584"/>
      <c r="R1136" s="584"/>
      <c r="S1136" s="584"/>
      <c r="T1136" s="584"/>
      <c r="U1136" s="584"/>
      <c r="V1136" s="584"/>
      <c r="W1136" s="584"/>
      <c r="X1136" s="584"/>
      <c r="Y1136" s="584"/>
      <c r="Z1136" s="584"/>
      <c r="AA1136" s="584"/>
      <c r="AB1136" s="584"/>
      <c r="AC1136" s="584"/>
      <c r="AD1136" s="584"/>
      <c r="AE1136" s="584"/>
      <c r="AF1136" s="584"/>
    </row>
    <row r="1137" ht="14.25" customHeight="1">
      <c r="A1137" s="584"/>
      <c r="B1137" s="584"/>
      <c r="C1137" s="612"/>
      <c r="D1137" s="612"/>
      <c r="E1137" s="584"/>
      <c r="F1137" s="584"/>
      <c r="G1137" s="584"/>
      <c r="H1137" s="584"/>
      <c r="I1137" s="584"/>
      <c r="J1137" s="584"/>
      <c r="K1137" s="584"/>
      <c r="L1137" s="613"/>
      <c r="M1137" s="613"/>
      <c r="N1137" s="614"/>
      <c r="O1137" s="584"/>
      <c r="P1137" s="613"/>
      <c r="Q1137" s="584"/>
      <c r="R1137" s="584"/>
      <c r="S1137" s="584"/>
      <c r="T1137" s="584"/>
      <c r="U1137" s="584"/>
      <c r="V1137" s="584"/>
      <c r="W1137" s="584"/>
      <c r="X1137" s="584"/>
      <c r="Y1137" s="584"/>
      <c r="Z1137" s="584"/>
      <c r="AA1137" s="584"/>
      <c r="AB1137" s="584"/>
      <c r="AC1137" s="584"/>
      <c r="AD1137" s="584"/>
      <c r="AE1137" s="584"/>
      <c r="AF1137" s="584"/>
    </row>
    <row r="1138" ht="14.25" customHeight="1">
      <c r="A1138" s="584"/>
      <c r="B1138" s="584"/>
      <c r="C1138" s="612"/>
      <c r="D1138" s="612"/>
      <c r="E1138" s="584"/>
      <c r="F1138" s="584"/>
      <c r="G1138" s="584"/>
      <c r="H1138" s="584"/>
      <c r="I1138" s="584"/>
      <c r="J1138" s="584"/>
      <c r="K1138" s="584"/>
      <c r="L1138" s="613"/>
      <c r="M1138" s="613"/>
      <c r="N1138" s="614"/>
      <c r="O1138" s="584"/>
      <c r="P1138" s="613"/>
      <c r="Q1138" s="584"/>
      <c r="R1138" s="584"/>
      <c r="S1138" s="584"/>
      <c r="T1138" s="584"/>
      <c r="U1138" s="584"/>
      <c r="V1138" s="584"/>
      <c r="W1138" s="584"/>
      <c r="X1138" s="584"/>
      <c r="Y1138" s="584"/>
      <c r="Z1138" s="584"/>
      <c r="AA1138" s="584"/>
      <c r="AB1138" s="584"/>
      <c r="AC1138" s="584"/>
      <c r="AD1138" s="584"/>
      <c r="AE1138" s="584"/>
      <c r="AF1138" s="584"/>
    </row>
    <row r="1139" ht="14.25" customHeight="1">
      <c r="A1139" s="584"/>
      <c r="B1139" s="584"/>
      <c r="C1139" s="612"/>
      <c r="D1139" s="612"/>
      <c r="E1139" s="584"/>
      <c r="F1139" s="584"/>
      <c r="G1139" s="584"/>
      <c r="H1139" s="584"/>
      <c r="I1139" s="584"/>
      <c r="J1139" s="584"/>
      <c r="K1139" s="584"/>
      <c r="L1139" s="613"/>
      <c r="M1139" s="613"/>
      <c r="N1139" s="614"/>
      <c r="O1139" s="584"/>
      <c r="P1139" s="613"/>
      <c r="Q1139" s="584"/>
      <c r="R1139" s="584"/>
      <c r="S1139" s="584"/>
      <c r="T1139" s="584"/>
      <c r="U1139" s="584"/>
      <c r="V1139" s="584"/>
      <c r="W1139" s="584"/>
      <c r="X1139" s="584"/>
      <c r="Y1139" s="584"/>
      <c r="Z1139" s="584"/>
      <c r="AA1139" s="584"/>
      <c r="AB1139" s="584"/>
      <c r="AC1139" s="584"/>
      <c r="AD1139" s="584"/>
      <c r="AE1139" s="584"/>
      <c r="AF1139" s="584"/>
    </row>
    <row r="1140" ht="14.25" customHeight="1">
      <c r="A1140" s="584"/>
      <c r="B1140" s="584"/>
      <c r="C1140" s="612"/>
      <c r="D1140" s="612"/>
      <c r="E1140" s="584"/>
      <c r="F1140" s="584"/>
      <c r="G1140" s="584"/>
      <c r="H1140" s="584"/>
      <c r="I1140" s="584"/>
      <c r="J1140" s="584"/>
      <c r="K1140" s="584"/>
      <c r="L1140" s="613"/>
      <c r="M1140" s="613"/>
      <c r="N1140" s="614"/>
      <c r="O1140" s="584"/>
      <c r="P1140" s="613"/>
      <c r="Q1140" s="584"/>
      <c r="R1140" s="584"/>
      <c r="S1140" s="584"/>
      <c r="T1140" s="584"/>
      <c r="U1140" s="584"/>
      <c r="V1140" s="584"/>
      <c r="W1140" s="584"/>
      <c r="X1140" s="584"/>
      <c r="Y1140" s="584"/>
      <c r="Z1140" s="584"/>
      <c r="AA1140" s="584"/>
      <c r="AB1140" s="584"/>
      <c r="AC1140" s="584"/>
      <c r="AD1140" s="584"/>
      <c r="AE1140" s="584"/>
      <c r="AF1140" s="584"/>
    </row>
    <row r="1141" ht="14.25" customHeight="1">
      <c r="A1141" s="584"/>
      <c r="B1141" s="584"/>
      <c r="C1141" s="612"/>
      <c r="D1141" s="612"/>
      <c r="E1141" s="584"/>
      <c r="F1141" s="584"/>
      <c r="G1141" s="584"/>
      <c r="H1141" s="584"/>
      <c r="I1141" s="584"/>
      <c r="J1141" s="584"/>
      <c r="K1141" s="584"/>
      <c r="L1141" s="613"/>
      <c r="M1141" s="613"/>
      <c r="N1141" s="614"/>
      <c r="O1141" s="584"/>
      <c r="P1141" s="613"/>
      <c r="Q1141" s="584"/>
      <c r="R1141" s="584"/>
      <c r="S1141" s="584"/>
      <c r="T1141" s="584"/>
      <c r="U1141" s="584"/>
      <c r="V1141" s="584"/>
      <c r="W1141" s="584"/>
      <c r="X1141" s="584"/>
      <c r="Y1141" s="584"/>
      <c r="Z1141" s="584"/>
      <c r="AA1141" s="584"/>
      <c r="AB1141" s="584"/>
      <c r="AC1141" s="584"/>
      <c r="AD1141" s="584"/>
      <c r="AE1141" s="584"/>
      <c r="AF1141" s="584"/>
    </row>
    <row r="1142" ht="14.25" customHeight="1">
      <c r="A1142" s="584"/>
      <c r="B1142" s="584"/>
      <c r="C1142" s="612"/>
      <c r="D1142" s="612"/>
      <c r="E1142" s="584"/>
      <c r="F1142" s="584"/>
      <c r="G1142" s="584"/>
      <c r="H1142" s="584"/>
      <c r="I1142" s="584"/>
      <c r="J1142" s="584"/>
      <c r="K1142" s="584"/>
      <c r="L1142" s="613"/>
      <c r="M1142" s="613"/>
      <c r="N1142" s="614"/>
      <c r="O1142" s="584"/>
      <c r="P1142" s="613"/>
      <c r="Q1142" s="584"/>
      <c r="R1142" s="584"/>
      <c r="S1142" s="584"/>
      <c r="T1142" s="584"/>
      <c r="U1142" s="584"/>
      <c r="V1142" s="584"/>
      <c r="W1142" s="584"/>
      <c r="X1142" s="584"/>
      <c r="Y1142" s="584"/>
      <c r="Z1142" s="584"/>
      <c r="AA1142" s="584"/>
      <c r="AB1142" s="584"/>
      <c r="AC1142" s="584"/>
      <c r="AD1142" s="584"/>
      <c r="AE1142" s="584"/>
      <c r="AF1142" s="584"/>
    </row>
    <row r="1143" ht="14.25" customHeight="1">
      <c r="A1143" s="584"/>
      <c r="B1143" s="584"/>
      <c r="C1143" s="612"/>
      <c r="D1143" s="612"/>
      <c r="E1143" s="584"/>
      <c r="F1143" s="584"/>
      <c r="G1143" s="584"/>
      <c r="H1143" s="584"/>
      <c r="I1143" s="584"/>
      <c r="J1143" s="584"/>
      <c r="K1143" s="584"/>
      <c r="L1143" s="613"/>
      <c r="M1143" s="613"/>
      <c r="N1143" s="614"/>
      <c r="O1143" s="584"/>
      <c r="P1143" s="613"/>
      <c r="Q1143" s="584"/>
      <c r="R1143" s="584"/>
      <c r="S1143" s="584"/>
      <c r="T1143" s="584"/>
      <c r="U1143" s="584"/>
      <c r="V1143" s="584"/>
      <c r="W1143" s="584"/>
      <c r="X1143" s="584"/>
      <c r="Y1143" s="584"/>
      <c r="Z1143" s="584"/>
      <c r="AA1143" s="584"/>
      <c r="AB1143" s="584"/>
      <c r="AC1143" s="584"/>
      <c r="AD1143" s="584"/>
      <c r="AE1143" s="584"/>
      <c r="AF1143" s="584"/>
    </row>
    <row r="1144" ht="14.25" customHeight="1">
      <c r="A1144" s="584"/>
      <c r="B1144" s="584"/>
      <c r="C1144" s="612"/>
      <c r="D1144" s="612"/>
      <c r="E1144" s="584"/>
      <c r="F1144" s="584"/>
      <c r="G1144" s="584"/>
      <c r="H1144" s="584"/>
      <c r="I1144" s="584"/>
      <c r="J1144" s="584"/>
      <c r="K1144" s="584"/>
      <c r="L1144" s="613"/>
      <c r="M1144" s="613"/>
      <c r="N1144" s="614"/>
      <c r="O1144" s="584"/>
      <c r="P1144" s="613"/>
      <c r="Q1144" s="584"/>
      <c r="R1144" s="584"/>
      <c r="S1144" s="584"/>
      <c r="T1144" s="584"/>
      <c r="U1144" s="584"/>
      <c r="V1144" s="584"/>
      <c r="W1144" s="584"/>
      <c r="X1144" s="584"/>
      <c r="Y1144" s="584"/>
      <c r="Z1144" s="584"/>
      <c r="AA1144" s="584"/>
      <c r="AB1144" s="584"/>
      <c r="AC1144" s="584"/>
      <c r="AD1144" s="584"/>
      <c r="AE1144" s="584"/>
      <c r="AF1144" s="584"/>
    </row>
    <row r="1145" ht="14.25" customHeight="1">
      <c r="A1145" s="584"/>
      <c r="B1145" s="584"/>
      <c r="C1145" s="612"/>
      <c r="D1145" s="612"/>
      <c r="E1145" s="584"/>
      <c r="F1145" s="584"/>
      <c r="G1145" s="584"/>
      <c r="H1145" s="584"/>
      <c r="I1145" s="584"/>
      <c r="J1145" s="584"/>
      <c r="K1145" s="584"/>
      <c r="L1145" s="613"/>
      <c r="M1145" s="613"/>
      <c r="N1145" s="614"/>
      <c r="O1145" s="584"/>
      <c r="P1145" s="613"/>
      <c r="Q1145" s="584"/>
      <c r="R1145" s="584"/>
      <c r="S1145" s="584"/>
      <c r="T1145" s="584"/>
      <c r="U1145" s="584"/>
      <c r="V1145" s="584"/>
      <c r="W1145" s="584"/>
      <c r="X1145" s="584"/>
      <c r="Y1145" s="584"/>
      <c r="Z1145" s="584"/>
      <c r="AA1145" s="584"/>
      <c r="AB1145" s="584"/>
      <c r="AC1145" s="584"/>
      <c r="AD1145" s="584"/>
      <c r="AE1145" s="584"/>
      <c r="AF1145" s="584"/>
    </row>
    <row r="1146" ht="14.25" customHeight="1">
      <c r="A1146" s="584"/>
      <c r="B1146" s="584"/>
      <c r="C1146" s="612"/>
      <c r="D1146" s="612"/>
      <c r="E1146" s="584"/>
      <c r="F1146" s="584"/>
      <c r="G1146" s="584"/>
      <c r="H1146" s="584"/>
      <c r="I1146" s="584"/>
      <c r="J1146" s="584"/>
      <c r="K1146" s="584"/>
      <c r="L1146" s="613"/>
      <c r="M1146" s="613"/>
      <c r="N1146" s="614"/>
      <c r="O1146" s="584"/>
      <c r="P1146" s="613"/>
      <c r="Q1146" s="584"/>
      <c r="R1146" s="584"/>
      <c r="S1146" s="584"/>
      <c r="T1146" s="584"/>
      <c r="U1146" s="584"/>
      <c r="V1146" s="584"/>
      <c r="W1146" s="584"/>
      <c r="X1146" s="584"/>
      <c r="Y1146" s="584"/>
      <c r="Z1146" s="584"/>
      <c r="AA1146" s="584"/>
      <c r="AB1146" s="584"/>
      <c r="AC1146" s="584"/>
      <c r="AD1146" s="584"/>
      <c r="AE1146" s="584"/>
      <c r="AF1146" s="584"/>
    </row>
    <row r="1147" ht="14.25" customHeight="1">
      <c r="A1147" s="584"/>
      <c r="B1147" s="584"/>
      <c r="C1147" s="612"/>
      <c r="D1147" s="612"/>
      <c r="E1147" s="584"/>
      <c r="F1147" s="584"/>
      <c r="G1147" s="584"/>
      <c r="H1147" s="584"/>
      <c r="I1147" s="584"/>
      <c r="J1147" s="584"/>
      <c r="K1147" s="584"/>
      <c r="L1147" s="615"/>
      <c r="M1147" s="613"/>
      <c r="N1147" s="614"/>
      <c r="O1147" s="584"/>
      <c r="P1147" s="613"/>
      <c r="Q1147" s="584"/>
      <c r="R1147" s="584"/>
      <c r="S1147" s="584"/>
      <c r="T1147" s="584"/>
      <c r="U1147" s="584"/>
      <c r="V1147" s="584"/>
      <c r="W1147" s="584"/>
      <c r="X1147" s="584"/>
      <c r="Y1147" s="584"/>
      <c r="Z1147" s="584"/>
      <c r="AA1147" s="584"/>
      <c r="AB1147" s="584"/>
      <c r="AC1147" s="584"/>
      <c r="AD1147" s="584"/>
      <c r="AE1147" s="584"/>
      <c r="AF1147" s="584"/>
    </row>
    <row r="1148" ht="14.25" customHeight="1">
      <c r="A1148" s="584"/>
      <c r="B1148" s="584"/>
      <c r="C1148" s="612"/>
      <c r="D1148" s="612"/>
      <c r="E1148" s="584"/>
      <c r="F1148" s="584"/>
      <c r="G1148" s="584"/>
      <c r="H1148" s="584"/>
      <c r="I1148" s="584"/>
      <c r="J1148" s="584"/>
      <c r="K1148" s="584"/>
      <c r="L1148" s="613"/>
      <c r="M1148" s="613"/>
      <c r="N1148" s="614"/>
      <c r="O1148" s="584"/>
      <c r="P1148" s="613"/>
      <c r="Q1148" s="584"/>
      <c r="R1148" s="584"/>
      <c r="S1148" s="584"/>
      <c r="T1148" s="584"/>
      <c r="U1148" s="584"/>
      <c r="V1148" s="584"/>
      <c r="W1148" s="584"/>
      <c r="X1148" s="584"/>
      <c r="Y1148" s="584"/>
      <c r="Z1148" s="584"/>
      <c r="AA1148" s="584"/>
      <c r="AB1148" s="584"/>
      <c r="AC1148" s="584"/>
      <c r="AD1148" s="584"/>
      <c r="AE1148" s="584"/>
      <c r="AF1148" s="584"/>
    </row>
    <row r="1149" ht="14.25" customHeight="1">
      <c r="A1149" s="584"/>
      <c r="B1149" s="584"/>
      <c r="C1149" s="612"/>
      <c r="D1149" s="612"/>
      <c r="E1149" s="584"/>
      <c r="F1149" s="584"/>
      <c r="G1149" s="584"/>
      <c r="H1149" s="584"/>
      <c r="I1149" s="584"/>
      <c r="J1149" s="584"/>
      <c r="K1149" s="584"/>
      <c r="L1149" s="613"/>
      <c r="M1149" s="613"/>
      <c r="N1149" s="614"/>
      <c r="O1149" s="584"/>
      <c r="P1149" s="613"/>
      <c r="Q1149" s="584"/>
      <c r="R1149" s="584"/>
      <c r="S1149" s="584"/>
      <c r="T1149" s="584"/>
      <c r="U1149" s="584"/>
      <c r="V1149" s="584"/>
      <c r="W1149" s="584"/>
      <c r="X1149" s="584"/>
      <c r="Y1149" s="584"/>
      <c r="Z1149" s="584"/>
      <c r="AA1149" s="584"/>
      <c r="AB1149" s="584"/>
      <c r="AC1149" s="584"/>
      <c r="AD1149" s="584"/>
      <c r="AE1149" s="584"/>
      <c r="AF1149" s="584"/>
    </row>
    <row r="1150" ht="14.25" customHeight="1">
      <c r="A1150" s="584"/>
      <c r="B1150" s="584"/>
      <c r="C1150" s="612"/>
      <c r="D1150" s="612"/>
      <c r="E1150" s="584"/>
      <c r="F1150" s="584"/>
      <c r="G1150" s="584"/>
      <c r="H1150" s="584"/>
      <c r="I1150" s="584"/>
      <c r="J1150" s="584"/>
      <c r="K1150" s="584"/>
      <c r="L1150" s="613"/>
      <c r="M1150" s="613"/>
      <c r="N1150" s="614"/>
      <c r="O1150" s="584"/>
      <c r="P1150" s="613"/>
      <c r="Q1150" s="584"/>
      <c r="R1150" s="584"/>
      <c r="S1150" s="584"/>
      <c r="T1150" s="584"/>
      <c r="U1150" s="584"/>
      <c r="V1150" s="584"/>
      <c r="W1150" s="584"/>
      <c r="X1150" s="584"/>
      <c r="Y1150" s="584"/>
      <c r="Z1150" s="584"/>
      <c r="AA1150" s="584"/>
      <c r="AB1150" s="584"/>
      <c r="AC1150" s="584"/>
      <c r="AD1150" s="584"/>
      <c r="AE1150" s="584"/>
      <c r="AF1150" s="584"/>
    </row>
    <row r="1151" ht="14.25" customHeight="1">
      <c r="A1151" s="584"/>
      <c r="B1151" s="584"/>
      <c r="C1151" s="612"/>
      <c r="D1151" s="612"/>
      <c r="E1151" s="584"/>
      <c r="F1151" s="584"/>
      <c r="G1151" s="584"/>
      <c r="H1151" s="584"/>
      <c r="I1151" s="584"/>
      <c r="J1151" s="584"/>
      <c r="K1151" s="584"/>
      <c r="L1151" s="613"/>
      <c r="M1151" s="613"/>
      <c r="N1151" s="614"/>
      <c r="O1151" s="584"/>
      <c r="P1151" s="613"/>
      <c r="Q1151" s="584"/>
      <c r="R1151" s="584"/>
      <c r="S1151" s="584"/>
      <c r="T1151" s="584"/>
      <c r="U1151" s="584"/>
      <c r="V1151" s="584"/>
      <c r="W1151" s="584"/>
      <c r="X1151" s="584"/>
      <c r="Y1151" s="584"/>
      <c r="Z1151" s="584"/>
      <c r="AA1151" s="584"/>
      <c r="AB1151" s="584"/>
      <c r="AC1151" s="584"/>
      <c r="AD1151" s="584"/>
      <c r="AE1151" s="584"/>
      <c r="AF1151" s="584"/>
    </row>
    <row r="1152" ht="14.25" customHeight="1">
      <c r="A1152" s="584"/>
      <c r="B1152" s="584"/>
      <c r="C1152" s="612"/>
      <c r="D1152" s="612"/>
      <c r="E1152" s="584"/>
      <c r="F1152" s="584"/>
      <c r="G1152" s="584"/>
      <c r="H1152" s="584"/>
      <c r="I1152" s="584"/>
      <c r="J1152" s="584"/>
      <c r="K1152" s="584"/>
      <c r="L1152" s="613"/>
      <c r="M1152" s="613"/>
      <c r="N1152" s="614"/>
      <c r="O1152" s="584"/>
      <c r="P1152" s="613"/>
      <c r="Q1152" s="584"/>
      <c r="R1152" s="584"/>
      <c r="S1152" s="584"/>
      <c r="T1152" s="584"/>
      <c r="U1152" s="584"/>
      <c r="V1152" s="584"/>
      <c r="W1152" s="584"/>
      <c r="X1152" s="584"/>
      <c r="Y1152" s="584"/>
      <c r="Z1152" s="584"/>
      <c r="AA1152" s="584"/>
      <c r="AB1152" s="584"/>
      <c r="AC1152" s="584"/>
      <c r="AD1152" s="584"/>
      <c r="AE1152" s="584"/>
      <c r="AF1152" s="584"/>
    </row>
    <row r="1153" ht="14.25" customHeight="1">
      <c r="A1153" s="584"/>
      <c r="B1153" s="584"/>
      <c r="C1153" s="612"/>
      <c r="D1153" s="612"/>
      <c r="E1153" s="584"/>
      <c r="F1153" s="584"/>
      <c r="G1153" s="584"/>
      <c r="H1153" s="584"/>
      <c r="I1153" s="584"/>
      <c r="J1153" s="584"/>
      <c r="K1153" s="584"/>
      <c r="L1153" s="613"/>
      <c r="M1153" s="613"/>
      <c r="N1153" s="614"/>
      <c r="O1153" s="584"/>
      <c r="P1153" s="613"/>
      <c r="Q1153" s="584"/>
      <c r="R1153" s="584"/>
      <c r="S1153" s="584"/>
      <c r="T1153" s="584"/>
      <c r="U1153" s="584"/>
      <c r="V1153" s="584"/>
      <c r="W1153" s="584"/>
      <c r="X1153" s="584"/>
      <c r="Y1153" s="584"/>
      <c r="Z1153" s="584"/>
      <c r="AA1153" s="584"/>
      <c r="AB1153" s="584"/>
      <c r="AC1153" s="584"/>
      <c r="AD1153" s="584"/>
      <c r="AE1153" s="584"/>
      <c r="AF1153" s="584"/>
    </row>
    <row r="1154" ht="14.25" customHeight="1">
      <c r="A1154" s="584"/>
      <c r="B1154" s="584"/>
      <c r="C1154" s="612"/>
      <c r="D1154" s="612"/>
      <c r="E1154" s="584"/>
      <c r="F1154" s="584"/>
      <c r="G1154" s="584"/>
      <c r="H1154" s="584"/>
      <c r="I1154" s="584"/>
      <c r="J1154" s="584"/>
      <c r="K1154" s="584"/>
      <c r="L1154" s="613"/>
      <c r="M1154" s="613"/>
      <c r="N1154" s="614"/>
      <c r="O1154" s="584"/>
      <c r="P1154" s="613"/>
      <c r="Q1154" s="584"/>
      <c r="R1154" s="584"/>
      <c r="S1154" s="584"/>
      <c r="T1154" s="584"/>
      <c r="U1154" s="584"/>
      <c r="V1154" s="584"/>
      <c r="W1154" s="584"/>
      <c r="X1154" s="584"/>
      <c r="Y1154" s="584"/>
      <c r="Z1154" s="584"/>
      <c r="AA1154" s="584"/>
      <c r="AB1154" s="584"/>
      <c r="AC1154" s="584"/>
      <c r="AD1154" s="584"/>
      <c r="AE1154" s="584"/>
      <c r="AF1154" s="584"/>
    </row>
    <row r="1155" ht="14.25" customHeight="1">
      <c r="A1155" s="584"/>
      <c r="B1155" s="584"/>
      <c r="C1155" s="612"/>
      <c r="D1155" s="612"/>
      <c r="E1155" s="584"/>
      <c r="F1155" s="584"/>
      <c r="G1155" s="584"/>
      <c r="H1155" s="584"/>
      <c r="I1155" s="584"/>
      <c r="J1155" s="584"/>
      <c r="K1155" s="584"/>
      <c r="L1155" s="613"/>
      <c r="M1155" s="613"/>
      <c r="N1155" s="614"/>
      <c r="O1155" s="584"/>
      <c r="P1155" s="613"/>
      <c r="Q1155" s="584"/>
      <c r="R1155" s="584"/>
      <c r="S1155" s="584"/>
      <c r="T1155" s="584"/>
      <c r="U1155" s="584"/>
      <c r="V1155" s="584"/>
      <c r="W1155" s="584"/>
      <c r="X1155" s="584"/>
      <c r="Y1155" s="584"/>
      <c r="Z1155" s="584"/>
      <c r="AA1155" s="584"/>
      <c r="AB1155" s="584"/>
      <c r="AC1155" s="584"/>
      <c r="AD1155" s="584"/>
      <c r="AE1155" s="584"/>
      <c r="AF1155" s="584"/>
    </row>
    <row r="1156" ht="14.25" customHeight="1">
      <c r="A1156" s="584"/>
      <c r="B1156" s="584"/>
      <c r="C1156" s="612"/>
      <c r="D1156" s="612"/>
      <c r="E1156" s="584"/>
      <c r="F1156" s="584"/>
      <c r="G1156" s="584"/>
      <c r="H1156" s="584"/>
      <c r="I1156" s="584"/>
      <c r="J1156" s="584"/>
      <c r="K1156" s="584"/>
      <c r="L1156" s="613"/>
      <c r="M1156" s="613"/>
      <c r="N1156" s="614"/>
      <c r="O1156" s="584"/>
      <c r="P1156" s="613"/>
      <c r="Q1156" s="584"/>
      <c r="R1156" s="584"/>
      <c r="S1156" s="584"/>
      <c r="T1156" s="584"/>
      <c r="U1156" s="584"/>
      <c r="V1156" s="584"/>
      <c r="W1156" s="584"/>
      <c r="X1156" s="584"/>
      <c r="Y1156" s="584"/>
      <c r="Z1156" s="584"/>
      <c r="AA1156" s="584"/>
      <c r="AB1156" s="584"/>
      <c r="AC1156" s="584"/>
      <c r="AD1156" s="584"/>
      <c r="AE1156" s="584"/>
      <c r="AF1156" s="584"/>
    </row>
    <row r="1157" ht="14.25" customHeight="1">
      <c r="A1157" s="584"/>
      <c r="B1157" s="584"/>
      <c r="C1157" s="612"/>
      <c r="D1157" s="612"/>
      <c r="E1157" s="584"/>
      <c r="F1157" s="584"/>
      <c r="G1157" s="584"/>
      <c r="H1157" s="584"/>
      <c r="I1157" s="584"/>
      <c r="J1157" s="584"/>
      <c r="K1157" s="584"/>
      <c r="L1157" s="613"/>
      <c r="M1157" s="613"/>
      <c r="N1157" s="614"/>
      <c r="O1157" s="584"/>
      <c r="P1157" s="613"/>
      <c r="Q1157" s="584"/>
      <c r="R1157" s="584"/>
      <c r="S1157" s="584"/>
      <c r="T1157" s="584"/>
      <c r="U1157" s="584"/>
      <c r="V1157" s="584"/>
      <c r="W1157" s="584"/>
      <c r="X1157" s="584"/>
      <c r="Y1157" s="584"/>
      <c r="Z1157" s="584"/>
      <c r="AA1157" s="584"/>
      <c r="AB1157" s="584"/>
      <c r="AC1157" s="584"/>
      <c r="AD1157" s="584"/>
      <c r="AE1157" s="584"/>
      <c r="AF1157" s="584"/>
    </row>
    <row r="1158" ht="14.25" customHeight="1">
      <c r="A1158" s="584"/>
      <c r="B1158" s="584"/>
      <c r="C1158" s="612"/>
      <c r="D1158" s="612"/>
      <c r="E1158" s="584"/>
      <c r="F1158" s="584"/>
      <c r="G1158" s="584"/>
      <c r="H1158" s="584"/>
      <c r="I1158" s="584"/>
      <c r="J1158" s="584"/>
      <c r="K1158" s="584"/>
      <c r="L1158" s="613"/>
      <c r="M1158" s="613"/>
      <c r="N1158" s="614"/>
      <c r="O1158" s="584"/>
      <c r="P1158" s="613"/>
      <c r="Q1158" s="584"/>
      <c r="R1158" s="584"/>
      <c r="S1158" s="584"/>
      <c r="T1158" s="584"/>
      <c r="U1158" s="584"/>
      <c r="V1158" s="584"/>
      <c r="W1158" s="584"/>
      <c r="X1158" s="584"/>
      <c r="Y1158" s="584"/>
      <c r="Z1158" s="584"/>
      <c r="AA1158" s="584"/>
      <c r="AB1158" s="584"/>
      <c r="AC1158" s="584"/>
      <c r="AD1158" s="584"/>
      <c r="AE1158" s="584"/>
      <c r="AF1158" s="584"/>
    </row>
    <row r="1159" ht="14.25" customHeight="1">
      <c r="A1159" s="584"/>
      <c r="B1159" s="584"/>
      <c r="C1159" s="612"/>
      <c r="D1159" s="612"/>
      <c r="E1159" s="584"/>
      <c r="F1159" s="584"/>
      <c r="G1159" s="584"/>
      <c r="H1159" s="584"/>
      <c r="I1159" s="584"/>
      <c r="J1159" s="584"/>
      <c r="K1159" s="584"/>
      <c r="L1159" s="613"/>
      <c r="M1159" s="613"/>
      <c r="N1159" s="614"/>
      <c r="O1159" s="584"/>
      <c r="P1159" s="613"/>
      <c r="Q1159" s="584"/>
      <c r="R1159" s="584"/>
      <c r="S1159" s="584"/>
      <c r="T1159" s="584"/>
      <c r="U1159" s="584"/>
      <c r="V1159" s="584"/>
      <c r="W1159" s="584"/>
      <c r="X1159" s="584"/>
      <c r="Y1159" s="584"/>
      <c r="Z1159" s="584"/>
      <c r="AA1159" s="584"/>
      <c r="AB1159" s="584"/>
      <c r="AC1159" s="584"/>
      <c r="AD1159" s="584"/>
      <c r="AE1159" s="584"/>
      <c r="AF1159" s="584"/>
    </row>
    <row r="1160" ht="14.25" customHeight="1">
      <c r="A1160" s="584"/>
      <c r="B1160" s="584"/>
      <c r="C1160" s="612"/>
      <c r="D1160" s="612"/>
      <c r="E1160" s="584"/>
      <c r="F1160" s="584"/>
      <c r="G1160" s="584"/>
      <c r="H1160" s="584"/>
      <c r="I1160" s="584"/>
      <c r="J1160" s="584"/>
      <c r="K1160" s="584"/>
      <c r="L1160" s="613"/>
      <c r="M1160" s="613"/>
      <c r="N1160" s="614"/>
      <c r="O1160" s="584"/>
      <c r="P1160" s="613"/>
      <c r="Q1160" s="584"/>
      <c r="R1160" s="584"/>
      <c r="S1160" s="584"/>
      <c r="T1160" s="584"/>
      <c r="U1160" s="584"/>
      <c r="V1160" s="584"/>
      <c r="W1160" s="584"/>
      <c r="X1160" s="584"/>
      <c r="Y1160" s="584"/>
      <c r="Z1160" s="584"/>
      <c r="AA1160" s="584"/>
      <c r="AB1160" s="584"/>
      <c r="AC1160" s="584"/>
      <c r="AD1160" s="584"/>
      <c r="AE1160" s="584"/>
      <c r="AF1160" s="584"/>
    </row>
    <row r="1161" ht="14.25" customHeight="1">
      <c r="A1161" s="584"/>
      <c r="B1161" s="584"/>
      <c r="C1161" s="612"/>
      <c r="D1161" s="612"/>
      <c r="E1161" s="584"/>
      <c r="F1161" s="584"/>
      <c r="G1161" s="584"/>
      <c r="H1161" s="584"/>
      <c r="I1161" s="584"/>
      <c r="J1161" s="584"/>
      <c r="K1161" s="584"/>
      <c r="L1161" s="615"/>
      <c r="M1161" s="613"/>
      <c r="N1161" s="614"/>
      <c r="O1161" s="584"/>
      <c r="P1161" s="613"/>
      <c r="Q1161" s="584"/>
      <c r="R1161" s="584"/>
      <c r="S1161" s="584"/>
      <c r="T1161" s="584"/>
      <c r="U1161" s="584"/>
      <c r="V1161" s="584"/>
      <c r="W1161" s="584"/>
      <c r="X1161" s="584"/>
      <c r="Y1161" s="584"/>
      <c r="Z1161" s="584"/>
      <c r="AA1161" s="584"/>
      <c r="AB1161" s="584"/>
      <c r="AC1161" s="584"/>
      <c r="AD1161" s="584"/>
      <c r="AE1161" s="584"/>
      <c r="AF1161" s="584"/>
    </row>
    <row r="1162" ht="14.25" customHeight="1">
      <c r="A1162" s="584"/>
      <c r="B1162" s="584"/>
      <c r="C1162" s="612"/>
      <c r="D1162" s="612"/>
      <c r="E1162" s="584"/>
      <c r="F1162" s="584"/>
      <c r="G1162" s="584"/>
      <c r="H1162" s="584"/>
      <c r="I1162" s="584"/>
      <c r="J1162" s="584"/>
      <c r="K1162" s="584"/>
      <c r="L1162" s="613"/>
      <c r="M1162" s="613"/>
      <c r="N1162" s="614"/>
      <c r="O1162" s="584"/>
      <c r="P1162" s="613"/>
      <c r="Q1162" s="584"/>
      <c r="R1162" s="584"/>
      <c r="S1162" s="584"/>
      <c r="T1162" s="584"/>
      <c r="U1162" s="584"/>
      <c r="V1162" s="584"/>
      <c r="W1162" s="584"/>
      <c r="X1162" s="584"/>
      <c r="Y1162" s="584"/>
      <c r="Z1162" s="584"/>
      <c r="AA1162" s="584"/>
      <c r="AB1162" s="584"/>
      <c r="AC1162" s="584"/>
      <c r="AD1162" s="584"/>
      <c r="AE1162" s="584"/>
      <c r="AF1162" s="584"/>
    </row>
    <row r="1163" ht="14.25" customHeight="1">
      <c r="A1163" s="584"/>
      <c r="B1163" s="584"/>
      <c r="C1163" s="612"/>
      <c r="D1163" s="612"/>
      <c r="E1163" s="584"/>
      <c r="F1163" s="584"/>
      <c r="G1163" s="584"/>
      <c r="H1163" s="584"/>
      <c r="I1163" s="584"/>
      <c r="J1163" s="584"/>
      <c r="K1163" s="584"/>
      <c r="L1163" s="615"/>
      <c r="M1163" s="613"/>
      <c r="N1163" s="614"/>
      <c r="O1163" s="584"/>
      <c r="P1163" s="613"/>
      <c r="Q1163" s="584"/>
      <c r="R1163" s="584"/>
      <c r="S1163" s="584"/>
      <c r="T1163" s="584"/>
      <c r="U1163" s="584"/>
      <c r="V1163" s="584"/>
      <c r="W1163" s="584"/>
      <c r="X1163" s="584"/>
      <c r="Y1163" s="584"/>
      <c r="Z1163" s="584"/>
      <c r="AA1163" s="584"/>
      <c r="AB1163" s="584"/>
      <c r="AC1163" s="584"/>
      <c r="AD1163" s="584"/>
      <c r="AE1163" s="584"/>
      <c r="AF1163" s="584"/>
    </row>
    <row r="1164" ht="14.25" customHeight="1">
      <c r="A1164" s="584"/>
      <c r="B1164" s="584"/>
      <c r="C1164" s="612"/>
      <c r="D1164" s="612"/>
      <c r="E1164" s="584"/>
      <c r="F1164" s="584"/>
      <c r="G1164" s="584"/>
      <c r="H1164" s="584"/>
      <c r="I1164" s="584"/>
      <c r="J1164" s="584"/>
      <c r="K1164" s="584"/>
      <c r="L1164" s="584"/>
      <c r="M1164" s="613"/>
      <c r="N1164" s="614"/>
      <c r="O1164" s="584"/>
      <c r="P1164" s="613"/>
      <c r="Q1164" s="584"/>
      <c r="R1164" s="584"/>
      <c r="S1164" s="584"/>
      <c r="T1164" s="584"/>
      <c r="U1164" s="584"/>
      <c r="V1164" s="584"/>
      <c r="W1164" s="584"/>
      <c r="X1164" s="584"/>
      <c r="Y1164" s="584"/>
      <c r="Z1164" s="584"/>
      <c r="AA1164" s="584"/>
      <c r="AB1164" s="584"/>
      <c r="AC1164" s="584"/>
      <c r="AD1164" s="584"/>
      <c r="AE1164" s="584"/>
      <c r="AF1164" s="584"/>
    </row>
    <row r="1165" ht="14.25" customHeight="1">
      <c r="A1165" s="584"/>
      <c r="B1165" s="584"/>
      <c r="C1165" s="612"/>
      <c r="D1165" s="612"/>
      <c r="E1165" s="584"/>
      <c r="F1165" s="584"/>
      <c r="G1165" s="584"/>
      <c r="H1165" s="584"/>
      <c r="I1165" s="584"/>
      <c r="J1165" s="584"/>
      <c r="K1165" s="584"/>
      <c r="L1165" s="613"/>
      <c r="M1165" s="613"/>
      <c r="N1165" s="614"/>
      <c r="O1165" s="584"/>
      <c r="P1165" s="613"/>
      <c r="Q1165" s="584"/>
      <c r="R1165" s="584"/>
      <c r="S1165" s="584"/>
      <c r="T1165" s="584"/>
      <c r="U1165" s="584"/>
      <c r="V1165" s="584"/>
      <c r="W1165" s="584"/>
      <c r="X1165" s="584"/>
      <c r="Y1165" s="584"/>
      <c r="Z1165" s="584"/>
      <c r="AA1165" s="584"/>
      <c r="AB1165" s="584"/>
      <c r="AC1165" s="584"/>
      <c r="AD1165" s="584"/>
      <c r="AE1165" s="584"/>
      <c r="AF1165" s="584"/>
    </row>
    <row r="1166" ht="14.25" customHeight="1">
      <c r="A1166" s="584"/>
      <c r="B1166" s="584"/>
      <c r="C1166" s="612"/>
      <c r="D1166" s="612"/>
      <c r="E1166" s="584"/>
      <c r="F1166" s="584"/>
      <c r="G1166" s="584"/>
      <c r="H1166" s="584"/>
      <c r="I1166" s="584"/>
      <c r="J1166" s="584"/>
      <c r="K1166" s="584"/>
      <c r="L1166" s="613"/>
      <c r="M1166" s="613"/>
      <c r="N1166" s="614"/>
      <c r="O1166" s="584"/>
      <c r="P1166" s="613"/>
      <c r="Q1166" s="584"/>
      <c r="R1166" s="584"/>
      <c r="S1166" s="584"/>
      <c r="T1166" s="584"/>
      <c r="U1166" s="584"/>
      <c r="V1166" s="584"/>
      <c r="W1166" s="584"/>
      <c r="X1166" s="584"/>
      <c r="Y1166" s="584"/>
      <c r="Z1166" s="584"/>
      <c r="AA1166" s="584"/>
      <c r="AB1166" s="584"/>
      <c r="AC1166" s="584"/>
      <c r="AD1166" s="584"/>
      <c r="AE1166" s="584"/>
      <c r="AF1166" s="584"/>
    </row>
    <row r="1167" ht="14.25" customHeight="1">
      <c r="A1167" s="584"/>
      <c r="B1167" s="584"/>
      <c r="C1167" s="612"/>
      <c r="D1167" s="612"/>
      <c r="E1167" s="584"/>
      <c r="F1167" s="584"/>
      <c r="G1167" s="584"/>
      <c r="H1167" s="584"/>
      <c r="I1167" s="584"/>
      <c r="J1167" s="584"/>
      <c r="K1167" s="584"/>
      <c r="L1167" s="613"/>
      <c r="M1167" s="613"/>
      <c r="N1167" s="614"/>
      <c r="O1167" s="584"/>
      <c r="P1167" s="613"/>
      <c r="Q1167" s="584"/>
      <c r="R1167" s="584"/>
      <c r="S1167" s="584"/>
      <c r="T1167" s="584"/>
      <c r="U1167" s="584"/>
      <c r="V1167" s="584"/>
      <c r="W1167" s="584"/>
      <c r="X1167" s="584"/>
      <c r="Y1167" s="584"/>
      <c r="Z1167" s="584"/>
      <c r="AA1167" s="584"/>
      <c r="AB1167" s="584"/>
      <c r="AC1167" s="584"/>
      <c r="AD1167" s="584"/>
      <c r="AE1167" s="584"/>
      <c r="AF1167" s="584"/>
    </row>
    <row r="1168" ht="14.25" customHeight="1">
      <c r="A1168" s="584"/>
      <c r="B1168" s="584"/>
      <c r="C1168" s="612"/>
      <c r="D1168" s="612"/>
      <c r="E1168" s="584"/>
      <c r="F1168" s="584"/>
      <c r="G1168" s="584"/>
      <c r="H1168" s="584"/>
      <c r="I1168" s="584"/>
      <c r="J1168" s="584"/>
      <c r="K1168" s="584"/>
      <c r="L1168" s="613"/>
      <c r="M1168" s="613"/>
      <c r="N1168" s="614"/>
      <c r="O1168" s="584"/>
      <c r="P1168" s="613"/>
      <c r="Q1168" s="584"/>
      <c r="R1168" s="584"/>
      <c r="S1168" s="584"/>
      <c r="T1168" s="584"/>
      <c r="U1168" s="584"/>
      <c r="V1168" s="584"/>
      <c r="W1168" s="584"/>
      <c r="X1168" s="584"/>
      <c r="Y1168" s="584"/>
      <c r="Z1168" s="584"/>
      <c r="AA1168" s="584"/>
      <c r="AB1168" s="584"/>
      <c r="AC1168" s="584"/>
      <c r="AD1168" s="584"/>
      <c r="AE1168" s="584"/>
      <c r="AF1168" s="584"/>
    </row>
    <row r="1169" ht="14.25" customHeight="1">
      <c r="A1169" s="584"/>
      <c r="B1169" s="584"/>
      <c r="C1169" s="612"/>
      <c r="D1169" s="612"/>
      <c r="E1169" s="584"/>
      <c r="F1169" s="584"/>
      <c r="G1169" s="584"/>
      <c r="H1169" s="584"/>
      <c r="I1169" s="584"/>
      <c r="J1169" s="584"/>
      <c r="K1169" s="584"/>
      <c r="L1169" s="613"/>
      <c r="M1169" s="613"/>
      <c r="N1169" s="614"/>
      <c r="O1169" s="584"/>
      <c r="P1169" s="613"/>
      <c r="Q1169" s="584"/>
      <c r="R1169" s="584"/>
      <c r="S1169" s="584"/>
      <c r="T1169" s="584"/>
      <c r="U1169" s="584"/>
      <c r="V1169" s="584"/>
      <c r="W1169" s="584"/>
      <c r="X1169" s="584"/>
      <c r="Y1169" s="584"/>
      <c r="Z1169" s="584"/>
      <c r="AA1169" s="584"/>
      <c r="AB1169" s="584"/>
      <c r="AC1169" s="584"/>
      <c r="AD1169" s="584"/>
      <c r="AE1169" s="584"/>
      <c r="AF1169" s="584"/>
    </row>
    <row r="1170" ht="14.25" customHeight="1">
      <c r="A1170" s="584"/>
      <c r="B1170" s="584"/>
      <c r="C1170" s="612"/>
      <c r="D1170" s="612"/>
      <c r="E1170" s="584"/>
      <c r="F1170" s="584"/>
      <c r="G1170" s="584"/>
      <c r="H1170" s="584"/>
      <c r="I1170" s="584"/>
      <c r="J1170" s="584"/>
      <c r="K1170" s="584"/>
      <c r="L1170" s="613"/>
      <c r="M1170" s="613"/>
      <c r="N1170" s="614"/>
      <c r="O1170" s="584"/>
      <c r="P1170" s="613"/>
      <c r="Q1170" s="584"/>
      <c r="R1170" s="584"/>
      <c r="S1170" s="584"/>
      <c r="T1170" s="584"/>
      <c r="U1170" s="584"/>
      <c r="V1170" s="584"/>
      <c r="W1170" s="584"/>
      <c r="X1170" s="584"/>
      <c r="Y1170" s="584"/>
      <c r="Z1170" s="584"/>
      <c r="AA1170" s="584"/>
      <c r="AB1170" s="584"/>
      <c r="AC1170" s="584"/>
      <c r="AD1170" s="584"/>
      <c r="AE1170" s="584"/>
      <c r="AF1170" s="584"/>
    </row>
    <row r="1171" ht="14.25" customHeight="1">
      <c r="A1171" s="584"/>
      <c r="B1171" s="584"/>
      <c r="C1171" s="612"/>
      <c r="D1171" s="612"/>
      <c r="E1171" s="584"/>
      <c r="F1171" s="584"/>
      <c r="G1171" s="584"/>
      <c r="H1171" s="584"/>
      <c r="I1171" s="584"/>
      <c r="J1171" s="584"/>
      <c r="K1171" s="584"/>
      <c r="L1171" s="613"/>
      <c r="M1171" s="613"/>
      <c r="N1171" s="614"/>
      <c r="O1171" s="584"/>
      <c r="P1171" s="613"/>
      <c r="Q1171" s="584"/>
      <c r="R1171" s="584"/>
      <c r="S1171" s="584"/>
      <c r="T1171" s="584"/>
      <c r="U1171" s="584"/>
      <c r="V1171" s="584"/>
      <c r="W1171" s="584"/>
      <c r="X1171" s="584"/>
      <c r="Y1171" s="584"/>
      <c r="Z1171" s="584"/>
      <c r="AA1171" s="584"/>
      <c r="AB1171" s="584"/>
      <c r="AC1171" s="584"/>
      <c r="AD1171" s="584"/>
      <c r="AE1171" s="584"/>
      <c r="AF1171" s="584"/>
    </row>
    <row r="1172" ht="14.25" customHeight="1">
      <c r="A1172" s="584"/>
      <c r="B1172" s="584"/>
      <c r="C1172" s="612"/>
      <c r="D1172" s="612"/>
      <c r="E1172" s="584"/>
      <c r="F1172" s="584"/>
      <c r="G1172" s="584"/>
      <c r="H1172" s="584"/>
      <c r="I1172" s="584"/>
      <c r="J1172" s="584"/>
      <c r="K1172" s="584"/>
      <c r="L1172" s="613"/>
      <c r="M1172" s="613"/>
      <c r="N1172" s="614"/>
      <c r="O1172" s="584"/>
      <c r="P1172" s="613"/>
      <c r="Q1172" s="584"/>
      <c r="R1172" s="584"/>
      <c r="S1172" s="584"/>
      <c r="T1172" s="584"/>
      <c r="U1172" s="584"/>
      <c r="V1172" s="584"/>
      <c r="W1172" s="584"/>
      <c r="X1172" s="584"/>
      <c r="Y1172" s="584"/>
      <c r="Z1172" s="584"/>
      <c r="AA1172" s="584"/>
      <c r="AB1172" s="584"/>
      <c r="AC1172" s="584"/>
      <c r="AD1172" s="584"/>
      <c r="AE1172" s="584"/>
      <c r="AF1172" s="584"/>
    </row>
    <row r="1173" ht="14.25" customHeight="1">
      <c r="A1173" s="584"/>
      <c r="B1173" s="584"/>
      <c r="C1173" s="612"/>
      <c r="D1173" s="612"/>
      <c r="E1173" s="584"/>
      <c r="F1173" s="584"/>
      <c r="G1173" s="584"/>
      <c r="H1173" s="584"/>
      <c r="I1173" s="584"/>
      <c r="J1173" s="584"/>
      <c r="K1173" s="584"/>
      <c r="L1173" s="613"/>
      <c r="M1173" s="613"/>
      <c r="N1173" s="614"/>
      <c r="O1173" s="584"/>
      <c r="P1173" s="613"/>
      <c r="Q1173" s="584"/>
      <c r="R1173" s="584"/>
      <c r="S1173" s="584"/>
      <c r="T1173" s="584"/>
      <c r="U1173" s="584"/>
      <c r="V1173" s="584"/>
      <c r="W1173" s="584"/>
      <c r="X1173" s="584"/>
      <c r="Y1173" s="584"/>
      <c r="Z1173" s="584"/>
      <c r="AA1173" s="584"/>
      <c r="AB1173" s="584"/>
      <c r="AC1173" s="584"/>
      <c r="AD1173" s="584"/>
      <c r="AE1173" s="584"/>
      <c r="AF1173" s="584"/>
    </row>
    <row r="1174" ht="14.25" customHeight="1">
      <c r="A1174" s="584"/>
      <c r="B1174" s="584"/>
      <c r="C1174" s="612"/>
      <c r="D1174" s="612"/>
      <c r="E1174" s="584"/>
      <c r="F1174" s="584"/>
      <c r="G1174" s="584"/>
      <c r="H1174" s="584"/>
      <c r="I1174" s="584"/>
      <c r="J1174" s="584"/>
      <c r="K1174" s="584"/>
      <c r="L1174" s="613"/>
      <c r="M1174" s="613"/>
      <c r="N1174" s="614"/>
      <c r="O1174" s="584"/>
      <c r="P1174" s="613"/>
      <c r="Q1174" s="584"/>
      <c r="R1174" s="584"/>
      <c r="S1174" s="584"/>
      <c r="T1174" s="584"/>
      <c r="U1174" s="584"/>
      <c r="V1174" s="584"/>
      <c r="W1174" s="584"/>
      <c r="X1174" s="584"/>
      <c r="Y1174" s="584"/>
      <c r="Z1174" s="584"/>
      <c r="AA1174" s="584"/>
      <c r="AB1174" s="584"/>
      <c r="AC1174" s="584"/>
      <c r="AD1174" s="584"/>
      <c r="AE1174" s="584"/>
      <c r="AF1174" s="584"/>
    </row>
    <row r="1175" ht="14.25" customHeight="1">
      <c r="A1175" s="584"/>
      <c r="B1175" s="584"/>
      <c r="C1175" s="612"/>
      <c r="D1175" s="612"/>
      <c r="E1175" s="584"/>
      <c r="F1175" s="584"/>
      <c r="G1175" s="584"/>
      <c r="H1175" s="584"/>
      <c r="I1175" s="584"/>
      <c r="J1175" s="584"/>
      <c r="K1175" s="584"/>
      <c r="L1175" s="613"/>
      <c r="M1175" s="613"/>
      <c r="N1175" s="614"/>
      <c r="O1175" s="584"/>
      <c r="P1175" s="613"/>
      <c r="Q1175" s="584"/>
      <c r="R1175" s="584"/>
      <c r="S1175" s="584"/>
      <c r="T1175" s="584"/>
      <c r="U1175" s="584"/>
      <c r="V1175" s="584"/>
      <c r="W1175" s="584"/>
      <c r="X1175" s="584"/>
      <c r="Y1175" s="584"/>
      <c r="Z1175" s="584"/>
      <c r="AA1175" s="584"/>
      <c r="AB1175" s="584"/>
      <c r="AC1175" s="584"/>
      <c r="AD1175" s="584"/>
      <c r="AE1175" s="584"/>
      <c r="AF1175" s="584"/>
    </row>
    <row r="1176" ht="14.25" customHeight="1">
      <c r="A1176" s="584"/>
      <c r="B1176" s="584"/>
      <c r="C1176" s="612"/>
      <c r="D1176" s="612"/>
      <c r="E1176" s="584"/>
      <c r="F1176" s="584"/>
      <c r="G1176" s="584"/>
      <c r="H1176" s="584"/>
      <c r="I1176" s="584"/>
      <c r="J1176" s="584"/>
      <c r="K1176" s="584"/>
      <c r="L1176" s="613"/>
      <c r="M1176" s="613"/>
      <c r="N1176" s="614"/>
      <c r="O1176" s="584"/>
      <c r="P1176" s="613"/>
      <c r="Q1176" s="584"/>
      <c r="R1176" s="584"/>
      <c r="S1176" s="584"/>
      <c r="T1176" s="584"/>
      <c r="U1176" s="584"/>
      <c r="V1176" s="584"/>
      <c r="W1176" s="584"/>
      <c r="X1176" s="584"/>
      <c r="Y1176" s="584"/>
      <c r="Z1176" s="584"/>
      <c r="AA1176" s="584"/>
      <c r="AB1176" s="584"/>
      <c r="AC1176" s="584"/>
      <c r="AD1176" s="584"/>
      <c r="AE1176" s="584"/>
      <c r="AF1176" s="584"/>
    </row>
    <row r="1177" ht="14.25" customHeight="1">
      <c r="A1177" s="584"/>
      <c r="B1177" s="584"/>
      <c r="C1177" s="612"/>
      <c r="D1177" s="612"/>
      <c r="E1177" s="584"/>
      <c r="F1177" s="584"/>
      <c r="G1177" s="584"/>
      <c r="H1177" s="584"/>
      <c r="I1177" s="584"/>
      <c r="J1177" s="584"/>
      <c r="K1177" s="584"/>
      <c r="L1177" s="613"/>
      <c r="M1177" s="613"/>
      <c r="N1177" s="614"/>
      <c r="O1177" s="584"/>
      <c r="P1177" s="613"/>
      <c r="Q1177" s="584"/>
      <c r="R1177" s="584"/>
      <c r="S1177" s="584"/>
      <c r="T1177" s="584"/>
      <c r="U1177" s="584"/>
      <c r="V1177" s="584"/>
      <c r="W1177" s="584"/>
      <c r="X1177" s="584"/>
      <c r="Y1177" s="584"/>
      <c r="Z1177" s="584"/>
      <c r="AA1177" s="584"/>
      <c r="AB1177" s="584"/>
      <c r="AC1177" s="584"/>
      <c r="AD1177" s="584"/>
      <c r="AE1177" s="584"/>
      <c r="AF1177" s="584"/>
    </row>
    <row r="1178" ht="14.25" customHeight="1">
      <c r="A1178" s="584"/>
      <c r="B1178" s="584"/>
      <c r="C1178" s="612"/>
      <c r="D1178" s="612"/>
      <c r="E1178" s="584"/>
      <c r="F1178" s="584"/>
      <c r="G1178" s="584"/>
      <c r="H1178" s="584"/>
      <c r="I1178" s="584"/>
      <c r="J1178" s="584"/>
      <c r="K1178" s="584"/>
      <c r="L1178" s="613"/>
      <c r="M1178" s="613"/>
      <c r="N1178" s="614"/>
      <c r="O1178" s="584"/>
      <c r="P1178" s="613"/>
      <c r="Q1178" s="584"/>
      <c r="R1178" s="584"/>
      <c r="S1178" s="584"/>
      <c r="T1178" s="584"/>
      <c r="U1178" s="584"/>
      <c r="V1178" s="584"/>
      <c r="W1178" s="584"/>
      <c r="X1178" s="584"/>
      <c r="Y1178" s="584"/>
      <c r="Z1178" s="584"/>
      <c r="AA1178" s="584"/>
      <c r="AB1178" s="584"/>
      <c r="AC1178" s="584"/>
      <c r="AD1178" s="584"/>
      <c r="AE1178" s="584"/>
      <c r="AF1178" s="584"/>
    </row>
    <row r="1179" ht="14.25" customHeight="1">
      <c r="A1179" s="584"/>
      <c r="B1179" s="584"/>
      <c r="C1179" s="612"/>
      <c r="D1179" s="612"/>
      <c r="E1179" s="584"/>
      <c r="F1179" s="584"/>
      <c r="G1179" s="584"/>
      <c r="H1179" s="584"/>
      <c r="I1179" s="584"/>
      <c r="J1179" s="584"/>
      <c r="K1179" s="584"/>
      <c r="L1179" s="613"/>
      <c r="M1179" s="613"/>
      <c r="N1179" s="614"/>
      <c r="O1179" s="584"/>
      <c r="P1179" s="613"/>
      <c r="Q1179" s="584"/>
      <c r="R1179" s="584"/>
      <c r="S1179" s="584"/>
      <c r="T1179" s="584"/>
      <c r="U1179" s="584"/>
      <c r="V1179" s="584"/>
      <c r="W1179" s="584"/>
      <c r="X1179" s="584"/>
      <c r="Y1179" s="584"/>
      <c r="Z1179" s="584"/>
      <c r="AA1179" s="584"/>
      <c r="AB1179" s="584"/>
      <c r="AC1179" s="584"/>
      <c r="AD1179" s="584"/>
      <c r="AE1179" s="584"/>
      <c r="AF1179" s="584"/>
    </row>
    <row r="1180" ht="14.25" customHeight="1">
      <c r="A1180" s="584"/>
      <c r="B1180" s="584"/>
      <c r="C1180" s="612"/>
      <c r="D1180" s="612"/>
      <c r="E1180" s="584"/>
      <c r="F1180" s="584"/>
      <c r="G1180" s="584"/>
      <c r="H1180" s="584"/>
      <c r="I1180" s="584"/>
      <c r="J1180" s="584"/>
      <c r="K1180" s="584"/>
      <c r="L1180" s="613"/>
      <c r="M1180" s="613"/>
      <c r="N1180" s="614"/>
      <c r="O1180" s="584"/>
      <c r="P1180" s="613"/>
      <c r="Q1180" s="584"/>
      <c r="R1180" s="584"/>
      <c r="S1180" s="584"/>
      <c r="T1180" s="584"/>
      <c r="U1180" s="584"/>
      <c r="V1180" s="584"/>
      <c r="W1180" s="584"/>
      <c r="X1180" s="584"/>
      <c r="Y1180" s="584"/>
      <c r="Z1180" s="584"/>
      <c r="AA1180" s="584"/>
      <c r="AB1180" s="584"/>
      <c r="AC1180" s="584"/>
      <c r="AD1180" s="584"/>
      <c r="AE1180" s="584"/>
      <c r="AF1180" s="584"/>
    </row>
    <row r="1181" ht="14.25" customHeight="1">
      <c r="A1181" s="584"/>
      <c r="B1181" s="584"/>
      <c r="C1181" s="612"/>
      <c r="D1181" s="612"/>
      <c r="E1181" s="584"/>
      <c r="F1181" s="584"/>
      <c r="G1181" s="584"/>
      <c r="H1181" s="584"/>
      <c r="I1181" s="584"/>
      <c r="J1181" s="584"/>
      <c r="K1181" s="584"/>
      <c r="L1181" s="613"/>
      <c r="M1181" s="613"/>
      <c r="N1181" s="614"/>
      <c r="O1181" s="584"/>
      <c r="P1181" s="613"/>
      <c r="Q1181" s="584"/>
      <c r="R1181" s="584"/>
      <c r="S1181" s="584"/>
      <c r="T1181" s="584"/>
      <c r="U1181" s="584"/>
      <c r="V1181" s="584"/>
      <c r="W1181" s="584"/>
      <c r="X1181" s="584"/>
      <c r="Y1181" s="584"/>
      <c r="Z1181" s="584"/>
      <c r="AA1181" s="584"/>
      <c r="AB1181" s="584"/>
      <c r="AC1181" s="584"/>
      <c r="AD1181" s="584"/>
      <c r="AE1181" s="584"/>
      <c r="AF1181" s="584"/>
    </row>
    <row r="1182" ht="14.25" customHeight="1">
      <c r="A1182" s="584"/>
      <c r="B1182" s="584"/>
      <c r="C1182" s="612"/>
      <c r="D1182" s="612"/>
      <c r="E1182" s="584"/>
      <c r="F1182" s="584"/>
      <c r="G1182" s="584"/>
      <c r="H1182" s="584"/>
      <c r="I1182" s="584"/>
      <c r="J1182" s="584"/>
      <c r="K1182" s="584"/>
      <c r="L1182" s="613"/>
      <c r="M1182" s="613"/>
      <c r="N1182" s="614"/>
      <c r="O1182" s="584"/>
      <c r="P1182" s="613"/>
      <c r="Q1182" s="584"/>
      <c r="R1182" s="584"/>
      <c r="S1182" s="584"/>
      <c r="T1182" s="584"/>
      <c r="U1182" s="584"/>
      <c r="V1182" s="584"/>
      <c r="W1182" s="584"/>
      <c r="X1182" s="584"/>
      <c r="Y1182" s="584"/>
      <c r="Z1182" s="584"/>
      <c r="AA1182" s="584"/>
      <c r="AB1182" s="584"/>
      <c r="AC1182" s="584"/>
      <c r="AD1182" s="584"/>
      <c r="AE1182" s="584"/>
      <c r="AF1182" s="584"/>
    </row>
    <row r="1183" ht="14.25" customHeight="1">
      <c r="A1183" s="584"/>
      <c r="B1183" s="584"/>
      <c r="C1183" s="612"/>
      <c r="D1183" s="612"/>
      <c r="E1183" s="584"/>
      <c r="F1183" s="584"/>
      <c r="G1183" s="584"/>
      <c r="H1183" s="584"/>
      <c r="I1183" s="584"/>
      <c r="J1183" s="584"/>
      <c r="K1183" s="584"/>
      <c r="L1183" s="613"/>
      <c r="M1183" s="613"/>
      <c r="N1183" s="614"/>
      <c r="O1183" s="584"/>
      <c r="P1183" s="613"/>
      <c r="Q1183" s="584"/>
      <c r="R1183" s="584"/>
      <c r="S1183" s="584"/>
      <c r="T1183" s="584"/>
      <c r="U1183" s="584"/>
      <c r="V1183" s="584"/>
      <c r="W1183" s="584"/>
      <c r="X1183" s="584"/>
      <c r="Y1183" s="584"/>
      <c r="Z1183" s="584"/>
      <c r="AA1183" s="584"/>
      <c r="AB1183" s="584"/>
      <c r="AC1183" s="584"/>
      <c r="AD1183" s="584"/>
      <c r="AE1183" s="584"/>
      <c r="AF1183" s="584"/>
    </row>
    <row r="1184" ht="14.25" customHeight="1">
      <c r="A1184" s="584"/>
      <c r="B1184" s="584"/>
      <c r="C1184" s="612"/>
      <c r="D1184" s="612"/>
      <c r="E1184" s="584"/>
      <c r="F1184" s="584"/>
      <c r="G1184" s="584"/>
      <c r="H1184" s="584"/>
      <c r="I1184" s="584"/>
      <c r="J1184" s="584"/>
      <c r="K1184" s="584"/>
      <c r="L1184" s="613"/>
      <c r="M1184" s="613"/>
      <c r="N1184" s="614"/>
      <c r="O1184" s="584"/>
      <c r="P1184" s="613"/>
      <c r="Q1184" s="584"/>
      <c r="R1184" s="584"/>
      <c r="S1184" s="584"/>
      <c r="T1184" s="584"/>
      <c r="U1184" s="584"/>
      <c r="V1184" s="584"/>
      <c r="W1184" s="584"/>
      <c r="X1184" s="584"/>
      <c r="Y1184" s="584"/>
      <c r="Z1184" s="584"/>
      <c r="AA1184" s="584"/>
      <c r="AB1184" s="584"/>
      <c r="AC1184" s="584"/>
      <c r="AD1184" s="584"/>
      <c r="AE1184" s="584"/>
      <c r="AF1184" s="584"/>
    </row>
    <row r="1185" ht="14.25" customHeight="1">
      <c r="A1185" s="584"/>
      <c r="B1185" s="584"/>
      <c r="C1185" s="612"/>
      <c r="D1185" s="612"/>
      <c r="E1185" s="584"/>
      <c r="F1185" s="584"/>
      <c r="G1185" s="584"/>
      <c r="H1185" s="584"/>
      <c r="I1185" s="584"/>
      <c r="J1185" s="584"/>
      <c r="K1185" s="584"/>
      <c r="L1185" s="613"/>
      <c r="M1185" s="613"/>
      <c r="N1185" s="614"/>
      <c r="O1185" s="584"/>
      <c r="P1185" s="613"/>
      <c r="Q1185" s="584"/>
      <c r="R1185" s="584"/>
      <c r="S1185" s="584"/>
      <c r="T1185" s="584"/>
      <c r="U1185" s="584"/>
      <c r="V1185" s="584"/>
      <c r="W1185" s="584"/>
      <c r="X1185" s="584"/>
      <c r="Y1185" s="584"/>
      <c r="Z1185" s="584"/>
      <c r="AA1185" s="584"/>
      <c r="AB1185" s="584"/>
      <c r="AC1185" s="584"/>
      <c r="AD1185" s="584"/>
      <c r="AE1185" s="584"/>
      <c r="AF1185" s="584"/>
    </row>
    <row r="1186" ht="14.25" customHeight="1">
      <c r="A1186" s="584"/>
      <c r="B1186" s="584"/>
      <c r="C1186" s="612"/>
      <c r="D1186" s="612"/>
      <c r="E1186" s="584"/>
      <c r="F1186" s="584"/>
      <c r="G1186" s="584"/>
      <c r="H1186" s="584"/>
      <c r="I1186" s="584"/>
      <c r="J1186" s="584"/>
      <c r="K1186" s="584"/>
      <c r="L1186" s="613"/>
      <c r="M1186" s="613"/>
      <c r="N1186" s="614"/>
      <c r="O1186" s="584"/>
      <c r="P1186" s="613"/>
      <c r="Q1186" s="584"/>
      <c r="R1186" s="584"/>
      <c r="S1186" s="584"/>
      <c r="T1186" s="584"/>
      <c r="U1186" s="584"/>
      <c r="V1186" s="584"/>
      <c r="W1186" s="584"/>
      <c r="X1186" s="584"/>
      <c r="Y1186" s="584"/>
      <c r="Z1186" s="584"/>
      <c r="AA1186" s="584"/>
      <c r="AB1186" s="584"/>
      <c r="AC1186" s="584"/>
      <c r="AD1186" s="584"/>
      <c r="AE1186" s="584"/>
      <c r="AF1186" s="584"/>
    </row>
    <row r="1187" ht="14.25" customHeight="1">
      <c r="A1187" s="584"/>
      <c r="B1187" s="584"/>
      <c r="C1187" s="612"/>
      <c r="D1187" s="612"/>
      <c r="E1187" s="584"/>
      <c r="F1187" s="584"/>
      <c r="G1187" s="584"/>
      <c r="H1187" s="584"/>
      <c r="I1187" s="584"/>
      <c r="J1187" s="584"/>
      <c r="K1187" s="584"/>
      <c r="L1187" s="613"/>
      <c r="M1187" s="613"/>
      <c r="N1187" s="614"/>
      <c r="O1187" s="584"/>
      <c r="P1187" s="613"/>
      <c r="Q1187" s="584"/>
      <c r="R1187" s="584"/>
      <c r="S1187" s="584"/>
      <c r="T1187" s="584"/>
      <c r="U1187" s="584"/>
      <c r="V1187" s="584"/>
      <c r="W1187" s="584"/>
      <c r="X1187" s="584"/>
      <c r="Y1187" s="584"/>
      <c r="Z1187" s="584"/>
      <c r="AA1187" s="584"/>
      <c r="AB1187" s="584"/>
      <c r="AC1187" s="584"/>
      <c r="AD1187" s="584"/>
      <c r="AE1187" s="584"/>
      <c r="AF1187" s="584"/>
    </row>
    <row r="1188" ht="14.25" customHeight="1">
      <c r="A1188" s="584"/>
      <c r="B1188" s="584"/>
      <c r="C1188" s="612"/>
      <c r="D1188" s="612"/>
      <c r="E1188" s="584"/>
      <c r="F1188" s="584"/>
      <c r="G1188" s="584"/>
      <c r="H1188" s="584"/>
      <c r="I1188" s="584"/>
      <c r="J1188" s="584"/>
      <c r="K1188" s="584"/>
      <c r="L1188" s="613"/>
      <c r="M1188" s="613"/>
      <c r="N1188" s="614"/>
      <c r="O1188" s="584"/>
      <c r="P1188" s="613"/>
      <c r="Q1188" s="584"/>
      <c r="R1188" s="584"/>
      <c r="S1188" s="584"/>
      <c r="T1188" s="584"/>
      <c r="U1188" s="584"/>
      <c r="V1188" s="584"/>
      <c r="W1188" s="584"/>
      <c r="X1188" s="584"/>
      <c r="Y1188" s="584"/>
      <c r="Z1188" s="584"/>
      <c r="AA1188" s="584"/>
      <c r="AB1188" s="584"/>
      <c r="AC1188" s="584"/>
      <c r="AD1188" s="584"/>
      <c r="AE1188" s="584"/>
      <c r="AF1188" s="584"/>
    </row>
    <row r="1189" ht="14.25" customHeight="1">
      <c r="A1189" s="584"/>
      <c r="B1189" s="584"/>
      <c r="C1189" s="612"/>
      <c r="D1189" s="612"/>
      <c r="E1189" s="584"/>
      <c r="F1189" s="584"/>
      <c r="G1189" s="584"/>
      <c r="H1189" s="584"/>
      <c r="I1189" s="584"/>
      <c r="J1189" s="584"/>
      <c r="K1189" s="584"/>
      <c r="L1189" s="613"/>
      <c r="M1189" s="613"/>
      <c r="N1189" s="614"/>
      <c r="O1189" s="584"/>
      <c r="P1189" s="613"/>
      <c r="Q1189" s="584"/>
      <c r="R1189" s="584"/>
      <c r="S1189" s="584"/>
      <c r="T1189" s="584"/>
      <c r="U1189" s="584"/>
      <c r="V1189" s="584"/>
      <c r="W1189" s="584"/>
      <c r="X1189" s="584"/>
      <c r="Y1189" s="584"/>
      <c r="Z1189" s="584"/>
      <c r="AA1189" s="584"/>
      <c r="AB1189" s="584"/>
      <c r="AC1189" s="584"/>
      <c r="AD1189" s="584"/>
      <c r="AE1189" s="584"/>
      <c r="AF1189" s="584"/>
    </row>
    <row r="1190" ht="14.25" customHeight="1">
      <c r="A1190" s="584"/>
      <c r="B1190" s="584"/>
      <c r="C1190" s="612"/>
      <c r="D1190" s="612"/>
      <c r="E1190" s="584"/>
      <c r="F1190" s="584"/>
      <c r="G1190" s="584"/>
      <c r="H1190" s="584"/>
      <c r="I1190" s="584"/>
      <c r="J1190" s="584"/>
      <c r="K1190" s="584"/>
      <c r="L1190" s="613"/>
      <c r="M1190" s="613"/>
      <c r="N1190" s="614"/>
      <c r="O1190" s="584"/>
      <c r="P1190" s="613"/>
      <c r="Q1190" s="584"/>
      <c r="R1190" s="584"/>
      <c r="S1190" s="584"/>
      <c r="T1190" s="584"/>
      <c r="U1190" s="584"/>
      <c r="V1190" s="584"/>
      <c r="W1190" s="584"/>
      <c r="X1190" s="584"/>
      <c r="Y1190" s="584"/>
      <c r="Z1190" s="584"/>
      <c r="AA1190" s="584"/>
      <c r="AB1190" s="584"/>
      <c r="AC1190" s="584"/>
      <c r="AD1190" s="584"/>
      <c r="AE1190" s="584"/>
      <c r="AF1190" s="584"/>
    </row>
    <row r="1191" ht="14.25" customHeight="1">
      <c r="A1191" s="584"/>
      <c r="B1191" s="584"/>
      <c r="C1191" s="612"/>
      <c r="D1191" s="612"/>
      <c r="E1191" s="584"/>
      <c r="F1191" s="584"/>
      <c r="G1191" s="584"/>
      <c r="H1191" s="584"/>
      <c r="I1191" s="584"/>
      <c r="J1191" s="584"/>
      <c r="K1191" s="584"/>
      <c r="L1191" s="613"/>
      <c r="M1191" s="613"/>
      <c r="N1191" s="614"/>
      <c r="O1191" s="584"/>
      <c r="P1191" s="613"/>
      <c r="Q1191" s="584"/>
      <c r="R1191" s="584"/>
      <c r="S1191" s="584"/>
      <c r="T1191" s="584"/>
      <c r="U1191" s="584"/>
      <c r="V1191" s="584"/>
      <c r="W1191" s="584"/>
      <c r="X1191" s="584"/>
      <c r="Y1191" s="584"/>
      <c r="Z1191" s="584"/>
      <c r="AA1191" s="584"/>
      <c r="AB1191" s="584"/>
      <c r="AC1191" s="584"/>
      <c r="AD1191" s="584"/>
      <c r="AE1191" s="584"/>
      <c r="AF1191" s="584"/>
    </row>
    <row r="1192" ht="14.25" customHeight="1">
      <c r="A1192" s="584"/>
      <c r="B1192" s="584"/>
      <c r="C1192" s="612"/>
      <c r="D1192" s="612"/>
      <c r="E1192" s="584"/>
      <c r="F1192" s="584"/>
      <c r="G1192" s="584"/>
      <c r="H1192" s="584"/>
      <c r="I1192" s="584"/>
      <c r="J1192" s="584"/>
      <c r="K1192" s="584"/>
      <c r="L1192" s="613"/>
      <c r="M1192" s="613"/>
      <c r="N1192" s="614"/>
      <c r="O1192" s="584"/>
      <c r="P1192" s="613"/>
      <c r="Q1192" s="584"/>
      <c r="R1192" s="584"/>
      <c r="S1192" s="584"/>
      <c r="T1192" s="584"/>
      <c r="U1192" s="584"/>
      <c r="V1192" s="584"/>
      <c r="W1192" s="584"/>
      <c r="X1192" s="584"/>
      <c r="Y1192" s="584"/>
      <c r="Z1192" s="584"/>
      <c r="AA1192" s="584"/>
      <c r="AB1192" s="584"/>
      <c r="AC1192" s="584"/>
      <c r="AD1192" s="584"/>
      <c r="AE1192" s="584"/>
      <c r="AF1192" s="584"/>
    </row>
    <row r="1193" ht="14.25" customHeight="1">
      <c r="A1193" s="584"/>
      <c r="B1193" s="584"/>
      <c r="C1193" s="612"/>
      <c r="D1193" s="612"/>
      <c r="E1193" s="584"/>
      <c r="F1193" s="584"/>
      <c r="G1193" s="584"/>
      <c r="H1193" s="584"/>
      <c r="I1193" s="584"/>
      <c r="J1193" s="584"/>
      <c r="K1193" s="584"/>
      <c r="L1193" s="613"/>
      <c r="M1193" s="613"/>
      <c r="N1193" s="614"/>
      <c r="O1193" s="584"/>
      <c r="P1193" s="613"/>
      <c r="Q1193" s="584"/>
      <c r="R1193" s="584"/>
      <c r="S1193" s="584"/>
      <c r="T1193" s="584"/>
      <c r="U1193" s="584"/>
      <c r="V1193" s="584"/>
      <c r="W1193" s="584"/>
      <c r="X1193" s="584"/>
      <c r="Y1193" s="584"/>
      <c r="Z1193" s="584"/>
      <c r="AA1193" s="584"/>
      <c r="AB1193" s="584"/>
      <c r="AC1193" s="584"/>
      <c r="AD1193" s="584"/>
      <c r="AE1193" s="584"/>
      <c r="AF1193" s="584"/>
    </row>
    <row r="1194" ht="14.25" customHeight="1">
      <c r="A1194" s="584"/>
      <c r="B1194" s="584"/>
      <c r="C1194" s="612"/>
      <c r="D1194" s="612"/>
      <c r="E1194" s="584"/>
      <c r="F1194" s="584"/>
      <c r="G1194" s="584"/>
      <c r="H1194" s="584"/>
      <c r="I1194" s="584"/>
      <c r="J1194" s="584"/>
      <c r="K1194" s="584"/>
      <c r="L1194" s="613"/>
      <c r="M1194" s="613"/>
      <c r="N1194" s="614"/>
      <c r="O1194" s="584"/>
      <c r="P1194" s="613"/>
      <c r="Q1194" s="584"/>
      <c r="R1194" s="584"/>
      <c r="S1194" s="584"/>
      <c r="T1194" s="584"/>
      <c r="U1194" s="584"/>
      <c r="V1194" s="584"/>
      <c r="W1194" s="584"/>
      <c r="X1194" s="584"/>
      <c r="Y1194" s="584"/>
      <c r="Z1194" s="584"/>
      <c r="AA1194" s="584"/>
      <c r="AB1194" s="584"/>
      <c r="AC1194" s="584"/>
      <c r="AD1194" s="584"/>
      <c r="AE1194" s="584"/>
      <c r="AF1194" s="584"/>
    </row>
    <row r="1195" ht="14.25" customHeight="1">
      <c r="A1195" s="584"/>
      <c r="B1195" s="584"/>
      <c r="C1195" s="612"/>
      <c r="D1195" s="612"/>
      <c r="E1195" s="584"/>
      <c r="F1195" s="584"/>
      <c r="G1195" s="584"/>
      <c r="H1195" s="584"/>
      <c r="I1195" s="584"/>
      <c r="J1195" s="584"/>
      <c r="K1195" s="584"/>
      <c r="L1195" s="613"/>
      <c r="M1195" s="613"/>
      <c r="N1195" s="614"/>
      <c r="O1195" s="584"/>
      <c r="P1195" s="613"/>
      <c r="Q1195" s="584"/>
      <c r="R1195" s="584"/>
      <c r="S1195" s="584"/>
      <c r="T1195" s="584"/>
      <c r="U1195" s="584"/>
      <c r="V1195" s="584"/>
      <c r="W1195" s="584"/>
      <c r="X1195" s="584"/>
      <c r="Y1195" s="584"/>
      <c r="Z1195" s="584"/>
      <c r="AA1195" s="584"/>
      <c r="AB1195" s="584"/>
      <c r="AC1195" s="584"/>
      <c r="AD1195" s="584"/>
      <c r="AE1195" s="584"/>
      <c r="AF1195" s="584"/>
    </row>
    <row r="1196" ht="14.25" customHeight="1">
      <c r="A1196" s="584"/>
      <c r="B1196" s="584"/>
      <c r="C1196" s="612"/>
      <c r="D1196" s="612"/>
      <c r="E1196" s="584"/>
      <c r="F1196" s="584"/>
      <c r="G1196" s="584"/>
      <c r="H1196" s="584"/>
      <c r="I1196" s="584"/>
      <c r="J1196" s="584"/>
      <c r="K1196" s="584"/>
      <c r="L1196" s="613"/>
      <c r="M1196" s="613"/>
      <c r="N1196" s="614"/>
      <c r="O1196" s="584"/>
      <c r="P1196" s="613"/>
      <c r="Q1196" s="584"/>
      <c r="R1196" s="584"/>
      <c r="S1196" s="584"/>
      <c r="T1196" s="584"/>
      <c r="U1196" s="584"/>
      <c r="V1196" s="584"/>
      <c r="W1196" s="584"/>
      <c r="X1196" s="584"/>
      <c r="Y1196" s="584"/>
      <c r="Z1196" s="584"/>
      <c r="AA1196" s="584"/>
      <c r="AB1196" s="584"/>
      <c r="AC1196" s="584"/>
      <c r="AD1196" s="584"/>
      <c r="AE1196" s="584"/>
      <c r="AF1196" s="584"/>
    </row>
    <row r="1197" ht="14.25" customHeight="1">
      <c r="A1197" s="584"/>
      <c r="B1197" s="584"/>
      <c r="C1197" s="612"/>
      <c r="D1197" s="612"/>
      <c r="E1197" s="584"/>
      <c r="F1197" s="584"/>
      <c r="G1197" s="584"/>
      <c r="H1197" s="584"/>
      <c r="I1197" s="584"/>
      <c r="J1197" s="584"/>
      <c r="K1197" s="584"/>
      <c r="L1197" s="613"/>
      <c r="M1197" s="613"/>
      <c r="N1197" s="614"/>
      <c r="O1197" s="584"/>
      <c r="P1197" s="613"/>
      <c r="Q1197" s="584"/>
      <c r="R1197" s="584"/>
      <c r="S1197" s="584"/>
      <c r="T1197" s="584"/>
      <c r="U1197" s="584"/>
      <c r="V1197" s="584"/>
      <c r="W1197" s="584"/>
      <c r="X1197" s="584"/>
      <c r="Y1197" s="584"/>
      <c r="Z1197" s="584"/>
      <c r="AA1197" s="584"/>
      <c r="AB1197" s="584"/>
      <c r="AC1197" s="584"/>
      <c r="AD1197" s="584"/>
      <c r="AE1197" s="584"/>
      <c r="AF1197" s="584"/>
    </row>
    <row r="1198" ht="14.25" customHeight="1">
      <c r="A1198" s="584"/>
      <c r="B1198" s="584"/>
      <c r="C1198" s="612"/>
      <c r="D1198" s="612"/>
      <c r="E1198" s="584"/>
      <c r="F1198" s="584"/>
      <c r="G1198" s="584"/>
      <c r="H1198" s="584"/>
      <c r="I1198" s="584"/>
      <c r="J1198" s="584"/>
      <c r="K1198" s="584"/>
      <c r="L1198" s="613"/>
      <c r="M1198" s="613"/>
      <c r="N1198" s="614"/>
      <c r="O1198" s="584"/>
      <c r="P1198" s="613"/>
      <c r="Q1198" s="584"/>
      <c r="R1198" s="584"/>
      <c r="S1198" s="584"/>
      <c r="T1198" s="584"/>
      <c r="U1198" s="584"/>
      <c r="V1198" s="584"/>
      <c r="W1198" s="584"/>
      <c r="X1198" s="584"/>
      <c r="Y1198" s="584"/>
      <c r="Z1198" s="584"/>
      <c r="AA1198" s="584"/>
      <c r="AB1198" s="584"/>
      <c r="AC1198" s="584"/>
      <c r="AD1198" s="584"/>
      <c r="AE1198" s="584"/>
      <c r="AF1198" s="584"/>
    </row>
    <row r="1199" ht="14.25" customHeight="1">
      <c r="A1199" s="584"/>
      <c r="B1199" s="584"/>
      <c r="C1199" s="612"/>
      <c r="D1199" s="612"/>
      <c r="E1199" s="584"/>
      <c r="F1199" s="584"/>
      <c r="G1199" s="584"/>
      <c r="H1199" s="584"/>
      <c r="I1199" s="584"/>
      <c r="J1199" s="584"/>
      <c r="K1199" s="584"/>
      <c r="L1199" s="613"/>
      <c r="M1199" s="613"/>
      <c r="N1199" s="614"/>
      <c r="O1199" s="584"/>
      <c r="P1199" s="613"/>
      <c r="Q1199" s="584"/>
      <c r="R1199" s="584"/>
      <c r="S1199" s="584"/>
      <c r="T1199" s="584"/>
      <c r="U1199" s="584"/>
      <c r="V1199" s="584"/>
      <c r="W1199" s="584"/>
      <c r="X1199" s="584"/>
      <c r="Y1199" s="584"/>
      <c r="Z1199" s="584"/>
      <c r="AA1199" s="584"/>
      <c r="AB1199" s="584"/>
      <c r="AC1199" s="584"/>
      <c r="AD1199" s="584"/>
      <c r="AE1199" s="584"/>
      <c r="AF1199" s="584"/>
    </row>
    <row r="1200" ht="14.25" customHeight="1">
      <c r="A1200" s="584"/>
      <c r="B1200" s="584"/>
      <c r="C1200" s="612"/>
      <c r="D1200" s="612"/>
      <c r="E1200" s="584"/>
      <c r="F1200" s="584"/>
      <c r="G1200" s="584"/>
      <c r="H1200" s="584"/>
      <c r="I1200" s="584"/>
      <c r="J1200" s="584"/>
      <c r="K1200" s="584"/>
      <c r="L1200" s="615"/>
      <c r="M1200" s="613"/>
      <c r="N1200" s="614"/>
      <c r="O1200" s="584"/>
      <c r="P1200" s="613"/>
      <c r="Q1200" s="584"/>
      <c r="R1200" s="584"/>
      <c r="S1200" s="584"/>
      <c r="T1200" s="584"/>
      <c r="U1200" s="584"/>
      <c r="V1200" s="584"/>
      <c r="W1200" s="584"/>
      <c r="X1200" s="584"/>
      <c r="Y1200" s="584"/>
      <c r="Z1200" s="584"/>
      <c r="AA1200" s="584"/>
      <c r="AB1200" s="584"/>
      <c r="AC1200" s="584"/>
      <c r="AD1200" s="584"/>
      <c r="AE1200" s="584"/>
      <c r="AF1200" s="584"/>
    </row>
    <row r="1201" ht="14.25" customHeight="1">
      <c r="A1201" s="584"/>
      <c r="B1201" s="584"/>
      <c r="C1201" s="612"/>
      <c r="D1201" s="612"/>
      <c r="E1201" s="584"/>
      <c r="F1201" s="584"/>
      <c r="G1201" s="584"/>
      <c r="H1201" s="584"/>
      <c r="I1201" s="584"/>
      <c r="J1201" s="584"/>
      <c r="K1201" s="584"/>
      <c r="L1201" s="613"/>
      <c r="M1201" s="613"/>
      <c r="N1201" s="614"/>
      <c r="O1201" s="584"/>
      <c r="P1201" s="613"/>
      <c r="Q1201" s="584"/>
      <c r="R1201" s="584"/>
      <c r="S1201" s="584"/>
      <c r="T1201" s="584"/>
      <c r="U1201" s="584"/>
      <c r="V1201" s="584"/>
      <c r="W1201" s="584"/>
      <c r="X1201" s="584"/>
      <c r="Y1201" s="584"/>
      <c r="Z1201" s="584"/>
      <c r="AA1201" s="584"/>
      <c r="AB1201" s="584"/>
      <c r="AC1201" s="584"/>
      <c r="AD1201" s="584"/>
      <c r="AE1201" s="584"/>
      <c r="AF1201" s="584"/>
    </row>
    <row r="1202" ht="14.25" customHeight="1">
      <c r="A1202" s="584"/>
      <c r="B1202" s="584"/>
      <c r="C1202" s="612"/>
      <c r="D1202" s="612"/>
      <c r="E1202" s="584"/>
      <c r="F1202" s="584"/>
      <c r="G1202" s="584"/>
      <c r="H1202" s="584"/>
      <c r="I1202" s="584"/>
      <c r="J1202" s="584"/>
      <c r="K1202" s="584"/>
      <c r="L1202" s="613"/>
      <c r="M1202" s="613"/>
      <c r="N1202" s="614"/>
      <c r="O1202" s="584"/>
      <c r="P1202" s="613"/>
      <c r="Q1202" s="584"/>
      <c r="R1202" s="584"/>
      <c r="S1202" s="584"/>
      <c r="T1202" s="584"/>
      <c r="U1202" s="584"/>
      <c r="V1202" s="584"/>
      <c r="W1202" s="584"/>
      <c r="X1202" s="584"/>
      <c r="Y1202" s="584"/>
      <c r="Z1202" s="584"/>
      <c r="AA1202" s="584"/>
      <c r="AB1202" s="584"/>
      <c r="AC1202" s="584"/>
      <c r="AD1202" s="584"/>
      <c r="AE1202" s="584"/>
      <c r="AF1202" s="584"/>
    </row>
    <row r="1203" ht="14.25" customHeight="1">
      <c r="A1203" s="584"/>
      <c r="B1203" s="584"/>
      <c r="C1203" s="612"/>
      <c r="D1203" s="612"/>
      <c r="E1203" s="584"/>
      <c r="F1203" s="584"/>
      <c r="G1203" s="584"/>
      <c r="H1203" s="584"/>
      <c r="I1203" s="584"/>
      <c r="J1203" s="584"/>
      <c r="K1203" s="584"/>
      <c r="L1203" s="613"/>
      <c r="M1203" s="613"/>
      <c r="N1203" s="614"/>
      <c r="O1203" s="584"/>
      <c r="P1203" s="613"/>
      <c r="Q1203" s="584"/>
      <c r="R1203" s="584"/>
      <c r="S1203" s="584"/>
      <c r="T1203" s="584"/>
      <c r="U1203" s="584"/>
      <c r="V1203" s="584"/>
      <c r="W1203" s="584"/>
      <c r="X1203" s="584"/>
      <c r="Y1203" s="584"/>
      <c r="Z1203" s="584"/>
      <c r="AA1203" s="584"/>
      <c r="AB1203" s="584"/>
      <c r="AC1203" s="584"/>
      <c r="AD1203" s="584"/>
      <c r="AE1203" s="584"/>
      <c r="AF1203" s="584"/>
    </row>
    <row r="1204" ht="14.25" customHeight="1">
      <c r="A1204" s="584"/>
      <c r="B1204" s="584"/>
      <c r="C1204" s="612"/>
      <c r="D1204" s="612"/>
      <c r="E1204" s="584"/>
      <c r="F1204" s="584"/>
      <c r="G1204" s="584"/>
      <c r="H1204" s="584"/>
      <c r="I1204" s="584"/>
      <c r="J1204" s="584"/>
      <c r="K1204" s="584"/>
      <c r="L1204" s="613"/>
      <c r="M1204" s="613"/>
      <c r="N1204" s="614"/>
      <c r="O1204" s="584"/>
      <c r="P1204" s="613"/>
      <c r="Q1204" s="584"/>
      <c r="R1204" s="584"/>
      <c r="S1204" s="584"/>
      <c r="T1204" s="584"/>
      <c r="U1204" s="584"/>
      <c r="V1204" s="584"/>
      <c r="W1204" s="584"/>
      <c r="X1204" s="584"/>
      <c r="Y1204" s="584"/>
      <c r="Z1204" s="584"/>
      <c r="AA1204" s="584"/>
      <c r="AB1204" s="584"/>
      <c r="AC1204" s="584"/>
      <c r="AD1204" s="584"/>
      <c r="AE1204" s="584"/>
      <c r="AF1204" s="584"/>
    </row>
    <row r="1205" ht="14.25" customHeight="1">
      <c r="A1205" s="584"/>
      <c r="B1205" s="584"/>
      <c r="C1205" s="612"/>
      <c r="D1205" s="612"/>
      <c r="E1205" s="584"/>
      <c r="F1205" s="584"/>
      <c r="G1205" s="584"/>
      <c r="H1205" s="584"/>
      <c r="I1205" s="584"/>
      <c r="J1205" s="584"/>
      <c r="K1205" s="584"/>
      <c r="L1205" s="584"/>
      <c r="M1205" s="613"/>
      <c r="N1205" s="614"/>
      <c r="O1205" s="584"/>
      <c r="P1205" s="613"/>
      <c r="Q1205" s="584"/>
      <c r="R1205" s="584"/>
      <c r="S1205" s="584"/>
      <c r="T1205" s="584"/>
      <c r="U1205" s="584"/>
      <c r="V1205" s="584"/>
      <c r="W1205" s="584"/>
      <c r="X1205" s="584"/>
      <c r="Y1205" s="584"/>
      <c r="Z1205" s="584"/>
      <c r="AA1205" s="584"/>
      <c r="AB1205" s="584"/>
      <c r="AC1205" s="584"/>
      <c r="AD1205" s="584"/>
      <c r="AE1205" s="584"/>
      <c r="AF1205" s="584"/>
    </row>
    <row r="1206" ht="14.25" customHeight="1">
      <c r="A1206" s="584"/>
      <c r="B1206" s="584"/>
      <c r="C1206" s="612"/>
      <c r="D1206" s="612"/>
      <c r="E1206" s="584"/>
      <c r="F1206" s="584"/>
      <c r="G1206" s="584"/>
      <c r="H1206" s="584"/>
      <c r="I1206" s="584"/>
      <c r="J1206" s="584"/>
      <c r="K1206" s="584"/>
      <c r="L1206" s="613"/>
      <c r="M1206" s="613"/>
      <c r="N1206" s="614"/>
      <c r="O1206" s="584"/>
      <c r="P1206" s="613"/>
      <c r="Q1206" s="584"/>
      <c r="R1206" s="584"/>
      <c r="S1206" s="584"/>
      <c r="T1206" s="584"/>
      <c r="U1206" s="584"/>
      <c r="V1206" s="584"/>
      <c r="W1206" s="584"/>
      <c r="X1206" s="584"/>
      <c r="Y1206" s="584"/>
      <c r="Z1206" s="584"/>
      <c r="AA1206" s="584"/>
      <c r="AB1206" s="584"/>
      <c r="AC1206" s="584"/>
      <c r="AD1206" s="584"/>
      <c r="AE1206" s="584"/>
      <c r="AF1206" s="584"/>
    </row>
    <row r="1207" ht="14.25" customHeight="1">
      <c r="A1207" s="584"/>
      <c r="B1207" s="584"/>
      <c r="C1207" s="612"/>
      <c r="D1207" s="612"/>
      <c r="E1207" s="584"/>
      <c r="F1207" s="584"/>
      <c r="G1207" s="584"/>
      <c r="H1207" s="584"/>
      <c r="I1207" s="584"/>
      <c r="J1207" s="584"/>
      <c r="K1207" s="584"/>
      <c r="L1207" s="613"/>
      <c r="M1207" s="613"/>
      <c r="N1207" s="614"/>
      <c r="O1207" s="584"/>
      <c r="P1207" s="613"/>
      <c r="Q1207" s="584"/>
      <c r="R1207" s="584"/>
      <c r="S1207" s="584"/>
      <c r="T1207" s="584"/>
      <c r="U1207" s="584"/>
      <c r="V1207" s="584"/>
      <c r="W1207" s="584"/>
      <c r="X1207" s="584"/>
      <c r="Y1207" s="584"/>
      <c r="Z1207" s="584"/>
      <c r="AA1207" s="584"/>
      <c r="AB1207" s="584"/>
      <c r="AC1207" s="584"/>
      <c r="AD1207" s="584"/>
      <c r="AE1207" s="584"/>
      <c r="AF1207" s="584"/>
    </row>
    <row r="1208" ht="14.25" customHeight="1">
      <c r="A1208" s="584"/>
      <c r="B1208" s="584"/>
      <c r="C1208" s="612"/>
      <c r="D1208" s="612"/>
      <c r="E1208" s="584"/>
      <c r="F1208" s="584"/>
      <c r="G1208" s="584"/>
      <c r="H1208" s="584"/>
      <c r="I1208" s="584"/>
      <c r="J1208" s="584"/>
      <c r="K1208" s="584"/>
      <c r="L1208" s="615"/>
      <c r="M1208" s="613"/>
      <c r="N1208" s="614"/>
      <c r="O1208" s="584"/>
      <c r="P1208" s="613"/>
      <c r="Q1208" s="584"/>
      <c r="R1208" s="584"/>
      <c r="S1208" s="584"/>
      <c r="T1208" s="584"/>
      <c r="U1208" s="584"/>
      <c r="V1208" s="584"/>
      <c r="W1208" s="584"/>
      <c r="X1208" s="584"/>
      <c r="Y1208" s="584"/>
      <c r="Z1208" s="584"/>
      <c r="AA1208" s="584"/>
      <c r="AB1208" s="584"/>
      <c r="AC1208" s="584"/>
      <c r="AD1208" s="584"/>
      <c r="AE1208" s="584"/>
      <c r="AF1208" s="584"/>
    </row>
    <row r="1209" ht="14.25" customHeight="1">
      <c r="A1209" s="584"/>
      <c r="B1209" s="584"/>
      <c r="C1209" s="612"/>
      <c r="D1209" s="612"/>
      <c r="E1209" s="584"/>
      <c r="F1209" s="584"/>
      <c r="G1209" s="584"/>
      <c r="H1209" s="584"/>
      <c r="I1209" s="584"/>
      <c r="J1209" s="584"/>
      <c r="K1209" s="584"/>
      <c r="L1209" s="613"/>
      <c r="M1209" s="613"/>
      <c r="N1209" s="614"/>
      <c r="O1209" s="584"/>
      <c r="P1209" s="613"/>
      <c r="Q1209" s="584"/>
      <c r="R1209" s="584"/>
      <c r="S1209" s="584"/>
      <c r="T1209" s="584"/>
      <c r="U1209" s="584"/>
      <c r="V1209" s="584"/>
      <c r="W1209" s="584"/>
      <c r="X1209" s="584"/>
      <c r="Y1209" s="584"/>
      <c r="Z1209" s="584"/>
      <c r="AA1209" s="584"/>
      <c r="AB1209" s="584"/>
      <c r="AC1209" s="584"/>
      <c r="AD1209" s="584"/>
      <c r="AE1209" s="584"/>
      <c r="AF1209" s="584"/>
    </row>
    <row r="1210" ht="14.25" customHeight="1">
      <c r="A1210" s="584"/>
      <c r="B1210" s="584"/>
      <c r="C1210" s="612"/>
      <c r="D1210" s="612"/>
      <c r="E1210" s="584"/>
      <c r="F1210" s="584"/>
      <c r="G1210" s="584"/>
      <c r="H1210" s="584"/>
      <c r="I1210" s="584"/>
      <c r="J1210" s="584"/>
      <c r="K1210" s="584"/>
      <c r="L1210" s="615"/>
      <c r="M1210" s="613"/>
      <c r="N1210" s="614"/>
      <c r="O1210" s="584"/>
      <c r="P1210" s="613"/>
      <c r="Q1210" s="584"/>
      <c r="R1210" s="584"/>
      <c r="S1210" s="584"/>
      <c r="T1210" s="584"/>
      <c r="U1210" s="584"/>
      <c r="V1210" s="584"/>
      <c r="W1210" s="584"/>
      <c r="X1210" s="584"/>
      <c r="Y1210" s="584"/>
      <c r="Z1210" s="584"/>
      <c r="AA1210" s="584"/>
      <c r="AB1210" s="584"/>
      <c r="AC1210" s="584"/>
      <c r="AD1210" s="584"/>
      <c r="AE1210" s="584"/>
      <c r="AF1210" s="584"/>
    </row>
    <row r="1211" ht="14.25" customHeight="1">
      <c r="A1211" s="584"/>
      <c r="B1211" s="584"/>
      <c r="C1211" s="612"/>
      <c r="D1211" s="612"/>
      <c r="E1211" s="584"/>
      <c r="F1211" s="584"/>
      <c r="G1211" s="584"/>
      <c r="H1211" s="584"/>
      <c r="I1211" s="584"/>
      <c r="J1211" s="584"/>
      <c r="K1211" s="584"/>
      <c r="L1211" s="613"/>
      <c r="M1211" s="613"/>
      <c r="N1211" s="614"/>
      <c r="O1211" s="584"/>
      <c r="P1211" s="613"/>
      <c r="Q1211" s="584"/>
      <c r="R1211" s="584"/>
      <c r="S1211" s="584"/>
      <c r="T1211" s="584"/>
      <c r="U1211" s="584"/>
      <c r="V1211" s="584"/>
      <c r="W1211" s="584"/>
      <c r="X1211" s="584"/>
      <c r="Y1211" s="584"/>
      <c r="Z1211" s="584"/>
      <c r="AA1211" s="584"/>
      <c r="AB1211" s="584"/>
      <c r="AC1211" s="584"/>
      <c r="AD1211" s="584"/>
      <c r="AE1211" s="584"/>
      <c r="AF1211" s="584"/>
    </row>
    <row r="1212" ht="14.25" customHeight="1">
      <c r="A1212" s="584"/>
      <c r="B1212" s="584"/>
      <c r="C1212" s="612"/>
      <c r="D1212" s="612"/>
      <c r="E1212" s="584"/>
      <c r="F1212" s="584"/>
      <c r="G1212" s="584"/>
      <c r="H1212" s="584"/>
      <c r="I1212" s="584"/>
      <c r="J1212" s="584"/>
      <c r="K1212" s="584"/>
      <c r="L1212" s="613"/>
      <c r="M1212" s="613"/>
      <c r="N1212" s="614"/>
      <c r="O1212" s="584"/>
      <c r="P1212" s="613"/>
      <c r="Q1212" s="584"/>
      <c r="R1212" s="584"/>
      <c r="S1212" s="584"/>
      <c r="T1212" s="584"/>
      <c r="U1212" s="584"/>
      <c r="V1212" s="584"/>
      <c r="W1212" s="584"/>
      <c r="X1212" s="584"/>
      <c r="Y1212" s="584"/>
      <c r="Z1212" s="584"/>
      <c r="AA1212" s="584"/>
      <c r="AB1212" s="584"/>
      <c r="AC1212" s="584"/>
      <c r="AD1212" s="584"/>
      <c r="AE1212" s="584"/>
      <c r="AF1212" s="584"/>
    </row>
    <row r="1213" ht="14.25" customHeight="1">
      <c r="A1213" s="584"/>
      <c r="B1213" s="584"/>
      <c r="C1213" s="612"/>
      <c r="D1213" s="612"/>
      <c r="E1213" s="584"/>
      <c r="F1213" s="584"/>
      <c r="G1213" s="584"/>
      <c r="H1213" s="584"/>
      <c r="I1213" s="584"/>
      <c r="J1213" s="584"/>
      <c r="K1213" s="584"/>
      <c r="L1213" s="613"/>
      <c r="M1213" s="613"/>
      <c r="N1213" s="614"/>
      <c r="O1213" s="584"/>
      <c r="P1213" s="613"/>
      <c r="Q1213" s="584"/>
      <c r="R1213" s="584"/>
      <c r="S1213" s="584"/>
      <c r="T1213" s="584"/>
      <c r="U1213" s="584"/>
      <c r="V1213" s="584"/>
      <c r="W1213" s="584"/>
      <c r="X1213" s="584"/>
      <c r="Y1213" s="584"/>
      <c r="Z1213" s="584"/>
      <c r="AA1213" s="584"/>
      <c r="AB1213" s="584"/>
      <c r="AC1213" s="584"/>
      <c r="AD1213" s="584"/>
      <c r="AE1213" s="584"/>
      <c r="AF1213" s="584"/>
    </row>
    <row r="1214" ht="14.25" customHeight="1">
      <c r="A1214" s="584"/>
      <c r="B1214" s="584"/>
      <c r="C1214" s="612"/>
      <c r="D1214" s="612"/>
      <c r="E1214" s="584"/>
      <c r="F1214" s="584"/>
      <c r="G1214" s="584"/>
      <c r="H1214" s="584"/>
      <c r="I1214" s="584"/>
      <c r="J1214" s="584"/>
      <c r="K1214" s="584"/>
      <c r="L1214" s="613"/>
      <c r="M1214" s="613"/>
      <c r="N1214" s="614"/>
      <c r="O1214" s="584"/>
      <c r="P1214" s="613"/>
      <c r="Q1214" s="584"/>
      <c r="R1214" s="584"/>
      <c r="S1214" s="584"/>
      <c r="T1214" s="584"/>
      <c r="U1214" s="584"/>
      <c r="V1214" s="584"/>
      <c r="W1214" s="584"/>
      <c r="X1214" s="584"/>
      <c r="Y1214" s="584"/>
      <c r="Z1214" s="584"/>
      <c r="AA1214" s="584"/>
      <c r="AB1214" s="584"/>
      <c r="AC1214" s="584"/>
      <c r="AD1214" s="584"/>
      <c r="AE1214" s="584"/>
      <c r="AF1214" s="584"/>
    </row>
    <row r="1215" ht="14.25" customHeight="1">
      <c r="A1215" s="584"/>
      <c r="B1215" s="584"/>
      <c r="C1215" s="612"/>
      <c r="D1215" s="612"/>
      <c r="E1215" s="584"/>
      <c r="F1215" s="584"/>
      <c r="G1215" s="584"/>
      <c r="H1215" s="584"/>
      <c r="I1215" s="584"/>
      <c r="J1215" s="584"/>
      <c r="K1215" s="584"/>
      <c r="L1215" s="613"/>
      <c r="M1215" s="613"/>
      <c r="N1215" s="614"/>
      <c r="O1215" s="584"/>
      <c r="P1215" s="613"/>
      <c r="Q1215" s="584"/>
      <c r="R1215" s="584"/>
      <c r="S1215" s="584"/>
      <c r="T1215" s="584"/>
      <c r="U1215" s="584"/>
      <c r="V1215" s="584"/>
      <c r="W1215" s="584"/>
      <c r="X1215" s="584"/>
      <c r="Y1215" s="584"/>
      <c r="Z1215" s="584"/>
      <c r="AA1215" s="584"/>
      <c r="AB1215" s="584"/>
      <c r="AC1215" s="584"/>
      <c r="AD1215" s="584"/>
      <c r="AE1215" s="584"/>
      <c r="AF1215" s="584"/>
    </row>
    <row r="1216" ht="14.25" customHeight="1">
      <c r="A1216" s="584"/>
      <c r="B1216" s="584"/>
      <c r="C1216" s="612"/>
      <c r="D1216" s="612"/>
      <c r="E1216" s="584"/>
      <c r="F1216" s="584"/>
      <c r="G1216" s="584"/>
      <c r="H1216" s="584"/>
      <c r="I1216" s="584"/>
      <c r="J1216" s="584"/>
      <c r="K1216" s="584"/>
      <c r="L1216" s="584"/>
      <c r="M1216" s="613"/>
      <c r="N1216" s="614"/>
      <c r="O1216" s="584"/>
      <c r="P1216" s="613"/>
      <c r="Q1216" s="584"/>
      <c r="R1216" s="584"/>
      <c r="S1216" s="584"/>
      <c r="T1216" s="584"/>
      <c r="U1216" s="584"/>
      <c r="V1216" s="584"/>
      <c r="W1216" s="584"/>
      <c r="X1216" s="584"/>
      <c r="Y1216" s="584"/>
      <c r="Z1216" s="584"/>
      <c r="AA1216" s="584"/>
      <c r="AB1216" s="584"/>
      <c r="AC1216" s="584"/>
      <c r="AD1216" s="584"/>
      <c r="AE1216" s="584"/>
      <c r="AF1216" s="584"/>
    </row>
    <row r="1217" ht="14.25" customHeight="1">
      <c r="A1217" s="584"/>
      <c r="B1217" s="584"/>
      <c r="C1217" s="612"/>
      <c r="D1217" s="612"/>
      <c r="E1217" s="584"/>
      <c r="F1217" s="584"/>
      <c r="G1217" s="584"/>
      <c r="H1217" s="584"/>
      <c r="I1217" s="584"/>
      <c r="J1217" s="584"/>
      <c r="K1217" s="584"/>
      <c r="L1217" s="613"/>
      <c r="M1217" s="613"/>
      <c r="N1217" s="614"/>
      <c r="O1217" s="584"/>
      <c r="P1217" s="613"/>
      <c r="Q1217" s="584"/>
      <c r="R1217" s="584"/>
      <c r="S1217" s="584"/>
      <c r="T1217" s="584"/>
      <c r="U1217" s="584"/>
      <c r="V1217" s="584"/>
      <c r="W1217" s="584"/>
      <c r="X1217" s="584"/>
      <c r="Y1217" s="584"/>
      <c r="Z1217" s="584"/>
      <c r="AA1217" s="584"/>
      <c r="AB1217" s="584"/>
      <c r="AC1217" s="584"/>
      <c r="AD1217" s="584"/>
      <c r="AE1217" s="584"/>
      <c r="AF1217" s="584"/>
    </row>
    <row r="1218" ht="14.25" customHeight="1">
      <c r="A1218" s="584"/>
      <c r="B1218" s="584"/>
      <c r="C1218" s="612"/>
      <c r="D1218" s="612"/>
      <c r="E1218" s="584"/>
      <c r="F1218" s="584"/>
      <c r="G1218" s="584"/>
      <c r="H1218" s="584"/>
      <c r="I1218" s="584"/>
      <c r="J1218" s="584"/>
      <c r="K1218" s="584"/>
      <c r="L1218" s="613"/>
      <c r="M1218" s="613"/>
      <c r="N1218" s="614"/>
      <c r="O1218" s="584"/>
      <c r="P1218" s="613"/>
      <c r="Q1218" s="584"/>
      <c r="R1218" s="584"/>
      <c r="S1218" s="584"/>
      <c r="T1218" s="584"/>
      <c r="U1218" s="584"/>
      <c r="V1218" s="584"/>
      <c r="W1218" s="584"/>
      <c r="X1218" s="584"/>
      <c r="Y1218" s="584"/>
      <c r="Z1218" s="584"/>
      <c r="AA1218" s="584"/>
      <c r="AB1218" s="584"/>
      <c r="AC1218" s="584"/>
      <c r="AD1218" s="584"/>
      <c r="AE1218" s="584"/>
      <c r="AF1218" s="584"/>
    </row>
    <row r="1219" ht="14.25" customHeight="1">
      <c r="A1219" s="584"/>
      <c r="B1219" s="584"/>
      <c r="C1219" s="612"/>
      <c r="D1219" s="612"/>
      <c r="E1219" s="584"/>
      <c r="F1219" s="584"/>
      <c r="G1219" s="584"/>
      <c r="H1219" s="584"/>
      <c r="I1219" s="584"/>
      <c r="J1219" s="584"/>
      <c r="K1219" s="584"/>
      <c r="L1219" s="613"/>
      <c r="M1219" s="613"/>
      <c r="N1219" s="614"/>
      <c r="O1219" s="584"/>
      <c r="P1219" s="613"/>
      <c r="Q1219" s="584"/>
      <c r="R1219" s="584"/>
      <c r="S1219" s="584"/>
      <c r="T1219" s="584"/>
      <c r="U1219" s="584"/>
      <c r="V1219" s="584"/>
      <c r="W1219" s="584"/>
      <c r="X1219" s="584"/>
      <c r="Y1219" s="584"/>
      <c r="Z1219" s="584"/>
      <c r="AA1219" s="584"/>
      <c r="AB1219" s="584"/>
      <c r="AC1219" s="584"/>
      <c r="AD1219" s="584"/>
      <c r="AE1219" s="584"/>
      <c r="AF1219" s="584"/>
    </row>
    <row r="1220" ht="14.25" customHeight="1">
      <c r="A1220" s="584"/>
      <c r="B1220" s="584"/>
      <c r="C1220" s="612"/>
      <c r="D1220" s="612"/>
      <c r="E1220" s="584"/>
      <c r="F1220" s="584"/>
      <c r="G1220" s="584"/>
      <c r="H1220" s="584"/>
      <c r="I1220" s="584"/>
      <c r="J1220" s="584"/>
      <c r="K1220" s="584"/>
      <c r="L1220" s="613"/>
      <c r="M1220" s="613"/>
      <c r="N1220" s="614"/>
      <c r="O1220" s="584"/>
      <c r="P1220" s="613"/>
      <c r="Q1220" s="584"/>
      <c r="R1220" s="584"/>
      <c r="S1220" s="584"/>
      <c r="T1220" s="584"/>
      <c r="U1220" s="584"/>
      <c r="V1220" s="584"/>
      <c r="W1220" s="584"/>
      <c r="X1220" s="584"/>
      <c r="Y1220" s="584"/>
      <c r="Z1220" s="584"/>
      <c r="AA1220" s="584"/>
      <c r="AB1220" s="584"/>
      <c r="AC1220" s="584"/>
      <c r="AD1220" s="584"/>
      <c r="AE1220" s="584"/>
      <c r="AF1220" s="584"/>
    </row>
    <row r="1221" ht="14.25" customHeight="1">
      <c r="A1221" s="584"/>
      <c r="B1221" s="584"/>
      <c r="C1221" s="612"/>
      <c r="D1221" s="612"/>
      <c r="E1221" s="584"/>
      <c r="F1221" s="584"/>
      <c r="G1221" s="584"/>
      <c r="H1221" s="584"/>
      <c r="I1221" s="584"/>
      <c r="J1221" s="584"/>
      <c r="K1221" s="584"/>
      <c r="L1221" s="613"/>
      <c r="M1221" s="613"/>
      <c r="N1221" s="614"/>
      <c r="O1221" s="584"/>
      <c r="P1221" s="613"/>
      <c r="Q1221" s="584"/>
      <c r="R1221" s="584"/>
      <c r="S1221" s="584"/>
      <c r="T1221" s="584"/>
      <c r="U1221" s="584"/>
      <c r="V1221" s="584"/>
      <c r="W1221" s="584"/>
      <c r="X1221" s="584"/>
      <c r="Y1221" s="584"/>
      <c r="Z1221" s="584"/>
      <c r="AA1221" s="584"/>
      <c r="AB1221" s="584"/>
      <c r="AC1221" s="584"/>
      <c r="AD1221" s="584"/>
      <c r="AE1221" s="584"/>
      <c r="AF1221" s="584"/>
    </row>
    <row r="1222" ht="14.25" customHeight="1">
      <c r="A1222" s="584"/>
      <c r="B1222" s="584"/>
      <c r="C1222" s="612"/>
      <c r="D1222" s="612"/>
      <c r="E1222" s="584"/>
      <c r="F1222" s="584"/>
      <c r="G1222" s="584"/>
      <c r="H1222" s="584"/>
      <c r="I1222" s="584"/>
      <c r="J1222" s="584"/>
      <c r="K1222" s="584"/>
      <c r="L1222" s="613"/>
      <c r="M1222" s="613"/>
      <c r="N1222" s="614"/>
      <c r="O1222" s="584"/>
      <c r="P1222" s="613"/>
      <c r="Q1222" s="584"/>
      <c r="R1222" s="584"/>
      <c r="S1222" s="584"/>
      <c r="T1222" s="584"/>
      <c r="U1222" s="584"/>
      <c r="V1222" s="584"/>
      <c r="W1222" s="584"/>
      <c r="X1222" s="584"/>
      <c r="Y1222" s="584"/>
      <c r="Z1222" s="584"/>
      <c r="AA1222" s="584"/>
      <c r="AB1222" s="584"/>
      <c r="AC1222" s="584"/>
      <c r="AD1222" s="584"/>
      <c r="AE1222" s="584"/>
      <c r="AF1222" s="584"/>
    </row>
    <row r="1223" ht="14.25" customHeight="1">
      <c r="A1223" s="584"/>
      <c r="B1223" s="584"/>
      <c r="C1223" s="612"/>
      <c r="D1223" s="612"/>
      <c r="E1223" s="584"/>
      <c r="F1223" s="584"/>
      <c r="G1223" s="584"/>
      <c r="H1223" s="584"/>
      <c r="I1223" s="584"/>
      <c r="J1223" s="584"/>
      <c r="K1223" s="584"/>
      <c r="L1223" s="613"/>
      <c r="M1223" s="613"/>
      <c r="N1223" s="614"/>
      <c r="O1223" s="584"/>
      <c r="P1223" s="613"/>
      <c r="Q1223" s="584"/>
      <c r="R1223" s="584"/>
      <c r="S1223" s="584"/>
      <c r="T1223" s="584"/>
      <c r="U1223" s="584"/>
      <c r="V1223" s="584"/>
      <c r="W1223" s="584"/>
      <c r="X1223" s="584"/>
      <c r="Y1223" s="584"/>
      <c r="Z1223" s="584"/>
      <c r="AA1223" s="584"/>
      <c r="AB1223" s="584"/>
      <c r="AC1223" s="584"/>
      <c r="AD1223" s="584"/>
      <c r="AE1223" s="584"/>
      <c r="AF1223" s="584"/>
    </row>
    <row r="1224" ht="14.25" customHeight="1">
      <c r="A1224" s="584"/>
      <c r="B1224" s="584"/>
      <c r="C1224" s="612"/>
      <c r="D1224" s="612"/>
      <c r="E1224" s="584"/>
      <c r="F1224" s="584"/>
      <c r="G1224" s="584"/>
      <c r="H1224" s="584"/>
      <c r="I1224" s="584"/>
      <c r="J1224" s="584"/>
      <c r="K1224" s="584"/>
      <c r="L1224" s="613"/>
      <c r="M1224" s="613"/>
      <c r="N1224" s="614"/>
      <c r="O1224" s="584"/>
      <c r="P1224" s="613"/>
      <c r="Q1224" s="584"/>
      <c r="R1224" s="584"/>
      <c r="S1224" s="584"/>
      <c r="T1224" s="584"/>
      <c r="U1224" s="584"/>
      <c r="V1224" s="584"/>
      <c r="W1224" s="584"/>
      <c r="X1224" s="584"/>
      <c r="Y1224" s="584"/>
      <c r="Z1224" s="584"/>
      <c r="AA1224" s="584"/>
      <c r="AB1224" s="584"/>
      <c r="AC1224" s="584"/>
      <c r="AD1224" s="584"/>
      <c r="AE1224" s="584"/>
      <c r="AF1224" s="584"/>
    </row>
    <row r="1225" ht="14.25" customHeight="1">
      <c r="A1225" s="584"/>
      <c r="B1225" s="584"/>
      <c r="C1225" s="612"/>
      <c r="D1225" s="612"/>
      <c r="E1225" s="584"/>
      <c r="F1225" s="584"/>
      <c r="G1225" s="584"/>
      <c r="H1225" s="584"/>
      <c r="I1225" s="584"/>
      <c r="J1225" s="584"/>
      <c r="K1225" s="584"/>
      <c r="L1225" s="613"/>
      <c r="M1225" s="613"/>
      <c r="N1225" s="614"/>
      <c r="O1225" s="584"/>
      <c r="P1225" s="613"/>
      <c r="Q1225" s="584"/>
      <c r="R1225" s="584"/>
      <c r="S1225" s="584"/>
      <c r="T1225" s="584"/>
      <c r="U1225" s="584"/>
      <c r="V1225" s="584"/>
      <c r="W1225" s="584"/>
      <c r="X1225" s="584"/>
      <c r="Y1225" s="584"/>
      <c r="Z1225" s="584"/>
      <c r="AA1225" s="584"/>
      <c r="AB1225" s="584"/>
      <c r="AC1225" s="584"/>
      <c r="AD1225" s="584"/>
      <c r="AE1225" s="584"/>
      <c r="AF1225" s="584"/>
    </row>
    <row r="1226" ht="14.25" customHeight="1">
      <c r="A1226" s="584"/>
      <c r="B1226" s="584"/>
      <c r="C1226" s="612"/>
      <c r="D1226" s="612"/>
      <c r="E1226" s="584"/>
      <c r="F1226" s="584"/>
      <c r="G1226" s="584"/>
      <c r="H1226" s="584"/>
      <c r="I1226" s="584"/>
      <c r="J1226" s="584"/>
      <c r="K1226" s="584"/>
      <c r="L1226" s="613"/>
      <c r="M1226" s="613"/>
      <c r="N1226" s="614"/>
      <c r="O1226" s="584"/>
      <c r="P1226" s="613"/>
      <c r="Q1226" s="584"/>
      <c r="R1226" s="584"/>
      <c r="S1226" s="584"/>
      <c r="T1226" s="584"/>
      <c r="U1226" s="584"/>
      <c r="V1226" s="584"/>
      <c r="W1226" s="584"/>
      <c r="X1226" s="584"/>
      <c r="Y1226" s="584"/>
      <c r="Z1226" s="584"/>
      <c r="AA1226" s="584"/>
      <c r="AB1226" s="584"/>
      <c r="AC1226" s="584"/>
      <c r="AD1226" s="584"/>
      <c r="AE1226" s="584"/>
      <c r="AF1226" s="584"/>
    </row>
    <row r="1227" ht="14.25" customHeight="1">
      <c r="A1227" s="584"/>
      <c r="B1227" s="584"/>
      <c r="C1227" s="612"/>
      <c r="D1227" s="612"/>
      <c r="E1227" s="584"/>
      <c r="F1227" s="584"/>
      <c r="G1227" s="584"/>
      <c r="H1227" s="584"/>
      <c r="I1227" s="584"/>
      <c r="J1227" s="584"/>
      <c r="K1227" s="584"/>
      <c r="L1227" s="613"/>
      <c r="M1227" s="613"/>
      <c r="N1227" s="614"/>
      <c r="O1227" s="584"/>
      <c r="P1227" s="613"/>
      <c r="Q1227" s="584"/>
      <c r="R1227" s="584"/>
      <c r="S1227" s="584"/>
      <c r="T1227" s="584"/>
      <c r="U1227" s="584"/>
      <c r="V1227" s="584"/>
      <c r="W1227" s="584"/>
      <c r="X1227" s="584"/>
      <c r="Y1227" s="584"/>
      <c r="Z1227" s="584"/>
      <c r="AA1227" s="584"/>
      <c r="AB1227" s="584"/>
      <c r="AC1227" s="584"/>
      <c r="AD1227" s="584"/>
      <c r="AE1227" s="584"/>
      <c r="AF1227" s="584"/>
    </row>
    <row r="1228" ht="14.25" customHeight="1">
      <c r="A1228" s="584"/>
      <c r="B1228" s="584"/>
      <c r="C1228" s="612"/>
      <c r="D1228" s="612"/>
      <c r="E1228" s="584"/>
      <c r="F1228" s="584"/>
      <c r="G1228" s="584"/>
      <c r="H1228" s="584"/>
      <c r="I1228" s="584"/>
      <c r="J1228" s="584"/>
      <c r="K1228" s="584"/>
      <c r="L1228" s="613"/>
      <c r="M1228" s="613"/>
      <c r="N1228" s="614"/>
      <c r="O1228" s="584"/>
      <c r="P1228" s="613"/>
      <c r="Q1228" s="584"/>
      <c r="R1228" s="584"/>
      <c r="S1228" s="584"/>
      <c r="T1228" s="584"/>
      <c r="U1228" s="584"/>
      <c r="V1228" s="584"/>
      <c r="W1228" s="584"/>
      <c r="X1228" s="584"/>
      <c r="Y1228" s="584"/>
      <c r="Z1228" s="584"/>
      <c r="AA1228" s="584"/>
      <c r="AB1228" s="584"/>
      <c r="AC1228" s="584"/>
      <c r="AD1228" s="584"/>
      <c r="AE1228" s="584"/>
      <c r="AF1228" s="584"/>
    </row>
    <row r="1229" ht="14.25" customHeight="1">
      <c r="A1229" s="584"/>
      <c r="B1229" s="584"/>
      <c r="C1229" s="612"/>
      <c r="D1229" s="612"/>
      <c r="E1229" s="584"/>
      <c r="F1229" s="584"/>
      <c r="G1229" s="584"/>
      <c r="H1229" s="584"/>
      <c r="I1229" s="584"/>
      <c r="J1229" s="584"/>
      <c r="K1229" s="584"/>
      <c r="L1229" s="613"/>
      <c r="M1229" s="613"/>
      <c r="N1229" s="614"/>
      <c r="O1229" s="584"/>
      <c r="P1229" s="613"/>
      <c r="Q1229" s="584"/>
      <c r="R1229" s="584"/>
      <c r="S1229" s="584"/>
      <c r="T1229" s="584"/>
      <c r="U1229" s="584"/>
      <c r="V1229" s="584"/>
      <c r="W1229" s="584"/>
      <c r="X1229" s="584"/>
      <c r="Y1229" s="584"/>
      <c r="Z1229" s="584"/>
      <c r="AA1229" s="584"/>
      <c r="AB1229" s="584"/>
      <c r="AC1229" s="584"/>
      <c r="AD1229" s="584"/>
      <c r="AE1229" s="584"/>
      <c r="AF1229" s="584"/>
    </row>
    <row r="1230" ht="14.25" customHeight="1">
      <c r="A1230" s="584"/>
      <c r="B1230" s="584"/>
      <c r="C1230" s="612"/>
      <c r="D1230" s="612"/>
      <c r="E1230" s="584"/>
      <c r="F1230" s="584"/>
      <c r="G1230" s="584"/>
      <c r="H1230" s="584"/>
      <c r="I1230" s="584"/>
      <c r="J1230" s="584"/>
      <c r="K1230" s="584"/>
      <c r="L1230" s="613"/>
      <c r="M1230" s="613"/>
      <c r="N1230" s="614"/>
      <c r="O1230" s="584"/>
      <c r="P1230" s="613"/>
      <c r="Q1230" s="584"/>
      <c r="R1230" s="584"/>
      <c r="S1230" s="584"/>
      <c r="T1230" s="584"/>
      <c r="U1230" s="584"/>
      <c r="V1230" s="584"/>
      <c r="W1230" s="584"/>
      <c r="X1230" s="584"/>
      <c r="Y1230" s="584"/>
      <c r="Z1230" s="584"/>
      <c r="AA1230" s="584"/>
      <c r="AB1230" s="584"/>
      <c r="AC1230" s="584"/>
      <c r="AD1230" s="584"/>
      <c r="AE1230" s="584"/>
      <c r="AF1230" s="584"/>
    </row>
    <row r="1231" ht="14.25" customHeight="1">
      <c r="A1231" s="584"/>
      <c r="B1231" s="584"/>
      <c r="C1231" s="612"/>
      <c r="D1231" s="612"/>
      <c r="E1231" s="584"/>
      <c r="F1231" s="584"/>
      <c r="G1231" s="584"/>
      <c r="H1231" s="584"/>
      <c r="I1231" s="584"/>
      <c r="J1231" s="584"/>
      <c r="K1231" s="584"/>
      <c r="L1231" s="613"/>
      <c r="M1231" s="613"/>
      <c r="N1231" s="614"/>
      <c r="O1231" s="584"/>
      <c r="P1231" s="613"/>
      <c r="Q1231" s="584"/>
      <c r="R1231" s="584"/>
      <c r="S1231" s="584"/>
      <c r="T1231" s="584"/>
      <c r="U1231" s="584"/>
      <c r="V1231" s="584"/>
      <c r="W1231" s="584"/>
      <c r="X1231" s="584"/>
      <c r="Y1231" s="584"/>
      <c r="Z1231" s="584"/>
      <c r="AA1231" s="584"/>
      <c r="AB1231" s="584"/>
      <c r="AC1231" s="584"/>
      <c r="AD1231" s="584"/>
      <c r="AE1231" s="584"/>
      <c r="AF1231" s="584"/>
    </row>
    <row r="1232" ht="14.25" customHeight="1">
      <c r="A1232" s="584"/>
      <c r="B1232" s="584"/>
      <c r="C1232" s="612"/>
      <c r="D1232" s="612"/>
      <c r="E1232" s="584"/>
      <c r="F1232" s="584"/>
      <c r="G1232" s="584"/>
      <c r="H1232" s="584"/>
      <c r="I1232" s="584"/>
      <c r="J1232" s="584"/>
      <c r="K1232" s="584"/>
      <c r="L1232" s="615"/>
      <c r="M1232" s="613"/>
      <c r="N1232" s="614"/>
      <c r="O1232" s="584"/>
      <c r="P1232" s="613"/>
      <c r="Q1232" s="584"/>
      <c r="R1232" s="584"/>
      <c r="S1232" s="584"/>
      <c r="T1232" s="584"/>
      <c r="U1232" s="584"/>
      <c r="V1232" s="584"/>
      <c r="W1232" s="584"/>
      <c r="X1232" s="584"/>
      <c r="Y1232" s="584"/>
      <c r="Z1232" s="584"/>
      <c r="AA1232" s="584"/>
      <c r="AB1232" s="584"/>
      <c r="AC1232" s="584"/>
      <c r="AD1232" s="584"/>
      <c r="AE1232" s="584"/>
      <c r="AF1232" s="584"/>
    </row>
    <row r="1233" ht="14.25" customHeight="1">
      <c r="A1233" s="584"/>
      <c r="B1233" s="584"/>
      <c r="C1233" s="612"/>
      <c r="D1233" s="612"/>
      <c r="E1233" s="584"/>
      <c r="F1233" s="584"/>
      <c r="G1233" s="584"/>
      <c r="H1233" s="584"/>
      <c r="I1233" s="584"/>
      <c r="J1233" s="584"/>
      <c r="K1233" s="584"/>
      <c r="L1233" s="613"/>
      <c r="M1233" s="613"/>
      <c r="N1233" s="614"/>
      <c r="O1233" s="584"/>
      <c r="P1233" s="613"/>
      <c r="Q1233" s="584"/>
      <c r="R1233" s="584"/>
      <c r="S1233" s="584"/>
      <c r="T1233" s="584"/>
      <c r="U1233" s="584"/>
      <c r="V1233" s="584"/>
      <c r="W1233" s="584"/>
      <c r="X1233" s="584"/>
      <c r="Y1233" s="584"/>
      <c r="Z1233" s="584"/>
      <c r="AA1233" s="584"/>
      <c r="AB1233" s="584"/>
      <c r="AC1233" s="584"/>
      <c r="AD1233" s="584"/>
      <c r="AE1233" s="584"/>
      <c r="AF1233" s="584"/>
    </row>
    <row r="1234" ht="14.25" customHeight="1">
      <c r="A1234" s="584"/>
      <c r="B1234" s="584"/>
      <c r="C1234" s="612"/>
      <c r="D1234" s="612"/>
      <c r="E1234" s="584"/>
      <c r="F1234" s="584"/>
      <c r="G1234" s="584"/>
      <c r="H1234" s="584"/>
      <c r="I1234" s="584"/>
      <c r="J1234" s="584"/>
      <c r="K1234" s="584"/>
      <c r="L1234" s="613"/>
      <c r="M1234" s="613"/>
      <c r="N1234" s="614"/>
      <c r="O1234" s="584"/>
      <c r="P1234" s="613"/>
      <c r="Q1234" s="584"/>
      <c r="R1234" s="584"/>
      <c r="S1234" s="584"/>
      <c r="T1234" s="584"/>
      <c r="U1234" s="584"/>
      <c r="V1234" s="584"/>
      <c r="W1234" s="584"/>
      <c r="X1234" s="584"/>
      <c r="Y1234" s="584"/>
      <c r="Z1234" s="584"/>
      <c r="AA1234" s="584"/>
      <c r="AB1234" s="584"/>
      <c r="AC1234" s="584"/>
      <c r="AD1234" s="584"/>
      <c r="AE1234" s="584"/>
      <c r="AF1234" s="584"/>
    </row>
    <row r="1235" ht="14.25" customHeight="1">
      <c r="A1235" s="584"/>
      <c r="B1235" s="584"/>
      <c r="C1235" s="612"/>
      <c r="D1235" s="612"/>
      <c r="E1235" s="584"/>
      <c r="F1235" s="584"/>
      <c r="G1235" s="584"/>
      <c r="H1235" s="584"/>
      <c r="I1235" s="584"/>
      <c r="J1235" s="584"/>
      <c r="K1235" s="584"/>
      <c r="L1235" s="613"/>
      <c r="M1235" s="613"/>
      <c r="N1235" s="614"/>
      <c r="O1235" s="584"/>
      <c r="P1235" s="613"/>
      <c r="Q1235" s="584"/>
      <c r="R1235" s="584"/>
      <c r="S1235" s="584"/>
      <c r="T1235" s="584"/>
      <c r="U1235" s="584"/>
      <c r="V1235" s="584"/>
      <c r="W1235" s="584"/>
      <c r="X1235" s="584"/>
      <c r="Y1235" s="584"/>
      <c r="Z1235" s="584"/>
      <c r="AA1235" s="584"/>
      <c r="AB1235" s="584"/>
      <c r="AC1235" s="584"/>
      <c r="AD1235" s="584"/>
      <c r="AE1235" s="584"/>
      <c r="AF1235" s="584"/>
    </row>
    <row r="1236" ht="14.25" customHeight="1">
      <c r="A1236" s="584"/>
      <c r="B1236" s="584"/>
      <c r="C1236" s="612"/>
      <c r="D1236" s="612"/>
      <c r="E1236" s="584"/>
      <c r="F1236" s="584"/>
      <c r="G1236" s="584"/>
      <c r="H1236" s="584"/>
      <c r="I1236" s="584"/>
      <c r="J1236" s="584"/>
      <c r="K1236" s="584"/>
      <c r="L1236" s="615"/>
      <c r="M1236" s="613"/>
      <c r="N1236" s="614"/>
      <c r="O1236" s="584"/>
      <c r="P1236" s="613"/>
      <c r="Q1236" s="584"/>
      <c r="R1236" s="584"/>
      <c r="S1236" s="584"/>
      <c r="T1236" s="584"/>
      <c r="U1236" s="584"/>
      <c r="V1236" s="584"/>
      <c r="W1236" s="584"/>
      <c r="X1236" s="584"/>
      <c r="Y1236" s="584"/>
      <c r="Z1236" s="584"/>
      <c r="AA1236" s="584"/>
      <c r="AB1236" s="584"/>
      <c r="AC1236" s="584"/>
      <c r="AD1236" s="584"/>
      <c r="AE1236" s="584"/>
      <c r="AF1236" s="584"/>
    </row>
    <row r="1237" ht="14.25" customHeight="1">
      <c r="A1237" s="584"/>
      <c r="B1237" s="584"/>
      <c r="C1237" s="612"/>
      <c r="D1237" s="612"/>
      <c r="E1237" s="584"/>
      <c r="F1237" s="584"/>
      <c r="G1237" s="584"/>
      <c r="H1237" s="584"/>
      <c r="I1237" s="584"/>
      <c r="J1237" s="584"/>
      <c r="K1237" s="584"/>
      <c r="L1237" s="613"/>
      <c r="M1237" s="613"/>
      <c r="N1237" s="614"/>
      <c r="O1237" s="584"/>
      <c r="P1237" s="613"/>
      <c r="Q1237" s="584"/>
      <c r="R1237" s="584"/>
      <c r="S1237" s="584"/>
      <c r="T1237" s="584"/>
      <c r="U1237" s="584"/>
      <c r="V1237" s="584"/>
      <c r="W1237" s="584"/>
      <c r="X1237" s="584"/>
      <c r="Y1237" s="584"/>
      <c r="Z1237" s="584"/>
      <c r="AA1237" s="584"/>
      <c r="AB1237" s="584"/>
      <c r="AC1237" s="584"/>
      <c r="AD1237" s="584"/>
      <c r="AE1237" s="584"/>
      <c r="AF1237" s="584"/>
    </row>
    <row r="1238" ht="14.25" customHeight="1">
      <c r="A1238" s="584"/>
      <c r="B1238" s="584"/>
      <c r="C1238" s="612"/>
      <c r="D1238" s="612"/>
      <c r="E1238" s="584"/>
      <c r="F1238" s="584"/>
      <c r="G1238" s="584"/>
      <c r="H1238" s="584"/>
      <c r="I1238" s="584"/>
      <c r="J1238" s="584"/>
      <c r="K1238" s="584"/>
      <c r="L1238" s="613"/>
      <c r="M1238" s="613"/>
      <c r="N1238" s="614"/>
      <c r="O1238" s="584"/>
      <c r="P1238" s="613"/>
      <c r="Q1238" s="584"/>
      <c r="R1238" s="584"/>
      <c r="S1238" s="584"/>
      <c r="T1238" s="584"/>
      <c r="U1238" s="584"/>
      <c r="V1238" s="584"/>
      <c r="W1238" s="584"/>
      <c r="X1238" s="584"/>
      <c r="Y1238" s="584"/>
      <c r="Z1238" s="584"/>
      <c r="AA1238" s="584"/>
      <c r="AB1238" s="584"/>
      <c r="AC1238" s="584"/>
      <c r="AD1238" s="584"/>
      <c r="AE1238" s="584"/>
      <c r="AF1238" s="584"/>
    </row>
    <row r="1239" ht="14.25" customHeight="1">
      <c r="A1239" s="584"/>
      <c r="B1239" s="584"/>
      <c r="C1239" s="612"/>
      <c r="D1239" s="612"/>
      <c r="E1239" s="584"/>
      <c r="F1239" s="584"/>
      <c r="G1239" s="584"/>
      <c r="H1239" s="584"/>
      <c r="I1239" s="584"/>
      <c r="J1239" s="584"/>
      <c r="K1239" s="584"/>
      <c r="L1239" s="613"/>
      <c r="M1239" s="613"/>
      <c r="N1239" s="614"/>
      <c r="O1239" s="584"/>
      <c r="P1239" s="613"/>
      <c r="Q1239" s="584"/>
      <c r="R1239" s="584"/>
      <c r="S1239" s="584"/>
      <c r="T1239" s="584"/>
      <c r="U1239" s="584"/>
      <c r="V1239" s="584"/>
      <c r="W1239" s="584"/>
      <c r="X1239" s="584"/>
      <c r="Y1239" s="584"/>
      <c r="Z1239" s="584"/>
      <c r="AA1239" s="584"/>
      <c r="AB1239" s="584"/>
      <c r="AC1239" s="584"/>
      <c r="AD1239" s="584"/>
      <c r="AE1239" s="584"/>
      <c r="AF1239" s="584"/>
    </row>
    <row r="1240" ht="14.25" customHeight="1">
      <c r="A1240" s="584"/>
      <c r="B1240" s="584"/>
      <c r="C1240" s="612"/>
      <c r="D1240" s="612"/>
      <c r="E1240" s="584"/>
      <c r="F1240" s="584"/>
      <c r="G1240" s="584"/>
      <c r="H1240" s="584"/>
      <c r="I1240" s="584"/>
      <c r="J1240" s="584"/>
      <c r="K1240" s="584"/>
      <c r="L1240" s="613"/>
      <c r="M1240" s="613"/>
      <c r="N1240" s="614"/>
      <c r="O1240" s="584"/>
      <c r="P1240" s="613"/>
      <c r="Q1240" s="584"/>
      <c r="R1240" s="584"/>
      <c r="S1240" s="584"/>
      <c r="T1240" s="584"/>
      <c r="U1240" s="584"/>
      <c r="V1240" s="584"/>
      <c r="W1240" s="584"/>
      <c r="X1240" s="584"/>
      <c r="Y1240" s="584"/>
      <c r="Z1240" s="584"/>
      <c r="AA1240" s="584"/>
      <c r="AB1240" s="584"/>
      <c r="AC1240" s="584"/>
      <c r="AD1240" s="584"/>
      <c r="AE1240" s="584"/>
      <c r="AF1240" s="584"/>
    </row>
    <row r="1241" ht="14.25" customHeight="1">
      <c r="A1241" s="584"/>
      <c r="B1241" s="584"/>
      <c r="C1241" s="612"/>
      <c r="D1241" s="612"/>
      <c r="E1241" s="584"/>
      <c r="F1241" s="584"/>
      <c r="G1241" s="584"/>
      <c r="H1241" s="584"/>
      <c r="I1241" s="584"/>
      <c r="J1241" s="584"/>
      <c r="K1241" s="584"/>
      <c r="L1241" s="613"/>
      <c r="M1241" s="613"/>
      <c r="N1241" s="614"/>
      <c r="O1241" s="584"/>
      <c r="P1241" s="613"/>
      <c r="Q1241" s="584"/>
      <c r="R1241" s="584"/>
      <c r="S1241" s="584"/>
      <c r="T1241" s="584"/>
      <c r="U1241" s="584"/>
      <c r="V1241" s="584"/>
      <c r="W1241" s="584"/>
      <c r="X1241" s="584"/>
      <c r="Y1241" s="584"/>
      <c r="Z1241" s="584"/>
      <c r="AA1241" s="584"/>
      <c r="AB1241" s="584"/>
      <c r="AC1241" s="584"/>
      <c r="AD1241" s="584"/>
      <c r="AE1241" s="584"/>
      <c r="AF1241" s="584"/>
    </row>
    <row r="1242" ht="14.25" customHeight="1">
      <c r="A1242" s="584"/>
      <c r="B1242" s="584"/>
      <c r="C1242" s="612"/>
      <c r="D1242" s="612"/>
      <c r="E1242" s="584"/>
      <c r="F1242" s="584"/>
      <c r="G1242" s="584"/>
      <c r="H1242" s="584"/>
      <c r="I1242" s="584"/>
      <c r="J1242" s="584"/>
      <c r="K1242" s="584"/>
      <c r="L1242" s="613"/>
      <c r="M1242" s="613"/>
      <c r="N1242" s="614"/>
      <c r="O1242" s="584"/>
      <c r="P1242" s="613"/>
      <c r="Q1242" s="584"/>
      <c r="R1242" s="584"/>
      <c r="S1242" s="584"/>
      <c r="T1242" s="584"/>
      <c r="U1242" s="584"/>
      <c r="V1242" s="584"/>
      <c r="W1242" s="584"/>
      <c r="X1242" s="584"/>
      <c r="Y1242" s="584"/>
      <c r="Z1242" s="584"/>
      <c r="AA1242" s="584"/>
      <c r="AB1242" s="584"/>
      <c r="AC1242" s="584"/>
      <c r="AD1242" s="584"/>
      <c r="AE1242" s="584"/>
      <c r="AF1242" s="584"/>
    </row>
    <row r="1243" ht="14.25" customHeight="1">
      <c r="A1243" s="584"/>
      <c r="B1243" s="584"/>
      <c r="C1243" s="612"/>
      <c r="D1243" s="612"/>
      <c r="E1243" s="584"/>
      <c r="F1243" s="584"/>
      <c r="G1243" s="584"/>
      <c r="H1243" s="584"/>
      <c r="I1243" s="584"/>
      <c r="J1243" s="584"/>
      <c r="K1243" s="584"/>
      <c r="L1243" s="613"/>
      <c r="M1243" s="613"/>
      <c r="N1243" s="614"/>
      <c r="O1243" s="584"/>
      <c r="P1243" s="613"/>
      <c r="Q1243" s="584"/>
      <c r="R1243" s="584"/>
      <c r="S1243" s="584"/>
      <c r="T1243" s="584"/>
      <c r="U1243" s="584"/>
      <c r="V1243" s="584"/>
      <c r="W1243" s="584"/>
      <c r="X1243" s="584"/>
      <c r="Y1243" s="584"/>
      <c r="Z1243" s="584"/>
      <c r="AA1243" s="584"/>
      <c r="AB1243" s="584"/>
      <c r="AC1243" s="584"/>
      <c r="AD1243" s="584"/>
      <c r="AE1243" s="584"/>
      <c r="AF1243" s="584"/>
    </row>
    <row r="1244" ht="14.25" customHeight="1">
      <c r="A1244" s="584"/>
      <c r="B1244" s="584"/>
      <c r="C1244" s="612"/>
      <c r="D1244" s="612"/>
      <c r="E1244" s="584"/>
      <c r="F1244" s="584"/>
      <c r="G1244" s="584"/>
      <c r="H1244" s="584"/>
      <c r="I1244" s="584"/>
      <c r="J1244" s="584"/>
      <c r="K1244" s="584"/>
      <c r="L1244" s="613"/>
      <c r="M1244" s="613"/>
      <c r="N1244" s="614"/>
      <c r="O1244" s="584"/>
      <c r="P1244" s="613"/>
      <c r="Q1244" s="584"/>
      <c r="R1244" s="584"/>
      <c r="S1244" s="584"/>
      <c r="T1244" s="584"/>
      <c r="U1244" s="584"/>
      <c r="V1244" s="584"/>
      <c r="W1244" s="584"/>
      <c r="X1244" s="584"/>
      <c r="Y1244" s="584"/>
      <c r="Z1244" s="584"/>
      <c r="AA1244" s="584"/>
      <c r="AB1244" s="584"/>
      <c r="AC1244" s="584"/>
      <c r="AD1244" s="584"/>
      <c r="AE1244" s="584"/>
      <c r="AF1244" s="584"/>
    </row>
    <row r="1245" ht="14.25" customHeight="1">
      <c r="A1245" s="584"/>
      <c r="B1245" s="584"/>
      <c r="C1245" s="612"/>
      <c r="D1245" s="612"/>
      <c r="E1245" s="584"/>
      <c r="F1245" s="584"/>
      <c r="G1245" s="584"/>
      <c r="H1245" s="584"/>
      <c r="I1245" s="584"/>
      <c r="J1245" s="584"/>
      <c r="K1245" s="584"/>
      <c r="L1245" s="613"/>
      <c r="M1245" s="613"/>
      <c r="N1245" s="614"/>
      <c r="O1245" s="584"/>
      <c r="P1245" s="613"/>
      <c r="Q1245" s="584"/>
      <c r="R1245" s="584"/>
      <c r="S1245" s="584"/>
      <c r="T1245" s="584"/>
      <c r="U1245" s="584"/>
      <c r="V1245" s="584"/>
      <c r="W1245" s="584"/>
      <c r="X1245" s="584"/>
      <c r="Y1245" s="584"/>
      <c r="Z1245" s="584"/>
      <c r="AA1245" s="584"/>
      <c r="AB1245" s="584"/>
      <c r="AC1245" s="584"/>
      <c r="AD1245" s="584"/>
      <c r="AE1245" s="584"/>
      <c r="AF1245" s="584"/>
    </row>
    <row r="1246" ht="14.25" customHeight="1">
      <c r="A1246" s="584"/>
      <c r="B1246" s="584"/>
      <c r="C1246" s="612"/>
      <c r="D1246" s="612"/>
      <c r="E1246" s="584"/>
      <c r="F1246" s="584"/>
      <c r="G1246" s="584"/>
      <c r="H1246" s="584"/>
      <c r="I1246" s="584"/>
      <c r="J1246" s="584"/>
      <c r="K1246" s="584"/>
      <c r="L1246" s="613"/>
      <c r="M1246" s="613"/>
      <c r="N1246" s="614"/>
      <c r="O1246" s="584"/>
      <c r="P1246" s="613"/>
      <c r="Q1246" s="584"/>
      <c r="R1246" s="584"/>
      <c r="S1246" s="584"/>
      <c r="T1246" s="584"/>
      <c r="U1246" s="584"/>
      <c r="V1246" s="584"/>
      <c r="W1246" s="584"/>
      <c r="X1246" s="584"/>
      <c r="Y1246" s="584"/>
      <c r="Z1246" s="584"/>
      <c r="AA1246" s="584"/>
      <c r="AB1246" s="584"/>
      <c r="AC1246" s="584"/>
      <c r="AD1246" s="584"/>
      <c r="AE1246" s="584"/>
      <c r="AF1246" s="584"/>
    </row>
    <row r="1247" ht="14.25" customHeight="1">
      <c r="A1247" s="584"/>
      <c r="B1247" s="584"/>
      <c r="C1247" s="612"/>
      <c r="D1247" s="612"/>
      <c r="E1247" s="584"/>
      <c r="F1247" s="584"/>
      <c r="G1247" s="584"/>
      <c r="H1247" s="584"/>
      <c r="I1247" s="584"/>
      <c r="J1247" s="584"/>
      <c r="K1247" s="584"/>
      <c r="L1247" s="613"/>
      <c r="M1247" s="613"/>
      <c r="N1247" s="614"/>
      <c r="O1247" s="584"/>
      <c r="P1247" s="613"/>
      <c r="Q1247" s="584"/>
      <c r="R1247" s="584"/>
      <c r="S1247" s="584"/>
      <c r="T1247" s="584"/>
      <c r="U1247" s="584"/>
      <c r="V1247" s="584"/>
      <c r="W1247" s="584"/>
      <c r="X1247" s="584"/>
      <c r="Y1247" s="584"/>
      <c r="Z1247" s="584"/>
      <c r="AA1247" s="584"/>
      <c r="AB1247" s="584"/>
      <c r="AC1247" s="584"/>
      <c r="AD1247" s="584"/>
      <c r="AE1247" s="584"/>
      <c r="AF1247" s="584"/>
    </row>
    <row r="1248" ht="14.25" customHeight="1">
      <c r="A1248" s="584"/>
      <c r="B1248" s="584"/>
      <c r="C1248" s="612"/>
      <c r="D1248" s="612"/>
      <c r="E1248" s="584"/>
      <c r="F1248" s="584"/>
      <c r="G1248" s="584"/>
      <c r="H1248" s="584"/>
      <c r="I1248" s="584"/>
      <c r="J1248" s="584"/>
      <c r="K1248" s="584"/>
      <c r="L1248" s="613"/>
      <c r="M1248" s="613"/>
      <c r="N1248" s="614"/>
      <c r="O1248" s="584"/>
      <c r="P1248" s="613"/>
      <c r="Q1248" s="584"/>
      <c r="R1248" s="584"/>
      <c r="S1248" s="584"/>
      <c r="T1248" s="584"/>
      <c r="U1248" s="584"/>
      <c r="V1248" s="584"/>
      <c r="W1248" s="584"/>
      <c r="X1248" s="584"/>
      <c r="Y1248" s="584"/>
      <c r="Z1248" s="584"/>
      <c r="AA1248" s="584"/>
      <c r="AB1248" s="584"/>
      <c r="AC1248" s="584"/>
      <c r="AD1248" s="584"/>
      <c r="AE1248" s="584"/>
      <c r="AF1248" s="584"/>
    </row>
    <row r="1249" ht="14.25" customHeight="1">
      <c r="A1249" s="584"/>
      <c r="B1249" s="584"/>
      <c r="C1249" s="612"/>
      <c r="D1249" s="612"/>
      <c r="E1249" s="584"/>
      <c r="F1249" s="584"/>
      <c r="G1249" s="584"/>
      <c r="H1249" s="584"/>
      <c r="I1249" s="584"/>
      <c r="J1249" s="584"/>
      <c r="K1249" s="584"/>
      <c r="L1249" s="613"/>
      <c r="M1249" s="613"/>
      <c r="N1249" s="614"/>
      <c r="O1249" s="584"/>
      <c r="P1249" s="613"/>
      <c r="Q1249" s="584"/>
      <c r="R1249" s="584"/>
      <c r="S1249" s="584"/>
      <c r="T1249" s="584"/>
      <c r="U1249" s="584"/>
      <c r="V1249" s="584"/>
      <c r="W1249" s="584"/>
      <c r="X1249" s="584"/>
      <c r="Y1249" s="584"/>
      <c r="Z1249" s="584"/>
      <c r="AA1249" s="584"/>
      <c r="AB1249" s="584"/>
      <c r="AC1249" s="584"/>
      <c r="AD1249" s="584"/>
      <c r="AE1249" s="584"/>
      <c r="AF1249" s="584"/>
    </row>
    <row r="1250" ht="14.25" customHeight="1">
      <c r="A1250" s="584"/>
      <c r="B1250" s="584"/>
      <c r="C1250" s="612"/>
      <c r="D1250" s="612"/>
      <c r="E1250" s="584"/>
      <c r="F1250" s="584"/>
      <c r="G1250" s="584"/>
      <c r="H1250" s="584"/>
      <c r="I1250" s="584"/>
      <c r="J1250" s="584"/>
      <c r="K1250" s="584"/>
      <c r="L1250" s="615"/>
      <c r="M1250" s="613"/>
      <c r="N1250" s="614"/>
      <c r="O1250" s="584"/>
      <c r="P1250" s="613"/>
      <c r="Q1250" s="584"/>
      <c r="R1250" s="584"/>
      <c r="S1250" s="584"/>
      <c r="T1250" s="584"/>
      <c r="U1250" s="584"/>
      <c r="V1250" s="584"/>
      <c r="W1250" s="584"/>
      <c r="X1250" s="584"/>
      <c r="Y1250" s="584"/>
      <c r="Z1250" s="584"/>
      <c r="AA1250" s="584"/>
      <c r="AB1250" s="584"/>
      <c r="AC1250" s="584"/>
      <c r="AD1250" s="584"/>
      <c r="AE1250" s="584"/>
      <c r="AF1250" s="584"/>
    </row>
    <row r="1251" ht="14.25" customHeight="1">
      <c r="A1251" s="584"/>
      <c r="B1251" s="584"/>
      <c r="C1251" s="612"/>
      <c r="D1251" s="612"/>
      <c r="E1251" s="584"/>
      <c r="F1251" s="584"/>
      <c r="G1251" s="584"/>
      <c r="H1251" s="584"/>
      <c r="I1251" s="584"/>
      <c r="J1251" s="584"/>
      <c r="K1251" s="584"/>
      <c r="L1251" s="584"/>
      <c r="M1251" s="613"/>
      <c r="N1251" s="614"/>
      <c r="O1251" s="584"/>
      <c r="P1251" s="613"/>
      <c r="Q1251" s="584"/>
      <c r="R1251" s="584"/>
      <c r="S1251" s="584"/>
      <c r="T1251" s="584"/>
      <c r="U1251" s="584"/>
      <c r="V1251" s="584"/>
      <c r="W1251" s="584"/>
      <c r="X1251" s="584"/>
      <c r="Y1251" s="584"/>
      <c r="Z1251" s="584"/>
      <c r="AA1251" s="584"/>
      <c r="AB1251" s="584"/>
      <c r="AC1251" s="584"/>
      <c r="AD1251" s="584"/>
      <c r="AE1251" s="584"/>
      <c r="AF1251" s="584"/>
    </row>
    <row r="1252" ht="14.25" customHeight="1">
      <c r="A1252" s="584"/>
      <c r="B1252" s="584"/>
      <c r="C1252" s="612"/>
      <c r="D1252" s="612"/>
      <c r="E1252" s="584"/>
      <c r="F1252" s="584"/>
      <c r="G1252" s="584"/>
      <c r="H1252" s="584"/>
      <c r="I1252" s="584"/>
      <c r="J1252" s="584"/>
      <c r="K1252" s="584"/>
      <c r="L1252" s="613"/>
      <c r="M1252" s="613"/>
      <c r="N1252" s="614"/>
      <c r="O1252" s="584"/>
      <c r="P1252" s="613"/>
      <c r="Q1252" s="584"/>
      <c r="R1252" s="584"/>
      <c r="S1252" s="584"/>
      <c r="T1252" s="584"/>
      <c r="U1252" s="584"/>
      <c r="V1252" s="584"/>
      <c r="W1252" s="584"/>
      <c r="X1252" s="584"/>
      <c r="Y1252" s="584"/>
      <c r="Z1252" s="584"/>
      <c r="AA1252" s="584"/>
      <c r="AB1252" s="584"/>
      <c r="AC1252" s="584"/>
      <c r="AD1252" s="584"/>
      <c r="AE1252" s="584"/>
      <c r="AF1252" s="584"/>
    </row>
    <row r="1253" ht="14.25" customHeight="1">
      <c r="A1253" s="584"/>
      <c r="B1253" s="584"/>
      <c r="C1253" s="612"/>
      <c r="D1253" s="612"/>
      <c r="E1253" s="584"/>
      <c r="F1253" s="584"/>
      <c r="G1253" s="584"/>
      <c r="H1253" s="584"/>
      <c r="I1253" s="584"/>
      <c r="J1253" s="584"/>
      <c r="K1253" s="584"/>
      <c r="L1253" s="613"/>
      <c r="M1253" s="613"/>
      <c r="N1253" s="614"/>
      <c r="O1253" s="584"/>
      <c r="P1253" s="613"/>
      <c r="Q1253" s="584"/>
      <c r="R1253" s="584"/>
      <c r="S1253" s="584"/>
      <c r="T1253" s="584"/>
      <c r="U1253" s="584"/>
      <c r="V1253" s="584"/>
      <c r="W1253" s="584"/>
      <c r="X1253" s="584"/>
      <c r="Y1253" s="584"/>
      <c r="Z1253" s="584"/>
      <c r="AA1253" s="584"/>
      <c r="AB1253" s="584"/>
      <c r="AC1253" s="584"/>
      <c r="AD1253" s="584"/>
      <c r="AE1253" s="584"/>
      <c r="AF1253" s="584"/>
    </row>
    <row r="1254" ht="14.25" customHeight="1">
      <c r="A1254" s="584"/>
      <c r="B1254" s="584"/>
      <c r="C1254" s="612"/>
      <c r="D1254" s="612"/>
      <c r="E1254" s="584"/>
      <c r="F1254" s="584"/>
      <c r="G1254" s="584"/>
      <c r="H1254" s="584"/>
      <c r="I1254" s="584"/>
      <c r="J1254" s="584"/>
      <c r="K1254" s="584"/>
      <c r="L1254" s="613"/>
      <c r="M1254" s="613"/>
      <c r="N1254" s="614"/>
      <c r="O1254" s="584"/>
      <c r="P1254" s="613"/>
      <c r="Q1254" s="584"/>
      <c r="R1254" s="584"/>
      <c r="S1254" s="584"/>
      <c r="T1254" s="584"/>
      <c r="U1254" s="584"/>
      <c r="V1254" s="584"/>
      <c r="W1254" s="584"/>
      <c r="X1254" s="584"/>
      <c r="Y1254" s="584"/>
      <c r="Z1254" s="584"/>
      <c r="AA1254" s="584"/>
      <c r="AB1254" s="584"/>
      <c r="AC1254" s="584"/>
      <c r="AD1254" s="584"/>
      <c r="AE1254" s="584"/>
      <c r="AF1254" s="584"/>
    </row>
    <row r="1255" ht="14.25" customHeight="1">
      <c r="A1255" s="584"/>
      <c r="B1255" s="584"/>
      <c r="C1255" s="612"/>
      <c r="D1255" s="612"/>
      <c r="E1255" s="584"/>
      <c r="F1255" s="584"/>
      <c r="G1255" s="584"/>
      <c r="H1255" s="584"/>
      <c r="I1255" s="584"/>
      <c r="J1255" s="584"/>
      <c r="K1255" s="584"/>
      <c r="L1255" s="615"/>
      <c r="M1255" s="613"/>
      <c r="N1255" s="614"/>
      <c r="O1255" s="584"/>
      <c r="P1255" s="613"/>
      <c r="Q1255" s="584"/>
      <c r="R1255" s="584"/>
      <c r="S1255" s="584"/>
      <c r="T1255" s="584"/>
      <c r="U1255" s="584"/>
      <c r="V1255" s="584"/>
      <c r="W1255" s="584"/>
      <c r="X1255" s="584"/>
      <c r="Y1255" s="584"/>
      <c r="Z1255" s="584"/>
      <c r="AA1255" s="584"/>
      <c r="AB1255" s="584"/>
      <c r="AC1255" s="584"/>
      <c r="AD1255" s="584"/>
      <c r="AE1255" s="584"/>
      <c r="AF1255" s="584"/>
    </row>
    <row r="1256" ht="14.25" customHeight="1">
      <c r="A1256" s="584"/>
      <c r="B1256" s="584"/>
      <c r="C1256" s="612"/>
      <c r="D1256" s="612"/>
      <c r="E1256" s="584"/>
      <c r="F1256" s="584"/>
      <c r="G1256" s="584"/>
      <c r="H1256" s="584"/>
      <c r="I1256" s="584"/>
      <c r="J1256" s="584"/>
      <c r="K1256" s="584"/>
      <c r="L1256" s="613"/>
      <c r="M1256" s="613"/>
      <c r="N1256" s="614"/>
      <c r="O1256" s="584"/>
      <c r="P1256" s="613"/>
      <c r="Q1256" s="584"/>
      <c r="R1256" s="584"/>
      <c r="S1256" s="584"/>
      <c r="T1256" s="584"/>
      <c r="U1256" s="584"/>
      <c r="V1256" s="584"/>
      <c r="W1256" s="584"/>
      <c r="X1256" s="584"/>
      <c r="Y1256" s="584"/>
      <c r="Z1256" s="584"/>
      <c r="AA1256" s="584"/>
      <c r="AB1256" s="584"/>
      <c r="AC1256" s="584"/>
      <c r="AD1256" s="584"/>
      <c r="AE1256" s="584"/>
      <c r="AF1256" s="584"/>
    </row>
    <row r="1257" ht="14.25" customHeight="1">
      <c r="A1257" s="584"/>
      <c r="B1257" s="584"/>
      <c r="C1257" s="612"/>
      <c r="D1257" s="612"/>
      <c r="E1257" s="584"/>
      <c r="F1257" s="584"/>
      <c r="G1257" s="584"/>
      <c r="H1257" s="584"/>
      <c r="I1257" s="584"/>
      <c r="J1257" s="584"/>
      <c r="K1257" s="584"/>
      <c r="L1257" s="613"/>
      <c r="M1257" s="613"/>
      <c r="N1257" s="614"/>
      <c r="O1257" s="584"/>
      <c r="P1257" s="613"/>
      <c r="Q1257" s="584"/>
      <c r="R1257" s="584"/>
      <c r="S1257" s="584"/>
      <c r="T1257" s="584"/>
      <c r="U1257" s="584"/>
      <c r="V1257" s="584"/>
      <c r="W1257" s="584"/>
      <c r="X1257" s="584"/>
      <c r="Y1257" s="584"/>
      <c r="Z1257" s="584"/>
      <c r="AA1257" s="584"/>
      <c r="AB1257" s="584"/>
      <c r="AC1257" s="584"/>
      <c r="AD1257" s="584"/>
      <c r="AE1257" s="584"/>
      <c r="AF1257" s="584"/>
    </row>
    <row r="1258" ht="14.25" customHeight="1">
      <c r="A1258" s="584"/>
      <c r="B1258" s="584"/>
      <c r="C1258" s="612"/>
      <c r="D1258" s="612"/>
      <c r="E1258" s="584"/>
      <c r="F1258" s="584"/>
      <c r="G1258" s="584"/>
      <c r="H1258" s="584"/>
      <c r="I1258" s="584"/>
      <c r="J1258" s="584"/>
      <c r="K1258" s="584"/>
      <c r="L1258" s="613"/>
      <c r="M1258" s="613"/>
      <c r="N1258" s="614"/>
      <c r="O1258" s="584"/>
      <c r="P1258" s="613"/>
      <c r="Q1258" s="584"/>
      <c r="R1258" s="584"/>
      <c r="S1258" s="584"/>
      <c r="T1258" s="584"/>
      <c r="U1258" s="584"/>
      <c r="V1258" s="584"/>
      <c r="W1258" s="584"/>
      <c r="X1258" s="584"/>
      <c r="Y1258" s="584"/>
      <c r="Z1258" s="584"/>
      <c r="AA1258" s="584"/>
      <c r="AB1258" s="584"/>
      <c r="AC1258" s="584"/>
      <c r="AD1258" s="584"/>
      <c r="AE1258" s="584"/>
      <c r="AF1258" s="584"/>
    </row>
    <row r="1259" ht="14.25" customHeight="1">
      <c r="A1259" s="584"/>
      <c r="B1259" s="584"/>
      <c r="C1259" s="612"/>
      <c r="D1259" s="612"/>
      <c r="E1259" s="584"/>
      <c r="F1259" s="584"/>
      <c r="G1259" s="584"/>
      <c r="H1259" s="584"/>
      <c r="I1259" s="584"/>
      <c r="J1259" s="584"/>
      <c r="K1259" s="584"/>
      <c r="L1259" s="615"/>
      <c r="M1259" s="613"/>
      <c r="N1259" s="614"/>
      <c r="O1259" s="584"/>
      <c r="P1259" s="613"/>
      <c r="Q1259" s="584"/>
      <c r="R1259" s="584"/>
      <c r="S1259" s="584"/>
      <c r="T1259" s="584"/>
      <c r="U1259" s="584"/>
      <c r="V1259" s="584"/>
      <c r="W1259" s="584"/>
      <c r="X1259" s="584"/>
      <c r="Y1259" s="584"/>
      <c r="Z1259" s="584"/>
      <c r="AA1259" s="584"/>
      <c r="AB1259" s="584"/>
      <c r="AC1259" s="584"/>
      <c r="AD1259" s="584"/>
      <c r="AE1259" s="584"/>
      <c r="AF1259" s="584"/>
    </row>
    <row r="1260" ht="14.25" customHeight="1">
      <c r="A1260" s="584"/>
      <c r="B1260" s="584"/>
      <c r="C1260" s="612"/>
      <c r="D1260" s="612"/>
      <c r="E1260" s="584"/>
      <c r="F1260" s="584"/>
      <c r="G1260" s="584"/>
      <c r="H1260" s="584"/>
      <c r="I1260" s="584"/>
      <c r="J1260" s="584"/>
      <c r="K1260" s="584"/>
      <c r="L1260" s="615"/>
      <c r="M1260" s="613"/>
      <c r="N1260" s="614"/>
      <c r="O1260" s="584"/>
      <c r="P1260" s="613"/>
      <c r="Q1260" s="584"/>
      <c r="R1260" s="584"/>
      <c r="S1260" s="584"/>
      <c r="T1260" s="584"/>
      <c r="U1260" s="584"/>
      <c r="V1260" s="584"/>
      <c r="W1260" s="584"/>
      <c r="X1260" s="584"/>
      <c r="Y1260" s="584"/>
      <c r="Z1260" s="584"/>
      <c r="AA1260" s="584"/>
      <c r="AB1260" s="584"/>
      <c r="AC1260" s="584"/>
      <c r="AD1260" s="584"/>
      <c r="AE1260" s="584"/>
      <c r="AF1260" s="584"/>
    </row>
    <row r="1261" ht="14.25" customHeight="1">
      <c r="A1261" s="584"/>
      <c r="B1261" s="584"/>
      <c r="C1261" s="612"/>
      <c r="D1261" s="612"/>
      <c r="E1261" s="584"/>
      <c r="F1261" s="584"/>
      <c r="G1261" s="584"/>
      <c r="H1261" s="584"/>
      <c r="I1261" s="584"/>
      <c r="J1261" s="584"/>
      <c r="K1261" s="584"/>
      <c r="L1261" s="613"/>
      <c r="M1261" s="613"/>
      <c r="N1261" s="614"/>
      <c r="O1261" s="584"/>
      <c r="P1261" s="613"/>
      <c r="Q1261" s="584"/>
      <c r="R1261" s="584"/>
      <c r="S1261" s="584"/>
      <c r="T1261" s="584"/>
      <c r="U1261" s="584"/>
      <c r="V1261" s="584"/>
      <c r="W1261" s="584"/>
      <c r="X1261" s="584"/>
      <c r="Y1261" s="584"/>
      <c r="Z1261" s="584"/>
      <c r="AA1261" s="584"/>
      <c r="AB1261" s="584"/>
      <c r="AC1261" s="584"/>
      <c r="AD1261" s="584"/>
      <c r="AE1261" s="584"/>
      <c r="AF1261" s="584"/>
    </row>
    <row r="1262" ht="14.25" customHeight="1">
      <c r="A1262" s="584"/>
      <c r="B1262" s="584"/>
      <c r="C1262" s="612"/>
      <c r="D1262" s="612"/>
      <c r="E1262" s="584"/>
      <c r="F1262" s="584"/>
      <c r="G1262" s="584"/>
      <c r="H1262" s="584"/>
      <c r="I1262" s="584"/>
      <c r="J1262" s="584"/>
      <c r="K1262" s="584"/>
      <c r="L1262" s="613"/>
      <c r="M1262" s="613"/>
      <c r="N1262" s="614"/>
      <c r="O1262" s="584"/>
      <c r="P1262" s="613"/>
      <c r="Q1262" s="584"/>
      <c r="R1262" s="584"/>
      <c r="S1262" s="584"/>
      <c r="T1262" s="584"/>
      <c r="U1262" s="584"/>
      <c r="V1262" s="584"/>
      <c r="W1262" s="584"/>
      <c r="X1262" s="584"/>
      <c r="Y1262" s="584"/>
      <c r="Z1262" s="584"/>
      <c r="AA1262" s="584"/>
      <c r="AB1262" s="584"/>
      <c r="AC1262" s="584"/>
      <c r="AD1262" s="584"/>
      <c r="AE1262" s="584"/>
      <c r="AF1262" s="584"/>
    </row>
    <row r="1263" ht="14.25" customHeight="1">
      <c r="A1263" s="584"/>
      <c r="B1263" s="584"/>
      <c r="C1263" s="612"/>
      <c r="D1263" s="612"/>
      <c r="E1263" s="584"/>
      <c r="F1263" s="584"/>
      <c r="G1263" s="584"/>
      <c r="H1263" s="584"/>
      <c r="I1263" s="584"/>
      <c r="J1263" s="584"/>
      <c r="K1263" s="584"/>
      <c r="L1263" s="613"/>
      <c r="M1263" s="613"/>
      <c r="N1263" s="614"/>
      <c r="O1263" s="584"/>
      <c r="P1263" s="613"/>
      <c r="Q1263" s="584"/>
      <c r="R1263" s="584"/>
      <c r="S1263" s="584"/>
      <c r="T1263" s="584"/>
      <c r="U1263" s="584"/>
      <c r="V1263" s="584"/>
      <c r="W1263" s="584"/>
      <c r="X1263" s="584"/>
      <c r="Y1263" s="584"/>
      <c r="Z1263" s="584"/>
      <c r="AA1263" s="584"/>
      <c r="AB1263" s="584"/>
      <c r="AC1263" s="584"/>
      <c r="AD1263" s="584"/>
      <c r="AE1263" s="584"/>
      <c r="AF1263" s="584"/>
    </row>
    <row r="1264" ht="14.25" customHeight="1">
      <c r="A1264" s="584"/>
      <c r="B1264" s="584"/>
      <c r="C1264" s="612"/>
      <c r="D1264" s="612"/>
      <c r="E1264" s="584"/>
      <c r="F1264" s="584"/>
      <c r="G1264" s="584"/>
      <c r="H1264" s="584"/>
      <c r="I1264" s="584"/>
      <c r="J1264" s="584"/>
      <c r="K1264" s="584"/>
      <c r="L1264" s="613"/>
      <c r="M1264" s="613"/>
      <c r="N1264" s="614"/>
      <c r="O1264" s="584"/>
      <c r="P1264" s="613"/>
      <c r="Q1264" s="584"/>
      <c r="R1264" s="584"/>
      <c r="S1264" s="584"/>
      <c r="T1264" s="584"/>
      <c r="U1264" s="584"/>
      <c r="V1264" s="584"/>
      <c r="W1264" s="584"/>
      <c r="X1264" s="584"/>
      <c r="Y1264" s="584"/>
      <c r="Z1264" s="584"/>
      <c r="AA1264" s="584"/>
      <c r="AB1264" s="584"/>
      <c r="AC1264" s="584"/>
      <c r="AD1264" s="584"/>
      <c r="AE1264" s="584"/>
      <c r="AF1264" s="584"/>
    </row>
    <row r="1265" ht="14.25" customHeight="1">
      <c r="A1265" s="584"/>
      <c r="B1265" s="584"/>
      <c r="C1265" s="612"/>
      <c r="D1265" s="612"/>
      <c r="E1265" s="584"/>
      <c r="F1265" s="584"/>
      <c r="G1265" s="584"/>
      <c r="H1265" s="584"/>
      <c r="I1265" s="584"/>
      <c r="J1265" s="584"/>
      <c r="K1265" s="584"/>
      <c r="L1265" s="613"/>
      <c r="M1265" s="613"/>
      <c r="N1265" s="614"/>
      <c r="O1265" s="584"/>
      <c r="P1265" s="613"/>
      <c r="Q1265" s="584"/>
      <c r="R1265" s="584"/>
      <c r="S1265" s="584"/>
      <c r="T1265" s="584"/>
      <c r="U1265" s="584"/>
      <c r="V1265" s="584"/>
      <c r="W1265" s="584"/>
      <c r="X1265" s="584"/>
      <c r="Y1265" s="584"/>
      <c r="Z1265" s="584"/>
      <c r="AA1265" s="584"/>
      <c r="AB1265" s="584"/>
      <c r="AC1265" s="584"/>
      <c r="AD1265" s="584"/>
      <c r="AE1265" s="584"/>
      <c r="AF1265" s="584"/>
    </row>
    <row r="1266" ht="14.25" customHeight="1">
      <c r="A1266" s="584"/>
      <c r="B1266" s="584"/>
      <c r="C1266" s="612"/>
      <c r="D1266" s="612"/>
      <c r="E1266" s="584"/>
      <c r="F1266" s="584"/>
      <c r="G1266" s="584"/>
      <c r="H1266" s="584"/>
      <c r="I1266" s="584"/>
      <c r="J1266" s="584"/>
      <c r="K1266" s="584"/>
      <c r="L1266" s="613"/>
      <c r="M1266" s="613"/>
      <c r="N1266" s="614"/>
      <c r="O1266" s="584"/>
      <c r="P1266" s="613"/>
      <c r="Q1266" s="584"/>
      <c r="R1266" s="584"/>
      <c r="S1266" s="584"/>
      <c r="T1266" s="584"/>
      <c r="U1266" s="584"/>
      <c r="V1266" s="584"/>
      <c r="W1266" s="584"/>
      <c r="X1266" s="584"/>
      <c r="Y1266" s="584"/>
      <c r="Z1266" s="584"/>
      <c r="AA1266" s="584"/>
      <c r="AB1266" s="584"/>
      <c r="AC1266" s="584"/>
      <c r="AD1266" s="584"/>
      <c r="AE1266" s="584"/>
      <c r="AF1266" s="584"/>
    </row>
    <row r="1267" ht="14.25" customHeight="1">
      <c r="A1267" s="584"/>
      <c r="B1267" s="584"/>
      <c r="C1267" s="612"/>
      <c r="D1267" s="612"/>
      <c r="E1267" s="584"/>
      <c r="F1267" s="584"/>
      <c r="G1267" s="584"/>
      <c r="H1267" s="584"/>
      <c r="I1267" s="584"/>
      <c r="J1267" s="584"/>
      <c r="K1267" s="584"/>
      <c r="L1267" s="613"/>
      <c r="M1267" s="613"/>
      <c r="N1267" s="614"/>
      <c r="O1267" s="584"/>
      <c r="P1267" s="613"/>
      <c r="Q1267" s="584"/>
      <c r="R1267" s="584"/>
      <c r="S1267" s="584"/>
      <c r="T1267" s="584"/>
      <c r="U1267" s="584"/>
      <c r="V1267" s="584"/>
      <c r="W1267" s="584"/>
      <c r="X1267" s="584"/>
      <c r="Y1267" s="584"/>
      <c r="Z1267" s="584"/>
      <c r="AA1267" s="584"/>
      <c r="AB1267" s="584"/>
      <c r="AC1267" s="584"/>
      <c r="AD1267" s="584"/>
      <c r="AE1267" s="584"/>
      <c r="AF1267" s="584"/>
    </row>
    <row r="1268" ht="14.25" customHeight="1">
      <c r="A1268" s="584"/>
      <c r="B1268" s="584"/>
      <c r="C1268" s="612"/>
      <c r="D1268" s="612"/>
      <c r="E1268" s="584"/>
      <c r="F1268" s="584"/>
      <c r="G1268" s="584"/>
      <c r="H1268" s="584"/>
      <c r="I1268" s="584"/>
      <c r="J1268" s="584"/>
      <c r="K1268" s="584"/>
      <c r="L1268" s="613"/>
      <c r="M1268" s="613"/>
      <c r="N1268" s="614"/>
      <c r="O1268" s="584"/>
      <c r="P1268" s="613"/>
      <c r="Q1268" s="584"/>
      <c r="R1268" s="584"/>
      <c r="S1268" s="584"/>
      <c r="T1268" s="584"/>
      <c r="U1268" s="584"/>
      <c r="V1268" s="584"/>
      <c r="W1268" s="584"/>
      <c r="X1268" s="584"/>
      <c r="Y1268" s="584"/>
      <c r="Z1268" s="584"/>
      <c r="AA1268" s="584"/>
      <c r="AB1268" s="584"/>
      <c r="AC1268" s="584"/>
      <c r="AD1268" s="584"/>
      <c r="AE1268" s="584"/>
      <c r="AF1268" s="584"/>
    </row>
    <row r="1269" ht="14.25" customHeight="1">
      <c r="A1269" s="584"/>
      <c r="B1269" s="584"/>
      <c r="C1269" s="612"/>
      <c r="D1269" s="612"/>
      <c r="E1269" s="584"/>
      <c r="F1269" s="584"/>
      <c r="G1269" s="617"/>
      <c r="H1269" s="617"/>
      <c r="I1269" s="584"/>
      <c r="J1269" s="584"/>
      <c r="K1269" s="584"/>
      <c r="L1269" s="613"/>
      <c r="M1269" s="613"/>
      <c r="N1269" s="614"/>
      <c r="O1269" s="584"/>
      <c r="P1269" s="613"/>
      <c r="Q1269" s="584"/>
      <c r="R1269" s="584"/>
      <c r="S1269" s="584"/>
      <c r="T1269" s="584"/>
      <c r="U1269" s="584"/>
      <c r="V1269" s="584"/>
      <c r="W1269" s="584"/>
      <c r="X1269" s="584"/>
      <c r="Y1269" s="584"/>
      <c r="Z1269" s="584"/>
      <c r="AA1269" s="584"/>
      <c r="AB1269" s="584"/>
      <c r="AC1269" s="584"/>
      <c r="AD1269" s="584"/>
      <c r="AE1269" s="584"/>
      <c r="AF1269" s="584"/>
    </row>
    <row r="1270" ht="14.25" customHeight="1">
      <c r="A1270" s="584"/>
      <c r="B1270" s="584"/>
      <c r="C1270" s="612"/>
      <c r="D1270" s="612"/>
      <c r="E1270" s="584"/>
      <c r="F1270" s="584"/>
      <c r="G1270" s="617"/>
      <c r="H1270" s="617"/>
      <c r="I1270" s="584"/>
      <c r="J1270" s="584"/>
      <c r="K1270" s="584"/>
      <c r="L1270" s="613"/>
      <c r="M1270" s="613"/>
      <c r="N1270" s="614"/>
      <c r="O1270" s="584"/>
      <c r="P1270" s="613"/>
      <c r="Q1270" s="584"/>
      <c r="R1270" s="584"/>
      <c r="S1270" s="584"/>
      <c r="T1270" s="584"/>
      <c r="U1270" s="584"/>
      <c r="V1270" s="584"/>
      <c r="W1270" s="584"/>
      <c r="X1270" s="584"/>
      <c r="Y1270" s="584"/>
      <c r="Z1270" s="584"/>
      <c r="AA1270" s="584"/>
      <c r="AB1270" s="584"/>
      <c r="AC1270" s="584"/>
      <c r="AD1270" s="584"/>
      <c r="AE1270" s="584"/>
      <c r="AF1270" s="584"/>
    </row>
    <row r="1271" ht="14.25" customHeight="1">
      <c r="A1271" s="584"/>
      <c r="B1271" s="584"/>
      <c r="C1271" s="612"/>
      <c r="D1271" s="612"/>
      <c r="E1271" s="584"/>
      <c r="F1271" s="584"/>
      <c r="G1271" s="584"/>
      <c r="H1271" s="584"/>
      <c r="I1271" s="584"/>
      <c r="J1271" s="584"/>
      <c r="K1271" s="584"/>
      <c r="L1271" s="613"/>
      <c r="M1271" s="613"/>
      <c r="N1271" s="614"/>
      <c r="O1271" s="584"/>
      <c r="P1271" s="613"/>
      <c r="Q1271" s="584"/>
      <c r="R1271" s="584"/>
      <c r="S1271" s="584"/>
      <c r="T1271" s="584"/>
      <c r="U1271" s="584"/>
      <c r="V1271" s="584"/>
      <c r="W1271" s="584"/>
      <c r="X1271" s="584"/>
      <c r="Y1271" s="584"/>
      <c r="Z1271" s="584"/>
      <c r="AA1271" s="584"/>
      <c r="AB1271" s="584"/>
      <c r="AC1271" s="584"/>
      <c r="AD1271" s="584"/>
      <c r="AE1271" s="584"/>
      <c r="AF1271" s="584"/>
    </row>
    <row r="1272" ht="14.25" customHeight="1">
      <c r="A1272" s="584"/>
      <c r="B1272" s="584"/>
      <c r="C1272" s="612"/>
      <c r="D1272" s="612"/>
      <c r="E1272" s="584"/>
      <c r="F1272" s="584"/>
      <c r="G1272" s="584"/>
      <c r="H1272" s="584"/>
      <c r="I1272" s="584"/>
      <c r="J1272" s="584"/>
      <c r="K1272" s="584"/>
      <c r="L1272" s="613"/>
      <c r="M1272" s="613"/>
      <c r="N1272" s="614"/>
      <c r="O1272" s="584"/>
      <c r="P1272" s="613"/>
      <c r="Q1272" s="584"/>
      <c r="R1272" s="584"/>
      <c r="S1272" s="584"/>
      <c r="T1272" s="584"/>
      <c r="U1272" s="584"/>
      <c r="V1272" s="584"/>
      <c r="W1272" s="584"/>
      <c r="X1272" s="584"/>
      <c r="Y1272" s="584"/>
      <c r="Z1272" s="584"/>
      <c r="AA1272" s="584"/>
      <c r="AB1272" s="584"/>
      <c r="AC1272" s="584"/>
      <c r="AD1272" s="584"/>
      <c r="AE1272" s="584"/>
      <c r="AF1272" s="584"/>
    </row>
    <row r="1273" ht="14.25" customHeight="1">
      <c r="A1273" s="584"/>
      <c r="B1273" s="584"/>
      <c r="C1273" s="612"/>
      <c r="D1273" s="612"/>
      <c r="E1273" s="584"/>
      <c r="F1273" s="584"/>
      <c r="G1273" s="584"/>
      <c r="H1273" s="584"/>
      <c r="I1273" s="584"/>
      <c r="J1273" s="584"/>
      <c r="K1273" s="584"/>
      <c r="L1273" s="613"/>
      <c r="M1273" s="613"/>
      <c r="N1273" s="614"/>
      <c r="O1273" s="584"/>
      <c r="P1273" s="613"/>
      <c r="Q1273" s="584"/>
      <c r="R1273" s="584"/>
      <c r="S1273" s="584"/>
      <c r="T1273" s="584"/>
      <c r="U1273" s="584"/>
      <c r="V1273" s="584"/>
      <c r="W1273" s="584"/>
      <c r="X1273" s="584"/>
      <c r="Y1273" s="584"/>
      <c r="Z1273" s="584"/>
      <c r="AA1273" s="584"/>
      <c r="AB1273" s="584"/>
      <c r="AC1273" s="584"/>
      <c r="AD1273" s="584"/>
      <c r="AE1273" s="584"/>
      <c r="AF1273" s="584"/>
    </row>
    <row r="1274" ht="14.25" customHeight="1">
      <c r="A1274" s="584"/>
      <c r="B1274" s="584"/>
      <c r="C1274" s="612"/>
      <c r="D1274" s="612"/>
      <c r="E1274" s="584"/>
      <c r="F1274" s="584"/>
      <c r="G1274" s="584"/>
      <c r="H1274" s="584"/>
      <c r="I1274" s="584"/>
      <c r="J1274" s="584"/>
      <c r="K1274" s="584"/>
      <c r="L1274" s="613"/>
      <c r="M1274" s="613"/>
      <c r="N1274" s="614"/>
      <c r="O1274" s="584"/>
      <c r="P1274" s="613"/>
      <c r="Q1274" s="584"/>
      <c r="R1274" s="584"/>
      <c r="S1274" s="584"/>
      <c r="T1274" s="584"/>
      <c r="U1274" s="584"/>
      <c r="V1274" s="584"/>
      <c r="W1274" s="584"/>
      <c r="X1274" s="584"/>
      <c r="Y1274" s="584"/>
      <c r="Z1274" s="584"/>
      <c r="AA1274" s="584"/>
      <c r="AB1274" s="584"/>
      <c r="AC1274" s="584"/>
      <c r="AD1274" s="584"/>
      <c r="AE1274" s="584"/>
      <c r="AF1274" s="584"/>
    </row>
    <row r="1275" ht="14.25" customHeight="1">
      <c r="A1275" s="584"/>
      <c r="B1275" s="584"/>
      <c r="C1275" s="612"/>
      <c r="D1275" s="612"/>
      <c r="E1275" s="584"/>
      <c r="F1275" s="584"/>
      <c r="G1275" s="584"/>
      <c r="H1275" s="584"/>
      <c r="I1275" s="584"/>
      <c r="J1275" s="584"/>
      <c r="K1275" s="584"/>
      <c r="L1275" s="613"/>
      <c r="M1275" s="613"/>
      <c r="N1275" s="614"/>
      <c r="O1275" s="584"/>
      <c r="P1275" s="613"/>
      <c r="Q1275" s="584"/>
      <c r="R1275" s="584"/>
      <c r="S1275" s="584"/>
      <c r="T1275" s="584"/>
      <c r="U1275" s="584"/>
      <c r="V1275" s="584"/>
      <c r="W1275" s="584"/>
      <c r="X1275" s="584"/>
      <c r="Y1275" s="584"/>
      <c r="Z1275" s="584"/>
      <c r="AA1275" s="584"/>
      <c r="AB1275" s="584"/>
      <c r="AC1275" s="584"/>
      <c r="AD1275" s="584"/>
      <c r="AE1275" s="584"/>
      <c r="AF1275" s="584"/>
    </row>
    <row r="1276" ht="14.25" customHeight="1">
      <c r="A1276" s="584"/>
      <c r="B1276" s="584"/>
      <c r="C1276" s="612"/>
      <c r="D1276" s="612"/>
      <c r="E1276" s="584"/>
      <c r="F1276" s="584"/>
      <c r="G1276" s="584"/>
      <c r="H1276" s="584"/>
      <c r="I1276" s="584"/>
      <c r="J1276" s="584"/>
      <c r="K1276" s="584"/>
      <c r="L1276" s="584"/>
      <c r="M1276" s="613"/>
      <c r="N1276" s="614"/>
      <c r="O1276" s="584"/>
      <c r="P1276" s="613"/>
      <c r="Q1276" s="584"/>
      <c r="R1276" s="584"/>
      <c r="S1276" s="584"/>
      <c r="T1276" s="584"/>
      <c r="U1276" s="584"/>
      <c r="V1276" s="584"/>
      <c r="W1276" s="584"/>
      <c r="X1276" s="584"/>
      <c r="Y1276" s="584"/>
      <c r="Z1276" s="584"/>
      <c r="AA1276" s="584"/>
      <c r="AB1276" s="584"/>
      <c r="AC1276" s="584"/>
      <c r="AD1276" s="584"/>
      <c r="AE1276" s="584"/>
      <c r="AF1276" s="584"/>
    </row>
    <row r="1277" ht="14.25" customHeight="1">
      <c r="A1277" s="584"/>
      <c r="B1277" s="584"/>
      <c r="C1277" s="612"/>
      <c r="D1277" s="612"/>
      <c r="E1277" s="584"/>
      <c r="F1277" s="584"/>
      <c r="G1277" s="584"/>
      <c r="H1277" s="584"/>
      <c r="I1277" s="584"/>
      <c r="J1277" s="584"/>
      <c r="K1277" s="584"/>
      <c r="L1277" s="584"/>
      <c r="M1277" s="613"/>
      <c r="N1277" s="614"/>
      <c r="O1277" s="584"/>
      <c r="P1277" s="613"/>
      <c r="Q1277" s="584"/>
      <c r="R1277" s="584"/>
      <c r="S1277" s="584"/>
      <c r="T1277" s="584"/>
      <c r="U1277" s="584"/>
      <c r="V1277" s="584"/>
      <c r="W1277" s="584"/>
      <c r="X1277" s="584"/>
      <c r="Y1277" s="584"/>
      <c r="Z1277" s="584"/>
      <c r="AA1277" s="584"/>
      <c r="AB1277" s="584"/>
      <c r="AC1277" s="584"/>
      <c r="AD1277" s="584"/>
      <c r="AE1277" s="584"/>
      <c r="AF1277" s="584"/>
    </row>
    <row r="1278" ht="14.25" customHeight="1">
      <c r="A1278" s="584"/>
      <c r="B1278" s="584"/>
      <c r="C1278" s="612"/>
      <c r="D1278" s="612"/>
      <c r="E1278" s="584"/>
      <c r="F1278" s="584"/>
      <c r="G1278" s="584"/>
      <c r="H1278" s="584"/>
      <c r="I1278" s="584"/>
      <c r="J1278" s="584"/>
      <c r="K1278" s="584"/>
      <c r="L1278" s="613"/>
      <c r="M1278" s="613"/>
      <c r="N1278" s="614"/>
      <c r="O1278" s="584"/>
      <c r="P1278" s="613"/>
      <c r="Q1278" s="584"/>
      <c r="R1278" s="584"/>
      <c r="S1278" s="584"/>
      <c r="T1278" s="584"/>
      <c r="U1278" s="584"/>
      <c r="V1278" s="584"/>
      <c r="W1278" s="584"/>
      <c r="X1278" s="584"/>
      <c r="Y1278" s="584"/>
      <c r="Z1278" s="584"/>
      <c r="AA1278" s="584"/>
      <c r="AB1278" s="584"/>
      <c r="AC1278" s="584"/>
      <c r="AD1278" s="584"/>
      <c r="AE1278" s="584"/>
      <c r="AF1278" s="584"/>
    </row>
    <row r="1279" ht="14.25" customHeight="1">
      <c r="A1279" s="584"/>
      <c r="B1279" s="584"/>
      <c r="C1279" s="612"/>
      <c r="D1279" s="612"/>
      <c r="E1279" s="584"/>
      <c r="F1279" s="584"/>
      <c r="G1279" s="584"/>
      <c r="H1279" s="584"/>
      <c r="I1279" s="584"/>
      <c r="J1279" s="584"/>
      <c r="K1279" s="584"/>
      <c r="L1279" s="584"/>
      <c r="M1279" s="613"/>
      <c r="N1279" s="614"/>
      <c r="O1279" s="584"/>
      <c r="P1279" s="613"/>
      <c r="Q1279" s="584"/>
      <c r="R1279" s="584"/>
      <c r="S1279" s="584"/>
      <c r="T1279" s="584"/>
      <c r="U1279" s="584"/>
      <c r="V1279" s="584"/>
      <c r="W1279" s="584"/>
      <c r="X1279" s="584"/>
      <c r="Y1279" s="584"/>
      <c r="Z1279" s="584"/>
      <c r="AA1279" s="584"/>
      <c r="AB1279" s="584"/>
      <c r="AC1279" s="584"/>
      <c r="AD1279" s="584"/>
      <c r="AE1279" s="584"/>
      <c r="AF1279" s="584"/>
    </row>
    <row r="1280" ht="14.25" customHeight="1">
      <c r="A1280" s="584"/>
      <c r="B1280" s="584"/>
      <c r="C1280" s="612"/>
      <c r="D1280" s="612"/>
      <c r="E1280" s="584"/>
      <c r="F1280" s="584"/>
      <c r="G1280" s="584"/>
      <c r="H1280" s="584"/>
      <c r="I1280" s="584"/>
      <c r="J1280" s="584"/>
      <c r="K1280" s="584"/>
      <c r="L1280" s="584"/>
      <c r="M1280" s="613"/>
      <c r="N1280" s="614"/>
      <c r="O1280" s="584"/>
      <c r="P1280" s="613"/>
      <c r="Q1280" s="584"/>
      <c r="R1280" s="584"/>
      <c r="S1280" s="584"/>
      <c r="T1280" s="584"/>
      <c r="U1280" s="584"/>
      <c r="V1280" s="584"/>
      <c r="W1280" s="584"/>
      <c r="X1280" s="584"/>
      <c r="Y1280" s="584"/>
      <c r="Z1280" s="584"/>
      <c r="AA1280" s="584"/>
      <c r="AB1280" s="584"/>
      <c r="AC1280" s="584"/>
      <c r="AD1280" s="584"/>
      <c r="AE1280" s="584"/>
      <c r="AF1280" s="584"/>
    </row>
    <row r="1281" ht="14.25" customHeight="1">
      <c r="A1281" s="584"/>
      <c r="B1281" s="584"/>
      <c r="C1281" s="612"/>
      <c r="D1281" s="612"/>
      <c r="E1281" s="584"/>
      <c r="F1281" s="584"/>
      <c r="G1281" s="584"/>
      <c r="H1281" s="584"/>
      <c r="I1281" s="584"/>
      <c r="J1281" s="584"/>
      <c r="K1281" s="584"/>
      <c r="L1281" s="613"/>
      <c r="M1281" s="613"/>
      <c r="N1281" s="614"/>
      <c r="O1281" s="584"/>
      <c r="P1281" s="613"/>
      <c r="Q1281" s="584"/>
      <c r="R1281" s="584"/>
      <c r="S1281" s="584"/>
      <c r="T1281" s="584"/>
      <c r="U1281" s="584"/>
      <c r="V1281" s="584"/>
      <c r="W1281" s="584"/>
      <c r="X1281" s="584"/>
      <c r="Y1281" s="584"/>
      <c r="Z1281" s="584"/>
      <c r="AA1281" s="584"/>
      <c r="AB1281" s="584"/>
      <c r="AC1281" s="584"/>
      <c r="AD1281" s="584"/>
      <c r="AE1281" s="584"/>
      <c r="AF1281" s="584"/>
    </row>
    <row r="1282" ht="14.25" customHeight="1">
      <c r="A1282" s="584"/>
      <c r="B1282" s="584"/>
      <c r="C1282" s="612"/>
      <c r="D1282" s="612"/>
      <c r="E1282" s="584"/>
      <c r="F1282" s="584"/>
      <c r="G1282" s="584"/>
      <c r="H1282" s="584"/>
      <c r="I1282" s="584"/>
      <c r="J1282" s="584"/>
      <c r="K1282" s="584"/>
      <c r="L1282" s="613"/>
      <c r="M1282" s="613"/>
      <c r="N1282" s="614"/>
      <c r="O1282" s="584"/>
      <c r="P1282" s="613"/>
      <c r="Q1282" s="584"/>
      <c r="R1282" s="584"/>
      <c r="S1282" s="584"/>
      <c r="T1282" s="584"/>
      <c r="U1282" s="584"/>
      <c r="V1282" s="584"/>
      <c r="W1282" s="584"/>
      <c r="X1282" s="584"/>
      <c r="Y1282" s="584"/>
      <c r="Z1282" s="584"/>
      <c r="AA1282" s="584"/>
      <c r="AB1282" s="584"/>
      <c r="AC1282" s="584"/>
      <c r="AD1282" s="584"/>
      <c r="AE1282" s="584"/>
      <c r="AF1282" s="584"/>
    </row>
    <row r="1283" ht="14.25" customHeight="1">
      <c r="A1283" s="584"/>
      <c r="B1283" s="584"/>
      <c r="C1283" s="612"/>
      <c r="D1283" s="612"/>
      <c r="E1283" s="584"/>
      <c r="F1283" s="584"/>
      <c r="G1283" s="584"/>
      <c r="H1283" s="584"/>
      <c r="I1283" s="584"/>
      <c r="J1283" s="584"/>
      <c r="K1283" s="584"/>
      <c r="L1283" s="613"/>
      <c r="M1283" s="613"/>
      <c r="N1283" s="614"/>
      <c r="O1283" s="584"/>
      <c r="P1283" s="613"/>
      <c r="Q1283" s="584"/>
      <c r="R1283" s="584"/>
      <c r="S1283" s="584"/>
      <c r="T1283" s="584"/>
      <c r="U1283" s="584"/>
      <c r="V1283" s="584"/>
      <c r="W1283" s="584"/>
      <c r="X1283" s="584"/>
      <c r="Y1283" s="584"/>
      <c r="Z1283" s="584"/>
      <c r="AA1283" s="584"/>
      <c r="AB1283" s="584"/>
      <c r="AC1283" s="584"/>
      <c r="AD1283" s="584"/>
      <c r="AE1283" s="584"/>
      <c r="AF1283" s="584"/>
    </row>
    <row r="1284" ht="14.25" customHeight="1">
      <c r="A1284" s="584"/>
      <c r="B1284" s="584"/>
      <c r="C1284" s="612"/>
      <c r="D1284" s="612"/>
      <c r="E1284" s="584"/>
      <c r="F1284" s="584"/>
      <c r="G1284" s="584"/>
      <c r="H1284" s="584"/>
      <c r="I1284" s="584"/>
      <c r="J1284" s="584"/>
      <c r="K1284" s="584"/>
      <c r="L1284" s="613"/>
      <c r="M1284" s="613"/>
      <c r="N1284" s="614"/>
      <c r="O1284" s="584"/>
      <c r="P1284" s="613"/>
      <c r="Q1284" s="584"/>
      <c r="R1284" s="584"/>
      <c r="S1284" s="584"/>
      <c r="T1284" s="584"/>
      <c r="U1284" s="584"/>
      <c r="V1284" s="584"/>
      <c r="W1284" s="584"/>
      <c r="X1284" s="584"/>
      <c r="Y1284" s="584"/>
      <c r="Z1284" s="584"/>
      <c r="AA1284" s="584"/>
      <c r="AB1284" s="584"/>
      <c r="AC1284" s="584"/>
      <c r="AD1284" s="584"/>
      <c r="AE1284" s="584"/>
      <c r="AF1284" s="584"/>
    </row>
    <row r="1285" ht="14.25" customHeight="1">
      <c r="A1285" s="584"/>
      <c r="B1285" s="584"/>
      <c r="C1285" s="612"/>
      <c r="D1285" s="612"/>
      <c r="E1285" s="584"/>
      <c r="F1285" s="584"/>
      <c r="G1285" s="584"/>
      <c r="H1285" s="584"/>
      <c r="I1285" s="584"/>
      <c r="J1285" s="584"/>
      <c r="K1285" s="584"/>
      <c r="L1285" s="584"/>
      <c r="M1285" s="613"/>
      <c r="N1285" s="614"/>
      <c r="O1285" s="584"/>
      <c r="P1285" s="613"/>
      <c r="Q1285" s="584"/>
      <c r="R1285" s="584"/>
      <c r="S1285" s="584"/>
      <c r="T1285" s="584"/>
      <c r="U1285" s="584"/>
      <c r="V1285" s="584"/>
      <c r="W1285" s="584"/>
      <c r="X1285" s="584"/>
      <c r="Y1285" s="584"/>
      <c r="Z1285" s="584"/>
      <c r="AA1285" s="584"/>
      <c r="AB1285" s="584"/>
      <c r="AC1285" s="584"/>
      <c r="AD1285" s="584"/>
      <c r="AE1285" s="584"/>
      <c r="AF1285" s="584"/>
    </row>
    <row r="1286" ht="14.25" customHeight="1">
      <c r="A1286" s="584"/>
      <c r="B1286" s="584"/>
      <c r="C1286" s="612"/>
      <c r="D1286" s="612"/>
      <c r="E1286" s="584"/>
      <c r="F1286" s="584"/>
      <c r="G1286" s="584"/>
      <c r="H1286" s="584"/>
      <c r="I1286" s="584"/>
      <c r="J1286" s="584"/>
      <c r="K1286" s="584"/>
      <c r="L1286" s="613"/>
      <c r="M1286" s="613"/>
      <c r="N1286" s="614"/>
      <c r="O1286" s="584"/>
      <c r="P1286" s="613"/>
      <c r="Q1286" s="584"/>
      <c r="R1286" s="584"/>
      <c r="S1286" s="584"/>
      <c r="T1286" s="584"/>
      <c r="U1286" s="584"/>
      <c r="V1286" s="584"/>
      <c r="W1286" s="584"/>
      <c r="X1286" s="584"/>
      <c r="Y1286" s="584"/>
      <c r="Z1286" s="584"/>
      <c r="AA1286" s="584"/>
      <c r="AB1286" s="584"/>
      <c r="AC1286" s="584"/>
      <c r="AD1286" s="584"/>
      <c r="AE1286" s="584"/>
      <c r="AF1286" s="584"/>
    </row>
    <row r="1287" ht="14.25" customHeight="1">
      <c r="A1287" s="584"/>
      <c r="B1287" s="584"/>
      <c r="C1287" s="612"/>
      <c r="D1287" s="612"/>
      <c r="E1287" s="584"/>
      <c r="F1287" s="584"/>
      <c r="G1287" s="584"/>
      <c r="H1287" s="584"/>
      <c r="I1287" s="584"/>
      <c r="J1287" s="584"/>
      <c r="K1287" s="584"/>
      <c r="L1287" s="613"/>
      <c r="M1287" s="613"/>
      <c r="N1287" s="614"/>
      <c r="O1287" s="584"/>
      <c r="P1287" s="613"/>
      <c r="Q1287" s="584"/>
      <c r="R1287" s="584"/>
      <c r="S1287" s="584"/>
      <c r="T1287" s="584"/>
      <c r="U1287" s="584"/>
      <c r="V1287" s="584"/>
      <c r="W1287" s="584"/>
      <c r="X1287" s="584"/>
      <c r="Y1287" s="584"/>
      <c r="Z1287" s="584"/>
      <c r="AA1287" s="584"/>
      <c r="AB1287" s="584"/>
      <c r="AC1287" s="584"/>
      <c r="AD1287" s="584"/>
      <c r="AE1287" s="584"/>
      <c r="AF1287" s="584"/>
    </row>
    <row r="1288" ht="14.25" customHeight="1">
      <c r="A1288" s="584"/>
      <c r="B1288" s="584"/>
      <c r="C1288" s="612"/>
      <c r="D1288" s="612"/>
      <c r="E1288" s="584"/>
      <c r="F1288" s="584"/>
      <c r="G1288" s="584"/>
      <c r="H1288" s="584"/>
      <c r="I1288" s="584"/>
      <c r="J1288" s="584"/>
      <c r="K1288" s="584"/>
      <c r="L1288" s="613"/>
      <c r="M1288" s="613"/>
      <c r="N1288" s="614"/>
      <c r="O1288" s="584"/>
      <c r="P1288" s="613"/>
      <c r="Q1288" s="584"/>
      <c r="R1288" s="584"/>
      <c r="S1288" s="584"/>
      <c r="T1288" s="584"/>
      <c r="U1288" s="584"/>
      <c r="V1288" s="584"/>
      <c r="W1288" s="584"/>
      <c r="X1288" s="584"/>
      <c r="Y1288" s="584"/>
      <c r="Z1288" s="584"/>
      <c r="AA1288" s="584"/>
      <c r="AB1288" s="584"/>
      <c r="AC1288" s="584"/>
      <c r="AD1288" s="584"/>
      <c r="AE1288" s="584"/>
      <c r="AF1288" s="584"/>
    </row>
    <row r="1289" ht="14.25" customHeight="1">
      <c r="A1289" s="584"/>
      <c r="B1289" s="584"/>
      <c r="C1289" s="612"/>
      <c r="D1289" s="612"/>
      <c r="E1289" s="584"/>
      <c r="F1289" s="584"/>
      <c r="G1289" s="584"/>
      <c r="H1289" s="584"/>
      <c r="I1289" s="584"/>
      <c r="J1289" s="584"/>
      <c r="K1289" s="584"/>
      <c r="L1289" s="613"/>
      <c r="M1289" s="613"/>
      <c r="N1289" s="614"/>
      <c r="O1289" s="584"/>
      <c r="P1289" s="613"/>
      <c r="Q1289" s="584"/>
      <c r="R1289" s="584"/>
      <c r="S1289" s="584"/>
      <c r="T1289" s="584"/>
      <c r="U1289" s="584"/>
      <c r="V1289" s="584"/>
      <c r="W1289" s="584"/>
      <c r="X1289" s="584"/>
      <c r="Y1289" s="584"/>
      <c r="Z1289" s="584"/>
      <c r="AA1289" s="584"/>
      <c r="AB1289" s="584"/>
      <c r="AC1289" s="584"/>
      <c r="AD1289" s="584"/>
      <c r="AE1289" s="584"/>
      <c r="AF1289" s="584"/>
    </row>
    <row r="1290" ht="14.25" customHeight="1">
      <c r="A1290" s="584"/>
      <c r="B1290" s="584"/>
      <c r="C1290" s="612"/>
      <c r="D1290" s="612"/>
      <c r="E1290" s="584"/>
      <c r="F1290" s="584"/>
      <c r="G1290" s="584"/>
      <c r="H1290" s="584"/>
      <c r="I1290" s="584"/>
      <c r="J1290" s="584"/>
      <c r="K1290" s="584"/>
      <c r="L1290" s="613"/>
      <c r="M1290" s="613"/>
      <c r="N1290" s="614"/>
      <c r="O1290" s="584"/>
      <c r="P1290" s="613"/>
      <c r="Q1290" s="584"/>
      <c r="R1290" s="584"/>
      <c r="S1290" s="584"/>
      <c r="T1290" s="584"/>
      <c r="U1290" s="584"/>
      <c r="V1290" s="584"/>
      <c r="W1290" s="584"/>
      <c r="X1290" s="584"/>
      <c r="Y1290" s="584"/>
      <c r="Z1290" s="584"/>
      <c r="AA1290" s="584"/>
      <c r="AB1290" s="584"/>
      <c r="AC1290" s="584"/>
      <c r="AD1290" s="584"/>
      <c r="AE1290" s="584"/>
      <c r="AF1290" s="584"/>
    </row>
    <row r="1291" ht="14.25" customHeight="1">
      <c r="A1291" s="584"/>
      <c r="B1291" s="584"/>
      <c r="C1291" s="612"/>
      <c r="D1291" s="612"/>
      <c r="E1291" s="584"/>
      <c r="F1291" s="584"/>
      <c r="G1291" s="584"/>
      <c r="H1291" s="584"/>
      <c r="I1291" s="584"/>
      <c r="J1291" s="584"/>
      <c r="K1291" s="584"/>
      <c r="L1291" s="613"/>
      <c r="M1291" s="613"/>
      <c r="N1291" s="614"/>
      <c r="O1291" s="584"/>
      <c r="P1291" s="613"/>
      <c r="Q1291" s="584"/>
      <c r="R1291" s="584"/>
      <c r="S1291" s="584"/>
      <c r="T1291" s="584"/>
      <c r="U1291" s="584"/>
      <c r="V1291" s="584"/>
      <c r="W1291" s="584"/>
      <c r="X1291" s="584"/>
      <c r="Y1291" s="584"/>
      <c r="Z1291" s="584"/>
      <c r="AA1291" s="584"/>
      <c r="AB1291" s="584"/>
      <c r="AC1291" s="584"/>
      <c r="AD1291" s="584"/>
      <c r="AE1291" s="584"/>
      <c r="AF1291" s="584"/>
    </row>
    <row r="1292" ht="14.25" customHeight="1">
      <c r="A1292" s="584"/>
      <c r="B1292" s="584"/>
      <c r="C1292" s="612"/>
      <c r="D1292" s="612"/>
      <c r="E1292" s="584"/>
      <c r="F1292" s="584"/>
      <c r="G1292" s="584"/>
      <c r="H1292" s="584"/>
      <c r="I1292" s="584"/>
      <c r="J1292" s="584"/>
      <c r="K1292" s="584"/>
      <c r="L1292" s="613"/>
      <c r="M1292" s="613"/>
      <c r="N1292" s="614"/>
      <c r="O1292" s="584"/>
      <c r="P1292" s="613"/>
      <c r="Q1292" s="584"/>
      <c r="R1292" s="584"/>
      <c r="S1292" s="584"/>
      <c r="T1292" s="584"/>
      <c r="U1292" s="584"/>
      <c r="V1292" s="584"/>
      <c r="W1292" s="584"/>
      <c r="X1292" s="584"/>
      <c r="Y1292" s="584"/>
      <c r="Z1292" s="584"/>
      <c r="AA1292" s="584"/>
      <c r="AB1292" s="584"/>
      <c r="AC1292" s="584"/>
      <c r="AD1292" s="584"/>
      <c r="AE1292" s="584"/>
      <c r="AF1292" s="584"/>
    </row>
    <row r="1293" ht="14.25" customHeight="1">
      <c r="A1293" s="584"/>
      <c r="B1293" s="584"/>
      <c r="C1293" s="612"/>
      <c r="D1293" s="612"/>
      <c r="E1293" s="584"/>
      <c r="F1293" s="584"/>
      <c r="G1293" s="584"/>
      <c r="H1293" s="584"/>
      <c r="I1293" s="584"/>
      <c r="J1293" s="584"/>
      <c r="K1293" s="584"/>
      <c r="L1293" s="613"/>
      <c r="M1293" s="613"/>
      <c r="N1293" s="614"/>
      <c r="O1293" s="584"/>
      <c r="P1293" s="613"/>
      <c r="Q1293" s="584"/>
      <c r="R1293" s="584"/>
      <c r="S1293" s="584"/>
      <c r="T1293" s="584"/>
      <c r="U1293" s="584"/>
      <c r="V1293" s="584"/>
      <c r="W1293" s="584"/>
      <c r="X1293" s="584"/>
      <c r="Y1293" s="584"/>
      <c r="Z1293" s="584"/>
      <c r="AA1293" s="584"/>
      <c r="AB1293" s="584"/>
      <c r="AC1293" s="584"/>
      <c r="AD1293" s="584"/>
      <c r="AE1293" s="584"/>
      <c r="AF1293" s="584"/>
    </row>
    <row r="1294" ht="14.25" customHeight="1">
      <c r="A1294" s="584"/>
      <c r="B1294" s="584"/>
      <c r="C1294" s="612"/>
      <c r="D1294" s="612"/>
      <c r="E1294" s="584"/>
      <c r="F1294" s="584"/>
      <c r="G1294" s="584"/>
      <c r="H1294" s="584"/>
      <c r="I1294" s="584"/>
      <c r="J1294" s="584"/>
      <c r="K1294" s="584"/>
      <c r="L1294" s="613"/>
      <c r="M1294" s="613"/>
      <c r="N1294" s="614"/>
      <c r="O1294" s="584"/>
      <c r="P1294" s="613"/>
      <c r="Q1294" s="584"/>
      <c r="R1294" s="584"/>
      <c r="S1294" s="584"/>
      <c r="T1294" s="584"/>
      <c r="U1294" s="584"/>
      <c r="V1294" s="584"/>
      <c r="W1294" s="584"/>
      <c r="X1294" s="584"/>
      <c r="Y1294" s="584"/>
      <c r="Z1294" s="584"/>
      <c r="AA1294" s="584"/>
      <c r="AB1294" s="584"/>
      <c r="AC1294" s="584"/>
      <c r="AD1294" s="584"/>
      <c r="AE1294" s="584"/>
      <c r="AF1294" s="584"/>
    </row>
    <row r="1295" ht="14.25" customHeight="1">
      <c r="A1295" s="584"/>
      <c r="B1295" s="584"/>
      <c r="C1295" s="612"/>
      <c r="D1295" s="612"/>
      <c r="E1295" s="584"/>
      <c r="F1295" s="584"/>
      <c r="G1295" s="584"/>
      <c r="H1295" s="584"/>
      <c r="I1295" s="584"/>
      <c r="J1295" s="584"/>
      <c r="K1295" s="584"/>
      <c r="L1295" s="613"/>
      <c r="M1295" s="613"/>
      <c r="N1295" s="614"/>
      <c r="O1295" s="584"/>
      <c r="P1295" s="613"/>
      <c r="Q1295" s="584"/>
      <c r="R1295" s="584"/>
      <c r="S1295" s="584"/>
      <c r="T1295" s="584"/>
      <c r="U1295" s="584"/>
      <c r="V1295" s="584"/>
      <c r="W1295" s="584"/>
      <c r="X1295" s="584"/>
      <c r="Y1295" s="584"/>
      <c r="Z1295" s="584"/>
      <c r="AA1295" s="584"/>
      <c r="AB1295" s="584"/>
      <c r="AC1295" s="584"/>
      <c r="AD1295" s="584"/>
      <c r="AE1295" s="584"/>
      <c r="AF1295" s="584"/>
    </row>
    <row r="1296" ht="14.25" customHeight="1">
      <c r="A1296" s="584"/>
      <c r="B1296" s="584"/>
      <c r="C1296" s="612"/>
      <c r="D1296" s="612"/>
      <c r="E1296" s="584"/>
      <c r="F1296" s="584"/>
      <c r="G1296" s="584"/>
      <c r="H1296" s="584"/>
      <c r="I1296" s="584"/>
      <c r="J1296" s="584"/>
      <c r="K1296" s="584"/>
      <c r="L1296" s="613"/>
      <c r="M1296" s="613"/>
      <c r="N1296" s="614"/>
      <c r="O1296" s="584"/>
      <c r="P1296" s="613"/>
      <c r="Q1296" s="584"/>
      <c r="R1296" s="584"/>
      <c r="S1296" s="584"/>
      <c r="T1296" s="584"/>
      <c r="U1296" s="584"/>
      <c r="V1296" s="584"/>
      <c r="W1296" s="584"/>
      <c r="X1296" s="584"/>
      <c r="Y1296" s="584"/>
      <c r="Z1296" s="584"/>
      <c r="AA1296" s="584"/>
      <c r="AB1296" s="584"/>
      <c r="AC1296" s="584"/>
      <c r="AD1296" s="584"/>
      <c r="AE1296" s="584"/>
      <c r="AF1296" s="584"/>
    </row>
    <row r="1297" ht="14.25" customHeight="1">
      <c r="A1297" s="584"/>
      <c r="B1297" s="584"/>
      <c r="C1297" s="612"/>
      <c r="D1297" s="612"/>
      <c r="E1297" s="584"/>
      <c r="F1297" s="584"/>
      <c r="G1297" s="584"/>
      <c r="H1297" s="584"/>
      <c r="I1297" s="584"/>
      <c r="J1297" s="584"/>
      <c r="K1297" s="584"/>
      <c r="L1297" s="584"/>
      <c r="M1297" s="613"/>
      <c r="N1297" s="614"/>
      <c r="O1297" s="584"/>
      <c r="P1297" s="613"/>
      <c r="Q1297" s="584"/>
      <c r="R1297" s="584"/>
      <c r="S1297" s="584"/>
      <c r="T1297" s="584"/>
      <c r="U1297" s="584"/>
      <c r="V1297" s="584"/>
      <c r="W1297" s="584"/>
      <c r="X1297" s="584"/>
      <c r="Y1297" s="584"/>
      <c r="Z1297" s="584"/>
      <c r="AA1297" s="584"/>
      <c r="AB1297" s="584"/>
      <c r="AC1297" s="584"/>
      <c r="AD1297" s="584"/>
      <c r="AE1297" s="584"/>
      <c r="AF1297" s="584"/>
    </row>
    <row r="1298" ht="14.25" customHeight="1">
      <c r="A1298" s="584"/>
      <c r="B1298" s="584"/>
      <c r="C1298" s="612"/>
      <c r="D1298" s="612"/>
      <c r="E1298" s="584"/>
      <c r="F1298" s="584"/>
      <c r="G1298" s="584"/>
      <c r="H1298" s="584"/>
      <c r="I1298" s="584"/>
      <c r="J1298" s="584"/>
      <c r="K1298" s="584"/>
      <c r="L1298" s="613"/>
      <c r="M1298" s="613"/>
      <c r="N1298" s="614"/>
      <c r="O1298" s="584"/>
      <c r="P1298" s="613"/>
      <c r="Q1298" s="584"/>
      <c r="R1298" s="584"/>
      <c r="S1298" s="584"/>
      <c r="T1298" s="584"/>
      <c r="U1298" s="584"/>
      <c r="V1298" s="584"/>
      <c r="W1298" s="584"/>
      <c r="X1298" s="584"/>
      <c r="Y1298" s="584"/>
      <c r="Z1298" s="584"/>
      <c r="AA1298" s="584"/>
      <c r="AB1298" s="584"/>
      <c r="AC1298" s="584"/>
      <c r="AD1298" s="584"/>
      <c r="AE1298" s="584"/>
      <c r="AF1298" s="584"/>
    </row>
    <row r="1299" ht="14.25" customHeight="1">
      <c r="A1299" s="584"/>
      <c r="B1299" s="584"/>
      <c r="C1299" s="612"/>
      <c r="D1299" s="612"/>
      <c r="E1299" s="584"/>
      <c r="F1299" s="584"/>
      <c r="G1299" s="584"/>
      <c r="H1299" s="584"/>
      <c r="I1299" s="584"/>
      <c r="J1299" s="584"/>
      <c r="K1299" s="584"/>
      <c r="L1299" s="613"/>
      <c r="M1299" s="613"/>
      <c r="N1299" s="614"/>
      <c r="O1299" s="584"/>
      <c r="P1299" s="613"/>
      <c r="Q1299" s="584"/>
      <c r="R1299" s="584"/>
      <c r="S1299" s="584"/>
      <c r="T1299" s="584"/>
      <c r="U1299" s="584"/>
      <c r="V1299" s="584"/>
      <c r="W1299" s="584"/>
      <c r="X1299" s="584"/>
      <c r="Y1299" s="584"/>
      <c r="Z1299" s="584"/>
      <c r="AA1299" s="584"/>
      <c r="AB1299" s="584"/>
      <c r="AC1299" s="584"/>
      <c r="AD1299" s="584"/>
      <c r="AE1299" s="584"/>
      <c r="AF1299" s="584"/>
    </row>
    <row r="1300" ht="14.25" customHeight="1">
      <c r="A1300" s="584"/>
      <c r="B1300" s="584"/>
      <c r="C1300" s="612"/>
      <c r="D1300" s="612"/>
      <c r="E1300" s="584"/>
      <c r="F1300" s="584"/>
      <c r="G1300" s="584"/>
      <c r="H1300" s="584"/>
      <c r="I1300" s="584"/>
      <c r="J1300" s="584"/>
      <c r="K1300" s="584"/>
      <c r="L1300" s="613"/>
      <c r="M1300" s="613"/>
      <c r="N1300" s="614"/>
      <c r="O1300" s="584"/>
      <c r="P1300" s="613"/>
      <c r="Q1300" s="584"/>
      <c r="R1300" s="584"/>
      <c r="S1300" s="584"/>
      <c r="T1300" s="584"/>
      <c r="U1300" s="584"/>
      <c r="V1300" s="584"/>
      <c r="W1300" s="584"/>
      <c r="X1300" s="584"/>
      <c r="Y1300" s="584"/>
      <c r="Z1300" s="584"/>
      <c r="AA1300" s="584"/>
      <c r="AB1300" s="584"/>
      <c r="AC1300" s="584"/>
      <c r="AD1300" s="584"/>
      <c r="AE1300" s="584"/>
      <c r="AF1300" s="584"/>
    </row>
    <row r="1301" ht="14.25" customHeight="1">
      <c r="A1301" s="584"/>
      <c r="B1301" s="584"/>
      <c r="C1301" s="612"/>
      <c r="D1301" s="612"/>
      <c r="E1301" s="584"/>
      <c r="F1301" s="584"/>
      <c r="G1301" s="584"/>
      <c r="H1301" s="584"/>
      <c r="I1301" s="584"/>
      <c r="J1301" s="584"/>
      <c r="K1301" s="584"/>
      <c r="L1301" s="613"/>
      <c r="M1301" s="613"/>
      <c r="N1301" s="614"/>
      <c r="O1301" s="584"/>
      <c r="P1301" s="613"/>
      <c r="Q1301" s="584"/>
      <c r="R1301" s="584"/>
      <c r="S1301" s="584"/>
      <c r="T1301" s="584"/>
      <c r="U1301" s="584"/>
      <c r="V1301" s="584"/>
      <c r="W1301" s="584"/>
      <c r="X1301" s="584"/>
      <c r="Y1301" s="584"/>
      <c r="Z1301" s="584"/>
      <c r="AA1301" s="584"/>
      <c r="AB1301" s="584"/>
      <c r="AC1301" s="584"/>
      <c r="AD1301" s="584"/>
      <c r="AE1301" s="584"/>
      <c r="AF1301" s="584"/>
    </row>
    <row r="1302" ht="14.25" customHeight="1">
      <c r="A1302" s="584"/>
      <c r="B1302" s="584"/>
      <c r="C1302" s="612"/>
      <c r="D1302" s="612"/>
      <c r="E1302" s="584"/>
      <c r="F1302" s="584"/>
      <c r="G1302" s="584"/>
      <c r="H1302" s="584"/>
      <c r="I1302" s="584"/>
      <c r="J1302" s="584"/>
      <c r="K1302" s="584"/>
      <c r="L1302" s="613"/>
      <c r="M1302" s="613"/>
      <c r="N1302" s="614"/>
      <c r="O1302" s="584"/>
      <c r="P1302" s="613"/>
      <c r="Q1302" s="584"/>
      <c r="R1302" s="584"/>
      <c r="S1302" s="584"/>
      <c r="T1302" s="584"/>
      <c r="U1302" s="584"/>
      <c r="V1302" s="584"/>
      <c r="W1302" s="584"/>
      <c r="X1302" s="584"/>
      <c r="Y1302" s="584"/>
      <c r="Z1302" s="584"/>
      <c r="AA1302" s="584"/>
      <c r="AB1302" s="584"/>
      <c r="AC1302" s="584"/>
      <c r="AD1302" s="584"/>
      <c r="AE1302" s="584"/>
      <c r="AF1302" s="584"/>
    </row>
    <row r="1303" ht="14.25" customHeight="1">
      <c r="A1303" s="584"/>
      <c r="B1303" s="584"/>
      <c r="C1303" s="612"/>
      <c r="D1303" s="612"/>
      <c r="E1303" s="584"/>
      <c r="F1303" s="584"/>
      <c r="G1303" s="584"/>
      <c r="H1303" s="584"/>
      <c r="I1303" s="584"/>
      <c r="J1303" s="584"/>
      <c r="K1303" s="584"/>
      <c r="L1303" s="613"/>
      <c r="M1303" s="613"/>
      <c r="N1303" s="614"/>
      <c r="O1303" s="584"/>
      <c r="P1303" s="613"/>
      <c r="Q1303" s="584"/>
      <c r="R1303" s="584"/>
      <c r="S1303" s="584"/>
      <c r="T1303" s="584"/>
      <c r="U1303" s="584"/>
      <c r="V1303" s="584"/>
      <c r="W1303" s="584"/>
      <c r="X1303" s="584"/>
      <c r="Y1303" s="584"/>
      <c r="Z1303" s="584"/>
      <c r="AA1303" s="584"/>
      <c r="AB1303" s="584"/>
      <c r="AC1303" s="584"/>
      <c r="AD1303" s="584"/>
      <c r="AE1303" s="584"/>
      <c r="AF1303" s="584"/>
    </row>
    <row r="1304" ht="14.25" customHeight="1">
      <c r="A1304" s="584"/>
      <c r="B1304" s="584"/>
      <c r="C1304" s="612"/>
      <c r="D1304" s="612"/>
      <c r="E1304" s="584"/>
      <c r="F1304" s="584"/>
      <c r="G1304" s="584"/>
      <c r="H1304" s="584"/>
      <c r="I1304" s="584"/>
      <c r="J1304" s="584"/>
      <c r="K1304" s="584"/>
      <c r="L1304" s="613"/>
      <c r="M1304" s="613"/>
      <c r="N1304" s="614"/>
      <c r="O1304" s="584"/>
      <c r="P1304" s="613"/>
      <c r="Q1304" s="584"/>
      <c r="R1304" s="584"/>
      <c r="S1304" s="584"/>
      <c r="T1304" s="584"/>
      <c r="U1304" s="584"/>
      <c r="V1304" s="584"/>
      <c r="W1304" s="584"/>
      <c r="X1304" s="584"/>
      <c r="Y1304" s="584"/>
      <c r="Z1304" s="584"/>
      <c r="AA1304" s="584"/>
      <c r="AB1304" s="584"/>
      <c r="AC1304" s="584"/>
      <c r="AD1304" s="584"/>
      <c r="AE1304" s="584"/>
      <c r="AF1304" s="584"/>
    </row>
    <row r="1305" ht="14.25" customHeight="1">
      <c r="A1305" s="584"/>
      <c r="B1305" s="584"/>
      <c r="C1305" s="612"/>
      <c r="D1305" s="612"/>
      <c r="E1305" s="584"/>
      <c r="F1305" s="584"/>
      <c r="G1305" s="584"/>
      <c r="H1305" s="584"/>
      <c r="I1305" s="584"/>
      <c r="J1305" s="584"/>
      <c r="K1305" s="584"/>
      <c r="L1305" s="613"/>
      <c r="M1305" s="613"/>
      <c r="N1305" s="614"/>
      <c r="O1305" s="584"/>
      <c r="P1305" s="613"/>
      <c r="Q1305" s="584"/>
      <c r="R1305" s="584"/>
      <c r="S1305" s="584"/>
      <c r="T1305" s="584"/>
      <c r="U1305" s="584"/>
      <c r="V1305" s="584"/>
      <c r="W1305" s="584"/>
      <c r="X1305" s="584"/>
      <c r="Y1305" s="584"/>
      <c r="Z1305" s="584"/>
      <c r="AA1305" s="584"/>
      <c r="AB1305" s="584"/>
      <c r="AC1305" s="584"/>
      <c r="AD1305" s="584"/>
      <c r="AE1305" s="584"/>
      <c r="AF1305" s="584"/>
    </row>
    <row r="1306" ht="14.25" customHeight="1">
      <c r="A1306" s="584"/>
      <c r="B1306" s="584"/>
      <c r="C1306" s="612"/>
      <c r="D1306" s="612"/>
      <c r="E1306" s="584"/>
      <c r="F1306" s="584"/>
      <c r="G1306" s="584"/>
      <c r="H1306" s="584"/>
      <c r="I1306" s="584"/>
      <c r="J1306" s="584"/>
      <c r="K1306" s="584"/>
      <c r="L1306" s="613"/>
      <c r="M1306" s="613"/>
      <c r="N1306" s="614"/>
      <c r="O1306" s="584"/>
      <c r="P1306" s="613"/>
      <c r="Q1306" s="584"/>
      <c r="R1306" s="584"/>
      <c r="S1306" s="584"/>
      <c r="T1306" s="584"/>
      <c r="U1306" s="584"/>
      <c r="V1306" s="584"/>
      <c r="W1306" s="584"/>
      <c r="X1306" s="584"/>
      <c r="Y1306" s="584"/>
      <c r="Z1306" s="584"/>
      <c r="AA1306" s="584"/>
      <c r="AB1306" s="584"/>
      <c r="AC1306" s="584"/>
      <c r="AD1306" s="584"/>
      <c r="AE1306" s="584"/>
      <c r="AF1306" s="584"/>
    </row>
    <row r="1307" ht="14.25" customHeight="1">
      <c r="A1307" s="584"/>
      <c r="B1307" s="584"/>
      <c r="C1307" s="612"/>
      <c r="D1307" s="612"/>
      <c r="E1307" s="584"/>
      <c r="F1307" s="584"/>
      <c r="G1307" s="584"/>
      <c r="H1307" s="584"/>
      <c r="I1307" s="584"/>
      <c r="J1307" s="584"/>
      <c r="K1307" s="584"/>
      <c r="L1307" s="613"/>
      <c r="M1307" s="613"/>
      <c r="N1307" s="614"/>
      <c r="O1307" s="584"/>
      <c r="P1307" s="613"/>
      <c r="Q1307" s="584"/>
      <c r="R1307" s="584"/>
      <c r="S1307" s="584"/>
      <c r="T1307" s="584"/>
      <c r="U1307" s="584"/>
      <c r="V1307" s="584"/>
      <c r="W1307" s="584"/>
      <c r="X1307" s="584"/>
      <c r="Y1307" s="584"/>
      <c r="Z1307" s="584"/>
      <c r="AA1307" s="584"/>
      <c r="AB1307" s="584"/>
      <c r="AC1307" s="584"/>
      <c r="AD1307" s="584"/>
      <c r="AE1307" s="584"/>
      <c r="AF1307" s="584"/>
    </row>
    <row r="1308" ht="14.25" customHeight="1">
      <c r="A1308" s="584"/>
      <c r="B1308" s="584"/>
      <c r="C1308" s="612"/>
      <c r="D1308" s="612"/>
      <c r="E1308" s="584"/>
      <c r="F1308" s="584"/>
      <c r="G1308" s="584"/>
      <c r="H1308" s="584"/>
      <c r="I1308" s="584"/>
      <c r="J1308" s="584"/>
      <c r="K1308" s="584"/>
      <c r="L1308" s="584"/>
      <c r="M1308" s="613"/>
      <c r="N1308" s="614"/>
      <c r="O1308" s="584"/>
      <c r="P1308" s="613"/>
      <c r="Q1308" s="584"/>
      <c r="R1308" s="584"/>
      <c r="S1308" s="584"/>
      <c r="T1308" s="584"/>
      <c r="U1308" s="584"/>
      <c r="V1308" s="584"/>
      <c r="W1308" s="584"/>
      <c r="X1308" s="584"/>
      <c r="Y1308" s="584"/>
      <c r="Z1308" s="584"/>
      <c r="AA1308" s="584"/>
      <c r="AB1308" s="584"/>
      <c r="AC1308" s="584"/>
      <c r="AD1308" s="584"/>
      <c r="AE1308" s="584"/>
      <c r="AF1308" s="584"/>
    </row>
    <row r="1309" ht="14.25" customHeight="1">
      <c r="A1309" s="584"/>
      <c r="B1309" s="584"/>
      <c r="C1309" s="612"/>
      <c r="D1309" s="612"/>
      <c r="E1309" s="584"/>
      <c r="F1309" s="584"/>
      <c r="G1309" s="584"/>
      <c r="H1309" s="584"/>
      <c r="I1309" s="584"/>
      <c r="J1309" s="584"/>
      <c r="K1309" s="584"/>
      <c r="L1309" s="584"/>
      <c r="M1309" s="613"/>
      <c r="N1309" s="614"/>
      <c r="O1309" s="584"/>
      <c r="P1309" s="613"/>
      <c r="Q1309" s="584"/>
      <c r="R1309" s="584"/>
      <c r="S1309" s="584"/>
      <c r="T1309" s="584"/>
      <c r="U1309" s="584"/>
      <c r="V1309" s="584"/>
      <c r="W1309" s="584"/>
      <c r="X1309" s="584"/>
      <c r="Y1309" s="584"/>
      <c r="Z1309" s="584"/>
      <c r="AA1309" s="584"/>
      <c r="AB1309" s="584"/>
      <c r="AC1309" s="584"/>
      <c r="AD1309" s="584"/>
      <c r="AE1309" s="584"/>
      <c r="AF1309" s="584"/>
    </row>
    <row r="1310" ht="14.25" customHeight="1">
      <c r="A1310" s="584"/>
      <c r="B1310" s="584"/>
      <c r="C1310" s="612"/>
      <c r="D1310" s="612"/>
      <c r="E1310" s="584"/>
      <c r="F1310" s="584"/>
      <c r="G1310" s="584"/>
      <c r="H1310" s="584"/>
      <c r="I1310" s="584"/>
      <c r="J1310" s="584"/>
      <c r="K1310" s="584"/>
      <c r="L1310" s="584"/>
      <c r="M1310" s="613"/>
      <c r="N1310" s="614"/>
      <c r="O1310" s="584"/>
      <c r="P1310" s="613"/>
      <c r="Q1310" s="584"/>
      <c r="R1310" s="584"/>
      <c r="S1310" s="584"/>
      <c r="T1310" s="584"/>
      <c r="U1310" s="584"/>
      <c r="V1310" s="584"/>
      <c r="W1310" s="584"/>
      <c r="X1310" s="584"/>
      <c r="Y1310" s="584"/>
      <c r="Z1310" s="584"/>
      <c r="AA1310" s="584"/>
      <c r="AB1310" s="584"/>
      <c r="AC1310" s="584"/>
      <c r="AD1310" s="584"/>
      <c r="AE1310" s="584"/>
      <c r="AF1310" s="584"/>
    </row>
    <row r="1311" ht="14.25" customHeight="1">
      <c r="A1311" s="584"/>
      <c r="B1311" s="584"/>
      <c r="C1311" s="612"/>
      <c r="D1311" s="612"/>
      <c r="E1311" s="584"/>
      <c r="F1311" s="584"/>
      <c r="G1311" s="584"/>
      <c r="H1311" s="584"/>
      <c r="I1311" s="584"/>
      <c r="J1311" s="584"/>
      <c r="K1311" s="584"/>
      <c r="L1311" s="584"/>
      <c r="M1311" s="613"/>
      <c r="N1311" s="614"/>
      <c r="O1311" s="584"/>
      <c r="P1311" s="613"/>
      <c r="Q1311" s="584"/>
      <c r="R1311" s="584"/>
      <c r="S1311" s="584"/>
      <c r="T1311" s="584"/>
      <c r="U1311" s="584"/>
      <c r="V1311" s="584"/>
      <c r="W1311" s="584"/>
      <c r="X1311" s="584"/>
      <c r="Y1311" s="584"/>
      <c r="Z1311" s="584"/>
      <c r="AA1311" s="584"/>
      <c r="AB1311" s="584"/>
      <c r="AC1311" s="584"/>
      <c r="AD1311" s="584"/>
      <c r="AE1311" s="584"/>
      <c r="AF1311" s="584"/>
    </row>
    <row r="1312" ht="14.25" customHeight="1">
      <c r="A1312" s="584"/>
      <c r="B1312" s="584"/>
      <c r="C1312" s="612"/>
      <c r="D1312" s="612"/>
      <c r="E1312" s="584"/>
      <c r="F1312" s="584"/>
      <c r="G1312" s="584"/>
      <c r="H1312" s="584"/>
      <c r="I1312" s="584"/>
      <c r="J1312" s="584"/>
      <c r="K1312" s="584"/>
      <c r="L1312" s="584"/>
      <c r="M1312" s="613"/>
      <c r="N1312" s="614"/>
      <c r="O1312" s="584"/>
      <c r="P1312" s="613"/>
      <c r="Q1312" s="584"/>
      <c r="R1312" s="584"/>
      <c r="S1312" s="584"/>
      <c r="T1312" s="584"/>
      <c r="U1312" s="584"/>
      <c r="V1312" s="584"/>
      <c r="W1312" s="584"/>
      <c r="X1312" s="584"/>
      <c r="Y1312" s="584"/>
      <c r="Z1312" s="584"/>
      <c r="AA1312" s="584"/>
      <c r="AB1312" s="584"/>
      <c r="AC1312" s="584"/>
      <c r="AD1312" s="584"/>
      <c r="AE1312" s="584"/>
      <c r="AF1312" s="584"/>
    </row>
    <row r="1313" ht="14.25" customHeight="1">
      <c r="A1313" s="584"/>
      <c r="B1313" s="584"/>
      <c r="C1313" s="612"/>
      <c r="D1313" s="612"/>
      <c r="E1313" s="584"/>
      <c r="F1313" s="584"/>
      <c r="G1313" s="584"/>
      <c r="H1313" s="584"/>
      <c r="I1313" s="584"/>
      <c r="J1313" s="584"/>
      <c r="K1313" s="584"/>
      <c r="L1313" s="584"/>
      <c r="M1313" s="613"/>
      <c r="N1313" s="614"/>
      <c r="O1313" s="584"/>
      <c r="P1313" s="613"/>
      <c r="Q1313" s="584"/>
      <c r="R1313" s="584"/>
      <c r="S1313" s="584"/>
      <c r="T1313" s="584"/>
      <c r="U1313" s="584"/>
      <c r="V1313" s="584"/>
      <c r="W1313" s="584"/>
      <c r="X1313" s="584"/>
      <c r="Y1313" s="584"/>
      <c r="Z1313" s="584"/>
      <c r="AA1313" s="584"/>
      <c r="AB1313" s="584"/>
      <c r="AC1313" s="584"/>
      <c r="AD1313" s="584"/>
      <c r="AE1313" s="584"/>
      <c r="AF1313" s="584"/>
    </row>
    <row r="1314" ht="14.25" customHeight="1">
      <c r="A1314" s="584"/>
      <c r="B1314" s="584"/>
      <c r="C1314" s="612"/>
      <c r="D1314" s="612"/>
      <c r="E1314" s="584"/>
      <c r="F1314" s="584"/>
      <c r="G1314" s="584"/>
      <c r="H1314" s="584"/>
      <c r="I1314" s="584"/>
      <c r="J1314" s="584"/>
      <c r="K1314" s="584"/>
      <c r="L1314" s="584"/>
      <c r="M1314" s="613"/>
      <c r="N1314" s="614"/>
      <c r="O1314" s="584"/>
      <c r="P1314" s="613"/>
      <c r="Q1314" s="584"/>
      <c r="R1314" s="584"/>
      <c r="S1314" s="584"/>
      <c r="T1314" s="584"/>
      <c r="U1314" s="584"/>
      <c r="V1314" s="584"/>
      <c r="W1314" s="584"/>
      <c r="X1314" s="584"/>
      <c r="Y1314" s="584"/>
      <c r="Z1314" s="584"/>
      <c r="AA1314" s="584"/>
      <c r="AB1314" s="584"/>
      <c r="AC1314" s="584"/>
      <c r="AD1314" s="584"/>
      <c r="AE1314" s="584"/>
      <c r="AF1314" s="584"/>
    </row>
    <row r="1315" ht="14.25" customHeight="1">
      <c r="A1315" s="584"/>
      <c r="B1315" s="584"/>
      <c r="C1315" s="612"/>
      <c r="D1315" s="612"/>
      <c r="E1315" s="584"/>
      <c r="F1315" s="584"/>
      <c r="G1315" s="584"/>
      <c r="H1315" s="584"/>
      <c r="I1315" s="584"/>
      <c r="J1315" s="584"/>
      <c r="K1315" s="584"/>
      <c r="L1315" s="584"/>
      <c r="M1315" s="613"/>
      <c r="N1315" s="614"/>
      <c r="O1315" s="584"/>
      <c r="P1315" s="613"/>
      <c r="Q1315" s="584"/>
      <c r="R1315" s="584"/>
      <c r="S1315" s="584"/>
      <c r="T1315" s="584"/>
      <c r="U1315" s="584"/>
      <c r="V1315" s="584"/>
      <c r="W1315" s="584"/>
      <c r="X1315" s="584"/>
      <c r="Y1315" s="584"/>
      <c r="Z1315" s="584"/>
      <c r="AA1315" s="584"/>
      <c r="AB1315" s="584"/>
      <c r="AC1315" s="584"/>
      <c r="AD1315" s="584"/>
      <c r="AE1315" s="584"/>
      <c r="AF1315" s="584"/>
    </row>
    <row r="1316" ht="14.25" customHeight="1">
      <c r="A1316" s="584"/>
      <c r="B1316" s="584"/>
      <c r="C1316" s="612"/>
      <c r="D1316" s="612"/>
      <c r="E1316" s="584"/>
      <c r="F1316" s="584"/>
      <c r="G1316" s="584"/>
      <c r="H1316" s="584"/>
      <c r="I1316" s="584"/>
      <c r="J1316" s="584"/>
      <c r="K1316" s="584"/>
      <c r="L1316" s="584"/>
      <c r="M1316" s="613"/>
      <c r="N1316" s="614"/>
      <c r="O1316" s="584"/>
      <c r="P1316" s="613"/>
      <c r="Q1316" s="584"/>
      <c r="R1316" s="584"/>
      <c r="S1316" s="584"/>
      <c r="T1316" s="584"/>
      <c r="U1316" s="584"/>
      <c r="V1316" s="584"/>
      <c r="W1316" s="584"/>
      <c r="X1316" s="584"/>
      <c r="Y1316" s="584"/>
      <c r="Z1316" s="584"/>
      <c r="AA1316" s="584"/>
      <c r="AB1316" s="584"/>
      <c r="AC1316" s="584"/>
      <c r="AD1316" s="584"/>
      <c r="AE1316" s="584"/>
      <c r="AF1316" s="584"/>
    </row>
    <row r="1317" ht="14.25" customHeight="1">
      <c r="A1317" s="584"/>
      <c r="B1317" s="584"/>
      <c r="C1317" s="612"/>
      <c r="D1317" s="612"/>
      <c r="E1317" s="584"/>
      <c r="F1317" s="584"/>
      <c r="G1317" s="617"/>
      <c r="H1317" s="617"/>
      <c r="I1317" s="584"/>
      <c r="J1317" s="584"/>
      <c r="K1317" s="584"/>
      <c r="L1317" s="613"/>
      <c r="M1317" s="613"/>
      <c r="N1317" s="614"/>
      <c r="O1317" s="584"/>
      <c r="P1317" s="613"/>
      <c r="Q1317" s="584"/>
      <c r="R1317" s="584"/>
      <c r="S1317" s="584"/>
      <c r="T1317" s="584"/>
      <c r="U1317" s="584"/>
      <c r="V1317" s="584"/>
      <c r="W1317" s="584"/>
      <c r="X1317" s="584"/>
      <c r="Y1317" s="584"/>
      <c r="Z1317" s="584"/>
      <c r="AA1317" s="584"/>
      <c r="AB1317" s="584"/>
      <c r="AC1317" s="584"/>
      <c r="AD1317" s="584"/>
      <c r="AE1317" s="584"/>
      <c r="AF1317" s="584"/>
    </row>
  </sheetData>
  <mergeCells count="3">
    <mergeCell ref="L3:L4"/>
    <mergeCell ref="N3:N4"/>
    <mergeCell ref="T3:T4"/>
  </mergeCells>
  <hyperlinks>
    <hyperlink r:id="rId1" ref="D3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4.5"/>
    <col customWidth="1" min="3" max="3" width="9.25"/>
    <col customWidth="1" min="4" max="4" width="29.38"/>
    <col customWidth="1" min="5" max="5" width="23.5"/>
    <col customWidth="1" min="6" max="6" width="50.88"/>
    <col customWidth="1" min="7" max="7" width="35.88"/>
    <col customWidth="1" min="8" max="8" width="3.75"/>
    <col customWidth="1" min="9" max="9" width="10.38"/>
    <col customWidth="1" min="10" max="10" width="23.5"/>
    <col customWidth="1" min="11" max="11" width="22.13"/>
    <col customWidth="1" min="12" max="12" width="15.88"/>
    <col customWidth="1" min="13" max="13" width="23.0"/>
  </cols>
  <sheetData>
    <row r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>
      <c r="A2" s="280"/>
      <c r="B2" s="281" t="s">
        <v>860</v>
      </c>
      <c r="C2" s="280"/>
      <c r="D2" s="282" t="s">
        <v>861</v>
      </c>
      <c r="E2" s="280"/>
      <c r="F2" s="283"/>
      <c r="G2" s="280"/>
      <c r="H2" s="280"/>
      <c r="I2" s="280"/>
      <c r="J2" s="280"/>
      <c r="K2" s="280"/>
      <c r="L2" s="280"/>
      <c r="M2" s="280"/>
    </row>
    <row r="3">
      <c r="A3" s="280"/>
      <c r="B3" s="284" t="s">
        <v>92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</row>
    <row r="4">
      <c r="A4" s="280"/>
      <c r="B4" s="280"/>
      <c r="C4" s="280"/>
      <c r="D4" s="285" t="s">
        <v>34</v>
      </c>
      <c r="E4" s="286">
        <f>'10. LISA Internal Workings'!E4</f>
        <v>46189</v>
      </c>
      <c r="F4" s="280"/>
      <c r="G4" s="280"/>
      <c r="H4" s="280"/>
      <c r="I4" s="280"/>
      <c r="J4" s="280"/>
      <c r="K4" s="280"/>
      <c r="L4" s="280"/>
      <c r="M4" s="280"/>
    </row>
    <row r="5">
      <c r="A5" s="280"/>
      <c r="B5" s="280"/>
      <c r="C5" s="280"/>
      <c r="D5" s="280"/>
      <c r="E5" s="280"/>
      <c r="F5" s="287"/>
      <c r="G5" s="287"/>
      <c r="H5" s="287"/>
      <c r="I5" s="287"/>
      <c r="J5" s="287"/>
      <c r="K5" s="287"/>
      <c r="L5" s="280"/>
      <c r="M5" s="280"/>
    </row>
    <row r="6" ht="90.0" customHeight="1">
      <c r="A6" s="280"/>
      <c r="B6" s="288" t="s">
        <v>862</v>
      </c>
      <c r="D6" s="618" t="s">
        <v>863</v>
      </c>
      <c r="E6" s="619">
        <f>'12. LISA External Workings'!K21-E37+E29</f>
        <v>-243.63</v>
      </c>
      <c r="F6" s="620" t="str">
        <f>LET(
  valE6, ROUND(E6, 2),
  valL73, ROUND('10. LISA Internal Workings'!M85, 2),
  valL73_abs, ABS(valL73),
  details, CHAR(10) &amp; "-" &amp; '10. LISA Internal Workings'!E84 &amp; CHAR(10) &amp; "-" &amp; '10. LISA Internal Workings'!H84 &amp; 
           IF(valL73_abs &gt; 0, CHAR(10) &amp; "-" &amp; '10. LISA Internal Workings'!E85 &amp; CHAR(10) &amp; "-" &amp; '10. LISA Internal Workings'!H85, ""),
  IF(valE6 = 0, "Conclusion: No Internal Breaks",
    IF(valE6 &lt; 0, "Conclusion: Overall Shortfall of £" &amp; ABS(valE6) &amp; details, 
                  "Conclusion: Overall Surplus of £" &amp; ABS(valE6) &amp; details)
  )
)</f>
        <v>Conclusion: Overall Shortfall of £243.63
-Amount of £243.63 residual interest paid to users as part of the transfer out process
-To be moved from LISA corporate interest to CM 17/06</v>
      </c>
      <c r="G6" s="292"/>
      <c r="H6" s="292"/>
      <c r="I6" s="292"/>
      <c r="J6" s="292"/>
      <c r="K6" s="293"/>
      <c r="L6" s="294"/>
      <c r="M6" s="295"/>
    </row>
    <row r="7" ht="30.0" customHeight="1">
      <c r="A7" s="280"/>
      <c r="B7" s="280"/>
      <c r="C7" s="280"/>
      <c r="D7" s="280"/>
      <c r="E7" s="280"/>
      <c r="F7" s="296"/>
      <c r="G7" s="296"/>
      <c r="H7" s="296"/>
      <c r="I7" s="296"/>
      <c r="J7" s="296"/>
      <c r="K7" s="296"/>
      <c r="L7" s="280"/>
      <c r="M7" s="280"/>
    </row>
    <row r="8" ht="18.75" customHeight="1">
      <c r="A8" s="280"/>
      <c r="B8" s="280"/>
      <c r="C8" s="280"/>
      <c r="D8" s="297" t="s">
        <v>864</v>
      </c>
      <c r="E8" s="280"/>
      <c r="F8" s="280"/>
      <c r="G8" s="280"/>
      <c r="H8" s="280"/>
      <c r="I8" s="280"/>
      <c r="J8" s="280"/>
      <c r="K8" s="280"/>
      <c r="L8" s="280"/>
      <c r="M8" s="280"/>
    </row>
    <row r="9">
      <c r="A9" s="280"/>
      <c r="B9" s="280"/>
      <c r="D9" s="298" t="s">
        <v>865</v>
      </c>
      <c r="E9" s="6"/>
      <c r="F9" s="299" t="s">
        <v>866</v>
      </c>
      <c r="G9" s="300" t="s">
        <v>867</v>
      </c>
      <c r="H9" s="280"/>
      <c r="I9" s="280"/>
      <c r="J9" s="280"/>
      <c r="K9" s="280"/>
      <c r="L9" s="280"/>
      <c r="M9" s="280"/>
    </row>
    <row r="10" ht="33.0" customHeight="1">
      <c r="A10" s="280"/>
      <c r="B10" s="280"/>
      <c r="C10" s="301" t="s">
        <v>872</v>
      </c>
      <c r="D10" s="302" t="s">
        <v>869</v>
      </c>
      <c r="E10" s="303">
        <f>VLOOKUP(C10,'10. LISA Internal Workings'!$D$51:$M$97,10,FALSE)</f>
        <v>548599.32</v>
      </c>
      <c r="F10" s="304" t="s">
        <v>874</v>
      </c>
      <c r="G10" s="304" t="s">
        <v>875</v>
      </c>
      <c r="H10" s="280"/>
      <c r="I10" s="280"/>
      <c r="J10" s="280"/>
      <c r="K10" s="280"/>
      <c r="L10" s="280"/>
      <c r="M10" s="280"/>
    </row>
    <row r="11" ht="33.0" customHeight="1">
      <c r="A11" s="280"/>
      <c r="B11" s="280"/>
      <c r="C11" s="301" t="s">
        <v>876</v>
      </c>
      <c r="D11" s="302" t="s">
        <v>871</v>
      </c>
      <c r="E11" s="303">
        <f>VLOOKUP(C11,'10. LISA Internal Workings'!$D$51:$M$97,10,FALSE)</f>
        <v>0</v>
      </c>
      <c r="F11" s="304" t="s">
        <v>95</v>
      </c>
      <c r="G11" s="304" t="s">
        <v>95</v>
      </c>
      <c r="H11" s="280"/>
      <c r="I11" s="280"/>
      <c r="J11" s="280"/>
      <c r="K11" s="280"/>
      <c r="L11" s="280"/>
      <c r="M11" s="280"/>
    </row>
    <row r="12" ht="45.0" customHeight="1">
      <c r="A12" s="280"/>
      <c r="B12" s="280"/>
      <c r="C12" s="301" t="s">
        <v>868</v>
      </c>
      <c r="D12" s="307" t="s">
        <v>1987</v>
      </c>
      <c r="E12" s="303">
        <f>VLOOKUP(C12,'10. LISA Internal Workings'!$D$51:$M$97,10,FALSE)</f>
        <v>0</v>
      </c>
      <c r="F12" s="304" t="s">
        <v>95</v>
      </c>
      <c r="G12" s="304" t="s">
        <v>95</v>
      </c>
      <c r="H12" s="442"/>
      <c r="I12" s="280"/>
      <c r="J12" s="280"/>
      <c r="K12" s="280"/>
      <c r="L12" s="280"/>
      <c r="M12" s="280"/>
    </row>
    <row r="13" ht="73.5" customHeight="1">
      <c r="A13" s="280"/>
      <c r="B13" s="280"/>
      <c r="C13" s="301" t="s">
        <v>870</v>
      </c>
      <c r="D13" s="302" t="s">
        <v>877</v>
      </c>
      <c r="E13" s="303">
        <f>VLOOKUP(C13,'10. LISA Internal Workings'!$D$51:$M$97,10,FALSE)</f>
        <v>-243.63</v>
      </c>
      <c r="F13" s="306" t="str">
        <f>IF(E13=0,"N/A","-Amount of £" &amp;ROUND(ABS(E13),2)&amp; " residual interest paid to users as part of the transfer out process.")</f>
        <v>-Amount of £243.63 residual interest paid to users as part of the transfer out process.</v>
      </c>
      <c r="G13" s="306" t="str">
        <f>IF(E13=0,"N/A","-To be moved from CISA corporate interest to CM " &amp; TEXT(TODAY(), "dd/mm")          )</f>
        <v>-To be moved from CISA corporate interest to CM 17/06</v>
      </c>
      <c r="H13" s="280"/>
      <c r="I13" s="280"/>
      <c r="J13" s="280"/>
      <c r="K13" s="280"/>
      <c r="L13" s="280"/>
      <c r="M13" s="280"/>
    </row>
    <row r="14">
      <c r="A14" s="280"/>
      <c r="B14" s="280"/>
      <c r="C14" s="280"/>
      <c r="D14" s="308" t="s">
        <v>878</v>
      </c>
      <c r="E14" s="309">
        <f>SUM(E10:E13)</f>
        <v>548355.69</v>
      </c>
      <c r="F14" s="280"/>
      <c r="G14" s="280"/>
      <c r="H14" s="280"/>
      <c r="I14" s="280"/>
      <c r="J14" s="280"/>
      <c r="K14" s="280"/>
      <c r="L14" s="280"/>
      <c r="M14" s="280"/>
    </row>
    <row r="15">
      <c r="A15" s="280"/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</row>
    <row r="16">
      <c r="A16" s="280"/>
      <c r="B16" s="280"/>
      <c r="C16" s="280"/>
      <c r="D16" s="310" t="s">
        <v>879</v>
      </c>
      <c r="E16" s="311"/>
      <c r="F16" s="280"/>
      <c r="G16" s="280"/>
      <c r="H16" s="280"/>
      <c r="I16" s="280"/>
      <c r="J16" s="280"/>
      <c r="K16" s="280"/>
      <c r="L16" s="280"/>
      <c r="M16" s="280"/>
    </row>
    <row r="17">
      <c r="A17" s="280"/>
      <c r="B17" s="280"/>
      <c r="C17" s="280"/>
      <c r="D17" s="295"/>
      <c r="E17" s="312"/>
      <c r="F17" s="280"/>
      <c r="G17" s="280"/>
      <c r="H17" s="280"/>
      <c r="I17" s="280"/>
      <c r="J17" s="280"/>
      <c r="K17" s="280"/>
      <c r="L17" s="280"/>
      <c r="M17" s="280"/>
    </row>
    <row r="18">
      <c r="A18" s="280"/>
      <c r="B18" s="313" t="s">
        <v>880</v>
      </c>
      <c r="C18" s="314" t="s">
        <v>881</v>
      </c>
      <c r="D18" s="315" t="s">
        <v>882</v>
      </c>
      <c r="E18" s="316" t="s">
        <v>883</v>
      </c>
      <c r="F18" s="280"/>
      <c r="G18" s="280"/>
      <c r="H18" s="280"/>
      <c r="I18" s="280"/>
      <c r="J18" s="280"/>
      <c r="K18" s="280"/>
      <c r="L18" s="280"/>
      <c r="M18" s="280"/>
    </row>
    <row r="19">
      <c r="A19" s="280"/>
      <c r="B19" s="280"/>
      <c r="C19" s="295"/>
      <c r="D19" s="295"/>
      <c r="E19" s="312"/>
      <c r="F19" s="317" t="s">
        <v>866</v>
      </c>
      <c r="G19" s="318" t="s">
        <v>867</v>
      </c>
      <c r="H19" s="280"/>
      <c r="I19" s="280"/>
      <c r="J19" s="280"/>
      <c r="K19" s="280"/>
      <c r="L19" s="280"/>
      <c r="M19" s="280"/>
    </row>
    <row r="20" ht="12.75" customHeight="1">
      <c r="A20" s="280"/>
      <c r="B20" s="319" t="s">
        <v>884</v>
      </c>
      <c r="C20" s="320" t="s">
        <v>885</v>
      </c>
      <c r="D20" s="321" t="s">
        <v>886</v>
      </c>
      <c r="E20" s="303">
        <f>'10. LISA Internal Workings'!F46</f>
        <v>218440203.4</v>
      </c>
      <c r="F20" s="322"/>
      <c r="G20" s="323"/>
      <c r="H20" s="280"/>
      <c r="I20" s="280"/>
      <c r="J20" s="280"/>
      <c r="K20" s="280"/>
      <c r="L20" s="280"/>
      <c r="M20" s="280"/>
    </row>
    <row r="21" ht="15.75" customHeight="1">
      <c r="A21" s="280"/>
      <c r="B21" s="19"/>
      <c r="C21" s="19"/>
      <c r="D21" s="321" t="s">
        <v>887</v>
      </c>
      <c r="E21" s="303">
        <f>'3. Unalloc Rec'!M47</f>
        <v>163659.42</v>
      </c>
      <c r="F21" s="324"/>
      <c r="G21" s="325"/>
      <c r="H21" s="280"/>
      <c r="I21" s="280"/>
      <c r="J21" s="280"/>
      <c r="K21" s="280"/>
      <c r="L21" s="280"/>
      <c r="M21" s="280"/>
    </row>
    <row r="22" ht="15.75" customHeight="1">
      <c r="A22" s="280"/>
      <c r="B22" s="19"/>
      <c r="C22" s="19"/>
      <c r="D22" s="321" t="s">
        <v>888</v>
      </c>
      <c r="E22" s="303">
        <f>'10. LISA Internal Workings'!M57</f>
        <v>548599.32</v>
      </c>
      <c r="F22" s="324"/>
      <c r="G22" s="323"/>
      <c r="H22" s="280"/>
      <c r="I22" s="280"/>
      <c r="J22" s="280"/>
      <c r="K22" s="280"/>
      <c r="L22" s="280"/>
      <c r="M22" s="280"/>
    </row>
    <row r="23" ht="15.75" customHeight="1">
      <c r="A23" s="280"/>
      <c r="B23" s="19"/>
      <c r="C23" s="19"/>
      <c r="D23" s="326" t="s">
        <v>889</v>
      </c>
      <c r="E23" s="327">
        <f>SUM(E20:E22)</f>
        <v>219152462.1</v>
      </c>
      <c r="F23" s="295"/>
      <c r="G23" s="280"/>
      <c r="H23" s="280"/>
      <c r="I23" s="280"/>
      <c r="J23" s="280"/>
      <c r="K23" s="280"/>
      <c r="L23" s="280"/>
      <c r="M23" s="280"/>
    </row>
    <row r="24" ht="15.75" customHeight="1">
      <c r="A24" s="280"/>
      <c r="B24" s="19"/>
      <c r="C24" s="19"/>
      <c r="D24" s="295"/>
      <c r="E24" s="295"/>
      <c r="F24" s="328" t="s">
        <v>866</v>
      </c>
      <c r="G24" s="329" t="s">
        <v>890</v>
      </c>
      <c r="H24" s="280"/>
      <c r="I24" s="280"/>
      <c r="J24" s="280"/>
      <c r="K24" s="280"/>
      <c r="L24" s="280"/>
      <c r="M24" s="280"/>
    </row>
    <row r="25" ht="15.75" customHeight="1">
      <c r="A25" s="280"/>
      <c r="B25" s="19"/>
      <c r="C25" s="19"/>
      <c r="D25" s="326" t="s">
        <v>891</v>
      </c>
      <c r="E25" s="327">
        <f>-E21</f>
        <v>-163659.42</v>
      </c>
      <c r="F25" s="324"/>
      <c r="G25" s="330"/>
      <c r="H25" s="280"/>
      <c r="I25" s="280"/>
      <c r="J25" s="280"/>
      <c r="K25" s="280"/>
      <c r="L25" s="280"/>
      <c r="M25" s="280"/>
    </row>
    <row r="26" ht="15.75" customHeight="1">
      <c r="A26" s="280"/>
      <c r="B26" s="19"/>
      <c r="C26" s="19"/>
      <c r="D26" s="295"/>
      <c r="E26" s="295"/>
      <c r="F26" s="280"/>
      <c r="G26" s="280"/>
      <c r="H26" s="280"/>
      <c r="I26" s="280"/>
      <c r="J26" s="280"/>
      <c r="K26" s="280"/>
      <c r="L26" s="280"/>
      <c r="M26" s="280"/>
    </row>
    <row r="27" ht="15.75" customHeight="1">
      <c r="A27" s="280"/>
      <c r="B27" s="19"/>
      <c r="C27" s="19"/>
      <c r="D27" s="331" t="s">
        <v>892</v>
      </c>
      <c r="E27" s="332">
        <v>0.0</v>
      </c>
      <c r="F27" s="303"/>
      <c r="G27" s="330"/>
      <c r="H27" s="280"/>
      <c r="I27" s="280"/>
      <c r="J27" s="280"/>
      <c r="K27" s="280"/>
      <c r="L27" s="280"/>
      <c r="M27" s="280"/>
    </row>
    <row r="28" ht="15.75" customHeight="1">
      <c r="A28" s="280"/>
      <c r="B28" s="19"/>
      <c r="C28" s="19"/>
      <c r="D28" s="321" t="s">
        <v>895</v>
      </c>
      <c r="E28" s="332">
        <v>0.0</v>
      </c>
      <c r="F28" s="303"/>
      <c r="G28" s="330"/>
      <c r="H28" s="280"/>
      <c r="I28" s="280"/>
      <c r="J28" s="280"/>
      <c r="K28" s="280"/>
      <c r="L28" s="280"/>
      <c r="M28" s="280"/>
    </row>
    <row r="29" ht="15.75" customHeight="1">
      <c r="A29" s="280"/>
      <c r="B29" s="19"/>
      <c r="C29" s="19"/>
      <c r="D29" s="331" t="s">
        <v>896</v>
      </c>
      <c r="E29" s="332">
        <v>0.0</v>
      </c>
      <c r="F29" s="303"/>
      <c r="G29" s="330"/>
      <c r="H29" s="280"/>
      <c r="I29" s="280"/>
      <c r="J29" s="280"/>
      <c r="K29" s="280"/>
      <c r="L29" s="280"/>
      <c r="M29" s="280"/>
    </row>
    <row r="30" ht="15.75" customHeight="1">
      <c r="A30" s="280"/>
      <c r="B30" s="19"/>
      <c r="C30" s="19"/>
      <c r="D30" s="326" t="s">
        <v>897</v>
      </c>
      <c r="E30" s="327">
        <v>0.0</v>
      </c>
      <c r="F30" s="280"/>
      <c r="G30" s="280"/>
      <c r="H30" s="280"/>
      <c r="I30" s="280"/>
      <c r="J30" s="280"/>
      <c r="K30" s="280"/>
      <c r="L30" s="280"/>
      <c r="M30" s="280"/>
    </row>
    <row r="31" ht="27.75" customHeight="1">
      <c r="A31" s="280"/>
      <c r="B31" s="19"/>
      <c r="C31" s="19"/>
      <c r="D31" s="295"/>
      <c r="E31" s="295"/>
      <c r="F31" s="334" t="s">
        <v>865</v>
      </c>
      <c r="G31" s="334" t="s">
        <v>898</v>
      </c>
      <c r="H31" s="280"/>
      <c r="I31" s="280"/>
      <c r="J31" s="280"/>
      <c r="K31" s="280"/>
      <c r="L31" s="280"/>
      <c r="M31" s="280"/>
    </row>
    <row r="32" ht="15.75" customHeight="1">
      <c r="A32" s="280"/>
      <c r="B32" s="19"/>
      <c r="C32" s="19"/>
      <c r="D32" s="335" t="s">
        <v>1988</v>
      </c>
      <c r="E32" s="336">
        <f>E23+E25</f>
        <v>218988802.7</v>
      </c>
      <c r="F32" s="337">
        <f>E14-'10. LISA Internal Workings'!M57</f>
        <v>-243.63</v>
      </c>
      <c r="G32" s="337">
        <f>E32+F32</f>
        <v>218988559.1</v>
      </c>
      <c r="H32" s="280"/>
      <c r="I32" s="280"/>
      <c r="J32" s="280"/>
      <c r="K32" s="280"/>
      <c r="L32" s="280"/>
      <c r="M32" s="280"/>
    </row>
    <row r="33" ht="15.75" customHeight="1">
      <c r="A33" s="280"/>
      <c r="B33" s="19"/>
      <c r="C33" s="19"/>
      <c r="D33" s="295"/>
      <c r="E33" s="312"/>
      <c r="F33" s="338"/>
      <c r="G33" s="280"/>
      <c r="H33" s="280"/>
      <c r="I33" s="280"/>
      <c r="J33" s="280"/>
      <c r="K33" s="280"/>
      <c r="L33" s="280"/>
      <c r="M33" s="280"/>
    </row>
    <row r="34" ht="30.0" customHeight="1">
      <c r="A34" s="280"/>
      <c r="B34" s="19"/>
      <c r="C34" s="19"/>
      <c r="D34" s="331" t="s">
        <v>900</v>
      </c>
      <c r="E34" s="621">
        <v>0.0</v>
      </c>
      <c r="F34" s="339" t="s">
        <v>901</v>
      </c>
      <c r="G34" s="280"/>
      <c r="H34" s="280"/>
      <c r="I34" s="280"/>
      <c r="J34" s="280"/>
      <c r="K34" s="280"/>
      <c r="L34" s="280"/>
      <c r="M34" s="280"/>
    </row>
    <row r="35" ht="15.75" customHeight="1">
      <c r="A35" s="280"/>
      <c r="B35" s="19"/>
      <c r="C35" s="19"/>
      <c r="D35" s="340" t="s">
        <v>902</v>
      </c>
      <c r="E35" s="622">
        <f>SUM(E34)</f>
        <v>0</v>
      </c>
      <c r="F35" s="45"/>
      <c r="G35" s="280"/>
      <c r="H35" s="342"/>
      <c r="I35" s="280"/>
      <c r="J35" s="280"/>
      <c r="K35" s="280"/>
      <c r="L35" s="280"/>
      <c r="M35" s="280"/>
    </row>
    <row r="36" ht="15.75" customHeight="1">
      <c r="A36" s="280"/>
      <c r="B36" s="19"/>
      <c r="C36" s="19"/>
      <c r="D36" s="280"/>
      <c r="E36" s="295"/>
      <c r="F36" s="280"/>
      <c r="G36" s="280"/>
      <c r="H36" s="280"/>
      <c r="I36" s="280"/>
      <c r="J36" s="280"/>
      <c r="K36" s="280"/>
      <c r="L36" s="280"/>
      <c r="M36" s="280"/>
    </row>
    <row r="37" ht="24.75" customHeight="1">
      <c r="A37" s="280"/>
      <c r="B37" s="45"/>
      <c r="C37" s="45"/>
      <c r="D37" s="343" t="s">
        <v>879</v>
      </c>
      <c r="E37" s="344">
        <f>E32+E35</f>
        <v>218988802.7</v>
      </c>
      <c r="F37" s="280"/>
      <c r="G37" s="280"/>
      <c r="H37" s="280"/>
      <c r="I37" s="280"/>
      <c r="J37" s="280"/>
      <c r="K37" s="280"/>
      <c r="L37" s="280"/>
      <c r="M37" s="280"/>
    </row>
    <row r="38" ht="15.75" customHeight="1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</row>
    <row r="39" ht="15.75" customHeight="1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</row>
    <row r="40" ht="15.75" customHeight="1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</row>
    <row r="41" ht="15.75" customHeight="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</row>
    <row r="42" ht="15.75" customHeight="1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</row>
    <row r="43" ht="15.75" customHeight="1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</row>
    <row r="44" ht="15.75" customHeight="1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</row>
    <row r="45" ht="16.5" customHeight="1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</row>
    <row r="46" ht="21.75" customHeight="1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</row>
    <row r="47" ht="15.75" customHeight="1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</row>
    <row r="48" ht="15.75" customHeight="1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</row>
    <row r="49" ht="15.75" customHeight="1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</row>
    <row r="50" ht="15.75" customHeight="1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</row>
  </sheetData>
  <mergeCells count="7">
    <mergeCell ref="B6:C6"/>
    <mergeCell ref="F6:K6"/>
    <mergeCell ref="D9:E9"/>
    <mergeCell ref="D16:E16"/>
    <mergeCell ref="B20:B37"/>
    <mergeCell ref="C20:C37"/>
    <mergeCell ref="F34:F3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3.38"/>
    <col customWidth="1" min="3" max="3" width="3.75"/>
    <col customWidth="1" min="4" max="4" width="22.5"/>
    <col customWidth="1" min="5" max="5" width="39.75"/>
    <col customWidth="1" min="6" max="6" width="43.75"/>
    <col customWidth="1" min="7" max="7" width="46.25"/>
    <col customWidth="1" min="8" max="8" width="38.63"/>
    <col customWidth="1" min="9" max="9" width="18.13"/>
    <col customWidth="1" min="10" max="10" width="20.88"/>
    <col customWidth="1" min="11" max="11" width="31.88"/>
    <col customWidth="1" min="12" max="12" width="12.13"/>
    <col customWidth="1" min="13" max="13" width="76.63"/>
    <col customWidth="1" min="14" max="14" width="27.38"/>
    <col customWidth="1" min="15" max="15" width="11.88"/>
    <col customWidth="1" min="16" max="17" width="13.25"/>
  </cols>
  <sheetData>
    <row r="1" ht="15.0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M1" s="98"/>
      <c r="N1" s="98"/>
    </row>
    <row r="2" ht="23.25" customHeight="1">
      <c r="A2" s="94"/>
      <c r="B2" s="346" t="s">
        <v>1989</v>
      </c>
      <c r="C2" s="94"/>
      <c r="D2" s="94"/>
      <c r="E2" s="94"/>
      <c r="F2" s="94"/>
      <c r="I2" s="94"/>
      <c r="J2" s="94"/>
      <c r="M2" s="98"/>
      <c r="N2" s="98"/>
    </row>
    <row r="3" ht="15.0" customHeight="1">
      <c r="A3" s="94"/>
      <c r="B3" s="347"/>
      <c r="D3" s="94"/>
      <c r="E3" s="94"/>
      <c r="F3" s="94"/>
      <c r="I3" s="94"/>
      <c r="J3" s="94"/>
      <c r="M3" s="98"/>
      <c r="N3" s="98"/>
    </row>
    <row r="4" ht="15.0" customHeight="1">
      <c r="A4" s="94"/>
      <c r="D4" s="348" t="s">
        <v>126</v>
      </c>
      <c r="E4" s="349">
        <f>'11. LISA - CASS External Rec'!E4</f>
        <v>46189</v>
      </c>
      <c r="F4" s="94"/>
      <c r="H4" s="94"/>
      <c r="I4" s="94"/>
      <c r="J4" s="94"/>
      <c r="M4" s="98"/>
      <c r="N4" s="98"/>
    </row>
    <row r="5" ht="11.25" customHeight="1">
      <c r="A5" s="94"/>
      <c r="B5" s="351"/>
      <c r="E5" s="352"/>
      <c r="F5" s="94"/>
      <c r="G5" s="94"/>
      <c r="H5" s="94"/>
      <c r="I5" s="94"/>
      <c r="J5" s="94"/>
      <c r="M5" s="98"/>
      <c r="N5" s="98"/>
      <c r="P5" s="353"/>
      <c r="Q5" s="353"/>
    </row>
    <row r="6">
      <c r="A6" s="94"/>
      <c r="B6" s="354" t="s">
        <v>904</v>
      </c>
      <c r="E6" s="355"/>
      <c r="F6" s="356"/>
      <c r="G6" s="94"/>
      <c r="H6" s="94"/>
      <c r="I6" s="94"/>
      <c r="J6" s="94"/>
      <c r="M6" s="98"/>
      <c r="N6" s="98"/>
      <c r="P6" s="353"/>
      <c r="Q6" s="353"/>
    </row>
    <row r="7" ht="15.75" customHeight="1">
      <c r="A7" s="94"/>
      <c r="B7" s="357"/>
      <c r="E7" s="355"/>
      <c r="F7" s="356"/>
      <c r="G7" s="94"/>
      <c r="H7" s="94"/>
      <c r="I7" s="94"/>
      <c r="J7" s="94"/>
      <c r="M7" s="98"/>
      <c r="N7" s="98"/>
      <c r="O7" s="98"/>
      <c r="P7" s="98"/>
      <c r="Q7" s="98"/>
    </row>
    <row r="8" ht="15.75" customHeight="1">
      <c r="A8" s="94"/>
      <c r="B8" s="357"/>
      <c r="D8" s="358" t="s">
        <v>905</v>
      </c>
      <c r="E8" s="359" t="s">
        <v>1990</v>
      </c>
      <c r="F8" s="356"/>
      <c r="I8" s="94"/>
      <c r="M8" s="98"/>
      <c r="N8" s="98"/>
      <c r="O8" s="98"/>
      <c r="P8" s="98"/>
      <c r="Q8" s="98"/>
    </row>
    <row r="9" ht="15.75" customHeight="1">
      <c r="A9" s="94"/>
      <c r="B9" s="94"/>
      <c r="D9" s="361" t="s">
        <v>1991</v>
      </c>
      <c r="E9" s="362" t="s">
        <v>908</v>
      </c>
      <c r="F9" s="352"/>
      <c r="I9" s="94"/>
      <c r="M9" s="98"/>
      <c r="N9" s="98"/>
      <c r="O9" s="128"/>
      <c r="P9" s="98"/>
      <c r="Q9" s="98"/>
    </row>
    <row r="10" ht="15.75" customHeight="1">
      <c r="A10" s="94"/>
      <c r="B10" s="94"/>
      <c r="D10" s="361" t="s">
        <v>909</v>
      </c>
      <c r="E10" s="623" t="s">
        <v>908</v>
      </c>
      <c r="I10" s="94"/>
      <c r="J10" s="94"/>
      <c r="M10" s="98"/>
      <c r="N10" s="98"/>
      <c r="O10" s="128"/>
      <c r="P10" s="98"/>
      <c r="Q10" s="98"/>
    </row>
    <row r="11" ht="15.75" customHeight="1">
      <c r="A11" s="94"/>
      <c r="B11" s="94"/>
      <c r="D11" s="361" t="s">
        <v>910</v>
      </c>
      <c r="E11" s="362" t="s">
        <v>908</v>
      </c>
      <c r="F11" s="94"/>
      <c r="G11" s="397"/>
      <c r="H11" s="397"/>
      <c r="I11" s="94"/>
      <c r="J11" s="397"/>
      <c r="M11" s="98"/>
      <c r="N11" s="98"/>
      <c r="O11" s="128"/>
      <c r="P11" s="98"/>
      <c r="Q11" s="98"/>
    </row>
    <row r="12" ht="15.75" customHeight="1">
      <c r="A12" s="94"/>
      <c r="B12" s="94"/>
      <c r="D12" s="365" t="s">
        <v>911</v>
      </c>
      <c r="E12" s="366" t="s">
        <v>908</v>
      </c>
      <c r="F12" s="94"/>
      <c r="G12" s="397"/>
      <c r="H12" s="94"/>
      <c r="I12" s="94"/>
      <c r="J12" s="397"/>
      <c r="M12" s="98"/>
      <c r="N12" s="98"/>
      <c r="O12" s="128"/>
      <c r="P12" s="98"/>
      <c r="Q12" s="98"/>
    </row>
    <row r="13" ht="15.75" customHeight="1">
      <c r="A13" s="94"/>
      <c r="B13" s="94"/>
      <c r="G13" s="94"/>
      <c r="H13" s="94"/>
      <c r="I13" s="94"/>
      <c r="J13" s="94"/>
      <c r="M13" s="98"/>
      <c r="N13" s="98"/>
      <c r="O13" s="128"/>
      <c r="P13" s="98"/>
      <c r="Q13" s="98"/>
    </row>
    <row r="14" ht="15.75" customHeight="1">
      <c r="A14" s="94"/>
      <c r="B14" s="354" t="s">
        <v>912</v>
      </c>
      <c r="E14" s="364"/>
      <c r="F14" s="364"/>
      <c r="G14" s="364"/>
      <c r="H14" s="364"/>
      <c r="I14" s="364"/>
      <c r="J14" s="364"/>
      <c r="K14" s="364"/>
      <c r="L14" s="94"/>
      <c r="M14" s="94"/>
      <c r="N14" s="98"/>
      <c r="O14" s="128"/>
      <c r="P14" s="98"/>
      <c r="Q14" s="98"/>
    </row>
    <row r="15" ht="15.75" customHeight="1">
      <c r="A15" s="94"/>
      <c r="B15" s="351"/>
      <c r="E15" s="364"/>
      <c r="F15" s="364"/>
      <c r="G15" s="364"/>
      <c r="H15" s="364"/>
      <c r="I15" s="364"/>
      <c r="J15" s="364"/>
      <c r="K15" s="364"/>
      <c r="L15" s="94"/>
      <c r="M15" s="94"/>
      <c r="N15" s="98"/>
      <c r="O15" s="128"/>
      <c r="P15" s="98"/>
      <c r="Q15" s="98"/>
    </row>
    <row r="16" ht="15.75" customHeight="1">
      <c r="A16" s="94"/>
      <c r="B16" s="94"/>
      <c r="D16" s="357" t="s">
        <v>913</v>
      </c>
      <c r="E16" s="364"/>
      <c r="F16" s="364"/>
      <c r="G16" s="364"/>
      <c r="H16" s="364"/>
      <c r="I16" s="364"/>
      <c r="J16" s="364"/>
      <c r="K16" s="364"/>
      <c r="L16" s="94"/>
      <c r="M16" s="94"/>
      <c r="N16" s="98"/>
      <c r="O16" s="128"/>
      <c r="P16" s="98"/>
      <c r="Q16" s="98"/>
    </row>
    <row r="17" ht="15.75" customHeight="1">
      <c r="A17" s="94"/>
      <c r="B17" s="94"/>
      <c r="D17" s="367" t="s">
        <v>914</v>
      </c>
      <c r="E17" s="368" t="s">
        <v>915</v>
      </c>
      <c r="F17" s="368" t="s">
        <v>886</v>
      </c>
      <c r="G17" s="368" t="s">
        <v>916</v>
      </c>
      <c r="H17" s="369" t="s">
        <v>917</v>
      </c>
      <c r="I17" s="364"/>
      <c r="J17" s="364"/>
      <c r="K17" s="364"/>
      <c r="L17" s="370" t="s">
        <v>918</v>
      </c>
      <c r="M17" s="371"/>
      <c r="N17" s="98"/>
      <c r="O17" s="128"/>
      <c r="P17" s="98"/>
      <c r="Q17" s="98"/>
    </row>
    <row r="18" ht="15.75" customHeight="1">
      <c r="A18" s="94"/>
      <c r="B18" s="94"/>
      <c r="C18" s="624"/>
      <c r="D18" s="625">
        <v>46189.0</v>
      </c>
      <c r="E18" s="374" t="s">
        <v>1992</v>
      </c>
      <c r="F18" s="374">
        <v>2.1840951953E8</v>
      </c>
      <c r="G18" s="374">
        <v>2.1899149719E8</v>
      </c>
      <c r="H18" s="626">
        <f t="shared" ref="H18:H19" si="1">F18-G18</f>
        <v>-581977.66</v>
      </c>
      <c r="I18" s="627"/>
      <c r="J18" s="364"/>
      <c r="K18" s="364"/>
      <c r="L18" s="376"/>
      <c r="M18" s="153"/>
      <c r="N18" s="98"/>
      <c r="O18" s="128"/>
      <c r="P18" s="98"/>
      <c r="Q18" s="98"/>
    </row>
    <row r="19" ht="15.75" hidden="1" customHeight="1">
      <c r="A19" s="94"/>
      <c r="B19" s="94"/>
      <c r="C19" s="624"/>
      <c r="D19" s="628">
        <v>46188.0</v>
      </c>
      <c r="E19" s="629" t="s">
        <v>1992</v>
      </c>
      <c r="F19" s="629">
        <v>2.177146648E8</v>
      </c>
      <c r="G19" s="629">
        <v>2.1837245755E8</v>
      </c>
      <c r="H19" s="626">
        <f t="shared" si="1"/>
        <v>-657792.75</v>
      </c>
      <c r="I19" s="627"/>
      <c r="J19" s="364"/>
      <c r="K19" s="364"/>
      <c r="L19" s="630"/>
      <c r="M19" s="630"/>
      <c r="N19" s="98"/>
      <c r="O19" s="128"/>
      <c r="P19" s="98"/>
      <c r="Q19" s="98"/>
    </row>
    <row r="20" ht="15.0" customHeight="1">
      <c r="A20" s="94"/>
      <c r="B20" s="94"/>
      <c r="K20" s="94"/>
      <c r="L20" s="94"/>
      <c r="M20" s="94"/>
      <c r="N20" s="98"/>
      <c r="O20" s="128"/>
      <c r="P20" s="98"/>
      <c r="Q20" s="98"/>
    </row>
    <row r="21" ht="15.75" customHeight="1">
      <c r="A21" s="94"/>
      <c r="B21" s="94"/>
      <c r="D21" s="377" t="s">
        <v>920</v>
      </c>
      <c r="E21" s="378"/>
      <c r="F21" s="378"/>
      <c r="G21" s="378"/>
      <c r="H21" s="378"/>
      <c r="I21" s="378"/>
      <c r="J21" s="378"/>
      <c r="K21" s="378"/>
      <c r="L21" s="378"/>
      <c r="M21" s="379"/>
      <c r="N21" s="98"/>
      <c r="O21" s="128"/>
      <c r="P21" s="98"/>
      <c r="Q21" s="98"/>
    </row>
    <row r="22" ht="15.75" customHeight="1">
      <c r="A22" s="94"/>
      <c r="B22" s="380" t="s">
        <v>921</v>
      </c>
      <c r="C22" s="381" t="s">
        <v>922</v>
      </c>
      <c r="D22" s="380" t="s">
        <v>914</v>
      </c>
      <c r="E22" s="382" t="s">
        <v>923</v>
      </c>
      <c r="F22" s="382" t="s">
        <v>886</v>
      </c>
      <c r="G22" s="382" t="s">
        <v>916</v>
      </c>
      <c r="H22" s="384" t="s">
        <v>924</v>
      </c>
      <c r="I22" s="5"/>
      <c r="J22" s="6"/>
      <c r="K22" s="384" t="s">
        <v>925</v>
      </c>
      <c r="L22" s="5"/>
      <c r="M22" s="385"/>
      <c r="N22" s="98"/>
      <c r="O22" s="128"/>
      <c r="P22" s="98"/>
      <c r="Q22" s="98"/>
    </row>
    <row r="23" ht="64.5" customHeight="1">
      <c r="A23" s="94"/>
      <c r="B23" s="176" t="s">
        <v>926</v>
      </c>
      <c r="C23" s="631"/>
      <c r="D23" s="632">
        <v>45902.0</v>
      </c>
      <c r="E23" s="386" t="s">
        <v>208</v>
      </c>
      <c r="F23" s="387">
        <v>-3.75</v>
      </c>
      <c r="G23" s="387">
        <v>7.5</v>
      </c>
      <c r="H23" s="390" t="s">
        <v>1993</v>
      </c>
      <c r="I23" s="5"/>
      <c r="J23" s="6"/>
      <c r="K23" s="633" t="s">
        <v>928</v>
      </c>
      <c r="L23" s="5"/>
      <c r="M23" s="385"/>
      <c r="P23" s="98"/>
      <c r="Q23" s="98"/>
    </row>
    <row r="24" ht="38.25" customHeight="1">
      <c r="A24" s="94"/>
      <c r="B24" s="176" t="s">
        <v>926</v>
      </c>
      <c r="C24" s="631"/>
      <c r="D24" s="632">
        <v>45922.0</v>
      </c>
      <c r="E24" s="386" t="s">
        <v>208</v>
      </c>
      <c r="F24" s="387">
        <v>-31.5</v>
      </c>
      <c r="G24" s="387">
        <v>0.0</v>
      </c>
      <c r="H24" s="390" t="s">
        <v>1994</v>
      </c>
      <c r="I24" s="5"/>
      <c r="J24" s="6"/>
      <c r="K24" s="390" t="s">
        <v>928</v>
      </c>
      <c r="L24" s="5"/>
      <c r="M24" s="385"/>
      <c r="P24" s="98"/>
      <c r="Q24" s="98"/>
    </row>
    <row r="25" ht="38.25" customHeight="1">
      <c r="A25" s="94"/>
      <c r="B25" s="176" t="s">
        <v>926</v>
      </c>
      <c r="C25" s="631"/>
      <c r="D25" s="632">
        <v>45922.0</v>
      </c>
      <c r="E25" s="386" t="s">
        <v>208</v>
      </c>
      <c r="F25" s="387">
        <v>-75.0</v>
      </c>
      <c r="G25" s="387">
        <v>0.0</v>
      </c>
      <c r="H25" s="390" t="s">
        <v>1995</v>
      </c>
      <c r="I25" s="5"/>
      <c r="J25" s="6"/>
      <c r="K25" s="390" t="s">
        <v>928</v>
      </c>
      <c r="L25" s="5"/>
      <c r="M25" s="385"/>
      <c r="P25" s="98"/>
      <c r="Q25" s="98"/>
    </row>
    <row r="26" ht="38.25" customHeight="1">
      <c r="A26" s="94"/>
      <c r="B26" s="176" t="s">
        <v>926</v>
      </c>
      <c r="C26" s="634"/>
      <c r="D26" s="632">
        <v>45973.0</v>
      </c>
      <c r="E26" s="386" t="s">
        <v>208</v>
      </c>
      <c r="F26" s="387">
        <v>1.88</v>
      </c>
      <c r="G26" s="387">
        <v>0.0</v>
      </c>
      <c r="H26" s="390" t="s">
        <v>1996</v>
      </c>
      <c r="I26" s="5"/>
      <c r="J26" s="6"/>
      <c r="K26" s="633" t="s">
        <v>928</v>
      </c>
      <c r="L26" s="5"/>
      <c r="M26" s="385"/>
      <c r="P26" s="98"/>
      <c r="Q26" s="98"/>
    </row>
    <row r="27" ht="50.25" customHeight="1">
      <c r="A27" s="94"/>
      <c r="B27" s="176" t="s">
        <v>926</v>
      </c>
      <c r="C27" s="631"/>
      <c r="D27" s="632">
        <v>46035.0</v>
      </c>
      <c r="E27" s="386" t="s">
        <v>208</v>
      </c>
      <c r="F27" s="387">
        <v>-25.0</v>
      </c>
      <c r="G27" s="387">
        <v>0.0</v>
      </c>
      <c r="H27" s="390" t="s">
        <v>1997</v>
      </c>
      <c r="I27" s="5"/>
      <c r="J27" s="6"/>
      <c r="K27" s="633" t="s">
        <v>928</v>
      </c>
      <c r="L27" s="5"/>
      <c r="M27" s="385"/>
      <c r="P27" s="98"/>
      <c r="Q27" s="98"/>
    </row>
    <row r="28" ht="70.5" customHeight="1">
      <c r="A28" s="94"/>
      <c r="B28" s="176" t="s">
        <v>926</v>
      </c>
      <c r="C28" s="631"/>
      <c r="D28" s="632">
        <v>46051.0</v>
      </c>
      <c r="E28" s="386" t="s">
        <v>208</v>
      </c>
      <c r="F28" s="387">
        <v>-288.77</v>
      </c>
      <c r="G28" s="387">
        <v>0.0</v>
      </c>
      <c r="H28" s="393" t="s">
        <v>1998</v>
      </c>
      <c r="I28" s="5"/>
      <c r="J28" s="6"/>
      <c r="K28" s="390" t="s">
        <v>928</v>
      </c>
      <c r="L28" s="5"/>
      <c r="M28" s="385"/>
      <c r="O28" s="22"/>
      <c r="P28" s="439"/>
      <c r="Q28" s="98"/>
    </row>
    <row r="29" ht="70.5" customHeight="1">
      <c r="A29" s="165"/>
      <c r="B29" s="176" t="s">
        <v>930</v>
      </c>
      <c r="C29" s="387"/>
      <c r="D29" s="632">
        <v>46157.0</v>
      </c>
      <c r="E29" s="386" t="s">
        <v>208</v>
      </c>
      <c r="F29" s="387">
        <v>35715.98</v>
      </c>
      <c r="G29" s="387">
        <v>0.0</v>
      </c>
      <c r="H29" s="390" t="s">
        <v>1999</v>
      </c>
      <c r="I29" s="5"/>
      <c r="J29" s="6"/>
      <c r="K29" s="390" t="s">
        <v>928</v>
      </c>
      <c r="L29" s="5"/>
      <c r="M29" s="385"/>
      <c r="O29" s="34"/>
      <c r="P29" s="635"/>
      <c r="Q29" s="165"/>
    </row>
    <row r="30" ht="70.5" customHeight="1">
      <c r="A30" s="165"/>
      <c r="B30" s="176" t="s">
        <v>930</v>
      </c>
      <c r="C30" s="392"/>
      <c r="D30" s="632">
        <v>46160.0</v>
      </c>
      <c r="E30" s="386" t="s">
        <v>208</v>
      </c>
      <c r="F30" s="387">
        <v>43737.78</v>
      </c>
      <c r="G30" s="387">
        <v>0.0</v>
      </c>
      <c r="H30" s="390" t="s">
        <v>2000</v>
      </c>
      <c r="I30" s="5"/>
      <c r="J30" s="6"/>
      <c r="K30" s="390" t="s">
        <v>928</v>
      </c>
      <c r="L30" s="5"/>
      <c r="M30" s="385"/>
      <c r="O30" s="34"/>
      <c r="P30" s="635"/>
      <c r="Q30" s="165"/>
    </row>
    <row r="31" ht="70.5" customHeight="1">
      <c r="A31" s="94"/>
      <c r="B31" s="176" t="s">
        <v>926</v>
      </c>
      <c r="C31" s="392"/>
      <c r="D31" s="632">
        <v>46161.0</v>
      </c>
      <c r="E31" s="386" t="s">
        <v>208</v>
      </c>
      <c r="F31" s="387">
        <v>-22949.3</v>
      </c>
      <c r="G31" s="387">
        <v>0.0</v>
      </c>
      <c r="H31" s="390" t="s">
        <v>2001</v>
      </c>
      <c r="I31" s="5"/>
      <c r="J31" s="6"/>
      <c r="K31" s="390" t="s">
        <v>928</v>
      </c>
      <c r="L31" s="5"/>
      <c r="M31" s="385"/>
      <c r="O31" s="22"/>
      <c r="P31" s="439"/>
      <c r="Q31" s="98"/>
    </row>
    <row r="32" ht="70.5" customHeight="1">
      <c r="A32" s="165"/>
      <c r="B32" s="176" t="s">
        <v>930</v>
      </c>
      <c r="C32" s="392"/>
      <c r="D32" s="632">
        <v>46162.0</v>
      </c>
      <c r="E32" s="386" t="s">
        <v>208</v>
      </c>
      <c r="F32" s="387">
        <v>9880.17</v>
      </c>
      <c r="G32" s="387">
        <v>0.0</v>
      </c>
      <c r="H32" s="390" t="s">
        <v>2002</v>
      </c>
      <c r="I32" s="5"/>
      <c r="J32" s="6"/>
      <c r="K32" s="390" t="s">
        <v>928</v>
      </c>
      <c r="L32" s="5"/>
      <c r="M32" s="385"/>
      <c r="O32" s="34"/>
      <c r="P32" s="635"/>
      <c r="Q32" s="165"/>
    </row>
    <row r="33" ht="70.5" customHeight="1">
      <c r="A33" s="165"/>
      <c r="B33" s="176" t="s">
        <v>930</v>
      </c>
      <c r="C33" s="392"/>
      <c r="D33" s="632">
        <v>46163.0</v>
      </c>
      <c r="E33" s="386" t="s">
        <v>208</v>
      </c>
      <c r="F33" s="387">
        <v>-80628.88</v>
      </c>
      <c r="G33" s="387">
        <v>0.0</v>
      </c>
      <c r="H33" s="390" t="s">
        <v>2003</v>
      </c>
      <c r="I33" s="5"/>
      <c r="J33" s="6"/>
      <c r="K33" s="390" t="s">
        <v>928</v>
      </c>
      <c r="L33" s="5"/>
      <c r="M33" s="385"/>
      <c r="O33" s="34"/>
      <c r="P33" s="635"/>
      <c r="Q33" s="165"/>
    </row>
    <row r="34" ht="70.5" customHeight="1">
      <c r="A34" s="165"/>
      <c r="B34" s="176" t="s">
        <v>930</v>
      </c>
      <c r="C34" s="392"/>
      <c r="D34" s="632">
        <v>46163.0</v>
      </c>
      <c r="E34" s="386" t="s">
        <v>208</v>
      </c>
      <c r="F34" s="387">
        <v>3788.79</v>
      </c>
      <c r="G34" s="387">
        <v>0.0</v>
      </c>
      <c r="H34" s="390" t="s">
        <v>2004</v>
      </c>
      <c r="I34" s="5"/>
      <c r="J34" s="6"/>
      <c r="K34" s="390" t="s">
        <v>928</v>
      </c>
      <c r="L34" s="5"/>
      <c r="M34" s="385"/>
      <c r="O34" s="34"/>
      <c r="P34" s="635"/>
      <c r="Q34" s="165"/>
    </row>
    <row r="35" ht="70.5" customHeight="1">
      <c r="A35" s="165"/>
      <c r="B35" s="176" t="s">
        <v>930</v>
      </c>
      <c r="C35" s="392"/>
      <c r="D35" s="632">
        <v>46163.0</v>
      </c>
      <c r="E35" s="386" t="s">
        <v>208</v>
      </c>
      <c r="F35" s="387">
        <v>379.28</v>
      </c>
      <c r="G35" s="387">
        <v>0.0</v>
      </c>
      <c r="H35" s="390" t="s">
        <v>2005</v>
      </c>
      <c r="I35" s="5"/>
      <c r="J35" s="6"/>
      <c r="K35" s="390" t="s">
        <v>928</v>
      </c>
      <c r="L35" s="5"/>
      <c r="M35" s="385"/>
      <c r="O35" s="34"/>
      <c r="P35" s="635"/>
      <c r="Q35" s="165"/>
    </row>
    <row r="36" ht="70.5" customHeight="1">
      <c r="A36" s="165"/>
      <c r="B36" s="176" t="s">
        <v>930</v>
      </c>
      <c r="C36" s="392"/>
      <c r="D36" s="632">
        <v>46171.0</v>
      </c>
      <c r="E36" s="386" t="s">
        <v>208</v>
      </c>
      <c r="F36" s="387">
        <v>333.0</v>
      </c>
      <c r="G36" s="387">
        <v>0.0</v>
      </c>
      <c r="H36" s="390" t="s">
        <v>2006</v>
      </c>
      <c r="I36" s="5"/>
      <c r="J36" s="6"/>
      <c r="K36" s="633" t="s">
        <v>928</v>
      </c>
      <c r="L36" s="5"/>
      <c r="M36" s="385"/>
      <c r="O36" s="34"/>
      <c r="P36" s="635"/>
      <c r="Q36" s="165"/>
    </row>
    <row r="37" ht="70.5" customHeight="1">
      <c r="A37" s="165"/>
      <c r="B37" s="176" t="s">
        <v>930</v>
      </c>
      <c r="C37" s="392"/>
      <c r="D37" s="632">
        <v>46176.0</v>
      </c>
      <c r="E37" s="386" t="s">
        <v>208</v>
      </c>
      <c r="F37" s="387">
        <v>-0.05</v>
      </c>
      <c r="G37" s="387">
        <v>0.0</v>
      </c>
      <c r="H37" s="390" t="s">
        <v>2007</v>
      </c>
      <c r="I37" s="5"/>
      <c r="J37" s="6"/>
      <c r="K37" s="390" t="s">
        <v>2008</v>
      </c>
      <c r="L37" s="5"/>
      <c r="M37" s="385"/>
      <c r="O37" s="34"/>
      <c r="P37" s="635"/>
      <c r="Q37" s="165"/>
    </row>
    <row r="38" ht="70.5" customHeight="1">
      <c r="A38" s="165"/>
      <c r="B38" s="176" t="s">
        <v>930</v>
      </c>
      <c r="C38" s="392"/>
      <c r="D38" s="632">
        <v>46176.0</v>
      </c>
      <c r="E38" s="386" t="s">
        <v>208</v>
      </c>
      <c r="F38" s="387">
        <v>-0.38</v>
      </c>
      <c r="G38" s="387">
        <v>0.0</v>
      </c>
      <c r="H38" s="390" t="s">
        <v>2007</v>
      </c>
      <c r="I38" s="5"/>
      <c r="J38" s="6"/>
      <c r="K38" s="633" t="s">
        <v>2008</v>
      </c>
      <c r="L38" s="5"/>
      <c r="M38" s="385"/>
      <c r="O38" s="34"/>
      <c r="P38" s="635"/>
      <c r="Q38" s="165"/>
    </row>
    <row r="39" ht="70.5" customHeight="1">
      <c r="A39" s="165"/>
      <c r="B39" s="176" t="s">
        <v>930</v>
      </c>
      <c r="C39" s="392"/>
      <c r="D39" s="632">
        <v>46176.0</v>
      </c>
      <c r="E39" s="386" t="s">
        <v>208</v>
      </c>
      <c r="F39" s="387">
        <v>-1.41</v>
      </c>
      <c r="G39" s="387">
        <v>0.0</v>
      </c>
      <c r="H39" s="390" t="s">
        <v>2007</v>
      </c>
      <c r="I39" s="5"/>
      <c r="J39" s="6"/>
      <c r="K39" s="390" t="s">
        <v>2008</v>
      </c>
      <c r="L39" s="5"/>
      <c r="M39" s="385"/>
      <c r="O39" s="34"/>
      <c r="P39" s="635"/>
      <c r="Q39" s="165"/>
    </row>
    <row r="40" ht="70.5" customHeight="1">
      <c r="A40" s="165"/>
      <c r="B40" s="176" t="s">
        <v>930</v>
      </c>
      <c r="C40" s="392"/>
      <c r="D40" s="632">
        <v>46185.0</v>
      </c>
      <c r="E40" s="386" t="s">
        <v>208</v>
      </c>
      <c r="F40" s="387">
        <v>40849.44</v>
      </c>
      <c r="G40" s="387">
        <v>0.0</v>
      </c>
      <c r="H40" s="390" t="s">
        <v>2009</v>
      </c>
      <c r="I40" s="5"/>
      <c r="J40" s="6"/>
      <c r="K40" s="390" t="s">
        <v>2010</v>
      </c>
      <c r="L40" s="5"/>
      <c r="M40" s="385"/>
      <c r="O40" s="34"/>
      <c r="P40" s="635"/>
      <c r="Q40" s="165"/>
    </row>
    <row r="41" ht="70.5" customHeight="1">
      <c r="A41" s="165"/>
      <c r="B41" s="176" t="s">
        <v>930</v>
      </c>
      <c r="C41" s="392"/>
      <c r="D41" s="636">
        <v>46189.0</v>
      </c>
      <c r="E41" s="386" t="s">
        <v>208</v>
      </c>
      <c r="F41" s="387">
        <v>0.0</v>
      </c>
      <c r="G41" s="392">
        <v>-2947.19</v>
      </c>
      <c r="H41" s="637" t="s">
        <v>2011</v>
      </c>
      <c r="I41" s="5"/>
      <c r="J41" s="6"/>
      <c r="K41" s="390" t="s">
        <v>2012</v>
      </c>
      <c r="L41" s="5"/>
      <c r="M41" s="385"/>
      <c r="O41" s="34"/>
      <c r="P41" s="635"/>
      <c r="Q41" s="165"/>
    </row>
    <row r="42" ht="70.5" customHeight="1">
      <c r="A42" s="165"/>
      <c r="B42" s="176" t="s">
        <v>930</v>
      </c>
      <c r="C42" s="392"/>
      <c r="D42" s="636">
        <v>46189.0</v>
      </c>
      <c r="E42" s="386" t="s">
        <v>208</v>
      </c>
      <c r="F42" s="392">
        <v>1.57</v>
      </c>
      <c r="G42" s="392">
        <v>1.57</v>
      </c>
      <c r="H42" s="637" t="s">
        <v>2013</v>
      </c>
      <c r="I42" s="5"/>
      <c r="J42" s="6"/>
      <c r="K42" s="637" t="s">
        <v>2014</v>
      </c>
      <c r="L42" s="5"/>
      <c r="M42" s="385"/>
      <c r="O42" s="34"/>
      <c r="P42" s="635"/>
      <c r="Q42" s="165"/>
    </row>
    <row r="43" ht="18.0" customHeight="1">
      <c r="A43" s="94"/>
      <c r="C43" s="638"/>
      <c r="D43" s="638"/>
      <c r="E43" s="98"/>
      <c r="F43" s="639"/>
      <c r="G43" s="639"/>
      <c r="H43" s="639"/>
      <c r="I43" s="640"/>
      <c r="J43" s="640"/>
      <c r="K43" s="640"/>
      <c r="L43" s="502"/>
      <c r="M43" s="353"/>
      <c r="P43" s="98"/>
      <c r="Q43" s="98"/>
    </row>
    <row r="44" ht="45.0" customHeight="1">
      <c r="A44" s="94"/>
      <c r="C44" s="357"/>
      <c r="D44" s="357" t="s">
        <v>952</v>
      </c>
      <c r="F44" s="641"/>
      <c r="I44" s="22"/>
      <c r="L44" s="94"/>
      <c r="M44" s="353"/>
      <c r="N44" s="396"/>
      <c r="P44" s="98"/>
      <c r="Q44" s="98"/>
    </row>
    <row r="45">
      <c r="A45" s="94"/>
      <c r="D45" s="367" t="s">
        <v>914</v>
      </c>
      <c r="E45" s="368" t="s">
        <v>915</v>
      </c>
      <c r="F45" s="368" t="s">
        <v>886</v>
      </c>
      <c r="G45" s="368" t="s">
        <v>916</v>
      </c>
      <c r="H45" s="369" t="s">
        <v>917</v>
      </c>
      <c r="I45" s="94"/>
      <c r="J45" s="94"/>
      <c r="L45" s="94"/>
      <c r="M45" s="502"/>
      <c r="N45" s="396"/>
      <c r="P45" s="98"/>
      <c r="Q45" s="98"/>
    </row>
    <row r="46">
      <c r="A46" s="94"/>
      <c r="D46" s="642">
        <f t="shared" ref="D46:E46" si="2">D18</f>
        <v>46189</v>
      </c>
      <c r="E46" s="643" t="str">
        <f t="shared" si="2"/>
        <v>9b782b36-eb40-4b1c-bebd-ed7f099a9002</v>
      </c>
      <c r="F46" s="643">
        <f t="shared" ref="F46:G46" si="3">F18+SUM(F23:F42)</f>
        <v>218440203.4</v>
      </c>
      <c r="G46" s="643">
        <f t="shared" si="3"/>
        <v>218988559.1</v>
      </c>
      <c r="H46" s="644">
        <f>G46-F46</f>
        <v>548355.69</v>
      </c>
      <c r="I46" s="94"/>
      <c r="J46" s="397"/>
      <c r="K46" s="22"/>
      <c r="L46" s="94"/>
      <c r="M46" s="502"/>
      <c r="N46" s="396"/>
      <c r="P46" s="98"/>
      <c r="Q46" s="128"/>
    </row>
    <row r="47">
      <c r="A47" s="94"/>
      <c r="I47" s="94"/>
      <c r="J47" s="131"/>
      <c r="K47" s="645"/>
      <c r="L47" s="94"/>
      <c r="M47" s="397"/>
      <c r="N47" s="396"/>
      <c r="P47" s="98"/>
      <c r="Q47" s="98"/>
    </row>
    <row r="48">
      <c r="A48" s="128"/>
      <c r="B48" s="128"/>
      <c r="E48" s="22"/>
      <c r="F48" s="22"/>
      <c r="G48" s="358" t="s">
        <v>953</v>
      </c>
      <c r="H48" s="406">
        <f>+M61-M70+M79+M87</f>
        <v>548355.69</v>
      </c>
      <c r="I48" s="364"/>
      <c r="J48" s="397"/>
      <c r="K48" s="94"/>
      <c r="L48" s="370" t="s">
        <v>954</v>
      </c>
      <c r="M48" s="371"/>
      <c r="N48" s="396"/>
      <c r="P48" s="98"/>
      <c r="Q48" s="98"/>
    </row>
    <row r="49" ht="15.75" customHeight="1">
      <c r="A49" s="94"/>
      <c r="E49" s="22"/>
      <c r="F49" s="22"/>
      <c r="G49" s="365" t="s">
        <v>955</v>
      </c>
      <c r="H49" s="646">
        <f>H46-H48</f>
        <v>-0.000000002328306437</v>
      </c>
      <c r="I49" s="94"/>
      <c r="J49" s="131"/>
      <c r="K49" s="357"/>
      <c r="L49" s="376"/>
      <c r="M49" s="153"/>
      <c r="N49" s="396"/>
      <c r="P49" s="98"/>
      <c r="Q49" s="98"/>
    </row>
    <row r="50" ht="15.75" customHeight="1">
      <c r="A50" s="94"/>
      <c r="D50" s="22"/>
      <c r="E50" s="22"/>
      <c r="F50" s="22"/>
      <c r="H50" s="94"/>
      <c r="I50" s="94"/>
      <c r="J50" s="397"/>
      <c r="K50" s="94"/>
      <c r="L50" s="94"/>
      <c r="M50" s="94"/>
      <c r="P50" s="98"/>
      <c r="Q50" s="98"/>
    </row>
    <row r="51" ht="15.75" customHeight="1">
      <c r="A51" s="94"/>
      <c r="F51" s="22"/>
      <c r="G51" s="397"/>
      <c r="H51" s="94"/>
      <c r="I51" s="94"/>
      <c r="J51" s="397"/>
      <c r="K51" s="22"/>
      <c r="M51" s="98"/>
      <c r="O51" s="94"/>
      <c r="P51" s="128"/>
      <c r="Q51" s="98"/>
    </row>
    <row r="52" ht="15.75" customHeight="1">
      <c r="A52" s="94"/>
      <c r="E52" s="22"/>
      <c r="F52" s="22"/>
      <c r="G52" s="397"/>
      <c r="H52" s="94"/>
      <c r="I52" s="397"/>
      <c r="J52" s="397"/>
      <c r="K52" s="22"/>
      <c r="M52" s="98"/>
      <c r="N52" s="94"/>
      <c r="O52" s="94"/>
      <c r="P52" s="128"/>
      <c r="Q52" s="98"/>
    </row>
    <row r="53" ht="15.75" customHeight="1">
      <c r="A53" s="94"/>
      <c r="D53" s="412"/>
      <c r="E53" s="412"/>
      <c r="F53" s="412"/>
      <c r="G53" s="412"/>
      <c r="H53" s="411"/>
      <c r="I53" s="411"/>
      <c r="J53" s="94"/>
      <c r="K53" s="22"/>
      <c r="M53" s="98"/>
      <c r="N53" s="397"/>
      <c r="O53" s="397"/>
      <c r="P53" s="98"/>
      <c r="Q53" s="98"/>
    </row>
    <row r="54" ht="15.75" customHeight="1">
      <c r="A54" s="94"/>
      <c r="D54" s="357" t="s">
        <v>956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8"/>
      <c r="Q54" s="98"/>
    </row>
    <row r="55" ht="15.75" customHeight="1">
      <c r="A55" s="94"/>
      <c r="B55" s="94"/>
      <c r="N55" s="94"/>
      <c r="O55" s="128"/>
      <c r="P55" s="128"/>
      <c r="Q55" s="98"/>
    </row>
    <row r="56" ht="15.75" customHeight="1">
      <c r="A56" s="94"/>
      <c r="B56" s="94"/>
      <c r="D56" s="413" t="s">
        <v>34</v>
      </c>
      <c r="E56" s="414" t="s">
        <v>957</v>
      </c>
      <c r="F56" s="415"/>
      <c r="G56" s="416" t="s">
        <v>958</v>
      </c>
      <c r="H56" s="417" t="s">
        <v>959</v>
      </c>
      <c r="I56" s="415"/>
      <c r="J56" s="418" t="s">
        <v>960</v>
      </c>
      <c r="K56" s="415"/>
      <c r="L56" s="419"/>
      <c r="M56" s="420" t="s">
        <v>961</v>
      </c>
      <c r="N56" s="98"/>
      <c r="O56" s="128"/>
      <c r="P56" s="98"/>
      <c r="Q56" s="98"/>
    </row>
    <row r="57" ht="15.75" customHeight="1">
      <c r="A57" s="94"/>
      <c r="B57" s="354"/>
      <c r="D57" s="421">
        <f>E4</f>
        <v>46189</v>
      </c>
      <c r="E57" s="364" t="s">
        <v>962</v>
      </c>
      <c r="G57" s="422"/>
      <c r="H57" s="423"/>
      <c r="J57" s="423"/>
      <c r="L57" s="422"/>
      <c r="M57" s="424">
        <f>VLOOKUP("TOTAL INTERNAL CREDIT:", '13. LISA Citi v Ledger'!M:N, 2, FALSE)</f>
        <v>548599.32</v>
      </c>
      <c r="N57" s="98"/>
      <c r="O57" s="128"/>
      <c r="P57" s="98"/>
      <c r="Q57" s="98"/>
    </row>
    <row r="58" ht="15.75" customHeight="1">
      <c r="A58" s="94"/>
      <c r="B58" s="351"/>
      <c r="D58" s="435"/>
      <c r="E58" s="423"/>
      <c r="H58" s="423"/>
      <c r="J58" s="423"/>
      <c r="M58" s="444"/>
      <c r="N58" s="98"/>
      <c r="O58" s="128"/>
      <c r="P58" s="98"/>
      <c r="Q58" s="98"/>
    </row>
    <row r="59" ht="15.75" customHeight="1">
      <c r="A59" s="94"/>
      <c r="B59" s="98"/>
      <c r="D59" s="425"/>
      <c r="E59" s="423"/>
      <c r="G59" s="426"/>
      <c r="H59" s="423"/>
      <c r="J59" s="423"/>
      <c r="L59" s="426"/>
      <c r="M59" s="428"/>
      <c r="N59" s="98"/>
      <c r="O59" s="128"/>
      <c r="P59" s="98"/>
      <c r="Q59" s="98"/>
    </row>
    <row r="60" ht="6.0" customHeight="1">
      <c r="A60" s="94"/>
      <c r="B60" s="98"/>
      <c r="D60" s="427"/>
      <c r="E60" s="423"/>
      <c r="G60" s="128"/>
      <c r="H60" s="423"/>
      <c r="J60" s="423"/>
      <c r="L60" s="94"/>
      <c r="M60" s="437"/>
      <c r="N60" s="98"/>
      <c r="O60" s="128"/>
      <c r="P60" s="98"/>
      <c r="Q60" s="98"/>
    </row>
    <row r="61" ht="15.75" customHeight="1">
      <c r="A61" s="94"/>
      <c r="B61" s="98"/>
      <c r="D61" s="429" t="s">
        <v>872</v>
      </c>
      <c r="E61" s="430"/>
      <c r="F61" s="430"/>
      <c r="G61" s="431"/>
      <c r="H61" s="430"/>
      <c r="I61" s="430"/>
      <c r="J61" s="430"/>
      <c r="K61" s="430"/>
      <c r="L61" s="432" t="s">
        <v>42</v>
      </c>
      <c r="M61" s="433">
        <f>SUM(M57:M60)</f>
        <v>548599.32</v>
      </c>
      <c r="N61" s="98"/>
      <c r="O61" s="128"/>
      <c r="P61" s="98"/>
      <c r="Q61" s="98"/>
    </row>
    <row r="62" ht="15.75" customHeight="1">
      <c r="A62" s="94"/>
      <c r="B62" s="98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8"/>
      <c r="O62" s="128"/>
      <c r="P62" s="98"/>
      <c r="Q62" s="98"/>
    </row>
    <row r="63" ht="15.75" customHeight="1">
      <c r="A63" s="94"/>
      <c r="B63" s="98"/>
      <c r="D63" s="357" t="s">
        <v>963</v>
      </c>
      <c r="E63" s="94"/>
      <c r="F63" s="94"/>
      <c r="G63" s="94"/>
      <c r="H63" s="94"/>
      <c r="I63" s="94"/>
      <c r="J63" s="94"/>
      <c r="K63" s="94"/>
      <c r="L63" s="94"/>
      <c r="M63" s="94"/>
      <c r="N63" s="98"/>
      <c r="O63" s="128"/>
      <c r="P63" s="98"/>
      <c r="Q63" s="98"/>
    </row>
    <row r="64" ht="15.75" customHeight="1">
      <c r="A64" s="94"/>
      <c r="B64" s="98"/>
      <c r="N64" s="98"/>
      <c r="O64" s="128"/>
      <c r="P64" s="98"/>
      <c r="Q64" s="98"/>
    </row>
    <row r="65" ht="15.75" customHeight="1">
      <c r="A65" s="94"/>
      <c r="B65" s="98"/>
      <c r="D65" s="413" t="s">
        <v>34</v>
      </c>
      <c r="E65" s="414" t="s">
        <v>957</v>
      </c>
      <c r="F65" s="415"/>
      <c r="G65" s="416" t="s">
        <v>958</v>
      </c>
      <c r="H65" s="417" t="s">
        <v>959</v>
      </c>
      <c r="I65" s="415"/>
      <c r="J65" s="418" t="s">
        <v>960</v>
      </c>
      <c r="K65" s="415"/>
      <c r="L65" s="419"/>
      <c r="M65" s="420" t="s">
        <v>961</v>
      </c>
      <c r="N65" s="98"/>
      <c r="O65" s="128"/>
      <c r="P65" s="98"/>
      <c r="Q65" s="98"/>
    </row>
    <row r="66" ht="15.75" customHeight="1">
      <c r="A66" s="94"/>
      <c r="B66" s="98"/>
      <c r="D66" s="435"/>
      <c r="E66" s="423"/>
      <c r="H66" s="423"/>
      <c r="J66" s="423"/>
      <c r="L66" s="422"/>
      <c r="M66" s="444"/>
      <c r="N66" s="98"/>
      <c r="O66" s="128"/>
      <c r="P66" s="98"/>
      <c r="Q66" s="98"/>
    </row>
    <row r="67" ht="15.75" customHeight="1">
      <c r="A67" s="94"/>
      <c r="B67" s="98"/>
      <c r="D67" s="425"/>
      <c r="E67" s="423"/>
      <c r="G67" s="422"/>
      <c r="H67" s="423"/>
      <c r="J67" s="423"/>
      <c r="L67" s="422"/>
      <c r="M67" s="428"/>
      <c r="N67" s="98"/>
      <c r="O67" s="128"/>
      <c r="P67" s="98"/>
      <c r="Q67" s="98"/>
    </row>
    <row r="68" ht="15.75" customHeight="1">
      <c r="A68" s="94"/>
      <c r="B68" s="98"/>
      <c r="D68" s="425"/>
      <c r="E68" s="423"/>
      <c r="G68" s="426"/>
      <c r="H68" s="423"/>
      <c r="J68" s="423"/>
      <c r="L68" s="426"/>
      <c r="M68" s="428"/>
      <c r="N68" s="98"/>
      <c r="O68" s="128"/>
      <c r="P68" s="98"/>
      <c r="Q68" s="98"/>
    </row>
    <row r="69" ht="5.25" customHeight="1">
      <c r="A69" s="94"/>
      <c r="B69" s="98"/>
      <c r="D69" s="427"/>
      <c r="E69" s="423"/>
      <c r="G69" s="128"/>
      <c r="H69" s="423"/>
      <c r="J69" s="423"/>
      <c r="L69" s="94"/>
      <c r="M69" s="437"/>
      <c r="N69" s="98"/>
      <c r="O69" s="128"/>
      <c r="P69" s="98"/>
      <c r="Q69" s="98"/>
    </row>
    <row r="70" ht="15.75" customHeight="1">
      <c r="A70" s="94"/>
      <c r="B70" s="98"/>
      <c r="D70" s="429" t="s">
        <v>876</v>
      </c>
      <c r="E70" s="430"/>
      <c r="F70" s="430"/>
      <c r="G70" s="430"/>
      <c r="H70" s="430"/>
      <c r="I70" s="430"/>
      <c r="J70" s="430"/>
      <c r="K70" s="430"/>
      <c r="L70" s="432" t="s">
        <v>42</v>
      </c>
      <c r="M70" s="433">
        <f>SUM(M66:M69)</f>
        <v>0</v>
      </c>
      <c r="N70" s="98"/>
      <c r="O70" s="128"/>
      <c r="P70" s="98"/>
      <c r="Q70" s="98"/>
    </row>
    <row r="71" ht="15.75" customHeight="1">
      <c r="A71" s="94"/>
      <c r="B71" s="98"/>
      <c r="D71" s="98"/>
      <c r="E71" s="94"/>
      <c r="F71" s="94"/>
      <c r="G71" s="94"/>
      <c r="H71" s="94"/>
      <c r="I71" s="94"/>
      <c r="J71" s="94"/>
      <c r="K71" s="94"/>
      <c r="L71" s="438"/>
      <c r="M71" s="439"/>
      <c r="N71" s="98"/>
      <c r="O71" s="128"/>
      <c r="P71" s="98"/>
      <c r="Q71" s="98"/>
    </row>
    <row r="72" ht="15.75" customHeight="1">
      <c r="A72" s="94"/>
      <c r="B72" s="98"/>
      <c r="D72" s="357" t="s">
        <v>964</v>
      </c>
      <c r="E72" s="94"/>
      <c r="F72" s="94"/>
      <c r="G72" s="94"/>
      <c r="H72" s="94"/>
      <c r="I72" s="94"/>
      <c r="J72" s="94"/>
      <c r="K72" s="94"/>
      <c r="L72" s="94"/>
      <c r="M72" s="94"/>
      <c r="N72" s="98"/>
      <c r="O72" s="128"/>
      <c r="P72" s="98"/>
      <c r="Q72" s="98"/>
    </row>
    <row r="73" ht="15.75" customHeight="1">
      <c r="A73" s="94"/>
      <c r="B73" s="98"/>
      <c r="D73" s="426"/>
      <c r="E73" s="426"/>
      <c r="F73" s="426"/>
      <c r="G73" s="426"/>
      <c r="H73" s="426"/>
      <c r="I73" s="426"/>
      <c r="J73" s="426"/>
      <c r="K73" s="426"/>
      <c r="L73" s="426"/>
      <c r="M73" s="426"/>
      <c r="N73" s="98"/>
      <c r="O73" s="128"/>
      <c r="P73" s="98"/>
      <c r="Q73" s="98"/>
    </row>
    <row r="74" ht="15.75" customHeight="1">
      <c r="A74" s="94"/>
      <c r="B74" s="98"/>
      <c r="D74" s="413" t="s">
        <v>34</v>
      </c>
      <c r="E74" s="414" t="s">
        <v>957</v>
      </c>
      <c r="F74" s="415"/>
      <c r="G74" s="416" t="s">
        <v>958</v>
      </c>
      <c r="H74" s="417" t="s">
        <v>959</v>
      </c>
      <c r="I74" s="415"/>
      <c r="J74" s="418" t="s">
        <v>960</v>
      </c>
      <c r="K74" s="415"/>
      <c r="L74" s="419"/>
      <c r="M74" s="420" t="s">
        <v>961</v>
      </c>
      <c r="N74" s="98"/>
      <c r="O74" s="128"/>
      <c r="P74" s="98"/>
      <c r="Q74" s="98"/>
    </row>
    <row r="75" ht="15.75" customHeight="1">
      <c r="A75" s="94"/>
      <c r="B75" s="98"/>
      <c r="D75" s="647"/>
      <c r="E75" s="648"/>
      <c r="G75" s="649"/>
      <c r="H75" s="442"/>
      <c r="J75" s="422"/>
      <c r="L75" s="422"/>
      <c r="M75" s="443"/>
      <c r="N75" s="98"/>
      <c r="O75" s="128"/>
      <c r="P75" s="98"/>
      <c r="Q75" s="98"/>
    </row>
    <row r="76" ht="15.75" customHeight="1">
      <c r="B76" s="98"/>
      <c r="D76" s="425"/>
      <c r="E76" s="423"/>
      <c r="G76" s="422"/>
      <c r="H76" s="423"/>
      <c r="J76" s="423"/>
      <c r="L76" s="422"/>
      <c r="M76" s="428"/>
      <c r="N76" s="98"/>
      <c r="O76" s="128"/>
      <c r="P76" s="98"/>
      <c r="Q76" s="98"/>
    </row>
    <row r="77" ht="15.75" customHeight="1">
      <c r="B77" s="351"/>
      <c r="D77" s="425"/>
      <c r="E77" s="423"/>
      <c r="G77" s="426"/>
      <c r="H77" s="423"/>
      <c r="J77" s="423"/>
      <c r="L77" s="426"/>
      <c r="M77" s="428"/>
      <c r="N77" s="98"/>
      <c r="O77" s="128"/>
      <c r="P77" s="98"/>
      <c r="Q77" s="98"/>
    </row>
    <row r="78" ht="6.0" customHeight="1">
      <c r="B78" s="98"/>
      <c r="D78" s="427"/>
      <c r="E78" s="423"/>
      <c r="G78" s="128"/>
      <c r="H78" s="423"/>
      <c r="J78" s="423"/>
      <c r="L78" s="94"/>
      <c r="M78" s="437"/>
      <c r="N78" s="98"/>
      <c r="O78" s="128"/>
      <c r="P78" s="98"/>
      <c r="Q78" s="98"/>
    </row>
    <row r="79" ht="15.75" customHeight="1">
      <c r="B79" s="98"/>
      <c r="D79" s="429" t="s">
        <v>868</v>
      </c>
      <c r="E79" s="430"/>
      <c r="F79" s="430"/>
      <c r="G79" s="430"/>
      <c r="H79" s="430"/>
      <c r="I79" s="430"/>
      <c r="J79" s="430"/>
      <c r="K79" s="430"/>
      <c r="L79" s="432" t="s">
        <v>42</v>
      </c>
      <c r="M79" s="433">
        <f>SUM(M75:M78)</f>
        <v>0</v>
      </c>
      <c r="N79" s="98"/>
      <c r="O79" s="128"/>
      <c r="P79" s="98"/>
      <c r="Q79" s="98"/>
    </row>
    <row r="80" ht="12.0" customHeight="1">
      <c r="B80" s="98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8"/>
      <c r="O80" s="98"/>
      <c r="P80" s="98"/>
      <c r="Q80" s="98"/>
    </row>
    <row r="81" ht="12.0" customHeight="1">
      <c r="B81" s="98"/>
      <c r="D81" s="357" t="s">
        <v>965</v>
      </c>
      <c r="E81" s="94"/>
      <c r="F81" s="94"/>
      <c r="G81" s="94"/>
      <c r="H81" s="94"/>
      <c r="I81" s="94"/>
      <c r="J81" s="94"/>
      <c r="K81" s="94"/>
      <c r="L81" s="94"/>
      <c r="M81" s="94"/>
      <c r="N81" s="98"/>
      <c r="O81" s="98"/>
      <c r="P81" s="98"/>
      <c r="Q81" s="98"/>
    </row>
    <row r="82" ht="15.75" customHeight="1">
      <c r="B82" s="98"/>
      <c r="D82" s="98"/>
      <c r="E82" s="94"/>
      <c r="F82" s="94"/>
      <c r="G82" s="94"/>
      <c r="H82" s="94"/>
      <c r="I82" s="94"/>
      <c r="J82" s="94"/>
      <c r="K82" s="94"/>
      <c r="L82" s="94"/>
      <c r="M82" s="94"/>
      <c r="N82" s="98"/>
      <c r="O82" s="98"/>
      <c r="P82" s="98"/>
      <c r="Q82" s="98"/>
    </row>
    <row r="83" ht="15.75" customHeight="1">
      <c r="D83" s="413" t="s">
        <v>34</v>
      </c>
      <c r="E83" s="414" t="s">
        <v>957</v>
      </c>
      <c r="F83" s="415"/>
      <c r="G83" s="416" t="s">
        <v>958</v>
      </c>
      <c r="H83" s="417" t="s">
        <v>959</v>
      </c>
      <c r="I83" s="415"/>
      <c r="J83" s="418" t="s">
        <v>960</v>
      </c>
      <c r="K83" s="415"/>
      <c r="L83" s="419"/>
      <c r="M83" s="420" t="s">
        <v>961</v>
      </c>
      <c r="N83" s="445"/>
      <c r="O83" s="98"/>
      <c r="P83" s="98"/>
      <c r="Q83" s="98"/>
    </row>
    <row r="84">
      <c r="D84" s="446">
        <f>E4</f>
        <v>46189</v>
      </c>
      <c r="E84" s="173" t="s">
        <v>2015</v>
      </c>
      <c r="F84" s="173"/>
      <c r="G84" s="165"/>
      <c r="H84" s="173" t="s">
        <v>2016</v>
      </c>
      <c r="I84" s="173"/>
      <c r="J84" s="447"/>
      <c r="K84" s="447"/>
      <c r="L84" s="447"/>
      <c r="M84" s="448">
        <v>-243.63</v>
      </c>
      <c r="N84" s="445"/>
      <c r="O84" s="98"/>
      <c r="P84" s="98"/>
      <c r="Q84" s="98"/>
    </row>
    <row r="85">
      <c r="B85" s="98"/>
      <c r="D85" s="650"/>
      <c r="E85" s="651"/>
      <c r="G85" s="34"/>
      <c r="H85" s="182"/>
      <c r="J85" s="165"/>
      <c r="L85" s="447"/>
      <c r="M85" s="652"/>
      <c r="N85" s="98"/>
      <c r="O85" s="98"/>
      <c r="P85" s="98"/>
      <c r="Q85" s="98"/>
    </row>
    <row r="86" ht="15.75" customHeight="1">
      <c r="B86" s="98"/>
      <c r="D86" s="435"/>
      <c r="E86" s="422"/>
      <c r="G86" s="422"/>
      <c r="H86" s="653"/>
      <c r="J86" s="422"/>
      <c r="L86" s="422"/>
      <c r="M86" s="444"/>
      <c r="N86" s="98"/>
      <c r="O86" s="98"/>
      <c r="P86" s="98"/>
      <c r="Q86" s="98"/>
    </row>
    <row r="87" ht="15.75" customHeight="1">
      <c r="B87" s="98"/>
      <c r="D87" s="429" t="s">
        <v>870</v>
      </c>
      <c r="E87" s="430"/>
      <c r="F87" s="430"/>
      <c r="G87" s="430"/>
      <c r="H87" s="430"/>
      <c r="I87" s="430"/>
      <c r="J87" s="430"/>
      <c r="K87" s="430"/>
      <c r="L87" s="432" t="s">
        <v>42</v>
      </c>
      <c r="M87" s="433">
        <f>SUM(M84:M86)</f>
        <v>-243.63</v>
      </c>
      <c r="N87" s="98"/>
      <c r="O87" s="98"/>
      <c r="P87" s="98"/>
      <c r="Q87" s="98"/>
    </row>
    <row r="88" ht="15.75" customHeight="1">
      <c r="B88" s="98"/>
      <c r="K88" s="98"/>
      <c r="L88" s="98"/>
      <c r="M88" s="98"/>
      <c r="N88" s="98"/>
      <c r="O88" s="98"/>
      <c r="P88" s="98"/>
      <c r="Q88" s="98"/>
    </row>
    <row r="89" ht="15.75" customHeight="1">
      <c r="B89" s="98"/>
      <c r="K89" s="98"/>
      <c r="L89" s="98"/>
      <c r="M89" s="397"/>
      <c r="N89" s="98"/>
      <c r="O89" s="98"/>
      <c r="P89" s="98"/>
      <c r="Q89" s="98"/>
    </row>
    <row r="90" ht="15.75" customHeight="1">
      <c r="B90" s="98"/>
      <c r="K90" s="98"/>
      <c r="L90" s="98"/>
      <c r="M90" s="397"/>
      <c r="N90" s="98"/>
      <c r="O90" s="98"/>
      <c r="P90" s="98"/>
      <c r="Q90" s="98"/>
    </row>
    <row r="91" ht="15.75" customHeight="1">
      <c r="B91" s="98"/>
      <c r="K91" s="98"/>
      <c r="L91" s="98"/>
      <c r="M91" s="397"/>
      <c r="N91" s="98"/>
      <c r="O91" s="98"/>
      <c r="P91" s="98"/>
      <c r="Q91" s="98"/>
    </row>
    <row r="92" ht="15.75" customHeight="1">
      <c r="B92" s="98"/>
      <c r="K92" s="98"/>
      <c r="L92" s="98"/>
      <c r="M92" s="397"/>
      <c r="N92" s="98"/>
      <c r="O92" s="98"/>
      <c r="P92" s="98"/>
      <c r="Q92" s="98"/>
    </row>
    <row r="93" ht="15.75" customHeight="1">
      <c r="K93" s="98"/>
      <c r="L93" s="128"/>
      <c r="M93" s="397"/>
      <c r="N93" s="98"/>
      <c r="O93" s="98"/>
      <c r="P93" s="98"/>
      <c r="Q93" s="98"/>
    </row>
    <row r="94" ht="15.75" customHeight="1">
      <c r="K94" s="98"/>
      <c r="L94" s="654"/>
      <c r="M94" s="397"/>
      <c r="N94" s="98"/>
      <c r="O94" s="98"/>
      <c r="P94" s="98"/>
      <c r="Q94" s="98"/>
    </row>
    <row r="95" ht="15.75" customHeight="1">
      <c r="K95" s="98"/>
      <c r="M95" s="397"/>
      <c r="N95" s="98"/>
      <c r="O95" s="98"/>
      <c r="P95" s="98"/>
      <c r="Q95" s="98"/>
    </row>
    <row r="96" ht="18.75" customHeight="1">
      <c r="K96" s="98"/>
      <c r="M96" s="98"/>
      <c r="N96" s="98"/>
      <c r="O96" s="98"/>
      <c r="P96" s="98"/>
      <c r="Q96" s="98"/>
    </row>
    <row r="97" ht="15.0" customHeight="1">
      <c r="K97" s="98"/>
      <c r="M97" s="98"/>
      <c r="N97" s="98"/>
      <c r="O97" s="98"/>
      <c r="P97" s="98"/>
      <c r="Q97" s="98"/>
    </row>
  </sheetData>
  <mergeCells count="99">
    <mergeCell ref="H57:I57"/>
    <mergeCell ref="J57:K57"/>
    <mergeCell ref="H38:J38"/>
    <mergeCell ref="H39:J39"/>
    <mergeCell ref="H40:J40"/>
    <mergeCell ref="H41:J41"/>
    <mergeCell ref="H42:J42"/>
    <mergeCell ref="H56:I56"/>
    <mergeCell ref="J56:K56"/>
    <mergeCell ref="E56:F56"/>
    <mergeCell ref="E57:F57"/>
    <mergeCell ref="E58:F58"/>
    <mergeCell ref="H58:I58"/>
    <mergeCell ref="J58:K58"/>
    <mergeCell ref="H59:I59"/>
    <mergeCell ref="J59:K59"/>
    <mergeCell ref="E59:F59"/>
    <mergeCell ref="E60:F60"/>
    <mergeCell ref="H60:I60"/>
    <mergeCell ref="J60:K60"/>
    <mergeCell ref="E65:F65"/>
    <mergeCell ref="J65:K65"/>
    <mergeCell ref="J66:K66"/>
    <mergeCell ref="E66:F66"/>
    <mergeCell ref="E67:F67"/>
    <mergeCell ref="H67:I67"/>
    <mergeCell ref="J67:K67"/>
    <mergeCell ref="E68:F68"/>
    <mergeCell ref="J68:K68"/>
    <mergeCell ref="E69:F69"/>
    <mergeCell ref="J69:K69"/>
    <mergeCell ref="H68:I68"/>
    <mergeCell ref="H69:I69"/>
    <mergeCell ref="E74:F74"/>
    <mergeCell ref="H74:I74"/>
    <mergeCell ref="J74:K74"/>
    <mergeCell ref="H75:I75"/>
    <mergeCell ref="J75:K75"/>
    <mergeCell ref="E75:F75"/>
    <mergeCell ref="E76:F76"/>
    <mergeCell ref="H76:I76"/>
    <mergeCell ref="J76:K76"/>
    <mergeCell ref="E77:F77"/>
    <mergeCell ref="J77:K77"/>
    <mergeCell ref="E78:F78"/>
    <mergeCell ref="J78:K78"/>
    <mergeCell ref="E85:F85"/>
    <mergeCell ref="E86:F86"/>
    <mergeCell ref="H86:I86"/>
    <mergeCell ref="J86:K86"/>
    <mergeCell ref="H77:I77"/>
    <mergeCell ref="H78:I78"/>
    <mergeCell ref="E83:F83"/>
    <mergeCell ref="H83:I83"/>
    <mergeCell ref="J83:K83"/>
    <mergeCell ref="H85:I85"/>
    <mergeCell ref="J85:K85"/>
    <mergeCell ref="L17:M18"/>
    <mergeCell ref="D21:M21"/>
    <mergeCell ref="H22:J22"/>
    <mergeCell ref="K22:M22"/>
    <mergeCell ref="H23:J23"/>
    <mergeCell ref="K23:M23"/>
    <mergeCell ref="K24:M24"/>
    <mergeCell ref="H24:J24"/>
    <mergeCell ref="H25:J25"/>
    <mergeCell ref="K25:M25"/>
    <mergeCell ref="H26:J26"/>
    <mergeCell ref="K26:M26"/>
    <mergeCell ref="H27:J27"/>
    <mergeCell ref="K27:M27"/>
    <mergeCell ref="H28:J28"/>
    <mergeCell ref="K28:M28"/>
    <mergeCell ref="H29:J29"/>
    <mergeCell ref="K29:M29"/>
    <mergeCell ref="H30:J30"/>
    <mergeCell ref="K30:M30"/>
    <mergeCell ref="K31:M31"/>
    <mergeCell ref="H31:J31"/>
    <mergeCell ref="H32:J32"/>
    <mergeCell ref="H33:J33"/>
    <mergeCell ref="H34:J34"/>
    <mergeCell ref="H35:J35"/>
    <mergeCell ref="H36:J36"/>
    <mergeCell ref="H37:J37"/>
    <mergeCell ref="K39:M39"/>
    <mergeCell ref="K40:M40"/>
    <mergeCell ref="K42:M42"/>
    <mergeCell ref="L48:M49"/>
    <mergeCell ref="K41:M41"/>
    <mergeCell ref="K32:M32"/>
    <mergeCell ref="K33:M33"/>
    <mergeCell ref="K34:M34"/>
    <mergeCell ref="K35:M35"/>
    <mergeCell ref="K36:M36"/>
    <mergeCell ref="K37:M37"/>
    <mergeCell ref="K38:M38"/>
    <mergeCell ref="H65:I65"/>
    <mergeCell ref="H66:I66"/>
  </mergeCells>
  <dataValidations>
    <dataValidation type="list" allowBlank="1" showErrorMessage="1" sqref="B23:B28 B31">
      <formula1>"Aggregate Difference,Transfer error,Citi api issue,Late payment"</formula1>
    </dataValidation>
    <dataValidation type="list" allowBlank="1" showErrorMessage="1" sqref="B29:B30 B32:B42">
      <formula1>"Aggregate Difference,Transfer error,Citi api issue,Late payment,Stuck pending status"</formula1>
    </dataValidation>
  </dataValidations>
  <hyperlinks>
    <hyperlink r:id="rId1" ref="E8"/>
    <hyperlink r:id="rId2" ref="E9"/>
    <hyperlink r:id="rId3" ref="E10"/>
    <hyperlink r:id="rId4" ref="E11"/>
    <hyperlink r:id="rId5" ref="E12"/>
    <hyperlink r:id="rId6" ref="K23"/>
    <hyperlink r:id="rId7" ref="K26"/>
    <hyperlink r:id="rId8" ref="K27"/>
    <hyperlink r:id="rId9" ref="K36"/>
    <hyperlink r:id="rId10" ref="K38"/>
  </hyperlinks>
  <printOptions/>
  <pageMargins bottom="0.75" footer="0.0" header="0.0" left="0.7" right="0.7" top="0.75"/>
  <pageSetup orientation="portrait"/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6.5"/>
    <col customWidth="1" min="3" max="3" width="15.75"/>
    <col customWidth="1" min="4" max="4" width="36.0"/>
    <col customWidth="1" min="5" max="5" width="27.88"/>
    <col customWidth="1" min="6" max="6" width="29.0"/>
    <col customWidth="1" min="7" max="7" width="46.5"/>
  </cols>
  <sheetData>
    <row r="1">
      <c r="A1" s="453"/>
      <c r="B1" s="453"/>
      <c r="C1" s="453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>
      <c r="A2" s="454"/>
      <c r="B2" s="281" t="s">
        <v>860</v>
      </c>
      <c r="C2" s="453"/>
      <c r="D2" s="282" t="s">
        <v>968</v>
      </c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</row>
    <row r="3">
      <c r="A3" s="454"/>
      <c r="B3" s="284" t="s">
        <v>92</v>
      </c>
      <c r="C3" s="453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</row>
    <row r="4">
      <c r="A4" s="454"/>
      <c r="B4" s="453"/>
      <c r="C4" s="453"/>
      <c r="D4" s="455" t="s">
        <v>34</v>
      </c>
      <c r="E4" s="286">
        <f>'12. LISA External Workings'!D4</f>
        <v>46189</v>
      </c>
      <c r="F4" s="280"/>
      <c r="G4" s="280"/>
      <c r="H4" s="280"/>
      <c r="I4" s="280"/>
      <c r="J4" s="280"/>
      <c r="K4" s="280"/>
      <c r="L4" s="280"/>
      <c r="M4" s="280"/>
      <c r="N4" s="280"/>
      <c r="O4" s="280"/>
    </row>
    <row r="5">
      <c r="A5" s="454"/>
      <c r="B5" s="453"/>
      <c r="C5" s="453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</row>
    <row r="6" ht="45.0" customHeight="1">
      <c r="A6" s="454"/>
      <c r="B6" s="453"/>
      <c r="C6" s="453"/>
      <c r="D6" s="456" t="s">
        <v>969</v>
      </c>
      <c r="E6" s="457">
        <f>G16</f>
        <v>0</v>
      </c>
      <c r="F6" s="458" t="s">
        <v>970</v>
      </c>
      <c r="G6" s="311"/>
      <c r="H6" s="280"/>
      <c r="I6" s="280"/>
      <c r="J6" s="280"/>
      <c r="K6" s="280"/>
      <c r="L6" s="280"/>
      <c r="M6" s="280"/>
      <c r="N6" s="280"/>
      <c r="O6" s="280"/>
    </row>
    <row r="7">
      <c r="A7" s="453"/>
      <c r="B7" s="453"/>
      <c r="C7" s="453"/>
      <c r="D7" s="453"/>
      <c r="E7" s="453"/>
      <c r="F7" s="453"/>
      <c r="G7" s="453"/>
      <c r="H7" s="453"/>
      <c r="I7" s="280"/>
      <c r="J7" s="280"/>
      <c r="K7" s="280"/>
      <c r="L7" s="280"/>
      <c r="M7" s="280"/>
      <c r="N7" s="280"/>
      <c r="O7" s="280"/>
    </row>
    <row r="8">
      <c r="A8" s="453"/>
      <c r="B8" s="453"/>
      <c r="C8" s="453"/>
      <c r="D8" s="453"/>
      <c r="E8" s="453"/>
      <c r="F8" s="453"/>
      <c r="G8" s="453"/>
      <c r="H8" s="453"/>
      <c r="I8" s="280"/>
      <c r="J8" s="280"/>
      <c r="K8" s="280"/>
      <c r="L8" s="280"/>
      <c r="M8" s="280"/>
      <c r="N8" s="280"/>
      <c r="O8" s="280"/>
    </row>
    <row r="9">
      <c r="A9" s="453"/>
      <c r="B9" s="453"/>
      <c r="C9" s="459" t="s">
        <v>971</v>
      </c>
      <c r="D9" s="459" t="s">
        <v>972</v>
      </c>
      <c r="E9" s="459" t="s">
        <v>973</v>
      </c>
      <c r="F9" s="459" t="s">
        <v>974</v>
      </c>
      <c r="G9" s="460" t="s">
        <v>50</v>
      </c>
      <c r="H9" s="280"/>
      <c r="I9" s="280"/>
      <c r="J9" s="280"/>
      <c r="K9" s="280"/>
      <c r="L9" s="280"/>
      <c r="M9" s="280"/>
      <c r="N9" s="280"/>
      <c r="O9" s="280"/>
    </row>
    <row r="10">
      <c r="A10" s="453"/>
      <c r="B10" s="453"/>
      <c r="C10" s="461" t="s">
        <v>975</v>
      </c>
      <c r="D10" s="461" t="s">
        <v>976</v>
      </c>
      <c r="E10" s="303">
        <f>'12. LISA External Workings'!H30</f>
        <v>38973578.78</v>
      </c>
      <c r="F10" s="303">
        <f>'12. LISA External Workings'!I30</f>
        <v>38973578.78</v>
      </c>
      <c r="G10" s="303">
        <f t="shared" ref="G10:G15" si="1">E10-F10</f>
        <v>0</v>
      </c>
      <c r="H10" s="280"/>
      <c r="I10" s="280"/>
      <c r="J10" s="280"/>
      <c r="K10" s="280"/>
      <c r="L10" s="280"/>
      <c r="M10" s="280"/>
      <c r="N10" s="280"/>
      <c r="O10" s="280"/>
    </row>
    <row r="11">
      <c r="A11" s="453"/>
      <c r="B11" s="453"/>
      <c r="C11" s="461" t="s">
        <v>977</v>
      </c>
      <c r="D11" s="461" t="s">
        <v>978</v>
      </c>
      <c r="E11" s="462">
        <f>'12. LISA External Workings'!H35</f>
        <v>714980.29</v>
      </c>
      <c r="F11" s="462">
        <f>'12. LISA External Workings'!I35</f>
        <v>714980.29</v>
      </c>
      <c r="G11" s="303">
        <f t="shared" si="1"/>
        <v>0</v>
      </c>
      <c r="H11" s="280"/>
      <c r="I11" s="280"/>
      <c r="J11" s="280"/>
      <c r="K11" s="280"/>
      <c r="L11" s="280"/>
      <c r="M11" s="280"/>
      <c r="N11" s="280"/>
      <c r="O11" s="280"/>
    </row>
    <row r="12">
      <c r="A12" s="453"/>
      <c r="B12" s="453"/>
      <c r="C12" s="461" t="s">
        <v>977</v>
      </c>
      <c r="D12" s="461" t="s">
        <v>979</v>
      </c>
      <c r="E12" s="462">
        <f>'12. LISA External Workings'!H40</f>
        <v>79300000</v>
      </c>
      <c r="F12" s="462">
        <f>'12. LISA External Workings'!I40</f>
        <v>79300000</v>
      </c>
      <c r="G12" s="303">
        <f t="shared" si="1"/>
        <v>0</v>
      </c>
      <c r="H12" s="280"/>
      <c r="I12" s="280"/>
      <c r="J12" s="280"/>
      <c r="K12" s="280"/>
      <c r="L12" s="280"/>
      <c r="M12" s="280"/>
      <c r="N12" s="280"/>
      <c r="O12" s="280"/>
    </row>
    <row r="13">
      <c r="A13" s="453"/>
      <c r="B13" s="453"/>
      <c r="C13" s="461" t="s">
        <v>67</v>
      </c>
      <c r="D13" s="461" t="s">
        <v>979</v>
      </c>
      <c r="E13" s="462">
        <f>'12. LISA External Workings'!H45</f>
        <v>100000000</v>
      </c>
      <c r="F13" s="462">
        <f>'12. LISA External Workings'!I45</f>
        <v>100000000</v>
      </c>
      <c r="G13" s="303">
        <f t="shared" si="1"/>
        <v>0</v>
      </c>
      <c r="H13" s="280"/>
      <c r="I13" s="280"/>
      <c r="J13" s="280"/>
      <c r="K13" s="280"/>
      <c r="L13" s="280"/>
      <c r="M13" s="280"/>
      <c r="N13" s="280"/>
      <c r="O13" s="280"/>
    </row>
    <row r="14">
      <c r="A14" s="453"/>
      <c r="B14" s="453"/>
      <c r="C14" s="461" t="s">
        <v>980</v>
      </c>
      <c r="D14" s="461" t="s">
        <v>978</v>
      </c>
      <c r="E14" s="462">
        <f>'12. LISA External Workings'!H50</f>
        <v>0</v>
      </c>
      <c r="F14" s="462">
        <f>'12. LISA External Workings'!I50</f>
        <v>0</v>
      </c>
      <c r="G14" s="303">
        <f t="shared" si="1"/>
        <v>0</v>
      </c>
      <c r="H14" s="280"/>
      <c r="I14" s="280"/>
      <c r="J14" s="280"/>
      <c r="K14" s="280"/>
      <c r="L14" s="280"/>
      <c r="M14" s="280"/>
      <c r="N14" s="280"/>
      <c r="O14" s="280"/>
    </row>
    <row r="15">
      <c r="A15" s="453"/>
      <c r="B15" s="453"/>
      <c r="C15" s="461" t="s">
        <v>981</v>
      </c>
      <c r="D15" s="461" t="s">
        <v>982</v>
      </c>
      <c r="E15" s="462">
        <f>'12. LISA External Workings'!H55</f>
        <v>0</v>
      </c>
      <c r="F15" s="462">
        <f>'12. LISA External Workings'!I55</f>
        <v>0</v>
      </c>
      <c r="G15" s="303">
        <f t="shared" si="1"/>
        <v>0</v>
      </c>
      <c r="H15" s="280"/>
      <c r="I15" s="280"/>
      <c r="J15" s="280"/>
      <c r="K15" s="280"/>
      <c r="L15" s="280"/>
      <c r="M15" s="280"/>
      <c r="N15" s="280"/>
      <c r="O15" s="280"/>
    </row>
    <row r="16">
      <c r="A16" s="453"/>
      <c r="B16" s="453"/>
      <c r="C16" s="453"/>
      <c r="D16" s="465" t="s">
        <v>991</v>
      </c>
      <c r="E16" s="466">
        <f t="shared" ref="E16:G16" si="2">SUM(E10:E15)</f>
        <v>218988559.1</v>
      </c>
      <c r="F16" s="327">
        <f t="shared" si="2"/>
        <v>218988559.1</v>
      </c>
      <c r="G16" s="467">
        <f t="shared" si="2"/>
        <v>0</v>
      </c>
      <c r="H16" s="280"/>
      <c r="I16" s="280"/>
      <c r="J16" s="280"/>
      <c r="K16" s="280"/>
      <c r="L16" s="280"/>
      <c r="M16" s="280"/>
      <c r="N16" s="280"/>
      <c r="O16" s="280"/>
    </row>
    <row r="17">
      <c r="A17" s="453"/>
      <c r="B17" s="453"/>
      <c r="C17" s="453"/>
      <c r="D17" s="453"/>
      <c r="E17" s="655"/>
      <c r="F17" s="453"/>
      <c r="G17" s="453"/>
      <c r="H17" s="280"/>
      <c r="I17" s="280"/>
      <c r="J17" s="280"/>
      <c r="K17" s="280"/>
      <c r="L17" s="280"/>
      <c r="M17" s="280"/>
      <c r="N17" s="280"/>
      <c r="O17" s="280"/>
    </row>
    <row r="18">
      <c r="A18" s="453"/>
      <c r="B18" s="453"/>
      <c r="C18" s="453"/>
      <c r="D18" s="453"/>
      <c r="E18" s="453"/>
      <c r="F18" s="453"/>
      <c r="G18" s="453"/>
      <c r="H18" s="280"/>
      <c r="I18" s="280"/>
      <c r="J18" s="280"/>
      <c r="K18" s="280"/>
      <c r="L18" s="280"/>
      <c r="M18" s="280"/>
      <c r="N18" s="280"/>
      <c r="O18" s="280"/>
    </row>
    <row r="19">
      <c r="A19" s="453"/>
      <c r="B19" s="453"/>
      <c r="C19" s="459" t="s">
        <v>864</v>
      </c>
      <c r="D19" s="470" t="s">
        <v>994</v>
      </c>
      <c r="E19" s="6"/>
      <c r="F19" s="459" t="s">
        <v>995</v>
      </c>
      <c r="G19" s="471" t="s">
        <v>867</v>
      </c>
      <c r="H19" s="280"/>
      <c r="I19" s="280"/>
      <c r="J19" s="280"/>
      <c r="K19" s="280"/>
      <c r="L19" s="280"/>
      <c r="M19" s="280"/>
      <c r="N19" s="280"/>
      <c r="O19" s="280"/>
    </row>
    <row r="20" ht="26.25" customHeight="1">
      <c r="A20" s="472"/>
      <c r="B20" s="453"/>
      <c r="C20" s="473" t="s">
        <v>872</v>
      </c>
      <c r="D20" s="474" t="s">
        <v>996</v>
      </c>
      <c r="E20" s="462">
        <f>VLOOKUP(C20,'12. LISA External Workings'!$C$27:$L$114,10,FALSE)</f>
        <v>0</v>
      </c>
      <c r="F20" s="475"/>
      <c r="G20" s="475"/>
      <c r="H20" s="280"/>
      <c r="I20" s="280"/>
      <c r="J20" s="280"/>
      <c r="K20" s="280"/>
      <c r="L20" s="280"/>
      <c r="M20" s="280"/>
      <c r="N20" s="280"/>
      <c r="O20" s="280"/>
    </row>
    <row r="21" ht="26.25" customHeight="1">
      <c r="A21" s="472"/>
      <c r="B21" s="453"/>
      <c r="C21" s="473" t="s">
        <v>876</v>
      </c>
      <c r="D21" s="476" t="s">
        <v>997</v>
      </c>
      <c r="E21" s="477">
        <f>VLOOKUP(C21,'12. LISA External Workings'!$C$27:$L$114,10,FALSE)</f>
        <v>0</v>
      </c>
      <c r="F21" s="475"/>
      <c r="G21" s="475"/>
      <c r="H21" s="280"/>
      <c r="I21" s="280"/>
      <c r="J21" s="280"/>
      <c r="K21" s="280"/>
      <c r="L21" s="280"/>
      <c r="M21" s="280"/>
      <c r="N21" s="280"/>
      <c r="O21" s="280"/>
    </row>
    <row r="22" ht="26.25" customHeight="1">
      <c r="A22" s="472"/>
      <c r="B22" s="453"/>
      <c r="C22" s="473" t="s">
        <v>868</v>
      </c>
      <c r="D22" s="478" t="s">
        <v>998</v>
      </c>
      <c r="E22" s="462">
        <f>VLOOKUP(C22,'12. LISA External Workings'!$C$27:$L$114,10,FALSE)</f>
        <v>0</v>
      </c>
      <c r="F22" s="325"/>
      <c r="G22" s="475"/>
      <c r="H22" s="280"/>
      <c r="I22" s="280"/>
      <c r="J22" s="280"/>
      <c r="K22" s="280"/>
      <c r="L22" s="280"/>
      <c r="M22" s="280"/>
      <c r="N22" s="280"/>
      <c r="O22" s="280"/>
    </row>
    <row r="23" ht="26.25" customHeight="1">
      <c r="A23" s="472"/>
      <c r="B23" s="453"/>
      <c r="C23" s="473" t="s">
        <v>870</v>
      </c>
      <c r="D23" s="474" t="s">
        <v>999</v>
      </c>
      <c r="E23" s="462">
        <f>VLOOKUP(C23,'12. LISA External Workings'!$C$27:$L$114,10,FALSE)</f>
        <v>0</v>
      </c>
      <c r="F23" s="479"/>
      <c r="G23" s="325"/>
      <c r="H23" s="280"/>
      <c r="I23" s="280"/>
      <c r="J23" s="280"/>
      <c r="K23" s="280"/>
      <c r="L23" s="280"/>
      <c r="M23" s="280"/>
      <c r="N23" s="280"/>
      <c r="O23" s="280"/>
    </row>
    <row r="24" ht="15.75" customHeight="1">
      <c r="A24" s="295"/>
      <c r="B24" s="453"/>
      <c r="C24" s="480"/>
      <c r="D24" s="481" t="s">
        <v>1000</v>
      </c>
      <c r="E24" s="482">
        <f>G16-SUM(E20:E23)</f>
        <v>0</v>
      </c>
      <c r="F24" s="325"/>
      <c r="G24" s="483"/>
      <c r="H24" s="280"/>
      <c r="I24" s="280"/>
      <c r="J24" s="280"/>
      <c r="K24" s="280"/>
      <c r="L24" s="280"/>
      <c r="M24" s="280"/>
      <c r="N24" s="280"/>
      <c r="O24" s="280"/>
    </row>
    <row r="25" ht="15.75" customHeight="1">
      <c r="A25" s="453"/>
      <c r="B25" s="453"/>
      <c r="C25" s="453"/>
      <c r="D25" s="484" t="s">
        <v>42</v>
      </c>
      <c r="E25" s="485">
        <f>SUM(E20:E24)</f>
        <v>0</v>
      </c>
      <c r="F25" s="280"/>
      <c r="G25" s="280"/>
      <c r="H25" s="280"/>
      <c r="I25" s="280"/>
      <c r="J25" s="280"/>
      <c r="K25" s="280"/>
      <c r="L25" s="280"/>
      <c r="M25" s="280"/>
      <c r="N25" s="280"/>
      <c r="O25" s="280"/>
    </row>
    <row r="26" ht="15.75" customHeight="1">
      <c r="A26" s="453"/>
      <c r="B26" s="453"/>
      <c r="C26" s="453"/>
      <c r="D26" s="280"/>
      <c r="E26" s="486"/>
      <c r="F26" s="280"/>
      <c r="H26" s="280"/>
      <c r="I26" s="280"/>
      <c r="J26" s="280"/>
      <c r="K26" s="280"/>
      <c r="L26" s="280"/>
      <c r="M26" s="280"/>
      <c r="N26" s="280"/>
      <c r="O26" s="280"/>
    </row>
    <row r="27" ht="15.75" customHeight="1">
      <c r="A27" s="453"/>
      <c r="B27" s="453"/>
      <c r="C27" s="453"/>
      <c r="D27" s="453"/>
      <c r="E27" s="453"/>
      <c r="F27" s="453"/>
      <c r="G27" s="453"/>
      <c r="H27" s="280"/>
      <c r="I27" s="280"/>
      <c r="J27" s="280"/>
      <c r="K27" s="280"/>
      <c r="L27" s="280"/>
      <c r="M27" s="280"/>
      <c r="N27" s="280"/>
      <c r="O27" s="280"/>
    </row>
    <row r="28" ht="15.75" customHeight="1">
      <c r="A28" s="453"/>
      <c r="B28" s="453"/>
      <c r="C28" s="453"/>
      <c r="D28" s="453"/>
      <c r="E28" s="453"/>
      <c r="F28" s="453"/>
      <c r="G28" s="453"/>
      <c r="H28" s="280"/>
      <c r="I28" s="280"/>
      <c r="J28" s="280"/>
      <c r="K28" s="280"/>
      <c r="L28" s="280"/>
      <c r="M28" s="280"/>
      <c r="N28" s="280"/>
      <c r="O28" s="280"/>
    </row>
    <row r="29" ht="15.75" customHeight="1">
      <c r="A29" s="453"/>
      <c r="B29" s="453"/>
      <c r="C29" s="453"/>
      <c r="D29" s="453"/>
      <c r="E29" s="453"/>
      <c r="F29" s="453"/>
      <c r="G29" s="453"/>
      <c r="H29" s="280"/>
      <c r="I29" s="280"/>
      <c r="J29" s="280"/>
      <c r="K29" s="280"/>
      <c r="L29" s="280"/>
      <c r="M29" s="280"/>
      <c r="N29" s="280"/>
      <c r="O29" s="280"/>
    </row>
    <row r="30" ht="27.75" customHeight="1">
      <c r="A30" s="453"/>
      <c r="B30" s="453"/>
      <c r="C30" s="453"/>
      <c r="D30" s="453"/>
      <c r="E30" s="453"/>
      <c r="F30" s="453"/>
      <c r="G30" s="453"/>
      <c r="H30" s="280"/>
      <c r="I30" s="280"/>
      <c r="J30" s="280"/>
      <c r="K30" s="280"/>
      <c r="L30" s="280"/>
      <c r="M30" s="280"/>
      <c r="N30" s="280"/>
      <c r="O30" s="280"/>
    </row>
    <row r="31" ht="15.75" customHeight="1">
      <c r="A31" s="453"/>
      <c r="B31" s="453"/>
      <c r="C31" s="453"/>
      <c r="D31" s="453"/>
      <c r="E31" s="453"/>
      <c r="F31" s="453"/>
      <c r="G31" s="453"/>
      <c r="H31" s="280"/>
      <c r="I31" s="280"/>
      <c r="J31" s="280"/>
      <c r="K31" s="280"/>
      <c r="L31" s="280"/>
      <c r="M31" s="280"/>
      <c r="N31" s="280"/>
      <c r="O31" s="280"/>
    </row>
    <row r="32" ht="15.75" customHeight="1">
      <c r="A32" s="487"/>
      <c r="B32" s="487"/>
      <c r="C32" s="453"/>
      <c r="D32" s="453"/>
      <c r="E32" s="453"/>
      <c r="F32" s="453"/>
      <c r="G32" s="453"/>
      <c r="H32" s="280"/>
      <c r="I32" s="280"/>
      <c r="J32" s="280"/>
      <c r="K32" s="280"/>
      <c r="L32" s="280"/>
      <c r="M32" s="280"/>
      <c r="N32" s="280"/>
      <c r="O32" s="280"/>
    </row>
    <row r="33" ht="15.75" customHeight="1">
      <c r="A33" s="487"/>
      <c r="B33" s="487"/>
      <c r="C33" s="453"/>
      <c r="D33" s="453"/>
      <c r="E33" s="453"/>
      <c r="F33" s="453"/>
      <c r="G33" s="453"/>
      <c r="H33" s="280"/>
      <c r="I33" s="280"/>
      <c r="J33" s="280"/>
      <c r="K33" s="280"/>
      <c r="L33" s="280"/>
      <c r="M33" s="280"/>
      <c r="N33" s="280"/>
      <c r="O33" s="280"/>
    </row>
    <row r="34" ht="15.75" customHeight="1">
      <c r="A34" s="453"/>
      <c r="B34" s="453"/>
      <c r="C34" s="453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</row>
    <row r="35" ht="15.75" customHeight="1">
      <c r="A35" s="453"/>
      <c r="B35" s="453"/>
      <c r="C35" s="453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</row>
    <row r="36" ht="15.75" customHeight="1">
      <c r="A36" s="453"/>
      <c r="B36" s="453"/>
      <c r="C36" s="453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</row>
    <row r="37" ht="15.75" customHeight="1">
      <c r="A37" s="453"/>
      <c r="B37" s="453"/>
      <c r="C37" s="488"/>
      <c r="D37" s="486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</row>
    <row r="38" ht="15.75" customHeight="1">
      <c r="A38" s="453"/>
      <c r="B38" s="453"/>
      <c r="C38" s="488"/>
      <c r="D38" s="486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</row>
    <row r="39" ht="15.75" customHeight="1">
      <c r="A39" s="453"/>
      <c r="B39" s="453"/>
      <c r="C39" s="280"/>
      <c r="D39" s="486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</row>
    <row r="40" ht="15.75" customHeight="1">
      <c r="A40" s="453"/>
      <c r="B40" s="453"/>
      <c r="C40" s="453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</row>
    <row r="41" ht="15.75" customHeight="1">
      <c r="A41" s="453"/>
      <c r="B41" s="453"/>
      <c r="C41" s="656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</row>
    <row r="42" ht="15.75" customHeight="1">
      <c r="A42" s="453"/>
      <c r="B42" s="453"/>
      <c r="C42" s="453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</row>
    <row r="43" ht="15.75" customHeight="1">
      <c r="A43" s="453"/>
      <c r="B43" s="453"/>
      <c r="C43" s="453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</row>
    <row r="44" ht="15.75" customHeight="1">
      <c r="A44" s="453"/>
      <c r="B44" s="453"/>
      <c r="C44" s="453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</row>
    <row r="45" ht="15.75" customHeight="1">
      <c r="A45" s="487"/>
      <c r="B45" s="487"/>
      <c r="C45" s="487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</row>
    <row r="46" ht="15.75" customHeight="1">
      <c r="A46" s="487"/>
      <c r="B46" s="487"/>
      <c r="C46" s="487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</row>
    <row r="47" ht="15.75" customHeight="1">
      <c r="A47" s="487"/>
      <c r="B47" s="487"/>
      <c r="C47" s="487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</row>
    <row r="48" ht="16.5" customHeight="1">
      <c r="A48" s="487"/>
      <c r="B48" s="487"/>
      <c r="C48" s="487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</row>
    <row r="49" ht="21.75" customHeight="1">
      <c r="A49" s="487"/>
      <c r="B49" s="487"/>
      <c r="C49" s="487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</row>
    <row r="50" ht="15.75" customHeight="1">
      <c r="A50" s="453"/>
      <c r="B50" s="453"/>
      <c r="C50" s="453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</row>
  </sheetData>
  <mergeCells count="2">
    <mergeCell ref="F6:G6"/>
    <mergeCell ref="D19:E19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3.5"/>
    <col customWidth="1" min="3" max="3" width="21.0"/>
    <col customWidth="1" min="4" max="4" width="48.38"/>
    <col customWidth="1" min="5" max="5" width="35.25"/>
    <col customWidth="1" min="6" max="6" width="31.63"/>
    <col customWidth="1" min="7" max="7" width="3.0"/>
    <col customWidth="1" min="8" max="8" width="27.5"/>
    <col customWidth="1" min="9" max="9" width="32.13"/>
    <col customWidth="1" min="10" max="10" width="32.25"/>
    <col customWidth="1" min="11" max="11" width="21.0"/>
    <col customWidth="1" min="12" max="12" width="25.88"/>
    <col customWidth="1" min="13" max="13" width="40.88"/>
    <col customWidth="1" min="14" max="14" width="22.75"/>
    <col customWidth="1" min="15" max="15" width="20.5"/>
    <col customWidth="1" min="16" max="16" width="15.13"/>
    <col customWidth="1" min="17" max="17" width="32.0"/>
    <col customWidth="1" min="18" max="21" width="16.5"/>
    <col customWidth="1" min="22" max="22" width="19.38"/>
    <col customWidth="1" min="23" max="23" width="15.0"/>
  </cols>
  <sheetData>
    <row r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>
      <c r="A2" s="94"/>
      <c r="B2" s="346" t="s">
        <v>2017</v>
      </c>
      <c r="C2" s="94"/>
      <c r="D2" s="94"/>
      <c r="E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</row>
    <row r="3" ht="13.5" customHeight="1">
      <c r="A3" s="94"/>
      <c r="B3" s="347"/>
      <c r="C3" s="94"/>
      <c r="D3" s="94"/>
      <c r="E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</row>
    <row r="4">
      <c r="A4" s="94"/>
      <c r="C4" s="348" t="s">
        <v>126</v>
      </c>
      <c r="D4" s="657">
        <f>'13. LISA Citi v Ledger'!D4</f>
        <v>46189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</row>
    <row r="5">
      <c r="A5" s="94"/>
      <c r="B5" s="351"/>
      <c r="D5" s="352"/>
      <c r="E5" s="94"/>
      <c r="F5" s="350"/>
      <c r="G5" s="94"/>
      <c r="H5" s="350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</row>
    <row r="6" ht="15.0" customHeight="1">
      <c r="A6" s="94"/>
      <c r="B6" s="354" t="s">
        <v>904</v>
      </c>
      <c r="D6" s="355"/>
      <c r="E6" s="356"/>
      <c r="F6" s="134"/>
      <c r="G6" s="94"/>
      <c r="H6" s="350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</row>
    <row r="7" ht="15.0" customHeight="1">
      <c r="A7" s="94"/>
      <c r="B7" s="357"/>
      <c r="D7" s="355"/>
      <c r="E7" s="356"/>
      <c r="F7" s="134"/>
      <c r="G7" s="94"/>
      <c r="H7" s="350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</row>
    <row r="8" ht="15.0" customHeight="1">
      <c r="A8" s="94"/>
      <c r="B8" s="357"/>
      <c r="C8" s="358" t="s">
        <v>905</v>
      </c>
      <c r="D8" s="489" t="s">
        <v>1990</v>
      </c>
      <c r="E8" s="356"/>
      <c r="H8" s="350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ht="15.0" customHeight="1">
      <c r="A9" s="94"/>
      <c r="B9" s="94"/>
      <c r="C9" s="361" t="s">
        <v>1002</v>
      </c>
      <c r="D9" s="490" t="s">
        <v>908</v>
      </c>
      <c r="E9" s="352"/>
      <c r="H9" s="13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</row>
    <row r="10" ht="15.0" customHeight="1">
      <c r="A10" s="94"/>
      <c r="B10" s="94"/>
      <c r="C10" s="361" t="s">
        <v>909</v>
      </c>
      <c r="D10" s="658" t="s">
        <v>908</v>
      </c>
      <c r="H10" s="13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</row>
    <row r="11" ht="13.5" customHeight="1">
      <c r="A11" s="94"/>
      <c r="B11" s="94"/>
      <c r="C11" s="361" t="s">
        <v>910</v>
      </c>
      <c r="D11" s="658" t="s">
        <v>908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353"/>
      <c r="R11" s="94"/>
      <c r="S11" s="94"/>
      <c r="T11" s="94"/>
      <c r="U11" s="94"/>
      <c r="V11" s="94"/>
      <c r="W11" s="94"/>
      <c r="X11" s="94"/>
      <c r="Y11" s="94"/>
    </row>
    <row r="12" ht="13.5" customHeight="1">
      <c r="A12" s="94"/>
      <c r="B12" s="94"/>
      <c r="C12" s="361" t="s">
        <v>911</v>
      </c>
      <c r="D12" s="490" t="s">
        <v>908</v>
      </c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353"/>
      <c r="R12" s="94"/>
      <c r="S12" s="94"/>
      <c r="T12" s="94"/>
      <c r="U12" s="94"/>
      <c r="V12" s="94"/>
      <c r="W12" s="94"/>
      <c r="X12" s="94"/>
      <c r="Y12" s="94"/>
    </row>
    <row r="13" ht="13.5" customHeight="1">
      <c r="A13" s="94"/>
      <c r="B13" s="94"/>
      <c r="C13" s="361" t="s">
        <v>1003</v>
      </c>
      <c r="D13" s="490" t="s">
        <v>1004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353"/>
      <c r="R13" s="94"/>
      <c r="S13" s="94"/>
      <c r="T13" s="94"/>
      <c r="U13" s="94"/>
      <c r="V13" s="94"/>
      <c r="W13" s="94"/>
      <c r="X13" s="94"/>
      <c r="Y13" s="94"/>
    </row>
    <row r="14" ht="13.5" customHeight="1">
      <c r="A14" s="94"/>
      <c r="B14" s="94"/>
      <c r="C14" s="361" t="s">
        <v>1005</v>
      </c>
      <c r="D14" s="490" t="s">
        <v>1006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353"/>
      <c r="R14" s="94"/>
      <c r="S14" s="94"/>
      <c r="T14" s="94"/>
      <c r="U14" s="94"/>
      <c r="V14" s="94"/>
      <c r="W14" s="94"/>
      <c r="X14" s="94"/>
      <c r="Y14" s="94"/>
    </row>
    <row r="15" ht="13.5" customHeight="1">
      <c r="A15" s="94"/>
      <c r="B15" s="94"/>
      <c r="C15" s="365" t="s">
        <v>980</v>
      </c>
      <c r="D15" s="491" t="s">
        <v>1007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353"/>
      <c r="R15" s="94"/>
      <c r="S15" s="94"/>
      <c r="T15" s="94"/>
      <c r="U15" s="94"/>
      <c r="V15" s="94"/>
      <c r="W15" s="94"/>
      <c r="X15" s="94"/>
      <c r="Y15" s="94"/>
    </row>
    <row r="16" ht="13.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353"/>
      <c r="R16" s="94"/>
      <c r="S16" s="94"/>
      <c r="T16" s="94"/>
      <c r="U16" s="94"/>
      <c r="V16" s="94"/>
      <c r="W16" s="94"/>
      <c r="X16" s="94"/>
      <c r="Y16" s="94"/>
    </row>
    <row r="17">
      <c r="A17" s="94"/>
      <c r="B17" s="354" t="s">
        <v>1008</v>
      </c>
      <c r="D17" s="364"/>
      <c r="E17" s="364"/>
      <c r="F17" s="364"/>
      <c r="G17" s="364"/>
      <c r="H17" s="364"/>
      <c r="I17" s="364"/>
      <c r="J17" s="364"/>
      <c r="K17" s="94"/>
      <c r="L17" s="94"/>
      <c r="M17" s="94"/>
      <c r="N17" s="94"/>
      <c r="O17" s="94"/>
      <c r="P17" s="94"/>
      <c r="Q17" s="353"/>
      <c r="R17" s="353"/>
      <c r="S17" s="353"/>
      <c r="T17" s="94"/>
      <c r="U17" s="94"/>
      <c r="V17" s="94"/>
      <c r="W17" s="94"/>
      <c r="X17" s="94"/>
      <c r="Y17" s="94"/>
    </row>
    <row r="18">
      <c r="A18" s="94"/>
      <c r="B18" s="351"/>
      <c r="D18" s="364"/>
      <c r="E18" s="364"/>
      <c r="F18" s="364"/>
      <c r="G18" s="364"/>
      <c r="H18" s="364"/>
      <c r="I18" s="364"/>
      <c r="J18" s="364"/>
      <c r="K18" s="94"/>
      <c r="L18" s="94"/>
      <c r="M18" s="94"/>
      <c r="N18" s="94"/>
      <c r="O18" s="94"/>
      <c r="P18" s="94"/>
      <c r="Q18" s="353"/>
      <c r="R18" s="353"/>
      <c r="S18" s="353"/>
      <c r="T18" s="94"/>
      <c r="U18" s="94"/>
      <c r="V18" s="94"/>
      <c r="W18" s="94"/>
      <c r="X18" s="94"/>
      <c r="Y18" s="94"/>
    </row>
    <row r="19">
      <c r="A19" s="94"/>
      <c r="B19" s="94"/>
      <c r="C19" s="357" t="s">
        <v>1009</v>
      </c>
      <c r="D19" s="364"/>
      <c r="E19" s="364"/>
      <c r="F19" s="364"/>
      <c r="G19" s="364"/>
      <c r="H19" s="364"/>
      <c r="I19" s="364"/>
      <c r="J19" s="364"/>
      <c r="K19" s="94"/>
      <c r="L19" s="94"/>
      <c r="M19" s="94"/>
      <c r="N19" s="94"/>
      <c r="O19" s="94"/>
      <c r="P19" s="94"/>
      <c r="Q19" s="353"/>
      <c r="R19" s="353"/>
      <c r="S19" s="353"/>
      <c r="T19" s="94"/>
      <c r="U19" s="94"/>
      <c r="V19" s="94"/>
      <c r="W19" s="94"/>
      <c r="X19" s="94"/>
      <c r="Y19" s="94"/>
    </row>
    <row r="20">
      <c r="A20" s="94"/>
      <c r="B20" s="94"/>
      <c r="C20" s="398" t="s">
        <v>914</v>
      </c>
      <c r="D20" s="399" t="s">
        <v>1010</v>
      </c>
      <c r="E20" s="399" t="s">
        <v>1011</v>
      </c>
      <c r="F20" s="399" t="s">
        <v>1012</v>
      </c>
      <c r="G20" s="659" t="s">
        <v>1013</v>
      </c>
      <c r="H20" s="493"/>
      <c r="I20" s="399" t="s">
        <v>1014</v>
      </c>
      <c r="J20" s="399" t="s">
        <v>1023</v>
      </c>
      <c r="K20" s="399" t="s">
        <v>2018</v>
      </c>
      <c r="L20" s="400" t="s">
        <v>917</v>
      </c>
      <c r="M20" s="94"/>
      <c r="N20" s="94"/>
      <c r="O20" s="495" t="s">
        <v>1022</v>
      </c>
      <c r="P20" s="371"/>
      <c r="R20" s="94"/>
      <c r="S20" s="94"/>
      <c r="T20" s="353"/>
      <c r="U20" s="94"/>
      <c r="V20" s="94"/>
      <c r="W20" s="94"/>
      <c r="X20" s="94"/>
    </row>
    <row r="21" ht="15.0" customHeight="1">
      <c r="A21" s="94"/>
      <c r="B21" s="94"/>
      <c r="C21" s="660">
        <f>D4</f>
        <v>46189</v>
      </c>
      <c r="D21" s="402">
        <f>I30</f>
        <v>38973578.78</v>
      </c>
      <c r="E21" s="402">
        <f>I35</f>
        <v>714980.29</v>
      </c>
      <c r="F21" s="402">
        <f>I40</f>
        <v>79300000</v>
      </c>
      <c r="G21" s="661">
        <f>I45</f>
        <v>100000000</v>
      </c>
      <c r="H21" s="498"/>
      <c r="I21" s="402">
        <f>I55</f>
        <v>0</v>
      </c>
      <c r="J21" s="402">
        <f>H30+H35+H40+H45+H55</f>
        <v>218988559.1</v>
      </c>
      <c r="K21" s="402">
        <f>D21+E21+F21+G21+I21</f>
        <v>218988559.1</v>
      </c>
      <c r="L21" s="402">
        <f>K21-J21</f>
        <v>0</v>
      </c>
      <c r="M21" s="94"/>
      <c r="N21" s="94"/>
      <c r="O21" s="376"/>
      <c r="P21" s="153"/>
      <c r="R21" s="94"/>
      <c r="S21" s="94"/>
      <c r="T21" s="353"/>
      <c r="U21" s="353"/>
      <c r="V21" s="353"/>
      <c r="W21" s="94"/>
      <c r="X21" s="131"/>
    </row>
    <row r="22" ht="15.75" customHeight="1">
      <c r="A22" s="94"/>
      <c r="B22" s="94"/>
      <c r="C22" s="165"/>
      <c r="D22" s="165"/>
      <c r="E22" s="165"/>
      <c r="F22" s="165"/>
      <c r="G22" s="38"/>
      <c r="H22" s="38"/>
      <c r="I22" s="38"/>
      <c r="J22" s="38"/>
      <c r="K22" s="38"/>
      <c r="L22" s="38"/>
      <c r="M22" s="94"/>
      <c r="N22" s="94"/>
      <c r="O22" s="94"/>
      <c r="P22" s="94"/>
      <c r="Q22" s="94"/>
      <c r="R22" s="94"/>
      <c r="S22" s="94"/>
      <c r="T22" s="353"/>
      <c r="U22" s="353"/>
      <c r="V22" s="353"/>
      <c r="W22" s="94"/>
      <c r="X22" s="131"/>
    </row>
    <row r="23" ht="15.75" customHeight="1">
      <c r="A23" s="94"/>
      <c r="B23" s="94"/>
      <c r="C23" s="165"/>
      <c r="D23" s="165"/>
      <c r="E23" s="165"/>
      <c r="F23" s="165"/>
      <c r="G23" s="38"/>
      <c r="H23" s="38"/>
      <c r="I23" s="34"/>
      <c r="J23" s="38"/>
      <c r="K23" s="503" t="s">
        <v>953</v>
      </c>
      <c r="L23" s="504">
        <f>-L68+L77+L86+L95</f>
        <v>0</v>
      </c>
      <c r="M23" s="94"/>
      <c r="N23" s="94"/>
      <c r="O23" s="495" t="s">
        <v>954</v>
      </c>
      <c r="P23" s="371"/>
      <c r="Q23" s="94"/>
      <c r="R23" s="94"/>
      <c r="S23" s="94"/>
      <c r="T23" s="94"/>
      <c r="U23" s="94"/>
      <c r="V23" s="353"/>
      <c r="W23" s="353"/>
      <c r="X23" s="353"/>
      <c r="Y23" s="94"/>
      <c r="Z23" s="131"/>
    </row>
    <row r="24" ht="14.25" customHeight="1">
      <c r="A24" s="94"/>
      <c r="B24" s="94"/>
      <c r="C24" s="38"/>
      <c r="D24" s="38"/>
      <c r="E24" s="38"/>
      <c r="F24" s="38"/>
      <c r="G24" s="38"/>
      <c r="H24" s="38"/>
      <c r="I24" s="38"/>
      <c r="J24" s="38"/>
      <c r="K24" s="662" t="s">
        <v>955</v>
      </c>
      <c r="L24" s="506">
        <f>L21-L23</f>
        <v>0</v>
      </c>
      <c r="M24" s="94"/>
      <c r="N24" s="94"/>
      <c r="O24" s="376"/>
      <c r="P24" s="153"/>
      <c r="Q24" s="94"/>
      <c r="R24" s="94"/>
      <c r="S24" s="94"/>
      <c r="T24" s="94"/>
      <c r="U24" s="94"/>
      <c r="V24" s="353"/>
      <c r="W24" s="353"/>
      <c r="X24" s="353"/>
      <c r="Y24" s="94"/>
      <c r="Z24" s="131"/>
    </row>
    <row r="25" ht="14.25" customHeight="1">
      <c r="A25" s="94"/>
      <c r="B25" s="502"/>
      <c r="G25" s="502"/>
      <c r="H25" s="502"/>
      <c r="I25" s="502"/>
      <c r="J25" s="502"/>
      <c r="K25" s="502"/>
      <c r="L25" s="502"/>
      <c r="M25" s="94"/>
      <c r="N25" s="94"/>
      <c r="O25" s="94"/>
      <c r="P25" s="94"/>
      <c r="Q25" s="94"/>
      <c r="R25" s="94"/>
      <c r="S25" s="353"/>
      <c r="T25" s="353"/>
      <c r="U25" s="353"/>
      <c r="V25" s="94"/>
      <c r="W25" s="94"/>
      <c r="X25" s="94"/>
      <c r="Y25" s="94"/>
    </row>
    <row r="26" ht="14.25" customHeight="1">
      <c r="A26" s="94"/>
      <c r="B26" s="354" t="s">
        <v>1025</v>
      </c>
      <c r="G26" s="502"/>
      <c r="H26" s="502"/>
      <c r="I26" s="397"/>
      <c r="J26" s="502"/>
      <c r="K26" s="502"/>
      <c r="L26" s="502"/>
      <c r="M26" s="94"/>
      <c r="N26" s="94"/>
      <c r="O26" s="94"/>
      <c r="P26" s="94"/>
      <c r="Q26" s="94"/>
      <c r="R26" s="94"/>
      <c r="S26" s="353"/>
      <c r="T26" s="353"/>
      <c r="U26" s="353"/>
      <c r="V26" s="94"/>
      <c r="W26" s="94"/>
      <c r="X26" s="94"/>
      <c r="Y26" s="94"/>
    </row>
    <row r="27" ht="14.25" customHeight="1">
      <c r="A27" s="94"/>
      <c r="B27" s="502"/>
      <c r="G27" s="502"/>
      <c r="H27" s="502"/>
      <c r="I27" s="397"/>
      <c r="J27" s="502"/>
      <c r="K27" s="502"/>
      <c r="L27" s="502"/>
      <c r="M27" s="94"/>
      <c r="N27" s="94"/>
      <c r="O27" s="370" t="s">
        <v>1026</v>
      </c>
      <c r="P27" s="371"/>
      <c r="Q27" s="94"/>
      <c r="R27" s="94"/>
      <c r="S27" s="353"/>
      <c r="T27" s="353"/>
      <c r="U27" s="353"/>
      <c r="V27" s="94"/>
      <c r="W27" s="94"/>
      <c r="X27" s="94"/>
      <c r="Y27" s="94"/>
    </row>
    <row r="28" ht="14.25" customHeight="1">
      <c r="A28" s="94"/>
      <c r="B28" s="507"/>
      <c r="C28" s="528" t="s">
        <v>1027</v>
      </c>
      <c r="D28" s="507"/>
      <c r="E28" s="507"/>
      <c r="F28" s="507"/>
      <c r="G28" s="507"/>
      <c r="H28" s="502"/>
      <c r="I28" s="502"/>
      <c r="J28" s="502"/>
      <c r="K28" s="502"/>
      <c r="L28" s="502"/>
      <c r="M28" s="94"/>
      <c r="N28" s="94"/>
      <c r="O28" s="376"/>
      <c r="P28" s="153"/>
      <c r="Q28" s="94"/>
      <c r="R28" s="94"/>
      <c r="S28" s="353"/>
      <c r="T28" s="353"/>
      <c r="U28" s="353"/>
      <c r="V28" s="94"/>
      <c r="W28" s="94"/>
      <c r="X28" s="94"/>
      <c r="Y28" s="94"/>
    </row>
    <row r="29">
      <c r="A29" s="94"/>
      <c r="B29" s="507"/>
      <c r="C29" s="367" t="s">
        <v>914</v>
      </c>
      <c r="D29" s="368" t="s">
        <v>1028</v>
      </c>
      <c r="E29" s="368" t="s">
        <v>1010</v>
      </c>
      <c r="F29" s="369" t="s">
        <v>1029</v>
      </c>
      <c r="G29" s="663"/>
      <c r="H29" s="367" t="s">
        <v>1030</v>
      </c>
      <c r="I29" s="368" t="s">
        <v>1031</v>
      </c>
      <c r="J29" s="368" t="s">
        <v>1032</v>
      </c>
      <c r="K29" s="515" t="s">
        <v>164</v>
      </c>
      <c r="L29" s="378"/>
      <c r="M29" s="379"/>
      <c r="N29" s="94"/>
      <c r="O29" s="94"/>
      <c r="P29" s="94"/>
      <c r="Q29" s="94"/>
      <c r="R29" s="94"/>
      <c r="S29" s="353"/>
      <c r="T29" s="353"/>
      <c r="U29" s="353"/>
      <c r="V29" s="94"/>
      <c r="W29" s="94"/>
      <c r="X29" s="94"/>
      <c r="Y29" s="94"/>
    </row>
    <row r="30">
      <c r="A30" s="94"/>
      <c r="B30" s="507"/>
      <c r="C30" s="516">
        <v>46189.0</v>
      </c>
      <c r="D30" s="517">
        <v>3.89765169E7</v>
      </c>
      <c r="E30" s="517">
        <v>3.897357878E7</v>
      </c>
      <c r="F30" s="549">
        <f t="shared" ref="F30:F31" si="1">E30-D30</f>
        <v>-2938.12</v>
      </c>
      <c r="G30" s="663"/>
      <c r="H30" s="520">
        <f>D30 + 3.75 + 3.75 -2947.19+1.57</f>
        <v>38973578.78</v>
      </c>
      <c r="I30" s="521">
        <f t="shared" ref="I30:I31" si="2">E30</f>
        <v>38973578.78</v>
      </c>
      <c r="J30" s="522">
        <f t="shared" ref="J30:J31" si="3">I30-H30</f>
        <v>0</v>
      </c>
      <c r="K30" s="664" t="s">
        <v>2019</v>
      </c>
      <c r="L30" s="5"/>
      <c r="M30" s="385"/>
      <c r="N30" s="94"/>
      <c r="O30" s="353"/>
      <c r="P30" s="353"/>
      <c r="Q30" s="353"/>
      <c r="R30" s="353"/>
      <c r="S30" s="353"/>
      <c r="T30" s="353"/>
      <c r="U30" s="353"/>
      <c r="V30" s="94"/>
      <c r="W30" s="94"/>
      <c r="X30" s="94"/>
      <c r="Y30" s="94"/>
    </row>
    <row r="31">
      <c r="A31" s="94"/>
      <c r="B31" s="507"/>
      <c r="C31" s="524">
        <v>46188.0</v>
      </c>
      <c r="D31" s="525">
        <v>3.835747726E7</v>
      </c>
      <c r="E31" s="525">
        <v>3.836316981E7</v>
      </c>
      <c r="F31" s="549">
        <f t="shared" si="1"/>
        <v>5692.55</v>
      </c>
      <c r="G31" s="663"/>
      <c r="H31" s="520">
        <f>D31 + 3.75 + 3.75 +5684.47+0.58</f>
        <v>38363169.81</v>
      </c>
      <c r="I31" s="521">
        <f t="shared" si="2"/>
        <v>38363169.81</v>
      </c>
      <c r="J31" s="402">
        <f t="shared" si="3"/>
        <v>0.000000007450580597</v>
      </c>
      <c r="K31" s="664" t="s">
        <v>2020</v>
      </c>
      <c r="L31" s="5"/>
      <c r="M31" s="385"/>
      <c r="N31" s="94"/>
      <c r="O31" s="353"/>
      <c r="P31" s="353"/>
      <c r="Q31" s="353"/>
      <c r="R31" s="353"/>
      <c r="S31" s="353"/>
      <c r="T31" s="353"/>
      <c r="U31" s="353"/>
      <c r="V31" s="94"/>
      <c r="W31" s="94"/>
      <c r="X31" s="94"/>
      <c r="Y31" s="94"/>
    </row>
    <row r="32" ht="14.25" customHeight="1">
      <c r="A32" s="94"/>
      <c r="B32" s="507"/>
      <c r="C32" s="507"/>
      <c r="D32" s="507"/>
      <c r="E32" s="507"/>
      <c r="F32" s="507"/>
      <c r="G32" s="540"/>
      <c r="H32" s="502"/>
      <c r="I32" s="502"/>
      <c r="J32" s="502"/>
      <c r="K32" s="502"/>
      <c r="L32" s="502"/>
      <c r="M32" s="502"/>
      <c r="N32" s="94"/>
      <c r="O32" s="397"/>
      <c r="P32" s="353"/>
      <c r="Q32" s="353"/>
      <c r="R32" s="353"/>
      <c r="S32" s="353"/>
      <c r="T32" s="353"/>
      <c r="U32" s="353"/>
      <c r="V32" s="94"/>
      <c r="W32" s="94"/>
      <c r="X32" s="94"/>
      <c r="Y32" s="94"/>
    </row>
    <row r="33" ht="14.25" customHeight="1">
      <c r="A33" s="94"/>
      <c r="B33" s="507"/>
      <c r="C33" s="528" t="s">
        <v>1035</v>
      </c>
      <c r="D33" s="507"/>
      <c r="E33" s="507"/>
      <c r="F33" s="507"/>
      <c r="G33" s="540"/>
      <c r="H33" s="502"/>
      <c r="I33" s="502"/>
      <c r="J33" s="502"/>
      <c r="K33" s="502"/>
      <c r="L33" s="502"/>
      <c r="M33" s="502"/>
      <c r="N33" s="94"/>
      <c r="O33" s="397"/>
      <c r="P33" s="353"/>
      <c r="Q33" s="353"/>
      <c r="R33" s="353"/>
      <c r="S33" s="353"/>
      <c r="T33" s="353"/>
      <c r="U33" s="353"/>
      <c r="V33" s="94"/>
      <c r="W33" s="94"/>
      <c r="X33" s="94"/>
      <c r="Y33" s="94"/>
    </row>
    <row r="34">
      <c r="A34" s="94"/>
      <c r="B34" s="507"/>
      <c r="C34" s="367" t="s">
        <v>914</v>
      </c>
      <c r="D34" s="368" t="s">
        <v>2021</v>
      </c>
      <c r="E34" s="368" t="s">
        <v>1011</v>
      </c>
      <c r="F34" s="369" t="s">
        <v>1037</v>
      </c>
      <c r="G34" s="663"/>
      <c r="H34" s="367" t="s">
        <v>1030</v>
      </c>
      <c r="I34" s="368" t="s">
        <v>1038</v>
      </c>
      <c r="J34" s="368" t="s">
        <v>1039</v>
      </c>
      <c r="K34" s="515" t="s">
        <v>164</v>
      </c>
      <c r="L34" s="378"/>
      <c r="M34" s="379"/>
      <c r="N34" s="94"/>
      <c r="O34" s="397"/>
      <c r="P34" s="353"/>
      <c r="Q34" s="353"/>
      <c r="R34" s="353"/>
      <c r="S34" s="353"/>
      <c r="T34" s="353"/>
      <c r="U34" s="353"/>
      <c r="V34" s="94"/>
      <c r="W34" s="94"/>
      <c r="X34" s="94"/>
      <c r="Y34" s="94"/>
    </row>
    <row r="35" ht="27.75" customHeight="1">
      <c r="A35" s="94"/>
      <c r="B35" s="507"/>
      <c r="C35" s="516">
        <v>46189.0</v>
      </c>
      <c r="D35" s="525">
        <v>714980.29</v>
      </c>
      <c r="E35" s="525">
        <v>714980.29</v>
      </c>
      <c r="F35" s="549">
        <f t="shared" ref="F35:F36" si="5">E35-D35</f>
        <v>0</v>
      </c>
      <c r="G35" s="663"/>
      <c r="H35" s="532">
        <f t="shared" ref="H35:I35" si="4">D35</f>
        <v>714980.29</v>
      </c>
      <c r="I35" s="533">
        <f t="shared" si="4"/>
        <v>714980.29</v>
      </c>
      <c r="J35" s="534">
        <f t="shared" ref="J35:J36" si="7">I35-H35</f>
        <v>0</v>
      </c>
      <c r="K35" s="665" t="s">
        <v>95</v>
      </c>
      <c r="L35" s="5"/>
      <c r="M35" s="385"/>
      <c r="N35" s="94"/>
      <c r="O35" s="397"/>
      <c r="P35" s="353"/>
      <c r="Q35" s="353"/>
      <c r="R35" s="353"/>
      <c r="S35" s="353"/>
      <c r="T35" s="353"/>
      <c r="U35" s="353"/>
      <c r="V35" s="94"/>
      <c r="W35" s="94"/>
      <c r="X35" s="94"/>
      <c r="Y35" s="94"/>
    </row>
    <row r="36" ht="14.25" customHeight="1">
      <c r="A36" s="94"/>
      <c r="B36" s="507"/>
      <c r="C36" s="524">
        <v>46188.0</v>
      </c>
      <c r="D36" s="525">
        <v>714980.29</v>
      </c>
      <c r="E36" s="525">
        <v>714980.29</v>
      </c>
      <c r="F36" s="551">
        <f t="shared" si="5"/>
        <v>0</v>
      </c>
      <c r="G36" s="663"/>
      <c r="H36" s="536">
        <f t="shared" ref="H36:I36" si="6">D36</f>
        <v>714980.29</v>
      </c>
      <c r="I36" s="537">
        <f t="shared" si="6"/>
        <v>714980.29</v>
      </c>
      <c r="J36" s="538">
        <f t="shared" si="7"/>
        <v>0</v>
      </c>
      <c r="K36" s="665" t="s">
        <v>95</v>
      </c>
      <c r="L36" s="5"/>
      <c r="M36" s="385"/>
      <c r="N36" s="94"/>
      <c r="O36" s="94"/>
      <c r="P36" s="353"/>
      <c r="Q36" s="353"/>
      <c r="R36" s="353"/>
      <c r="S36" s="353"/>
      <c r="T36" s="353"/>
      <c r="U36" s="353"/>
      <c r="V36" s="94"/>
      <c r="W36" s="94"/>
      <c r="X36" s="94"/>
      <c r="Y36" s="94"/>
    </row>
    <row r="37" ht="14.25" customHeight="1">
      <c r="A37" s="94"/>
      <c r="B37" s="507"/>
      <c r="C37" s="666"/>
      <c r="D37" s="540"/>
      <c r="E37" s="540"/>
      <c r="F37" s="540"/>
      <c r="G37" s="540"/>
      <c r="H37" s="502"/>
      <c r="I37" s="502"/>
      <c r="J37" s="502"/>
      <c r="K37" s="502"/>
      <c r="L37" s="502"/>
      <c r="M37" s="502"/>
      <c r="N37" s="94"/>
      <c r="O37" s="353"/>
      <c r="P37" s="353"/>
      <c r="Q37" s="353"/>
      <c r="R37" s="353"/>
      <c r="S37" s="353"/>
      <c r="T37" s="353"/>
      <c r="U37" s="353"/>
      <c r="V37" s="94"/>
      <c r="W37" s="94"/>
      <c r="X37" s="94"/>
      <c r="Y37" s="94"/>
    </row>
    <row r="38" ht="14.25" customHeight="1">
      <c r="A38" s="94"/>
      <c r="B38" s="507"/>
      <c r="C38" s="528" t="s">
        <v>1040</v>
      </c>
      <c r="D38" s="540"/>
      <c r="E38" s="540"/>
      <c r="F38" s="540"/>
      <c r="G38" s="540"/>
      <c r="H38" s="502"/>
      <c r="I38" s="502"/>
      <c r="J38" s="502"/>
      <c r="K38" s="502"/>
      <c r="L38" s="502"/>
      <c r="M38" s="502"/>
      <c r="N38" s="94"/>
      <c r="O38" s="353"/>
      <c r="P38" s="353"/>
      <c r="Q38" s="353"/>
      <c r="R38" s="353"/>
      <c r="S38" s="353"/>
      <c r="T38" s="353"/>
      <c r="U38" s="353"/>
      <c r="V38" s="94"/>
      <c r="W38" s="94"/>
      <c r="X38" s="94"/>
      <c r="Y38" s="94"/>
    </row>
    <row r="39">
      <c r="A39" s="94"/>
      <c r="B39" s="507"/>
      <c r="C39" s="367" t="s">
        <v>914</v>
      </c>
      <c r="D39" s="368" t="s">
        <v>1041</v>
      </c>
      <c r="E39" s="368" t="s">
        <v>1042</v>
      </c>
      <c r="F39" s="369" t="s">
        <v>1043</v>
      </c>
      <c r="G39" s="540"/>
      <c r="H39" s="367" t="s">
        <v>1030</v>
      </c>
      <c r="I39" s="368" t="s">
        <v>1044</v>
      </c>
      <c r="J39" s="368" t="s">
        <v>1045</v>
      </c>
      <c r="K39" s="515" t="s">
        <v>164</v>
      </c>
      <c r="L39" s="378"/>
      <c r="M39" s="379"/>
      <c r="N39" s="94"/>
      <c r="O39" s="353"/>
      <c r="P39" s="353"/>
      <c r="Q39" s="353"/>
      <c r="R39" s="353"/>
      <c r="S39" s="353"/>
      <c r="T39" s="353"/>
      <c r="U39" s="353"/>
      <c r="V39" s="94"/>
      <c r="W39" s="94"/>
      <c r="X39" s="94"/>
      <c r="Y39" s="94"/>
    </row>
    <row r="40" ht="14.25" customHeight="1">
      <c r="A40" s="94"/>
      <c r="B40" s="507"/>
      <c r="C40" s="516">
        <v>46189.0</v>
      </c>
      <c r="D40" s="525">
        <v>7.93E7</v>
      </c>
      <c r="E40" s="525">
        <v>7.93E7</v>
      </c>
      <c r="F40" s="549">
        <f t="shared" ref="F40:F41" si="9">E40-D40</f>
        <v>0</v>
      </c>
      <c r="G40" s="540"/>
      <c r="H40" s="532">
        <f t="shared" ref="H40:I40" si="8">D40</f>
        <v>79300000</v>
      </c>
      <c r="I40" s="533">
        <f t="shared" si="8"/>
        <v>79300000</v>
      </c>
      <c r="J40" s="534">
        <f t="shared" ref="J40:J41" si="11">I40-H40</f>
        <v>0</v>
      </c>
      <c r="K40" s="667" t="s">
        <v>95</v>
      </c>
      <c r="L40" s="5"/>
      <c r="M40" s="385"/>
      <c r="N40" s="94"/>
      <c r="O40" s="353"/>
      <c r="P40" s="353"/>
      <c r="Q40" s="353"/>
      <c r="R40" s="353"/>
      <c r="S40" s="353"/>
      <c r="T40" s="353"/>
      <c r="U40" s="353"/>
      <c r="V40" s="94"/>
      <c r="W40" s="94"/>
      <c r="X40" s="94"/>
      <c r="Y40" s="94"/>
    </row>
    <row r="41" ht="14.25" customHeight="1">
      <c r="A41" s="94"/>
      <c r="B41" s="507"/>
      <c r="C41" s="524">
        <v>46188.0</v>
      </c>
      <c r="D41" s="525">
        <v>7.93E7</v>
      </c>
      <c r="E41" s="525">
        <v>7.93E7</v>
      </c>
      <c r="F41" s="551">
        <f t="shared" si="9"/>
        <v>0</v>
      </c>
      <c r="G41" s="540"/>
      <c r="H41" s="536">
        <f t="shared" ref="H41:I41" si="10">D41</f>
        <v>79300000</v>
      </c>
      <c r="I41" s="537">
        <f t="shared" si="10"/>
        <v>79300000</v>
      </c>
      <c r="J41" s="538">
        <f t="shared" si="11"/>
        <v>0</v>
      </c>
      <c r="K41" s="667" t="s">
        <v>95</v>
      </c>
      <c r="L41" s="5"/>
      <c r="M41" s="385"/>
      <c r="N41" s="94"/>
      <c r="O41" s="353"/>
      <c r="P41" s="353"/>
      <c r="Q41" s="353"/>
      <c r="R41" s="353"/>
      <c r="S41" s="353"/>
      <c r="T41" s="353"/>
      <c r="U41" s="353"/>
      <c r="V41" s="94"/>
      <c r="W41" s="94"/>
      <c r="X41" s="94"/>
      <c r="Y41" s="94"/>
    </row>
    <row r="42" ht="14.25" customHeight="1">
      <c r="A42" s="94"/>
      <c r="B42" s="507"/>
      <c r="C42" s="507"/>
      <c r="D42" s="507"/>
      <c r="E42" s="507"/>
      <c r="F42" s="507"/>
      <c r="G42" s="540"/>
      <c r="H42" s="502"/>
      <c r="I42" s="502"/>
      <c r="J42" s="502"/>
      <c r="K42" s="502"/>
      <c r="L42" s="502"/>
      <c r="M42" s="502"/>
      <c r="N42" s="94"/>
      <c r="O42" s="353"/>
      <c r="P42" s="353"/>
      <c r="Q42" s="353"/>
      <c r="R42" s="353"/>
      <c r="S42" s="353"/>
      <c r="T42" s="353"/>
      <c r="U42" s="353"/>
      <c r="V42" s="94"/>
      <c r="W42" s="94"/>
      <c r="X42" s="94"/>
      <c r="Y42" s="94"/>
    </row>
    <row r="43" ht="14.25" customHeight="1">
      <c r="A43" s="94"/>
      <c r="B43" s="507"/>
      <c r="C43" s="528" t="s">
        <v>1046</v>
      </c>
      <c r="D43" s="540"/>
      <c r="E43" s="540"/>
      <c r="F43" s="540"/>
      <c r="G43" s="540"/>
      <c r="H43" s="502"/>
      <c r="I43" s="502"/>
      <c r="J43" s="502"/>
      <c r="K43" s="502"/>
      <c r="L43" s="502"/>
      <c r="M43" s="502"/>
      <c r="N43" s="94"/>
      <c r="O43" s="353"/>
      <c r="P43" s="353"/>
      <c r="Q43" s="353"/>
      <c r="R43" s="353"/>
      <c r="S43" s="353"/>
      <c r="T43" s="353"/>
      <c r="U43" s="353"/>
      <c r="V43" s="94"/>
      <c r="W43" s="94"/>
      <c r="X43" s="94"/>
      <c r="Y43" s="94"/>
    </row>
    <row r="44" ht="28.5" customHeight="1">
      <c r="A44" s="94"/>
      <c r="B44" s="507"/>
      <c r="C44" s="367" t="s">
        <v>914</v>
      </c>
      <c r="D44" s="368" t="s">
        <v>1047</v>
      </c>
      <c r="E44" s="368" t="s">
        <v>1013</v>
      </c>
      <c r="F44" s="369" t="s">
        <v>1048</v>
      </c>
      <c r="G44" s="540"/>
      <c r="H44" s="367" t="s">
        <v>1030</v>
      </c>
      <c r="I44" s="368" t="s">
        <v>1049</v>
      </c>
      <c r="J44" s="368" t="s">
        <v>1050</v>
      </c>
      <c r="K44" s="515" t="s">
        <v>164</v>
      </c>
      <c r="L44" s="378"/>
      <c r="M44" s="379"/>
      <c r="N44" s="94"/>
      <c r="O44" s="353"/>
      <c r="P44" s="353"/>
      <c r="Q44" s="353"/>
      <c r="R44" s="353"/>
      <c r="S44" s="353"/>
      <c r="T44" s="353"/>
      <c r="U44" s="353"/>
      <c r="V44" s="94"/>
      <c r="W44" s="94"/>
      <c r="X44" s="94"/>
      <c r="Y44" s="94"/>
    </row>
    <row r="45" ht="27.0" customHeight="1">
      <c r="A45" s="94"/>
      <c r="B45" s="507"/>
      <c r="C45" s="516">
        <v>46189.0</v>
      </c>
      <c r="D45" s="525">
        <v>1.0E8</v>
      </c>
      <c r="E45" s="525">
        <v>1.0E8</v>
      </c>
      <c r="F45" s="668">
        <f t="shared" ref="F45:F46" si="13">E45-D45</f>
        <v>0</v>
      </c>
      <c r="G45" s="540"/>
      <c r="H45" s="532">
        <f t="shared" ref="H45:I45" si="12">D45</f>
        <v>100000000</v>
      </c>
      <c r="I45" s="533">
        <f t="shared" si="12"/>
        <v>100000000</v>
      </c>
      <c r="J45" s="534">
        <f t="shared" ref="J45:J46" si="15">I45-H45</f>
        <v>0</v>
      </c>
      <c r="K45" s="667" t="s">
        <v>95</v>
      </c>
      <c r="L45" s="5"/>
      <c r="M45" s="385"/>
      <c r="N45" s="94"/>
      <c r="O45" s="353"/>
      <c r="P45" s="353"/>
      <c r="Q45" s="353"/>
      <c r="R45" s="353"/>
      <c r="S45" s="353"/>
      <c r="T45" s="353"/>
      <c r="U45" s="353"/>
      <c r="V45" s="94"/>
      <c r="W45" s="94"/>
      <c r="X45" s="94"/>
      <c r="Y45" s="94"/>
    </row>
    <row r="46" ht="14.25" customHeight="1">
      <c r="A46" s="94"/>
      <c r="B46" s="507"/>
      <c r="C46" s="524">
        <v>46188.0</v>
      </c>
      <c r="D46" s="525">
        <v>1.0E8</v>
      </c>
      <c r="E46" s="525">
        <v>1.0E8</v>
      </c>
      <c r="F46" s="669">
        <f t="shared" si="13"/>
        <v>0</v>
      </c>
      <c r="G46" s="540"/>
      <c r="H46" s="536">
        <f t="shared" ref="H46:I46" si="14">D46</f>
        <v>100000000</v>
      </c>
      <c r="I46" s="537">
        <f t="shared" si="14"/>
        <v>100000000</v>
      </c>
      <c r="J46" s="538">
        <f t="shared" si="15"/>
        <v>0</v>
      </c>
      <c r="K46" s="667" t="s">
        <v>95</v>
      </c>
      <c r="L46" s="5"/>
      <c r="M46" s="385"/>
      <c r="N46" s="94"/>
      <c r="O46" s="353"/>
      <c r="P46" s="353"/>
      <c r="Q46" s="353"/>
      <c r="R46" s="353"/>
      <c r="S46" s="353"/>
      <c r="T46" s="353"/>
      <c r="U46" s="353"/>
      <c r="V46" s="94"/>
      <c r="W46" s="94"/>
      <c r="X46" s="94"/>
      <c r="Y46" s="94"/>
    </row>
    <row r="47" ht="14.25" hidden="1" customHeight="1">
      <c r="A47" s="94"/>
      <c r="B47" s="507"/>
      <c r="C47" s="507"/>
      <c r="D47" s="507"/>
      <c r="E47" s="507"/>
      <c r="F47" s="507"/>
      <c r="G47" s="540"/>
      <c r="H47" s="502"/>
      <c r="I47" s="502"/>
      <c r="J47" s="502"/>
      <c r="K47" s="502"/>
      <c r="L47" s="502"/>
      <c r="M47" s="502"/>
      <c r="N47" s="94"/>
      <c r="O47" s="353"/>
      <c r="P47" s="353"/>
      <c r="Q47" s="353"/>
      <c r="R47" s="353"/>
      <c r="S47" s="353"/>
      <c r="T47" s="353"/>
      <c r="U47" s="353"/>
      <c r="V47" s="94"/>
      <c r="W47" s="94"/>
      <c r="X47" s="94"/>
      <c r="Y47" s="94"/>
    </row>
    <row r="48" ht="14.25" hidden="1" customHeight="1">
      <c r="A48" s="94"/>
      <c r="B48" s="507"/>
      <c r="C48" s="528" t="s">
        <v>1051</v>
      </c>
      <c r="D48" s="540"/>
      <c r="E48" s="540"/>
      <c r="F48" s="540"/>
      <c r="G48" s="540"/>
      <c r="H48" s="502"/>
      <c r="I48" s="502"/>
      <c r="J48" s="502"/>
      <c r="K48" s="502"/>
      <c r="L48" s="502"/>
      <c r="M48" s="502"/>
      <c r="N48" s="94"/>
      <c r="O48" s="353"/>
      <c r="P48" s="353"/>
      <c r="Q48" s="353"/>
      <c r="R48" s="353"/>
      <c r="S48" s="353"/>
      <c r="T48" s="353"/>
      <c r="U48" s="353"/>
      <c r="V48" s="94"/>
      <c r="W48" s="94"/>
      <c r="X48" s="94"/>
      <c r="Y48" s="94"/>
    </row>
    <row r="49" hidden="1">
      <c r="A49" s="94"/>
      <c r="B49" s="507"/>
      <c r="C49" s="367" t="s">
        <v>914</v>
      </c>
      <c r="D49" s="368" t="s">
        <v>1052</v>
      </c>
      <c r="E49" s="368" t="s">
        <v>1053</v>
      </c>
      <c r="F49" s="369" t="s">
        <v>1054</v>
      </c>
      <c r="G49" s="540"/>
      <c r="H49" s="367" t="s">
        <v>1030</v>
      </c>
      <c r="I49" s="368" t="s">
        <v>1055</v>
      </c>
      <c r="J49" s="368" t="s">
        <v>1056</v>
      </c>
      <c r="K49" s="515" t="s">
        <v>164</v>
      </c>
      <c r="L49" s="378"/>
      <c r="M49" s="379"/>
      <c r="N49" s="94"/>
      <c r="O49" s="353"/>
      <c r="P49" s="353"/>
      <c r="Q49" s="353"/>
      <c r="R49" s="353"/>
      <c r="S49" s="353"/>
      <c r="T49" s="353"/>
      <c r="U49" s="353"/>
      <c r="V49" s="94"/>
      <c r="W49" s="94"/>
      <c r="X49" s="94"/>
      <c r="Y49" s="94"/>
    </row>
    <row r="50" ht="14.25" hidden="1" customHeight="1">
      <c r="A50" s="94"/>
      <c r="B50" s="507"/>
      <c r="C50" s="516">
        <f t="shared" ref="C50:C51" si="17">C30</f>
        <v>46189</v>
      </c>
      <c r="D50" s="548">
        <v>0.0</v>
      </c>
      <c r="E50" s="548">
        <v>0.0</v>
      </c>
      <c r="F50" s="549">
        <f t="shared" ref="F50:F51" si="18">E50-D50</f>
        <v>0</v>
      </c>
      <c r="G50" s="540"/>
      <c r="H50" s="532">
        <f t="shared" ref="H50:I50" si="16">D50</f>
        <v>0</v>
      </c>
      <c r="I50" s="533">
        <f t="shared" si="16"/>
        <v>0</v>
      </c>
      <c r="J50" s="534">
        <f t="shared" ref="J50:J51" si="20">I50-H50</f>
        <v>0</v>
      </c>
      <c r="K50" s="667" t="s">
        <v>95</v>
      </c>
      <c r="L50" s="5"/>
      <c r="M50" s="385"/>
      <c r="N50" s="94"/>
      <c r="O50" s="353"/>
      <c r="P50" s="353"/>
      <c r="Q50" s="353"/>
      <c r="R50" s="353"/>
      <c r="S50" s="353"/>
      <c r="T50" s="353"/>
      <c r="U50" s="353"/>
      <c r="V50" s="94"/>
      <c r="W50" s="94"/>
      <c r="X50" s="94"/>
      <c r="Y50" s="94"/>
    </row>
    <row r="51" ht="14.25" hidden="1" customHeight="1">
      <c r="A51" s="94"/>
      <c r="B51" s="507"/>
      <c r="C51" s="516">
        <f t="shared" si="17"/>
        <v>46188</v>
      </c>
      <c r="D51" s="550">
        <v>0.0</v>
      </c>
      <c r="E51" s="550">
        <v>0.0</v>
      </c>
      <c r="F51" s="551">
        <f t="shared" si="18"/>
        <v>0</v>
      </c>
      <c r="G51" s="540"/>
      <c r="H51" s="536">
        <f t="shared" ref="H51:I51" si="19">D51</f>
        <v>0</v>
      </c>
      <c r="I51" s="537">
        <f t="shared" si="19"/>
        <v>0</v>
      </c>
      <c r="J51" s="538">
        <f t="shared" si="20"/>
        <v>0</v>
      </c>
      <c r="K51" s="667" t="s">
        <v>95</v>
      </c>
      <c r="L51" s="5"/>
      <c r="M51" s="385"/>
      <c r="N51" s="94"/>
      <c r="O51" s="353"/>
      <c r="P51" s="353"/>
      <c r="Q51" s="353"/>
      <c r="R51" s="353"/>
      <c r="S51" s="353"/>
      <c r="T51" s="353"/>
      <c r="U51" s="353"/>
      <c r="V51" s="94"/>
      <c r="W51" s="94"/>
      <c r="X51" s="94"/>
      <c r="Y51" s="94"/>
    </row>
    <row r="52" ht="14.25" customHeight="1">
      <c r="A52" s="94"/>
      <c r="B52" s="507"/>
      <c r="C52" s="507"/>
      <c r="D52" s="507"/>
      <c r="E52" s="507"/>
      <c r="F52" s="507"/>
      <c r="G52" s="540"/>
      <c r="H52" s="502"/>
      <c r="I52" s="502"/>
      <c r="J52" s="502"/>
      <c r="K52" s="502"/>
      <c r="L52" s="98"/>
      <c r="M52" s="98"/>
      <c r="N52" s="94"/>
      <c r="O52" s="353"/>
      <c r="P52" s="353"/>
      <c r="Q52" s="353"/>
      <c r="R52" s="353"/>
      <c r="S52" s="353"/>
      <c r="T52" s="353"/>
      <c r="U52" s="353"/>
      <c r="V52" s="94"/>
      <c r="W52" s="94"/>
      <c r="X52" s="94"/>
      <c r="Y52" s="94"/>
    </row>
    <row r="53" ht="14.25" customHeight="1">
      <c r="A53" s="94"/>
      <c r="B53" s="507"/>
      <c r="C53" s="528" t="s">
        <v>1057</v>
      </c>
      <c r="D53" s="540"/>
      <c r="E53" s="540"/>
      <c r="F53" s="540"/>
      <c r="G53" s="540"/>
      <c r="H53" s="502"/>
      <c r="I53" s="502"/>
      <c r="J53" s="502"/>
      <c r="K53" s="502"/>
      <c r="L53" s="98"/>
      <c r="M53" s="98"/>
      <c r="N53" s="94"/>
      <c r="O53" s="353"/>
      <c r="P53" s="353"/>
      <c r="Q53" s="353"/>
      <c r="R53" s="353"/>
      <c r="S53" s="353"/>
      <c r="T53" s="353"/>
      <c r="U53" s="353"/>
      <c r="V53" s="94"/>
      <c r="W53" s="94"/>
      <c r="X53" s="94"/>
      <c r="Y53" s="94"/>
    </row>
    <row r="54" ht="14.25" customHeight="1">
      <c r="A54" s="94"/>
      <c r="B54" s="507"/>
      <c r="C54" s="367" t="s">
        <v>914</v>
      </c>
      <c r="D54" s="368" t="s">
        <v>2022</v>
      </c>
      <c r="E54" s="368" t="s">
        <v>1014</v>
      </c>
      <c r="F54" s="369" t="s">
        <v>1059</v>
      </c>
      <c r="G54" s="540"/>
      <c r="H54" s="367" t="s">
        <v>1030</v>
      </c>
      <c r="I54" s="368" t="s">
        <v>1060</v>
      </c>
      <c r="J54" s="368" t="s">
        <v>1061</v>
      </c>
      <c r="K54" s="515" t="s">
        <v>164</v>
      </c>
      <c r="L54" s="378"/>
      <c r="M54" s="379"/>
      <c r="N54" s="94"/>
      <c r="O54" s="353"/>
      <c r="P54" s="353"/>
      <c r="Q54" s="353"/>
      <c r="R54" s="353"/>
      <c r="S54" s="353"/>
      <c r="T54" s="353"/>
      <c r="U54" s="353"/>
      <c r="V54" s="94"/>
      <c r="W54" s="94"/>
      <c r="X54" s="94"/>
      <c r="Y54" s="94"/>
    </row>
    <row r="55" ht="14.25" customHeight="1">
      <c r="A55" s="94"/>
      <c r="B55" s="507"/>
      <c r="C55" s="516">
        <f t="shared" ref="C55:C56" si="22">C30</f>
        <v>46189</v>
      </c>
      <c r="D55" s="548">
        <v>0.0</v>
      </c>
      <c r="E55" s="548">
        <v>0.0</v>
      </c>
      <c r="F55" s="549">
        <f t="shared" ref="F55:F56" si="23">E55-D55</f>
        <v>0</v>
      </c>
      <c r="G55" s="540"/>
      <c r="H55" s="532">
        <f t="shared" ref="H55:I55" si="21">D55</f>
        <v>0</v>
      </c>
      <c r="I55" s="533">
        <f t="shared" si="21"/>
        <v>0</v>
      </c>
      <c r="J55" s="534">
        <f t="shared" ref="J55:J56" si="25">I55-H55</f>
        <v>0</v>
      </c>
      <c r="K55" s="667" t="s">
        <v>95</v>
      </c>
      <c r="L55" s="5"/>
      <c r="M55" s="385"/>
      <c r="N55" s="94"/>
      <c r="O55" s="353"/>
      <c r="P55" s="353"/>
      <c r="Q55" s="353"/>
      <c r="R55" s="353"/>
      <c r="S55" s="353"/>
      <c r="T55" s="353"/>
      <c r="U55" s="353"/>
      <c r="V55" s="94"/>
      <c r="W55" s="94"/>
      <c r="X55" s="94"/>
      <c r="Y55" s="94"/>
    </row>
    <row r="56" ht="14.25" customHeight="1">
      <c r="A56" s="94"/>
      <c r="B56" s="507"/>
      <c r="C56" s="516">
        <f t="shared" si="22"/>
        <v>46188</v>
      </c>
      <c r="D56" s="550">
        <v>0.0</v>
      </c>
      <c r="E56" s="550">
        <v>0.0</v>
      </c>
      <c r="F56" s="551">
        <f t="shared" si="23"/>
        <v>0</v>
      </c>
      <c r="G56" s="540"/>
      <c r="H56" s="536">
        <f t="shared" ref="H56:I56" si="24">D56</f>
        <v>0</v>
      </c>
      <c r="I56" s="537">
        <f t="shared" si="24"/>
        <v>0</v>
      </c>
      <c r="J56" s="538">
        <f t="shared" si="25"/>
        <v>0</v>
      </c>
      <c r="K56" s="667" t="s">
        <v>95</v>
      </c>
      <c r="L56" s="5"/>
      <c r="M56" s="385"/>
      <c r="N56" s="94"/>
      <c r="O56" s="353"/>
      <c r="P56" s="353"/>
      <c r="Q56" s="353"/>
      <c r="R56" s="353"/>
      <c r="S56" s="353"/>
      <c r="T56" s="353"/>
      <c r="U56" s="353"/>
      <c r="V56" s="94"/>
      <c r="W56" s="94"/>
      <c r="X56" s="94"/>
      <c r="Y56" s="94"/>
    </row>
    <row r="57" ht="14.25" customHeight="1">
      <c r="A57" s="94"/>
      <c r="B57" s="507"/>
      <c r="C57" s="507"/>
      <c r="D57" s="507"/>
      <c r="E57" s="507"/>
      <c r="F57" s="507"/>
      <c r="G57" s="507"/>
      <c r="H57" s="502"/>
      <c r="I57" s="502"/>
      <c r="J57" s="502"/>
      <c r="K57" s="502"/>
      <c r="L57" s="502"/>
      <c r="M57" s="94"/>
      <c r="N57" s="94"/>
      <c r="O57" s="353"/>
      <c r="P57" s="353"/>
      <c r="Q57" s="353"/>
      <c r="R57" s="353"/>
      <c r="S57" s="353"/>
      <c r="T57" s="353"/>
      <c r="U57" s="353"/>
      <c r="V57" s="94"/>
      <c r="W57" s="94"/>
      <c r="X57" s="94"/>
      <c r="Y57" s="94"/>
    </row>
    <row r="58" ht="14.25" customHeight="1">
      <c r="A58" s="94"/>
      <c r="B58" s="502"/>
      <c r="G58" s="502"/>
      <c r="H58" s="502"/>
      <c r="I58" s="502"/>
      <c r="J58" s="502"/>
      <c r="K58" s="502"/>
      <c r="L58" s="502"/>
      <c r="M58" s="94"/>
      <c r="N58" s="94"/>
      <c r="O58" s="353"/>
      <c r="P58" s="353"/>
      <c r="Q58" s="353"/>
      <c r="R58" s="353"/>
      <c r="S58" s="353"/>
      <c r="T58" s="353"/>
      <c r="U58" s="353"/>
      <c r="V58" s="94"/>
      <c r="W58" s="94"/>
      <c r="X58" s="94"/>
      <c r="Y58" s="94"/>
    </row>
    <row r="59" ht="14.25" customHeight="1">
      <c r="A59" s="94"/>
      <c r="B59" s="354" t="s">
        <v>864</v>
      </c>
      <c r="C59" s="357"/>
      <c r="G59" s="502"/>
      <c r="H59" s="502"/>
      <c r="I59" s="502"/>
      <c r="J59" s="502"/>
      <c r="K59" s="502"/>
      <c r="L59" s="502"/>
      <c r="M59" s="94"/>
      <c r="N59" s="94"/>
      <c r="O59" s="94"/>
      <c r="P59" s="94"/>
      <c r="Q59" s="94"/>
      <c r="R59" s="94"/>
      <c r="S59" s="353"/>
      <c r="T59" s="353"/>
      <c r="U59" s="353"/>
      <c r="V59" s="94"/>
      <c r="W59" s="94"/>
      <c r="X59" s="94"/>
      <c r="Y59" s="94"/>
    </row>
    <row r="60" ht="14.25" customHeight="1">
      <c r="A60" s="94"/>
      <c r="B60" s="502"/>
      <c r="G60" s="502"/>
      <c r="H60" s="502"/>
      <c r="I60" s="502"/>
      <c r="J60" s="502"/>
      <c r="K60" s="502"/>
      <c r="L60" s="502"/>
      <c r="M60" s="94"/>
      <c r="N60" s="94"/>
      <c r="O60" s="94"/>
      <c r="P60" s="94"/>
      <c r="Q60" s="94"/>
      <c r="R60" s="94"/>
      <c r="S60" s="353"/>
      <c r="T60" s="353"/>
      <c r="U60" s="353"/>
      <c r="V60" s="94"/>
      <c r="W60" s="94"/>
      <c r="X60" s="94"/>
      <c r="Y60" s="94"/>
    </row>
    <row r="61" ht="15.75" customHeight="1">
      <c r="A61" s="94"/>
      <c r="B61" s="94"/>
      <c r="C61" s="357" t="s">
        <v>996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</row>
    <row r="62" ht="4.5" customHeight="1">
      <c r="A62" s="94"/>
      <c r="B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</row>
    <row r="63" ht="14.25" customHeight="1">
      <c r="A63" s="94"/>
      <c r="B63" s="567"/>
      <c r="C63" s="413" t="s">
        <v>34</v>
      </c>
      <c r="D63" s="414" t="s">
        <v>957</v>
      </c>
      <c r="E63" s="415"/>
      <c r="F63" s="416" t="s">
        <v>958</v>
      </c>
      <c r="G63" s="417" t="s">
        <v>959</v>
      </c>
      <c r="H63" s="415"/>
      <c r="I63" s="418" t="s">
        <v>960</v>
      </c>
      <c r="J63" s="415"/>
      <c r="K63" s="419"/>
      <c r="L63" s="420" t="s">
        <v>961</v>
      </c>
      <c r="M63" s="131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</row>
    <row r="64" ht="15.75" customHeight="1">
      <c r="A64" s="94"/>
      <c r="B64" s="94"/>
      <c r="C64" s="425"/>
      <c r="D64" s="423"/>
      <c r="F64" s="422"/>
      <c r="G64" s="423"/>
      <c r="I64" s="423"/>
      <c r="K64" s="422"/>
      <c r="L64" s="428"/>
      <c r="M64" s="22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</row>
    <row r="65" ht="15.75" customHeight="1">
      <c r="A65" s="94"/>
      <c r="B65" s="94"/>
      <c r="C65" s="425"/>
      <c r="D65" s="423"/>
      <c r="F65" s="422"/>
      <c r="G65" s="423"/>
      <c r="I65" s="423"/>
      <c r="K65" s="422"/>
      <c r="L65" s="428"/>
      <c r="M65" s="131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</row>
    <row r="66" ht="15.75" customHeight="1">
      <c r="A66" s="94"/>
      <c r="B66" s="94"/>
      <c r="C66" s="425"/>
      <c r="D66" s="423"/>
      <c r="F66" s="426"/>
      <c r="G66" s="670"/>
      <c r="I66" s="423"/>
      <c r="K66" s="426"/>
      <c r="L66" s="428"/>
      <c r="M66" s="131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</row>
    <row r="67" ht="15.75" customHeight="1">
      <c r="A67" s="94"/>
      <c r="B67" s="94"/>
      <c r="C67" s="427"/>
      <c r="D67" s="423"/>
      <c r="F67" s="128"/>
      <c r="G67" s="671"/>
      <c r="I67" s="423"/>
      <c r="K67" s="94"/>
      <c r="L67" s="437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</row>
    <row r="68" ht="15.75" customHeight="1">
      <c r="A68" s="94"/>
      <c r="B68" s="94"/>
      <c r="C68" s="429" t="s">
        <v>872</v>
      </c>
      <c r="D68" s="430"/>
      <c r="E68" s="430"/>
      <c r="F68" s="431"/>
      <c r="G68" s="430"/>
      <c r="H68" s="430"/>
      <c r="I68" s="430"/>
      <c r="J68" s="430"/>
      <c r="K68" s="432" t="s">
        <v>42</v>
      </c>
      <c r="L68" s="433">
        <f>SUM(L63:L67)</f>
        <v>0</v>
      </c>
      <c r="M68" s="94"/>
      <c r="N68" s="94"/>
      <c r="O68" s="94"/>
      <c r="P68" s="94"/>
      <c r="Q68" s="672"/>
      <c r="R68" s="94"/>
      <c r="S68" s="94"/>
      <c r="T68" s="94"/>
      <c r="U68" s="94"/>
      <c r="V68" s="94"/>
      <c r="W68" s="94"/>
      <c r="X68" s="94"/>
      <c r="Y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</row>
    <row r="70" ht="15.75" customHeight="1">
      <c r="A70" s="94"/>
      <c r="B70" s="94"/>
      <c r="C70" s="357" t="s">
        <v>997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</row>
    <row r="71" ht="6.0" customHeight="1">
      <c r="A71" s="94"/>
      <c r="B71" s="94"/>
      <c r="M71" s="94"/>
      <c r="N71" s="94"/>
      <c r="O71" s="94"/>
      <c r="P71" s="94"/>
      <c r="Q71" s="94"/>
      <c r="R71" s="672"/>
      <c r="S71" s="672"/>
      <c r="T71" s="672"/>
      <c r="U71" s="672"/>
      <c r="V71" s="672"/>
      <c r="W71" s="672"/>
      <c r="X71" s="94"/>
      <c r="Y71" s="94"/>
    </row>
    <row r="72" ht="14.25" customHeight="1">
      <c r="A72" s="94"/>
      <c r="B72" s="567"/>
      <c r="C72" s="413" t="s">
        <v>34</v>
      </c>
      <c r="D72" s="414" t="s">
        <v>957</v>
      </c>
      <c r="E72" s="415"/>
      <c r="F72" s="416" t="s">
        <v>958</v>
      </c>
      <c r="G72" s="417" t="s">
        <v>959</v>
      </c>
      <c r="H72" s="415"/>
      <c r="I72" s="418" t="s">
        <v>960</v>
      </c>
      <c r="J72" s="415"/>
      <c r="K72" s="419"/>
      <c r="L72" s="420" t="s">
        <v>961</v>
      </c>
      <c r="M72" s="94"/>
      <c r="N72" s="94"/>
      <c r="O72" s="94"/>
      <c r="P72" s="94"/>
      <c r="Q72" s="94"/>
      <c r="R72" s="672"/>
      <c r="S72" s="672"/>
      <c r="T72" s="672"/>
      <c r="U72" s="672"/>
      <c r="V72" s="672"/>
      <c r="W72" s="672"/>
      <c r="X72" s="94"/>
      <c r="Y72" s="94"/>
    </row>
    <row r="73" ht="15.75" customHeight="1">
      <c r="A73" s="94"/>
      <c r="B73" s="94"/>
      <c r="C73" s="425"/>
      <c r="D73" s="423"/>
      <c r="F73" s="422"/>
      <c r="G73" s="423"/>
      <c r="I73" s="423"/>
      <c r="K73" s="422"/>
      <c r="L73" s="428"/>
      <c r="M73" s="94"/>
      <c r="N73" s="94"/>
      <c r="O73" s="94"/>
      <c r="P73" s="94"/>
      <c r="Q73" s="94"/>
      <c r="R73" s="94"/>
      <c r="S73" s="94"/>
      <c r="T73" s="94"/>
      <c r="U73" s="94"/>
      <c r="V73" s="544"/>
      <c r="W73" s="544"/>
      <c r="X73" s="94"/>
      <c r="Y73" s="94"/>
    </row>
    <row r="74" ht="15.75" customHeight="1">
      <c r="A74" s="94"/>
      <c r="B74" s="94"/>
      <c r="C74" s="425"/>
      <c r="D74" s="423"/>
      <c r="F74" s="422"/>
      <c r="G74" s="423"/>
      <c r="I74" s="423"/>
      <c r="K74" s="422"/>
      <c r="L74" s="428"/>
      <c r="M74" s="94"/>
      <c r="N74" s="94"/>
      <c r="O74" s="94"/>
      <c r="P74" s="94"/>
      <c r="Q74" s="94"/>
      <c r="R74" s="94"/>
      <c r="S74" s="94"/>
      <c r="T74" s="94"/>
      <c r="U74" s="94"/>
      <c r="V74" s="544"/>
      <c r="W74" s="544"/>
      <c r="X74" s="94"/>
      <c r="Y74" s="94"/>
    </row>
    <row r="75" ht="15.75" customHeight="1">
      <c r="A75" s="94"/>
      <c r="B75" s="94"/>
      <c r="C75" s="425"/>
      <c r="D75" s="423"/>
      <c r="F75" s="426"/>
      <c r="G75" s="670"/>
      <c r="I75" s="423"/>
      <c r="K75" s="426"/>
      <c r="L75" s="428"/>
      <c r="M75" s="94"/>
      <c r="N75" s="94"/>
      <c r="O75" s="94"/>
      <c r="P75" s="353"/>
      <c r="Q75" s="94"/>
      <c r="R75" s="94"/>
      <c r="S75" s="94"/>
      <c r="T75" s="94"/>
      <c r="U75" s="94"/>
      <c r="V75" s="544"/>
      <c r="W75" s="544"/>
      <c r="X75" s="94"/>
      <c r="Y75" s="94"/>
    </row>
    <row r="76" ht="15.75" customHeight="1">
      <c r="A76" s="94"/>
      <c r="B76" s="94"/>
      <c r="C76" s="427"/>
      <c r="D76" s="423"/>
      <c r="F76" s="128"/>
      <c r="G76" s="671"/>
      <c r="I76" s="423"/>
      <c r="K76" s="94"/>
      <c r="L76" s="437"/>
      <c r="M76" s="94"/>
      <c r="N76" s="94"/>
      <c r="O76" s="94"/>
      <c r="P76" s="353"/>
      <c r="Q76" s="94"/>
      <c r="R76" s="94"/>
      <c r="S76" s="94"/>
      <c r="T76" s="94"/>
      <c r="U76" s="94"/>
      <c r="V76" s="544"/>
      <c r="W76" s="544"/>
      <c r="X76" s="94"/>
      <c r="Y76" s="94"/>
    </row>
    <row r="77" ht="15.75" customHeight="1">
      <c r="A77" s="94"/>
      <c r="B77" s="94"/>
      <c r="C77" s="429" t="s">
        <v>876</v>
      </c>
      <c r="D77" s="430"/>
      <c r="E77" s="430"/>
      <c r="F77" s="431"/>
      <c r="G77" s="430"/>
      <c r="H77" s="430"/>
      <c r="I77" s="430"/>
      <c r="J77" s="430"/>
      <c r="K77" s="432" t="s">
        <v>42</v>
      </c>
      <c r="L77" s="433">
        <f>SUM(L72:L75)</f>
        <v>0</v>
      </c>
      <c r="M77" s="94"/>
      <c r="N77" s="94"/>
      <c r="O77" s="94"/>
      <c r="P77" s="353"/>
      <c r="Q77" s="94"/>
      <c r="R77" s="94"/>
      <c r="S77" s="94"/>
      <c r="T77" s="94"/>
      <c r="U77" s="94"/>
      <c r="V77" s="94"/>
      <c r="W77" s="94"/>
      <c r="X77" s="94"/>
      <c r="Y77" s="94"/>
    </row>
    <row r="78" ht="15.75" customHeight="1">
      <c r="A78" s="94"/>
      <c r="B78" s="94"/>
      <c r="C78" s="98"/>
      <c r="D78" s="94"/>
      <c r="E78" s="94"/>
      <c r="F78" s="94"/>
      <c r="G78" s="94"/>
      <c r="H78" s="94"/>
      <c r="I78" s="94"/>
      <c r="J78" s="94"/>
      <c r="K78" s="438"/>
      <c r="L78" s="439"/>
      <c r="M78" s="94"/>
      <c r="N78" s="94"/>
      <c r="O78" s="94"/>
      <c r="P78" s="353"/>
      <c r="Q78" s="94"/>
      <c r="R78" s="94"/>
      <c r="S78" s="94"/>
      <c r="T78" s="94"/>
      <c r="U78" s="94"/>
      <c r="V78" s="94"/>
      <c r="W78" s="94"/>
      <c r="X78" s="94"/>
      <c r="Y78" s="94"/>
    </row>
    <row r="79" ht="15.75" customHeight="1">
      <c r="A79" s="94"/>
      <c r="B79" s="94"/>
      <c r="C79" s="357" t="s">
        <v>998</v>
      </c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353"/>
      <c r="Q79" s="353"/>
      <c r="R79" s="94"/>
      <c r="S79" s="94"/>
      <c r="T79" s="94"/>
      <c r="U79" s="94"/>
      <c r="V79" s="94"/>
      <c r="W79" s="94"/>
      <c r="X79" s="94"/>
      <c r="Y79" s="94"/>
    </row>
    <row r="80" ht="6.0" customHeight="1">
      <c r="A80" s="94"/>
      <c r="B80" s="94"/>
      <c r="C80" s="426"/>
      <c r="D80" s="426"/>
      <c r="E80" s="426"/>
      <c r="F80" s="426"/>
      <c r="G80" s="426"/>
      <c r="H80" s="426"/>
      <c r="I80" s="426"/>
      <c r="J80" s="426"/>
      <c r="K80" s="426"/>
      <c r="L80" s="426"/>
      <c r="M80" s="94"/>
      <c r="N80" s="94"/>
      <c r="O80" s="94"/>
      <c r="P80" s="353"/>
      <c r="Q80" s="353"/>
      <c r="R80" s="94"/>
      <c r="S80" s="94"/>
      <c r="T80" s="94"/>
      <c r="U80" s="94"/>
      <c r="V80" s="94"/>
      <c r="W80" s="94"/>
      <c r="X80" s="94"/>
      <c r="Y80" s="94"/>
    </row>
    <row r="81" ht="15.75" customHeight="1">
      <c r="A81" s="94"/>
      <c r="B81" s="94"/>
      <c r="C81" s="413" t="s">
        <v>34</v>
      </c>
      <c r="D81" s="414" t="s">
        <v>957</v>
      </c>
      <c r="E81" s="415"/>
      <c r="F81" s="416" t="s">
        <v>958</v>
      </c>
      <c r="G81" s="417" t="s">
        <v>959</v>
      </c>
      <c r="H81" s="415"/>
      <c r="I81" s="418" t="s">
        <v>960</v>
      </c>
      <c r="J81" s="415"/>
      <c r="K81" s="419"/>
      <c r="L81" s="420" t="s">
        <v>961</v>
      </c>
      <c r="M81" s="94"/>
      <c r="N81" s="94"/>
      <c r="O81" s="94"/>
      <c r="P81" s="353"/>
      <c r="Q81" s="353"/>
      <c r="R81" s="94"/>
      <c r="S81" s="94"/>
      <c r="T81" s="94"/>
      <c r="U81" s="94"/>
      <c r="V81" s="94"/>
      <c r="W81" s="94"/>
      <c r="X81" s="94"/>
      <c r="Y81" s="94"/>
    </row>
    <row r="82" ht="15.75" customHeight="1">
      <c r="A82" s="94"/>
      <c r="B82" s="94"/>
      <c r="C82" s="425"/>
      <c r="D82" s="423"/>
      <c r="F82" s="422"/>
      <c r="G82" s="423"/>
      <c r="I82" s="423"/>
      <c r="K82" s="422"/>
      <c r="L82" s="428"/>
      <c r="M82" s="94"/>
      <c r="N82" s="94"/>
      <c r="O82" s="94"/>
      <c r="P82" s="353"/>
      <c r="Q82" s="353"/>
      <c r="R82" s="94"/>
      <c r="S82" s="94"/>
      <c r="T82" s="94"/>
      <c r="U82" s="94"/>
      <c r="V82" s="94"/>
      <c r="W82" s="94"/>
      <c r="X82" s="94"/>
      <c r="Y82" s="94"/>
    </row>
    <row r="83" ht="15.75" customHeight="1">
      <c r="A83" s="94"/>
      <c r="B83" s="94"/>
      <c r="C83" s="425"/>
      <c r="D83" s="423"/>
      <c r="F83" s="422"/>
      <c r="G83" s="423"/>
      <c r="I83" s="423"/>
      <c r="K83" s="422"/>
      <c r="L83" s="428"/>
      <c r="M83" s="94"/>
      <c r="N83" s="94"/>
      <c r="O83" s="353"/>
      <c r="P83" s="353"/>
      <c r="Q83" s="353"/>
      <c r="R83" s="94"/>
      <c r="S83" s="94"/>
      <c r="T83" s="94"/>
      <c r="U83" s="94"/>
      <c r="V83" s="94"/>
      <c r="W83" s="94"/>
      <c r="X83" s="94"/>
      <c r="Y83" s="94"/>
    </row>
    <row r="84" ht="15.75" customHeight="1">
      <c r="A84" s="94"/>
      <c r="B84" s="94"/>
      <c r="C84" s="425"/>
      <c r="D84" s="423"/>
      <c r="F84" s="426"/>
      <c r="G84" s="670"/>
      <c r="I84" s="423"/>
      <c r="K84" s="426"/>
      <c r="L84" s="428"/>
      <c r="M84" s="94"/>
      <c r="N84" s="94"/>
      <c r="O84" s="353"/>
      <c r="P84" s="353"/>
      <c r="Q84" s="353"/>
      <c r="R84" s="94"/>
      <c r="S84" s="94"/>
      <c r="T84" s="94"/>
      <c r="U84" s="94"/>
      <c r="V84" s="94"/>
      <c r="W84" s="94"/>
      <c r="X84" s="94"/>
      <c r="Y84" s="94"/>
    </row>
    <row r="85" ht="15.75" customHeight="1">
      <c r="A85" s="94"/>
      <c r="B85" s="94"/>
      <c r="C85" s="427"/>
      <c r="D85" s="423"/>
      <c r="F85" s="128"/>
      <c r="G85" s="671"/>
      <c r="I85" s="423"/>
      <c r="K85" s="94"/>
      <c r="L85" s="437"/>
      <c r="M85" s="94"/>
      <c r="N85" s="94"/>
      <c r="O85" s="353"/>
      <c r="P85" s="353"/>
      <c r="Q85" s="353"/>
      <c r="R85" s="94"/>
      <c r="S85" s="94"/>
      <c r="T85" s="94"/>
      <c r="U85" s="94"/>
      <c r="V85" s="94"/>
      <c r="W85" s="94"/>
      <c r="X85" s="94"/>
      <c r="Y85" s="94"/>
    </row>
    <row r="86" ht="15.75" customHeight="1">
      <c r="A86" s="94"/>
      <c r="B86" s="94"/>
      <c r="C86" s="429" t="s">
        <v>868</v>
      </c>
      <c r="D86" s="430"/>
      <c r="E86" s="430"/>
      <c r="F86" s="431"/>
      <c r="G86" s="430"/>
      <c r="H86" s="430"/>
      <c r="I86" s="430"/>
      <c r="J86" s="430"/>
      <c r="K86" s="432" t="s">
        <v>42</v>
      </c>
      <c r="L86" s="433">
        <f>SUM(L79:L85)</f>
        <v>0</v>
      </c>
      <c r="M86" s="94"/>
      <c r="N86" s="94"/>
      <c r="O86" s="353"/>
      <c r="P86" s="353"/>
      <c r="Q86" s="353"/>
      <c r="R86" s="94"/>
      <c r="S86" s="94"/>
      <c r="T86" s="94"/>
      <c r="U86" s="94"/>
      <c r="V86" s="94"/>
      <c r="W86" s="94"/>
      <c r="X86" s="94"/>
      <c r="Y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353"/>
      <c r="P87" s="353"/>
      <c r="Q87" s="353"/>
      <c r="R87" s="94"/>
      <c r="S87" s="94"/>
      <c r="T87" s="94"/>
      <c r="U87" s="94"/>
      <c r="V87" s="94"/>
      <c r="W87" s="94"/>
      <c r="X87" s="94"/>
      <c r="Y87" s="94"/>
    </row>
    <row r="88" ht="15.75" customHeight="1">
      <c r="A88" s="94"/>
      <c r="B88" s="94"/>
      <c r="C88" s="357" t="s">
        <v>999</v>
      </c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353"/>
      <c r="P88" s="353"/>
      <c r="Q88" s="353"/>
      <c r="R88" s="94"/>
      <c r="S88" s="94"/>
      <c r="T88" s="94"/>
      <c r="U88" s="94"/>
      <c r="V88" s="94"/>
      <c r="W88" s="94"/>
      <c r="X88" s="94"/>
      <c r="Y88" s="94"/>
    </row>
    <row r="89" ht="3.75" customHeight="1">
      <c r="A89" s="94"/>
      <c r="B89" s="94"/>
      <c r="C89" s="98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353"/>
      <c r="P89" s="353"/>
      <c r="Q89" s="353"/>
      <c r="R89" s="94"/>
      <c r="S89" s="94"/>
      <c r="T89" s="94"/>
      <c r="U89" s="94"/>
      <c r="V89" s="94"/>
      <c r="W89" s="94"/>
      <c r="X89" s="94"/>
      <c r="Y89" s="94"/>
    </row>
    <row r="90" ht="15.75" customHeight="1">
      <c r="A90" s="94"/>
      <c r="B90" s="94"/>
      <c r="C90" s="413" t="s">
        <v>34</v>
      </c>
      <c r="D90" s="414" t="s">
        <v>957</v>
      </c>
      <c r="E90" s="415"/>
      <c r="F90" s="416" t="s">
        <v>958</v>
      </c>
      <c r="G90" s="417" t="s">
        <v>959</v>
      </c>
      <c r="H90" s="415"/>
      <c r="I90" s="418" t="s">
        <v>960</v>
      </c>
      <c r="J90" s="415"/>
      <c r="K90" s="419"/>
      <c r="L90" s="420" t="s">
        <v>961</v>
      </c>
      <c r="M90" s="94"/>
      <c r="N90" s="94"/>
      <c r="O90" s="353"/>
      <c r="P90" s="353"/>
      <c r="Q90" s="353"/>
      <c r="R90" s="94"/>
      <c r="S90" s="94"/>
      <c r="T90" s="94"/>
      <c r="U90" s="94"/>
      <c r="V90" s="94"/>
      <c r="W90" s="94"/>
      <c r="X90" s="94"/>
      <c r="Y90" s="94"/>
    </row>
    <row r="91" ht="15.75" customHeight="1">
      <c r="A91" s="94"/>
      <c r="B91" s="94"/>
      <c r="C91" s="673"/>
      <c r="D91" s="422"/>
      <c r="F91" s="422"/>
      <c r="G91" s="422"/>
      <c r="I91" s="423"/>
      <c r="K91" s="422"/>
      <c r="L91" s="428"/>
      <c r="M91" s="94"/>
      <c r="N91" s="94"/>
      <c r="O91" s="353"/>
      <c r="P91" s="353"/>
      <c r="Q91" s="353"/>
      <c r="R91" s="94"/>
      <c r="S91" s="94"/>
      <c r="T91" s="94"/>
      <c r="U91" s="94"/>
      <c r="V91" s="94"/>
      <c r="W91" s="94"/>
      <c r="X91" s="94"/>
      <c r="Y91" s="94"/>
    </row>
    <row r="92" ht="15.75" customHeight="1">
      <c r="A92" s="94"/>
      <c r="B92" s="94"/>
      <c r="C92" s="425"/>
      <c r="D92" s="423"/>
      <c r="F92" s="422"/>
      <c r="G92" s="423"/>
      <c r="I92" s="423"/>
      <c r="K92" s="422"/>
      <c r="L92" s="428"/>
      <c r="M92" s="94"/>
      <c r="N92" s="94"/>
      <c r="O92" s="353"/>
      <c r="P92" s="353"/>
      <c r="Q92" s="353"/>
      <c r="R92" s="94"/>
      <c r="S92" s="94"/>
      <c r="T92" s="94"/>
      <c r="U92" s="94"/>
      <c r="V92" s="94"/>
      <c r="W92" s="94"/>
      <c r="X92" s="94"/>
      <c r="Y92" s="94"/>
    </row>
    <row r="93" ht="15.75" customHeight="1">
      <c r="A93" s="94"/>
      <c r="B93" s="94"/>
      <c r="C93" s="425"/>
      <c r="D93" s="423"/>
      <c r="F93" s="426"/>
      <c r="G93" s="670"/>
      <c r="I93" s="423"/>
      <c r="K93" s="426"/>
      <c r="L93" s="428"/>
      <c r="M93" s="94"/>
      <c r="N93" s="94"/>
      <c r="O93" s="353"/>
      <c r="P93" s="353"/>
      <c r="Q93" s="353"/>
      <c r="R93" s="94"/>
      <c r="S93" s="94"/>
      <c r="T93" s="94"/>
      <c r="U93" s="94"/>
      <c r="V93" s="94"/>
      <c r="W93" s="94"/>
      <c r="X93" s="94"/>
      <c r="Y93" s="94"/>
    </row>
    <row r="94" ht="15.75" customHeight="1">
      <c r="A94" s="94"/>
      <c r="B94" s="94"/>
      <c r="C94" s="427"/>
      <c r="D94" s="423"/>
      <c r="F94" s="128"/>
      <c r="G94" s="671"/>
      <c r="I94" s="423"/>
      <c r="K94" s="94"/>
      <c r="L94" s="437"/>
      <c r="M94" s="94"/>
      <c r="N94" s="94"/>
      <c r="O94" s="353"/>
      <c r="P94" s="353"/>
      <c r="Q94" s="353"/>
      <c r="R94" s="94"/>
      <c r="S94" s="94"/>
      <c r="T94" s="94"/>
      <c r="U94" s="94"/>
      <c r="V94" s="94"/>
      <c r="W94" s="94"/>
      <c r="X94" s="94"/>
      <c r="Y94" s="94"/>
    </row>
    <row r="95" ht="15.75" customHeight="1">
      <c r="A95" s="94"/>
      <c r="B95" s="94"/>
      <c r="C95" s="429" t="s">
        <v>870</v>
      </c>
      <c r="D95" s="430"/>
      <c r="E95" s="430"/>
      <c r="F95" s="431"/>
      <c r="G95" s="430"/>
      <c r="H95" s="430"/>
      <c r="I95" s="430"/>
      <c r="J95" s="430"/>
      <c r="K95" s="432" t="s">
        <v>42</v>
      </c>
      <c r="L95" s="433">
        <f>SUM(L89:L94)</f>
        <v>0</v>
      </c>
      <c r="M95" s="94"/>
      <c r="N95" s="569"/>
      <c r="O95" s="568"/>
      <c r="P95" s="568"/>
      <c r="Q95" s="568"/>
      <c r="R95" s="569"/>
      <c r="S95" s="569"/>
      <c r="T95" s="569"/>
      <c r="U95" s="569"/>
      <c r="V95" s="569"/>
      <c r="W95" s="94"/>
      <c r="X95" s="94"/>
      <c r="Y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353"/>
      <c r="P96" s="353"/>
      <c r="Q96" s="353"/>
      <c r="R96" s="94"/>
      <c r="S96" s="94"/>
      <c r="T96" s="94"/>
      <c r="U96" s="94"/>
      <c r="V96" s="94"/>
      <c r="W96" s="94"/>
      <c r="X96" s="94"/>
      <c r="Y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353"/>
      <c r="P97" s="353"/>
      <c r="Q97" s="353"/>
      <c r="R97" s="94"/>
      <c r="S97" s="94"/>
      <c r="T97" s="94"/>
      <c r="U97" s="94"/>
      <c r="V97" s="94"/>
      <c r="W97" s="94"/>
      <c r="X97" s="94"/>
      <c r="Y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353"/>
      <c r="P98" s="353"/>
      <c r="Q98" s="353"/>
      <c r="R98" s="94"/>
      <c r="S98" s="94"/>
      <c r="T98" s="94"/>
      <c r="U98" s="94"/>
      <c r="V98" s="94"/>
      <c r="W98" s="94"/>
      <c r="X98" s="94"/>
      <c r="Y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353"/>
      <c r="P99" s="353"/>
      <c r="Q99" s="353"/>
      <c r="R99" s="94"/>
      <c r="S99" s="94"/>
      <c r="T99" s="94"/>
      <c r="U99" s="94"/>
      <c r="V99" s="94"/>
      <c r="W99" s="94"/>
      <c r="X99" s="94"/>
      <c r="Y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353"/>
      <c r="P100" s="353"/>
      <c r="Q100" s="353"/>
      <c r="R100" s="94"/>
      <c r="S100" s="94"/>
      <c r="T100" s="94"/>
      <c r="U100" s="94"/>
      <c r="V100" s="94"/>
      <c r="W100" s="94"/>
      <c r="X100" s="94"/>
      <c r="Y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353"/>
      <c r="P101" s="353"/>
      <c r="Q101" s="353"/>
      <c r="R101" s="94"/>
      <c r="S101" s="94"/>
      <c r="T101" s="94"/>
      <c r="U101" s="94"/>
      <c r="V101" s="94"/>
      <c r="W101" s="94"/>
      <c r="X101" s="94"/>
      <c r="Y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353"/>
      <c r="P102" s="353"/>
      <c r="Q102" s="353"/>
      <c r="R102" s="94"/>
      <c r="S102" s="94"/>
      <c r="T102" s="94"/>
      <c r="U102" s="94"/>
      <c r="V102" s="94"/>
      <c r="W102" s="94"/>
      <c r="X102" s="94"/>
      <c r="Y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353"/>
      <c r="P103" s="353"/>
      <c r="Q103" s="353"/>
      <c r="R103" s="94"/>
      <c r="S103" s="94"/>
      <c r="T103" s="94"/>
      <c r="U103" s="94"/>
      <c r="V103" s="94"/>
      <c r="W103" s="94"/>
      <c r="X103" s="94"/>
      <c r="Y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353"/>
      <c r="P104" s="353"/>
      <c r="Q104" s="353"/>
      <c r="R104" s="94"/>
      <c r="S104" s="94"/>
      <c r="T104" s="94"/>
      <c r="U104" s="94"/>
      <c r="V104" s="94"/>
      <c r="W104" s="94"/>
      <c r="X104" s="94"/>
      <c r="Y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353"/>
      <c r="P105" s="353"/>
      <c r="Q105" s="353"/>
      <c r="R105" s="94"/>
      <c r="S105" s="94"/>
      <c r="T105" s="94"/>
      <c r="U105" s="94"/>
      <c r="V105" s="94"/>
      <c r="W105" s="94"/>
      <c r="X105" s="94"/>
      <c r="Y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353"/>
      <c r="P106" s="353"/>
      <c r="Q106" s="353"/>
      <c r="R106" s="94"/>
      <c r="S106" s="94"/>
      <c r="T106" s="94"/>
      <c r="U106" s="94"/>
      <c r="V106" s="94"/>
      <c r="W106" s="94"/>
      <c r="X106" s="94"/>
      <c r="Y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353"/>
      <c r="P107" s="353"/>
      <c r="Q107" s="353"/>
      <c r="R107" s="94"/>
      <c r="S107" s="94"/>
      <c r="T107" s="94"/>
      <c r="U107" s="94"/>
      <c r="V107" s="94"/>
      <c r="W107" s="94"/>
      <c r="X107" s="94"/>
      <c r="Y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353"/>
      <c r="P108" s="353"/>
      <c r="Q108" s="353"/>
      <c r="R108" s="94"/>
      <c r="S108" s="94"/>
      <c r="T108" s="94"/>
      <c r="U108" s="94"/>
      <c r="V108" s="94"/>
      <c r="W108" s="94"/>
      <c r="X108" s="94"/>
      <c r="Y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353"/>
      <c r="P109" s="353"/>
      <c r="Q109" s="353"/>
      <c r="R109" s="94"/>
      <c r="S109" s="94"/>
      <c r="T109" s="94"/>
      <c r="U109" s="94"/>
      <c r="V109" s="94"/>
      <c r="W109" s="94"/>
      <c r="X109" s="94"/>
      <c r="Y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353"/>
      <c r="P110" s="353"/>
      <c r="Q110" s="353"/>
      <c r="R110" s="94"/>
      <c r="S110" s="94"/>
      <c r="T110" s="94"/>
      <c r="U110" s="94"/>
      <c r="V110" s="94"/>
      <c r="W110" s="94"/>
      <c r="X110" s="94"/>
      <c r="Y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353"/>
      <c r="P111" s="353"/>
      <c r="Q111" s="353"/>
      <c r="R111" s="94"/>
      <c r="S111" s="94"/>
      <c r="T111" s="94"/>
      <c r="U111" s="94"/>
      <c r="V111" s="94"/>
      <c r="W111" s="94"/>
      <c r="X111" s="94"/>
      <c r="Y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353"/>
      <c r="P112" s="353"/>
      <c r="Q112" s="353"/>
      <c r="R112" s="94"/>
      <c r="S112" s="94"/>
      <c r="T112" s="94"/>
      <c r="U112" s="94"/>
      <c r="V112" s="94"/>
      <c r="W112" s="94"/>
      <c r="X112" s="94"/>
      <c r="Y112" s="94"/>
    </row>
    <row r="113" ht="15.75" customHeight="1">
      <c r="A113" s="94"/>
      <c r="B113" s="94"/>
      <c r="C113" s="94"/>
      <c r="D113" s="569"/>
      <c r="E113" s="569"/>
      <c r="F113" s="570"/>
      <c r="G113" s="570"/>
      <c r="H113" s="570"/>
      <c r="I113" s="570"/>
      <c r="J113" s="569"/>
      <c r="K113" s="569"/>
      <c r="L113" s="569"/>
      <c r="M113" s="94"/>
      <c r="N113" s="94"/>
      <c r="O113" s="353"/>
      <c r="P113" s="353"/>
      <c r="Q113" s="353"/>
      <c r="R113" s="94"/>
      <c r="S113" s="94"/>
      <c r="T113" s="94"/>
      <c r="U113" s="94"/>
      <c r="V113" s="94"/>
      <c r="W113" s="94"/>
      <c r="X113" s="94"/>
      <c r="Y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353"/>
      <c r="P114" s="353"/>
      <c r="Q114" s="353"/>
      <c r="R114" s="94"/>
      <c r="S114" s="94"/>
      <c r="T114" s="94"/>
      <c r="U114" s="94"/>
      <c r="V114" s="94"/>
      <c r="W114" s="94"/>
      <c r="X114" s="94"/>
      <c r="Y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353"/>
      <c r="P115" s="353"/>
      <c r="Q115" s="353"/>
      <c r="R115" s="94"/>
      <c r="S115" s="94"/>
      <c r="T115" s="94"/>
      <c r="U115" s="94"/>
      <c r="V115" s="94"/>
      <c r="W115" s="94"/>
      <c r="X115" s="94"/>
      <c r="Y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353"/>
      <c r="P116" s="353"/>
      <c r="Q116" s="353"/>
      <c r="R116" s="94"/>
      <c r="S116" s="94"/>
      <c r="T116" s="94"/>
      <c r="U116" s="94"/>
      <c r="V116" s="94"/>
      <c r="W116" s="94"/>
      <c r="X116" s="94"/>
      <c r="Y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353"/>
      <c r="P117" s="353"/>
      <c r="Q117" s="353"/>
      <c r="R117" s="94"/>
      <c r="S117" s="94"/>
      <c r="T117" s="94"/>
      <c r="U117" s="94"/>
      <c r="V117" s="94"/>
      <c r="W117" s="94"/>
      <c r="X117" s="94"/>
      <c r="Y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353"/>
      <c r="P118" s="353"/>
      <c r="Q118" s="353"/>
      <c r="R118" s="94"/>
      <c r="S118" s="94"/>
      <c r="T118" s="94"/>
      <c r="U118" s="94"/>
      <c r="V118" s="94"/>
      <c r="W118" s="94"/>
      <c r="X118" s="94"/>
      <c r="Y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353"/>
      <c r="P119" s="353"/>
      <c r="Q119" s="353"/>
      <c r="R119" s="94"/>
      <c r="S119" s="94"/>
      <c r="T119" s="94"/>
      <c r="U119" s="94"/>
      <c r="V119" s="94"/>
      <c r="W119" s="94"/>
      <c r="X119" s="94"/>
      <c r="Y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353"/>
      <c r="P120" s="353"/>
      <c r="Q120" s="353"/>
      <c r="R120" s="94"/>
      <c r="S120" s="94"/>
      <c r="T120" s="94"/>
      <c r="U120" s="94"/>
      <c r="V120" s="94"/>
      <c r="W120" s="94"/>
      <c r="X120" s="94"/>
      <c r="Y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353"/>
      <c r="P121" s="353"/>
      <c r="Q121" s="353"/>
      <c r="R121" s="94"/>
      <c r="S121" s="94"/>
      <c r="T121" s="94"/>
      <c r="U121" s="94"/>
      <c r="V121" s="94"/>
      <c r="W121" s="94"/>
      <c r="X121" s="94"/>
      <c r="Y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353"/>
      <c r="P122" s="353"/>
      <c r="Q122" s="353"/>
      <c r="R122" s="94"/>
      <c r="S122" s="94"/>
      <c r="T122" s="94"/>
      <c r="U122" s="94"/>
      <c r="V122" s="94"/>
      <c r="W122" s="94"/>
      <c r="X122" s="94"/>
      <c r="Y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353"/>
      <c r="P123" s="353"/>
      <c r="Q123" s="353"/>
      <c r="R123" s="94"/>
      <c r="S123" s="94"/>
      <c r="T123" s="94"/>
      <c r="U123" s="94"/>
      <c r="V123" s="94"/>
      <c r="W123" s="94"/>
      <c r="X123" s="94"/>
      <c r="Y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353"/>
      <c r="P124" s="353"/>
      <c r="Q124" s="353"/>
      <c r="R124" s="94"/>
      <c r="S124" s="94"/>
      <c r="T124" s="94"/>
      <c r="U124" s="94"/>
      <c r="V124" s="94"/>
      <c r="W124" s="94"/>
      <c r="X124" s="94"/>
      <c r="Y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353"/>
      <c r="P125" s="353"/>
      <c r="Q125" s="353"/>
      <c r="R125" s="94"/>
      <c r="S125" s="94"/>
      <c r="T125" s="94"/>
      <c r="U125" s="94"/>
      <c r="V125" s="94"/>
      <c r="W125" s="94"/>
      <c r="X125" s="94"/>
      <c r="Y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353"/>
      <c r="P126" s="353"/>
      <c r="Q126" s="353"/>
      <c r="R126" s="94"/>
      <c r="S126" s="94"/>
      <c r="T126" s="94"/>
      <c r="U126" s="94"/>
      <c r="V126" s="94"/>
      <c r="W126" s="94"/>
      <c r="X126" s="94"/>
      <c r="Y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353"/>
      <c r="P127" s="353"/>
      <c r="Q127" s="353"/>
      <c r="R127" s="94"/>
      <c r="S127" s="94"/>
      <c r="T127" s="94"/>
      <c r="U127" s="94"/>
      <c r="V127" s="94"/>
      <c r="W127" s="94"/>
      <c r="X127" s="94"/>
      <c r="Y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353"/>
      <c r="P128" s="353"/>
      <c r="Q128" s="353"/>
      <c r="R128" s="94"/>
      <c r="S128" s="94"/>
      <c r="T128" s="94"/>
      <c r="U128" s="94"/>
      <c r="V128" s="94"/>
      <c r="W128" s="94"/>
      <c r="X128" s="94"/>
      <c r="Y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353"/>
      <c r="P129" s="353"/>
      <c r="Q129" s="353"/>
      <c r="R129" s="94"/>
      <c r="S129" s="94"/>
      <c r="T129" s="94"/>
      <c r="U129" s="94"/>
      <c r="V129" s="94"/>
      <c r="W129" s="94"/>
      <c r="X129" s="94"/>
      <c r="Y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353"/>
      <c r="P130" s="353"/>
      <c r="Q130" s="353"/>
      <c r="R130" s="94"/>
      <c r="S130" s="94"/>
      <c r="T130" s="94"/>
      <c r="U130" s="94"/>
      <c r="V130" s="94"/>
      <c r="W130" s="94"/>
      <c r="X130" s="94"/>
      <c r="Y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353"/>
      <c r="P131" s="353"/>
      <c r="Q131" s="353"/>
      <c r="R131" s="94"/>
      <c r="S131" s="94"/>
      <c r="T131" s="94"/>
      <c r="U131" s="94"/>
      <c r="V131" s="94"/>
      <c r="W131" s="94"/>
      <c r="X131" s="94"/>
      <c r="Y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353"/>
      <c r="P132" s="353"/>
      <c r="Q132" s="353"/>
      <c r="R132" s="94"/>
      <c r="S132" s="94"/>
      <c r="T132" s="94"/>
      <c r="U132" s="94"/>
      <c r="V132" s="94"/>
      <c r="W132" s="94"/>
      <c r="X132" s="94"/>
      <c r="Y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353"/>
      <c r="P133" s="353"/>
      <c r="Q133" s="353"/>
      <c r="R133" s="94"/>
      <c r="S133" s="94"/>
      <c r="T133" s="94"/>
      <c r="U133" s="94"/>
      <c r="V133" s="94"/>
      <c r="W133" s="94"/>
      <c r="X133" s="94"/>
      <c r="Y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353"/>
      <c r="P134" s="353"/>
      <c r="Q134" s="353"/>
      <c r="R134" s="94"/>
      <c r="S134" s="94"/>
      <c r="T134" s="94"/>
      <c r="U134" s="94"/>
      <c r="V134" s="94"/>
      <c r="W134" s="94"/>
      <c r="X134" s="94"/>
      <c r="Y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353"/>
      <c r="P135" s="353"/>
      <c r="Q135" s="353"/>
      <c r="R135" s="94"/>
      <c r="S135" s="94"/>
      <c r="T135" s="94"/>
      <c r="U135" s="94"/>
      <c r="V135" s="94"/>
      <c r="W135" s="94"/>
      <c r="X135" s="94"/>
      <c r="Y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353"/>
      <c r="P136" s="353"/>
      <c r="Q136" s="353"/>
      <c r="R136" s="94"/>
      <c r="S136" s="94"/>
      <c r="T136" s="94"/>
      <c r="U136" s="94"/>
      <c r="V136" s="94"/>
      <c r="W136" s="94"/>
      <c r="X136" s="94"/>
      <c r="Y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353"/>
      <c r="P137" s="353"/>
      <c r="Q137" s="353"/>
      <c r="R137" s="94"/>
      <c r="S137" s="94"/>
      <c r="T137" s="94"/>
      <c r="U137" s="94"/>
      <c r="V137" s="94"/>
      <c r="W137" s="94"/>
      <c r="X137" s="94"/>
      <c r="Y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353"/>
      <c r="P138" s="353"/>
      <c r="Q138" s="353"/>
      <c r="R138" s="94"/>
      <c r="S138" s="94"/>
      <c r="T138" s="94"/>
      <c r="U138" s="94"/>
      <c r="V138" s="94"/>
      <c r="W138" s="94"/>
      <c r="X138" s="94"/>
      <c r="Y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353"/>
      <c r="P139" s="353"/>
      <c r="Q139" s="353"/>
      <c r="R139" s="94"/>
      <c r="S139" s="94"/>
      <c r="T139" s="94"/>
      <c r="U139" s="94"/>
      <c r="V139" s="94"/>
      <c r="W139" s="94"/>
      <c r="X139" s="94"/>
      <c r="Y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353"/>
      <c r="P140" s="353"/>
      <c r="Q140" s="353"/>
      <c r="R140" s="94"/>
      <c r="S140" s="94"/>
      <c r="T140" s="94"/>
      <c r="U140" s="94"/>
      <c r="V140" s="94"/>
      <c r="W140" s="94"/>
      <c r="X140" s="94"/>
      <c r="Y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353"/>
      <c r="P141" s="353"/>
      <c r="Q141" s="353"/>
      <c r="R141" s="94"/>
      <c r="S141" s="94"/>
      <c r="T141" s="94"/>
      <c r="U141" s="94"/>
      <c r="V141" s="94"/>
      <c r="W141" s="94"/>
      <c r="X141" s="94"/>
      <c r="Y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353"/>
      <c r="P142" s="353"/>
      <c r="Q142" s="353"/>
      <c r="R142" s="94"/>
      <c r="S142" s="94"/>
      <c r="T142" s="94"/>
      <c r="U142" s="94"/>
      <c r="V142" s="94"/>
      <c r="W142" s="94"/>
      <c r="X142" s="94"/>
      <c r="Y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353"/>
      <c r="P143" s="353"/>
      <c r="Q143" s="353"/>
      <c r="R143" s="94"/>
      <c r="S143" s="94"/>
      <c r="T143" s="94"/>
      <c r="U143" s="94"/>
      <c r="V143" s="94"/>
      <c r="W143" s="94"/>
      <c r="X143" s="94"/>
      <c r="Y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353"/>
      <c r="P144" s="353"/>
      <c r="Q144" s="353"/>
      <c r="R144" s="94"/>
      <c r="S144" s="94"/>
      <c r="T144" s="94"/>
      <c r="U144" s="94"/>
      <c r="V144" s="94"/>
      <c r="W144" s="94"/>
      <c r="X144" s="94"/>
      <c r="Y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353"/>
      <c r="P145" s="353"/>
      <c r="Q145" s="353"/>
      <c r="R145" s="94"/>
      <c r="S145" s="94"/>
      <c r="T145" s="94"/>
      <c r="U145" s="94"/>
      <c r="V145" s="94"/>
      <c r="W145" s="94"/>
      <c r="X145" s="94"/>
      <c r="Y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353"/>
      <c r="P146" s="353"/>
      <c r="Q146" s="353"/>
      <c r="R146" s="94"/>
      <c r="S146" s="94"/>
      <c r="T146" s="94"/>
      <c r="U146" s="94"/>
      <c r="V146" s="94"/>
      <c r="W146" s="94"/>
      <c r="X146" s="94"/>
      <c r="Y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353"/>
      <c r="P147" s="353"/>
      <c r="Q147" s="353"/>
      <c r="R147" s="94"/>
      <c r="S147" s="94"/>
      <c r="T147" s="94"/>
      <c r="U147" s="94"/>
      <c r="V147" s="94"/>
      <c r="W147" s="94"/>
      <c r="X147" s="94"/>
      <c r="Y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353"/>
      <c r="P148" s="353"/>
      <c r="Q148" s="353"/>
      <c r="R148" s="94"/>
      <c r="S148" s="94"/>
      <c r="T148" s="94"/>
      <c r="U148" s="94"/>
      <c r="V148" s="94"/>
      <c r="W148" s="94"/>
      <c r="X148" s="94"/>
      <c r="Y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353"/>
      <c r="P149" s="353"/>
      <c r="Q149" s="353"/>
      <c r="R149" s="94"/>
      <c r="S149" s="94"/>
      <c r="T149" s="94"/>
      <c r="U149" s="94"/>
      <c r="V149" s="94"/>
      <c r="W149" s="94"/>
      <c r="X149" s="94"/>
      <c r="Y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353"/>
      <c r="P150" s="353"/>
      <c r="Q150" s="353"/>
      <c r="R150" s="94"/>
      <c r="S150" s="94"/>
      <c r="T150" s="94"/>
      <c r="U150" s="94"/>
      <c r="V150" s="94"/>
      <c r="W150" s="94"/>
      <c r="X150" s="94"/>
      <c r="Y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353"/>
      <c r="P151" s="353"/>
      <c r="Q151" s="353"/>
      <c r="R151" s="94"/>
      <c r="S151" s="94"/>
      <c r="T151" s="94"/>
      <c r="U151" s="94"/>
      <c r="V151" s="94"/>
      <c r="W151" s="94"/>
      <c r="X151" s="94"/>
      <c r="Y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353"/>
      <c r="P152" s="353"/>
      <c r="Q152" s="353"/>
      <c r="R152" s="94"/>
      <c r="S152" s="94"/>
      <c r="T152" s="94"/>
      <c r="U152" s="94"/>
      <c r="V152" s="94"/>
      <c r="W152" s="94"/>
      <c r="X152" s="94"/>
      <c r="Y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353"/>
      <c r="P153" s="353"/>
      <c r="Q153" s="353"/>
      <c r="R153" s="94"/>
      <c r="S153" s="94"/>
      <c r="T153" s="94"/>
      <c r="U153" s="94"/>
      <c r="V153" s="94"/>
      <c r="W153" s="94"/>
      <c r="X153" s="94"/>
      <c r="Y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353"/>
      <c r="P154" s="353"/>
      <c r="Q154" s="353"/>
      <c r="R154" s="94"/>
      <c r="S154" s="94"/>
      <c r="T154" s="94"/>
      <c r="U154" s="94"/>
      <c r="V154" s="94"/>
      <c r="W154" s="94"/>
      <c r="X154" s="94"/>
      <c r="Y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353"/>
      <c r="P155" s="353"/>
      <c r="Q155" s="353"/>
      <c r="R155" s="94"/>
      <c r="S155" s="94"/>
      <c r="T155" s="94"/>
      <c r="U155" s="94"/>
      <c r="V155" s="94"/>
      <c r="W155" s="94"/>
      <c r="X155" s="94"/>
      <c r="Y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353"/>
      <c r="P156" s="353"/>
      <c r="Q156" s="353"/>
      <c r="R156" s="94"/>
      <c r="S156" s="94"/>
      <c r="T156" s="94"/>
      <c r="U156" s="94"/>
      <c r="V156" s="94"/>
      <c r="W156" s="94"/>
      <c r="X156" s="94"/>
      <c r="Y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353"/>
      <c r="P157" s="353"/>
      <c r="Q157" s="353"/>
      <c r="R157" s="94"/>
      <c r="S157" s="94"/>
      <c r="T157" s="94"/>
      <c r="U157" s="94"/>
      <c r="V157" s="94"/>
      <c r="W157" s="94"/>
      <c r="X157" s="94"/>
      <c r="Y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353"/>
      <c r="P158" s="353"/>
      <c r="Q158" s="353"/>
      <c r="R158" s="94"/>
      <c r="S158" s="94"/>
      <c r="T158" s="94"/>
      <c r="U158" s="94"/>
      <c r="V158" s="94"/>
      <c r="W158" s="94"/>
      <c r="X158" s="94"/>
      <c r="Y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353"/>
      <c r="P159" s="353"/>
      <c r="Q159" s="353"/>
      <c r="R159" s="94"/>
      <c r="S159" s="94"/>
      <c r="T159" s="94"/>
      <c r="U159" s="94"/>
      <c r="V159" s="94"/>
      <c r="W159" s="94"/>
      <c r="X159" s="94"/>
      <c r="Y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353"/>
      <c r="P160" s="353"/>
      <c r="Q160" s="353"/>
      <c r="R160" s="94"/>
      <c r="S160" s="94"/>
      <c r="T160" s="94"/>
      <c r="U160" s="94"/>
      <c r="V160" s="94"/>
      <c r="W160" s="94"/>
      <c r="X160" s="94"/>
      <c r="Y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353"/>
      <c r="P161" s="353"/>
      <c r="Q161" s="353"/>
      <c r="R161" s="94"/>
      <c r="S161" s="94"/>
      <c r="T161" s="94"/>
      <c r="U161" s="94"/>
      <c r="V161" s="94"/>
      <c r="W161" s="94"/>
      <c r="X161" s="94"/>
      <c r="Y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353"/>
      <c r="P162" s="353"/>
      <c r="Q162" s="353"/>
      <c r="R162" s="94"/>
      <c r="S162" s="94"/>
      <c r="T162" s="94"/>
      <c r="U162" s="94"/>
      <c r="V162" s="94"/>
      <c r="W162" s="94"/>
      <c r="X162" s="94"/>
      <c r="Y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353"/>
      <c r="P163" s="353"/>
      <c r="Q163" s="353"/>
      <c r="R163" s="94"/>
      <c r="S163" s="94"/>
      <c r="T163" s="94"/>
      <c r="U163" s="94"/>
      <c r="V163" s="94"/>
      <c r="W163" s="94"/>
      <c r="X163" s="94"/>
      <c r="Y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353"/>
      <c r="P164" s="353"/>
      <c r="Q164" s="353"/>
      <c r="R164" s="94"/>
      <c r="S164" s="94"/>
      <c r="T164" s="94"/>
      <c r="U164" s="94"/>
      <c r="V164" s="94"/>
      <c r="W164" s="94"/>
      <c r="X164" s="94"/>
      <c r="Y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353"/>
      <c r="P165" s="353"/>
      <c r="Q165" s="353"/>
      <c r="R165" s="94"/>
      <c r="S165" s="94"/>
      <c r="T165" s="94"/>
      <c r="U165" s="94"/>
      <c r="V165" s="94"/>
      <c r="W165" s="94"/>
      <c r="X165" s="94"/>
      <c r="Y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353"/>
      <c r="P166" s="353"/>
      <c r="Q166" s="353"/>
      <c r="R166" s="94"/>
      <c r="S166" s="94"/>
      <c r="T166" s="94"/>
      <c r="U166" s="94"/>
      <c r="V166" s="94"/>
      <c r="W166" s="94"/>
      <c r="X166" s="94"/>
      <c r="Y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353"/>
      <c r="P167" s="353"/>
      <c r="Q167" s="353"/>
      <c r="R167" s="94"/>
      <c r="S167" s="94"/>
      <c r="T167" s="94"/>
      <c r="U167" s="94"/>
      <c r="V167" s="94"/>
      <c r="W167" s="94"/>
      <c r="X167" s="94"/>
      <c r="Y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353"/>
      <c r="P168" s="353"/>
      <c r="Q168" s="353"/>
      <c r="R168" s="94"/>
      <c r="S168" s="94"/>
      <c r="T168" s="94"/>
      <c r="U168" s="94"/>
      <c r="V168" s="94"/>
      <c r="W168" s="94"/>
      <c r="X168" s="94"/>
      <c r="Y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353"/>
      <c r="P169" s="353"/>
      <c r="Q169" s="353"/>
      <c r="R169" s="94"/>
      <c r="S169" s="94"/>
      <c r="T169" s="94"/>
      <c r="U169" s="94"/>
      <c r="V169" s="94"/>
      <c r="W169" s="94"/>
      <c r="X169" s="94"/>
      <c r="Y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353"/>
      <c r="P170" s="353"/>
      <c r="Q170" s="353"/>
      <c r="R170" s="94"/>
      <c r="S170" s="94"/>
      <c r="T170" s="94"/>
      <c r="U170" s="94"/>
      <c r="V170" s="94"/>
      <c r="W170" s="94"/>
      <c r="X170" s="94"/>
      <c r="Y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353"/>
      <c r="P171" s="353"/>
      <c r="Q171" s="353"/>
      <c r="R171" s="94"/>
      <c r="S171" s="94"/>
      <c r="T171" s="94"/>
      <c r="U171" s="94"/>
      <c r="V171" s="94"/>
      <c r="W171" s="94"/>
      <c r="X171" s="94"/>
      <c r="Y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353"/>
      <c r="P172" s="353"/>
      <c r="Q172" s="353"/>
      <c r="R172" s="94"/>
      <c r="S172" s="94"/>
      <c r="T172" s="94"/>
      <c r="U172" s="94"/>
      <c r="V172" s="94"/>
      <c r="W172" s="94"/>
      <c r="X172" s="94"/>
      <c r="Y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353"/>
      <c r="P173" s="353"/>
      <c r="Q173" s="353"/>
      <c r="R173" s="94"/>
      <c r="S173" s="94"/>
      <c r="T173" s="94"/>
      <c r="U173" s="94"/>
      <c r="V173" s="94"/>
      <c r="W173" s="94"/>
      <c r="X173" s="94"/>
      <c r="Y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353"/>
      <c r="P174" s="353"/>
      <c r="Q174" s="353"/>
      <c r="R174" s="94"/>
      <c r="S174" s="94"/>
      <c r="T174" s="94"/>
      <c r="U174" s="94"/>
      <c r="V174" s="94"/>
      <c r="W174" s="94"/>
      <c r="X174" s="94"/>
      <c r="Y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353"/>
      <c r="P175" s="353"/>
      <c r="Q175" s="353"/>
      <c r="R175" s="94"/>
      <c r="S175" s="94"/>
      <c r="T175" s="94"/>
      <c r="U175" s="94"/>
      <c r="V175" s="94"/>
      <c r="W175" s="94"/>
      <c r="X175" s="94"/>
      <c r="Y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353"/>
      <c r="P176" s="353"/>
      <c r="Q176" s="353"/>
      <c r="R176" s="94"/>
      <c r="S176" s="94"/>
      <c r="T176" s="94"/>
      <c r="U176" s="94"/>
      <c r="V176" s="94"/>
      <c r="W176" s="94"/>
      <c r="X176" s="94"/>
      <c r="Y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353"/>
      <c r="P177" s="353"/>
      <c r="Q177" s="353"/>
      <c r="R177" s="94"/>
      <c r="S177" s="94"/>
      <c r="T177" s="94"/>
      <c r="U177" s="94"/>
      <c r="V177" s="94"/>
      <c r="W177" s="94"/>
      <c r="X177" s="94"/>
      <c r="Y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353"/>
      <c r="P178" s="353"/>
      <c r="Q178" s="353"/>
      <c r="R178" s="94"/>
      <c r="S178" s="94"/>
      <c r="T178" s="94"/>
      <c r="U178" s="94"/>
      <c r="V178" s="94"/>
      <c r="W178" s="94"/>
      <c r="X178" s="94"/>
      <c r="Y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353"/>
      <c r="P179" s="353"/>
      <c r="Q179" s="353"/>
      <c r="R179" s="94"/>
      <c r="S179" s="94"/>
      <c r="T179" s="94"/>
      <c r="U179" s="94"/>
      <c r="V179" s="94"/>
      <c r="W179" s="94"/>
      <c r="X179" s="94"/>
      <c r="Y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353"/>
      <c r="P180" s="353"/>
      <c r="Q180" s="353"/>
      <c r="R180" s="94"/>
      <c r="S180" s="94"/>
      <c r="T180" s="94"/>
      <c r="U180" s="94"/>
      <c r="V180" s="94"/>
      <c r="W180" s="94"/>
      <c r="X180" s="94"/>
      <c r="Y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353"/>
      <c r="P181" s="353"/>
      <c r="Q181" s="353"/>
      <c r="R181" s="94"/>
      <c r="S181" s="94"/>
      <c r="T181" s="94"/>
      <c r="U181" s="94"/>
      <c r="V181" s="94"/>
      <c r="W181" s="94"/>
      <c r="X181" s="94"/>
      <c r="Y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353"/>
      <c r="P182" s="353"/>
      <c r="Q182" s="353"/>
      <c r="R182" s="94"/>
      <c r="S182" s="94"/>
      <c r="T182" s="94"/>
      <c r="U182" s="94"/>
      <c r="V182" s="94"/>
      <c r="W182" s="94"/>
      <c r="X182" s="94"/>
      <c r="Y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353"/>
      <c r="P183" s="353"/>
      <c r="Q183" s="353"/>
      <c r="R183" s="94"/>
      <c r="S183" s="94"/>
      <c r="T183" s="94"/>
      <c r="U183" s="94"/>
      <c r="V183" s="94"/>
      <c r="W183" s="94"/>
      <c r="X183" s="94"/>
      <c r="Y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353"/>
      <c r="P184" s="353"/>
      <c r="Q184" s="353"/>
      <c r="R184" s="94"/>
      <c r="S184" s="94"/>
      <c r="T184" s="94"/>
      <c r="U184" s="94"/>
      <c r="V184" s="94"/>
      <c r="W184" s="94"/>
      <c r="X184" s="94"/>
      <c r="Y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353"/>
      <c r="P185" s="353"/>
      <c r="Q185" s="353"/>
      <c r="R185" s="94"/>
      <c r="S185" s="94"/>
      <c r="T185" s="94"/>
      <c r="U185" s="94"/>
      <c r="V185" s="94"/>
      <c r="W185" s="94"/>
      <c r="X185" s="94"/>
      <c r="Y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353"/>
      <c r="P186" s="353"/>
      <c r="Q186" s="353"/>
      <c r="R186" s="94"/>
      <c r="S186" s="94"/>
      <c r="T186" s="94"/>
      <c r="U186" s="94"/>
      <c r="V186" s="94"/>
      <c r="W186" s="94"/>
      <c r="X186" s="94"/>
      <c r="Y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353"/>
      <c r="P187" s="353"/>
      <c r="Q187" s="353"/>
      <c r="R187" s="94"/>
      <c r="S187" s="94"/>
      <c r="T187" s="94"/>
      <c r="U187" s="94"/>
      <c r="V187" s="94"/>
      <c r="W187" s="94"/>
      <c r="X187" s="94"/>
      <c r="Y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353"/>
      <c r="P188" s="353"/>
      <c r="Q188" s="353"/>
      <c r="R188" s="94"/>
      <c r="S188" s="94"/>
      <c r="T188" s="94"/>
      <c r="U188" s="94"/>
      <c r="V188" s="94"/>
      <c r="W188" s="94"/>
      <c r="X188" s="94"/>
      <c r="Y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353"/>
      <c r="P189" s="353"/>
      <c r="Q189" s="353"/>
      <c r="R189" s="94"/>
      <c r="S189" s="94"/>
      <c r="T189" s="94"/>
      <c r="U189" s="94"/>
      <c r="V189" s="94"/>
      <c r="W189" s="94"/>
      <c r="X189" s="94"/>
      <c r="Y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353"/>
      <c r="P190" s="353"/>
      <c r="Q190" s="353"/>
      <c r="R190" s="94"/>
      <c r="S190" s="94"/>
      <c r="T190" s="94"/>
      <c r="U190" s="94"/>
      <c r="V190" s="94"/>
      <c r="W190" s="94"/>
      <c r="X190" s="94"/>
      <c r="Y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353"/>
      <c r="P191" s="353"/>
      <c r="Q191" s="353"/>
      <c r="R191" s="94"/>
      <c r="S191" s="94"/>
      <c r="T191" s="94"/>
      <c r="U191" s="94"/>
      <c r="V191" s="94"/>
      <c r="W191" s="94"/>
      <c r="X191" s="94"/>
      <c r="Y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353"/>
      <c r="P192" s="353"/>
      <c r="Q192" s="353"/>
      <c r="R192" s="94"/>
      <c r="S192" s="94"/>
      <c r="T192" s="94"/>
      <c r="U192" s="94"/>
      <c r="V192" s="94"/>
      <c r="W192" s="94"/>
      <c r="X192" s="94"/>
      <c r="Y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353"/>
      <c r="P193" s="353"/>
      <c r="Q193" s="353"/>
      <c r="R193" s="94"/>
      <c r="S193" s="94"/>
      <c r="T193" s="94"/>
      <c r="U193" s="94"/>
      <c r="V193" s="94"/>
      <c r="W193" s="94"/>
      <c r="X193" s="94"/>
      <c r="Y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353"/>
      <c r="P194" s="353"/>
      <c r="Q194" s="353"/>
      <c r="R194" s="94"/>
      <c r="S194" s="94"/>
      <c r="T194" s="94"/>
      <c r="U194" s="94"/>
      <c r="V194" s="94"/>
      <c r="W194" s="94"/>
      <c r="X194" s="94"/>
      <c r="Y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353"/>
      <c r="P195" s="353"/>
      <c r="Q195" s="353"/>
      <c r="R195" s="94"/>
      <c r="S195" s="94"/>
      <c r="T195" s="94"/>
      <c r="U195" s="94"/>
      <c r="V195" s="94"/>
      <c r="W195" s="94"/>
      <c r="X195" s="94"/>
      <c r="Y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353"/>
      <c r="P196" s="353"/>
      <c r="Q196" s="353"/>
      <c r="R196" s="94"/>
      <c r="S196" s="94"/>
      <c r="T196" s="94"/>
      <c r="U196" s="94"/>
      <c r="V196" s="94"/>
      <c r="W196" s="94"/>
      <c r="X196" s="94"/>
      <c r="Y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353"/>
      <c r="P197" s="353"/>
      <c r="Q197" s="353"/>
      <c r="R197" s="94"/>
      <c r="S197" s="94"/>
      <c r="T197" s="94"/>
      <c r="U197" s="94"/>
      <c r="V197" s="94"/>
      <c r="W197" s="94"/>
      <c r="X197" s="94"/>
      <c r="Y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353"/>
      <c r="P198" s="353"/>
      <c r="Q198" s="353"/>
      <c r="R198" s="94"/>
      <c r="S198" s="94"/>
      <c r="T198" s="94"/>
      <c r="U198" s="94"/>
      <c r="V198" s="94"/>
      <c r="W198" s="94"/>
      <c r="X198" s="94"/>
      <c r="Y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353"/>
      <c r="P199" s="353"/>
      <c r="Q199" s="353"/>
      <c r="R199" s="94"/>
      <c r="S199" s="94"/>
      <c r="T199" s="94"/>
      <c r="U199" s="94"/>
      <c r="V199" s="94"/>
      <c r="W199" s="94"/>
      <c r="X199" s="94"/>
      <c r="Y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353"/>
      <c r="P200" s="353"/>
      <c r="Q200" s="353"/>
      <c r="R200" s="94"/>
      <c r="S200" s="94"/>
      <c r="T200" s="94"/>
      <c r="U200" s="94"/>
      <c r="V200" s="94"/>
      <c r="W200" s="94"/>
      <c r="X200" s="94"/>
      <c r="Y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353"/>
      <c r="P201" s="353"/>
      <c r="Q201" s="353"/>
      <c r="R201" s="94"/>
      <c r="S201" s="94"/>
      <c r="T201" s="94"/>
      <c r="U201" s="94"/>
      <c r="V201" s="94"/>
      <c r="W201" s="94"/>
      <c r="X201" s="94"/>
      <c r="Y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353"/>
      <c r="P202" s="353"/>
      <c r="Q202" s="353"/>
      <c r="R202" s="94"/>
      <c r="S202" s="94"/>
      <c r="T202" s="94"/>
      <c r="U202" s="94"/>
      <c r="V202" s="94"/>
      <c r="W202" s="94"/>
      <c r="X202" s="94"/>
      <c r="Y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353"/>
      <c r="P203" s="353"/>
      <c r="Q203" s="353"/>
      <c r="R203" s="94"/>
      <c r="S203" s="94"/>
      <c r="T203" s="94"/>
      <c r="U203" s="94"/>
      <c r="V203" s="94"/>
      <c r="W203" s="94"/>
      <c r="X203" s="94"/>
      <c r="Y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353"/>
      <c r="P204" s="353"/>
      <c r="Q204" s="353"/>
      <c r="R204" s="94"/>
      <c r="S204" s="94"/>
      <c r="T204" s="94"/>
      <c r="U204" s="94"/>
      <c r="V204" s="94"/>
      <c r="W204" s="94"/>
      <c r="X204" s="94"/>
      <c r="Y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353"/>
      <c r="P205" s="353"/>
      <c r="Q205" s="353"/>
      <c r="R205" s="94"/>
      <c r="S205" s="94"/>
      <c r="T205" s="94"/>
      <c r="U205" s="94"/>
      <c r="V205" s="94"/>
      <c r="W205" s="94"/>
      <c r="X205" s="94"/>
      <c r="Y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353"/>
      <c r="P206" s="353"/>
      <c r="Q206" s="353"/>
      <c r="R206" s="94"/>
      <c r="S206" s="94"/>
      <c r="T206" s="94"/>
      <c r="U206" s="94"/>
      <c r="V206" s="94"/>
      <c r="W206" s="94"/>
      <c r="X206" s="94"/>
      <c r="Y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353"/>
      <c r="P207" s="353"/>
      <c r="Q207" s="353"/>
      <c r="R207" s="94"/>
      <c r="S207" s="94"/>
      <c r="T207" s="94"/>
      <c r="U207" s="94"/>
      <c r="V207" s="94"/>
      <c r="W207" s="94"/>
      <c r="X207" s="94"/>
      <c r="Y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353"/>
      <c r="P208" s="353"/>
      <c r="Q208" s="353"/>
      <c r="R208" s="94"/>
      <c r="S208" s="94"/>
      <c r="T208" s="94"/>
      <c r="U208" s="94"/>
      <c r="V208" s="94"/>
      <c r="W208" s="94"/>
      <c r="X208" s="94"/>
      <c r="Y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353"/>
      <c r="P209" s="353"/>
      <c r="Q209" s="353"/>
      <c r="R209" s="94"/>
      <c r="S209" s="94"/>
      <c r="T209" s="94"/>
      <c r="U209" s="94"/>
      <c r="V209" s="94"/>
      <c r="W209" s="94"/>
      <c r="X209" s="94"/>
      <c r="Y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353"/>
      <c r="P210" s="353"/>
      <c r="Q210" s="353"/>
      <c r="R210" s="94"/>
      <c r="S210" s="94"/>
      <c r="T210" s="94"/>
      <c r="U210" s="94"/>
      <c r="V210" s="94"/>
      <c r="W210" s="94"/>
      <c r="X210" s="94"/>
      <c r="Y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353"/>
      <c r="P211" s="353"/>
      <c r="Q211" s="353"/>
      <c r="R211" s="94"/>
      <c r="S211" s="94"/>
      <c r="T211" s="94"/>
      <c r="U211" s="94"/>
      <c r="V211" s="94"/>
      <c r="W211" s="94"/>
      <c r="X211" s="94"/>
      <c r="Y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353"/>
      <c r="P212" s="353"/>
      <c r="Q212" s="353"/>
      <c r="R212" s="94"/>
      <c r="S212" s="94"/>
      <c r="T212" s="94"/>
      <c r="U212" s="94"/>
      <c r="V212" s="94"/>
      <c r="W212" s="94"/>
      <c r="X212" s="94"/>
      <c r="Y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353"/>
      <c r="P213" s="353"/>
      <c r="Q213" s="353"/>
      <c r="R213" s="94"/>
      <c r="S213" s="94"/>
      <c r="T213" s="94"/>
      <c r="U213" s="94"/>
      <c r="V213" s="94"/>
      <c r="W213" s="94"/>
      <c r="X213" s="94"/>
      <c r="Y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353"/>
      <c r="P214" s="353"/>
      <c r="Q214" s="353"/>
      <c r="R214" s="94"/>
      <c r="S214" s="94"/>
      <c r="T214" s="94"/>
      <c r="U214" s="94"/>
      <c r="V214" s="94"/>
      <c r="W214" s="94"/>
      <c r="X214" s="94"/>
      <c r="Y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353"/>
      <c r="P215" s="353"/>
      <c r="Q215" s="353"/>
      <c r="R215" s="94"/>
      <c r="S215" s="94"/>
      <c r="T215" s="94"/>
      <c r="U215" s="94"/>
      <c r="V215" s="94"/>
      <c r="W215" s="94"/>
      <c r="X215" s="94"/>
      <c r="Y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353"/>
      <c r="P216" s="353"/>
      <c r="Q216" s="353"/>
      <c r="R216" s="94"/>
      <c r="S216" s="94"/>
      <c r="T216" s="94"/>
      <c r="U216" s="94"/>
      <c r="V216" s="94"/>
      <c r="W216" s="94"/>
      <c r="X216" s="94"/>
      <c r="Y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353"/>
      <c r="P217" s="353"/>
      <c r="Q217" s="353"/>
      <c r="R217" s="94"/>
      <c r="S217" s="94"/>
      <c r="T217" s="94"/>
      <c r="U217" s="94"/>
      <c r="V217" s="94"/>
      <c r="W217" s="94"/>
      <c r="X217" s="94"/>
      <c r="Y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353"/>
      <c r="P218" s="353"/>
      <c r="Q218" s="353"/>
      <c r="R218" s="94"/>
      <c r="S218" s="94"/>
      <c r="T218" s="94"/>
      <c r="U218" s="94"/>
      <c r="V218" s="94"/>
      <c r="W218" s="94"/>
      <c r="X218" s="94"/>
      <c r="Y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353"/>
      <c r="P219" s="353"/>
      <c r="Q219" s="353"/>
      <c r="R219" s="94"/>
      <c r="S219" s="94"/>
      <c r="T219" s="94"/>
      <c r="U219" s="94"/>
      <c r="V219" s="94"/>
      <c r="W219" s="94"/>
      <c r="X219" s="94"/>
      <c r="Y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353"/>
      <c r="P220" s="353"/>
      <c r="Q220" s="353"/>
      <c r="R220" s="94"/>
      <c r="S220" s="94"/>
      <c r="T220" s="94"/>
      <c r="U220" s="94"/>
      <c r="V220" s="94"/>
      <c r="W220" s="94"/>
      <c r="X220" s="94"/>
      <c r="Y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353"/>
      <c r="P221" s="353"/>
      <c r="Q221" s="353"/>
      <c r="R221" s="94"/>
      <c r="S221" s="94"/>
      <c r="T221" s="94"/>
      <c r="U221" s="94"/>
      <c r="V221" s="94"/>
      <c r="W221" s="94"/>
      <c r="X221" s="94"/>
      <c r="Y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353"/>
      <c r="P222" s="353"/>
      <c r="Q222" s="353"/>
      <c r="R222" s="94"/>
      <c r="S222" s="94"/>
      <c r="T222" s="94"/>
      <c r="U222" s="94"/>
      <c r="V222" s="94"/>
      <c r="W222" s="94"/>
      <c r="X222" s="94"/>
      <c r="Y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353"/>
      <c r="P223" s="353"/>
      <c r="Q223" s="353"/>
      <c r="R223" s="94"/>
      <c r="S223" s="94"/>
      <c r="T223" s="94"/>
      <c r="U223" s="94"/>
      <c r="V223" s="94"/>
      <c r="W223" s="94"/>
      <c r="X223" s="94"/>
      <c r="Y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353"/>
      <c r="P224" s="353"/>
      <c r="Q224" s="353"/>
      <c r="R224" s="94"/>
      <c r="S224" s="94"/>
      <c r="T224" s="94"/>
      <c r="U224" s="94"/>
      <c r="V224" s="94"/>
      <c r="W224" s="94"/>
      <c r="X224" s="94"/>
      <c r="Y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353"/>
      <c r="P225" s="353"/>
      <c r="Q225" s="353"/>
      <c r="R225" s="94"/>
      <c r="S225" s="94"/>
      <c r="T225" s="94"/>
      <c r="U225" s="94"/>
      <c r="V225" s="94"/>
      <c r="W225" s="94"/>
      <c r="X225" s="94"/>
      <c r="Y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353"/>
      <c r="P226" s="353"/>
      <c r="Q226" s="353"/>
      <c r="R226" s="94"/>
      <c r="S226" s="94"/>
      <c r="T226" s="94"/>
      <c r="U226" s="94"/>
      <c r="V226" s="94"/>
      <c r="W226" s="94"/>
      <c r="X226" s="94"/>
      <c r="Y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353"/>
      <c r="P227" s="353"/>
      <c r="Q227" s="353"/>
      <c r="R227" s="94"/>
      <c r="S227" s="94"/>
      <c r="T227" s="94"/>
      <c r="U227" s="94"/>
      <c r="V227" s="94"/>
      <c r="W227" s="94"/>
      <c r="X227" s="94"/>
      <c r="Y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353"/>
      <c r="P228" s="353"/>
      <c r="Q228" s="353"/>
      <c r="R228" s="94"/>
      <c r="S228" s="94"/>
      <c r="T228" s="94"/>
      <c r="U228" s="94"/>
      <c r="V228" s="94"/>
      <c r="W228" s="94"/>
      <c r="X228" s="94"/>
      <c r="Y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353"/>
      <c r="P229" s="353"/>
      <c r="Q229" s="353"/>
      <c r="R229" s="94"/>
      <c r="S229" s="94"/>
      <c r="T229" s="94"/>
      <c r="U229" s="94"/>
      <c r="V229" s="94"/>
      <c r="W229" s="94"/>
      <c r="X229" s="94"/>
      <c r="Y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353"/>
      <c r="P230" s="353"/>
      <c r="Q230" s="353"/>
      <c r="R230" s="94"/>
      <c r="S230" s="94"/>
      <c r="T230" s="94"/>
      <c r="U230" s="94"/>
      <c r="V230" s="94"/>
      <c r="W230" s="94"/>
      <c r="X230" s="94"/>
      <c r="Y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353"/>
      <c r="P231" s="353"/>
      <c r="Q231" s="353"/>
      <c r="R231" s="94"/>
      <c r="S231" s="94"/>
      <c r="T231" s="94"/>
      <c r="U231" s="94"/>
      <c r="V231" s="94"/>
      <c r="W231" s="94"/>
      <c r="X231" s="94"/>
      <c r="Y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353"/>
      <c r="P232" s="353"/>
      <c r="Q232" s="353"/>
      <c r="R232" s="94"/>
      <c r="S232" s="94"/>
      <c r="T232" s="94"/>
      <c r="U232" s="94"/>
      <c r="V232" s="94"/>
      <c r="W232" s="94"/>
      <c r="X232" s="94"/>
      <c r="Y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353"/>
      <c r="P233" s="353"/>
      <c r="Q233" s="353"/>
      <c r="R233" s="94"/>
      <c r="S233" s="94"/>
      <c r="T233" s="94"/>
      <c r="U233" s="94"/>
      <c r="V233" s="94"/>
      <c r="W233" s="94"/>
      <c r="X233" s="94"/>
      <c r="Y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353"/>
      <c r="P234" s="353"/>
      <c r="Q234" s="353"/>
      <c r="R234" s="94"/>
      <c r="S234" s="94"/>
      <c r="T234" s="94"/>
      <c r="U234" s="94"/>
      <c r="V234" s="94"/>
      <c r="W234" s="94"/>
      <c r="X234" s="94"/>
      <c r="Y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353"/>
      <c r="P235" s="353"/>
      <c r="Q235" s="353"/>
      <c r="R235" s="94"/>
      <c r="S235" s="94"/>
      <c r="T235" s="94"/>
      <c r="U235" s="94"/>
      <c r="V235" s="94"/>
      <c r="W235" s="94"/>
      <c r="X235" s="94"/>
      <c r="Y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353"/>
      <c r="P236" s="353"/>
      <c r="Q236" s="353"/>
      <c r="R236" s="94"/>
      <c r="S236" s="94"/>
      <c r="T236" s="94"/>
      <c r="U236" s="94"/>
      <c r="V236" s="94"/>
      <c r="W236" s="94"/>
      <c r="X236" s="94"/>
      <c r="Y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353"/>
      <c r="P237" s="353"/>
      <c r="Q237" s="353"/>
      <c r="R237" s="94"/>
      <c r="S237" s="94"/>
      <c r="T237" s="94"/>
      <c r="U237" s="94"/>
      <c r="V237" s="94"/>
      <c r="W237" s="94"/>
      <c r="X237" s="94"/>
      <c r="Y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353"/>
      <c r="P238" s="353"/>
      <c r="Q238" s="353"/>
      <c r="R238" s="94"/>
      <c r="S238" s="94"/>
      <c r="T238" s="94"/>
      <c r="U238" s="94"/>
      <c r="V238" s="94"/>
      <c r="W238" s="94"/>
      <c r="X238" s="94"/>
      <c r="Y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353"/>
      <c r="P239" s="353"/>
      <c r="Q239" s="353"/>
      <c r="R239" s="94"/>
      <c r="S239" s="94"/>
      <c r="T239" s="94"/>
      <c r="U239" s="94"/>
      <c r="V239" s="94"/>
      <c r="W239" s="94"/>
      <c r="X239" s="94"/>
      <c r="Y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353"/>
      <c r="P240" s="353"/>
      <c r="Q240" s="353"/>
      <c r="R240" s="94"/>
      <c r="S240" s="94"/>
      <c r="T240" s="94"/>
      <c r="U240" s="94"/>
      <c r="V240" s="94"/>
      <c r="W240" s="94"/>
      <c r="X240" s="94"/>
      <c r="Y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353"/>
      <c r="P241" s="353"/>
      <c r="Q241" s="353"/>
      <c r="R241" s="94"/>
      <c r="S241" s="94"/>
      <c r="T241" s="94"/>
      <c r="U241" s="94"/>
      <c r="V241" s="94"/>
      <c r="W241" s="94"/>
      <c r="X241" s="94"/>
      <c r="Y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353"/>
      <c r="P242" s="353"/>
      <c r="Q242" s="353"/>
      <c r="R242" s="94"/>
      <c r="S242" s="94"/>
      <c r="T242" s="94"/>
      <c r="U242" s="94"/>
      <c r="V242" s="94"/>
      <c r="W242" s="94"/>
      <c r="X242" s="94"/>
      <c r="Y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353"/>
      <c r="P243" s="353"/>
      <c r="Q243" s="353"/>
      <c r="R243" s="94"/>
      <c r="S243" s="94"/>
      <c r="T243" s="94"/>
      <c r="U243" s="94"/>
      <c r="V243" s="94"/>
      <c r="W243" s="94"/>
      <c r="X243" s="94"/>
      <c r="Y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353"/>
      <c r="P244" s="353"/>
      <c r="Q244" s="353"/>
      <c r="R244" s="94"/>
      <c r="S244" s="94"/>
      <c r="T244" s="94"/>
      <c r="U244" s="94"/>
      <c r="V244" s="94"/>
      <c r="W244" s="94"/>
      <c r="X244" s="94"/>
      <c r="Y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353"/>
      <c r="P245" s="353"/>
      <c r="Q245" s="353"/>
      <c r="R245" s="94"/>
      <c r="S245" s="94"/>
      <c r="T245" s="94"/>
      <c r="U245" s="94"/>
      <c r="V245" s="94"/>
      <c r="W245" s="94"/>
      <c r="X245" s="94"/>
      <c r="Y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353"/>
      <c r="P246" s="353"/>
      <c r="Q246" s="353"/>
      <c r="R246" s="94"/>
      <c r="S246" s="94"/>
      <c r="T246" s="94"/>
      <c r="U246" s="94"/>
      <c r="V246" s="94"/>
      <c r="W246" s="94"/>
      <c r="X246" s="94"/>
      <c r="Y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353"/>
      <c r="P247" s="353"/>
      <c r="Q247" s="353"/>
      <c r="R247" s="94"/>
      <c r="S247" s="94"/>
      <c r="T247" s="94"/>
      <c r="U247" s="94"/>
      <c r="V247" s="94"/>
      <c r="W247" s="94"/>
      <c r="X247" s="94"/>
      <c r="Y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353"/>
      <c r="P248" s="353"/>
      <c r="Q248" s="353"/>
      <c r="R248" s="94"/>
      <c r="S248" s="94"/>
      <c r="T248" s="94"/>
      <c r="U248" s="94"/>
      <c r="V248" s="94"/>
      <c r="W248" s="94"/>
      <c r="X248" s="94"/>
      <c r="Y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353"/>
      <c r="P249" s="353"/>
      <c r="Q249" s="353"/>
      <c r="R249" s="94"/>
      <c r="S249" s="94"/>
      <c r="T249" s="94"/>
      <c r="U249" s="94"/>
      <c r="V249" s="94"/>
      <c r="W249" s="94"/>
      <c r="X249" s="94"/>
      <c r="Y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353"/>
      <c r="P250" s="353"/>
      <c r="Q250" s="353"/>
      <c r="R250" s="94"/>
      <c r="S250" s="94"/>
      <c r="T250" s="94"/>
      <c r="U250" s="94"/>
      <c r="V250" s="94"/>
      <c r="W250" s="94"/>
      <c r="X250" s="94"/>
      <c r="Y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353"/>
      <c r="P251" s="353"/>
      <c r="Q251" s="353"/>
      <c r="R251" s="94"/>
      <c r="S251" s="94"/>
      <c r="T251" s="94"/>
      <c r="U251" s="94"/>
      <c r="V251" s="94"/>
      <c r="W251" s="94"/>
      <c r="X251" s="94"/>
      <c r="Y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353"/>
      <c r="P252" s="353"/>
      <c r="Q252" s="353"/>
      <c r="R252" s="94"/>
      <c r="S252" s="94"/>
      <c r="T252" s="94"/>
      <c r="U252" s="94"/>
      <c r="V252" s="94"/>
      <c r="W252" s="94"/>
      <c r="X252" s="94"/>
      <c r="Y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353"/>
      <c r="P253" s="353"/>
      <c r="Q253" s="353"/>
      <c r="R253" s="94"/>
      <c r="S253" s="94"/>
      <c r="T253" s="94"/>
      <c r="U253" s="94"/>
      <c r="V253" s="94"/>
      <c r="W253" s="94"/>
      <c r="X253" s="94"/>
      <c r="Y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353"/>
      <c r="P254" s="353"/>
      <c r="Q254" s="353"/>
      <c r="R254" s="94"/>
      <c r="S254" s="94"/>
      <c r="T254" s="94"/>
      <c r="U254" s="94"/>
      <c r="V254" s="94"/>
      <c r="W254" s="94"/>
      <c r="X254" s="94"/>
      <c r="Y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353"/>
      <c r="P255" s="353"/>
      <c r="Q255" s="353"/>
      <c r="R255" s="94"/>
      <c r="S255" s="94"/>
      <c r="T255" s="94"/>
      <c r="U255" s="94"/>
      <c r="V255" s="94"/>
      <c r="W255" s="94"/>
      <c r="X255" s="94"/>
      <c r="Y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353"/>
      <c r="P256" s="353"/>
      <c r="Q256" s="353"/>
      <c r="R256" s="94"/>
      <c r="S256" s="94"/>
      <c r="T256" s="94"/>
      <c r="U256" s="94"/>
      <c r="V256" s="94"/>
      <c r="W256" s="94"/>
      <c r="X256" s="94"/>
      <c r="Y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353"/>
      <c r="P257" s="353"/>
      <c r="Q257" s="353"/>
      <c r="R257" s="94"/>
      <c r="S257" s="94"/>
      <c r="T257" s="94"/>
      <c r="U257" s="94"/>
      <c r="V257" s="94"/>
      <c r="W257" s="94"/>
      <c r="X257" s="94"/>
      <c r="Y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353"/>
      <c r="P258" s="353"/>
      <c r="Q258" s="353"/>
      <c r="R258" s="94"/>
      <c r="S258" s="94"/>
      <c r="T258" s="94"/>
      <c r="U258" s="94"/>
      <c r="V258" s="94"/>
      <c r="W258" s="94"/>
      <c r="X258" s="94"/>
      <c r="Y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353"/>
      <c r="P259" s="353"/>
      <c r="Q259" s="353"/>
      <c r="R259" s="94"/>
      <c r="S259" s="94"/>
      <c r="T259" s="94"/>
      <c r="U259" s="94"/>
      <c r="V259" s="94"/>
      <c r="W259" s="94"/>
      <c r="X259" s="94"/>
      <c r="Y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353"/>
      <c r="P260" s="353"/>
      <c r="Q260" s="353"/>
      <c r="R260" s="94"/>
      <c r="S260" s="94"/>
      <c r="T260" s="94"/>
      <c r="U260" s="94"/>
      <c r="V260" s="94"/>
      <c r="W260" s="94"/>
      <c r="X260" s="94"/>
      <c r="Y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353"/>
      <c r="P261" s="353"/>
      <c r="Q261" s="353"/>
      <c r="R261" s="94"/>
      <c r="S261" s="94"/>
      <c r="T261" s="94"/>
      <c r="U261" s="94"/>
      <c r="V261" s="94"/>
      <c r="W261" s="94"/>
      <c r="X261" s="94"/>
      <c r="Y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353"/>
      <c r="P262" s="353"/>
      <c r="Q262" s="353"/>
      <c r="R262" s="94"/>
      <c r="S262" s="94"/>
      <c r="T262" s="94"/>
      <c r="U262" s="94"/>
      <c r="V262" s="94"/>
      <c r="W262" s="94"/>
      <c r="X262" s="94"/>
      <c r="Y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353"/>
      <c r="P263" s="353"/>
      <c r="Q263" s="353"/>
      <c r="R263" s="94"/>
      <c r="S263" s="94"/>
      <c r="T263" s="94"/>
      <c r="U263" s="94"/>
      <c r="V263" s="94"/>
      <c r="W263" s="94"/>
      <c r="X263" s="94"/>
      <c r="Y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353"/>
      <c r="P264" s="353"/>
      <c r="Q264" s="353"/>
      <c r="R264" s="94"/>
      <c r="S264" s="94"/>
      <c r="T264" s="94"/>
      <c r="U264" s="94"/>
      <c r="V264" s="94"/>
      <c r="W264" s="94"/>
      <c r="X264" s="94"/>
      <c r="Y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353"/>
      <c r="P265" s="353"/>
      <c r="Q265" s="353"/>
      <c r="R265" s="94"/>
      <c r="S265" s="94"/>
      <c r="T265" s="94"/>
      <c r="U265" s="94"/>
      <c r="V265" s="94"/>
      <c r="W265" s="94"/>
      <c r="X265" s="94"/>
      <c r="Y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353"/>
      <c r="P266" s="353"/>
      <c r="Q266" s="353"/>
      <c r="R266" s="94"/>
      <c r="S266" s="94"/>
      <c r="T266" s="94"/>
      <c r="U266" s="94"/>
      <c r="V266" s="94"/>
      <c r="W266" s="94"/>
      <c r="X266" s="94"/>
      <c r="Y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353"/>
      <c r="P267" s="353"/>
      <c r="Q267" s="353"/>
      <c r="R267" s="94"/>
      <c r="S267" s="94"/>
      <c r="T267" s="94"/>
      <c r="U267" s="94"/>
      <c r="V267" s="94"/>
      <c r="W267" s="94"/>
      <c r="X267" s="94"/>
      <c r="Y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353"/>
      <c r="P268" s="353"/>
      <c r="Q268" s="353"/>
      <c r="R268" s="94"/>
      <c r="S268" s="94"/>
      <c r="T268" s="94"/>
      <c r="U268" s="94"/>
      <c r="V268" s="94"/>
      <c r="W268" s="94"/>
      <c r="X268" s="94"/>
      <c r="Y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353"/>
      <c r="P269" s="353"/>
      <c r="Q269" s="353"/>
      <c r="R269" s="94"/>
      <c r="S269" s="94"/>
      <c r="T269" s="94"/>
      <c r="U269" s="94"/>
      <c r="V269" s="94"/>
      <c r="W269" s="94"/>
      <c r="X269" s="94"/>
      <c r="Y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353"/>
      <c r="P270" s="353"/>
      <c r="Q270" s="353"/>
      <c r="R270" s="94"/>
      <c r="S270" s="94"/>
      <c r="T270" s="94"/>
      <c r="U270" s="94"/>
      <c r="V270" s="94"/>
      <c r="W270" s="94"/>
      <c r="X270" s="94"/>
      <c r="Y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353"/>
      <c r="P271" s="353"/>
      <c r="Q271" s="353"/>
      <c r="R271" s="94"/>
      <c r="S271" s="94"/>
      <c r="T271" s="94"/>
      <c r="U271" s="94"/>
      <c r="V271" s="94"/>
      <c r="W271" s="94"/>
      <c r="X271" s="94"/>
      <c r="Y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353"/>
      <c r="P272" s="353"/>
      <c r="Q272" s="353"/>
      <c r="R272" s="94"/>
      <c r="S272" s="94"/>
      <c r="T272" s="94"/>
      <c r="U272" s="94"/>
      <c r="V272" s="94"/>
      <c r="W272" s="94"/>
      <c r="X272" s="94"/>
      <c r="Y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353"/>
      <c r="P273" s="353"/>
      <c r="Q273" s="353"/>
      <c r="R273" s="94"/>
      <c r="S273" s="94"/>
      <c r="T273" s="94"/>
      <c r="U273" s="94"/>
      <c r="V273" s="94"/>
      <c r="W273" s="94"/>
      <c r="X273" s="94"/>
      <c r="Y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353"/>
      <c r="P274" s="353"/>
      <c r="Q274" s="353"/>
      <c r="R274" s="94"/>
      <c r="S274" s="94"/>
      <c r="T274" s="94"/>
      <c r="U274" s="94"/>
      <c r="V274" s="94"/>
      <c r="W274" s="94"/>
      <c r="X274" s="94"/>
      <c r="Y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353"/>
      <c r="P275" s="353"/>
      <c r="Q275" s="353"/>
      <c r="R275" s="94"/>
      <c r="S275" s="94"/>
      <c r="T275" s="94"/>
      <c r="U275" s="94"/>
      <c r="V275" s="94"/>
      <c r="W275" s="94"/>
      <c r="X275" s="94"/>
      <c r="Y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353"/>
      <c r="P276" s="353"/>
      <c r="Q276" s="353"/>
      <c r="R276" s="94"/>
      <c r="S276" s="94"/>
      <c r="T276" s="94"/>
      <c r="U276" s="94"/>
      <c r="V276" s="94"/>
      <c r="W276" s="94"/>
      <c r="X276" s="94"/>
      <c r="Y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353"/>
      <c r="P277" s="353"/>
      <c r="Q277" s="353"/>
      <c r="R277" s="94"/>
      <c r="S277" s="94"/>
      <c r="T277" s="94"/>
      <c r="U277" s="94"/>
      <c r="V277" s="94"/>
      <c r="W277" s="94"/>
      <c r="X277" s="94"/>
      <c r="Y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353"/>
      <c r="P278" s="353"/>
      <c r="Q278" s="353"/>
      <c r="R278" s="94"/>
      <c r="S278" s="94"/>
      <c r="T278" s="94"/>
      <c r="U278" s="94"/>
      <c r="V278" s="94"/>
      <c r="W278" s="94"/>
      <c r="X278" s="94"/>
      <c r="Y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353"/>
      <c r="P279" s="353"/>
      <c r="Q279" s="353"/>
      <c r="R279" s="94"/>
      <c r="S279" s="94"/>
      <c r="T279" s="94"/>
      <c r="U279" s="94"/>
      <c r="V279" s="94"/>
      <c r="W279" s="94"/>
      <c r="X279" s="94"/>
      <c r="Y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353"/>
      <c r="P280" s="353"/>
      <c r="Q280" s="353"/>
      <c r="R280" s="94"/>
      <c r="S280" s="94"/>
      <c r="T280" s="94"/>
      <c r="U280" s="94"/>
      <c r="V280" s="94"/>
      <c r="W280" s="94"/>
      <c r="X280" s="94"/>
      <c r="Y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353"/>
      <c r="P281" s="353"/>
      <c r="Q281" s="353"/>
      <c r="R281" s="94"/>
      <c r="S281" s="94"/>
      <c r="T281" s="94"/>
      <c r="U281" s="94"/>
      <c r="V281" s="94"/>
      <c r="W281" s="94"/>
      <c r="X281" s="94"/>
      <c r="Y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353"/>
      <c r="P282" s="353"/>
      <c r="Q282" s="353"/>
      <c r="R282" s="94"/>
      <c r="S282" s="94"/>
      <c r="T282" s="94"/>
      <c r="U282" s="94"/>
      <c r="V282" s="94"/>
      <c r="W282" s="94"/>
      <c r="X282" s="94"/>
      <c r="Y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353"/>
      <c r="P283" s="353"/>
      <c r="Q283" s="353"/>
      <c r="R283" s="94"/>
      <c r="S283" s="94"/>
      <c r="T283" s="94"/>
      <c r="U283" s="94"/>
      <c r="V283" s="94"/>
      <c r="W283" s="94"/>
      <c r="X283" s="94"/>
      <c r="Y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353"/>
      <c r="P284" s="353"/>
      <c r="Q284" s="353"/>
      <c r="R284" s="94"/>
      <c r="S284" s="94"/>
      <c r="T284" s="94"/>
      <c r="U284" s="94"/>
      <c r="V284" s="94"/>
      <c r="W284" s="94"/>
      <c r="X284" s="94"/>
      <c r="Y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353"/>
      <c r="P285" s="353"/>
      <c r="Q285" s="353"/>
      <c r="R285" s="94"/>
      <c r="S285" s="94"/>
      <c r="T285" s="94"/>
      <c r="U285" s="94"/>
      <c r="V285" s="94"/>
      <c r="W285" s="94"/>
      <c r="X285" s="94"/>
      <c r="Y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353"/>
      <c r="P286" s="353"/>
      <c r="Q286" s="353"/>
      <c r="R286" s="94"/>
      <c r="S286" s="94"/>
      <c r="T286" s="94"/>
      <c r="U286" s="94"/>
      <c r="V286" s="94"/>
      <c r="W286" s="94"/>
      <c r="X286" s="94"/>
      <c r="Y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353"/>
      <c r="P287" s="353"/>
      <c r="Q287" s="353"/>
      <c r="R287" s="94"/>
      <c r="S287" s="94"/>
      <c r="T287" s="94"/>
      <c r="U287" s="94"/>
      <c r="V287" s="94"/>
      <c r="W287" s="94"/>
      <c r="X287" s="94"/>
      <c r="Y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353"/>
      <c r="P288" s="353"/>
      <c r="Q288" s="353"/>
      <c r="R288" s="94"/>
      <c r="S288" s="94"/>
      <c r="T288" s="94"/>
      <c r="U288" s="94"/>
      <c r="V288" s="94"/>
      <c r="W288" s="94"/>
      <c r="X288" s="94"/>
      <c r="Y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353"/>
      <c r="P289" s="353"/>
      <c r="Q289" s="353"/>
      <c r="R289" s="94"/>
      <c r="S289" s="94"/>
      <c r="T289" s="94"/>
      <c r="U289" s="94"/>
      <c r="V289" s="94"/>
      <c r="W289" s="94"/>
      <c r="X289" s="94"/>
      <c r="Y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353"/>
      <c r="P290" s="353"/>
      <c r="Q290" s="353"/>
      <c r="R290" s="94"/>
      <c r="S290" s="94"/>
      <c r="T290" s="94"/>
      <c r="U290" s="94"/>
      <c r="V290" s="94"/>
      <c r="W290" s="94"/>
      <c r="X290" s="94"/>
      <c r="Y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353"/>
      <c r="P291" s="353"/>
      <c r="Q291" s="353"/>
      <c r="R291" s="94"/>
      <c r="S291" s="94"/>
      <c r="T291" s="94"/>
      <c r="U291" s="94"/>
      <c r="V291" s="94"/>
      <c r="W291" s="94"/>
      <c r="X291" s="94"/>
      <c r="Y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353"/>
      <c r="P292" s="353"/>
      <c r="Q292" s="353"/>
      <c r="R292" s="94"/>
      <c r="S292" s="94"/>
      <c r="T292" s="94"/>
      <c r="U292" s="94"/>
      <c r="V292" s="94"/>
      <c r="W292" s="94"/>
      <c r="X292" s="94"/>
      <c r="Y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353"/>
      <c r="P293" s="353"/>
      <c r="Q293" s="353"/>
      <c r="R293" s="94"/>
      <c r="S293" s="94"/>
      <c r="T293" s="94"/>
      <c r="U293" s="94"/>
      <c r="V293" s="94"/>
      <c r="W293" s="94"/>
      <c r="X293" s="94"/>
      <c r="Y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353"/>
      <c r="P294" s="353"/>
      <c r="Q294" s="353"/>
      <c r="R294" s="94"/>
      <c r="S294" s="94"/>
      <c r="T294" s="94"/>
      <c r="U294" s="94"/>
      <c r="V294" s="94"/>
      <c r="W294" s="94"/>
      <c r="X294" s="94"/>
      <c r="Y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353"/>
      <c r="P295" s="353"/>
      <c r="Q295" s="353"/>
      <c r="R295" s="94"/>
      <c r="S295" s="94"/>
      <c r="T295" s="94"/>
      <c r="U295" s="94"/>
      <c r="V295" s="94"/>
      <c r="W295" s="94"/>
      <c r="X295" s="94"/>
      <c r="Y295" s="9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83">
    <mergeCell ref="D73:E73"/>
    <mergeCell ref="D74:E74"/>
    <mergeCell ref="G74:H74"/>
    <mergeCell ref="I74:J74"/>
    <mergeCell ref="D75:E75"/>
    <mergeCell ref="I75:J75"/>
    <mergeCell ref="D76:E76"/>
    <mergeCell ref="I76:J76"/>
    <mergeCell ref="G75:H75"/>
    <mergeCell ref="G76:H76"/>
    <mergeCell ref="D81:E81"/>
    <mergeCell ref="G81:H81"/>
    <mergeCell ref="I81:J81"/>
    <mergeCell ref="G82:H82"/>
    <mergeCell ref="I82:J82"/>
    <mergeCell ref="G92:H92"/>
    <mergeCell ref="I92:J92"/>
    <mergeCell ref="D93:E93"/>
    <mergeCell ref="G93:H93"/>
    <mergeCell ref="I93:J93"/>
    <mergeCell ref="D94:E94"/>
    <mergeCell ref="G94:H94"/>
    <mergeCell ref="I94:J94"/>
    <mergeCell ref="D90:E90"/>
    <mergeCell ref="G90:H90"/>
    <mergeCell ref="I90:J90"/>
    <mergeCell ref="D91:E91"/>
    <mergeCell ref="G91:H91"/>
    <mergeCell ref="I91:J91"/>
    <mergeCell ref="D92:E92"/>
    <mergeCell ref="G20:H20"/>
    <mergeCell ref="O20:P21"/>
    <mergeCell ref="G21:H21"/>
    <mergeCell ref="O23:P24"/>
    <mergeCell ref="O27:P28"/>
    <mergeCell ref="K29:M29"/>
    <mergeCell ref="K30:M30"/>
    <mergeCell ref="K34:M34"/>
    <mergeCell ref="K35:M35"/>
    <mergeCell ref="K36:M36"/>
    <mergeCell ref="K39:M39"/>
    <mergeCell ref="K40:M40"/>
    <mergeCell ref="K41:M41"/>
    <mergeCell ref="K31:M31"/>
    <mergeCell ref="K44:M44"/>
    <mergeCell ref="K45:M45"/>
    <mergeCell ref="K46:M46"/>
    <mergeCell ref="K49:M49"/>
    <mergeCell ref="K50:M50"/>
    <mergeCell ref="K51:M51"/>
    <mergeCell ref="K54:M54"/>
    <mergeCell ref="K55:M55"/>
    <mergeCell ref="K56:M56"/>
    <mergeCell ref="D63:E63"/>
    <mergeCell ref="G63:H63"/>
    <mergeCell ref="I63:J63"/>
    <mergeCell ref="G64:H64"/>
    <mergeCell ref="I64:J64"/>
    <mergeCell ref="D64:E64"/>
    <mergeCell ref="D65:E65"/>
    <mergeCell ref="G65:H65"/>
    <mergeCell ref="I65:J65"/>
    <mergeCell ref="D66:E66"/>
    <mergeCell ref="I66:J66"/>
    <mergeCell ref="D67:E67"/>
    <mergeCell ref="I67:J67"/>
    <mergeCell ref="G66:H66"/>
    <mergeCell ref="G67:H67"/>
    <mergeCell ref="D72:E72"/>
    <mergeCell ref="G72:H72"/>
    <mergeCell ref="I72:J72"/>
    <mergeCell ref="G73:H73"/>
    <mergeCell ref="I73:J73"/>
    <mergeCell ref="G84:H84"/>
    <mergeCell ref="G85:H85"/>
    <mergeCell ref="D82:E82"/>
    <mergeCell ref="D83:E83"/>
    <mergeCell ref="G83:H83"/>
    <mergeCell ref="I83:J83"/>
    <mergeCell ref="D84:E84"/>
    <mergeCell ref="I84:J84"/>
    <mergeCell ref="D85:E85"/>
    <mergeCell ref="I85:J85"/>
  </mergeCells>
  <hyperlinks>
    <hyperlink r:id="rId1" ref="D8"/>
    <hyperlink r:id="rId2" ref="D9"/>
    <hyperlink r:id="rId3" ref="D12"/>
    <hyperlink r:id="rId4" ref="D13"/>
    <hyperlink r:id="rId5" ref="D14"/>
    <hyperlink r:id="rId6" location="/landing" ref="D15"/>
  </hyperlinks>
  <printOptions/>
  <pageMargins bottom="0.75" footer="0.0" header="0.0" left="0.7" right="0.7" top="0.75"/>
  <pageSetup orientation="landscape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9.88"/>
    <col customWidth="1" min="3" max="3" width="14.13"/>
    <col customWidth="1" min="4" max="4" width="17.38"/>
    <col customWidth="1" min="5" max="5" width="21.63"/>
    <col customWidth="1" min="6" max="6" width="10.63"/>
    <col customWidth="1" min="7" max="7" width="20.38"/>
    <col customWidth="1" min="8" max="8" width="10.63"/>
    <col customWidth="1" min="9" max="9" width="15.88"/>
    <col customWidth="1" min="10" max="10" width="43.13"/>
    <col customWidth="1" min="11" max="11" width="13.88"/>
    <col customWidth="1" min="12" max="12" width="22.13"/>
    <col customWidth="1" min="13" max="13" width="36.75"/>
    <col customWidth="1" min="14" max="14" width="40.88"/>
    <col customWidth="1" min="15" max="15" width="33.38"/>
    <col customWidth="1" min="16" max="16" width="10.88"/>
    <col customWidth="1" min="17" max="17" width="43.0"/>
    <col customWidth="1" min="18" max="18" width="20.88"/>
    <col customWidth="1" min="19" max="19" width="18.38"/>
    <col customWidth="1" min="20" max="20" width="31.13"/>
    <col customWidth="1" min="21" max="21" width="13.5"/>
    <col customWidth="1" min="22" max="22" width="12.13"/>
    <col customWidth="1" min="23" max="32" width="8.63"/>
  </cols>
  <sheetData>
    <row r="1">
      <c r="A1" s="674"/>
      <c r="B1" s="675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34"/>
      <c r="N1" s="34"/>
      <c r="O1" s="676"/>
      <c r="P1" s="674"/>
      <c r="Q1" s="674"/>
      <c r="R1" s="674"/>
      <c r="S1" s="674"/>
      <c r="T1" s="674"/>
      <c r="U1" s="674"/>
      <c r="V1" s="674"/>
      <c r="W1" s="674"/>
      <c r="X1" s="674"/>
      <c r="Y1" s="674"/>
      <c r="Z1" s="674"/>
      <c r="AA1" s="674"/>
      <c r="AB1" s="674"/>
      <c r="AC1" s="674"/>
      <c r="AD1" s="674"/>
      <c r="AE1" s="674"/>
      <c r="AF1" s="674"/>
    </row>
    <row r="2">
      <c r="A2" s="674"/>
      <c r="B2" s="675" t="s">
        <v>2023</v>
      </c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7"/>
      <c r="N2" s="678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74"/>
      <c r="AA2" s="674"/>
      <c r="AB2" s="674"/>
      <c r="AC2" s="674"/>
      <c r="AD2" s="674"/>
      <c r="AE2" s="674"/>
      <c r="AF2" s="674"/>
    </row>
    <row r="3" ht="27.75" customHeight="1">
      <c r="A3" s="674"/>
      <c r="B3" s="674"/>
      <c r="C3" s="679" t="s">
        <v>1088</v>
      </c>
      <c r="D3" s="680" t="s">
        <v>1990</v>
      </c>
      <c r="E3" s="674"/>
      <c r="F3" s="674"/>
      <c r="G3" s="34"/>
      <c r="H3" s="674"/>
      <c r="I3" s="674"/>
      <c r="J3" s="674"/>
      <c r="K3" s="674"/>
      <c r="L3" s="681" t="s">
        <v>2024</v>
      </c>
      <c r="M3" s="34"/>
      <c r="N3" s="576" t="s">
        <v>1090</v>
      </c>
      <c r="O3" s="674"/>
      <c r="P3" s="674"/>
      <c r="Q3" s="674"/>
      <c r="R3" s="674"/>
      <c r="S3" s="674"/>
      <c r="T3" s="681" t="s">
        <v>2025</v>
      </c>
      <c r="U3" s="674"/>
      <c r="V3" s="674"/>
      <c r="W3" s="674"/>
      <c r="X3" s="674"/>
      <c r="Y3" s="674"/>
      <c r="Z3" s="674"/>
      <c r="AA3" s="674"/>
      <c r="AB3" s="674"/>
      <c r="AC3" s="674"/>
      <c r="AD3" s="674"/>
      <c r="AE3" s="674"/>
      <c r="AF3" s="674"/>
    </row>
    <row r="4" ht="42.0" customHeight="1">
      <c r="A4" s="674"/>
      <c r="B4" s="674"/>
      <c r="C4" s="679" t="s">
        <v>126</v>
      </c>
      <c r="D4" s="682">
        <v>46189.0</v>
      </c>
      <c r="E4" s="674"/>
      <c r="F4" s="674"/>
      <c r="G4" s="674"/>
      <c r="H4" s="674"/>
      <c r="I4" s="674"/>
      <c r="J4" s="674"/>
      <c r="K4" s="674"/>
      <c r="L4" s="45"/>
      <c r="M4" s="34"/>
      <c r="N4" s="45"/>
      <c r="O4" s="674"/>
      <c r="P4" s="674"/>
      <c r="Q4" s="674"/>
      <c r="R4" s="674"/>
      <c r="S4" s="674"/>
      <c r="T4" s="45"/>
      <c r="U4" s="674"/>
      <c r="V4" s="674"/>
      <c r="W4" s="674"/>
      <c r="X4" s="674"/>
      <c r="Y4" s="674"/>
      <c r="Z4" s="674"/>
      <c r="AA4" s="674"/>
      <c r="AB4" s="674"/>
      <c r="AC4" s="674"/>
      <c r="AD4" s="674"/>
      <c r="AE4" s="674"/>
      <c r="AF4" s="674"/>
    </row>
    <row r="5" ht="14.25" customHeight="1">
      <c r="A5" s="674"/>
      <c r="B5" s="674"/>
      <c r="C5" s="674"/>
      <c r="D5" s="243"/>
      <c r="E5" s="674"/>
      <c r="F5" s="674"/>
      <c r="G5" s="674"/>
      <c r="H5" s="674"/>
      <c r="I5" s="674"/>
      <c r="J5" s="674"/>
      <c r="K5" s="674"/>
      <c r="L5" s="674"/>
      <c r="M5" s="34"/>
      <c r="N5" s="34"/>
      <c r="O5" s="674"/>
      <c r="P5" s="674"/>
      <c r="Q5" s="674"/>
      <c r="R5" s="674"/>
      <c r="S5" s="674"/>
      <c r="T5" s="674"/>
      <c r="U5" s="674"/>
      <c r="V5" s="674"/>
      <c r="W5" s="674"/>
      <c r="X5" s="674"/>
      <c r="Y5" s="674"/>
      <c r="Z5" s="674"/>
      <c r="AA5" s="674"/>
      <c r="AB5" s="674"/>
      <c r="AC5" s="674"/>
      <c r="AD5" s="674"/>
      <c r="AE5" s="674"/>
      <c r="AF5" s="674"/>
    </row>
    <row r="6" ht="14.25" customHeight="1">
      <c r="A6" s="674"/>
      <c r="B6" s="679" t="s">
        <v>1092</v>
      </c>
      <c r="C6" s="679" t="s">
        <v>1093</v>
      </c>
      <c r="D6" s="679" t="s">
        <v>1094</v>
      </c>
      <c r="E6" s="679" t="s">
        <v>1095</v>
      </c>
      <c r="F6" s="679" t="s">
        <v>1096</v>
      </c>
      <c r="G6" s="679" t="s">
        <v>1097</v>
      </c>
      <c r="H6" s="679" t="s">
        <v>1098</v>
      </c>
      <c r="I6" s="679" t="s">
        <v>1099</v>
      </c>
      <c r="J6" s="679" t="s">
        <v>1100</v>
      </c>
      <c r="K6" s="679" t="s">
        <v>1101</v>
      </c>
      <c r="L6" s="679" t="s">
        <v>1102</v>
      </c>
      <c r="M6" s="574" t="s">
        <v>1103</v>
      </c>
      <c r="N6" s="574" t="s">
        <v>1104</v>
      </c>
      <c r="O6" s="679" t="s">
        <v>1105</v>
      </c>
      <c r="P6" s="679" t="s">
        <v>1106</v>
      </c>
      <c r="Q6" s="34"/>
      <c r="R6" s="674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4"/>
      <c r="AD6" s="674"/>
      <c r="AE6" s="674"/>
      <c r="AF6" s="674"/>
    </row>
    <row r="7" ht="14.25" customHeight="1">
      <c r="A7" s="683">
        <v>53.0</v>
      </c>
      <c r="B7" s="683" t="s">
        <v>1107</v>
      </c>
      <c r="C7" s="684">
        <v>46189.0</v>
      </c>
      <c r="D7" s="684">
        <v>46189.0</v>
      </c>
      <c r="E7" s="684">
        <v>46189.0</v>
      </c>
      <c r="F7" s="683" t="s">
        <v>1108</v>
      </c>
      <c r="G7" s="683" t="s">
        <v>2026</v>
      </c>
      <c r="H7" s="683" t="s">
        <v>2026</v>
      </c>
      <c r="I7" s="683" t="s">
        <v>1110</v>
      </c>
      <c r="J7" s="683" t="s">
        <v>2027</v>
      </c>
      <c r="K7" s="683" t="s">
        <v>167</v>
      </c>
      <c r="L7" s="685">
        <v>28831.95</v>
      </c>
      <c r="M7" s="685">
        <v>28831.95</v>
      </c>
      <c r="N7" s="685">
        <v>28831.95</v>
      </c>
      <c r="O7" s="683" t="s">
        <v>2028</v>
      </c>
      <c r="P7" s="685">
        <v>0.0</v>
      </c>
      <c r="Q7" s="686"/>
      <c r="R7" s="686"/>
      <c r="S7" s="686"/>
      <c r="T7" s="686"/>
      <c r="U7" s="686"/>
      <c r="V7" s="686"/>
      <c r="W7" s="686"/>
      <c r="X7" s="686"/>
      <c r="Y7" s="686"/>
      <c r="Z7" s="686"/>
      <c r="AA7" s="686"/>
      <c r="AB7" s="686"/>
      <c r="AC7" s="686"/>
      <c r="AD7" s="686"/>
      <c r="AE7" s="686"/>
      <c r="AF7" s="686"/>
    </row>
    <row r="8" ht="15.0" customHeight="1">
      <c r="A8" s="683">
        <v>54.0</v>
      </c>
      <c r="B8" s="683" t="s">
        <v>1107</v>
      </c>
      <c r="C8" s="684">
        <v>46189.0</v>
      </c>
      <c r="D8" s="684">
        <v>46189.0</v>
      </c>
      <c r="E8" s="684">
        <v>46189.0</v>
      </c>
      <c r="F8" s="683" t="s">
        <v>1108</v>
      </c>
      <c r="G8" s="683" t="s">
        <v>2029</v>
      </c>
      <c r="H8" s="683" t="s">
        <v>2029</v>
      </c>
      <c r="I8" s="683" t="s">
        <v>1110</v>
      </c>
      <c r="J8" s="683" t="s">
        <v>2030</v>
      </c>
      <c r="K8" s="683" t="s">
        <v>167</v>
      </c>
      <c r="L8" s="685">
        <v>22986.72</v>
      </c>
      <c r="M8" s="685">
        <v>22986.72</v>
      </c>
      <c r="N8" s="687">
        <v>22986.72</v>
      </c>
      <c r="O8" s="683" t="s">
        <v>2031</v>
      </c>
      <c r="P8" s="685">
        <v>0.0</v>
      </c>
      <c r="Q8" s="686"/>
      <c r="R8" s="686"/>
      <c r="S8" s="686"/>
      <c r="T8" s="686"/>
      <c r="U8" s="686"/>
      <c r="V8" s="686"/>
      <c r="W8" s="686"/>
      <c r="X8" s="686"/>
      <c r="Y8" s="686"/>
      <c r="Z8" s="686"/>
      <c r="AA8" s="686"/>
      <c r="AB8" s="686"/>
      <c r="AC8" s="686"/>
      <c r="AD8" s="686"/>
      <c r="AE8" s="686"/>
      <c r="AF8" s="686"/>
    </row>
    <row r="9" ht="15.0" customHeight="1">
      <c r="A9" s="683">
        <v>55.0</v>
      </c>
      <c r="B9" s="683" t="s">
        <v>1107</v>
      </c>
      <c r="C9" s="684">
        <v>46189.0</v>
      </c>
      <c r="D9" s="684">
        <v>46189.0</v>
      </c>
      <c r="E9" s="684">
        <v>46189.0</v>
      </c>
      <c r="F9" s="683" t="s">
        <v>1108</v>
      </c>
      <c r="G9" s="683" t="s">
        <v>2032</v>
      </c>
      <c r="H9" s="683" t="s">
        <v>2032</v>
      </c>
      <c r="I9" s="683" t="s">
        <v>1110</v>
      </c>
      <c r="J9" s="683" t="s">
        <v>2033</v>
      </c>
      <c r="K9" s="683" t="s">
        <v>167</v>
      </c>
      <c r="L9" s="685">
        <v>21511.17</v>
      </c>
      <c r="M9" s="685">
        <v>21511.17</v>
      </c>
      <c r="N9" s="687">
        <v>21511.17</v>
      </c>
      <c r="O9" s="683" t="s">
        <v>2034</v>
      </c>
      <c r="P9" s="685">
        <v>0.0</v>
      </c>
      <c r="Q9" s="686"/>
      <c r="R9" s="686"/>
      <c r="S9" s="686"/>
      <c r="T9" s="686"/>
      <c r="U9" s="686"/>
      <c r="V9" s="686"/>
      <c r="W9" s="686"/>
      <c r="X9" s="686"/>
      <c r="Y9" s="686"/>
      <c r="Z9" s="686"/>
      <c r="AA9" s="686"/>
      <c r="AB9" s="686"/>
      <c r="AC9" s="686"/>
      <c r="AD9" s="686"/>
      <c r="AE9" s="686"/>
      <c r="AF9" s="686"/>
    </row>
    <row r="10" ht="15.0" customHeight="1">
      <c r="A10" s="683">
        <v>57.0</v>
      </c>
      <c r="B10" s="683" t="s">
        <v>1107</v>
      </c>
      <c r="C10" s="684">
        <v>46189.0</v>
      </c>
      <c r="D10" s="684">
        <v>46189.0</v>
      </c>
      <c r="E10" s="684">
        <v>46189.0</v>
      </c>
      <c r="F10" s="683" t="s">
        <v>1108</v>
      </c>
      <c r="G10" s="683" t="s">
        <v>2035</v>
      </c>
      <c r="H10" s="683" t="s">
        <v>2035</v>
      </c>
      <c r="I10" s="683" t="s">
        <v>1110</v>
      </c>
      <c r="J10" s="683" t="s">
        <v>2036</v>
      </c>
      <c r="K10" s="683" t="s">
        <v>167</v>
      </c>
      <c r="L10" s="685">
        <v>55393.16</v>
      </c>
      <c r="M10" s="685">
        <v>55393.16</v>
      </c>
      <c r="N10" s="687">
        <v>55393.16</v>
      </c>
      <c r="O10" s="683" t="s">
        <v>2037</v>
      </c>
      <c r="P10" s="685">
        <v>0.0</v>
      </c>
      <c r="Q10" s="686"/>
      <c r="R10" s="686"/>
      <c r="S10" s="686"/>
      <c r="T10" s="686"/>
      <c r="U10" s="686"/>
      <c r="V10" s="686"/>
      <c r="W10" s="686"/>
      <c r="X10" s="686"/>
      <c r="Y10" s="686"/>
      <c r="Z10" s="686"/>
      <c r="AA10" s="686"/>
      <c r="AB10" s="686"/>
      <c r="AC10" s="686"/>
      <c r="AD10" s="686"/>
      <c r="AE10" s="686"/>
      <c r="AF10" s="686"/>
    </row>
    <row r="11">
      <c r="A11" s="683">
        <v>59.0</v>
      </c>
      <c r="B11" s="683" t="s">
        <v>1107</v>
      </c>
      <c r="C11" s="684">
        <v>46189.0</v>
      </c>
      <c r="D11" s="684">
        <v>46189.0</v>
      </c>
      <c r="E11" s="684">
        <v>46189.0</v>
      </c>
      <c r="F11" s="683" t="s">
        <v>1108</v>
      </c>
      <c r="G11" s="683" t="s">
        <v>2038</v>
      </c>
      <c r="H11" s="683" t="s">
        <v>2038</v>
      </c>
      <c r="I11" s="683" t="s">
        <v>1110</v>
      </c>
      <c r="J11" s="683" t="s">
        <v>2039</v>
      </c>
      <c r="K11" s="683" t="s">
        <v>167</v>
      </c>
      <c r="L11" s="685">
        <v>40789.84</v>
      </c>
      <c r="M11" s="685">
        <v>40789.84</v>
      </c>
      <c r="N11" s="687">
        <v>40789.84</v>
      </c>
      <c r="O11" s="683" t="s">
        <v>2040</v>
      </c>
      <c r="P11" s="685">
        <v>0.0</v>
      </c>
      <c r="Q11" s="686"/>
      <c r="R11" s="686"/>
      <c r="S11" s="686"/>
      <c r="T11" s="686"/>
      <c r="U11" s="686"/>
      <c r="V11" s="686"/>
      <c r="W11" s="686"/>
      <c r="X11" s="686"/>
      <c r="Y11" s="686"/>
      <c r="Z11" s="686"/>
      <c r="AA11" s="686"/>
      <c r="AB11" s="686"/>
      <c r="AC11" s="686"/>
      <c r="AD11" s="686"/>
      <c r="AE11" s="686"/>
      <c r="AF11" s="686"/>
    </row>
    <row r="12">
      <c r="A12" s="683"/>
      <c r="B12" s="683"/>
      <c r="C12" s="684"/>
      <c r="D12" s="684"/>
      <c r="E12" s="684"/>
      <c r="F12" s="683"/>
      <c r="G12" s="683"/>
      <c r="H12" s="683"/>
      <c r="I12" s="683"/>
      <c r="J12" s="683"/>
      <c r="K12" s="683"/>
      <c r="L12" s="685"/>
      <c r="M12" s="685" t="s">
        <v>1140</v>
      </c>
      <c r="N12" s="687">
        <f>SUM(N7:N11)</f>
        <v>169512.84</v>
      </c>
      <c r="O12" s="688" t="s">
        <v>2041</v>
      </c>
      <c r="P12" s="685"/>
      <c r="Q12" s="686"/>
      <c r="R12" s="686"/>
      <c r="S12" s="686"/>
      <c r="T12" s="686"/>
      <c r="U12" s="686"/>
      <c r="V12" s="686"/>
      <c r="W12" s="686"/>
      <c r="X12" s="686"/>
      <c r="Y12" s="686"/>
      <c r="Z12" s="686"/>
      <c r="AA12" s="686"/>
      <c r="AB12" s="686"/>
      <c r="AC12" s="686"/>
      <c r="AD12" s="686"/>
      <c r="AE12" s="686"/>
      <c r="AF12" s="686"/>
    </row>
    <row r="13">
      <c r="A13" s="683"/>
      <c r="B13" s="683"/>
      <c r="C13" s="684"/>
      <c r="D13" s="684"/>
      <c r="E13" s="684"/>
      <c r="F13" s="683"/>
      <c r="G13" s="683"/>
      <c r="H13" s="683"/>
      <c r="I13" s="683"/>
      <c r="J13" s="683"/>
      <c r="K13" s="683"/>
      <c r="L13" s="685"/>
      <c r="M13" s="685" t="s">
        <v>1142</v>
      </c>
      <c r="N13" s="687">
        <v>184049.94999999998</v>
      </c>
      <c r="O13" s="683"/>
      <c r="P13" s="685"/>
      <c r="Q13" s="686"/>
      <c r="R13" s="686"/>
      <c r="S13" s="686"/>
      <c r="T13" s="686"/>
      <c r="U13" s="686"/>
      <c r="V13" s="686"/>
      <c r="W13" s="686"/>
      <c r="X13" s="686"/>
      <c r="Y13" s="686"/>
      <c r="Z13" s="686"/>
      <c r="AA13" s="686"/>
      <c r="AB13" s="686"/>
      <c r="AC13" s="686"/>
      <c r="AD13" s="686"/>
      <c r="AE13" s="686"/>
      <c r="AF13" s="686"/>
    </row>
    <row r="14" ht="15.0" customHeight="1">
      <c r="A14" s="683"/>
      <c r="B14" s="683"/>
      <c r="C14" s="684"/>
      <c r="D14" s="684"/>
      <c r="E14" s="684"/>
      <c r="F14" s="683"/>
      <c r="G14" s="683"/>
      <c r="H14" s="683"/>
      <c r="I14" s="683"/>
      <c r="J14" s="683"/>
      <c r="K14" s="683"/>
      <c r="L14" s="685"/>
      <c r="M14" s="685"/>
      <c r="N14" s="687"/>
      <c r="O14" s="683"/>
      <c r="P14" s="685"/>
      <c r="Q14" s="686"/>
      <c r="R14" s="686"/>
      <c r="S14" s="686"/>
      <c r="T14" s="686"/>
      <c r="U14" s="686"/>
      <c r="V14" s="686"/>
      <c r="W14" s="686"/>
      <c r="X14" s="686"/>
      <c r="Y14" s="686"/>
      <c r="Z14" s="686"/>
      <c r="AA14" s="686"/>
      <c r="AB14" s="686"/>
      <c r="AC14" s="686"/>
      <c r="AD14" s="686"/>
      <c r="AE14" s="686"/>
      <c r="AF14" s="686"/>
    </row>
    <row r="15" ht="15.0" customHeight="1">
      <c r="A15" s="683"/>
      <c r="B15" s="683"/>
      <c r="C15" s="684"/>
      <c r="D15" s="684"/>
      <c r="E15" s="684"/>
      <c r="F15" s="683"/>
      <c r="G15" s="683"/>
      <c r="H15" s="683"/>
      <c r="I15" s="683"/>
      <c r="J15" s="683"/>
      <c r="K15" s="683"/>
      <c r="L15" s="685"/>
      <c r="M15" s="685"/>
      <c r="N15" s="687"/>
      <c r="O15" s="683"/>
      <c r="P15" s="683"/>
      <c r="Q15" s="686"/>
      <c r="R15" s="686"/>
      <c r="S15" s="686"/>
      <c r="T15" s="686"/>
      <c r="U15" s="686"/>
      <c r="V15" s="686"/>
      <c r="W15" s="686"/>
      <c r="X15" s="686"/>
      <c r="Y15" s="686"/>
      <c r="Z15" s="686"/>
      <c r="AA15" s="686"/>
      <c r="AB15" s="686"/>
      <c r="AC15" s="686"/>
      <c r="AD15" s="686"/>
      <c r="AE15" s="686"/>
      <c r="AF15" s="686"/>
    </row>
    <row r="16">
      <c r="A16" s="683"/>
      <c r="B16" s="683"/>
      <c r="C16" s="684"/>
      <c r="D16" s="684"/>
      <c r="E16" s="684"/>
      <c r="F16" s="683"/>
      <c r="G16" s="683"/>
      <c r="H16" s="683"/>
      <c r="I16" s="683"/>
      <c r="J16" s="683"/>
      <c r="K16" s="683"/>
      <c r="L16" s="685"/>
      <c r="M16" s="685"/>
      <c r="N16" s="685"/>
      <c r="O16" s="683"/>
      <c r="P16" s="685"/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</row>
    <row r="17" ht="15.0" customHeight="1">
      <c r="A17" s="683"/>
      <c r="B17" s="683"/>
      <c r="C17" s="684"/>
      <c r="D17" s="684"/>
      <c r="E17" s="684"/>
      <c r="F17" s="683"/>
      <c r="G17" s="683"/>
      <c r="H17" s="683"/>
      <c r="I17" s="683"/>
      <c r="J17" s="683"/>
      <c r="K17" s="683"/>
      <c r="L17" s="685"/>
      <c r="M17" s="685"/>
      <c r="N17" s="687"/>
      <c r="O17" s="683"/>
      <c r="P17" s="683"/>
      <c r="Q17" s="686"/>
      <c r="R17" s="686"/>
      <c r="S17" s="686"/>
      <c r="T17" s="686"/>
      <c r="U17" s="686"/>
      <c r="V17" s="686"/>
      <c r="W17" s="686"/>
      <c r="X17" s="686"/>
      <c r="Y17" s="686"/>
      <c r="Z17" s="686"/>
      <c r="AA17" s="686"/>
      <c r="AB17" s="686"/>
      <c r="AC17" s="686"/>
      <c r="AD17" s="686"/>
      <c r="AE17" s="686"/>
      <c r="AF17" s="686"/>
    </row>
    <row r="18">
      <c r="A18" s="683"/>
      <c r="B18" s="683"/>
      <c r="C18" s="684"/>
      <c r="D18" s="684"/>
      <c r="E18" s="684"/>
      <c r="F18" s="683"/>
      <c r="G18" s="683"/>
      <c r="H18" s="683"/>
      <c r="I18" s="683"/>
      <c r="J18" s="683"/>
      <c r="K18" s="683"/>
      <c r="L18" s="685"/>
      <c r="M18" s="685"/>
      <c r="N18" s="687"/>
      <c r="O18" s="683"/>
      <c r="P18" s="685"/>
      <c r="Q18" s="686"/>
      <c r="R18" s="686"/>
      <c r="S18" s="686"/>
      <c r="T18" s="686"/>
      <c r="U18" s="686"/>
      <c r="V18" s="686"/>
      <c r="W18" s="686"/>
      <c r="X18" s="686"/>
      <c r="Y18" s="686"/>
      <c r="Z18" s="686"/>
      <c r="AA18" s="686"/>
      <c r="AB18" s="686"/>
      <c r="AC18" s="686"/>
      <c r="AD18" s="686"/>
      <c r="AE18" s="686"/>
      <c r="AF18" s="686"/>
    </row>
    <row r="19">
      <c r="A19" s="683">
        <v>56.0</v>
      </c>
      <c r="B19" s="683" t="s">
        <v>1107</v>
      </c>
      <c r="C19" s="684">
        <v>46189.0</v>
      </c>
      <c r="D19" s="684">
        <v>46189.0</v>
      </c>
      <c r="E19" s="684">
        <v>46189.0</v>
      </c>
      <c r="F19" s="683" t="s">
        <v>1108</v>
      </c>
      <c r="G19" s="683" t="s">
        <v>2042</v>
      </c>
      <c r="H19" s="683" t="s">
        <v>2042</v>
      </c>
      <c r="I19" s="683" t="s">
        <v>1110</v>
      </c>
      <c r="J19" s="683" t="s">
        <v>2043</v>
      </c>
      <c r="K19" s="683" t="s">
        <v>265</v>
      </c>
      <c r="L19" s="685">
        <v>14157.62</v>
      </c>
      <c r="M19" s="685">
        <v>14157.62</v>
      </c>
      <c r="N19" s="687">
        <v>14157.62</v>
      </c>
      <c r="O19" s="683" t="s">
        <v>2044</v>
      </c>
      <c r="P19" s="685">
        <v>0.0</v>
      </c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686"/>
      <c r="AB19" s="686"/>
      <c r="AC19" s="686"/>
      <c r="AD19" s="686"/>
      <c r="AE19" s="686"/>
      <c r="AF19" s="686"/>
    </row>
    <row r="20">
      <c r="A20" s="683">
        <v>58.0</v>
      </c>
      <c r="B20" s="683" t="s">
        <v>1107</v>
      </c>
      <c r="C20" s="684">
        <v>46189.0</v>
      </c>
      <c r="D20" s="684">
        <v>46189.0</v>
      </c>
      <c r="E20" s="684">
        <v>46189.0</v>
      </c>
      <c r="F20" s="683" t="s">
        <v>1108</v>
      </c>
      <c r="G20" s="683" t="s">
        <v>2045</v>
      </c>
      <c r="H20" s="683" t="s">
        <v>2045</v>
      </c>
      <c r="I20" s="683" t="s">
        <v>1110</v>
      </c>
      <c r="J20" s="683" t="s">
        <v>2046</v>
      </c>
      <c r="K20" s="683" t="s">
        <v>265</v>
      </c>
      <c r="L20" s="685">
        <v>6760.7</v>
      </c>
      <c r="M20" s="685">
        <v>6760.7</v>
      </c>
      <c r="N20" s="687">
        <v>6760.7</v>
      </c>
      <c r="O20" s="683" t="s">
        <v>2047</v>
      </c>
      <c r="P20" s="685">
        <v>0.0</v>
      </c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86"/>
      <c r="AB20" s="686"/>
      <c r="AC20" s="686"/>
      <c r="AD20" s="686"/>
      <c r="AE20" s="686"/>
      <c r="AF20" s="686"/>
    </row>
    <row r="21">
      <c r="A21" s="683"/>
      <c r="B21" s="683"/>
      <c r="C21" s="684"/>
      <c r="D21" s="684"/>
      <c r="E21" s="684"/>
      <c r="F21" s="683"/>
      <c r="G21" s="683"/>
      <c r="H21" s="683"/>
      <c r="I21" s="683"/>
      <c r="J21" s="683"/>
      <c r="K21" s="683"/>
      <c r="L21" s="685"/>
      <c r="M21" s="685" t="s">
        <v>1165</v>
      </c>
      <c r="N21" s="687">
        <f>SUM(N19:N20)</f>
        <v>20918.32</v>
      </c>
      <c r="O21" s="688" t="s">
        <v>2048</v>
      </c>
      <c r="P21" s="685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86"/>
      <c r="AB21" s="686"/>
      <c r="AC21" s="686"/>
      <c r="AD21" s="686"/>
      <c r="AE21" s="686"/>
      <c r="AF21" s="686"/>
    </row>
    <row r="22" ht="15.0" customHeight="1">
      <c r="A22" s="683"/>
      <c r="B22" s="683"/>
      <c r="C22" s="684"/>
      <c r="D22" s="684"/>
      <c r="E22" s="684"/>
      <c r="F22" s="683"/>
      <c r="G22" s="683"/>
      <c r="H22" s="683"/>
      <c r="I22" s="683"/>
      <c r="J22" s="683"/>
      <c r="K22" s="683"/>
      <c r="L22" s="685"/>
      <c r="M22" s="685" t="s">
        <v>2049</v>
      </c>
      <c r="N22" s="687">
        <v>7239.55</v>
      </c>
      <c r="O22" s="683"/>
      <c r="P22" s="685"/>
      <c r="Q22" s="686"/>
      <c r="R22" s="686"/>
      <c r="S22" s="686"/>
      <c r="T22" s="686"/>
      <c r="U22" s="686"/>
      <c r="V22" s="686"/>
      <c r="W22" s="686"/>
      <c r="X22" s="686"/>
      <c r="Y22" s="686"/>
      <c r="Z22" s="686"/>
      <c r="AA22" s="686"/>
      <c r="AB22" s="686"/>
      <c r="AC22" s="686"/>
      <c r="AD22" s="686"/>
      <c r="AE22" s="686"/>
      <c r="AF22" s="686"/>
    </row>
    <row r="23" ht="15.0" customHeight="1">
      <c r="A23" s="683"/>
      <c r="B23" s="683"/>
      <c r="C23" s="684"/>
      <c r="D23" s="684"/>
      <c r="E23" s="684"/>
      <c r="F23" s="683"/>
      <c r="G23" s="683"/>
      <c r="H23" s="683"/>
      <c r="I23" s="683"/>
      <c r="J23" s="683"/>
      <c r="K23" s="683"/>
      <c r="L23" s="685"/>
      <c r="M23" s="685"/>
      <c r="N23" s="687"/>
      <c r="O23" s="683"/>
      <c r="P23" s="683"/>
      <c r="Q23" s="686"/>
      <c r="R23" s="686"/>
      <c r="S23" s="686"/>
      <c r="T23" s="686"/>
      <c r="U23" s="686"/>
      <c r="V23" s="686"/>
      <c r="W23" s="686"/>
      <c r="X23" s="686"/>
      <c r="Y23" s="686"/>
      <c r="Z23" s="686"/>
      <c r="AA23" s="686"/>
      <c r="AB23" s="686"/>
      <c r="AC23" s="686"/>
      <c r="AD23" s="686"/>
      <c r="AE23" s="686"/>
      <c r="AF23" s="686"/>
    </row>
    <row r="24" ht="15.0" customHeight="1">
      <c r="A24" s="683"/>
      <c r="B24" s="683"/>
      <c r="C24" s="684"/>
      <c r="D24" s="684"/>
      <c r="E24" s="684"/>
      <c r="F24" s="683"/>
      <c r="G24" s="683"/>
      <c r="H24" s="683"/>
      <c r="I24" s="683"/>
      <c r="J24" s="683"/>
      <c r="K24" s="683"/>
      <c r="L24" s="685"/>
      <c r="M24" s="685"/>
      <c r="N24" s="687"/>
      <c r="O24" s="683"/>
      <c r="P24" s="683"/>
      <c r="Q24" s="686"/>
      <c r="R24" s="686"/>
      <c r="S24" s="686"/>
      <c r="T24" s="686"/>
      <c r="U24" s="686"/>
      <c r="V24" s="686"/>
      <c r="W24" s="686"/>
      <c r="X24" s="686"/>
      <c r="Y24" s="686"/>
      <c r="Z24" s="686"/>
      <c r="AA24" s="686"/>
      <c r="AB24" s="686"/>
      <c r="AC24" s="686"/>
      <c r="AD24" s="686"/>
      <c r="AE24" s="686"/>
      <c r="AF24" s="686"/>
    </row>
    <row r="25" ht="15.0" customHeight="1">
      <c r="A25" s="683"/>
      <c r="B25" s="683"/>
      <c r="C25" s="684"/>
      <c r="D25" s="684"/>
      <c r="E25" s="684"/>
      <c r="F25" s="683"/>
      <c r="G25" s="683"/>
      <c r="H25" s="683"/>
      <c r="I25" s="683"/>
      <c r="J25" s="683"/>
      <c r="K25" s="683"/>
      <c r="L25" s="685"/>
      <c r="M25" s="685"/>
      <c r="N25" s="685"/>
      <c r="O25" s="683"/>
      <c r="P25" s="683"/>
      <c r="Q25" s="686"/>
      <c r="R25" s="686"/>
      <c r="S25" s="686"/>
      <c r="T25" s="686"/>
      <c r="U25" s="686"/>
      <c r="V25" s="686"/>
      <c r="W25" s="686"/>
      <c r="X25" s="686"/>
      <c r="Y25" s="686"/>
      <c r="Z25" s="686"/>
      <c r="AA25" s="686"/>
      <c r="AB25" s="686"/>
      <c r="AC25" s="686"/>
      <c r="AD25" s="686"/>
      <c r="AE25" s="686"/>
      <c r="AF25" s="686"/>
    </row>
    <row r="26" ht="15.0" customHeight="1">
      <c r="A26" s="683"/>
      <c r="B26" s="683"/>
      <c r="C26" s="684"/>
      <c r="D26" s="684"/>
      <c r="E26" s="684"/>
      <c r="F26" s="683"/>
      <c r="G26" s="683"/>
      <c r="H26" s="683"/>
      <c r="I26" s="683"/>
      <c r="J26" s="683"/>
      <c r="K26" s="683"/>
      <c r="L26" s="685"/>
      <c r="M26" s="685"/>
      <c r="N26" s="685"/>
      <c r="O26" s="683"/>
      <c r="P26" s="683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86"/>
      <c r="AB26" s="686"/>
      <c r="AC26" s="686"/>
      <c r="AD26" s="686"/>
      <c r="AE26" s="686"/>
      <c r="AF26" s="686"/>
    </row>
    <row r="27" ht="15.0" customHeight="1">
      <c r="A27" s="683"/>
      <c r="B27" s="683"/>
      <c r="C27" s="684"/>
      <c r="D27" s="684"/>
      <c r="E27" s="684"/>
      <c r="F27" s="683"/>
      <c r="G27" s="683"/>
      <c r="H27" s="683"/>
      <c r="I27" s="683"/>
      <c r="J27" s="683"/>
      <c r="K27" s="683"/>
      <c r="L27" s="685"/>
      <c r="M27" s="685"/>
      <c r="N27" s="687"/>
      <c r="O27" s="683"/>
      <c r="P27" s="685"/>
      <c r="Q27" s="686"/>
      <c r="R27" s="686"/>
      <c r="S27" s="686"/>
      <c r="T27" s="686"/>
      <c r="U27" s="686"/>
      <c r="V27" s="686"/>
      <c r="W27" s="686"/>
      <c r="X27" s="686"/>
      <c r="Y27" s="686"/>
      <c r="Z27" s="686"/>
      <c r="AA27" s="686"/>
      <c r="AB27" s="686"/>
      <c r="AC27" s="686"/>
      <c r="AD27" s="686"/>
      <c r="AE27" s="686"/>
      <c r="AF27" s="686"/>
    </row>
    <row r="28" ht="15.0" customHeight="1">
      <c r="A28" s="683">
        <v>2.0</v>
      </c>
      <c r="B28" s="683" t="s">
        <v>1107</v>
      </c>
      <c r="C28" s="684">
        <v>46189.0</v>
      </c>
      <c r="D28" s="684">
        <v>46189.0</v>
      </c>
      <c r="E28" s="684"/>
      <c r="F28" s="683" t="s">
        <v>1108</v>
      </c>
      <c r="G28" s="683" t="s">
        <v>2050</v>
      </c>
      <c r="H28" s="683" t="s">
        <v>2050</v>
      </c>
      <c r="I28" s="683" t="s">
        <v>1168</v>
      </c>
      <c r="J28" s="683" t="s">
        <v>2051</v>
      </c>
      <c r="K28" s="683" t="s">
        <v>167</v>
      </c>
      <c r="L28" s="685">
        <v>16425.73</v>
      </c>
      <c r="M28" s="685">
        <v>16425.73</v>
      </c>
      <c r="N28" s="687">
        <v>16425.73</v>
      </c>
      <c r="O28" s="683" t="s">
        <v>2052</v>
      </c>
      <c r="P28" s="683">
        <v>0.0</v>
      </c>
      <c r="Q28" s="686"/>
      <c r="R28" s="686"/>
      <c r="S28" s="686"/>
      <c r="T28" s="686"/>
      <c r="U28" s="686"/>
      <c r="V28" s="686"/>
      <c r="W28" s="686"/>
      <c r="X28" s="686"/>
      <c r="Y28" s="686"/>
      <c r="Z28" s="686"/>
      <c r="AA28" s="686"/>
      <c r="AB28" s="686"/>
      <c r="AC28" s="686"/>
      <c r="AD28" s="686"/>
      <c r="AE28" s="686"/>
      <c r="AF28" s="686"/>
    </row>
    <row r="29" ht="15.0" customHeight="1">
      <c r="A29" s="683">
        <v>9.0</v>
      </c>
      <c r="B29" s="683" t="s">
        <v>1107</v>
      </c>
      <c r="C29" s="684">
        <v>46189.0</v>
      </c>
      <c r="D29" s="684">
        <v>46189.0</v>
      </c>
      <c r="E29" s="684"/>
      <c r="F29" s="683" t="s">
        <v>1108</v>
      </c>
      <c r="G29" s="683" t="s">
        <v>2053</v>
      </c>
      <c r="H29" s="683" t="s">
        <v>2053</v>
      </c>
      <c r="I29" s="683" t="s">
        <v>1168</v>
      </c>
      <c r="J29" s="683" t="s">
        <v>2054</v>
      </c>
      <c r="K29" s="683" t="s">
        <v>167</v>
      </c>
      <c r="L29" s="685">
        <v>12686.03</v>
      </c>
      <c r="M29" s="685">
        <v>12686.03</v>
      </c>
      <c r="N29" s="687">
        <v>12686.03</v>
      </c>
      <c r="O29" s="683" t="s">
        <v>2055</v>
      </c>
      <c r="P29" s="685">
        <v>0.0</v>
      </c>
      <c r="Q29" s="686"/>
      <c r="R29" s="686"/>
      <c r="S29" s="686"/>
      <c r="T29" s="686"/>
      <c r="U29" s="686"/>
      <c r="V29" s="686"/>
      <c r="W29" s="686"/>
      <c r="X29" s="686"/>
      <c r="Y29" s="686"/>
      <c r="Z29" s="686"/>
      <c r="AA29" s="686"/>
      <c r="AB29" s="686"/>
      <c r="AC29" s="686"/>
      <c r="AD29" s="686"/>
      <c r="AE29" s="686"/>
      <c r="AF29" s="686"/>
    </row>
    <row r="30" ht="15.0" customHeight="1">
      <c r="A30" s="683">
        <v>10.0</v>
      </c>
      <c r="B30" s="683" t="s">
        <v>1107</v>
      </c>
      <c r="C30" s="684">
        <v>46189.0</v>
      </c>
      <c r="D30" s="684">
        <v>46189.0</v>
      </c>
      <c r="E30" s="684"/>
      <c r="F30" s="683" t="s">
        <v>1108</v>
      </c>
      <c r="G30" s="683" t="s">
        <v>2056</v>
      </c>
      <c r="H30" s="683" t="s">
        <v>2057</v>
      </c>
      <c r="I30" s="683" t="s">
        <v>1168</v>
      </c>
      <c r="J30" s="683" t="s">
        <v>2058</v>
      </c>
      <c r="K30" s="683" t="s">
        <v>167</v>
      </c>
      <c r="L30" s="685">
        <v>100.11</v>
      </c>
      <c r="M30" s="685">
        <v>100.11</v>
      </c>
      <c r="N30" s="687">
        <v>100.11</v>
      </c>
      <c r="O30" s="683" t="s">
        <v>2059</v>
      </c>
      <c r="P30" s="683">
        <v>0.0</v>
      </c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86"/>
      <c r="AB30" s="686"/>
      <c r="AC30" s="686"/>
      <c r="AD30" s="686"/>
      <c r="AE30" s="686"/>
      <c r="AF30" s="686"/>
    </row>
    <row r="31" ht="15.0" customHeight="1">
      <c r="A31" s="683">
        <v>11.0</v>
      </c>
      <c r="B31" s="683" t="s">
        <v>1107</v>
      </c>
      <c r="C31" s="684">
        <v>46189.0</v>
      </c>
      <c r="D31" s="684">
        <v>46189.0</v>
      </c>
      <c r="E31" s="684"/>
      <c r="F31" s="683" t="s">
        <v>1108</v>
      </c>
      <c r="G31" s="683" t="s">
        <v>2060</v>
      </c>
      <c r="H31" s="683" t="s">
        <v>2060</v>
      </c>
      <c r="I31" s="683" t="s">
        <v>1168</v>
      </c>
      <c r="J31" s="683" t="s">
        <v>2061</v>
      </c>
      <c r="K31" s="683" t="s">
        <v>167</v>
      </c>
      <c r="L31" s="685">
        <v>12405.64</v>
      </c>
      <c r="M31" s="685">
        <v>12405.64</v>
      </c>
      <c r="N31" s="687">
        <v>12405.64</v>
      </c>
      <c r="O31" s="683" t="s">
        <v>2062</v>
      </c>
      <c r="P31" s="685">
        <v>0.0</v>
      </c>
      <c r="Q31" s="686"/>
      <c r="R31" s="686"/>
      <c r="S31" s="686"/>
      <c r="T31" s="686"/>
      <c r="U31" s="686"/>
      <c r="V31" s="686"/>
      <c r="W31" s="686"/>
      <c r="X31" s="686"/>
      <c r="Y31" s="686"/>
      <c r="Z31" s="686"/>
      <c r="AA31" s="686"/>
      <c r="AB31" s="686"/>
      <c r="AC31" s="686"/>
      <c r="AD31" s="686"/>
      <c r="AE31" s="686"/>
      <c r="AF31" s="686"/>
    </row>
    <row r="32" ht="15.0" customHeight="1">
      <c r="A32" s="683">
        <v>14.0</v>
      </c>
      <c r="B32" s="683" t="s">
        <v>1107</v>
      </c>
      <c r="C32" s="684">
        <v>46189.0</v>
      </c>
      <c r="D32" s="684">
        <v>46189.0</v>
      </c>
      <c r="E32" s="684"/>
      <c r="F32" s="683" t="s">
        <v>1108</v>
      </c>
      <c r="G32" s="683" t="s">
        <v>2063</v>
      </c>
      <c r="H32" s="683" t="s">
        <v>2063</v>
      </c>
      <c r="I32" s="683" t="s">
        <v>1168</v>
      </c>
      <c r="J32" s="683" t="s">
        <v>2064</v>
      </c>
      <c r="K32" s="683" t="s">
        <v>167</v>
      </c>
      <c r="L32" s="685">
        <v>11695.94</v>
      </c>
      <c r="M32" s="685">
        <v>11695.94</v>
      </c>
      <c r="N32" s="687">
        <v>11695.94</v>
      </c>
      <c r="O32" s="683" t="s">
        <v>2065</v>
      </c>
      <c r="P32" s="685">
        <v>0.0</v>
      </c>
      <c r="Q32" s="686"/>
      <c r="R32" s="686"/>
      <c r="S32" s="686"/>
      <c r="T32" s="686"/>
      <c r="U32" s="686"/>
      <c r="V32" s="686"/>
      <c r="W32" s="686"/>
      <c r="X32" s="686"/>
      <c r="Y32" s="686"/>
      <c r="Z32" s="686"/>
      <c r="AA32" s="686"/>
      <c r="AB32" s="686"/>
      <c r="AC32" s="686"/>
      <c r="AD32" s="686"/>
      <c r="AE32" s="686"/>
      <c r="AF32" s="686"/>
    </row>
    <row r="33" ht="15.0" customHeight="1">
      <c r="A33" s="683">
        <v>15.0</v>
      </c>
      <c r="B33" s="683" t="s">
        <v>1107</v>
      </c>
      <c r="C33" s="684">
        <v>46189.0</v>
      </c>
      <c r="D33" s="684">
        <v>46189.0</v>
      </c>
      <c r="E33" s="684"/>
      <c r="F33" s="683" t="s">
        <v>1108</v>
      </c>
      <c r="G33" s="683" t="s">
        <v>2066</v>
      </c>
      <c r="H33" s="683" t="s">
        <v>2066</v>
      </c>
      <c r="I33" s="683" t="s">
        <v>1168</v>
      </c>
      <c r="J33" s="683" t="s">
        <v>2067</v>
      </c>
      <c r="K33" s="683" t="s">
        <v>167</v>
      </c>
      <c r="L33" s="685">
        <v>5627.93</v>
      </c>
      <c r="M33" s="685">
        <v>5627.93</v>
      </c>
      <c r="N33" s="687">
        <v>5627.93</v>
      </c>
      <c r="O33" s="683" t="s">
        <v>2068</v>
      </c>
      <c r="P33" s="683">
        <v>0.0</v>
      </c>
      <c r="Q33" s="686"/>
      <c r="R33" s="686"/>
      <c r="S33" s="686"/>
      <c r="T33" s="686"/>
      <c r="U33" s="686"/>
      <c r="V33" s="686"/>
      <c r="W33" s="686"/>
      <c r="X33" s="686"/>
      <c r="Y33" s="686"/>
      <c r="Z33" s="686"/>
      <c r="AA33" s="686"/>
      <c r="AB33" s="686"/>
      <c r="AC33" s="686"/>
      <c r="AD33" s="686"/>
      <c r="AE33" s="686"/>
      <c r="AF33" s="686"/>
    </row>
    <row r="34" ht="15.0" customHeight="1">
      <c r="A34" s="683">
        <v>17.0</v>
      </c>
      <c r="B34" s="683" t="s">
        <v>1107</v>
      </c>
      <c r="C34" s="684">
        <v>46189.0</v>
      </c>
      <c r="D34" s="684">
        <v>46189.0</v>
      </c>
      <c r="E34" s="684"/>
      <c r="F34" s="683" t="s">
        <v>1108</v>
      </c>
      <c r="G34" s="683" t="s">
        <v>2069</v>
      </c>
      <c r="H34" s="683" t="s">
        <v>2070</v>
      </c>
      <c r="I34" s="683" t="s">
        <v>1168</v>
      </c>
      <c r="J34" s="683" t="s">
        <v>2071</v>
      </c>
      <c r="K34" s="683" t="s">
        <v>167</v>
      </c>
      <c r="L34" s="685">
        <v>21211.24</v>
      </c>
      <c r="M34" s="685">
        <v>21211.24</v>
      </c>
      <c r="N34" s="685">
        <v>21211.24</v>
      </c>
      <c r="O34" s="683" t="s">
        <v>2072</v>
      </c>
      <c r="P34" s="683">
        <v>0.0</v>
      </c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86"/>
      <c r="AB34" s="686"/>
      <c r="AC34" s="686"/>
      <c r="AD34" s="686"/>
      <c r="AE34" s="686"/>
      <c r="AF34" s="686"/>
    </row>
    <row r="35" ht="15.0" customHeight="1">
      <c r="A35" s="683">
        <v>18.0</v>
      </c>
      <c r="B35" s="683" t="s">
        <v>1107</v>
      </c>
      <c r="C35" s="684">
        <v>46189.0</v>
      </c>
      <c r="D35" s="684">
        <v>46189.0</v>
      </c>
      <c r="E35" s="684"/>
      <c r="F35" s="683" t="s">
        <v>1108</v>
      </c>
      <c r="G35" s="683" t="s">
        <v>2073</v>
      </c>
      <c r="H35" s="683" t="s">
        <v>2073</v>
      </c>
      <c r="I35" s="683" t="s">
        <v>1168</v>
      </c>
      <c r="J35" s="683" t="s">
        <v>2074</v>
      </c>
      <c r="K35" s="683" t="s">
        <v>167</v>
      </c>
      <c r="L35" s="685">
        <v>18761.71</v>
      </c>
      <c r="M35" s="685">
        <v>18761.71</v>
      </c>
      <c r="N35" s="687">
        <v>18761.71</v>
      </c>
      <c r="O35" s="683" t="s">
        <v>2075</v>
      </c>
      <c r="P35" s="683">
        <v>0.0</v>
      </c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86"/>
      <c r="AB35" s="686"/>
      <c r="AC35" s="686"/>
      <c r="AD35" s="686"/>
      <c r="AE35" s="686"/>
      <c r="AF35" s="686"/>
    </row>
    <row r="36" ht="15.0" customHeight="1">
      <c r="A36" s="683">
        <v>20.0</v>
      </c>
      <c r="B36" s="683" t="s">
        <v>1107</v>
      </c>
      <c r="C36" s="684">
        <v>46189.0</v>
      </c>
      <c r="D36" s="684">
        <v>46189.0</v>
      </c>
      <c r="E36" s="684"/>
      <c r="F36" s="683" t="s">
        <v>1108</v>
      </c>
      <c r="G36" s="683" t="s">
        <v>2076</v>
      </c>
      <c r="H36" s="683" t="s">
        <v>2076</v>
      </c>
      <c r="I36" s="683" t="s">
        <v>1168</v>
      </c>
      <c r="J36" s="683" t="s">
        <v>2077</v>
      </c>
      <c r="K36" s="683" t="s">
        <v>167</v>
      </c>
      <c r="L36" s="685">
        <v>21042.51</v>
      </c>
      <c r="M36" s="685">
        <v>21042.51</v>
      </c>
      <c r="N36" s="687">
        <v>21042.51</v>
      </c>
      <c r="O36" s="683" t="s">
        <v>2078</v>
      </c>
      <c r="P36" s="685">
        <v>0.0</v>
      </c>
      <c r="Q36" s="686"/>
      <c r="R36" s="686"/>
      <c r="S36" s="686"/>
      <c r="T36" s="686"/>
      <c r="U36" s="686"/>
      <c r="V36" s="686"/>
      <c r="W36" s="686"/>
      <c r="X36" s="686"/>
      <c r="Y36" s="686"/>
      <c r="Z36" s="686"/>
      <c r="AA36" s="686"/>
      <c r="AB36" s="686"/>
      <c r="AC36" s="686"/>
      <c r="AD36" s="686"/>
      <c r="AE36" s="686"/>
      <c r="AF36" s="686"/>
    </row>
    <row r="37" ht="15.0" customHeight="1">
      <c r="A37" s="683">
        <v>23.0</v>
      </c>
      <c r="B37" s="683" t="s">
        <v>1107</v>
      </c>
      <c r="C37" s="684">
        <v>46189.0</v>
      </c>
      <c r="D37" s="684">
        <v>46189.0</v>
      </c>
      <c r="E37" s="684"/>
      <c r="F37" s="683" t="s">
        <v>1108</v>
      </c>
      <c r="G37" s="683" t="s">
        <v>2079</v>
      </c>
      <c r="H37" s="683" t="s">
        <v>2079</v>
      </c>
      <c r="I37" s="683" t="s">
        <v>1168</v>
      </c>
      <c r="J37" s="683" t="s">
        <v>2080</v>
      </c>
      <c r="K37" s="683" t="s">
        <v>167</v>
      </c>
      <c r="L37" s="685">
        <v>22416.6</v>
      </c>
      <c r="M37" s="685">
        <v>22416.6</v>
      </c>
      <c r="N37" s="687">
        <v>22416.6</v>
      </c>
      <c r="O37" s="683" t="s">
        <v>2081</v>
      </c>
      <c r="P37" s="683">
        <v>0.0</v>
      </c>
      <c r="Q37" s="683"/>
      <c r="R37" s="686"/>
      <c r="S37" s="686"/>
      <c r="T37" s="686"/>
      <c r="U37" s="686"/>
      <c r="V37" s="686"/>
      <c r="W37" s="686"/>
      <c r="X37" s="686"/>
      <c r="Y37" s="686"/>
      <c r="Z37" s="686"/>
      <c r="AA37" s="686"/>
      <c r="AB37" s="686"/>
      <c r="AC37" s="686"/>
      <c r="AD37" s="686"/>
      <c r="AE37" s="686"/>
      <c r="AF37" s="686"/>
    </row>
    <row r="38" ht="15.0" customHeight="1">
      <c r="A38" s="683">
        <v>24.0</v>
      </c>
      <c r="B38" s="683" t="s">
        <v>1107</v>
      </c>
      <c r="C38" s="684">
        <v>46189.0</v>
      </c>
      <c r="D38" s="684">
        <v>46189.0</v>
      </c>
      <c r="E38" s="684"/>
      <c r="F38" s="683" t="s">
        <v>1108</v>
      </c>
      <c r="G38" s="683" t="s">
        <v>2082</v>
      </c>
      <c r="H38" s="683" t="s">
        <v>2083</v>
      </c>
      <c r="I38" s="683" t="s">
        <v>1168</v>
      </c>
      <c r="J38" s="683" t="s">
        <v>2084</v>
      </c>
      <c r="K38" s="683" t="s">
        <v>167</v>
      </c>
      <c r="L38" s="685">
        <v>5216.58</v>
      </c>
      <c r="M38" s="685">
        <v>5216.58</v>
      </c>
      <c r="N38" s="687">
        <v>5216.58</v>
      </c>
      <c r="O38" s="683" t="s">
        <v>2085</v>
      </c>
      <c r="P38" s="683">
        <v>0.0</v>
      </c>
      <c r="Q38" s="683"/>
      <c r="R38" s="686"/>
      <c r="S38" s="686"/>
      <c r="T38" s="686"/>
      <c r="U38" s="686"/>
      <c r="V38" s="686"/>
      <c r="W38" s="686"/>
      <c r="X38" s="686"/>
      <c r="Y38" s="686"/>
      <c r="Z38" s="686"/>
      <c r="AA38" s="686"/>
      <c r="AB38" s="686"/>
      <c r="AC38" s="686"/>
      <c r="AD38" s="686"/>
      <c r="AE38" s="686"/>
      <c r="AF38" s="686"/>
    </row>
    <row r="39" ht="15.0" customHeight="1">
      <c r="A39" s="683">
        <v>28.0</v>
      </c>
      <c r="B39" s="683" t="s">
        <v>1107</v>
      </c>
      <c r="C39" s="684">
        <v>46189.0</v>
      </c>
      <c r="D39" s="684">
        <v>46189.0</v>
      </c>
      <c r="E39" s="684"/>
      <c r="F39" s="683" t="s">
        <v>1108</v>
      </c>
      <c r="G39" s="689" t="s">
        <v>2086</v>
      </c>
      <c r="H39" s="689" t="s">
        <v>2086</v>
      </c>
      <c r="I39" s="683" t="s">
        <v>1168</v>
      </c>
      <c r="J39" s="683" t="s">
        <v>2087</v>
      </c>
      <c r="K39" s="683" t="s">
        <v>167</v>
      </c>
      <c r="L39" s="685">
        <v>8679.24</v>
      </c>
      <c r="M39" s="685">
        <v>8679.24</v>
      </c>
      <c r="N39" s="687">
        <v>8679.24</v>
      </c>
      <c r="O39" s="683" t="s">
        <v>2088</v>
      </c>
      <c r="P39" s="683">
        <v>0.0</v>
      </c>
      <c r="Q39" s="683"/>
      <c r="R39" s="686"/>
      <c r="S39" s="686"/>
      <c r="T39" s="686"/>
      <c r="U39" s="686"/>
      <c r="V39" s="686"/>
      <c r="W39" s="686"/>
      <c r="X39" s="686"/>
      <c r="Y39" s="686"/>
      <c r="Z39" s="686"/>
      <c r="AA39" s="686"/>
      <c r="AB39" s="686"/>
      <c r="AC39" s="686"/>
      <c r="AD39" s="686"/>
      <c r="AE39" s="686"/>
      <c r="AF39" s="686"/>
    </row>
    <row r="40" ht="15.0" customHeight="1">
      <c r="A40" s="683">
        <v>30.0</v>
      </c>
      <c r="B40" s="683" t="s">
        <v>1107</v>
      </c>
      <c r="C40" s="684">
        <v>46189.0</v>
      </c>
      <c r="D40" s="684">
        <v>46189.0</v>
      </c>
      <c r="E40" s="684"/>
      <c r="F40" s="683" t="s">
        <v>1108</v>
      </c>
      <c r="G40" s="689" t="s">
        <v>2089</v>
      </c>
      <c r="H40" s="689" t="s">
        <v>2089</v>
      </c>
      <c r="I40" s="683" t="s">
        <v>1168</v>
      </c>
      <c r="J40" s="683" t="s">
        <v>2090</v>
      </c>
      <c r="K40" s="683" t="s">
        <v>167</v>
      </c>
      <c r="L40" s="685">
        <v>586.28</v>
      </c>
      <c r="M40" s="685">
        <v>586.28</v>
      </c>
      <c r="N40" s="687">
        <v>586.28</v>
      </c>
      <c r="O40" s="683" t="s">
        <v>2091</v>
      </c>
      <c r="P40" s="683">
        <v>0.0</v>
      </c>
      <c r="Q40" s="683"/>
      <c r="R40" s="686"/>
      <c r="S40" s="686"/>
      <c r="T40" s="686"/>
      <c r="U40" s="686"/>
      <c r="V40" s="686"/>
      <c r="W40" s="686"/>
      <c r="X40" s="686"/>
      <c r="Y40" s="686"/>
      <c r="Z40" s="686"/>
      <c r="AA40" s="686"/>
      <c r="AB40" s="686"/>
      <c r="AC40" s="686"/>
      <c r="AD40" s="686"/>
      <c r="AE40" s="686"/>
      <c r="AF40" s="686"/>
    </row>
    <row r="41" ht="15.0" customHeight="1">
      <c r="A41" s="683">
        <v>32.0</v>
      </c>
      <c r="B41" s="683" t="s">
        <v>1107</v>
      </c>
      <c r="C41" s="684">
        <v>46189.0</v>
      </c>
      <c r="D41" s="684">
        <v>46189.0</v>
      </c>
      <c r="E41" s="684"/>
      <c r="F41" s="683" t="s">
        <v>1108</v>
      </c>
      <c r="G41" s="689" t="s">
        <v>2092</v>
      </c>
      <c r="H41" s="689" t="s">
        <v>2092</v>
      </c>
      <c r="I41" s="683" t="s">
        <v>1168</v>
      </c>
      <c r="J41" s="683" t="s">
        <v>2093</v>
      </c>
      <c r="K41" s="683" t="s">
        <v>167</v>
      </c>
      <c r="L41" s="685">
        <v>37974.42</v>
      </c>
      <c r="M41" s="685">
        <v>37974.42</v>
      </c>
      <c r="N41" s="687">
        <v>37974.42</v>
      </c>
      <c r="O41" s="683" t="s">
        <v>2094</v>
      </c>
      <c r="P41" s="685">
        <v>0.0</v>
      </c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86"/>
      <c r="AB41" s="686"/>
      <c r="AC41" s="686"/>
      <c r="AD41" s="686"/>
      <c r="AE41" s="686"/>
      <c r="AF41" s="686"/>
    </row>
    <row r="42" ht="15.0" customHeight="1">
      <c r="A42" s="683">
        <v>37.0</v>
      </c>
      <c r="B42" s="683" t="s">
        <v>1107</v>
      </c>
      <c r="C42" s="684">
        <v>46189.0</v>
      </c>
      <c r="D42" s="684">
        <v>46189.0</v>
      </c>
      <c r="E42" s="684"/>
      <c r="F42" s="683" t="s">
        <v>1108</v>
      </c>
      <c r="G42" s="689" t="s">
        <v>2095</v>
      </c>
      <c r="H42" s="689" t="s">
        <v>2095</v>
      </c>
      <c r="I42" s="683" t="s">
        <v>1168</v>
      </c>
      <c r="J42" s="683" t="s">
        <v>2096</v>
      </c>
      <c r="K42" s="683" t="s">
        <v>167</v>
      </c>
      <c r="L42" s="685">
        <v>16002.06</v>
      </c>
      <c r="M42" s="685">
        <v>16002.06</v>
      </c>
      <c r="N42" s="687">
        <v>16002.06</v>
      </c>
      <c r="O42" s="683" t="s">
        <v>2097</v>
      </c>
      <c r="P42" s="685">
        <v>0.0</v>
      </c>
      <c r="Q42" s="686"/>
      <c r="R42" s="686"/>
      <c r="S42" s="686"/>
      <c r="T42" s="686"/>
      <c r="U42" s="686"/>
      <c r="V42" s="686"/>
      <c r="W42" s="686"/>
      <c r="X42" s="686"/>
      <c r="Y42" s="686"/>
      <c r="Z42" s="686"/>
      <c r="AA42" s="686"/>
      <c r="AB42" s="686"/>
      <c r="AC42" s="686"/>
      <c r="AD42" s="686"/>
      <c r="AE42" s="686"/>
      <c r="AF42" s="686"/>
    </row>
    <row r="43" ht="15.0" customHeight="1">
      <c r="A43" s="683">
        <v>38.0</v>
      </c>
      <c r="B43" s="683" t="s">
        <v>1107</v>
      </c>
      <c r="C43" s="684">
        <v>46189.0</v>
      </c>
      <c r="D43" s="684">
        <v>46189.0</v>
      </c>
      <c r="E43" s="684"/>
      <c r="F43" s="683" t="s">
        <v>1108</v>
      </c>
      <c r="G43" s="683" t="s">
        <v>2098</v>
      </c>
      <c r="H43" s="683" t="s">
        <v>2099</v>
      </c>
      <c r="I43" s="683" t="s">
        <v>1168</v>
      </c>
      <c r="J43" s="683" t="s">
        <v>2100</v>
      </c>
      <c r="K43" s="683" t="s">
        <v>167</v>
      </c>
      <c r="L43" s="685">
        <v>23641.62</v>
      </c>
      <c r="M43" s="685">
        <v>23641.62</v>
      </c>
      <c r="N43" s="687">
        <v>23641.62</v>
      </c>
      <c r="O43" s="683" t="s">
        <v>2101</v>
      </c>
      <c r="P43" s="690">
        <v>0.0</v>
      </c>
      <c r="Q43" s="683"/>
      <c r="R43" s="686"/>
      <c r="S43" s="686"/>
      <c r="T43" s="686"/>
      <c r="U43" s="686"/>
      <c r="V43" s="686"/>
      <c r="W43" s="686"/>
      <c r="X43" s="686"/>
      <c r="Y43" s="686"/>
      <c r="Z43" s="686"/>
      <c r="AA43" s="686"/>
      <c r="AB43" s="686"/>
      <c r="AC43" s="686"/>
      <c r="AD43" s="686"/>
      <c r="AE43" s="686"/>
      <c r="AF43" s="686"/>
    </row>
    <row r="44" ht="15.0" customHeight="1">
      <c r="A44" s="683">
        <v>41.0</v>
      </c>
      <c r="B44" s="683" t="s">
        <v>1107</v>
      </c>
      <c r="C44" s="684">
        <v>46189.0</v>
      </c>
      <c r="D44" s="684">
        <v>46189.0</v>
      </c>
      <c r="E44" s="684"/>
      <c r="F44" s="683" t="s">
        <v>1108</v>
      </c>
      <c r="G44" s="683" t="s">
        <v>2102</v>
      </c>
      <c r="H44" s="683" t="s">
        <v>2103</v>
      </c>
      <c r="I44" s="683" t="s">
        <v>1168</v>
      </c>
      <c r="J44" s="683" t="s">
        <v>2104</v>
      </c>
      <c r="K44" s="683" t="s">
        <v>167</v>
      </c>
      <c r="L44" s="685">
        <v>56228.68</v>
      </c>
      <c r="M44" s="685">
        <v>56228.68</v>
      </c>
      <c r="N44" s="687">
        <v>56228.68</v>
      </c>
      <c r="O44" s="683" t="s">
        <v>2105</v>
      </c>
      <c r="P44" s="685">
        <v>0.0</v>
      </c>
      <c r="Q44" s="683"/>
      <c r="R44" s="686"/>
      <c r="S44" s="686"/>
      <c r="T44" s="686"/>
      <c r="U44" s="686"/>
      <c r="V44" s="686"/>
      <c r="W44" s="686"/>
      <c r="X44" s="686"/>
      <c r="Y44" s="686"/>
      <c r="Z44" s="686"/>
      <c r="AA44" s="686"/>
      <c r="AB44" s="686"/>
      <c r="AC44" s="686"/>
      <c r="AD44" s="686"/>
      <c r="AE44" s="686"/>
      <c r="AF44" s="686"/>
    </row>
    <row r="45" ht="15.0" customHeight="1">
      <c r="A45" s="683">
        <v>43.0</v>
      </c>
      <c r="B45" s="683" t="s">
        <v>1107</v>
      </c>
      <c r="C45" s="684">
        <v>46189.0</v>
      </c>
      <c r="D45" s="684">
        <v>46189.0</v>
      </c>
      <c r="E45" s="684"/>
      <c r="F45" s="683" t="s">
        <v>1108</v>
      </c>
      <c r="G45" s="683" t="s">
        <v>2106</v>
      </c>
      <c r="H45" s="683" t="s">
        <v>2106</v>
      </c>
      <c r="I45" s="683" t="s">
        <v>1168</v>
      </c>
      <c r="J45" s="683" t="s">
        <v>2107</v>
      </c>
      <c r="K45" s="683" t="s">
        <v>167</v>
      </c>
      <c r="L45" s="685">
        <v>21449.91</v>
      </c>
      <c r="M45" s="685">
        <v>21449.91</v>
      </c>
      <c r="N45" s="687">
        <v>21449.91</v>
      </c>
      <c r="O45" s="683" t="s">
        <v>2108</v>
      </c>
      <c r="P45" s="685">
        <v>0.0</v>
      </c>
      <c r="Q45" s="683"/>
      <c r="R45" s="686"/>
      <c r="S45" s="686"/>
      <c r="T45" s="686"/>
      <c r="U45" s="686"/>
      <c r="V45" s="686"/>
      <c r="W45" s="686"/>
      <c r="X45" s="686"/>
      <c r="Y45" s="686"/>
      <c r="Z45" s="686"/>
      <c r="AA45" s="686"/>
      <c r="AB45" s="686"/>
      <c r="AC45" s="686"/>
      <c r="AD45" s="686"/>
      <c r="AE45" s="686"/>
      <c r="AF45" s="686"/>
    </row>
    <row r="46" ht="15.0" customHeight="1">
      <c r="A46" s="683">
        <v>47.0</v>
      </c>
      <c r="B46" s="683" t="s">
        <v>1107</v>
      </c>
      <c r="C46" s="684">
        <v>46189.0</v>
      </c>
      <c r="D46" s="684">
        <v>46189.0</v>
      </c>
      <c r="E46" s="684"/>
      <c r="F46" s="683" t="s">
        <v>1108</v>
      </c>
      <c r="G46" s="683">
        <v>2.0320069E7</v>
      </c>
      <c r="H46" s="683">
        <v>2.0320069E7</v>
      </c>
      <c r="I46" s="683" t="s">
        <v>1168</v>
      </c>
      <c r="J46" s="683" t="s">
        <v>2109</v>
      </c>
      <c r="K46" s="683" t="s">
        <v>167</v>
      </c>
      <c r="L46" s="685">
        <v>15416.59</v>
      </c>
      <c r="M46" s="685">
        <v>15416.59</v>
      </c>
      <c r="N46" s="685">
        <v>15416.59</v>
      </c>
      <c r="O46" s="683" t="s">
        <v>2110</v>
      </c>
      <c r="P46" s="685">
        <v>0.0</v>
      </c>
      <c r="Q46" s="683"/>
      <c r="R46" s="686"/>
      <c r="S46" s="686"/>
      <c r="T46" s="686"/>
      <c r="U46" s="686"/>
      <c r="V46" s="686"/>
      <c r="W46" s="686"/>
      <c r="X46" s="686"/>
      <c r="Y46" s="686"/>
      <c r="Z46" s="686"/>
      <c r="AA46" s="686"/>
      <c r="AB46" s="686"/>
      <c r="AC46" s="686"/>
      <c r="AD46" s="686"/>
      <c r="AE46" s="686"/>
      <c r="AF46" s="686"/>
    </row>
    <row r="47" ht="15.0" customHeight="1">
      <c r="A47" s="683">
        <v>51.0</v>
      </c>
      <c r="B47" s="683" t="s">
        <v>1107</v>
      </c>
      <c r="C47" s="684">
        <v>46189.0</v>
      </c>
      <c r="D47" s="684">
        <v>46189.0</v>
      </c>
      <c r="E47" s="684"/>
      <c r="F47" s="683" t="s">
        <v>1108</v>
      </c>
      <c r="G47" s="689" t="s">
        <v>2111</v>
      </c>
      <c r="H47" s="683" t="s">
        <v>2111</v>
      </c>
      <c r="I47" s="683" t="s">
        <v>1168</v>
      </c>
      <c r="J47" s="683" t="s">
        <v>2112</v>
      </c>
      <c r="K47" s="683" t="s">
        <v>167</v>
      </c>
      <c r="L47" s="685">
        <v>15502.51</v>
      </c>
      <c r="M47" s="685">
        <v>15502.51</v>
      </c>
      <c r="N47" s="685">
        <v>15502.51</v>
      </c>
      <c r="O47" s="683" t="s">
        <v>2113</v>
      </c>
      <c r="P47" s="685">
        <v>0.0</v>
      </c>
      <c r="Q47" s="686"/>
      <c r="R47" s="686"/>
      <c r="S47" s="686"/>
      <c r="T47" s="686"/>
      <c r="U47" s="686"/>
      <c r="V47" s="686"/>
      <c r="W47" s="686"/>
      <c r="X47" s="686"/>
      <c r="Y47" s="686"/>
      <c r="Z47" s="686"/>
      <c r="AA47" s="686"/>
      <c r="AB47" s="686"/>
      <c r="AC47" s="686"/>
      <c r="AD47" s="686"/>
      <c r="AE47" s="686"/>
      <c r="AF47" s="686"/>
    </row>
    <row r="48" ht="15.0" customHeight="1">
      <c r="A48" s="683">
        <v>52.0</v>
      </c>
      <c r="B48" s="683" t="s">
        <v>1107</v>
      </c>
      <c r="C48" s="684">
        <v>46189.0</v>
      </c>
      <c r="D48" s="684">
        <v>46189.0</v>
      </c>
      <c r="E48" s="684"/>
      <c r="F48" s="683" t="s">
        <v>1108</v>
      </c>
      <c r="G48" s="683" t="s">
        <v>2114</v>
      </c>
      <c r="H48" s="683" t="s">
        <v>2115</v>
      </c>
      <c r="I48" s="683" t="s">
        <v>1168</v>
      </c>
      <c r="J48" s="683" t="s">
        <v>2116</v>
      </c>
      <c r="K48" s="683" t="s">
        <v>167</v>
      </c>
      <c r="L48" s="685">
        <v>21598.27</v>
      </c>
      <c r="M48" s="685">
        <v>21598.27</v>
      </c>
      <c r="N48" s="685">
        <v>21598.27</v>
      </c>
      <c r="O48" s="683" t="s">
        <v>2117</v>
      </c>
      <c r="P48" s="685">
        <v>0.0</v>
      </c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686"/>
      <c r="AB48" s="686"/>
      <c r="AC48" s="686"/>
      <c r="AD48" s="686"/>
      <c r="AE48" s="686"/>
      <c r="AF48" s="686"/>
    </row>
    <row r="49" ht="15.0" customHeight="1">
      <c r="A49" s="683">
        <v>61.0</v>
      </c>
      <c r="B49" s="683" t="s">
        <v>1107</v>
      </c>
      <c r="C49" s="684">
        <v>46189.0</v>
      </c>
      <c r="D49" s="684">
        <v>46189.0</v>
      </c>
      <c r="E49" s="684"/>
      <c r="F49" s="683" t="s">
        <v>1108</v>
      </c>
      <c r="G49" s="683" t="s">
        <v>2118</v>
      </c>
      <c r="H49" s="683" t="s">
        <v>2118</v>
      </c>
      <c r="I49" s="683" t="s">
        <v>1168</v>
      </c>
      <c r="J49" s="683" t="s">
        <v>2119</v>
      </c>
      <c r="K49" s="683" t="s">
        <v>167</v>
      </c>
      <c r="L49" s="685">
        <v>10407.72</v>
      </c>
      <c r="M49" s="685">
        <v>10407.72</v>
      </c>
      <c r="N49" s="685">
        <v>10407.72</v>
      </c>
      <c r="O49" s="683" t="s">
        <v>2120</v>
      </c>
      <c r="P49" s="685">
        <v>0.0</v>
      </c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86"/>
      <c r="AB49" s="686"/>
      <c r="AC49" s="686"/>
      <c r="AD49" s="686"/>
      <c r="AE49" s="686"/>
      <c r="AF49" s="686"/>
    </row>
    <row r="50" ht="15.0" customHeight="1">
      <c r="A50" s="683">
        <v>68.0</v>
      </c>
      <c r="B50" s="683" t="s">
        <v>1107</v>
      </c>
      <c r="C50" s="684">
        <v>46189.0</v>
      </c>
      <c r="D50" s="684">
        <v>46189.0</v>
      </c>
      <c r="E50" s="684"/>
      <c r="F50" s="683" t="s">
        <v>1108</v>
      </c>
      <c r="G50" s="683" t="s">
        <v>2121</v>
      </c>
      <c r="H50" s="683" t="s">
        <v>2121</v>
      </c>
      <c r="I50" s="683" t="s">
        <v>1168</v>
      </c>
      <c r="J50" s="683" t="s">
        <v>2122</v>
      </c>
      <c r="K50" s="683" t="s">
        <v>167</v>
      </c>
      <c r="L50" s="685">
        <v>10474.25</v>
      </c>
      <c r="M50" s="685">
        <v>10474.25</v>
      </c>
      <c r="N50" s="687">
        <v>10474.25</v>
      </c>
      <c r="O50" s="683" t="s">
        <v>2123</v>
      </c>
      <c r="P50" s="685">
        <v>0.0</v>
      </c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86"/>
      <c r="AB50" s="686"/>
      <c r="AC50" s="686"/>
      <c r="AD50" s="686"/>
      <c r="AE50" s="686"/>
      <c r="AF50" s="686"/>
    </row>
    <row r="51" ht="15.0" customHeight="1">
      <c r="A51" s="683">
        <v>69.0</v>
      </c>
      <c r="B51" s="683" t="s">
        <v>1107</v>
      </c>
      <c r="C51" s="684">
        <v>46189.0</v>
      </c>
      <c r="D51" s="684">
        <v>46189.0</v>
      </c>
      <c r="E51" s="684"/>
      <c r="F51" s="683" t="s">
        <v>1108</v>
      </c>
      <c r="G51" s="683" t="s">
        <v>2124</v>
      </c>
      <c r="H51" s="683" t="s">
        <v>2124</v>
      </c>
      <c r="I51" s="683" t="s">
        <v>1168</v>
      </c>
      <c r="J51" s="683" t="s">
        <v>2125</v>
      </c>
      <c r="K51" s="683" t="s">
        <v>167</v>
      </c>
      <c r="L51" s="685">
        <v>14715.63</v>
      </c>
      <c r="M51" s="685">
        <v>14715.63</v>
      </c>
      <c r="N51" s="687">
        <v>14715.63</v>
      </c>
      <c r="O51" s="683" t="s">
        <v>2126</v>
      </c>
      <c r="P51" s="685">
        <v>0.0</v>
      </c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86"/>
      <c r="AB51" s="686"/>
      <c r="AC51" s="686"/>
      <c r="AD51" s="686"/>
      <c r="AE51" s="686"/>
      <c r="AF51" s="686"/>
    </row>
    <row r="52" ht="15.0" customHeight="1">
      <c r="A52" s="683">
        <v>70.0</v>
      </c>
      <c r="B52" s="683" t="s">
        <v>1107</v>
      </c>
      <c r="C52" s="684">
        <v>46189.0</v>
      </c>
      <c r="D52" s="684">
        <v>46189.0</v>
      </c>
      <c r="E52" s="684"/>
      <c r="F52" s="683" t="s">
        <v>1108</v>
      </c>
      <c r="G52" s="683" t="s">
        <v>2127</v>
      </c>
      <c r="H52" s="683" t="s">
        <v>2127</v>
      </c>
      <c r="I52" s="683" t="s">
        <v>1168</v>
      </c>
      <c r="J52" s="683" t="s">
        <v>2128</v>
      </c>
      <c r="K52" s="683" t="s">
        <v>167</v>
      </c>
      <c r="L52" s="685">
        <v>5249.62</v>
      </c>
      <c r="M52" s="685">
        <v>5249.62</v>
      </c>
      <c r="N52" s="687">
        <v>5249.62</v>
      </c>
      <c r="O52" s="683" t="s">
        <v>2129</v>
      </c>
      <c r="P52" s="685">
        <v>0.0</v>
      </c>
      <c r="Q52" s="686"/>
      <c r="R52" s="686"/>
      <c r="S52" s="686"/>
      <c r="T52" s="686"/>
      <c r="U52" s="686"/>
      <c r="V52" s="686"/>
      <c r="W52" s="686"/>
      <c r="X52" s="686"/>
      <c r="Y52" s="686"/>
      <c r="Z52" s="686"/>
      <c r="AA52" s="686"/>
      <c r="AB52" s="686"/>
      <c r="AC52" s="686"/>
      <c r="AD52" s="686"/>
      <c r="AE52" s="686"/>
      <c r="AF52" s="686"/>
    </row>
    <row r="53" ht="15.0" customHeight="1">
      <c r="A53" s="683">
        <v>71.0</v>
      </c>
      <c r="B53" s="683" t="s">
        <v>1107</v>
      </c>
      <c r="C53" s="684">
        <v>46189.0</v>
      </c>
      <c r="D53" s="684">
        <v>46189.0</v>
      </c>
      <c r="E53" s="684"/>
      <c r="F53" s="683" t="s">
        <v>1108</v>
      </c>
      <c r="G53" s="683" t="s">
        <v>2130</v>
      </c>
      <c r="H53" s="683" t="s">
        <v>2131</v>
      </c>
      <c r="I53" s="683" t="s">
        <v>1168</v>
      </c>
      <c r="J53" s="683" t="s">
        <v>2132</v>
      </c>
      <c r="K53" s="683" t="s">
        <v>167</v>
      </c>
      <c r="L53" s="685">
        <v>2947.19</v>
      </c>
      <c r="M53" s="685">
        <v>2947.19</v>
      </c>
      <c r="N53" s="687">
        <v>2947.19</v>
      </c>
      <c r="O53" s="683" t="s">
        <v>2133</v>
      </c>
      <c r="P53" s="685">
        <v>0.0</v>
      </c>
      <c r="Q53" s="686"/>
      <c r="R53" s="686"/>
      <c r="S53" s="686"/>
      <c r="T53" s="686"/>
      <c r="U53" s="686"/>
      <c r="V53" s="686"/>
      <c r="W53" s="686"/>
      <c r="X53" s="686"/>
      <c r="Y53" s="686"/>
      <c r="Z53" s="686"/>
      <c r="AA53" s="686"/>
      <c r="AB53" s="686"/>
      <c r="AC53" s="686"/>
      <c r="AD53" s="686"/>
      <c r="AE53" s="686"/>
      <c r="AF53" s="686"/>
    </row>
    <row r="54" ht="15.0" customHeight="1">
      <c r="A54" s="683">
        <v>73.0</v>
      </c>
      <c r="B54" s="683" t="s">
        <v>1107</v>
      </c>
      <c r="C54" s="684">
        <v>46189.0</v>
      </c>
      <c r="D54" s="684">
        <v>46189.0</v>
      </c>
      <c r="E54" s="684"/>
      <c r="F54" s="683" t="s">
        <v>1108</v>
      </c>
      <c r="G54" s="683" t="s">
        <v>2134</v>
      </c>
      <c r="H54" s="683" t="s">
        <v>2134</v>
      </c>
      <c r="I54" s="683" t="s">
        <v>1168</v>
      </c>
      <c r="J54" s="683" t="s">
        <v>2135</v>
      </c>
      <c r="K54" s="683" t="s">
        <v>167</v>
      </c>
      <c r="L54" s="685">
        <v>10188.44</v>
      </c>
      <c r="M54" s="685">
        <v>10188.44</v>
      </c>
      <c r="N54" s="685">
        <v>10188.44</v>
      </c>
      <c r="O54" s="683" t="s">
        <v>2136</v>
      </c>
      <c r="P54" s="685">
        <v>0.0</v>
      </c>
      <c r="Q54" s="686"/>
      <c r="R54" s="686"/>
      <c r="S54" s="686"/>
      <c r="T54" s="686"/>
      <c r="U54" s="686"/>
      <c r="V54" s="686"/>
      <c r="W54" s="686"/>
      <c r="X54" s="686"/>
      <c r="Y54" s="686"/>
      <c r="Z54" s="686"/>
      <c r="AA54" s="686"/>
      <c r="AB54" s="686"/>
      <c r="AC54" s="686"/>
      <c r="AD54" s="686"/>
      <c r="AE54" s="686"/>
      <c r="AF54" s="686"/>
    </row>
    <row r="55" ht="15.0" customHeight="1">
      <c r="A55" s="683">
        <v>74.0</v>
      </c>
      <c r="B55" s="683" t="s">
        <v>1107</v>
      </c>
      <c r="C55" s="684">
        <v>46189.0</v>
      </c>
      <c r="D55" s="684">
        <v>46189.0</v>
      </c>
      <c r="E55" s="686"/>
      <c r="F55" s="683" t="s">
        <v>1108</v>
      </c>
      <c r="G55" s="683" t="s">
        <v>2137</v>
      </c>
      <c r="H55" s="683" t="s">
        <v>2137</v>
      </c>
      <c r="I55" s="683" t="s">
        <v>1168</v>
      </c>
      <c r="J55" s="683" t="s">
        <v>2138</v>
      </c>
      <c r="K55" s="683" t="s">
        <v>167</v>
      </c>
      <c r="L55" s="685">
        <v>16523.84</v>
      </c>
      <c r="M55" s="685">
        <v>16523.84</v>
      </c>
      <c r="N55" s="687">
        <v>16523.84</v>
      </c>
      <c r="O55" s="683" t="s">
        <v>2139</v>
      </c>
      <c r="P55" s="685">
        <v>0.0</v>
      </c>
      <c r="Q55" s="686"/>
      <c r="R55" s="686"/>
      <c r="S55" s="686"/>
      <c r="T55" s="686"/>
      <c r="U55" s="686"/>
      <c r="V55" s="686"/>
      <c r="W55" s="686"/>
      <c r="X55" s="686"/>
      <c r="Y55" s="686"/>
      <c r="Z55" s="686"/>
      <c r="AA55" s="686"/>
      <c r="AB55" s="686"/>
      <c r="AC55" s="686"/>
      <c r="AD55" s="686"/>
      <c r="AE55" s="686"/>
      <c r="AF55" s="686"/>
    </row>
    <row r="56" ht="15.0" customHeight="1">
      <c r="A56" s="683">
        <v>75.0</v>
      </c>
      <c r="B56" s="683" t="s">
        <v>1107</v>
      </c>
      <c r="C56" s="691">
        <v>46189.0</v>
      </c>
      <c r="D56" s="691">
        <v>46189.0</v>
      </c>
      <c r="E56" s="683"/>
      <c r="F56" s="683" t="s">
        <v>1108</v>
      </c>
      <c r="G56" s="683" t="s">
        <v>2140</v>
      </c>
      <c r="H56" s="683" t="s">
        <v>2140</v>
      </c>
      <c r="I56" s="683" t="s">
        <v>1168</v>
      </c>
      <c r="J56" s="683" t="s">
        <v>2141</v>
      </c>
      <c r="K56" s="683" t="s">
        <v>167</v>
      </c>
      <c r="L56" s="685">
        <v>20898.21</v>
      </c>
      <c r="M56" s="685">
        <v>20898.21</v>
      </c>
      <c r="N56" s="687">
        <v>20898.21</v>
      </c>
      <c r="O56" s="683" t="s">
        <v>2142</v>
      </c>
      <c r="P56" s="685">
        <v>0.0</v>
      </c>
      <c r="Q56" s="683"/>
      <c r="R56" s="683"/>
      <c r="S56" s="683"/>
      <c r="T56" s="683"/>
      <c r="U56" s="683"/>
      <c r="V56" s="683"/>
      <c r="W56" s="683"/>
      <c r="X56" s="683"/>
      <c r="Y56" s="683"/>
      <c r="Z56" s="683"/>
      <c r="AA56" s="683"/>
      <c r="AB56" s="683"/>
      <c r="AC56" s="683"/>
      <c r="AD56" s="683"/>
      <c r="AE56" s="683"/>
      <c r="AF56" s="683"/>
    </row>
    <row r="57" ht="15.0" customHeight="1">
      <c r="A57" s="683">
        <v>84.0</v>
      </c>
      <c r="B57" s="683" t="s">
        <v>1107</v>
      </c>
      <c r="C57" s="691">
        <v>46189.0</v>
      </c>
      <c r="D57" s="691">
        <v>46189.0</v>
      </c>
      <c r="E57" s="683"/>
      <c r="F57" s="683" t="s">
        <v>1108</v>
      </c>
      <c r="G57" s="689" t="s">
        <v>2143</v>
      </c>
      <c r="H57" s="689" t="s">
        <v>2143</v>
      </c>
      <c r="I57" s="683" t="s">
        <v>1168</v>
      </c>
      <c r="J57" s="683" t="s">
        <v>2144</v>
      </c>
      <c r="K57" s="683" t="s">
        <v>167</v>
      </c>
      <c r="L57" s="685">
        <v>389.69</v>
      </c>
      <c r="M57" s="685">
        <v>389.69</v>
      </c>
      <c r="N57" s="687">
        <v>389.69</v>
      </c>
      <c r="O57" s="683" t="s">
        <v>2145</v>
      </c>
      <c r="P57" s="685">
        <v>0.0</v>
      </c>
      <c r="Q57" s="683"/>
      <c r="R57" s="683"/>
      <c r="S57" s="683"/>
      <c r="T57" s="683"/>
      <c r="U57" s="683"/>
      <c r="V57" s="683"/>
      <c r="W57" s="683"/>
      <c r="X57" s="683"/>
      <c r="Y57" s="683"/>
      <c r="Z57" s="683"/>
      <c r="AA57" s="683"/>
      <c r="AB57" s="683"/>
      <c r="AC57" s="683"/>
      <c r="AD57" s="683"/>
      <c r="AE57" s="683"/>
      <c r="AF57" s="683"/>
    </row>
    <row r="58" ht="14.25" customHeight="1">
      <c r="A58" s="683">
        <v>86.0</v>
      </c>
      <c r="B58" s="683" t="s">
        <v>1107</v>
      </c>
      <c r="C58" s="684">
        <v>46189.0</v>
      </c>
      <c r="D58" s="684">
        <v>46189.0</v>
      </c>
      <c r="E58" s="684"/>
      <c r="F58" s="683" t="s">
        <v>1108</v>
      </c>
      <c r="G58" s="683" t="s">
        <v>2146</v>
      </c>
      <c r="H58" s="683" t="s">
        <v>2146</v>
      </c>
      <c r="I58" s="683" t="s">
        <v>1168</v>
      </c>
      <c r="J58" s="683" t="s">
        <v>2147</v>
      </c>
      <c r="K58" s="683" t="s">
        <v>167</v>
      </c>
      <c r="L58" s="685">
        <v>5085.67</v>
      </c>
      <c r="M58" s="685">
        <v>5085.67</v>
      </c>
      <c r="N58" s="687">
        <v>5085.67</v>
      </c>
      <c r="O58" s="683" t="s">
        <v>2148</v>
      </c>
      <c r="P58" s="685">
        <v>0.0</v>
      </c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86"/>
      <c r="AB58" s="686"/>
      <c r="AC58" s="686"/>
      <c r="AD58" s="686"/>
      <c r="AE58" s="686"/>
      <c r="AF58" s="686"/>
    </row>
    <row r="59" ht="14.25" customHeight="1">
      <c r="A59" s="683">
        <v>89.0</v>
      </c>
      <c r="B59" s="683" t="s">
        <v>1107</v>
      </c>
      <c r="C59" s="684">
        <v>46189.0</v>
      </c>
      <c r="D59" s="684">
        <v>46189.0</v>
      </c>
      <c r="E59" s="686"/>
      <c r="F59" s="683" t="s">
        <v>1108</v>
      </c>
      <c r="G59" s="683" t="s">
        <v>2149</v>
      </c>
      <c r="H59" s="683" t="s">
        <v>2149</v>
      </c>
      <c r="I59" s="683" t="s">
        <v>1168</v>
      </c>
      <c r="J59" s="683" t="s">
        <v>2150</v>
      </c>
      <c r="K59" s="683" t="s">
        <v>167</v>
      </c>
      <c r="L59" s="685">
        <v>45001.0</v>
      </c>
      <c r="M59" s="685">
        <v>45001.0</v>
      </c>
      <c r="N59" s="687">
        <v>45001.0</v>
      </c>
      <c r="O59" s="683" t="s">
        <v>2151</v>
      </c>
      <c r="P59" s="685">
        <v>0.0</v>
      </c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86"/>
      <c r="AB59" s="686"/>
      <c r="AC59" s="686"/>
      <c r="AD59" s="686"/>
      <c r="AE59" s="686"/>
      <c r="AF59" s="686"/>
    </row>
    <row r="60" ht="14.25" customHeight="1">
      <c r="A60" s="683">
        <v>93.0</v>
      </c>
      <c r="B60" s="683" t="s">
        <v>1107</v>
      </c>
      <c r="C60" s="684">
        <v>46189.0</v>
      </c>
      <c r="D60" s="684">
        <v>46189.0</v>
      </c>
      <c r="E60" s="686"/>
      <c r="F60" s="683" t="s">
        <v>1108</v>
      </c>
      <c r="G60" s="683" t="s">
        <v>2152</v>
      </c>
      <c r="H60" s="683" t="s">
        <v>2152</v>
      </c>
      <c r="I60" s="683" t="s">
        <v>1168</v>
      </c>
      <c r="J60" s="683" t="s">
        <v>2153</v>
      </c>
      <c r="K60" s="683" t="s">
        <v>167</v>
      </c>
      <c r="L60" s="685">
        <v>21002.19</v>
      </c>
      <c r="M60" s="685">
        <v>21002.19</v>
      </c>
      <c r="N60" s="687">
        <v>21002.19</v>
      </c>
      <c r="O60" s="683" t="s">
        <v>2154</v>
      </c>
      <c r="P60" s="685">
        <v>0.0</v>
      </c>
      <c r="Q60" s="686"/>
      <c r="R60" s="686"/>
      <c r="S60" s="686"/>
      <c r="T60" s="686"/>
      <c r="U60" s="686"/>
      <c r="V60" s="686"/>
      <c r="W60" s="686"/>
      <c r="X60" s="686"/>
      <c r="Y60" s="686"/>
      <c r="Z60" s="686"/>
      <c r="AA60" s="686"/>
      <c r="AB60" s="686"/>
      <c r="AC60" s="686"/>
      <c r="AD60" s="686"/>
      <c r="AE60" s="686"/>
      <c r="AF60" s="686"/>
    </row>
    <row r="61" ht="14.25" customHeight="1">
      <c r="A61" s="683">
        <v>103.0</v>
      </c>
      <c r="B61" s="683" t="s">
        <v>1107</v>
      </c>
      <c r="C61" s="684">
        <v>46189.0</v>
      </c>
      <c r="D61" s="684">
        <v>46189.0</v>
      </c>
      <c r="E61" s="684"/>
      <c r="F61" s="683" t="s">
        <v>1108</v>
      </c>
      <c r="G61" s="683" t="s">
        <v>2155</v>
      </c>
      <c r="H61" s="683" t="s">
        <v>2155</v>
      </c>
      <c r="I61" s="683" t="s">
        <v>1168</v>
      </c>
      <c r="J61" s="683" t="s">
        <v>2156</v>
      </c>
      <c r="K61" s="683" t="s">
        <v>167</v>
      </c>
      <c r="L61" s="685">
        <v>21046.27</v>
      </c>
      <c r="M61" s="685">
        <v>21046.27</v>
      </c>
      <c r="N61" s="685">
        <v>21046.27</v>
      </c>
      <c r="O61" s="683" t="s">
        <v>2157</v>
      </c>
      <c r="P61" s="683">
        <v>0.0</v>
      </c>
      <c r="Q61" s="686"/>
      <c r="R61" s="686"/>
      <c r="S61" s="686"/>
      <c r="T61" s="686"/>
      <c r="U61" s="686"/>
      <c r="V61" s="686"/>
      <c r="W61" s="686"/>
      <c r="X61" s="686"/>
      <c r="Y61" s="686"/>
      <c r="Z61" s="686"/>
      <c r="AA61" s="686"/>
      <c r="AB61" s="686"/>
      <c r="AC61" s="686"/>
      <c r="AD61" s="686"/>
      <c r="AE61" s="686"/>
      <c r="AF61" s="686"/>
    </row>
    <row r="62" ht="14.25" customHeight="1">
      <c r="A62" s="683"/>
      <c r="B62" s="683"/>
      <c r="C62" s="684"/>
      <c r="D62" s="684"/>
      <c r="E62" s="684"/>
      <c r="F62" s="683"/>
      <c r="G62" s="683"/>
      <c r="H62" s="683"/>
      <c r="I62" s="683"/>
      <c r="J62" s="683"/>
      <c r="K62" s="683"/>
      <c r="L62" s="685"/>
      <c r="M62" s="685" t="s">
        <v>1427</v>
      </c>
      <c r="N62" s="687">
        <f>SUM(N28:N61)</f>
        <v>548599.32</v>
      </c>
      <c r="O62" s="683"/>
      <c r="P62" s="683"/>
      <c r="Q62" s="686"/>
      <c r="R62" s="686"/>
      <c r="S62" s="686"/>
      <c r="T62" s="686"/>
      <c r="U62" s="686"/>
      <c r="V62" s="686"/>
      <c r="W62" s="686"/>
      <c r="X62" s="686"/>
      <c r="Y62" s="686"/>
      <c r="Z62" s="686"/>
      <c r="AA62" s="686"/>
      <c r="AB62" s="686"/>
      <c r="AC62" s="686"/>
      <c r="AD62" s="686"/>
      <c r="AE62" s="686"/>
      <c r="AF62" s="686"/>
    </row>
    <row r="63" ht="14.25" customHeight="1">
      <c r="A63" s="683"/>
      <c r="B63" s="683"/>
      <c r="C63" s="684"/>
      <c r="D63" s="684"/>
      <c r="E63" s="684"/>
      <c r="F63" s="683"/>
      <c r="G63" s="683"/>
      <c r="H63" s="683"/>
      <c r="I63" s="683"/>
      <c r="J63" s="683"/>
      <c r="K63" s="683"/>
      <c r="L63" s="685"/>
      <c r="M63" s="685"/>
      <c r="N63" s="685"/>
      <c r="O63" s="683"/>
      <c r="P63" s="683"/>
      <c r="Q63" s="686"/>
      <c r="R63" s="686"/>
      <c r="S63" s="686"/>
      <c r="T63" s="686"/>
      <c r="U63" s="686"/>
      <c r="V63" s="686"/>
      <c r="W63" s="686"/>
      <c r="X63" s="686"/>
      <c r="Y63" s="686"/>
      <c r="Z63" s="686"/>
      <c r="AA63" s="686"/>
      <c r="AB63" s="686"/>
      <c r="AC63" s="686"/>
      <c r="AD63" s="686"/>
      <c r="AE63" s="686"/>
      <c r="AF63" s="686"/>
    </row>
    <row r="64" ht="14.25" customHeight="1">
      <c r="A64" s="683"/>
      <c r="B64" s="683"/>
      <c r="C64" s="684"/>
      <c r="D64" s="684"/>
      <c r="E64" s="684"/>
      <c r="F64" s="683"/>
      <c r="G64" s="683"/>
      <c r="H64" s="683"/>
      <c r="I64" s="683"/>
      <c r="J64" s="683"/>
      <c r="K64" s="683"/>
      <c r="L64" s="685"/>
      <c r="M64" s="685"/>
      <c r="N64" s="687"/>
      <c r="O64" s="683"/>
      <c r="P64" s="683"/>
      <c r="Q64" s="686"/>
      <c r="R64" s="686"/>
      <c r="S64" s="686"/>
      <c r="T64" s="686"/>
      <c r="U64" s="686"/>
      <c r="V64" s="686"/>
      <c r="W64" s="686"/>
      <c r="X64" s="686"/>
      <c r="Y64" s="686"/>
      <c r="Z64" s="686"/>
      <c r="AA64" s="686"/>
      <c r="AB64" s="686"/>
      <c r="AC64" s="686"/>
      <c r="AD64" s="686"/>
      <c r="AE64" s="686"/>
      <c r="AF64" s="686"/>
    </row>
    <row r="65" ht="14.25" customHeight="1">
      <c r="A65" s="683"/>
      <c r="B65" s="683"/>
      <c r="C65" s="684"/>
      <c r="D65" s="684"/>
      <c r="E65" s="684"/>
      <c r="F65" s="683"/>
      <c r="G65" s="683"/>
      <c r="H65" s="683"/>
      <c r="I65" s="683"/>
      <c r="J65" s="683"/>
      <c r="K65" s="683"/>
      <c r="L65" s="685"/>
      <c r="M65" s="685"/>
      <c r="N65" s="687"/>
      <c r="O65" s="683"/>
      <c r="P65" s="683"/>
      <c r="Q65" s="686"/>
      <c r="R65" s="686"/>
      <c r="S65" s="686"/>
      <c r="T65" s="686"/>
      <c r="U65" s="686"/>
      <c r="V65" s="686"/>
      <c r="W65" s="686"/>
      <c r="X65" s="686"/>
      <c r="Y65" s="686"/>
      <c r="Z65" s="686"/>
      <c r="AA65" s="686"/>
      <c r="AB65" s="686"/>
      <c r="AC65" s="686"/>
      <c r="AD65" s="686"/>
      <c r="AE65" s="686"/>
      <c r="AF65" s="686"/>
    </row>
    <row r="66" ht="14.25" customHeight="1">
      <c r="A66" s="683"/>
      <c r="B66" s="683"/>
      <c r="C66" s="684"/>
      <c r="D66" s="684"/>
      <c r="E66" s="684"/>
      <c r="F66" s="683"/>
      <c r="G66" s="683"/>
      <c r="H66" s="683"/>
      <c r="I66" s="683"/>
      <c r="J66" s="683"/>
      <c r="K66" s="683"/>
      <c r="L66" s="685"/>
      <c r="M66" s="685"/>
      <c r="N66" s="685"/>
      <c r="O66" s="683"/>
      <c r="P66" s="683"/>
      <c r="Q66" s="686"/>
      <c r="R66" s="686"/>
      <c r="S66" s="686"/>
      <c r="T66" s="686"/>
      <c r="U66" s="686"/>
      <c r="V66" s="686"/>
      <c r="W66" s="686"/>
      <c r="X66" s="686"/>
      <c r="Y66" s="686"/>
      <c r="Z66" s="686"/>
      <c r="AA66" s="686"/>
      <c r="AB66" s="686"/>
      <c r="AC66" s="686"/>
      <c r="AD66" s="686"/>
      <c r="AE66" s="686"/>
      <c r="AF66" s="686"/>
    </row>
    <row r="67" ht="14.25" customHeight="1">
      <c r="A67" s="683"/>
      <c r="B67" s="683"/>
      <c r="C67" s="684"/>
      <c r="D67" s="684"/>
      <c r="E67" s="684"/>
      <c r="F67" s="683"/>
      <c r="G67" s="683"/>
      <c r="H67" s="683"/>
      <c r="I67" s="683"/>
      <c r="J67" s="683"/>
      <c r="K67" s="683"/>
      <c r="L67" s="685"/>
      <c r="M67" s="685"/>
      <c r="N67" s="685"/>
      <c r="O67" s="683"/>
      <c r="P67" s="683"/>
      <c r="Q67" s="686"/>
      <c r="R67" s="686"/>
      <c r="S67" s="686"/>
      <c r="T67" s="686"/>
      <c r="U67" s="686"/>
      <c r="V67" s="686"/>
      <c r="W67" s="686"/>
      <c r="X67" s="686"/>
      <c r="Y67" s="686"/>
      <c r="Z67" s="686"/>
      <c r="AA67" s="686"/>
      <c r="AB67" s="686"/>
      <c r="AC67" s="686"/>
      <c r="AD67" s="686"/>
      <c r="AE67" s="686"/>
      <c r="AF67" s="686"/>
    </row>
    <row r="68" ht="14.25" customHeight="1">
      <c r="A68" s="683">
        <v>1.0</v>
      </c>
      <c r="B68" s="683" t="s">
        <v>1107</v>
      </c>
      <c r="C68" s="684">
        <v>46189.0</v>
      </c>
      <c r="D68" s="684">
        <v>46189.0</v>
      </c>
      <c r="E68" s="684"/>
      <c r="F68" s="683" t="s">
        <v>1108</v>
      </c>
      <c r="G68" s="683" t="s">
        <v>2158</v>
      </c>
      <c r="H68" s="683" t="s">
        <v>2159</v>
      </c>
      <c r="I68" s="683" t="s">
        <v>1168</v>
      </c>
      <c r="J68" s="683" t="s">
        <v>2160</v>
      </c>
      <c r="K68" s="683" t="s">
        <v>265</v>
      </c>
      <c r="L68" s="685">
        <v>2.5</v>
      </c>
      <c r="M68" s="685">
        <v>2.5</v>
      </c>
      <c r="N68" s="685">
        <v>2.5</v>
      </c>
      <c r="O68" s="683" t="s">
        <v>2161</v>
      </c>
      <c r="P68" s="683">
        <v>0.0</v>
      </c>
      <c r="Q68" s="686"/>
      <c r="R68" s="686"/>
      <c r="S68" s="686"/>
      <c r="T68" s="686"/>
      <c r="U68" s="686"/>
      <c r="V68" s="686"/>
      <c r="W68" s="686"/>
      <c r="X68" s="686"/>
      <c r="Y68" s="686"/>
      <c r="Z68" s="686"/>
      <c r="AA68" s="686"/>
      <c r="AB68" s="686"/>
      <c r="AC68" s="686"/>
      <c r="AD68" s="686"/>
      <c r="AE68" s="686"/>
      <c r="AF68" s="686"/>
    </row>
    <row r="69" ht="14.25" customHeight="1">
      <c r="A69" s="683">
        <v>3.0</v>
      </c>
      <c r="B69" s="683" t="s">
        <v>1107</v>
      </c>
      <c r="C69" s="684">
        <v>46189.0</v>
      </c>
      <c r="D69" s="684">
        <v>46189.0</v>
      </c>
      <c r="E69" s="684"/>
      <c r="F69" s="683" t="s">
        <v>1108</v>
      </c>
      <c r="G69" s="683" t="s">
        <v>2162</v>
      </c>
      <c r="H69" s="683" t="s">
        <v>2163</v>
      </c>
      <c r="I69" s="683" t="s">
        <v>1168</v>
      </c>
      <c r="J69" s="683" t="s">
        <v>2164</v>
      </c>
      <c r="K69" s="683" t="s">
        <v>265</v>
      </c>
      <c r="L69" s="685">
        <v>0.04</v>
      </c>
      <c r="M69" s="685">
        <v>0.04</v>
      </c>
      <c r="N69" s="685">
        <v>0.04</v>
      </c>
      <c r="O69" s="683" t="s">
        <v>2165</v>
      </c>
      <c r="P69" s="683">
        <v>0.0</v>
      </c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86"/>
      <c r="AB69" s="686"/>
      <c r="AC69" s="686"/>
      <c r="AD69" s="686"/>
      <c r="AE69" s="686"/>
      <c r="AF69" s="686"/>
    </row>
    <row r="70" ht="14.25" customHeight="1">
      <c r="A70" s="683">
        <v>4.0</v>
      </c>
      <c r="B70" s="683" t="s">
        <v>1107</v>
      </c>
      <c r="C70" s="684">
        <v>46189.0</v>
      </c>
      <c r="D70" s="684">
        <v>46189.0</v>
      </c>
      <c r="E70" s="684"/>
      <c r="F70" s="683" t="s">
        <v>1108</v>
      </c>
      <c r="G70" s="683" t="s">
        <v>2166</v>
      </c>
      <c r="H70" s="683" t="s">
        <v>2167</v>
      </c>
      <c r="I70" s="683" t="s">
        <v>1168</v>
      </c>
      <c r="J70" s="683" t="s">
        <v>2168</v>
      </c>
      <c r="K70" s="683" t="s">
        <v>265</v>
      </c>
      <c r="L70" s="685">
        <v>1456.12</v>
      </c>
      <c r="M70" s="685">
        <v>1456.12</v>
      </c>
      <c r="N70" s="687">
        <v>1456.12</v>
      </c>
      <c r="O70" s="683" t="s">
        <v>2169</v>
      </c>
      <c r="P70" s="683">
        <v>0.0</v>
      </c>
      <c r="Q70" s="686"/>
      <c r="R70" s="686"/>
      <c r="S70" s="686"/>
      <c r="T70" s="686"/>
      <c r="U70" s="686"/>
      <c r="V70" s="686"/>
      <c r="W70" s="686"/>
      <c r="X70" s="686"/>
      <c r="Y70" s="686"/>
      <c r="Z70" s="686"/>
      <c r="AA70" s="686"/>
      <c r="AB70" s="686"/>
      <c r="AC70" s="686"/>
      <c r="AD70" s="686"/>
      <c r="AE70" s="686"/>
      <c r="AF70" s="686"/>
    </row>
    <row r="71" ht="14.25" customHeight="1">
      <c r="A71" s="683">
        <v>5.0</v>
      </c>
      <c r="B71" s="683" t="s">
        <v>1107</v>
      </c>
      <c r="C71" s="684">
        <v>46189.0</v>
      </c>
      <c r="D71" s="684">
        <v>46189.0</v>
      </c>
      <c r="E71" s="684">
        <v>46189.0</v>
      </c>
      <c r="F71" s="683" t="s">
        <v>1108</v>
      </c>
      <c r="G71" s="683" t="s">
        <v>2170</v>
      </c>
      <c r="H71" s="683" t="s">
        <v>2170</v>
      </c>
      <c r="I71" s="683" t="s">
        <v>2171</v>
      </c>
      <c r="J71" s="683" t="s">
        <v>2172</v>
      </c>
      <c r="K71" s="683" t="s">
        <v>265</v>
      </c>
      <c r="L71" s="685">
        <v>33451.56</v>
      </c>
      <c r="M71" s="685">
        <v>33451.56</v>
      </c>
      <c r="N71" s="687">
        <v>33451.56</v>
      </c>
      <c r="O71" s="683" t="s">
        <v>2173</v>
      </c>
      <c r="P71" s="683">
        <v>0.0</v>
      </c>
      <c r="Q71" s="686"/>
      <c r="R71" s="686"/>
      <c r="S71" s="686"/>
      <c r="T71" s="686"/>
      <c r="U71" s="686"/>
      <c r="V71" s="686"/>
      <c r="W71" s="686"/>
      <c r="X71" s="686"/>
      <c r="Y71" s="686"/>
      <c r="Z71" s="686"/>
      <c r="AA71" s="686"/>
      <c r="AB71" s="686"/>
      <c r="AC71" s="686"/>
      <c r="AD71" s="686"/>
      <c r="AE71" s="686"/>
      <c r="AF71" s="686"/>
    </row>
    <row r="72" ht="14.25" customHeight="1">
      <c r="A72" s="683">
        <v>6.0</v>
      </c>
      <c r="B72" s="683" t="s">
        <v>1107</v>
      </c>
      <c r="C72" s="684">
        <v>46189.0</v>
      </c>
      <c r="D72" s="684">
        <v>46189.0</v>
      </c>
      <c r="E72" s="684"/>
      <c r="F72" s="683" t="s">
        <v>1108</v>
      </c>
      <c r="G72" s="683" t="s">
        <v>2174</v>
      </c>
      <c r="H72" s="683" t="s">
        <v>2175</v>
      </c>
      <c r="I72" s="683" t="s">
        <v>1168</v>
      </c>
      <c r="J72" s="683" t="s">
        <v>2176</v>
      </c>
      <c r="K72" s="683" t="s">
        <v>265</v>
      </c>
      <c r="L72" s="685">
        <v>0.44</v>
      </c>
      <c r="M72" s="685">
        <v>0.44</v>
      </c>
      <c r="N72" s="685">
        <v>0.44</v>
      </c>
      <c r="O72" s="683" t="s">
        <v>2177</v>
      </c>
      <c r="P72" s="683">
        <v>0.0</v>
      </c>
      <c r="Q72" s="686"/>
      <c r="R72" s="686"/>
      <c r="S72" s="686"/>
      <c r="T72" s="686"/>
      <c r="U72" s="686"/>
      <c r="V72" s="686"/>
      <c r="W72" s="686"/>
      <c r="X72" s="686"/>
      <c r="Y72" s="686"/>
      <c r="Z72" s="686"/>
      <c r="AA72" s="686"/>
      <c r="AB72" s="686"/>
      <c r="AC72" s="686"/>
      <c r="AD72" s="686"/>
      <c r="AE72" s="686"/>
      <c r="AF72" s="686"/>
    </row>
    <row r="73" ht="14.25" customHeight="1">
      <c r="A73" s="683">
        <v>7.0</v>
      </c>
      <c r="B73" s="683" t="s">
        <v>1107</v>
      </c>
      <c r="C73" s="684">
        <v>46189.0</v>
      </c>
      <c r="D73" s="684">
        <v>46189.0</v>
      </c>
      <c r="E73" s="684"/>
      <c r="F73" s="683" t="s">
        <v>1108</v>
      </c>
      <c r="G73" s="683" t="s">
        <v>2178</v>
      </c>
      <c r="H73" s="683" t="s">
        <v>2179</v>
      </c>
      <c r="I73" s="683" t="s">
        <v>1168</v>
      </c>
      <c r="J73" s="683" t="s">
        <v>2180</v>
      </c>
      <c r="K73" s="683" t="s">
        <v>265</v>
      </c>
      <c r="L73" s="685">
        <v>5.0</v>
      </c>
      <c r="M73" s="685">
        <v>5.0</v>
      </c>
      <c r="N73" s="685">
        <v>5.0</v>
      </c>
      <c r="O73" s="683" t="s">
        <v>2181</v>
      </c>
      <c r="P73" s="683">
        <v>0.0</v>
      </c>
      <c r="Q73" s="686"/>
      <c r="R73" s="686"/>
      <c r="S73" s="686"/>
      <c r="T73" s="686"/>
      <c r="U73" s="686"/>
      <c r="V73" s="686"/>
      <c r="W73" s="686"/>
      <c r="X73" s="686"/>
      <c r="Y73" s="686"/>
      <c r="Z73" s="686"/>
      <c r="AA73" s="686"/>
      <c r="AB73" s="686"/>
      <c r="AC73" s="686"/>
      <c r="AD73" s="686"/>
      <c r="AE73" s="686"/>
      <c r="AF73" s="686"/>
    </row>
    <row r="74" ht="14.25" customHeight="1">
      <c r="A74" s="683">
        <v>8.0</v>
      </c>
      <c r="B74" s="683" t="s">
        <v>1107</v>
      </c>
      <c r="C74" s="684">
        <v>46189.0</v>
      </c>
      <c r="D74" s="684">
        <v>46189.0</v>
      </c>
      <c r="E74" s="684"/>
      <c r="F74" s="683" t="s">
        <v>1108</v>
      </c>
      <c r="G74" s="683" t="s">
        <v>2182</v>
      </c>
      <c r="H74" s="683" t="s">
        <v>2183</v>
      </c>
      <c r="I74" s="683" t="s">
        <v>1168</v>
      </c>
      <c r="J74" s="683" t="s">
        <v>2184</v>
      </c>
      <c r="K74" s="683" t="s">
        <v>265</v>
      </c>
      <c r="L74" s="685">
        <v>5.0</v>
      </c>
      <c r="M74" s="685">
        <v>5.0</v>
      </c>
      <c r="N74" s="687">
        <v>5.0</v>
      </c>
      <c r="O74" s="683" t="s">
        <v>2185</v>
      </c>
      <c r="P74" s="683">
        <v>0.0</v>
      </c>
      <c r="Q74" s="686"/>
      <c r="R74" s="686"/>
      <c r="S74" s="686"/>
      <c r="T74" s="686"/>
      <c r="U74" s="686"/>
      <c r="V74" s="686"/>
      <c r="W74" s="686"/>
      <c r="X74" s="686"/>
      <c r="Y74" s="686"/>
      <c r="Z74" s="686"/>
      <c r="AA74" s="686"/>
      <c r="AB74" s="686"/>
      <c r="AC74" s="686"/>
      <c r="AD74" s="686"/>
      <c r="AE74" s="686"/>
      <c r="AF74" s="686"/>
    </row>
    <row r="75" ht="14.25" customHeight="1">
      <c r="A75" s="683">
        <v>12.0</v>
      </c>
      <c r="B75" s="683" t="s">
        <v>1107</v>
      </c>
      <c r="C75" s="684">
        <v>46189.0</v>
      </c>
      <c r="D75" s="684">
        <v>46189.0</v>
      </c>
      <c r="E75" s="684"/>
      <c r="F75" s="683" t="s">
        <v>1108</v>
      </c>
      <c r="G75" s="683" t="s">
        <v>2186</v>
      </c>
      <c r="H75" s="683" t="s">
        <v>2187</v>
      </c>
      <c r="I75" s="683" t="s">
        <v>1168</v>
      </c>
      <c r="J75" s="683" t="s">
        <v>2188</v>
      </c>
      <c r="K75" s="683" t="s">
        <v>265</v>
      </c>
      <c r="L75" s="685">
        <v>3.64</v>
      </c>
      <c r="M75" s="685">
        <v>3.64</v>
      </c>
      <c r="N75" s="687">
        <v>3.64</v>
      </c>
      <c r="O75" s="683" t="s">
        <v>2189</v>
      </c>
      <c r="P75" s="683">
        <v>0.0</v>
      </c>
      <c r="Q75" s="686"/>
      <c r="R75" s="686"/>
      <c r="S75" s="686"/>
      <c r="T75" s="686"/>
      <c r="U75" s="686"/>
      <c r="V75" s="686"/>
      <c r="W75" s="686"/>
      <c r="X75" s="686"/>
      <c r="Y75" s="686"/>
      <c r="Z75" s="686"/>
      <c r="AA75" s="686"/>
      <c r="AB75" s="686"/>
      <c r="AC75" s="686"/>
      <c r="AD75" s="686"/>
      <c r="AE75" s="686"/>
      <c r="AF75" s="686"/>
    </row>
    <row r="76" ht="14.25" customHeight="1">
      <c r="A76" s="683">
        <v>13.0</v>
      </c>
      <c r="B76" s="683" t="s">
        <v>1107</v>
      </c>
      <c r="C76" s="684">
        <v>46189.0</v>
      </c>
      <c r="D76" s="684">
        <v>46189.0</v>
      </c>
      <c r="E76" s="684"/>
      <c r="F76" s="683" t="s">
        <v>1108</v>
      </c>
      <c r="G76" s="683" t="s">
        <v>2190</v>
      </c>
      <c r="H76" s="683" t="s">
        <v>2191</v>
      </c>
      <c r="I76" s="683" t="s">
        <v>1168</v>
      </c>
      <c r="J76" s="683" t="s">
        <v>2192</v>
      </c>
      <c r="K76" s="683" t="s">
        <v>265</v>
      </c>
      <c r="L76" s="685">
        <v>129.84</v>
      </c>
      <c r="M76" s="685">
        <v>129.84</v>
      </c>
      <c r="N76" s="687">
        <v>129.84</v>
      </c>
      <c r="O76" s="683" t="s">
        <v>2193</v>
      </c>
      <c r="P76" s="683">
        <v>0.0</v>
      </c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86"/>
      <c r="AB76" s="686"/>
      <c r="AC76" s="686"/>
      <c r="AD76" s="686"/>
      <c r="AE76" s="686"/>
      <c r="AF76" s="686"/>
    </row>
    <row r="77" ht="14.25" customHeight="1">
      <c r="A77" s="683">
        <v>16.0</v>
      </c>
      <c r="B77" s="683" t="s">
        <v>1107</v>
      </c>
      <c r="C77" s="684">
        <v>46189.0</v>
      </c>
      <c r="D77" s="684">
        <v>46189.0</v>
      </c>
      <c r="E77" s="684"/>
      <c r="F77" s="683" t="s">
        <v>1108</v>
      </c>
      <c r="G77" s="683" t="s">
        <v>2194</v>
      </c>
      <c r="H77" s="683" t="s">
        <v>2195</v>
      </c>
      <c r="I77" s="683" t="s">
        <v>1168</v>
      </c>
      <c r="J77" s="683" t="s">
        <v>2196</v>
      </c>
      <c r="K77" s="683" t="s">
        <v>265</v>
      </c>
      <c r="L77" s="685">
        <v>7.5</v>
      </c>
      <c r="M77" s="685">
        <v>7.5</v>
      </c>
      <c r="N77" s="687">
        <v>7.5</v>
      </c>
      <c r="O77" s="683" t="s">
        <v>2197</v>
      </c>
      <c r="P77" s="683">
        <v>0.0</v>
      </c>
      <c r="Q77" s="686"/>
      <c r="R77" s="686"/>
      <c r="S77" s="686"/>
      <c r="T77" s="686"/>
      <c r="U77" s="686"/>
      <c r="V77" s="686"/>
      <c r="W77" s="686"/>
      <c r="X77" s="686"/>
      <c r="Y77" s="686"/>
      <c r="Z77" s="686"/>
      <c r="AA77" s="686"/>
      <c r="AB77" s="686"/>
      <c r="AC77" s="686"/>
      <c r="AD77" s="686"/>
      <c r="AE77" s="686"/>
      <c r="AF77" s="686"/>
    </row>
    <row r="78" ht="14.25" customHeight="1">
      <c r="A78" s="683">
        <v>19.0</v>
      </c>
      <c r="B78" s="683" t="s">
        <v>1107</v>
      </c>
      <c r="C78" s="684">
        <v>46189.0</v>
      </c>
      <c r="D78" s="684">
        <v>46189.0</v>
      </c>
      <c r="E78" s="684"/>
      <c r="F78" s="683" t="s">
        <v>1108</v>
      </c>
      <c r="G78" s="689" t="s">
        <v>2198</v>
      </c>
      <c r="H78" s="683" t="s">
        <v>2199</v>
      </c>
      <c r="I78" s="683" t="s">
        <v>1168</v>
      </c>
      <c r="J78" s="683" t="s">
        <v>2200</v>
      </c>
      <c r="K78" s="683" t="s">
        <v>265</v>
      </c>
      <c r="L78" s="685">
        <v>39.75</v>
      </c>
      <c r="M78" s="685">
        <v>39.75</v>
      </c>
      <c r="N78" s="685">
        <v>39.75</v>
      </c>
      <c r="O78" s="683" t="s">
        <v>2201</v>
      </c>
      <c r="P78" s="683">
        <v>0.0</v>
      </c>
      <c r="Q78" s="686"/>
      <c r="R78" s="686"/>
      <c r="S78" s="686"/>
      <c r="T78" s="686"/>
      <c r="U78" s="686"/>
      <c r="V78" s="686"/>
      <c r="W78" s="686"/>
      <c r="X78" s="686"/>
      <c r="Y78" s="686"/>
      <c r="Z78" s="686"/>
      <c r="AA78" s="686"/>
      <c r="AB78" s="686"/>
      <c r="AC78" s="686"/>
      <c r="AD78" s="686"/>
      <c r="AE78" s="686"/>
      <c r="AF78" s="686"/>
    </row>
    <row r="79" ht="14.25" customHeight="1">
      <c r="A79" s="683">
        <v>21.0</v>
      </c>
      <c r="B79" s="683" t="s">
        <v>1107</v>
      </c>
      <c r="C79" s="684">
        <v>46189.0</v>
      </c>
      <c r="D79" s="684">
        <v>46189.0</v>
      </c>
      <c r="E79" s="684"/>
      <c r="F79" s="683" t="s">
        <v>1108</v>
      </c>
      <c r="G79" s="683" t="s">
        <v>2202</v>
      </c>
      <c r="H79" s="683" t="s">
        <v>2203</v>
      </c>
      <c r="I79" s="683" t="s">
        <v>1168</v>
      </c>
      <c r="J79" s="683" t="s">
        <v>2204</v>
      </c>
      <c r="K79" s="683" t="s">
        <v>265</v>
      </c>
      <c r="L79" s="685">
        <v>50.0</v>
      </c>
      <c r="M79" s="685">
        <v>50.0</v>
      </c>
      <c r="N79" s="685">
        <v>50.0</v>
      </c>
      <c r="O79" s="683" t="s">
        <v>2205</v>
      </c>
      <c r="P79" s="683">
        <v>0.0</v>
      </c>
      <c r="Q79" s="686"/>
      <c r="R79" s="686"/>
      <c r="S79" s="686"/>
      <c r="T79" s="686"/>
      <c r="U79" s="686"/>
      <c r="V79" s="686"/>
      <c r="W79" s="686"/>
      <c r="X79" s="686"/>
      <c r="Y79" s="686"/>
      <c r="Z79" s="686"/>
      <c r="AA79" s="686"/>
      <c r="AB79" s="686"/>
      <c r="AC79" s="686"/>
      <c r="AD79" s="686"/>
      <c r="AE79" s="686"/>
      <c r="AF79" s="686"/>
    </row>
    <row r="80" ht="14.25" customHeight="1">
      <c r="A80" s="683">
        <v>22.0</v>
      </c>
      <c r="B80" s="683" t="s">
        <v>1107</v>
      </c>
      <c r="C80" s="684">
        <v>46189.0</v>
      </c>
      <c r="D80" s="684">
        <v>46189.0</v>
      </c>
      <c r="E80" s="684"/>
      <c r="F80" s="683" t="s">
        <v>1108</v>
      </c>
      <c r="G80" s="683" t="s">
        <v>2206</v>
      </c>
      <c r="H80" s="683" t="s">
        <v>2207</v>
      </c>
      <c r="I80" s="683" t="s">
        <v>1168</v>
      </c>
      <c r="J80" s="683" t="s">
        <v>2208</v>
      </c>
      <c r="K80" s="683" t="s">
        <v>265</v>
      </c>
      <c r="L80" s="685">
        <v>21.95</v>
      </c>
      <c r="M80" s="685">
        <v>21.95</v>
      </c>
      <c r="N80" s="685">
        <v>21.95</v>
      </c>
      <c r="O80" s="683" t="s">
        <v>2209</v>
      </c>
      <c r="P80" s="683">
        <v>0.0</v>
      </c>
      <c r="Q80" s="686"/>
      <c r="R80" s="686"/>
      <c r="S80" s="686"/>
      <c r="T80" s="686"/>
      <c r="U80" s="686"/>
      <c r="V80" s="686"/>
      <c r="W80" s="686"/>
      <c r="X80" s="686"/>
      <c r="Y80" s="686"/>
      <c r="Z80" s="686"/>
      <c r="AA80" s="686"/>
      <c r="AB80" s="686"/>
      <c r="AC80" s="686"/>
      <c r="AD80" s="686"/>
      <c r="AE80" s="686"/>
      <c r="AF80" s="686"/>
    </row>
    <row r="81" ht="14.25" customHeight="1">
      <c r="A81" s="683">
        <v>25.0</v>
      </c>
      <c r="B81" s="683" t="s">
        <v>1107</v>
      </c>
      <c r="C81" s="684">
        <v>46189.0</v>
      </c>
      <c r="D81" s="684">
        <v>46189.0</v>
      </c>
      <c r="E81" s="684"/>
      <c r="F81" s="683" t="s">
        <v>1108</v>
      </c>
      <c r="G81" s="683" t="s">
        <v>2210</v>
      </c>
      <c r="H81" s="683" t="s">
        <v>2211</v>
      </c>
      <c r="I81" s="683" t="s">
        <v>1168</v>
      </c>
      <c r="J81" s="683" t="s">
        <v>2212</v>
      </c>
      <c r="K81" s="683" t="s">
        <v>265</v>
      </c>
      <c r="L81" s="685">
        <v>465.58</v>
      </c>
      <c r="M81" s="685">
        <v>465.58</v>
      </c>
      <c r="N81" s="687">
        <v>465.58</v>
      </c>
      <c r="O81" s="683" t="s">
        <v>2213</v>
      </c>
      <c r="P81" s="683">
        <v>0.0</v>
      </c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86"/>
      <c r="AB81" s="686"/>
      <c r="AC81" s="686"/>
      <c r="AD81" s="686"/>
      <c r="AE81" s="686"/>
      <c r="AF81" s="686"/>
    </row>
    <row r="82" ht="14.25" customHeight="1">
      <c r="A82" s="683">
        <v>26.0</v>
      </c>
      <c r="B82" s="683" t="s">
        <v>1107</v>
      </c>
      <c r="C82" s="684">
        <v>46189.0</v>
      </c>
      <c r="D82" s="684">
        <v>46189.0</v>
      </c>
      <c r="E82" s="684"/>
      <c r="F82" s="683" t="s">
        <v>1108</v>
      </c>
      <c r="G82" s="683" t="s">
        <v>2214</v>
      </c>
      <c r="H82" s="683" t="s">
        <v>2215</v>
      </c>
      <c r="I82" s="683" t="s">
        <v>1168</v>
      </c>
      <c r="J82" s="683" t="s">
        <v>2216</v>
      </c>
      <c r="K82" s="683" t="s">
        <v>265</v>
      </c>
      <c r="L82" s="685">
        <v>30.23</v>
      </c>
      <c r="M82" s="685">
        <v>30.23</v>
      </c>
      <c r="N82" s="687">
        <v>30.23</v>
      </c>
      <c r="O82" s="683" t="s">
        <v>2217</v>
      </c>
      <c r="P82" s="683">
        <v>0.0</v>
      </c>
      <c r="Q82" s="686"/>
      <c r="R82" s="686"/>
      <c r="S82" s="686"/>
      <c r="T82" s="686"/>
      <c r="U82" s="686"/>
      <c r="V82" s="686"/>
      <c r="W82" s="686"/>
      <c r="X82" s="686"/>
      <c r="Y82" s="686"/>
      <c r="Z82" s="686"/>
      <c r="AA82" s="686"/>
      <c r="AB82" s="686"/>
      <c r="AC82" s="686"/>
      <c r="AD82" s="686"/>
      <c r="AE82" s="686"/>
      <c r="AF82" s="686"/>
    </row>
    <row r="83" ht="14.25" customHeight="1">
      <c r="A83" s="683">
        <v>29.0</v>
      </c>
      <c r="B83" s="683" t="s">
        <v>1107</v>
      </c>
      <c r="C83" s="684">
        <v>46189.0</v>
      </c>
      <c r="D83" s="684">
        <v>46189.0</v>
      </c>
      <c r="E83" s="684"/>
      <c r="F83" s="683" t="s">
        <v>1108</v>
      </c>
      <c r="G83" s="683" t="s">
        <v>2218</v>
      </c>
      <c r="H83" s="683" t="s">
        <v>2219</v>
      </c>
      <c r="I83" s="683" t="s">
        <v>1168</v>
      </c>
      <c r="J83" s="683" t="s">
        <v>2220</v>
      </c>
      <c r="K83" s="683" t="s">
        <v>265</v>
      </c>
      <c r="L83" s="685">
        <v>0.58</v>
      </c>
      <c r="M83" s="685">
        <v>0.58</v>
      </c>
      <c r="N83" s="685">
        <v>0.58</v>
      </c>
      <c r="O83" s="683" t="s">
        <v>2221</v>
      </c>
      <c r="P83" s="683">
        <v>0.0</v>
      </c>
      <c r="Q83" s="686"/>
      <c r="R83" s="686"/>
      <c r="S83" s="686"/>
      <c r="T83" s="686"/>
      <c r="U83" s="686"/>
      <c r="V83" s="686"/>
      <c r="W83" s="686"/>
      <c r="X83" s="686"/>
      <c r="Y83" s="686"/>
      <c r="Z83" s="686"/>
      <c r="AA83" s="686"/>
      <c r="AB83" s="686"/>
      <c r="AC83" s="686"/>
      <c r="AD83" s="686"/>
      <c r="AE83" s="686"/>
      <c r="AF83" s="686"/>
    </row>
    <row r="84" ht="14.25" customHeight="1">
      <c r="A84" s="683">
        <v>31.0</v>
      </c>
      <c r="B84" s="683" t="s">
        <v>1107</v>
      </c>
      <c r="C84" s="684">
        <v>46189.0</v>
      </c>
      <c r="D84" s="684">
        <v>46189.0</v>
      </c>
      <c r="E84" s="684"/>
      <c r="F84" s="683" t="s">
        <v>1108</v>
      </c>
      <c r="G84" s="683" t="s">
        <v>2222</v>
      </c>
      <c r="H84" s="683" t="s">
        <v>2223</v>
      </c>
      <c r="I84" s="683" t="s">
        <v>1168</v>
      </c>
      <c r="J84" s="683" t="s">
        <v>2224</v>
      </c>
      <c r="K84" s="683" t="s">
        <v>265</v>
      </c>
      <c r="L84" s="690">
        <v>3.36</v>
      </c>
      <c r="M84" s="690">
        <v>3.36</v>
      </c>
      <c r="N84" s="687">
        <v>3.36</v>
      </c>
      <c r="O84" s="683" t="s">
        <v>2225</v>
      </c>
      <c r="P84" s="683">
        <v>0.0</v>
      </c>
      <c r="Q84" s="686"/>
      <c r="R84" s="686"/>
      <c r="S84" s="686"/>
      <c r="T84" s="686"/>
      <c r="U84" s="686"/>
      <c r="V84" s="686"/>
      <c r="W84" s="686"/>
      <c r="X84" s="686"/>
      <c r="Y84" s="686"/>
      <c r="Z84" s="686"/>
      <c r="AA84" s="686"/>
      <c r="AB84" s="686"/>
      <c r="AC84" s="686"/>
      <c r="AD84" s="686"/>
      <c r="AE84" s="686"/>
      <c r="AF84" s="686"/>
    </row>
    <row r="85" ht="14.25" customHeight="1">
      <c r="A85" s="683">
        <v>33.0</v>
      </c>
      <c r="B85" s="683" t="s">
        <v>1107</v>
      </c>
      <c r="C85" s="684">
        <v>46189.0</v>
      </c>
      <c r="D85" s="684">
        <v>46189.0</v>
      </c>
      <c r="E85" s="684"/>
      <c r="F85" s="683" t="s">
        <v>1108</v>
      </c>
      <c r="G85" s="683" t="s">
        <v>2226</v>
      </c>
      <c r="H85" s="683" t="s">
        <v>2227</v>
      </c>
      <c r="I85" s="683" t="s">
        <v>1168</v>
      </c>
      <c r="J85" s="683" t="s">
        <v>2228</v>
      </c>
      <c r="K85" s="683" t="s">
        <v>265</v>
      </c>
      <c r="L85" s="685">
        <v>173.0</v>
      </c>
      <c r="M85" s="685">
        <v>173.0</v>
      </c>
      <c r="N85" s="685">
        <v>173.0</v>
      </c>
      <c r="O85" s="683" t="s">
        <v>2229</v>
      </c>
      <c r="P85" s="683">
        <v>0.0</v>
      </c>
      <c r="Q85" s="686"/>
      <c r="R85" s="686"/>
      <c r="S85" s="686"/>
      <c r="T85" s="686"/>
      <c r="U85" s="686"/>
      <c r="V85" s="686"/>
      <c r="W85" s="686"/>
      <c r="X85" s="686"/>
      <c r="Y85" s="686"/>
      <c r="Z85" s="686"/>
      <c r="AA85" s="686"/>
      <c r="AB85" s="686"/>
      <c r="AC85" s="686"/>
      <c r="AD85" s="686"/>
      <c r="AE85" s="686"/>
      <c r="AF85" s="686"/>
    </row>
    <row r="86" ht="14.25" customHeight="1">
      <c r="A86" s="683">
        <v>34.0</v>
      </c>
      <c r="B86" s="683" t="s">
        <v>1107</v>
      </c>
      <c r="C86" s="684">
        <v>46189.0</v>
      </c>
      <c r="D86" s="684">
        <v>46189.0</v>
      </c>
      <c r="E86" s="684"/>
      <c r="F86" s="683" t="s">
        <v>1108</v>
      </c>
      <c r="G86" s="683" t="s">
        <v>2230</v>
      </c>
      <c r="H86" s="683" t="s">
        <v>2231</v>
      </c>
      <c r="I86" s="683" t="s">
        <v>1168</v>
      </c>
      <c r="J86" s="683" t="s">
        <v>2232</v>
      </c>
      <c r="K86" s="683" t="s">
        <v>265</v>
      </c>
      <c r="L86" s="685">
        <v>14.82</v>
      </c>
      <c r="M86" s="685">
        <v>14.82</v>
      </c>
      <c r="N86" s="685">
        <v>14.82</v>
      </c>
      <c r="O86" s="683" t="s">
        <v>2233</v>
      </c>
      <c r="P86" s="683">
        <v>0.0</v>
      </c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86"/>
      <c r="AB86" s="686"/>
      <c r="AC86" s="686"/>
      <c r="AD86" s="686"/>
      <c r="AE86" s="686"/>
      <c r="AF86" s="686"/>
    </row>
    <row r="87" ht="14.25" customHeight="1">
      <c r="A87" s="683">
        <v>35.0</v>
      </c>
      <c r="B87" s="683" t="s">
        <v>1107</v>
      </c>
      <c r="C87" s="684">
        <v>46189.0</v>
      </c>
      <c r="D87" s="684">
        <v>46189.0</v>
      </c>
      <c r="E87" s="684"/>
      <c r="F87" s="683" t="s">
        <v>1108</v>
      </c>
      <c r="G87" s="683" t="s">
        <v>2234</v>
      </c>
      <c r="H87" s="683" t="s">
        <v>2235</v>
      </c>
      <c r="I87" s="683" t="s">
        <v>1168</v>
      </c>
      <c r="J87" s="683" t="s">
        <v>2236</v>
      </c>
      <c r="K87" s="683" t="s">
        <v>265</v>
      </c>
      <c r="L87" s="685">
        <v>712.04</v>
      </c>
      <c r="M87" s="685">
        <v>712.04</v>
      </c>
      <c r="N87" s="687">
        <v>712.04</v>
      </c>
      <c r="O87" s="683" t="s">
        <v>2237</v>
      </c>
      <c r="P87" s="683">
        <v>0.0</v>
      </c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86"/>
      <c r="AB87" s="686"/>
      <c r="AC87" s="686"/>
      <c r="AD87" s="686"/>
      <c r="AE87" s="686"/>
      <c r="AF87" s="686"/>
    </row>
    <row r="88" ht="14.25" customHeight="1">
      <c r="A88" s="683">
        <v>36.0</v>
      </c>
      <c r="B88" s="683" t="s">
        <v>1107</v>
      </c>
      <c r="C88" s="684">
        <v>46189.0</v>
      </c>
      <c r="D88" s="684">
        <v>46189.0</v>
      </c>
      <c r="E88" s="684"/>
      <c r="F88" s="683" t="s">
        <v>1108</v>
      </c>
      <c r="G88" s="683" t="s">
        <v>2238</v>
      </c>
      <c r="H88" s="683" t="s">
        <v>2239</v>
      </c>
      <c r="I88" s="683" t="s">
        <v>1168</v>
      </c>
      <c r="J88" s="683" t="s">
        <v>2240</v>
      </c>
      <c r="K88" s="683" t="s">
        <v>265</v>
      </c>
      <c r="L88" s="685">
        <v>50.0</v>
      </c>
      <c r="M88" s="685">
        <v>50.0</v>
      </c>
      <c r="N88" s="685">
        <v>50.0</v>
      </c>
      <c r="O88" s="683" t="s">
        <v>2241</v>
      </c>
      <c r="P88" s="683">
        <v>0.0</v>
      </c>
      <c r="Q88" s="686"/>
      <c r="R88" s="686"/>
      <c r="S88" s="686"/>
      <c r="T88" s="686"/>
      <c r="U88" s="686"/>
      <c r="V88" s="686"/>
      <c r="W88" s="686"/>
      <c r="X88" s="686"/>
      <c r="Y88" s="686"/>
      <c r="Z88" s="686"/>
      <c r="AA88" s="686"/>
      <c r="AB88" s="686"/>
      <c r="AC88" s="686"/>
      <c r="AD88" s="686"/>
      <c r="AE88" s="686"/>
      <c r="AF88" s="686"/>
    </row>
    <row r="89" ht="14.25" customHeight="1">
      <c r="A89" s="683">
        <v>39.0</v>
      </c>
      <c r="B89" s="683" t="s">
        <v>1107</v>
      </c>
      <c r="C89" s="684">
        <v>46189.0</v>
      </c>
      <c r="D89" s="684">
        <v>46189.0</v>
      </c>
      <c r="E89" s="684"/>
      <c r="F89" s="683" t="s">
        <v>1108</v>
      </c>
      <c r="G89" s="683" t="s">
        <v>2130</v>
      </c>
      <c r="H89" s="683" t="s">
        <v>2131</v>
      </c>
      <c r="I89" s="683" t="s">
        <v>1168</v>
      </c>
      <c r="J89" s="683" t="s">
        <v>2242</v>
      </c>
      <c r="K89" s="683" t="s">
        <v>265</v>
      </c>
      <c r="L89" s="690">
        <v>2947.19</v>
      </c>
      <c r="M89" s="690">
        <v>2947.19</v>
      </c>
      <c r="N89" s="690">
        <v>2947.19</v>
      </c>
      <c r="O89" s="683" t="s">
        <v>2243</v>
      </c>
      <c r="P89" s="683">
        <v>0.0</v>
      </c>
      <c r="Q89" s="686"/>
      <c r="R89" s="686"/>
      <c r="S89" s="686"/>
      <c r="T89" s="686"/>
      <c r="U89" s="686"/>
      <c r="V89" s="686"/>
      <c r="W89" s="686"/>
      <c r="X89" s="686"/>
      <c r="Y89" s="686"/>
      <c r="Z89" s="686"/>
      <c r="AA89" s="686"/>
      <c r="AB89" s="686"/>
      <c r="AC89" s="686"/>
      <c r="AD89" s="686"/>
      <c r="AE89" s="686"/>
      <c r="AF89" s="686"/>
    </row>
    <row r="90" ht="14.25" customHeight="1">
      <c r="A90" s="683">
        <v>40.0</v>
      </c>
      <c r="B90" s="683" t="s">
        <v>1107</v>
      </c>
      <c r="C90" s="684">
        <v>46189.0</v>
      </c>
      <c r="D90" s="684">
        <v>46189.0</v>
      </c>
      <c r="E90" s="684"/>
      <c r="F90" s="683" t="s">
        <v>1108</v>
      </c>
      <c r="G90" s="683" t="s">
        <v>2244</v>
      </c>
      <c r="H90" s="683" t="s">
        <v>2245</v>
      </c>
      <c r="I90" s="683" t="s">
        <v>1168</v>
      </c>
      <c r="J90" s="683" t="s">
        <v>2246</v>
      </c>
      <c r="K90" s="683" t="s">
        <v>265</v>
      </c>
      <c r="L90" s="685">
        <v>50.0</v>
      </c>
      <c r="M90" s="685">
        <v>50.0</v>
      </c>
      <c r="N90" s="687">
        <v>50.0</v>
      </c>
      <c r="O90" s="683" t="s">
        <v>2247</v>
      </c>
      <c r="P90" s="683">
        <v>0.0</v>
      </c>
      <c r="Q90" s="686"/>
      <c r="R90" s="686"/>
      <c r="S90" s="686"/>
      <c r="T90" s="686"/>
      <c r="U90" s="686"/>
      <c r="V90" s="686"/>
      <c r="W90" s="686"/>
      <c r="X90" s="686"/>
      <c r="Y90" s="686"/>
      <c r="Z90" s="686"/>
      <c r="AA90" s="686"/>
      <c r="AB90" s="686"/>
      <c r="AC90" s="686"/>
      <c r="AD90" s="686"/>
      <c r="AE90" s="686"/>
      <c r="AF90" s="686"/>
    </row>
    <row r="91" ht="14.25" customHeight="1">
      <c r="A91" s="683">
        <v>42.0</v>
      </c>
      <c r="B91" s="683" t="s">
        <v>1107</v>
      </c>
      <c r="C91" s="684">
        <v>46189.0</v>
      </c>
      <c r="D91" s="684">
        <v>46189.0</v>
      </c>
      <c r="E91" s="684"/>
      <c r="F91" s="683" t="s">
        <v>1108</v>
      </c>
      <c r="G91" s="683" t="s">
        <v>2248</v>
      </c>
      <c r="H91" s="683" t="s">
        <v>2249</v>
      </c>
      <c r="I91" s="683" t="s">
        <v>1168</v>
      </c>
      <c r="J91" s="683" t="s">
        <v>2250</v>
      </c>
      <c r="K91" s="683" t="s">
        <v>265</v>
      </c>
      <c r="L91" s="685">
        <v>31.45</v>
      </c>
      <c r="M91" s="685">
        <v>31.45</v>
      </c>
      <c r="N91" s="685">
        <v>31.45</v>
      </c>
      <c r="O91" s="683" t="s">
        <v>2251</v>
      </c>
      <c r="P91" s="685">
        <v>0.0</v>
      </c>
      <c r="Q91" s="686"/>
      <c r="R91" s="686"/>
      <c r="S91" s="686"/>
      <c r="T91" s="686"/>
      <c r="U91" s="686"/>
      <c r="V91" s="686"/>
      <c r="W91" s="686"/>
      <c r="X91" s="686"/>
      <c r="Y91" s="686"/>
      <c r="Z91" s="686"/>
      <c r="AA91" s="686"/>
      <c r="AB91" s="686"/>
      <c r="AC91" s="686"/>
      <c r="AD91" s="686"/>
      <c r="AE91" s="686"/>
      <c r="AF91" s="686"/>
    </row>
    <row r="92" ht="14.25" customHeight="1">
      <c r="A92" s="683">
        <v>44.0</v>
      </c>
      <c r="B92" s="683" t="s">
        <v>1107</v>
      </c>
      <c r="C92" s="684">
        <v>46189.0</v>
      </c>
      <c r="D92" s="684">
        <v>46189.0</v>
      </c>
      <c r="E92" s="684"/>
      <c r="F92" s="683" t="s">
        <v>1108</v>
      </c>
      <c r="G92" s="683" t="s">
        <v>2252</v>
      </c>
      <c r="H92" s="683" t="s">
        <v>2253</v>
      </c>
      <c r="I92" s="683" t="s">
        <v>1168</v>
      </c>
      <c r="J92" s="683" t="s">
        <v>2254</v>
      </c>
      <c r="K92" s="683" t="s">
        <v>265</v>
      </c>
      <c r="L92" s="685">
        <v>17.41</v>
      </c>
      <c r="M92" s="685">
        <v>17.41</v>
      </c>
      <c r="N92" s="687">
        <v>17.41</v>
      </c>
      <c r="O92" s="683" t="s">
        <v>2255</v>
      </c>
      <c r="P92" s="685">
        <v>0.0</v>
      </c>
      <c r="Q92" s="686"/>
      <c r="R92" s="686"/>
      <c r="S92" s="686"/>
      <c r="T92" s="686"/>
      <c r="U92" s="686"/>
      <c r="V92" s="686"/>
      <c r="W92" s="686"/>
      <c r="X92" s="686"/>
      <c r="Y92" s="686"/>
      <c r="Z92" s="686"/>
      <c r="AA92" s="686"/>
      <c r="AB92" s="686"/>
      <c r="AC92" s="686"/>
      <c r="AD92" s="686"/>
      <c r="AE92" s="686"/>
      <c r="AF92" s="686"/>
    </row>
    <row r="93" ht="14.25" customHeight="1">
      <c r="A93" s="683">
        <v>45.0</v>
      </c>
      <c r="B93" s="683" t="s">
        <v>1107</v>
      </c>
      <c r="C93" s="684">
        <v>46189.0</v>
      </c>
      <c r="D93" s="684">
        <v>46189.0</v>
      </c>
      <c r="E93" s="684"/>
      <c r="F93" s="683" t="s">
        <v>1108</v>
      </c>
      <c r="G93" s="683" t="s">
        <v>856</v>
      </c>
      <c r="H93" s="683" t="s">
        <v>2256</v>
      </c>
      <c r="I93" s="683" t="s">
        <v>1168</v>
      </c>
      <c r="J93" s="683" t="s">
        <v>855</v>
      </c>
      <c r="K93" s="683" t="s">
        <v>265</v>
      </c>
      <c r="L93" s="685">
        <v>5222.75</v>
      </c>
      <c r="M93" s="685">
        <v>5222.75</v>
      </c>
      <c r="N93" s="687">
        <v>5222.75</v>
      </c>
      <c r="O93" s="683" t="s">
        <v>2257</v>
      </c>
      <c r="P93" s="683">
        <v>0.0</v>
      </c>
      <c r="Q93" s="686"/>
      <c r="R93" s="686"/>
      <c r="S93" s="686"/>
      <c r="T93" s="686"/>
      <c r="U93" s="686"/>
      <c r="V93" s="686"/>
      <c r="W93" s="686"/>
      <c r="X93" s="686"/>
      <c r="Y93" s="686"/>
      <c r="Z93" s="686"/>
      <c r="AA93" s="686"/>
      <c r="AB93" s="686"/>
      <c r="AC93" s="686"/>
      <c r="AD93" s="686"/>
      <c r="AE93" s="686"/>
      <c r="AF93" s="686"/>
    </row>
    <row r="94" ht="14.25" customHeight="1">
      <c r="A94" s="683">
        <v>46.0</v>
      </c>
      <c r="B94" s="683" t="s">
        <v>1107</v>
      </c>
      <c r="C94" s="684">
        <v>46189.0</v>
      </c>
      <c r="D94" s="684">
        <v>46189.0</v>
      </c>
      <c r="E94" s="684"/>
      <c r="F94" s="683" t="s">
        <v>1108</v>
      </c>
      <c r="G94" s="683" t="s">
        <v>2258</v>
      </c>
      <c r="H94" s="683" t="s">
        <v>2259</v>
      </c>
      <c r="I94" s="683" t="s">
        <v>1168</v>
      </c>
      <c r="J94" s="683" t="s">
        <v>2260</v>
      </c>
      <c r="K94" s="683" t="s">
        <v>265</v>
      </c>
      <c r="L94" s="685">
        <v>25.0</v>
      </c>
      <c r="M94" s="685">
        <v>25.0</v>
      </c>
      <c r="N94" s="685">
        <v>25.0</v>
      </c>
      <c r="O94" s="683" t="s">
        <v>2261</v>
      </c>
      <c r="P94" s="683">
        <v>0.0</v>
      </c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86"/>
      <c r="AB94" s="686"/>
      <c r="AC94" s="686"/>
      <c r="AD94" s="686"/>
      <c r="AE94" s="686"/>
      <c r="AF94" s="686"/>
    </row>
    <row r="95" ht="14.25" customHeight="1">
      <c r="A95" s="683">
        <v>48.0</v>
      </c>
      <c r="B95" s="683" t="s">
        <v>1107</v>
      </c>
      <c r="C95" s="684">
        <v>46189.0</v>
      </c>
      <c r="D95" s="684">
        <v>46189.0</v>
      </c>
      <c r="E95" s="684"/>
      <c r="F95" s="683" t="s">
        <v>1108</v>
      </c>
      <c r="G95" s="683" t="s">
        <v>2262</v>
      </c>
      <c r="H95" s="683" t="s">
        <v>2263</v>
      </c>
      <c r="I95" s="683" t="s">
        <v>1168</v>
      </c>
      <c r="J95" s="683" t="s">
        <v>2264</v>
      </c>
      <c r="K95" s="683" t="s">
        <v>265</v>
      </c>
      <c r="L95" s="685">
        <v>1.88</v>
      </c>
      <c r="M95" s="685">
        <v>1.88</v>
      </c>
      <c r="N95" s="687">
        <v>1.88</v>
      </c>
      <c r="O95" s="683" t="s">
        <v>2265</v>
      </c>
      <c r="P95" s="683">
        <v>0.0</v>
      </c>
      <c r="Q95" s="686"/>
      <c r="R95" s="686"/>
      <c r="S95" s="686"/>
      <c r="T95" s="686"/>
      <c r="U95" s="686"/>
      <c r="V95" s="686"/>
      <c r="W95" s="686"/>
      <c r="X95" s="686"/>
      <c r="Y95" s="686"/>
      <c r="Z95" s="686"/>
      <c r="AA95" s="686"/>
      <c r="AB95" s="686"/>
      <c r="AC95" s="686"/>
      <c r="AD95" s="686"/>
      <c r="AE95" s="686"/>
      <c r="AF95" s="686"/>
    </row>
    <row r="96" ht="14.25" customHeight="1">
      <c r="A96" s="683">
        <v>49.0</v>
      </c>
      <c r="B96" s="683" t="s">
        <v>1107</v>
      </c>
      <c r="C96" s="684">
        <v>46189.0</v>
      </c>
      <c r="D96" s="684">
        <v>46189.0</v>
      </c>
      <c r="E96" s="684"/>
      <c r="F96" s="683" t="s">
        <v>1108</v>
      </c>
      <c r="G96" s="689" t="s">
        <v>2266</v>
      </c>
      <c r="H96" s="683" t="s">
        <v>2267</v>
      </c>
      <c r="I96" s="683" t="s">
        <v>1168</v>
      </c>
      <c r="J96" s="683" t="s">
        <v>2268</v>
      </c>
      <c r="K96" s="683" t="s">
        <v>265</v>
      </c>
      <c r="L96" s="685">
        <v>87.5</v>
      </c>
      <c r="M96" s="685">
        <v>87.5</v>
      </c>
      <c r="N96" s="685">
        <v>87.5</v>
      </c>
      <c r="O96" s="683" t="s">
        <v>2269</v>
      </c>
      <c r="P96" s="683">
        <v>0.0</v>
      </c>
      <c r="Q96" s="686"/>
      <c r="R96" s="686"/>
      <c r="S96" s="686"/>
      <c r="T96" s="686"/>
      <c r="U96" s="686"/>
      <c r="V96" s="686"/>
      <c r="W96" s="686"/>
      <c r="X96" s="686"/>
      <c r="Y96" s="686"/>
      <c r="Z96" s="686"/>
      <c r="AA96" s="686"/>
      <c r="AB96" s="686"/>
      <c r="AC96" s="686"/>
      <c r="AD96" s="686"/>
      <c r="AE96" s="686"/>
      <c r="AF96" s="686"/>
    </row>
    <row r="97" ht="14.25" customHeight="1">
      <c r="A97" s="683">
        <v>50.0</v>
      </c>
      <c r="B97" s="683" t="s">
        <v>1107</v>
      </c>
      <c r="C97" s="684">
        <v>46189.0</v>
      </c>
      <c r="D97" s="684">
        <v>46189.0</v>
      </c>
      <c r="E97" s="684"/>
      <c r="F97" s="683" t="s">
        <v>1108</v>
      </c>
      <c r="G97" s="683" t="s">
        <v>2270</v>
      </c>
      <c r="H97" s="683" t="s">
        <v>2271</v>
      </c>
      <c r="I97" s="683" t="s">
        <v>1168</v>
      </c>
      <c r="J97" s="683" t="s">
        <v>2272</v>
      </c>
      <c r="K97" s="683" t="s">
        <v>265</v>
      </c>
      <c r="L97" s="685">
        <v>50.0</v>
      </c>
      <c r="M97" s="685">
        <v>50.0</v>
      </c>
      <c r="N97" s="687">
        <v>50.0</v>
      </c>
      <c r="O97" s="683" t="s">
        <v>2273</v>
      </c>
      <c r="P97" s="685">
        <v>0.0</v>
      </c>
      <c r="Q97" s="686"/>
      <c r="R97" s="686"/>
      <c r="S97" s="686"/>
      <c r="T97" s="686"/>
      <c r="U97" s="686"/>
      <c r="V97" s="686"/>
      <c r="W97" s="686"/>
      <c r="X97" s="686"/>
      <c r="Y97" s="686"/>
      <c r="Z97" s="686"/>
      <c r="AA97" s="686"/>
      <c r="AB97" s="686"/>
      <c r="AC97" s="686"/>
      <c r="AD97" s="686"/>
      <c r="AE97" s="686"/>
      <c r="AF97" s="686"/>
    </row>
    <row r="98" ht="14.25" customHeight="1">
      <c r="A98" s="683">
        <v>60.0</v>
      </c>
      <c r="B98" s="683" t="s">
        <v>1107</v>
      </c>
      <c r="C98" s="684">
        <v>46189.0</v>
      </c>
      <c r="D98" s="684">
        <v>46189.0</v>
      </c>
      <c r="E98" s="684"/>
      <c r="F98" s="683" t="s">
        <v>1108</v>
      </c>
      <c r="G98" s="683" t="s">
        <v>2274</v>
      </c>
      <c r="H98" s="683" t="s">
        <v>2275</v>
      </c>
      <c r="I98" s="683" t="s">
        <v>1168</v>
      </c>
      <c r="J98" s="683" t="s">
        <v>2276</v>
      </c>
      <c r="K98" s="683" t="s">
        <v>265</v>
      </c>
      <c r="L98" s="685">
        <v>4.76</v>
      </c>
      <c r="M98" s="685">
        <v>4.76</v>
      </c>
      <c r="N98" s="685">
        <v>4.76</v>
      </c>
      <c r="O98" s="683" t="s">
        <v>2277</v>
      </c>
      <c r="P98" s="685">
        <v>0.0</v>
      </c>
      <c r="Q98" s="686"/>
      <c r="R98" s="686"/>
      <c r="S98" s="686"/>
      <c r="T98" s="686"/>
      <c r="U98" s="686"/>
      <c r="V98" s="686"/>
      <c r="W98" s="686"/>
      <c r="X98" s="686"/>
      <c r="Y98" s="686"/>
      <c r="Z98" s="686"/>
      <c r="AA98" s="686"/>
      <c r="AB98" s="686"/>
      <c r="AC98" s="686"/>
      <c r="AD98" s="686"/>
      <c r="AE98" s="686"/>
      <c r="AF98" s="686"/>
    </row>
    <row r="99" ht="14.25" customHeight="1">
      <c r="A99" s="683">
        <v>62.0</v>
      </c>
      <c r="B99" s="683" t="s">
        <v>1107</v>
      </c>
      <c r="C99" s="684">
        <v>46189.0</v>
      </c>
      <c r="D99" s="684">
        <v>46189.0</v>
      </c>
      <c r="E99" s="684"/>
      <c r="F99" s="683" t="s">
        <v>1108</v>
      </c>
      <c r="G99" s="683" t="s">
        <v>2278</v>
      </c>
      <c r="H99" s="683" t="s">
        <v>2279</v>
      </c>
      <c r="I99" s="683" t="s">
        <v>1168</v>
      </c>
      <c r="J99" s="683" t="s">
        <v>2280</v>
      </c>
      <c r="K99" s="683" t="s">
        <v>265</v>
      </c>
      <c r="L99" s="685">
        <v>2306.84</v>
      </c>
      <c r="M99" s="685">
        <v>2306.84</v>
      </c>
      <c r="N99" s="687">
        <v>2306.84</v>
      </c>
      <c r="O99" s="683" t="s">
        <v>2281</v>
      </c>
      <c r="P99" s="683">
        <v>0.0</v>
      </c>
      <c r="Q99" s="686"/>
      <c r="R99" s="686"/>
      <c r="S99" s="686"/>
      <c r="T99" s="686"/>
      <c r="U99" s="686"/>
      <c r="V99" s="686"/>
      <c r="W99" s="686"/>
      <c r="X99" s="686"/>
      <c r="Y99" s="686"/>
      <c r="Z99" s="686"/>
      <c r="AA99" s="686"/>
      <c r="AB99" s="686"/>
      <c r="AC99" s="686"/>
      <c r="AD99" s="686"/>
      <c r="AE99" s="686"/>
      <c r="AF99" s="686"/>
    </row>
    <row r="100" ht="14.25" customHeight="1">
      <c r="A100" s="683">
        <v>63.0</v>
      </c>
      <c r="B100" s="683" t="s">
        <v>1107</v>
      </c>
      <c r="C100" s="684">
        <v>46189.0</v>
      </c>
      <c r="D100" s="684">
        <v>46189.0</v>
      </c>
      <c r="E100" s="684"/>
      <c r="F100" s="683" t="s">
        <v>1108</v>
      </c>
      <c r="G100" s="683" t="s">
        <v>2282</v>
      </c>
      <c r="H100" s="683" t="s">
        <v>2283</v>
      </c>
      <c r="I100" s="683" t="s">
        <v>1168</v>
      </c>
      <c r="J100" s="683" t="s">
        <v>2284</v>
      </c>
      <c r="K100" s="683" t="s">
        <v>265</v>
      </c>
      <c r="L100" s="685">
        <v>502.47</v>
      </c>
      <c r="M100" s="685">
        <v>502.47</v>
      </c>
      <c r="N100" s="685">
        <v>502.47</v>
      </c>
      <c r="O100" s="683" t="s">
        <v>2285</v>
      </c>
      <c r="P100" s="683">
        <v>0.0</v>
      </c>
      <c r="Q100" s="686"/>
      <c r="R100" s="686"/>
      <c r="S100" s="686"/>
      <c r="T100" s="686"/>
      <c r="U100" s="686"/>
      <c r="V100" s="686"/>
      <c r="W100" s="686"/>
      <c r="X100" s="686"/>
      <c r="Y100" s="686"/>
      <c r="Z100" s="686"/>
      <c r="AA100" s="686"/>
      <c r="AB100" s="686"/>
      <c r="AC100" s="686"/>
      <c r="AD100" s="686"/>
      <c r="AE100" s="686"/>
      <c r="AF100" s="686"/>
    </row>
    <row r="101" ht="14.25" customHeight="1">
      <c r="A101" s="683">
        <v>64.0</v>
      </c>
      <c r="B101" s="683" t="s">
        <v>1107</v>
      </c>
      <c r="C101" s="684">
        <v>46189.0</v>
      </c>
      <c r="D101" s="684">
        <v>46189.0</v>
      </c>
      <c r="E101" s="684"/>
      <c r="F101" s="683" t="s">
        <v>1108</v>
      </c>
      <c r="G101" s="689" t="s">
        <v>2286</v>
      </c>
      <c r="H101" s="683" t="s">
        <v>2287</v>
      </c>
      <c r="I101" s="683" t="s">
        <v>1168</v>
      </c>
      <c r="J101" s="683" t="s">
        <v>2288</v>
      </c>
      <c r="K101" s="683" t="s">
        <v>265</v>
      </c>
      <c r="L101" s="685">
        <v>134.0</v>
      </c>
      <c r="M101" s="685">
        <v>134.0</v>
      </c>
      <c r="N101" s="687">
        <v>134.0</v>
      </c>
      <c r="O101" s="683" t="s">
        <v>2289</v>
      </c>
      <c r="P101" s="683">
        <v>0.0</v>
      </c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86"/>
      <c r="AB101" s="686"/>
      <c r="AC101" s="686"/>
      <c r="AD101" s="686"/>
      <c r="AE101" s="686"/>
      <c r="AF101" s="686"/>
    </row>
    <row r="102" ht="14.25" customHeight="1">
      <c r="A102" s="683">
        <v>65.0</v>
      </c>
      <c r="B102" s="683" t="s">
        <v>1107</v>
      </c>
      <c r="C102" s="684">
        <v>46189.0</v>
      </c>
      <c r="D102" s="684">
        <v>46189.0</v>
      </c>
      <c r="E102" s="684"/>
      <c r="F102" s="683" t="s">
        <v>1108</v>
      </c>
      <c r="G102" s="689" t="s">
        <v>2290</v>
      </c>
      <c r="H102" s="683" t="s">
        <v>2291</v>
      </c>
      <c r="I102" s="683" t="s">
        <v>1168</v>
      </c>
      <c r="J102" s="683" t="s">
        <v>2292</v>
      </c>
      <c r="K102" s="683" t="s">
        <v>265</v>
      </c>
      <c r="L102" s="690">
        <v>3.13</v>
      </c>
      <c r="M102" s="690">
        <v>3.13</v>
      </c>
      <c r="N102" s="690">
        <v>3.13</v>
      </c>
      <c r="O102" s="683" t="s">
        <v>2293</v>
      </c>
      <c r="P102" s="683">
        <v>0.0</v>
      </c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86"/>
      <c r="AB102" s="686"/>
      <c r="AC102" s="686"/>
      <c r="AD102" s="686"/>
      <c r="AE102" s="686"/>
      <c r="AF102" s="686"/>
    </row>
    <row r="103" ht="15.0" customHeight="1">
      <c r="A103" s="683">
        <v>66.0</v>
      </c>
      <c r="B103" s="683" t="s">
        <v>1107</v>
      </c>
      <c r="C103" s="684">
        <v>46189.0</v>
      </c>
      <c r="D103" s="684">
        <v>46189.0</v>
      </c>
      <c r="E103" s="684"/>
      <c r="F103" s="683" t="s">
        <v>1108</v>
      </c>
      <c r="G103" s="689" t="s">
        <v>2294</v>
      </c>
      <c r="H103" s="689" t="s">
        <v>2295</v>
      </c>
      <c r="I103" s="683" t="s">
        <v>1168</v>
      </c>
      <c r="J103" s="683" t="s">
        <v>2296</v>
      </c>
      <c r="K103" s="683" t="s">
        <v>265</v>
      </c>
      <c r="L103" s="685">
        <v>6.33</v>
      </c>
      <c r="M103" s="685">
        <v>6.33</v>
      </c>
      <c r="N103" s="687">
        <v>6.33</v>
      </c>
      <c r="O103" s="683" t="s">
        <v>2297</v>
      </c>
      <c r="P103" s="683">
        <v>0.0</v>
      </c>
      <c r="Q103" s="686"/>
      <c r="R103" s="686"/>
      <c r="S103" s="686"/>
      <c r="T103" s="686"/>
      <c r="U103" s="686"/>
      <c r="V103" s="686"/>
      <c r="W103" s="686"/>
      <c r="X103" s="686"/>
      <c r="Y103" s="686"/>
      <c r="Z103" s="686"/>
      <c r="AA103" s="686"/>
      <c r="AB103" s="686"/>
      <c r="AC103" s="686"/>
      <c r="AD103" s="686"/>
      <c r="AE103" s="686"/>
      <c r="AF103" s="686"/>
    </row>
    <row r="104" ht="15.0" customHeight="1">
      <c r="A104" s="683">
        <v>67.0</v>
      </c>
      <c r="B104" s="683" t="s">
        <v>1107</v>
      </c>
      <c r="C104" s="684">
        <v>46189.0</v>
      </c>
      <c r="D104" s="684">
        <v>46189.0</v>
      </c>
      <c r="E104" s="684"/>
      <c r="F104" s="683" t="s">
        <v>1108</v>
      </c>
      <c r="G104" s="689" t="s">
        <v>853</v>
      </c>
      <c r="H104" s="689" t="s">
        <v>2298</v>
      </c>
      <c r="I104" s="683" t="s">
        <v>1168</v>
      </c>
      <c r="J104" s="683" t="s">
        <v>852</v>
      </c>
      <c r="K104" s="683" t="s">
        <v>265</v>
      </c>
      <c r="L104" s="685">
        <v>20798.28</v>
      </c>
      <c r="M104" s="685">
        <v>20798.28</v>
      </c>
      <c r="N104" s="685">
        <v>20798.28</v>
      </c>
      <c r="O104" s="683" t="s">
        <v>2299</v>
      </c>
      <c r="P104" s="683">
        <v>0.0</v>
      </c>
      <c r="Q104" s="686"/>
      <c r="R104" s="686"/>
      <c r="S104" s="686"/>
      <c r="T104" s="686"/>
      <c r="U104" s="686"/>
      <c r="V104" s="686"/>
      <c r="W104" s="686"/>
      <c r="X104" s="686"/>
      <c r="Y104" s="686"/>
      <c r="Z104" s="686"/>
      <c r="AA104" s="686"/>
      <c r="AB104" s="686"/>
      <c r="AC104" s="686"/>
      <c r="AD104" s="686"/>
      <c r="AE104" s="686"/>
      <c r="AF104" s="686"/>
    </row>
    <row r="105" ht="15.0" customHeight="1">
      <c r="A105" s="683">
        <v>72.0</v>
      </c>
      <c r="B105" s="683" t="s">
        <v>1107</v>
      </c>
      <c r="C105" s="684">
        <v>46189.0</v>
      </c>
      <c r="D105" s="684">
        <v>46189.0</v>
      </c>
      <c r="E105" s="684"/>
      <c r="F105" s="683" t="s">
        <v>1108</v>
      </c>
      <c r="G105" s="689" t="s">
        <v>2300</v>
      </c>
      <c r="H105" s="683" t="s">
        <v>2301</v>
      </c>
      <c r="I105" s="683" t="s">
        <v>1168</v>
      </c>
      <c r="J105" s="683" t="s">
        <v>2302</v>
      </c>
      <c r="K105" s="683" t="s">
        <v>265</v>
      </c>
      <c r="L105" s="685">
        <v>12.5</v>
      </c>
      <c r="M105" s="685">
        <v>12.5</v>
      </c>
      <c r="N105" s="687">
        <v>12.5</v>
      </c>
      <c r="O105" s="683" t="s">
        <v>2303</v>
      </c>
      <c r="P105" s="683">
        <v>0.0</v>
      </c>
      <c r="Q105" s="686"/>
      <c r="R105" s="686"/>
      <c r="S105" s="686"/>
      <c r="T105" s="686"/>
      <c r="U105" s="686"/>
      <c r="V105" s="686"/>
      <c r="W105" s="686"/>
      <c r="X105" s="686"/>
      <c r="Y105" s="686"/>
      <c r="Z105" s="686"/>
      <c r="AA105" s="686"/>
      <c r="AB105" s="686"/>
      <c r="AC105" s="686"/>
      <c r="AD105" s="686"/>
      <c r="AE105" s="686"/>
      <c r="AF105" s="686"/>
    </row>
    <row r="106" ht="14.25" customHeight="1">
      <c r="A106" s="683">
        <v>76.0</v>
      </c>
      <c r="B106" s="683" t="s">
        <v>1107</v>
      </c>
      <c r="C106" s="684">
        <v>46189.0</v>
      </c>
      <c r="D106" s="684">
        <v>46189.0</v>
      </c>
      <c r="E106" s="684"/>
      <c r="F106" s="683" t="s">
        <v>1108</v>
      </c>
      <c r="G106" s="689" t="s">
        <v>2304</v>
      </c>
      <c r="H106" s="683" t="s">
        <v>2305</v>
      </c>
      <c r="I106" s="683" t="s">
        <v>1168</v>
      </c>
      <c r="J106" s="683" t="s">
        <v>2306</v>
      </c>
      <c r="K106" s="683" t="s">
        <v>265</v>
      </c>
      <c r="L106" s="690">
        <v>28.0</v>
      </c>
      <c r="M106" s="690">
        <v>28.0</v>
      </c>
      <c r="N106" s="687">
        <v>28.0</v>
      </c>
      <c r="O106" s="683" t="s">
        <v>2307</v>
      </c>
      <c r="P106" s="683">
        <v>0.0</v>
      </c>
      <c r="Q106" s="686"/>
      <c r="R106" s="686"/>
      <c r="S106" s="686"/>
      <c r="T106" s="686"/>
      <c r="U106" s="686"/>
      <c r="V106" s="686"/>
      <c r="W106" s="686"/>
      <c r="X106" s="686"/>
      <c r="Y106" s="686"/>
      <c r="Z106" s="686"/>
      <c r="AA106" s="686"/>
      <c r="AB106" s="686"/>
      <c r="AC106" s="686"/>
      <c r="AD106" s="686"/>
      <c r="AE106" s="686"/>
      <c r="AF106" s="686"/>
    </row>
    <row r="107" ht="14.25" customHeight="1">
      <c r="A107" s="683">
        <v>77.0</v>
      </c>
      <c r="B107" s="683" t="s">
        <v>1107</v>
      </c>
      <c r="C107" s="684">
        <v>46189.0</v>
      </c>
      <c r="D107" s="684">
        <v>46189.0</v>
      </c>
      <c r="E107" s="684"/>
      <c r="F107" s="683" t="s">
        <v>1108</v>
      </c>
      <c r="G107" s="689" t="s">
        <v>2308</v>
      </c>
      <c r="H107" s="683" t="s">
        <v>2309</v>
      </c>
      <c r="I107" s="683" t="s">
        <v>1168</v>
      </c>
      <c r="J107" s="683" t="s">
        <v>2310</v>
      </c>
      <c r="K107" s="683" t="s">
        <v>265</v>
      </c>
      <c r="L107" s="690">
        <v>12.5</v>
      </c>
      <c r="M107" s="690">
        <v>12.5</v>
      </c>
      <c r="N107" s="687">
        <v>12.5</v>
      </c>
      <c r="O107" s="683" t="s">
        <v>2311</v>
      </c>
      <c r="P107" s="683">
        <v>0.0</v>
      </c>
      <c r="Q107" s="686"/>
      <c r="R107" s="686"/>
      <c r="S107" s="686"/>
      <c r="T107" s="686"/>
      <c r="U107" s="686"/>
      <c r="V107" s="686"/>
      <c r="W107" s="686"/>
      <c r="X107" s="686"/>
      <c r="Y107" s="686"/>
      <c r="Z107" s="686"/>
      <c r="AA107" s="686"/>
      <c r="AB107" s="686"/>
      <c r="AC107" s="686"/>
      <c r="AD107" s="686"/>
      <c r="AE107" s="686"/>
      <c r="AF107" s="686"/>
    </row>
    <row r="108" ht="14.25" customHeight="1">
      <c r="A108" s="683">
        <v>78.0</v>
      </c>
      <c r="B108" s="683" t="s">
        <v>1107</v>
      </c>
      <c r="C108" s="684">
        <v>46189.0</v>
      </c>
      <c r="D108" s="684">
        <v>46189.0</v>
      </c>
      <c r="E108" s="684"/>
      <c r="F108" s="683" t="s">
        <v>1108</v>
      </c>
      <c r="G108" s="689" t="s">
        <v>2312</v>
      </c>
      <c r="H108" s="683" t="s">
        <v>2313</v>
      </c>
      <c r="I108" s="683" t="s">
        <v>1168</v>
      </c>
      <c r="J108" s="683" t="s">
        <v>2314</v>
      </c>
      <c r="K108" s="683" t="s">
        <v>265</v>
      </c>
      <c r="L108" s="690">
        <v>8.78</v>
      </c>
      <c r="M108" s="690">
        <v>8.78</v>
      </c>
      <c r="N108" s="687">
        <v>8.78</v>
      </c>
      <c r="O108" s="683" t="s">
        <v>2315</v>
      </c>
      <c r="P108" s="685">
        <v>0.0</v>
      </c>
      <c r="Q108" s="686"/>
      <c r="R108" s="686"/>
      <c r="S108" s="686"/>
      <c r="T108" s="686"/>
      <c r="U108" s="686"/>
      <c r="V108" s="686"/>
      <c r="W108" s="686"/>
      <c r="X108" s="686"/>
      <c r="Y108" s="686"/>
      <c r="Z108" s="686"/>
      <c r="AA108" s="686"/>
      <c r="AB108" s="686"/>
      <c r="AC108" s="686"/>
      <c r="AD108" s="686"/>
      <c r="AE108" s="686"/>
      <c r="AF108" s="686"/>
    </row>
    <row r="109" ht="14.25" customHeight="1">
      <c r="A109" s="683">
        <v>79.0</v>
      </c>
      <c r="B109" s="683" t="s">
        <v>1107</v>
      </c>
      <c r="C109" s="684">
        <v>46189.0</v>
      </c>
      <c r="D109" s="684">
        <v>46189.0</v>
      </c>
      <c r="E109" s="684"/>
      <c r="F109" s="683" t="s">
        <v>1108</v>
      </c>
      <c r="G109" s="689" t="s">
        <v>2316</v>
      </c>
      <c r="H109" s="683" t="s">
        <v>2317</v>
      </c>
      <c r="I109" s="683" t="s">
        <v>1168</v>
      </c>
      <c r="J109" s="683" t="s">
        <v>2318</v>
      </c>
      <c r="K109" s="683" t="s">
        <v>265</v>
      </c>
      <c r="L109" s="685">
        <v>5.02</v>
      </c>
      <c r="M109" s="685">
        <v>5.02</v>
      </c>
      <c r="N109" s="687">
        <v>5.02</v>
      </c>
      <c r="O109" s="683" t="s">
        <v>2319</v>
      </c>
      <c r="P109" s="685">
        <v>0.0</v>
      </c>
      <c r="Q109" s="686"/>
      <c r="R109" s="686"/>
      <c r="S109" s="686"/>
      <c r="T109" s="686"/>
      <c r="U109" s="686"/>
      <c r="V109" s="686"/>
      <c r="W109" s="686"/>
      <c r="X109" s="686"/>
      <c r="Y109" s="686"/>
      <c r="Z109" s="686"/>
      <c r="AA109" s="686"/>
      <c r="AB109" s="686"/>
      <c r="AC109" s="686"/>
      <c r="AD109" s="686"/>
      <c r="AE109" s="686"/>
      <c r="AF109" s="686"/>
    </row>
    <row r="110" ht="14.25" customHeight="1">
      <c r="A110" s="683">
        <v>80.0</v>
      </c>
      <c r="B110" s="683" t="s">
        <v>1107</v>
      </c>
      <c r="C110" s="684">
        <v>46189.0</v>
      </c>
      <c r="D110" s="684">
        <v>46189.0</v>
      </c>
      <c r="E110" s="684"/>
      <c r="F110" s="683" t="s">
        <v>1108</v>
      </c>
      <c r="G110" s="683" t="s">
        <v>2320</v>
      </c>
      <c r="H110" s="683" t="s">
        <v>2321</v>
      </c>
      <c r="I110" s="683" t="s">
        <v>1168</v>
      </c>
      <c r="J110" s="683" t="s">
        <v>2322</v>
      </c>
      <c r="K110" s="683" t="s">
        <v>265</v>
      </c>
      <c r="L110" s="685">
        <v>50.0</v>
      </c>
      <c r="M110" s="685">
        <v>50.0</v>
      </c>
      <c r="N110" s="685">
        <v>50.0</v>
      </c>
      <c r="O110" s="683" t="s">
        <v>2323</v>
      </c>
      <c r="P110" s="685">
        <v>0.0</v>
      </c>
      <c r="Q110" s="686"/>
      <c r="R110" s="686"/>
      <c r="S110" s="686"/>
      <c r="T110" s="686"/>
      <c r="U110" s="686"/>
      <c r="V110" s="686"/>
      <c r="W110" s="686"/>
      <c r="X110" s="686"/>
      <c r="Y110" s="686"/>
      <c r="Z110" s="686"/>
      <c r="AA110" s="686"/>
      <c r="AB110" s="686"/>
      <c r="AC110" s="686"/>
      <c r="AD110" s="686"/>
      <c r="AE110" s="686"/>
      <c r="AF110" s="686"/>
    </row>
    <row r="111" ht="14.25" customHeight="1">
      <c r="A111" s="683">
        <v>81.0</v>
      </c>
      <c r="B111" s="683" t="s">
        <v>1107</v>
      </c>
      <c r="C111" s="684">
        <v>46189.0</v>
      </c>
      <c r="D111" s="684">
        <v>46189.0</v>
      </c>
      <c r="E111" s="684"/>
      <c r="F111" s="683" t="s">
        <v>1108</v>
      </c>
      <c r="G111" s="689" t="s">
        <v>2324</v>
      </c>
      <c r="H111" s="683" t="s">
        <v>2325</v>
      </c>
      <c r="I111" s="683" t="s">
        <v>1168</v>
      </c>
      <c r="J111" s="683" t="s">
        <v>2326</v>
      </c>
      <c r="K111" s="683" t="s">
        <v>265</v>
      </c>
      <c r="L111" s="685">
        <v>5.87</v>
      </c>
      <c r="M111" s="685">
        <v>5.87</v>
      </c>
      <c r="N111" s="685">
        <v>5.87</v>
      </c>
      <c r="O111" s="683" t="s">
        <v>2327</v>
      </c>
      <c r="P111" s="685">
        <v>0.0</v>
      </c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86"/>
      <c r="AB111" s="686"/>
      <c r="AC111" s="686"/>
      <c r="AD111" s="686"/>
      <c r="AE111" s="686"/>
      <c r="AF111" s="686"/>
    </row>
    <row r="112" ht="12.0" customHeight="1">
      <c r="A112" s="683">
        <v>82.0</v>
      </c>
      <c r="B112" s="683" t="s">
        <v>1107</v>
      </c>
      <c r="C112" s="684">
        <v>46189.0</v>
      </c>
      <c r="D112" s="684">
        <v>46189.0</v>
      </c>
      <c r="E112" s="684"/>
      <c r="F112" s="683" t="s">
        <v>1108</v>
      </c>
      <c r="G112" s="689" t="s">
        <v>2328</v>
      </c>
      <c r="H112" s="683" t="s">
        <v>2329</v>
      </c>
      <c r="I112" s="683" t="s">
        <v>1168</v>
      </c>
      <c r="J112" s="683" t="s">
        <v>2330</v>
      </c>
      <c r="K112" s="683" t="s">
        <v>265</v>
      </c>
      <c r="L112" s="685">
        <v>4.43</v>
      </c>
      <c r="M112" s="685">
        <v>4.43</v>
      </c>
      <c r="N112" s="687">
        <v>4.43</v>
      </c>
      <c r="O112" s="683" t="s">
        <v>2331</v>
      </c>
      <c r="P112" s="685">
        <v>0.0</v>
      </c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86"/>
      <c r="AB112" s="686"/>
      <c r="AC112" s="686"/>
      <c r="AD112" s="686"/>
      <c r="AE112" s="686"/>
      <c r="AF112" s="686"/>
    </row>
    <row r="113" ht="15.0" customHeight="1">
      <c r="A113" s="683">
        <v>83.0</v>
      </c>
      <c r="B113" s="683" t="s">
        <v>1107</v>
      </c>
      <c r="C113" s="684">
        <v>46189.0</v>
      </c>
      <c r="D113" s="684">
        <v>46189.0</v>
      </c>
      <c r="E113" s="684"/>
      <c r="F113" s="683" t="s">
        <v>1108</v>
      </c>
      <c r="G113" s="683" t="s">
        <v>2332</v>
      </c>
      <c r="H113" s="683" t="s">
        <v>2333</v>
      </c>
      <c r="I113" s="683" t="s">
        <v>1168</v>
      </c>
      <c r="J113" s="683" t="s">
        <v>2334</v>
      </c>
      <c r="K113" s="683" t="s">
        <v>265</v>
      </c>
      <c r="L113" s="685">
        <v>18.88</v>
      </c>
      <c r="M113" s="685">
        <v>18.88</v>
      </c>
      <c r="N113" s="687">
        <v>18.88</v>
      </c>
      <c r="O113" s="683" t="s">
        <v>2335</v>
      </c>
      <c r="P113" s="683">
        <v>0.0</v>
      </c>
      <c r="Q113" s="686"/>
      <c r="R113" s="686"/>
      <c r="S113" s="686"/>
      <c r="T113" s="686"/>
      <c r="U113" s="686"/>
      <c r="V113" s="686"/>
      <c r="W113" s="686"/>
      <c r="X113" s="686"/>
      <c r="Y113" s="686"/>
      <c r="Z113" s="686"/>
      <c r="AA113" s="686"/>
      <c r="AB113" s="686"/>
      <c r="AC113" s="686"/>
      <c r="AD113" s="686"/>
      <c r="AE113" s="686"/>
      <c r="AF113" s="686"/>
    </row>
    <row r="114" ht="15.0" customHeight="1">
      <c r="A114" s="683">
        <v>85.0</v>
      </c>
      <c r="B114" s="683" t="s">
        <v>1107</v>
      </c>
      <c r="C114" s="684">
        <v>46189.0</v>
      </c>
      <c r="D114" s="684">
        <v>46189.0</v>
      </c>
      <c r="E114" s="684"/>
      <c r="F114" s="683" t="s">
        <v>1108</v>
      </c>
      <c r="G114" s="683" t="s">
        <v>2336</v>
      </c>
      <c r="H114" s="683" t="s">
        <v>2337</v>
      </c>
      <c r="I114" s="683" t="s">
        <v>1168</v>
      </c>
      <c r="J114" s="683" t="s">
        <v>2338</v>
      </c>
      <c r="K114" s="683" t="s">
        <v>265</v>
      </c>
      <c r="L114" s="685">
        <v>20.0</v>
      </c>
      <c r="M114" s="685">
        <v>20.0</v>
      </c>
      <c r="N114" s="687">
        <v>20.0</v>
      </c>
      <c r="O114" s="683" t="s">
        <v>2339</v>
      </c>
      <c r="P114" s="683">
        <v>0.0</v>
      </c>
      <c r="Q114" s="686"/>
      <c r="R114" s="686"/>
      <c r="S114" s="686"/>
      <c r="T114" s="686"/>
      <c r="U114" s="686"/>
      <c r="V114" s="686"/>
      <c r="W114" s="686"/>
      <c r="X114" s="686"/>
      <c r="Y114" s="686"/>
      <c r="Z114" s="686"/>
      <c r="AA114" s="686"/>
      <c r="AB114" s="686"/>
      <c r="AC114" s="686"/>
      <c r="AD114" s="686"/>
      <c r="AE114" s="686"/>
      <c r="AF114" s="686"/>
    </row>
    <row r="115" ht="14.25" customHeight="1">
      <c r="A115" s="683">
        <v>87.0</v>
      </c>
      <c r="B115" s="683" t="s">
        <v>1107</v>
      </c>
      <c r="C115" s="691">
        <v>46189.0</v>
      </c>
      <c r="D115" s="691">
        <v>46189.0</v>
      </c>
      <c r="E115" s="691"/>
      <c r="F115" s="683" t="s">
        <v>1108</v>
      </c>
      <c r="G115" s="683" t="s">
        <v>859</v>
      </c>
      <c r="H115" s="683" t="s">
        <v>2340</v>
      </c>
      <c r="I115" s="683" t="s">
        <v>1168</v>
      </c>
      <c r="J115" s="683" t="s">
        <v>858</v>
      </c>
      <c r="K115" s="683" t="s">
        <v>265</v>
      </c>
      <c r="L115" s="685">
        <v>15709.88</v>
      </c>
      <c r="M115" s="685">
        <v>15709.88</v>
      </c>
      <c r="N115" s="687">
        <v>15709.88</v>
      </c>
      <c r="O115" s="683" t="s">
        <v>2341</v>
      </c>
      <c r="P115" s="683">
        <v>0.0</v>
      </c>
      <c r="Q115" s="683"/>
      <c r="R115" s="683"/>
      <c r="S115" s="683"/>
      <c r="T115" s="683"/>
      <c r="U115" s="683"/>
      <c r="V115" s="683"/>
      <c r="W115" s="683"/>
      <c r="X115" s="683"/>
      <c r="Y115" s="683"/>
      <c r="Z115" s="683"/>
      <c r="AA115" s="683"/>
      <c r="AB115" s="683"/>
      <c r="AC115" s="683"/>
      <c r="AD115" s="683"/>
      <c r="AE115" s="683"/>
      <c r="AF115" s="683"/>
    </row>
    <row r="116" ht="14.25" customHeight="1">
      <c r="A116" s="683">
        <v>88.0</v>
      </c>
      <c r="B116" s="683" t="s">
        <v>1107</v>
      </c>
      <c r="C116" s="691">
        <v>46189.0</v>
      </c>
      <c r="D116" s="691">
        <v>46189.0</v>
      </c>
      <c r="E116" s="691"/>
      <c r="F116" s="683" t="s">
        <v>1108</v>
      </c>
      <c r="G116" s="683" t="s">
        <v>2342</v>
      </c>
      <c r="H116" s="683" t="s">
        <v>2343</v>
      </c>
      <c r="I116" s="683" t="s">
        <v>1168</v>
      </c>
      <c r="J116" s="683" t="s">
        <v>2344</v>
      </c>
      <c r="K116" s="683" t="s">
        <v>265</v>
      </c>
      <c r="L116" s="685">
        <v>200.0</v>
      </c>
      <c r="M116" s="685">
        <v>200.0</v>
      </c>
      <c r="N116" s="685">
        <v>200.0</v>
      </c>
      <c r="O116" s="683" t="s">
        <v>2345</v>
      </c>
      <c r="P116" s="685">
        <v>0.0</v>
      </c>
      <c r="Q116" s="683"/>
      <c r="R116" s="683"/>
      <c r="S116" s="683"/>
      <c r="T116" s="683"/>
      <c r="U116" s="683"/>
      <c r="V116" s="683"/>
      <c r="W116" s="683"/>
      <c r="X116" s="683"/>
      <c r="Y116" s="683"/>
      <c r="Z116" s="683"/>
      <c r="AA116" s="683"/>
      <c r="AB116" s="683"/>
      <c r="AC116" s="683"/>
      <c r="AD116" s="683"/>
      <c r="AE116" s="683"/>
      <c r="AF116" s="683"/>
    </row>
    <row r="117" ht="14.25" customHeight="1">
      <c r="A117" s="683">
        <v>90.0</v>
      </c>
      <c r="B117" s="683" t="s">
        <v>1107</v>
      </c>
      <c r="C117" s="684">
        <v>46189.0</v>
      </c>
      <c r="D117" s="684">
        <v>46189.0</v>
      </c>
      <c r="E117" s="684"/>
      <c r="F117" s="683" t="s">
        <v>1108</v>
      </c>
      <c r="G117" s="683" t="s">
        <v>2346</v>
      </c>
      <c r="H117" s="683" t="s">
        <v>2347</v>
      </c>
      <c r="I117" s="683" t="s">
        <v>1168</v>
      </c>
      <c r="J117" s="683" t="s">
        <v>2348</v>
      </c>
      <c r="K117" s="683" t="s">
        <v>265</v>
      </c>
      <c r="L117" s="685">
        <v>78.68</v>
      </c>
      <c r="M117" s="685">
        <v>78.68</v>
      </c>
      <c r="N117" s="687">
        <v>78.68</v>
      </c>
      <c r="O117" s="683" t="s">
        <v>2349</v>
      </c>
      <c r="P117" s="683">
        <v>0.0</v>
      </c>
      <c r="Q117" s="686"/>
      <c r="R117" s="686"/>
      <c r="S117" s="686"/>
      <c r="T117" s="686"/>
      <c r="U117" s="686"/>
      <c r="V117" s="686"/>
      <c r="W117" s="686"/>
      <c r="X117" s="686"/>
      <c r="Y117" s="686"/>
      <c r="Z117" s="686"/>
      <c r="AA117" s="686"/>
      <c r="AB117" s="686"/>
      <c r="AC117" s="686"/>
      <c r="AD117" s="686"/>
      <c r="AE117" s="686"/>
      <c r="AF117" s="686"/>
    </row>
    <row r="118" ht="15.0" customHeight="1">
      <c r="A118" s="683">
        <v>91.0</v>
      </c>
      <c r="B118" s="683" t="s">
        <v>1107</v>
      </c>
      <c r="C118" s="684">
        <v>46189.0</v>
      </c>
      <c r="D118" s="684">
        <v>46189.0</v>
      </c>
      <c r="E118" s="684"/>
      <c r="F118" s="683" t="s">
        <v>1108</v>
      </c>
      <c r="G118" s="683" t="s">
        <v>2350</v>
      </c>
      <c r="H118" s="683" t="s">
        <v>2351</v>
      </c>
      <c r="I118" s="683" t="s">
        <v>1168</v>
      </c>
      <c r="J118" s="683" t="s">
        <v>2352</v>
      </c>
      <c r="K118" s="683" t="s">
        <v>265</v>
      </c>
      <c r="L118" s="685">
        <v>22.68</v>
      </c>
      <c r="M118" s="685">
        <v>22.68</v>
      </c>
      <c r="N118" s="687">
        <v>22.68</v>
      </c>
      <c r="O118" s="683" t="s">
        <v>2353</v>
      </c>
      <c r="P118" s="683">
        <v>0.0</v>
      </c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86"/>
      <c r="AB118" s="686"/>
      <c r="AC118" s="686"/>
      <c r="AD118" s="686"/>
      <c r="AE118" s="686"/>
      <c r="AF118" s="686"/>
    </row>
    <row r="119" ht="18.75" customHeight="1">
      <c r="A119" s="683">
        <v>92.0</v>
      </c>
      <c r="B119" s="683" t="s">
        <v>1107</v>
      </c>
      <c r="C119" s="684">
        <v>46189.0</v>
      </c>
      <c r="D119" s="684">
        <v>46189.0</v>
      </c>
      <c r="E119" s="684"/>
      <c r="F119" s="683" t="s">
        <v>1108</v>
      </c>
      <c r="G119" s="683" t="s">
        <v>2354</v>
      </c>
      <c r="H119" s="683" t="s">
        <v>2355</v>
      </c>
      <c r="I119" s="683" t="s">
        <v>1168</v>
      </c>
      <c r="J119" s="683" t="s">
        <v>2356</v>
      </c>
      <c r="K119" s="683" t="s">
        <v>265</v>
      </c>
      <c r="L119" s="690">
        <v>1000.44</v>
      </c>
      <c r="M119" s="690">
        <v>1000.44</v>
      </c>
      <c r="N119" s="687">
        <v>1000.44</v>
      </c>
      <c r="O119" s="683" t="s">
        <v>2357</v>
      </c>
      <c r="P119" s="683">
        <v>0.0</v>
      </c>
      <c r="Q119" s="686"/>
      <c r="R119" s="686"/>
      <c r="S119" s="686"/>
      <c r="T119" s="686"/>
      <c r="U119" s="686"/>
      <c r="V119" s="686"/>
      <c r="W119" s="686"/>
      <c r="X119" s="686"/>
      <c r="Y119" s="686"/>
      <c r="Z119" s="686"/>
      <c r="AA119" s="686"/>
      <c r="AB119" s="686"/>
      <c r="AC119" s="686"/>
      <c r="AD119" s="686"/>
      <c r="AE119" s="686"/>
      <c r="AF119" s="686"/>
    </row>
    <row r="120" ht="15.0" customHeight="1">
      <c r="A120" s="683">
        <v>94.0</v>
      </c>
      <c r="B120" s="683" t="s">
        <v>1107</v>
      </c>
      <c r="C120" s="684">
        <v>46189.0</v>
      </c>
      <c r="D120" s="684">
        <v>46189.0</v>
      </c>
      <c r="E120" s="684"/>
      <c r="F120" s="683" t="s">
        <v>1108</v>
      </c>
      <c r="G120" s="689" t="s">
        <v>2358</v>
      </c>
      <c r="H120" s="689" t="s">
        <v>2359</v>
      </c>
      <c r="I120" s="683" t="s">
        <v>1168</v>
      </c>
      <c r="J120" s="683" t="s">
        <v>2360</v>
      </c>
      <c r="K120" s="683" t="s">
        <v>265</v>
      </c>
      <c r="L120" s="685">
        <v>37.5</v>
      </c>
      <c r="M120" s="685">
        <v>37.5</v>
      </c>
      <c r="N120" s="687">
        <v>37.5</v>
      </c>
      <c r="O120" s="683" t="s">
        <v>2361</v>
      </c>
      <c r="P120" s="683">
        <v>0.0</v>
      </c>
      <c r="Q120" s="683"/>
      <c r="R120" s="686"/>
      <c r="S120" s="686"/>
      <c r="T120" s="686"/>
      <c r="U120" s="686"/>
      <c r="V120" s="686"/>
      <c r="W120" s="686"/>
      <c r="X120" s="686"/>
      <c r="Y120" s="686"/>
      <c r="Z120" s="686"/>
      <c r="AA120" s="686"/>
      <c r="AB120" s="686"/>
      <c r="AC120" s="686"/>
      <c r="AD120" s="686"/>
      <c r="AE120" s="686"/>
      <c r="AF120" s="686"/>
    </row>
    <row r="121" ht="15.75" customHeight="1">
      <c r="A121" s="683">
        <v>95.0</v>
      </c>
      <c r="B121" s="683" t="s">
        <v>1107</v>
      </c>
      <c r="C121" s="684">
        <v>46189.0</v>
      </c>
      <c r="D121" s="684">
        <v>46189.0</v>
      </c>
      <c r="E121" s="684"/>
      <c r="F121" s="683" t="s">
        <v>1108</v>
      </c>
      <c r="G121" s="683" t="s">
        <v>2362</v>
      </c>
      <c r="H121" s="683" t="s">
        <v>2363</v>
      </c>
      <c r="I121" s="683" t="s">
        <v>1168</v>
      </c>
      <c r="J121" s="683" t="s">
        <v>2364</v>
      </c>
      <c r="K121" s="683" t="s">
        <v>265</v>
      </c>
      <c r="L121" s="685">
        <v>16.09</v>
      </c>
      <c r="M121" s="685">
        <v>16.09</v>
      </c>
      <c r="N121" s="685">
        <v>16.09</v>
      </c>
      <c r="O121" s="683" t="s">
        <v>2365</v>
      </c>
      <c r="P121" s="683">
        <v>0.0</v>
      </c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86"/>
      <c r="AB121" s="686"/>
      <c r="AC121" s="686"/>
      <c r="AD121" s="686"/>
      <c r="AE121" s="686"/>
      <c r="AF121" s="686"/>
    </row>
    <row r="122" ht="15.75" customHeight="1">
      <c r="A122" s="683">
        <v>96.0</v>
      </c>
      <c r="B122" s="683" t="s">
        <v>1107</v>
      </c>
      <c r="C122" s="684">
        <v>46189.0</v>
      </c>
      <c r="D122" s="684">
        <v>46189.0</v>
      </c>
      <c r="E122" s="684"/>
      <c r="F122" s="683" t="s">
        <v>1108</v>
      </c>
      <c r="G122" s="683" t="s">
        <v>2366</v>
      </c>
      <c r="H122" s="683" t="s">
        <v>2367</v>
      </c>
      <c r="I122" s="683" t="s">
        <v>1168</v>
      </c>
      <c r="J122" s="683" t="s">
        <v>2368</v>
      </c>
      <c r="K122" s="683" t="s">
        <v>265</v>
      </c>
      <c r="L122" s="685">
        <v>159.0</v>
      </c>
      <c r="M122" s="685">
        <v>159.0</v>
      </c>
      <c r="N122" s="685">
        <v>159.0</v>
      </c>
      <c r="O122" s="683" t="s">
        <v>2369</v>
      </c>
      <c r="P122" s="683">
        <v>0.0</v>
      </c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86"/>
      <c r="AB122" s="686"/>
      <c r="AC122" s="686"/>
      <c r="AD122" s="686"/>
      <c r="AE122" s="686"/>
      <c r="AF122" s="686"/>
    </row>
    <row r="123" ht="14.25" customHeight="1">
      <c r="A123" s="683">
        <v>97.0</v>
      </c>
      <c r="B123" s="683" t="s">
        <v>1107</v>
      </c>
      <c r="C123" s="684">
        <v>46189.0</v>
      </c>
      <c r="D123" s="684">
        <v>46189.0</v>
      </c>
      <c r="E123" s="684"/>
      <c r="F123" s="683" t="s">
        <v>1108</v>
      </c>
      <c r="G123" s="689" t="s">
        <v>2370</v>
      </c>
      <c r="H123" s="683" t="s">
        <v>2371</v>
      </c>
      <c r="I123" s="683" t="s">
        <v>1168</v>
      </c>
      <c r="J123" s="683" t="s">
        <v>2372</v>
      </c>
      <c r="K123" s="683" t="s">
        <v>265</v>
      </c>
      <c r="L123" s="690">
        <v>1000.42</v>
      </c>
      <c r="M123" s="690">
        <v>1000.42</v>
      </c>
      <c r="N123" s="690">
        <v>1000.42</v>
      </c>
      <c r="O123" s="683" t="s">
        <v>2373</v>
      </c>
      <c r="P123" s="685">
        <v>0.0</v>
      </c>
      <c r="Q123" s="686"/>
      <c r="R123" s="686"/>
      <c r="S123" s="686"/>
      <c r="T123" s="686"/>
      <c r="U123" s="686"/>
      <c r="V123" s="686"/>
      <c r="W123" s="686"/>
      <c r="X123" s="686"/>
      <c r="Y123" s="686"/>
      <c r="Z123" s="686"/>
      <c r="AA123" s="686"/>
      <c r="AB123" s="686"/>
      <c r="AC123" s="686"/>
      <c r="AD123" s="686"/>
      <c r="AE123" s="686"/>
      <c r="AF123" s="686"/>
    </row>
    <row r="124" ht="15.75" customHeight="1">
      <c r="A124" s="683">
        <v>98.0</v>
      </c>
      <c r="B124" s="683" t="s">
        <v>1107</v>
      </c>
      <c r="C124" s="684">
        <v>46189.0</v>
      </c>
      <c r="D124" s="684">
        <v>46189.0</v>
      </c>
      <c r="E124" s="684"/>
      <c r="F124" s="683" t="s">
        <v>1108</v>
      </c>
      <c r="G124" s="683" t="s">
        <v>2374</v>
      </c>
      <c r="H124" s="683" t="s">
        <v>2375</v>
      </c>
      <c r="I124" s="683" t="s">
        <v>1168</v>
      </c>
      <c r="J124" s="683" t="s">
        <v>2376</v>
      </c>
      <c r="K124" s="683" t="s">
        <v>265</v>
      </c>
      <c r="L124" s="685">
        <v>107.65</v>
      </c>
      <c r="M124" s="685">
        <v>107.65</v>
      </c>
      <c r="N124" s="687">
        <v>107.65</v>
      </c>
      <c r="O124" s="683" t="s">
        <v>2377</v>
      </c>
      <c r="P124" s="685">
        <v>0.0</v>
      </c>
      <c r="Q124" s="686"/>
      <c r="R124" s="686"/>
      <c r="S124" s="686"/>
      <c r="T124" s="686"/>
      <c r="U124" s="686"/>
      <c r="V124" s="686"/>
      <c r="W124" s="686"/>
      <c r="X124" s="686"/>
      <c r="Y124" s="686"/>
      <c r="Z124" s="686"/>
      <c r="AA124" s="686"/>
      <c r="AB124" s="686"/>
      <c r="AC124" s="686"/>
      <c r="AD124" s="686"/>
      <c r="AE124" s="686"/>
      <c r="AF124" s="686"/>
    </row>
    <row r="125" ht="15.75" customHeight="1">
      <c r="A125" s="683">
        <v>99.0</v>
      </c>
      <c r="B125" s="683" t="s">
        <v>1107</v>
      </c>
      <c r="C125" s="684">
        <v>46189.0</v>
      </c>
      <c r="D125" s="684">
        <v>46189.0</v>
      </c>
      <c r="E125" s="684"/>
      <c r="F125" s="683" t="s">
        <v>1108</v>
      </c>
      <c r="G125" s="683" t="s">
        <v>2378</v>
      </c>
      <c r="H125" s="683" t="s">
        <v>2379</v>
      </c>
      <c r="I125" s="683" t="s">
        <v>1168</v>
      </c>
      <c r="J125" s="683" t="s">
        <v>2380</v>
      </c>
      <c r="K125" s="683" t="s">
        <v>265</v>
      </c>
      <c r="L125" s="685">
        <v>3.82</v>
      </c>
      <c r="M125" s="685">
        <v>3.82</v>
      </c>
      <c r="N125" s="685">
        <v>3.82</v>
      </c>
      <c r="O125" s="683" t="s">
        <v>2381</v>
      </c>
      <c r="P125" s="690">
        <v>0.0</v>
      </c>
      <c r="Q125" s="686"/>
      <c r="R125" s="686"/>
      <c r="S125" s="686"/>
      <c r="T125" s="686"/>
      <c r="U125" s="686"/>
      <c r="V125" s="686"/>
      <c r="W125" s="686"/>
      <c r="X125" s="686"/>
      <c r="Y125" s="686"/>
      <c r="Z125" s="686"/>
      <c r="AA125" s="686"/>
      <c r="AB125" s="686"/>
      <c r="AC125" s="686"/>
      <c r="AD125" s="686"/>
      <c r="AE125" s="686"/>
      <c r="AF125" s="686"/>
    </row>
    <row r="126" ht="15.75" customHeight="1">
      <c r="A126" s="683">
        <v>100.0</v>
      </c>
      <c r="B126" s="683" t="s">
        <v>1107</v>
      </c>
      <c r="C126" s="684">
        <v>46189.0</v>
      </c>
      <c r="D126" s="684">
        <v>46189.0</v>
      </c>
      <c r="E126" s="684"/>
      <c r="F126" s="683" t="s">
        <v>1108</v>
      </c>
      <c r="G126" s="683" t="s">
        <v>2382</v>
      </c>
      <c r="H126" s="683" t="s">
        <v>2383</v>
      </c>
      <c r="I126" s="683" t="s">
        <v>1168</v>
      </c>
      <c r="J126" s="683" t="s">
        <v>2384</v>
      </c>
      <c r="K126" s="683" t="s">
        <v>265</v>
      </c>
      <c r="L126" s="685">
        <v>4.69</v>
      </c>
      <c r="M126" s="685">
        <v>4.69</v>
      </c>
      <c r="N126" s="685">
        <v>4.69</v>
      </c>
      <c r="O126" s="683" t="s">
        <v>2385</v>
      </c>
      <c r="P126" s="690">
        <v>0.0</v>
      </c>
      <c r="Q126" s="686"/>
      <c r="R126" s="686"/>
      <c r="S126" s="686"/>
      <c r="T126" s="686"/>
      <c r="U126" s="686"/>
      <c r="V126" s="686"/>
      <c r="W126" s="686"/>
      <c r="X126" s="686"/>
      <c r="Y126" s="686"/>
      <c r="Z126" s="686"/>
      <c r="AA126" s="686"/>
      <c r="AB126" s="686"/>
      <c r="AC126" s="686"/>
      <c r="AD126" s="686"/>
      <c r="AE126" s="686"/>
      <c r="AF126" s="686"/>
    </row>
    <row r="127" ht="15.75" customHeight="1">
      <c r="A127" s="683">
        <v>101.0</v>
      </c>
      <c r="B127" s="683" t="s">
        <v>1107</v>
      </c>
      <c r="C127" s="684">
        <v>46189.0</v>
      </c>
      <c r="D127" s="684">
        <v>46189.0</v>
      </c>
      <c r="E127" s="684"/>
      <c r="F127" s="683" t="s">
        <v>1108</v>
      </c>
      <c r="G127" s="683" t="s">
        <v>2386</v>
      </c>
      <c r="H127" s="683" t="s">
        <v>2387</v>
      </c>
      <c r="I127" s="683" t="s">
        <v>1168</v>
      </c>
      <c r="J127" s="683" t="s">
        <v>2388</v>
      </c>
      <c r="K127" s="683" t="s">
        <v>265</v>
      </c>
      <c r="L127" s="685">
        <v>50.0</v>
      </c>
      <c r="M127" s="685">
        <v>50.0</v>
      </c>
      <c r="N127" s="687">
        <v>50.0</v>
      </c>
      <c r="O127" s="683" t="s">
        <v>2389</v>
      </c>
      <c r="P127" s="685">
        <v>0.0</v>
      </c>
      <c r="Q127" s="686"/>
      <c r="R127" s="686"/>
      <c r="S127" s="686"/>
      <c r="T127" s="686"/>
      <c r="U127" s="686"/>
      <c r="V127" s="686"/>
      <c r="W127" s="686"/>
      <c r="X127" s="686"/>
      <c r="Y127" s="686"/>
      <c r="Z127" s="686"/>
      <c r="AA127" s="686"/>
      <c r="AB127" s="686"/>
      <c r="AC127" s="686"/>
      <c r="AD127" s="686"/>
      <c r="AE127" s="686"/>
      <c r="AF127" s="686"/>
    </row>
    <row r="128" ht="15.75" customHeight="1">
      <c r="A128" s="683">
        <v>102.0</v>
      </c>
      <c r="B128" s="683" t="s">
        <v>1107</v>
      </c>
      <c r="C128" s="684">
        <v>46189.0</v>
      </c>
      <c r="D128" s="684">
        <v>46189.0</v>
      </c>
      <c r="E128" s="684"/>
      <c r="F128" s="683" t="s">
        <v>1108</v>
      </c>
      <c r="G128" s="683" t="s">
        <v>2390</v>
      </c>
      <c r="H128" s="683" t="s">
        <v>2391</v>
      </c>
      <c r="I128" s="683" t="s">
        <v>1168</v>
      </c>
      <c r="J128" s="683" t="s">
        <v>2392</v>
      </c>
      <c r="K128" s="683" t="s">
        <v>265</v>
      </c>
      <c r="L128" s="685">
        <v>0.31</v>
      </c>
      <c r="M128" s="685">
        <v>0.31</v>
      </c>
      <c r="N128" s="685">
        <v>0.31</v>
      </c>
      <c r="O128" s="683" t="s">
        <v>2393</v>
      </c>
      <c r="P128" s="685">
        <v>0.0</v>
      </c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86"/>
      <c r="AB128" s="686"/>
      <c r="AC128" s="686"/>
      <c r="AD128" s="686"/>
      <c r="AE128" s="686"/>
      <c r="AF128" s="686"/>
    </row>
    <row r="129" ht="15.75" customHeight="1">
      <c r="A129" s="683"/>
      <c r="B129" s="683"/>
      <c r="C129" s="684"/>
      <c r="D129" s="684"/>
      <c r="E129" s="684"/>
      <c r="F129" s="683"/>
      <c r="G129" s="683"/>
      <c r="H129" s="683"/>
      <c r="I129" s="683"/>
      <c r="J129" s="683"/>
      <c r="K129" s="683"/>
      <c r="L129" s="685"/>
      <c r="M129" s="685" t="s">
        <v>1982</v>
      </c>
      <c r="N129" s="687">
        <f>SUM(N68:N128)</f>
        <v>87369.08</v>
      </c>
      <c r="O129" s="683"/>
      <c r="P129" s="683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86"/>
      <c r="AB129" s="686"/>
      <c r="AC129" s="686"/>
      <c r="AD129" s="686"/>
      <c r="AE129" s="686"/>
      <c r="AF129" s="686"/>
    </row>
    <row r="130" ht="15.75" customHeight="1">
      <c r="A130" s="683"/>
      <c r="B130" s="683"/>
      <c r="C130" s="684"/>
      <c r="D130" s="684"/>
      <c r="E130" s="684"/>
      <c r="F130" s="683"/>
      <c r="G130" s="683"/>
      <c r="H130" s="683"/>
      <c r="I130" s="683"/>
      <c r="J130" s="683"/>
      <c r="K130" s="683"/>
      <c r="L130" s="685"/>
      <c r="M130" s="685"/>
      <c r="N130" s="687"/>
      <c r="O130" s="683"/>
      <c r="P130" s="683"/>
      <c r="Q130" s="686"/>
      <c r="R130" s="686"/>
      <c r="S130" s="686"/>
      <c r="T130" s="686"/>
      <c r="U130" s="686"/>
      <c r="V130" s="686"/>
      <c r="W130" s="686"/>
      <c r="X130" s="686"/>
      <c r="Y130" s="686"/>
      <c r="Z130" s="686"/>
      <c r="AA130" s="686"/>
      <c r="AB130" s="686"/>
      <c r="AC130" s="686"/>
      <c r="AD130" s="686"/>
      <c r="AE130" s="686"/>
      <c r="AF130" s="686"/>
    </row>
    <row r="131" ht="14.25" customHeight="1">
      <c r="A131" s="692"/>
      <c r="B131" s="693"/>
      <c r="C131" s="694"/>
      <c r="D131" s="694"/>
      <c r="E131" s="695"/>
      <c r="F131" s="693"/>
      <c r="G131" s="693"/>
      <c r="H131" s="693"/>
      <c r="I131" s="693"/>
      <c r="J131" s="693"/>
      <c r="K131" s="693"/>
      <c r="L131" s="696"/>
      <c r="M131" s="696"/>
      <c r="N131" s="696"/>
      <c r="O131" s="693"/>
      <c r="P131" s="692"/>
      <c r="Q131" s="697"/>
      <c r="R131" s="697"/>
      <c r="S131" s="697"/>
      <c r="T131" s="697"/>
      <c r="U131" s="674"/>
      <c r="V131" s="674"/>
      <c r="W131" s="674"/>
      <c r="X131" s="674"/>
      <c r="Y131" s="674"/>
      <c r="Z131" s="674"/>
      <c r="AA131" s="674"/>
      <c r="AB131" s="674"/>
      <c r="AC131" s="674"/>
      <c r="AD131" s="674"/>
      <c r="AE131" s="674"/>
      <c r="AF131" s="674"/>
    </row>
    <row r="132" ht="15.75" customHeight="1">
      <c r="A132" s="692"/>
      <c r="B132" s="693"/>
      <c r="C132" s="694"/>
      <c r="D132" s="694"/>
      <c r="E132" s="695"/>
      <c r="F132" s="693"/>
      <c r="G132" s="693"/>
      <c r="H132" s="693"/>
      <c r="I132" s="693"/>
      <c r="J132" s="693"/>
      <c r="K132" s="693"/>
      <c r="L132" s="696"/>
      <c r="M132" s="696"/>
      <c r="N132" s="696"/>
      <c r="O132" s="693"/>
      <c r="P132" s="692"/>
      <c r="Q132" s="697"/>
      <c r="R132" s="697"/>
      <c r="S132" s="697"/>
      <c r="T132" s="697"/>
      <c r="U132" s="674"/>
      <c r="V132" s="674"/>
      <c r="W132" s="674"/>
      <c r="X132" s="674"/>
      <c r="Y132" s="674"/>
      <c r="Z132" s="674"/>
      <c r="AA132" s="674"/>
      <c r="AB132" s="674"/>
      <c r="AC132" s="674"/>
      <c r="AD132" s="674"/>
      <c r="AE132" s="674"/>
      <c r="AF132" s="674"/>
    </row>
    <row r="133" ht="15.75" customHeight="1">
      <c r="A133" s="683"/>
      <c r="B133" s="683"/>
      <c r="C133" s="684"/>
      <c r="D133" s="684"/>
      <c r="E133" s="684"/>
      <c r="F133" s="683"/>
      <c r="G133" s="683"/>
      <c r="H133" s="683"/>
      <c r="I133" s="683"/>
      <c r="J133" s="683"/>
      <c r="K133" s="683"/>
      <c r="L133" s="685"/>
      <c r="M133" s="685"/>
      <c r="N133" s="685"/>
      <c r="O133" s="683"/>
      <c r="P133" s="683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86"/>
      <c r="AB133" s="686"/>
      <c r="AC133" s="686"/>
      <c r="AD133" s="686"/>
      <c r="AE133" s="686"/>
      <c r="AF133" s="686"/>
    </row>
    <row r="134" ht="15.75" customHeight="1">
      <c r="A134" s="683"/>
      <c r="B134" s="683"/>
      <c r="C134" s="684"/>
      <c r="D134" s="684"/>
      <c r="E134" s="684"/>
      <c r="F134" s="683"/>
      <c r="G134" s="683"/>
      <c r="H134" s="683"/>
      <c r="I134" s="683"/>
      <c r="J134" s="683"/>
      <c r="K134" s="683"/>
      <c r="L134" s="685"/>
      <c r="M134" s="685"/>
      <c r="N134" s="685"/>
      <c r="O134" s="683"/>
      <c r="P134" s="685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86"/>
      <c r="AB134" s="686"/>
      <c r="AC134" s="686"/>
      <c r="AD134" s="686"/>
      <c r="AE134" s="686"/>
      <c r="AF134" s="686"/>
    </row>
    <row r="135" ht="15.75" customHeight="1">
      <c r="A135" s="688" t="s">
        <v>1983</v>
      </c>
      <c r="B135" s="683"/>
      <c r="C135" s="684"/>
      <c r="D135" s="684"/>
      <c r="E135" s="684"/>
      <c r="F135" s="683"/>
      <c r="G135" s="683"/>
      <c r="H135" s="683"/>
      <c r="I135" s="683"/>
      <c r="J135" s="683"/>
      <c r="K135" s="683"/>
      <c r="L135" s="685"/>
      <c r="M135" s="685"/>
      <c r="N135" s="685"/>
      <c r="O135" s="683"/>
      <c r="P135" s="685"/>
      <c r="Q135" s="686"/>
      <c r="R135" s="686"/>
      <c r="S135" s="686"/>
      <c r="T135" s="686"/>
      <c r="U135" s="686"/>
      <c r="V135" s="686"/>
      <c r="W135" s="686"/>
      <c r="X135" s="686"/>
      <c r="Y135" s="686"/>
      <c r="Z135" s="686"/>
      <c r="AA135" s="686"/>
      <c r="AB135" s="686"/>
      <c r="AC135" s="686"/>
      <c r="AD135" s="686"/>
      <c r="AE135" s="686"/>
      <c r="AF135" s="686"/>
    </row>
    <row r="136" ht="15.75" customHeight="1">
      <c r="A136" s="683">
        <v>27.0</v>
      </c>
      <c r="B136" s="683" t="s">
        <v>1107</v>
      </c>
      <c r="C136" s="684">
        <v>46189.0</v>
      </c>
      <c r="D136" s="684">
        <v>46189.0</v>
      </c>
      <c r="E136" s="684"/>
      <c r="F136" s="683" t="s">
        <v>1108</v>
      </c>
      <c r="G136" s="683" t="s">
        <v>2394</v>
      </c>
      <c r="H136" s="683" t="s">
        <v>2394</v>
      </c>
      <c r="I136" s="683" t="s">
        <v>1168</v>
      </c>
      <c r="J136" s="683" t="s">
        <v>2395</v>
      </c>
      <c r="K136" s="683" t="s">
        <v>167</v>
      </c>
      <c r="L136" s="685">
        <v>584.21</v>
      </c>
      <c r="M136" s="685">
        <v>584.21</v>
      </c>
      <c r="N136" s="685">
        <v>584.21</v>
      </c>
      <c r="O136" s="683" t="s">
        <v>2396</v>
      </c>
      <c r="P136" s="683">
        <v>0.0</v>
      </c>
      <c r="Q136" s="686"/>
      <c r="R136" s="686"/>
      <c r="S136" s="686"/>
      <c r="T136" s="686"/>
      <c r="U136" s="686"/>
      <c r="V136" s="686"/>
      <c r="W136" s="686"/>
      <c r="X136" s="686"/>
      <c r="Y136" s="686"/>
      <c r="Z136" s="686"/>
      <c r="AA136" s="686"/>
      <c r="AB136" s="686"/>
      <c r="AC136" s="686"/>
      <c r="AD136" s="686"/>
      <c r="AE136" s="686"/>
      <c r="AF136" s="686"/>
    </row>
    <row r="137" ht="15.75" customHeight="1">
      <c r="A137" s="683"/>
      <c r="B137" s="683"/>
      <c r="C137" s="684"/>
      <c r="D137" s="684"/>
      <c r="E137" s="684"/>
      <c r="F137" s="683"/>
      <c r="G137" s="683"/>
      <c r="H137" s="683"/>
      <c r="I137" s="683"/>
      <c r="J137" s="683"/>
      <c r="K137" s="683"/>
      <c r="L137" s="685"/>
      <c r="M137" s="685"/>
      <c r="N137" s="685"/>
      <c r="O137" s="683"/>
      <c r="P137" s="685"/>
      <c r="Q137" s="686"/>
      <c r="R137" s="686"/>
      <c r="S137" s="686"/>
      <c r="T137" s="686"/>
      <c r="U137" s="686"/>
      <c r="V137" s="686"/>
      <c r="W137" s="686"/>
      <c r="X137" s="686"/>
      <c r="Y137" s="686"/>
      <c r="Z137" s="686"/>
      <c r="AA137" s="686"/>
      <c r="AB137" s="686"/>
      <c r="AC137" s="686"/>
      <c r="AD137" s="686"/>
      <c r="AE137" s="686"/>
      <c r="AF137" s="686"/>
    </row>
    <row r="138" ht="15.75" customHeight="1">
      <c r="A138" s="683"/>
      <c r="B138" s="683"/>
      <c r="C138" s="684"/>
      <c r="D138" s="684"/>
      <c r="E138" s="684"/>
      <c r="F138" s="683"/>
      <c r="G138" s="683"/>
      <c r="H138" s="683"/>
      <c r="I138" s="683"/>
      <c r="J138" s="683"/>
      <c r="K138" s="683"/>
      <c r="L138" s="685"/>
      <c r="M138" s="685"/>
      <c r="N138" s="685"/>
      <c r="O138" s="683"/>
      <c r="P138" s="685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86"/>
      <c r="AB138" s="686"/>
      <c r="AC138" s="686"/>
      <c r="AD138" s="686"/>
      <c r="AE138" s="686"/>
      <c r="AF138" s="686"/>
    </row>
    <row r="139" ht="15.75" customHeight="1">
      <c r="A139" s="683"/>
      <c r="B139" s="683"/>
      <c r="C139" s="684"/>
      <c r="D139" s="684"/>
      <c r="E139" s="684"/>
      <c r="F139" s="683"/>
      <c r="G139" s="683"/>
      <c r="H139" s="683"/>
      <c r="I139" s="683"/>
      <c r="J139" s="683"/>
      <c r="K139" s="683"/>
      <c r="L139" s="685"/>
      <c r="M139" s="685"/>
      <c r="N139" s="685"/>
      <c r="O139" s="683"/>
      <c r="P139" s="683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86"/>
      <c r="AB139" s="686"/>
      <c r="AC139" s="686"/>
      <c r="AD139" s="686"/>
      <c r="AE139" s="686"/>
      <c r="AF139" s="686"/>
    </row>
    <row r="140" ht="15.75" customHeight="1">
      <c r="A140" s="683"/>
      <c r="B140" s="683"/>
      <c r="C140" s="684"/>
      <c r="D140" s="684"/>
      <c r="E140" s="684"/>
      <c r="F140" s="683"/>
      <c r="G140" s="683"/>
      <c r="H140" s="683"/>
      <c r="I140" s="683"/>
      <c r="J140" s="683"/>
      <c r="K140" s="683"/>
      <c r="L140" s="683"/>
      <c r="M140" s="683"/>
      <c r="N140" s="687"/>
      <c r="O140" s="683"/>
      <c r="P140" s="683"/>
      <c r="Q140" s="686"/>
      <c r="R140" s="686"/>
      <c r="S140" s="686"/>
      <c r="T140" s="686"/>
      <c r="U140" s="686"/>
      <c r="V140" s="686"/>
      <c r="W140" s="686"/>
      <c r="X140" s="686"/>
      <c r="Y140" s="686"/>
      <c r="Z140" s="686"/>
      <c r="AA140" s="686"/>
      <c r="AB140" s="686"/>
      <c r="AC140" s="686"/>
      <c r="AD140" s="686"/>
      <c r="AE140" s="686"/>
      <c r="AF140" s="686"/>
    </row>
    <row r="141" ht="14.25" customHeight="1">
      <c r="A141" s="683"/>
      <c r="B141" s="683"/>
      <c r="C141" s="684"/>
      <c r="D141" s="684"/>
      <c r="E141" s="684"/>
      <c r="F141" s="683"/>
      <c r="G141" s="683"/>
      <c r="H141" s="683"/>
      <c r="I141" s="683"/>
      <c r="J141" s="683"/>
      <c r="K141" s="683"/>
      <c r="L141" s="685"/>
      <c r="M141" s="685"/>
      <c r="N141" s="687"/>
      <c r="O141" s="683"/>
      <c r="P141" s="683"/>
      <c r="Q141" s="686"/>
      <c r="R141" s="686"/>
      <c r="S141" s="686"/>
      <c r="T141" s="686"/>
      <c r="U141" s="686"/>
      <c r="V141" s="686"/>
      <c r="W141" s="686"/>
      <c r="X141" s="686"/>
      <c r="Y141" s="686"/>
      <c r="Z141" s="686"/>
      <c r="AA141" s="686"/>
      <c r="AB141" s="686"/>
      <c r="AC141" s="686"/>
      <c r="AD141" s="686"/>
      <c r="AE141" s="686"/>
      <c r="AF141" s="686"/>
    </row>
    <row r="142">
      <c r="A142" s="683"/>
      <c r="B142" s="683"/>
      <c r="C142" s="684"/>
      <c r="D142" s="684"/>
      <c r="E142" s="686"/>
      <c r="F142" s="683"/>
      <c r="G142" s="683"/>
      <c r="H142" s="683"/>
      <c r="I142" s="683"/>
      <c r="J142" s="683"/>
      <c r="K142" s="683"/>
      <c r="L142" s="685"/>
      <c r="M142" s="685"/>
      <c r="N142" s="685"/>
      <c r="O142" s="683"/>
      <c r="P142" s="683"/>
      <c r="Q142" s="686"/>
      <c r="R142" s="686"/>
      <c r="S142" s="686"/>
      <c r="T142" s="686"/>
      <c r="U142" s="686"/>
      <c r="V142" s="686"/>
      <c r="W142" s="686"/>
      <c r="X142" s="686"/>
      <c r="Y142" s="686"/>
      <c r="Z142" s="686"/>
      <c r="AA142" s="686"/>
      <c r="AB142" s="686"/>
      <c r="AC142" s="686"/>
      <c r="AD142" s="686"/>
      <c r="AE142" s="686"/>
      <c r="AF142" s="686"/>
    </row>
    <row r="143" ht="15.75" customHeight="1">
      <c r="A143" s="683"/>
      <c r="B143" s="683"/>
      <c r="C143" s="684"/>
      <c r="D143" s="684"/>
      <c r="E143" s="686"/>
      <c r="F143" s="683"/>
      <c r="G143" s="683"/>
      <c r="H143" s="683"/>
      <c r="I143" s="683"/>
      <c r="J143" s="683"/>
      <c r="K143" s="683"/>
      <c r="L143" s="685"/>
      <c r="M143" s="685"/>
      <c r="N143" s="685"/>
      <c r="O143" s="683"/>
      <c r="P143" s="683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86"/>
      <c r="AB143" s="686"/>
      <c r="AC143" s="686"/>
      <c r="AD143" s="686"/>
      <c r="AE143" s="686"/>
      <c r="AF143" s="686"/>
    </row>
    <row r="144" ht="15.75" customHeight="1">
      <c r="A144" s="683"/>
      <c r="B144" s="683"/>
      <c r="C144" s="684"/>
      <c r="D144" s="684"/>
      <c r="E144" s="684"/>
      <c r="F144" s="683"/>
      <c r="G144" s="683"/>
      <c r="H144" s="683"/>
      <c r="I144" s="683"/>
      <c r="J144" s="683"/>
      <c r="K144" s="683"/>
      <c r="L144" s="685"/>
      <c r="M144" s="685"/>
      <c r="N144" s="685"/>
      <c r="O144" s="683"/>
      <c r="P144" s="683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86"/>
      <c r="AB144" s="686"/>
      <c r="AC144" s="686"/>
      <c r="AD144" s="686"/>
      <c r="AE144" s="686"/>
      <c r="AF144" s="686"/>
    </row>
    <row r="145" ht="15.75" customHeight="1">
      <c r="A145" s="683"/>
      <c r="B145" s="683"/>
      <c r="C145" s="684"/>
      <c r="D145" s="684"/>
      <c r="E145" s="684"/>
      <c r="F145" s="683"/>
      <c r="G145" s="683"/>
      <c r="H145" s="683"/>
      <c r="I145" s="683"/>
      <c r="J145" s="683"/>
      <c r="K145" s="683"/>
      <c r="L145" s="690"/>
      <c r="M145" s="690"/>
      <c r="N145" s="690"/>
      <c r="O145" s="683"/>
      <c r="P145" s="683"/>
      <c r="Q145" s="686"/>
      <c r="R145" s="686"/>
      <c r="S145" s="686"/>
      <c r="T145" s="686"/>
      <c r="U145" s="686"/>
      <c r="V145" s="686"/>
      <c r="W145" s="686"/>
      <c r="X145" s="686"/>
      <c r="Y145" s="686"/>
      <c r="Z145" s="686"/>
      <c r="AA145" s="686"/>
      <c r="AB145" s="686"/>
      <c r="AC145" s="686"/>
      <c r="AD145" s="686"/>
      <c r="AE145" s="686"/>
      <c r="AF145" s="686"/>
    </row>
    <row r="146" ht="15.75" customHeight="1">
      <c r="A146" s="683"/>
      <c r="B146" s="683"/>
      <c r="C146" s="684"/>
      <c r="D146" s="684"/>
      <c r="E146" s="686"/>
      <c r="F146" s="683"/>
      <c r="G146" s="683"/>
      <c r="H146" s="683"/>
      <c r="I146" s="683"/>
      <c r="J146" s="683"/>
      <c r="K146" s="683"/>
      <c r="L146" s="685"/>
      <c r="M146" s="685"/>
      <c r="N146" s="685"/>
      <c r="O146" s="683"/>
      <c r="P146" s="683"/>
      <c r="Q146" s="686"/>
      <c r="R146" s="686"/>
      <c r="S146" s="686"/>
      <c r="T146" s="686"/>
      <c r="U146" s="686"/>
      <c r="V146" s="686"/>
      <c r="W146" s="686"/>
      <c r="X146" s="686"/>
      <c r="Y146" s="686"/>
      <c r="Z146" s="686"/>
      <c r="AA146" s="686"/>
      <c r="AB146" s="686"/>
      <c r="AC146" s="686"/>
      <c r="AD146" s="686"/>
      <c r="AE146" s="686"/>
      <c r="AF146" s="686"/>
    </row>
    <row r="147" ht="15.75" customHeight="1">
      <c r="A147" s="683"/>
      <c r="B147" s="683"/>
      <c r="C147" s="684"/>
      <c r="D147" s="684"/>
      <c r="E147" s="684"/>
      <c r="F147" s="683"/>
      <c r="G147" s="683"/>
      <c r="H147" s="683"/>
      <c r="I147" s="683"/>
      <c r="J147" s="683"/>
      <c r="K147" s="683"/>
      <c r="L147" s="685"/>
      <c r="M147" s="685"/>
      <c r="N147" s="685"/>
      <c r="O147" s="683"/>
      <c r="P147" s="683"/>
      <c r="Q147" s="686"/>
      <c r="R147" s="686"/>
      <c r="S147" s="686"/>
      <c r="T147" s="686"/>
      <c r="U147" s="686"/>
      <c r="V147" s="686"/>
      <c r="W147" s="686"/>
      <c r="X147" s="686"/>
      <c r="Y147" s="686"/>
      <c r="Z147" s="686"/>
      <c r="AA147" s="686"/>
      <c r="AB147" s="686"/>
      <c r="AC147" s="686"/>
      <c r="AD147" s="686"/>
      <c r="AE147" s="686"/>
      <c r="AF147" s="686"/>
    </row>
    <row r="148" ht="14.25" customHeight="1">
      <c r="A148" s="683"/>
      <c r="B148" s="683"/>
      <c r="C148" s="684"/>
      <c r="D148" s="684"/>
      <c r="E148" s="684"/>
      <c r="F148" s="683"/>
      <c r="G148" s="683"/>
      <c r="H148" s="683"/>
      <c r="I148" s="683"/>
      <c r="J148" s="683"/>
      <c r="K148" s="683"/>
      <c r="L148" s="685"/>
      <c r="M148" s="685"/>
      <c r="N148" s="685"/>
      <c r="O148" s="683"/>
      <c r="P148" s="683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86"/>
      <c r="AB148" s="686"/>
      <c r="AC148" s="686"/>
      <c r="AD148" s="686"/>
      <c r="AE148" s="686"/>
      <c r="AF148" s="686"/>
    </row>
    <row r="149">
      <c r="A149" s="683"/>
      <c r="B149" s="683"/>
      <c r="C149" s="684"/>
      <c r="D149" s="684"/>
      <c r="E149" s="684"/>
      <c r="F149" s="683"/>
      <c r="G149" s="683"/>
      <c r="H149" s="683"/>
      <c r="I149" s="683"/>
      <c r="J149" s="683"/>
      <c r="K149" s="683"/>
      <c r="L149" s="685"/>
      <c r="M149" s="685"/>
      <c r="N149" s="685"/>
      <c r="O149" s="683"/>
      <c r="P149" s="683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86"/>
      <c r="AB149" s="686"/>
      <c r="AC149" s="686"/>
      <c r="AD149" s="686"/>
      <c r="AE149" s="686"/>
      <c r="AF149" s="686"/>
    </row>
    <row r="150" ht="15.75" customHeight="1">
      <c r="A150" s="683"/>
      <c r="B150" s="683"/>
      <c r="C150" s="684"/>
      <c r="D150" s="684"/>
      <c r="E150" s="684"/>
      <c r="F150" s="683"/>
      <c r="G150" s="683"/>
      <c r="H150" s="683"/>
      <c r="I150" s="683"/>
      <c r="J150" s="683"/>
      <c r="K150" s="683"/>
      <c r="L150" s="685"/>
      <c r="M150" s="685"/>
      <c r="N150" s="685"/>
      <c r="O150" s="683"/>
      <c r="P150" s="683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86"/>
      <c r="AB150" s="686"/>
      <c r="AC150" s="686"/>
      <c r="AD150" s="686"/>
      <c r="AE150" s="686"/>
      <c r="AF150" s="686"/>
    </row>
    <row r="151" ht="15.75" customHeight="1">
      <c r="A151" s="683"/>
      <c r="B151" s="683"/>
      <c r="C151" s="684"/>
      <c r="D151" s="684"/>
      <c r="E151" s="684"/>
      <c r="F151" s="683"/>
      <c r="G151" s="683"/>
      <c r="H151" s="683"/>
      <c r="I151" s="683"/>
      <c r="J151" s="683"/>
      <c r="K151" s="683"/>
      <c r="L151" s="685"/>
      <c r="M151" s="685"/>
      <c r="N151" s="685"/>
      <c r="O151" s="683"/>
      <c r="P151" s="683"/>
      <c r="Q151" s="686"/>
      <c r="R151" s="686"/>
      <c r="S151" s="686"/>
      <c r="T151" s="686"/>
      <c r="U151" s="686"/>
      <c r="V151" s="686"/>
      <c r="W151" s="686"/>
      <c r="X151" s="686"/>
      <c r="Y151" s="686"/>
      <c r="Z151" s="686"/>
      <c r="AA151" s="686"/>
      <c r="AB151" s="686"/>
      <c r="AC151" s="686"/>
      <c r="AD151" s="686"/>
      <c r="AE151" s="686"/>
      <c r="AF151" s="686"/>
    </row>
    <row r="152" ht="14.25" customHeight="1">
      <c r="A152" s="683"/>
      <c r="B152" s="683"/>
      <c r="C152" s="684"/>
      <c r="D152" s="684"/>
      <c r="E152" s="684"/>
      <c r="F152" s="683"/>
      <c r="G152" s="683"/>
      <c r="H152" s="683"/>
      <c r="I152" s="683"/>
      <c r="J152" s="683"/>
      <c r="K152" s="683"/>
      <c r="L152" s="685"/>
      <c r="M152" s="685"/>
      <c r="N152" s="685"/>
      <c r="O152" s="683"/>
      <c r="P152" s="683"/>
      <c r="Q152" s="686"/>
      <c r="R152" s="686"/>
      <c r="S152" s="686"/>
      <c r="T152" s="686"/>
      <c r="U152" s="686"/>
      <c r="V152" s="686"/>
      <c r="W152" s="686"/>
      <c r="X152" s="686"/>
      <c r="Y152" s="686"/>
      <c r="Z152" s="686"/>
      <c r="AA152" s="686"/>
      <c r="AB152" s="686"/>
      <c r="AC152" s="686"/>
      <c r="AD152" s="686"/>
      <c r="AE152" s="686"/>
      <c r="AF152" s="686"/>
    </row>
    <row r="153" ht="15.75" customHeight="1">
      <c r="A153" s="683"/>
      <c r="B153" s="683"/>
      <c r="C153" s="684"/>
      <c r="D153" s="684"/>
      <c r="E153" s="684"/>
      <c r="F153" s="683"/>
      <c r="G153" s="689"/>
      <c r="H153" s="683"/>
      <c r="I153" s="683"/>
      <c r="J153" s="683"/>
      <c r="K153" s="683"/>
      <c r="L153" s="685"/>
      <c r="M153" s="685"/>
      <c r="N153" s="685"/>
      <c r="O153" s="683"/>
      <c r="P153" s="683"/>
      <c r="Q153" s="686"/>
      <c r="R153" s="686"/>
      <c r="S153" s="686"/>
      <c r="T153" s="686"/>
      <c r="U153" s="686"/>
      <c r="V153" s="686"/>
      <c r="W153" s="686"/>
      <c r="X153" s="686"/>
      <c r="Y153" s="686"/>
      <c r="Z153" s="686"/>
      <c r="AA153" s="686"/>
      <c r="AB153" s="686"/>
      <c r="AC153" s="686"/>
      <c r="AD153" s="686"/>
      <c r="AE153" s="686"/>
      <c r="AF153" s="686"/>
    </row>
    <row r="154" ht="15.75" customHeight="1">
      <c r="A154" s="683"/>
      <c r="B154" s="683"/>
      <c r="C154" s="684"/>
      <c r="D154" s="684"/>
      <c r="E154" s="684"/>
      <c r="F154" s="683"/>
      <c r="G154" s="683"/>
      <c r="H154" s="683"/>
      <c r="I154" s="683"/>
      <c r="J154" s="683"/>
      <c r="K154" s="683"/>
      <c r="L154" s="685"/>
      <c r="M154" s="685"/>
      <c r="N154" s="685"/>
      <c r="O154" s="683"/>
      <c r="P154" s="683"/>
      <c r="Q154" s="686"/>
      <c r="R154" s="686"/>
      <c r="S154" s="686"/>
      <c r="T154" s="686"/>
      <c r="U154" s="686"/>
      <c r="V154" s="686"/>
      <c r="W154" s="686"/>
      <c r="X154" s="686"/>
      <c r="Y154" s="686"/>
      <c r="Z154" s="686"/>
      <c r="AA154" s="686"/>
      <c r="AB154" s="686"/>
      <c r="AC154" s="686"/>
      <c r="AD154" s="686"/>
      <c r="AE154" s="686"/>
      <c r="AF154" s="686"/>
    </row>
    <row r="155" ht="15.75" customHeight="1">
      <c r="A155" s="683"/>
      <c r="B155" s="683"/>
      <c r="C155" s="684"/>
      <c r="D155" s="684"/>
      <c r="E155" s="684"/>
      <c r="F155" s="683"/>
      <c r="G155" s="683"/>
      <c r="H155" s="683"/>
      <c r="I155" s="683"/>
      <c r="J155" s="683"/>
      <c r="K155" s="683"/>
      <c r="L155" s="685"/>
      <c r="M155" s="685"/>
      <c r="N155" s="685"/>
      <c r="O155" s="683"/>
      <c r="P155" s="683"/>
      <c r="Q155" s="686"/>
      <c r="R155" s="686"/>
      <c r="S155" s="686"/>
      <c r="T155" s="686"/>
      <c r="U155" s="686"/>
      <c r="V155" s="686"/>
      <c r="W155" s="686"/>
      <c r="X155" s="686"/>
      <c r="Y155" s="686"/>
      <c r="Z155" s="686"/>
      <c r="AA155" s="686"/>
      <c r="AB155" s="686"/>
      <c r="AC155" s="686"/>
      <c r="AD155" s="686"/>
      <c r="AE155" s="686"/>
      <c r="AF155" s="686"/>
    </row>
    <row r="156" ht="15.75" customHeight="1">
      <c r="A156" s="683"/>
      <c r="B156" s="683"/>
      <c r="C156" s="684"/>
      <c r="D156" s="684"/>
      <c r="E156" s="684"/>
      <c r="F156" s="683"/>
      <c r="G156" s="683"/>
      <c r="H156" s="683"/>
      <c r="I156" s="683"/>
      <c r="J156" s="683"/>
      <c r="K156" s="683"/>
      <c r="L156" s="685"/>
      <c r="M156" s="685"/>
      <c r="N156" s="687"/>
      <c r="O156" s="683"/>
      <c r="P156" s="683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86"/>
      <c r="AB156" s="686"/>
      <c r="AC156" s="686"/>
      <c r="AD156" s="686"/>
      <c r="AE156" s="686"/>
      <c r="AF156" s="686"/>
    </row>
    <row r="157" ht="15.75" customHeight="1">
      <c r="A157" s="683"/>
      <c r="B157" s="683"/>
      <c r="C157" s="684"/>
      <c r="D157" s="684"/>
      <c r="E157" s="684"/>
      <c r="F157" s="683"/>
      <c r="G157" s="683"/>
      <c r="H157" s="683"/>
      <c r="I157" s="683"/>
      <c r="J157" s="683"/>
      <c r="K157" s="683"/>
      <c r="L157" s="685"/>
      <c r="M157" s="685"/>
      <c r="N157" s="687"/>
      <c r="O157" s="683"/>
      <c r="P157" s="683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86"/>
      <c r="AB157" s="686"/>
      <c r="AC157" s="686"/>
      <c r="AD157" s="686"/>
      <c r="AE157" s="686"/>
      <c r="AF157" s="686"/>
    </row>
    <row r="158" ht="15.75" customHeight="1">
      <c r="A158" s="683"/>
      <c r="B158" s="683"/>
      <c r="C158" s="684"/>
      <c r="D158" s="684"/>
      <c r="E158" s="684"/>
      <c r="F158" s="683"/>
      <c r="G158" s="683"/>
      <c r="H158" s="683"/>
      <c r="I158" s="683"/>
      <c r="J158" s="683"/>
      <c r="K158" s="683"/>
      <c r="L158" s="685"/>
      <c r="M158" s="685"/>
      <c r="N158" s="685"/>
      <c r="O158" s="683"/>
      <c r="P158" s="683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86"/>
      <c r="AB158" s="686"/>
      <c r="AC158" s="686"/>
      <c r="AD158" s="686"/>
      <c r="AE158" s="686"/>
      <c r="AF158" s="686"/>
    </row>
    <row r="159" ht="15.75" customHeight="1">
      <c r="A159" s="683"/>
      <c r="B159" s="683"/>
      <c r="C159" s="684"/>
      <c r="D159" s="684"/>
      <c r="E159" s="684"/>
      <c r="F159" s="683"/>
      <c r="G159" s="683"/>
      <c r="H159" s="683"/>
      <c r="I159" s="683"/>
      <c r="J159" s="683"/>
      <c r="K159" s="683"/>
      <c r="L159" s="685"/>
      <c r="M159" s="685"/>
      <c r="N159" s="687"/>
      <c r="O159" s="683"/>
      <c r="P159" s="683"/>
      <c r="Q159" s="686"/>
      <c r="R159" s="686"/>
      <c r="S159" s="686"/>
      <c r="T159" s="686"/>
      <c r="U159" s="686"/>
      <c r="V159" s="686"/>
      <c r="W159" s="686"/>
      <c r="X159" s="686"/>
      <c r="Y159" s="686"/>
      <c r="Z159" s="686"/>
      <c r="AA159" s="686"/>
      <c r="AB159" s="686"/>
      <c r="AC159" s="686"/>
      <c r="AD159" s="686"/>
      <c r="AE159" s="686"/>
      <c r="AF159" s="686"/>
    </row>
    <row r="160" ht="15.75" customHeight="1">
      <c r="A160" s="683"/>
      <c r="B160" s="683"/>
      <c r="C160" s="684"/>
      <c r="D160" s="684"/>
      <c r="E160" s="684"/>
      <c r="F160" s="683"/>
      <c r="G160" s="683"/>
      <c r="H160" s="683"/>
      <c r="I160" s="683"/>
      <c r="J160" s="683"/>
      <c r="K160" s="683"/>
      <c r="L160" s="690"/>
      <c r="M160" s="690"/>
      <c r="N160" s="690"/>
      <c r="O160" s="683"/>
      <c r="P160" s="683"/>
      <c r="Q160" s="686"/>
      <c r="R160" s="686"/>
      <c r="S160" s="686"/>
      <c r="T160" s="686"/>
      <c r="U160" s="686"/>
      <c r="V160" s="686"/>
      <c r="W160" s="686"/>
      <c r="X160" s="686"/>
      <c r="Y160" s="686"/>
      <c r="Z160" s="686"/>
      <c r="AA160" s="686"/>
      <c r="AB160" s="686"/>
      <c r="AC160" s="686"/>
      <c r="AD160" s="686"/>
      <c r="AE160" s="686"/>
      <c r="AF160" s="686"/>
    </row>
    <row r="161" ht="15.75" customHeight="1">
      <c r="A161" s="683"/>
      <c r="B161" s="683"/>
      <c r="C161" s="684"/>
      <c r="D161" s="684"/>
      <c r="E161" s="684"/>
      <c r="F161" s="683"/>
      <c r="G161" s="683"/>
      <c r="H161" s="683"/>
      <c r="I161" s="683"/>
      <c r="J161" s="683"/>
      <c r="K161" s="683"/>
      <c r="L161" s="685"/>
      <c r="M161" s="685"/>
      <c r="N161" s="685"/>
      <c r="O161" s="683"/>
      <c r="P161" s="683"/>
      <c r="Q161" s="686"/>
      <c r="R161" s="686"/>
      <c r="S161" s="686"/>
      <c r="T161" s="686"/>
      <c r="U161" s="686"/>
      <c r="V161" s="686"/>
      <c r="W161" s="686"/>
      <c r="X161" s="686"/>
      <c r="Y161" s="686"/>
      <c r="Z161" s="686"/>
      <c r="AA161" s="686"/>
      <c r="AB161" s="686"/>
      <c r="AC161" s="686"/>
      <c r="AD161" s="686"/>
      <c r="AE161" s="686"/>
      <c r="AF161" s="686"/>
    </row>
    <row r="162" ht="15.75" customHeight="1">
      <c r="A162" s="683"/>
      <c r="B162" s="683"/>
      <c r="C162" s="684"/>
      <c r="D162" s="684"/>
      <c r="E162" s="684"/>
      <c r="F162" s="683"/>
      <c r="G162" s="683"/>
      <c r="H162" s="683"/>
      <c r="I162" s="683"/>
      <c r="J162" s="683"/>
      <c r="K162" s="683"/>
      <c r="L162" s="690"/>
      <c r="M162" s="690"/>
      <c r="N162" s="687"/>
      <c r="O162" s="683"/>
      <c r="P162" s="683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86"/>
      <c r="AB162" s="686"/>
      <c r="AC162" s="686"/>
      <c r="AD162" s="686"/>
      <c r="AE162" s="686"/>
      <c r="AF162" s="686"/>
    </row>
    <row r="163" ht="15.75" customHeight="1">
      <c r="A163" s="683"/>
      <c r="B163" s="683"/>
      <c r="C163" s="684"/>
      <c r="D163" s="684"/>
      <c r="E163" s="684"/>
      <c r="F163" s="683"/>
      <c r="G163" s="683"/>
      <c r="H163" s="683"/>
      <c r="I163" s="683"/>
      <c r="J163" s="683"/>
      <c r="K163" s="683"/>
      <c r="L163" s="685"/>
      <c r="M163" s="685"/>
      <c r="N163" s="685"/>
      <c r="O163" s="683"/>
      <c r="P163" s="683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86"/>
      <c r="AB163" s="686"/>
      <c r="AC163" s="686"/>
      <c r="AD163" s="686"/>
      <c r="AE163" s="686"/>
      <c r="AF163" s="686"/>
    </row>
    <row r="164" ht="15.75" customHeight="1">
      <c r="A164" s="683"/>
      <c r="B164" s="683"/>
      <c r="C164" s="684"/>
      <c r="D164" s="684"/>
      <c r="E164" s="684"/>
      <c r="F164" s="683"/>
      <c r="G164" s="683"/>
      <c r="H164" s="683"/>
      <c r="I164" s="683"/>
      <c r="J164" s="683"/>
      <c r="K164" s="683"/>
      <c r="L164" s="685"/>
      <c r="M164" s="685"/>
      <c r="N164" s="685"/>
      <c r="O164" s="683"/>
      <c r="P164" s="685"/>
      <c r="Q164" s="686"/>
      <c r="R164" s="686"/>
      <c r="S164" s="686"/>
      <c r="T164" s="686"/>
      <c r="U164" s="686"/>
      <c r="V164" s="686"/>
      <c r="W164" s="686"/>
      <c r="X164" s="686"/>
      <c r="Y164" s="686"/>
      <c r="Z164" s="686"/>
      <c r="AA164" s="686"/>
      <c r="AB164" s="686"/>
      <c r="AC164" s="686"/>
      <c r="AD164" s="686"/>
      <c r="AE164" s="686"/>
      <c r="AF164" s="686"/>
    </row>
    <row r="165" ht="15.75" customHeight="1">
      <c r="A165" s="683"/>
      <c r="B165" s="683"/>
      <c r="C165" s="684"/>
      <c r="D165" s="684"/>
      <c r="E165" s="684"/>
      <c r="F165" s="683"/>
      <c r="G165" s="683"/>
      <c r="H165" s="683"/>
      <c r="I165" s="683"/>
      <c r="J165" s="683"/>
      <c r="K165" s="683"/>
      <c r="L165" s="685"/>
      <c r="M165" s="685"/>
      <c r="N165" s="685"/>
      <c r="O165" s="683"/>
      <c r="P165" s="685"/>
      <c r="Q165" s="686"/>
      <c r="R165" s="686"/>
      <c r="S165" s="686"/>
      <c r="T165" s="686"/>
      <c r="U165" s="686"/>
      <c r="V165" s="686"/>
      <c r="W165" s="686"/>
      <c r="X165" s="686"/>
      <c r="Y165" s="686"/>
      <c r="Z165" s="686"/>
      <c r="AA165" s="686"/>
      <c r="AB165" s="686"/>
      <c r="AC165" s="686"/>
      <c r="AD165" s="686"/>
      <c r="AE165" s="686"/>
      <c r="AF165" s="686"/>
    </row>
    <row r="166" ht="15.75" customHeight="1">
      <c r="A166" s="683"/>
      <c r="B166" s="683"/>
      <c r="C166" s="684"/>
      <c r="D166" s="684"/>
      <c r="E166" s="684"/>
      <c r="F166" s="683"/>
      <c r="G166" s="683"/>
      <c r="H166" s="683"/>
      <c r="I166" s="683"/>
      <c r="J166" s="683"/>
      <c r="K166" s="683"/>
      <c r="L166" s="685"/>
      <c r="M166" s="685"/>
      <c r="N166" s="685"/>
      <c r="O166" s="683"/>
      <c r="P166" s="685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86"/>
      <c r="AB166" s="686"/>
      <c r="AC166" s="686"/>
      <c r="AD166" s="686"/>
      <c r="AE166" s="686"/>
      <c r="AF166" s="686"/>
    </row>
    <row r="167" ht="15.75" customHeight="1">
      <c r="A167" s="683"/>
      <c r="B167" s="683"/>
      <c r="C167" s="684"/>
      <c r="D167" s="684"/>
      <c r="E167" s="684"/>
      <c r="F167" s="683"/>
      <c r="G167" s="683"/>
      <c r="H167" s="683"/>
      <c r="I167" s="683"/>
      <c r="J167" s="683"/>
      <c r="K167" s="683"/>
      <c r="L167" s="690"/>
      <c r="M167" s="690"/>
      <c r="N167" s="690"/>
      <c r="O167" s="683"/>
      <c r="P167" s="683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86"/>
      <c r="AB167" s="686"/>
      <c r="AC167" s="686"/>
      <c r="AD167" s="686"/>
      <c r="AE167" s="686"/>
      <c r="AF167" s="686"/>
    </row>
    <row r="168" ht="15.75" customHeight="1">
      <c r="A168" s="683"/>
      <c r="B168" s="683"/>
      <c r="C168" s="684"/>
      <c r="D168" s="684"/>
      <c r="E168" s="684"/>
      <c r="F168" s="683"/>
      <c r="G168" s="683"/>
      <c r="H168" s="683"/>
      <c r="I168" s="683"/>
      <c r="J168" s="683"/>
      <c r="K168" s="683"/>
      <c r="L168" s="685"/>
      <c r="M168" s="685"/>
      <c r="N168" s="685"/>
      <c r="O168" s="683"/>
      <c r="P168" s="683"/>
      <c r="Q168" s="686"/>
      <c r="R168" s="686"/>
      <c r="S168" s="686"/>
      <c r="T168" s="686"/>
      <c r="U168" s="686"/>
      <c r="V168" s="686"/>
      <c r="W168" s="686"/>
      <c r="X168" s="686"/>
      <c r="Y168" s="686"/>
      <c r="Z168" s="686"/>
      <c r="AA168" s="686"/>
      <c r="AB168" s="686"/>
      <c r="AC168" s="686"/>
      <c r="AD168" s="686"/>
      <c r="AE168" s="686"/>
      <c r="AF168" s="686"/>
    </row>
    <row r="169" ht="15.75" customHeight="1">
      <c r="A169" s="683"/>
      <c r="B169" s="683"/>
      <c r="C169" s="684"/>
      <c r="D169" s="684"/>
      <c r="E169" s="684"/>
      <c r="F169" s="683"/>
      <c r="G169" s="683"/>
      <c r="H169" s="683"/>
      <c r="I169" s="683"/>
      <c r="J169" s="683"/>
      <c r="K169" s="683"/>
      <c r="L169" s="685"/>
      <c r="M169" s="685"/>
      <c r="N169" s="685"/>
      <c r="O169" s="683"/>
      <c r="P169" s="685"/>
      <c r="Q169" s="686"/>
      <c r="R169" s="686"/>
      <c r="S169" s="686"/>
      <c r="T169" s="686"/>
      <c r="U169" s="686"/>
      <c r="V169" s="686"/>
      <c r="W169" s="686"/>
      <c r="X169" s="686"/>
      <c r="Y169" s="686"/>
      <c r="Z169" s="686"/>
      <c r="AA169" s="686"/>
      <c r="AB169" s="686"/>
      <c r="AC169" s="686"/>
      <c r="AD169" s="686"/>
      <c r="AE169" s="686"/>
      <c r="AF169" s="686"/>
    </row>
    <row r="170" ht="15.75" customHeight="1">
      <c r="A170" s="683"/>
      <c r="B170" s="683"/>
      <c r="C170" s="684"/>
      <c r="D170" s="684"/>
      <c r="E170" s="684"/>
      <c r="F170" s="683"/>
      <c r="G170" s="683"/>
      <c r="H170" s="683"/>
      <c r="I170" s="683"/>
      <c r="J170" s="683"/>
      <c r="K170" s="683"/>
      <c r="L170" s="685"/>
      <c r="M170" s="685"/>
      <c r="N170" s="685"/>
      <c r="O170" s="683"/>
      <c r="P170" s="685"/>
      <c r="Q170" s="686"/>
      <c r="R170" s="686"/>
      <c r="S170" s="686"/>
      <c r="T170" s="686"/>
      <c r="U170" s="686"/>
      <c r="V170" s="686"/>
      <c r="W170" s="686"/>
      <c r="X170" s="686"/>
      <c r="Y170" s="686"/>
      <c r="Z170" s="686"/>
      <c r="AA170" s="686"/>
      <c r="AB170" s="686"/>
      <c r="AC170" s="686"/>
      <c r="AD170" s="686"/>
      <c r="AE170" s="686"/>
      <c r="AF170" s="686"/>
    </row>
    <row r="171" ht="15.75" customHeight="1">
      <c r="A171" s="683"/>
      <c r="B171" s="683"/>
      <c r="C171" s="684"/>
      <c r="D171" s="684"/>
      <c r="E171" s="684"/>
      <c r="F171" s="683"/>
      <c r="G171" s="683"/>
      <c r="H171" s="683"/>
      <c r="I171" s="683"/>
      <c r="J171" s="683"/>
      <c r="K171" s="683"/>
      <c r="L171" s="685"/>
      <c r="M171" s="685"/>
      <c r="N171" s="685"/>
      <c r="O171" s="683"/>
      <c r="P171" s="683"/>
      <c r="Q171" s="686"/>
      <c r="R171" s="686"/>
      <c r="S171" s="686"/>
      <c r="T171" s="686"/>
      <c r="U171" s="686"/>
      <c r="V171" s="686"/>
      <c r="W171" s="686"/>
      <c r="X171" s="686"/>
      <c r="Y171" s="686"/>
      <c r="Z171" s="686"/>
      <c r="AA171" s="686"/>
      <c r="AB171" s="686"/>
      <c r="AC171" s="686"/>
      <c r="AD171" s="686"/>
      <c r="AE171" s="686"/>
      <c r="AF171" s="686"/>
    </row>
    <row r="172" ht="15.75" customHeight="1">
      <c r="A172" s="683"/>
      <c r="B172" s="683"/>
      <c r="C172" s="684"/>
      <c r="D172" s="684"/>
      <c r="E172" s="684"/>
      <c r="F172" s="683"/>
      <c r="G172" s="683"/>
      <c r="H172" s="683"/>
      <c r="I172" s="683"/>
      <c r="J172" s="683"/>
      <c r="K172" s="683"/>
      <c r="L172" s="685"/>
      <c r="M172" s="685"/>
      <c r="N172" s="685"/>
      <c r="O172" s="683"/>
      <c r="P172" s="683"/>
      <c r="Q172" s="686"/>
      <c r="R172" s="686"/>
      <c r="S172" s="686"/>
      <c r="T172" s="686"/>
      <c r="U172" s="686"/>
      <c r="V172" s="686"/>
      <c r="W172" s="686"/>
      <c r="X172" s="686"/>
      <c r="Y172" s="686"/>
      <c r="Z172" s="686"/>
      <c r="AA172" s="686"/>
      <c r="AB172" s="686"/>
      <c r="AC172" s="686"/>
      <c r="AD172" s="686"/>
      <c r="AE172" s="686"/>
      <c r="AF172" s="686"/>
    </row>
    <row r="173" ht="15.75" customHeight="1">
      <c r="A173" s="683"/>
      <c r="B173" s="683"/>
      <c r="C173" s="684"/>
      <c r="D173" s="684"/>
      <c r="E173" s="684"/>
      <c r="F173" s="683"/>
      <c r="G173" s="683"/>
      <c r="H173" s="683"/>
      <c r="I173" s="683"/>
      <c r="J173" s="683"/>
      <c r="K173" s="683"/>
      <c r="L173" s="685"/>
      <c r="M173" s="685"/>
      <c r="N173" s="685"/>
      <c r="O173" s="683"/>
      <c r="P173" s="683"/>
      <c r="Q173" s="686"/>
      <c r="R173" s="686"/>
      <c r="S173" s="686"/>
      <c r="T173" s="686"/>
      <c r="U173" s="686"/>
      <c r="V173" s="686"/>
      <c r="W173" s="686"/>
      <c r="X173" s="686"/>
      <c r="Y173" s="686"/>
      <c r="Z173" s="686"/>
      <c r="AA173" s="686"/>
      <c r="AB173" s="686"/>
      <c r="AC173" s="686"/>
      <c r="AD173" s="686"/>
      <c r="AE173" s="686"/>
      <c r="AF173" s="686"/>
    </row>
    <row r="174" ht="15.75" customHeight="1">
      <c r="A174" s="683"/>
      <c r="B174" s="683"/>
      <c r="C174" s="684"/>
      <c r="D174" s="684"/>
      <c r="E174" s="684"/>
      <c r="F174" s="683"/>
      <c r="G174" s="683"/>
      <c r="H174" s="683"/>
      <c r="I174" s="683"/>
      <c r="J174" s="683"/>
      <c r="K174" s="683"/>
      <c r="L174" s="685"/>
      <c r="M174" s="685"/>
      <c r="N174" s="685"/>
      <c r="O174" s="683"/>
      <c r="P174" s="683"/>
      <c r="Q174" s="686"/>
      <c r="R174" s="686"/>
      <c r="S174" s="686"/>
      <c r="T174" s="686"/>
      <c r="U174" s="686"/>
      <c r="V174" s="686"/>
      <c r="W174" s="686"/>
      <c r="X174" s="686"/>
      <c r="Y174" s="686"/>
      <c r="Z174" s="686"/>
      <c r="AA174" s="686"/>
      <c r="AB174" s="686"/>
      <c r="AC174" s="686"/>
      <c r="AD174" s="686"/>
      <c r="AE174" s="686"/>
      <c r="AF174" s="686"/>
    </row>
    <row r="175" ht="15.75" customHeight="1">
      <c r="A175" s="683"/>
      <c r="B175" s="683"/>
      <c r="C175" s="684"/>
      <c r="D175" s="684"/>
      <c r="E175" s="684"/>
      <c r="F175" s="683"/>
      <c r="G175" s="683"/>
      <c r="H175" s="683"/>
      <c r="I175" s="683"/>
      <c r="J175" s="683"/>
      <c r="K175" s="683"/>
      <c r="L175" s="685"/>
      <c r="M175" s="685"/>
      <c r="N175" s="685"/>
      <c r="O175" s="683"/>
      <c r="P175" s="683"/>
      <c r="Q175" s="686"/>
      <c r="R175" s="686"/>
      <c r="S175" s="686"/>
      <c r="T175" s="686"/>
      <c r="U175" s="686"/>
      <c r="V175" s="686"/>
      <c r="W175" s="686"/>
      <c r="X175" s="686"/>
      <c r="Y175" s="686"/>
      <c r="Z175" s="686"/>
      <c r="AA175" s="686"/>
      <c r="AB175" s="686"/>
      <c r="AC175" s="686"/>
      <c r="AD175" s="686"/>
      <c r="AE175" s="686"/>
      <c r="AF175" s="686"/>
    </row>
    <row r="176" ht="15.75" customHeight="1">
      <c r="A176" s="683"/>
      <c r="B176" s="683"/>
      <c r="C176" s="684"/>
      <c r="D176" s="684"/>
      <c r="E176" s="684"/>
      <c r="F176" s="683"/>
      <c r="G176" s="683"/>
      <c r="H176" s="683"/>
      <c r="I176" s="683"/>
      <c r="J176" s="683"/>
      <c r="K176" s="683"/>
      <c r="L176" s="685"/>
      <c r="M176" s="685"/>
      <c r="N176" s="685"/>
      <c r="O176" s="683"/>
      <c r="P176" s="683"/>
      <c r="Q176" s="686"/>
      <c r="R176" s="686"/>
      <c r="S176" s="686"/>
      <c r="T176" s="686"/>
      <c r="U176" s="686"/>
      <c r="V176" s="686"/>
      <c r="W176" s="686"/>
      <c r="X176" s="686"/>
      <c r="Y176" s="686"/>
      <c r="Z176" s="686"/>
      <c r="AA176" s="686"/>
      <c r="AB176" s="686"/>
      <c r="AC176" s="686"/>
      <c r="AD176" s="686"/>
      <c r="AE176" s="686"/>
      <c r="AF176" s="686"/>
    </row>
    <row r="177" ht="15.75" customHeight="1">
      <c r="A177" s="683"/>
      <c r="B177" s="683"/>
      <c r="C177" s="684"/>
      <c r="D177" s="684"/>
      <c r="E177" s="684"/>
      <c r="F177" s="683"/>
      <c r="G177" s="683"/>
      <c r="H177" s="683"/>
      <c r="I177" s="683"/>
      <c r="J177" s="683"/>
      <c r="K177" s="683"/>
      <c r="L177" s="685"/>
      <c r="M177" s="685"/>
      <c r="N177" s="685"/>
      <c r="O177" s="683"/>
      <c r="P177" s="683"/>
      <c r="Q177" s="686"/>
      <c r="R177" s="686"/>
      <c r="S177" s="686"/>
      <c r="T177" s="686"/>
      <c r="U177" s="686"/>
      <c r="V177" s="686"/>
      <c r="W177" s="686"/>
      <c r="X177" s="686"/>
      <c r="Y177" s="686"/>
      <c r="Z177" s="686"/>
      <c r="AA177" s="686"/>
      <c r="AB177" s="686"/>
      <c r="AC177" s="686"/>
      <c r="AD177" s="686"/>
      <c r="AE177" s="686"/>
      <c r="AF177" s="686"/>
    </row>
    <row r="178" ht="15.75" customHeight="1">
      <c r="A178" s="683"/>
      <c r="B178" s="683"/>
      <c r="C178" s="684"/>
      <c r="D178" s="684"/>
      <c r="E178" s="684"/>
      <c r="F178" s="683"/>
      <c r="G178" s="683"/>
      <c r="H178" s="683"/>
      <c r="I178" s="683"/>
      <c r="J178" s="683"/>
      <c r="K178" s="683"/>
      <c r="L178" s="685"/>
      <c r="M178" s="685"/>
      <c r="N178" s="685"/>
      <c r="O178" s="683"/>
      <c r="P178" s="683"/>
      <c r="Q178" s="686"/>
      <c r="R178" s="686"/>
      <c r="S178" s="686"/>
      <c r="T178" s="686"/>
      <c r="U178" s="686"/>
      <c r="V178" s="686"/>
      <c r="W178" s="686"/>
      <c r="X178" s="686"/>
      <c r="Y178" s="686"/>
      <c r="Z178" s="686"/>
      <c r="AA178" s="686"/>
      <c r="AB178" s="686"/>
      <c r="AC178" s="686"/>
      <c r="AD178" s="686"/>
      <c r="AE178" s="686"/>
      <c r="AF178" s="686"/>
    </row>
    <row r="179" ht="15.75" customHeight="1">
      <c r="A179" s="683"/>
      <c r="B179" s="683"/>
      <c r="C179" s="684"/>
      <c r="D179" s="684"/>
      <c r="E179" s="684"/>
      <c r="F179" s="683"/>
      <c r="G179" s="683"/>
      <c r="H179" s="683"/>
      <c r="I179" s="683"/>
      <c r="J179" s="683"/>
      <c r="K179" s="683"/>
      <c r="L179" s="685"/>
      <c r="M179" s="685"/>
      <c r="N179" s="685"/>
      <c r="O179" s="683"/>
      <c r="P179" s="683"/>
      <c r="Q179" s="686"/>
      <c r="R179" s="686"/>
      <c r="S179" s="686"/>
      <c r="T179" s="686"/>
      <c r="U179" s="686"/>
      <c r="V179" s="686"/>
      <c r="W179" s="686"/>
      <c r="X179" s="686"/>
      <c r="Y179" s="686"/>
      <c r="Z179" s="686"/>
      <c r="AA179" s="686"/>
      <c r="AB179" s="686"/>
      <c r="AC179" s="686"/>
      <c r="AD179" s="686"/>
      <c r="AE179" s="686"/>
      <c r="AF179" s="686"/>
    </row>
    <row r="180" ht="15.75" customHeight="1">
      <c r="A180" s="683"/>
      <c r="B180" s="683"/>
      <c r="C180" s="684"/>
      <c r="D180" s="684"/>
      <c r="E180" s="684"/>
      <c r="F180" s="683"/>
      <c r="G180" s="683"/>
      <c r="H180" s="683"/>
      <c r="I180" s="683"/>
      <c r="J180" s="683"/>
      <c r="K180" s="683"/>
      <c r="L180" s="685"/>
      <c r="M180" s="685"/>
      <c r="N180" s="685"/>
      <c r="O180" s="683"/>
      <c r="P180" s="683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86"/>
      <c r="AB180" s="686"/>
      <c r="AC180" s="686"/>
      <c r="AD180" s="686"/>
      <c r="AE180" s="686"/>
      <c r="AF180" s="686"/>
    </row>
    <row r="181" ht="15.75" customHeight="1">
      <c r="A181" s="683"/>
      <c r="B181" s="683"/>
      <c r="C181" s="684"/>
      <c r="D181" s="684"/>
      <c r="E181" s="684"/>
      <c r="F181" s="683"/>
      <c r="G181" s="683"/>
      <c r="H181" s="683"/>
      <c r="I181" s="683"/>
      <c r="J181" s="683"/>
      <c r="K181" s="683"/>
      <c r="L181" s="685"/>
      <c r="M181" s="685"/>
      <c r="N181" s="685"/>
      <c r="O181" s="683"/>
      <c r="P181" s="683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86"/>
      <c r="AB181" s="686"/>
      <c r="AC181" s="686"/>
      <c r="AD181" s="686"/>
      <c r="AE181" s="686"/>
      <c r="AF181" s="686"/>
    </row>
    <row r="182" ht="15.75" customHeight="1">
      <c r="A182" s="683"/>
      <c r="B182" s="683"/>
      <c r="C182" s="684"/>
      <c r="D182" s="684"/>
      <c r="E182" s="684"/>
      <c r="F182" s="683"/>
      <c r="G182" s="683"/>
      <c r="H182" s="683"/>
      <c r="I182" s="683"/>
      <c r="J182" s="683"/>
      <c r="K182" s="683"/>
      <c r="L182" s="685"/>
      <c r="M182" s="685"/>
      <c r="N182" s="685"/>
      <c r="O182" s="683"/>
      <c r="P182" s="683"/>
      <c r="Q182" s="686"/>
      <c r="R182" s="686"/>
      <c r="S182" s="686"/>
      <c r="T182" s="686"/>
      <c r="U182" s="686"/>
      <c r="V182" s="686"/>
      <c r="W182" s="686"/>
      <c r="X182" s="686"/>
      <c r="Y182" s="686"/>
      <c r="Z182" s="686"/>
      <c r="AA182" s="686"/>
      <c r="AB182" s="686"/>
      <c r="AC182" s="686"/>
      <c r="AD182" s="686"/>
      <c r="AE182" s="686"/>
      <c r="AF182" s="686"/>
    </row>
    <row r="183" ht="15.75" customHeight="1">
      <c r="A183" s="683"/>
      <c r="B183" s="683"/>
      <c r="C183" s="684"/>
      <c r="D183" s="684"/>
      <c r="E183" s="684"/>
      <c r="F183" s="683"/>
      <c r="G183" s="683"/>
      <c r="H183" s="683"/>
      <c r="I183" s="683"/>
      <c r="J183" s="683"/>
      <c r="K183" s="683"/>
      <c r="L183" s="685"/>
      <c r="M183" s="685"/>
      <c r="N183" s="685"/>
      <c r="O183" s="683"/>
      <c r="P183" s="683"/>
      <c r="Q183" s="686"/>
      <c r="R183" s="686"/>
      <c r="S183" s="686"/>
      <c r="T183" s="686"/>
      <c r="U183" s="686"/>
      <c r="V183" s="686"/>
      <c r="W183" s="686"/>
      <c r="X183" s="686"/>
      <c r="Y183" s="686"/>
      <c r="Z183" s="686"/>
      <c r="AA183" s="686"/>
      <c r="AB183" s="686"/>
      <c r="AC183" s="686"/>
      <c r="AD183" s="686"/>
      <c r="AE183" s="686"/>
      <c r="AF183" s="686"/>
    </row>
    <row r="184" ht="15.75" customHeight="1">
      <c r="A184" s="683"/>
      <c r="B184" s="683"/>
      <c r="C184" s="684"/>
      <c r="D184" s="684"/>
      <c r="E184" s="684"/>
      <c r="F184" s="683"/>
      <c r="G184" s="683"/>
      <c r="H184" s="683"/>
      <c r="I184" s="683"/>
      <c r="J184" s="683"/>
      <c r="K184" s="683"/>
      <c r="L184" s="685"/>
      <c r="M184" s="685"/>
      <c r="N184" s="685"/>
      <c r="O184" s="683"/>
      <c r="P184" s="683"/>
      <c r="Q184" s="686"/>
      <c r="R184" s="686"/>
      <c r="S184" s="686"/>
      <c r="T184" s="686"/>
      <c r="U184" s="686"/>
      <c r="V184" s="686"/>
      <c r="W184" s="686"/>
      <c r="X184" s="686"/>
      <c r="Y184" s="686"/>
      <c r="Z184" s="686"/>
      <c r="AA184" s="686"/>
      <c r="AB184" s="686"/>
      <c r="AC184" s="686"/>
      <c r="AD184" s="686"/>
      <c r="AE184" s="686"/>
      <c r="AF184" s="686"/>
    </row>
    <row r="185" ht="15.75" customHeight="1">
      <c r="A185" s="683"/>
      <c r="B185" s="683"/>
      <c r="C185" s="684"/>
      <c r="D185" s="684"/>
      <c r="E185" s="684"/>
      <c r="F185" s="683"/>
      <c r="G185" s="683"/>
      <c r="H185" s="683"/>
      <c r="I185" s="683"/>
      <c r="J185" s="683"/>
      <c r="K185" s="683"/>
      <c r="L185" s="685"/>
      <c r="M185" s="685"/>
      <c r="N185" s="685"/>
      <c r="O185" s="683"/>
      <c r="P185" s="683"/>
      <c r="Q185" s="686"/>
      <c r="R185" s="686"/>
      <c r="S185" s="686"/>
      <c r="T185" s="686"/>
      <c r="U185" s="686"/>
      <c r="V185" s="686"/>
      <c r="W185" s="686"/>
      <c r="X185" s="686"/>
      <c r="Y185" s="686"/>
      <c r="Z185" s="686"/>
      <c r="AA185" s="686"/>
      <c r="AB185" s="686"/>
      <c r="AC185" s="686"/>
      <c r="AD185" s="686"/>
      <c r="AE185" s="686"/>
      <c r="AF185" s="686"/>
    </row>
    <row r="186" ht="15.75" customHeight="1">
      <c r="A186" s="683"/>
      <c r="B186" s="683"/>
      <c r="C186" s="684"/>
      <c r="D186" s="684"/>
      <c r="E186" s="684"/>
      <c r="F186" s="683"/>
      <c r="G186" s="683"/>
      <c r="H186" s="683"/>
      <c r="I186" s="683"/>
      <c r="J186" s="683"/>
      <c r="K186" s="683"/>
      <c r="L186" s="685"/>
      <c r="M186" s="685"/>
      <c r="N186" s="685"/>
      <c r="O186" s="683"/>
      <c r="P186" s="683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86"/>
      <c r="AB186" s="686"/>
      <c r="AC186" s="686"/>
      <c r="AD186" s="686"/>
      <c r="AE186" s="686"/>
      <c r="AF186" s="686"/>
    </row>
    <row r="187" ht="15.75" customHeight="1">
      <c r="A187" s="683"/>
      <c r="B187" s="683"/>
      <c r="C187" s="684"/>
      <c r="D187" s="684"/>
      <c r="E187" s="684"/>
      <c r="F187" s="683"/>
      <c r="G187" s="683"/>
      <c r="H187" s="683"/>
      <c r="I187" s="683"/>
      <c r="J187" s="683"/>
      <c r="K187" s="683"/>
      <c r="L187" s="685"/>
      <c r="M187" s="685"/>
      <c r="N187" s="685"/>
      <c r="O187" s="683"/>
      <c r="P187" s="683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86"/>
      <c r="AB187" s="686"/>
      <c r="AC187" s="686"/>
      <c r="AD187" s="686"/>
      <c r="AE187" s="686"/>
      <c r="AF187" s="686"/>
    </row>
    <row r="188" ht="15.75" customHeight="1">
      <c r="A188" s="683"/>
      <c r="B188" s="683"/>
      <c r="C188" s="684"/>
      <c r="D188" s="684"/>
      <c r="E188" s="684"/>
      <c r="F188" s="683"/>
      <c r="G188" s="683"/>
      <c r="H188" s="683"/>
      <c r="I188" s="683"/>
      <c r="J188" s="683"/>
      <c r="K188" s="683"/>
      <c r="L188" s="690"/>
      <c r="M188" s="690"/>
      <c r="N188" s="690"/>
      <c r="O188" s="683"/>
      <c r="P188" s="683"/>
      <c r="Q188" s="686"/>
      <c r="R188" s="686"/>
      <c r="S188" s="686"/>
      <c r="T188" s="686"/>
      <c r="U188" s="686"/>
      <c r="V188" s="686"/>
      <c r="W188" s="686"/>
      <c r="X188" s="686"/>
      <c r="Y188" s="686"/>
      <c r="Z188" s="686"/>
      <c r="AA188" s="686"/>
      <c r="AB188" s="686"/>
      <c r="AC188" s="686"/>
      <c r="AD188" s="686"/>
      <c r="AE188" s="686"/>
      <c r="AF188" s="686"/>
    </row>
    <row r="189" ht="15.75" customHeight="1">
      <c r="A189" s="683"/>
      <c r="B189" s="683"/>
      <c r="C189" s="684"/>
      <c r="D189" s="684"/>
      <c r="E189" s="684"/>
      <c r="F189" s="683"/>
      <c r="G189" s="683"/>
      <c r="H189" s="683"/>
      <c r="I189" s="683"/>
      <c r="J189" s="683"/>
      <c r="K189" s="683"/>
      <c r="L189" s="685"/>
      <c r="M189" s="685"/>
      <c r="N189" s="685"/>
      <c r="O189" s="683"/>
      <c r="P189" s="683"/>
      <c r="Q189" s="686"/>
      <c r="R189" s="686"/>
      <c r="S189" s="686"/>
      <c r="T189" s="686"/>
      <c r="U189" s="686"/>
      <c r="V189" s="686"/>
      <c r="W189" s="686"/>
      <c r="X189" s="686"/>
      <c r="Y189" s="686"/>
      <c r="Z189" s="686"/>
      <c r="AA189" s="686"/>
      <c r="AB189" s="686"/>
      <c r="AC189" s="686"/>
      <c r="AD189" s="686"/>
      <c r="AE189" s="686"/>
      <c r="AF189" s="686"/>
    </row>
    <row r="190" ht="15.75" customHeight="1">
      <c r="A190" s="683"/>
      <c r="B190" s="683"/>
      <c r="C190" s="684"/>
      <c r="D190" s="684"/>
      <c r="E190" s="684"/>
      <c r="F190" s="683"/>
      <c r="G190" s="683"/>
      <c r="H190" s="683"/>
      <c r="I190" s="683"/>
      <c r="J190" s="683"/>
      <c r="K190" s="683"/>
      <c r="L190" s="685"/>
      <c r="M190" s="685"/>
      <c r="N190" s="685"/>
      <c r="O190" s="683"/>
      <c r="P190" s="683"/>
      <c r="Q190" s="686"/>
      <c r="R190" s="686"/>
      <c r="S190" s="686"/>
      <c r="T190" s="686"/>
      <c r="U190" s="686"/>
      <c r="V190" s="686"/>
      <c r="W190" s="686"/>
      <c r="X190" s="686"/>
      <c r="Y190" s="686"/>
      <c r="Z190" s="686"/>
      <c r="AA190" s="686"/>
      <c r="AB190" s="686"/>
      <c r="AC190" s="686"/>
      <c r="AD190" s="686"/>
      <c r="AE190" s="686"/>
      <c r="AF190" s="686"/>
    </row>
    <row r="191" ht="15.75" customHeight="1">
      <c r="A191" s="683"/>
      <c r="B191" s="683"/>
      <c r="C191" s="684"/>
      <c r="D191" s="684"/>
      <c r="E191" s="684"/>
      <c r="F191" s="683"/>
      <c r="G191" s="683"/>
      <c r="H191" s="683"/>
      <c r="I191" s="683"/>
      <c r="J191" s="683"/>
      <c r="K191" s="683"/>
      <c r="L191" s="685"/>
      <c r="M191" s="685"/>
      <c r="N191" s="685"/>
      <c r="O191" s="683"/>
      <c r="P191" s="683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86"/>
      <c r="AB191" s="686"/>
      <c r="AC191" s="686"/>
      <c r="AD191" s="686"/>
      <c r="AE191" s="686"/>
      <c r="AF191" s="686"/>
    </row>
    <row r="192" ht="15.75" customHeight="1">
      <c r="A192" s="683"/>
      <c r="B192" s="683"/>
      <c r="C192" s="684"/>
      <c r="D192" s="684"/>
      <c r="E192" s="684"/>
      <c r="F192" s="683"/>
      <c r="G192" s="683"/>
      <c r="H192" s="683"/>
      <c r="I192" s="683"/>
      <c r="J192" s="683"/>
      <c r="K192" s="683"/>
      <c r="L192" s="685"/>
      <c r="M192" s="685"/>
      <c r="N192" s="685"/>
      <c r="O192" s="683"/>
      <c r="P192" s="683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86"/>
      <c r="AB192" s="686"/>
      <c r="AC192" s="686"/>
      <c r="AD192" s="686"/>
      <c r="AE192" s="686"/>
      <c r="AF192" s="686"/>
    </row>
    <row r="193" ht="15.75" customHeight="1">
      <c r="A193" s="683"/>
      <c r="B193" s="683"/>
      <c r="C193" s="684"/>
      <c r="D193" s="684"/>
      <c r="E193" s="684"/>
      <c r="F193" s="683"/>
      <c r="G193" s="683"/>
      <c r="H193" s="683"/>
      <c r="I193" s="683"/>
      <c r="J193" s="683"/>
      <c r="K193" s="683"/>
      <c r="L193" s="685"/>
      <c r="M193" s="685"/>
      <c r="N193" s="687"/>
      <c r="O193" s="683"/>
      <c r="P193" s="683"/>
      <c r="Q193" s="686"/>
      <c r="R193" s="686"/>
      <c r="S193" s="686"/>
      <c r="T193" s="686"/>
      <c r="U193" s="686"/>
      <c r="V193" s="686"/>
      <c r="W193" s="686"/>
      <c r="X193" s="686"/>
      <c r="Y193" s="686"/>
      <c r="Z193" s="686"/>
      <c r="AA193" s="686"/>
      <c r="AB193" s="686"/>
      <c r="AC193" s="686"/>
      <c r="AD193" s="686"/>
      <c r="AE193" s="686"/>
      <c r="AF193" s="686"/>
    </row>
    <row r="194" ht="15.75" customHeight="1">
      <c r="A194" s="683"/>
      <c r="B194" s="683"/>
      <c r="C194" s="684"/>
      <c r="D194" s="684"/>
      <c r="E194" s="684"/>
      <c r="F194" s="683"/>
      <c r="G194" s="683"/>
      <c r="H194" s="683"/>
      <c r="I194" s="683"/>
      <c r="J194" s="683"/>
      <c r="K194" s="683"/>
      <c r="L194" s="690"/>
      <c r="M194" s="690"/>
      <c r="N194" s="690"/>
      <c r="O194" s="683"/>
      <c r="P194" s="683"/>
      <c r="Q194" s="686"/>
      <c r="R194" s="686"/>
      <c r="S194" s="686"/>
      <c r="T194" s="686"/>
      <c r="U194" s="686"/>
      <c r="V194" s="686"/>
      <c r="W194" s="686"/>
      <c r="X194" s="686"/>
      <c r="Y194" s="686"/>
      <c r="Z194" s="686"/>
      <c r="AA194" s="686"/>
      <c r="AB194" s="686"/>
      <c r="AC194" s="686"/>
      <c r="AD194" s="686"/>
      <c r="AE194" s="686"/>
      <c r="AF194" s="686"/>
    </row>
    <row r="195" ht="15.75" customHeight="1">
      <c r="A195" s="683"/>
      <c r="B195" s="683"/>
      <c r="C195" s="684"/>
      <c r="D195" s="684"/>
      <c r="E195" s="684"/>
      <c r="F195" s="683"/>
      <c r="G195" s="683"/>
      <c r="H195" s="683"/>
      <c r="I195" s="683"/>
      <c r="J195" s="683"/>
      <c r="K195" s="683"/>
      <c r="L195" s="690"/>
      <c r="M195" s="690"/>
      <c r="N195" s="690"/>
      <c r="O195" s="683"/>
      <c r="P195" s="683"/>
      <c r="Q195" s="686"/>
      <c r="R195" s="686"/>
      <c r="S195" s="686"/>
      <c r="T195" s="686"/>
      <c r="U195" s="686"/>
      <c r="V195" s="686"/>
      <c r="W195" s="686"/>
      <c r="X195" s="686"/>
      <c r="Y195" s="686"/>
      <c r="Z195" s="686"/>
      <c r="AA195" s="686"/>
      <c r="AB195" s="686"/>
      <c r="AC195" s="686"/>
      <c r="AD195" s="686"/>
      <c r="AE195" s="686"/>
      <c r="AF195" s="686"/>
    </row>
    <row r="196" ht="15.75" customHeight="1">
      <c r="A196" s="683"/>
      <c r="B196" s="683"/>
      <c r="C196" s="684"/>
      <c r="D196" s="684"/>
      <c r="E196" s="684"/>
      <c r="F196" s="683"/>
      <c r="G196" s="683"/>
      <c r="H196" s="683"/>
      <c r="I196" s="683"/>
      <c r="J196" s="683"/>
      <c r="K196" s="683"/>
      <c r="L196" s="685"/>
      <c r="M196" s="685"/>
      <c r="N196" s="687"/>
      <c r="O196" s="683"/>
      <c r="P196" s="683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86"/>
      <c r="AB196" s="686"/>
      <c r="AC196" s="686"/>
      <c r="AD196" s="686"/>
      <c r="AE196" s="686"/>
      <c r="AF196" s="686"/>
    </row>
    <row r="197" ht="15.75" customHeight="1">
      <c r="A197" s="683"/>
      <c r="B197" s="683"/>
      <c r="C197" s="684"/>
      <c r="D197" s="684"/>
      <c r="E197" s="684"/>
      <c r="F197" s="683"/>
      <c r="G197" s="683"/>
      <c r="H197" s="683"/>
      <c r="I197" s="683"/>
      <c r="J197" s="683"/>
      <c r="K197" s="683"/>
      <c r="L197" s="685"/>
      <c r="M197" s="685"/>
      <c r="N197" s="685"/>
      <c r="O197" s="683"/>
      <c r="P197" s="683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86"/>
      <c r="AB197" s="686"/>
      <c r="AC197" s="686"/>
      <c r="AD197" s="686"/>
      <c r="AE197" s="686"/>
      <c r="AF197" s="686"/>
    </row>
    <row r="198" ht="15.75" customHeight="1">
      <c r="A198" s="683"/>
      <c r="B198" s="683"/>
      <c r="C198" s="684"/>
      <c r="D198" s="684"/>
      <c r="E198" s="684"/>
      <c r="F198" s="683"/>
      <c r="G198" s="683"/>
      <c r="H198" s="683"/>
      <c r="I198" s="683"/>
      <c r="J198" s="683"/>
      <c r="K198" s="683"/>
      <c r="L198" s="685"/>
      <c r="M198" s="685"/>
      <c r="N198" s="685"/>
      <c r="O198" s="683"/>
      <c r="P198" s="683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86"/>
      <c r="AB198" s="686"/>
      <c r="AC198" s="686"/>
      <c r="AD198" s="686"/>
      <c r="AE198" s="686"/>
      <c r="AF198" s="686"/>
    </row>
    <row r="199" ht="15.75" customHeight="1">
      <c r="A199" s="683"/>
      <c r="B199" s="683"/>
      <c r="C199" s="684"/>
      <c r="D199" s="684"/>
      <c r="E199" s="684"/>
      <c r="F199" s="683"/>
      <c r="G199" s="683"/>
      <c r="H199" s="683"/>
      <c r="I199" s="683"/>
      <c r="J199" s="683"/>
      <c r="K199" s="683"/>
      <c r="L199" s="685"/>
      <c r="M199" s="685"/>
      <c r="N199" s="685"/>
      <c r="O199" s="683"/>
      <c r="P199" s="683"/>
      <c r="Q199" s="686"/>
      <c r="R199" s="686"/>
      <c r="S199" s="686"/>
      <c r="T199" s="686"/>
      <c r="U199" s="686"/>
      <c r="V199" s="686"/>
      <c r="W199" s="686"/>
      <c r="X199" s="686"/>
      <c r="Y199" s="686"/>
      <c r="Z199" s="686"/>
      <c r="AA199" s="686"/>
      <c r="AB199" s="686"/>
      <c r="AC199" s="686"/>
      <c r="AD199" s="686"/>
      <c r="AE199" s="686"/>
      <c r="AF199" s="686"/>
    </row>
    <row r="200" ht="15.75" customHeight="1">
      <c r="A200" s="683"/>
      <c r="B200" s="683"/>
      <c r="C200" s="684"/>
      <c r="D200" s="684"/>
      <c r="E200" s="684"/>
      <c r="F200" s="683"/>
      <c r="G200" s="683"/>
      <c r="H200" s="683"/>
      <c r="I200" s="683"/>
      <c r="J200" s="683"/>
      <c r="K200" s="683"/>
      <c r="L200" s="685"/>
      <c r="M200" s="685"/>
      <c r="N200" s="685"/>
      <c r="O200" s="683"/>
      <c r="P200" s="683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686"/>
      <c r="AB200" s="686"/>
      <c r="AC200" s="686"/>
      <c r="AD200" s="686"/>
      <c r="AE200" s="686"/>
      <c r="AF200" s="686"/>
    </row>
    <row r="201" ht="15.75" customHeight="1">
      <c r="A201" s="683"/>
      <c r="B201" s="683"/>
      <c r="C201" s="684"/>
      <c r="D201" s="684"/>
      <c r="E201" s="684"/>
      <c r="F201" s="683"/>
      <c r="G201" s="683"/>
      <c r="H201" s="683"/>
      <c r="I201" s="683"/>
      <c r="J201" s="683"/>
      <c r="K201" s="683"/>
      <c r="L201" s="685"/>
      <c r="M201" s="685"/>
      <c r="N201" s="687"/>
      <c r="O201" s="683"/>
      <c r="P201" s="683"/>
      <c r="Q201" s="686"/>
      <c r="R201" s="686"/>
      <c r="S201" s="686"/>
      <c r="T201" s="686"/>
      <c r="U201" s="686"/>
      <c r="V201" s="686"/>
      <c r="W201" s="686"/>
      <c r="X201" s="686"/>
      <c r="Y201" s="686"/>
      <c r="Z201" s="686"/>
      <c r="AA201" s="686"/>
      <c r="AB201" s="686"/>
      <c r="AC201" s="686"/>
      <c r="AD201" s="686"/>
      <c r="AE201" s="686"/>
      <c r="AF201" s="686"/>
    </row>
    <row r="202" ht="15.75" customHeight="1">
      <c r="A202" s="683"/>
      <c r="B202" s="683"/>
      <c r="C202" s="684"/>
      <c r="D202" s="684"/>
      <c r="E202" s="684"/>
      <c r="F202" s="683"/>
      <c r="G202" s="683"/>
      <c r="H202" s="683"/>
      <c r="I202" s="683"/>
      <c r="J202" s="683"/>
      <c r="K202" s="683"/>
      <c r="L202" s="685"/>
      <c r="M202" s="685"/>
      <c r="N202" s="685"/>
      <c r="O202" s="683"/>
      <c r="P202" s="683"/>
      <c r="Q202" s="686"/>
      <c r="R202" s="686"/>
      <c r="S202" s="686"/>
      <c r="T202" s="686"/>
      <c r="U202" s="686"/>
      <c r="V202" s="686"/>
      <c r="W202" s="686"/>
      <c r="X202" s="686"/>
      <c r="Y202" s="686"/>
      <c r="Z202" s="686"/>
      <c r="AA202" s="686"/>
      <c r="AB202" s="686"/>
      <c r="AC202" s="686"/>
      <c r="AD202" s="686"/>
      <c r="AE202" s="686"/>
      <c r="AF202" s="686"/>
    </row>
    <row r="203" ht="15.75" customHeight="1">
      <c r="A203" s="692"/>
      <c r="B203" s="693"/>
      <c r="C203" s="694"/>
      <c r="D203" s="694"/>
      <c r="E203" s="695"/>
      <c r="F203" s="693"/>
      <c r="G203" s="693"/>
      <c r="H203" s="693"/>
      <c r="I203" s="693"/>
      <c r="J203" s="693"/>
      <c r="K203" s="693"/>
      <c r="L203" s="696"/>
      <c r="M203" s="696"/>
      <c r="N203" s="696"/>
      <c r="O203" s="693"/>
      <c r="P203" s="696"/>
      <c r="Q203" s="697"/>
      <c r="R203" s="697"/>
      <c r="S203" s="697"/>
      <c r="T203" s="697"/>
      <c r="U203" s="674"/>
      <c r="V203" s="674"/>
      <c r="W203" s="674"/>
      <c r="X203" s="674"/>
      <c r="Y203" s="674"/>
      <c r="Z203" s="674"/>
      <c r="AA203" s="674"/>
      <c r="AB203" s="674"/>
      <c r="AC203" s="674"/>
      <c r="AD203" s="674"/>
      <c r="AE203" s="674"/>
      <c r="AF203" s="674"/>
    </row>
    <row r="204" ht="15.75" customHeight="1">
      <c r="A204" s="692"/>
      <c r="B204" s="693"/>
      <c r="C204" s="694"/>
      <c r="D204" s="694"/>
      <c r="E204" s="695"/>
      <c r="F204" s="693"/>
      <c r="G204" s="693"/>
      <c r="H204" s="693"/>
      <c r="I204" s="693"/>
      <c r="J204" s="693"/>
      <c r="K204" s="693"/>
      <c r="L204" s="696"/>
      <c r="M204" s="696"/>
      <c r="N204" s="696"/>
      <c r="O204" s="693"/>
      <c r="P204" s="692"/>
      <c r="Q204" s="697"/>
      <c r="R204" s="697"/>
      <c r="S204" s="697"/>
      <c r="T204" s="697"/>
      <c r="U204" s="674"/>
      <c r="V204" s="674"/>
      <c r="W204" s="674"/>
      <c r="X204" s="674"/>
      <c r="Y204" s="674"/>
      <c r="Z204" s="674"/>
      <c r="AA204" s="674"/>
      <c r="AB204" s="674"/>
      <c r="AC204" s="674"/>
      <c r="AD204" s="674"/>
      <c r="AE204" s="674"/>
      <c r="AF204" s="674"/>
    </row>
    <row r="205" ht="15.75" customHeight="1">
      <c r="A205" s="692"/>
      <c r="B205" s="693"/>
      <c r="C205" s="694"/>
      <c r="D205" s="694"/>
      <c r="E205" s="695"/>
      <c r="F205" s="693"/>
      <c r="G205" s="693"/>
      <c r="H205" s="693"/>
      <c r="I205" s="693"/>
      <c r="J205" s="693"/>
      <c r="K205" s="693"/>
      <c r="L205" s="696"/>
      <c r="M205" s="696"/>
      <c r="N205" s="696"/>
      <c r="O205" s="693"/>
      <c r="P205" s="692"/>
      <c r="Q205" s="697"/>
      <c r="R205" s="697"/>
      <c r="S205" s="697"/>
      <c r="T205" s="697"/>
      <c r="U205" s="674"/>
      <c r="V205" s="674"/>
      <c r="W205" s="674"/>
      <c r="X205" s="674"/>
      <c r="Y205" s="674"/>
      <c r="Z205" s="674"/>
      <c r="AA205" s="674"/>
      <c r="AB205" s="674"/>
      <c r="AC205" s="674"/>
      <c r="AD205" s="674"/>
      <c r="AE205" s="674"/>
      <c r="AF205" s="674"/>
    </row>
    <row r="206" ht="15.75" customHeight="1">
      <c r="A206" s="683"/>
      <c r="B206" s="683"/>
      <c r="C206" s="684"/>
      <c r="D206" s="684"/>
      <c r="E206" s="684"/>
      <c r="F206" s="683"/>
      <c r="G206" s="683"/>
      <c r="H206" s="683"/>
      <c r="I206" s="683"/>
      <c r="J206" s="683"/>
      <c r="K206" s="683"/>
      <c r="L206" s="685"/>
      <c r="M206" s="685"/>
      <c r="N206" s="685"/>
      <c r="O206" s="683"/>
      <c r="P206" s="683"/>
      <c r="Q206" s="686"/>
      <c r="R206" s="686"/>
      <c r="S206" s="686"/>
      <c r="T206" s="686"/>
      <c r="U206" s="686"/>
      <c r="V206" s="686"/>
      <c r="W206" s="686"/>
      <c r="X206" s="686"/>
      <c r="Y206" s="686"/>
      <c r="Z206" s="686"/>
      <c r="AA206" s="686"/>
      <c r="AB206" s="686"/>
      <c r="AC206" s="686"/>
      <c r="AD206" s="686"/>
      <c r="AE206" s="686"/>
      <c r="AF206" s="686"/>
    </row>
    <row r="207" ht="15.75" customHeight="1">
      <c r="A207" s="683"/>
      <c r="B207" s="683"/>
      <c r="C207" s="684"/>
      <c r="D207" s="684"/>
      <c r="E207" s="684"/>
      <c r="F207" s="683"/>
      <c r="G207" s="683"/>
      <c r="H207" s="683"/>
      <c r="I207" s="683"/>
      <c r="J207" s="683"/>
      <c r="K207" s="683"/>
      <c r="L207" s="685"/>
      <c r="M207" s="685"/>
      <c r="N207" s="687"/>
      <c r="O207" s="683"/>
      <c r="P207" s="683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86"/>
      <c r="AB207" s="686"/>
      <c r="AC207" s="686"/>
      <c r="AD207" s="686"/>
      <c r="AE207" s="686"/>
      <c r="AF207" s="686"/>
    </row>
    <row r="208" ht="15.75" customHeight="1">
      <c r="A208" s="683"/>
      <c r="B208" s="683"/>
      <c r="C208" s="684"/>
      <c r="D208" s="684"/>
      <c r="E208" s="684"/>
      <c r="F208" s="683"/>
      <c r="G208" s="683"/>
      <c r="H208" s="683"/>
      <c r="I208" s="683"/>
      <c r="J208" s="683"/>
      <c r="K208" s="683"/>
      <c r="L208" s="685"/>
      <c r="M208" s="685"/>
      <c r="N208" s="687"/>
      <c r="O208" s="683"/>
      <c r="P208" s="683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86"/>
      <c r="AB208" s="686"/>
      <c r="AC208" s="686"/>
      <c r="AD208" s="686"/>
      <c r="AE208" s="686"/>
      <c r="AF208" s="686"/>
    </row>
    <row r="209" ht="15.75" customHeight="1">
      <c r="A209" s="683"/>
      <c r="B209" s="683"/>
      <c r="C209" s="684"/>
      <c r="D209" s="684"/>
      <c r="E209" s="686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86"/>
      <c r="AB209" s="686"/>
      <c r="AC209" s="686"/>
      <c r="AD209" s="686"/>
      <c r="AE209" s="686"/>
      <c r="AF209" s="686"/>
    </row>
    <row r="210" ht="15.75" customHeight="1">
      <c r="A210" s="683"/>
      <c r="B210" s="683"/>
      <c r="C210" s="684"/>
      <c r="D210" s="684"/>
      <c r="E210" s="684"/>
      <c r="F210" s="683"/>
      <c r="G210" s="683"/>
      <c r="H210" s="683"/>
      <c r="I210" s="683"/>
      <c r="J210" s="683"/>
      <c r="K210" s="683"/>
      <c r="L210" s="685"/>
      <c r="M210" s="685"/>
      <c r="N210" s="685"/>
      <c r="O210" s="683"/>
      <c r="P210" s="683"/>
      <c r="Q210" s="686"/>
      <c r="R210" s="686"/>
      <c r="S210" s="686"/>
      <c r="T210" s="686"/>
      <c r="U210" s="686"/>
      <c r="V210" s="686"/>
      <c r="W210" s="686"/>
      <c r="X210" s="686"/>
      <c r="Y210" s="686"/>
      <c r="Z210" s="686"/>
      <c r="AA210" s="686"/>
      <c r="AB210" s="686"/>
      <c r="AC210" s="686"/>
      <c r="AD210" s="686"/>
      <c r="AE210" s="686"/>
      <c r="AF210" s="686"/>
    </row>
    <row r="211" ht="15.75" customHeight="1">
      <c r="A211" s="683"/>
      <c r="B211" s="683"/>
      <c r="C211" s="684"/>
      <c r="D211" s="684"/>
      <c r="E211" s="684"/>
      <c r="F211" s="683"/>
      <c r="G211" s="683"/>
      <c r="H211" s="683"/>
      <c r="I211" s="683"/>
      <c r="J211" s="683"/>
      <c r="K211" s="683"/>
      <c r="L211" s="683"/>
      <c r="M211" s="683"/>
      <c r="N211" s="683"/>
      <c r="O211" s="683"/>
      <c r="P211" s="683"/>
      <c r="Q211" s="686"/>
      <c r="R211" s="686"/>
      <c r="S211" s="686"/>
      <c r="T211" s="686"/>
      <c r="U211" s="686"/>
      <c r="V211" s="686"/>
      <c r="W211" s="686"/>
      <c r="X211" s="686"/>
      <c r="Y211" s="686"/>
      <c r="Z211" s="686"/>
      <c r="AA211" s="686"/>
      <c r="AB211" s="686"/>
      <c r="AC211" s="686"/>
      <c r="AD211" s="686"/>
      <c r="AE211" s="686"/>
      <c r="AF211" s="686"/>
    </row>
    <row r="212" ht="15.75" customHeight="1">
      <c r="A212" s="683"/>
      <c r="B212" s="683"/>
      <c r="C212" s="684"/>
      <c r="D212" s="684"/>
      <c r="E212" s="686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86"/>
      <c r="AB212" s="686"/>
      <c r="AC212" s="686"/>
      <c r="AD212" s="686"/>
      <c r="AE212" s="686"/>
      <c r="AF212" s="686"/>
    </row>
    <row r="213" ht="15.75" customHeight="1">
      <c r="A213" s="683"/>
      <c r="B213" s="683"/>
      <c r="C213" s="684"/>
      <c r="D213" s="684"/>
      <c r="E213" s="686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86"/>
      <c r="AB213" s="686"/>
      <c r="AC213" s="686"/>
      <c r="AD213" s="686"/>
      <c r="AE213" s="686"/>
      <c r="AF213" s="686"/>
    </row>
    <row r="214" ht="15.75" customHeight="1">
      <c r="A214" s="683"/>
      <c r="B214" s="683"/>
      <c r="C214" s="684"/>
      <c r="D214" s="684"/>
      <c r="E214" s="684"/>
      <c r="F214" s="683"/>
      <c r="G214" s="683"/>
      <c r="H214" s="683"/>
      <c r="I214" s="683"/>
      <c r="J214" s="683"/>
      <c r="K214" s="683"/>
      <c r="L214" s="683"/>
      <c r="M214" s="683"/>
      <c r="N214" s="683"/>
      <c r="O214" s="683"/>
      <c r="P214" s="683"/>
      <c r="Q214" s="686"/>
      <c r="R214" s="686"/>
      <c r="S214" s="686"/>
      <c r="T214" s="686"/>
      <c r="U214" s="686"/>
      <c r="V214" s="686"/>
      <c r="W214" s="686"/>
      <c r="X214" s="686"/>
      <c r="Y214" s="686"/>
      <c r="Z214" s="686"/>
      <c r="AA214" s="686"/>
      <c r="AB214" s="686"/>
      <c r="AC214" s="686"/>
      <c r="AD214" s="686"/>
      <c r="AE214" s="686"/>
      <c r="AF214" s="686"/>
    </row>
    <row r="215" ht="15.75" customHeight="1">
      <c r="A215" s="683"/>
      <c r="B215" s="683"/>
      <c r="C215" s="684"/>
      <c r="D215" s="684"/>
      <c r="E215" s="684"/>
      <c r="F215" s="683"/>
      <c r="G215" s="683"/>
      <c r="H215" s="683"/>
      <c r="I215" s="683"/>
      <c r="J215" s="683"/>
      <c r="K215" s="683"/>
      <c r="L215" s="685"/>
      <c r="M215" s="685"/>
      <c r="N215" s="685"/>
      <c r="O215" s="683"/>
      <c r="P215" s="683"/>
      <c r="Q215" s="686"/>
      <c r="R215" s="686"/>
      <c r="S215" s="686"/>
      <c r="T215" s="686"/>
      <c r="U215" s="686"/>
      <c r="V215" s="686"/>
      <c r="W215" s="686"/>
      <c r="X215" s="686"/>
      <c r="Y215" s="686"/>
      <c r="Z215" s="686"/>
      <c r="AA215" s="686"/>
      <c r="AB215" s="686"/>
      <c r="AC215" s="686"/>
      <c r="AD215" s="686"/>
      <c r="AE215" s="686"/>
      <c r="AF215" s="686"/>
    </row>
    <row r="216" ht="15.75" customHeight="1">
      <c r="A216" s="683"/>
      <c r="B216" s="683"/>
      <c r="C216" s="684"/>
      <c r="D216" s="684"/>
      <c r="E216" s="684"/>
      <c r="F216" s="683"/>
      <c r="G216" s="683"/>
      <c r="H216" s="683"/>
      <c r="I216" s="683"/>
      <c r="J216" s="683"/>
      <c r="K216" s="683"/>
      <c r="L216" s="685"/>
      <c r="M216" s="685"/>
      <c r="N216" s="685"/>
      <c r="O216" s="683"/>
      <c r="P216" s="683"/>
      <c r="Q216" s="686"/>
      <c r="R216" s="686"/>
      <c r="S216" s="686"/>
      <c r="T216" s="686"/>
      <c r="U216" s="686"/>
      <c r="V216" s="686"/>
      <c r="W216" s="686"/>
      <c r="X216" s="686"/>
      <c r="Y216" s="686"/>
      <c r="Z216" s="686"/>
      <c r="AA216" s="686"/>
      <c r="AB216" s="686"/>
      <c r="AC216" s="686"/>
      <c r="AD216" s="686"/>
      <c r="AE216" s="686"/>
      <c r="AF216" s="686"/>
    </row>
    <row r="217" ht="15.75" customHeight="1">
      <c r="A217" s="683"/>
      <c r="B217" s="683"/>
      <c r="C217" s="684"/>
      <c r="D217" s="684"/>
      <c r="E217" s="684"/>
      <c r="F217" s="683"/>
      <c r="G217" s="683"/>
      <c r="H217" s="683"/>
      <c r="I217" s="683"/>
      <c r="J217" s="683"/>
      <c r="K217" s="683"/>
      <c r="L217" s="685"/>
      <c r="M217" s="685"/>
      <c r="N217" s="685"/>
      <c r="O217" s="683"/>
      <c r="P217" s="683"/>
      <c r="Q217" s="686"/>
      <c r="R217" s="686"/>
      <c r="S217" s="686"/>
      <c r="T217" s="686"/>
      <c r="U217" s="686"/>
      <c r="V217" s="686"/>
      <c r="W217" s="686"/>
      <c r="X217" s="686"/>
      <c r="Y217" s="686"/>
      <c r="Z217" s="686"/>
      <c r="AA217" s="686"/>
      <c r="AB217" s="686"/>
      <c r="AC217" s="686"/>
      <c r="AD217" s="686"/>
      <c r="AE217" s="686"/>
      <c r="AF217" s="686"/>
    </row>
    <row r="218" ht="15.75" customHeight="1">
      <c r="A218" s="683"/>
      <c r="B218" s="683"/>
      <c r="C218" s="684"/>
      <c r="D218" s="684"/>
      <c r="E218" s="684"/>
      <c r="F218" s="683"/>
      <c r="G218" s="683"/>
      <c r="H218" s="683"/>
      <c r="I218" s="683"/>
      <c r="J218" s="683"/>
      <c r="K218" s="683"/>
      <c r="L218" s="690"/>
      <c r="M218" s="690"/>
      <c r="N218" s="690"/>
      <c r="O218" s="683"/>
      <c r="P218" s="683"/>
      <c r="Q218" s="686"/>
      <c r="R218" s="686"/>
      <c r="S218" s="686"/>
      <c r="T218" s="686"/>
      <c r="U218" s="686"/>
      <c r="V218" s="686"/>
      <c r="W218" s="686"/>
      <c r="X218" s="686"/>
      <c r="Y218" s="686"/>
      <c r="Z218" s="686"/>
      <c r="AA218" s="686"/>
      <c r="AB218" s="686"/>
      <c r="AC218" s="686"/>
      <c r="AD218" s="686"/>
      <c r="AE218" s="686"/>
      <c r="AF218" s="686"/>
    </row>
    <row r="219" ht="15.75" customHeight="1">
      <c r="A219" s="683"/>
      <c r="B219" s="683"/>
      <c r="C219" s="684"/>
      <c r="D219" s="684"/>
      <c r="E219" s="684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6"/>
      <c r="R219" s="686"/>
      <c r="S219" s="686"/>
      <c r="T219" s="686"/>
      <c r="U219" s="686"/>
      <c r="V219" s="686"/>
      <c r="W219" s="686"/>
      <c r="X219" s="686"/>
      <c r="Y219" s="686"/>
      <c r="Z219" s="686"/>
      <c r="AA219" s="686"/>
      <c r="AB219" s="686"/>
      <c r="AC219" s="686"/>
      <c r="AD219" s="686"/>
      <c r="AE219" s="686"/>
      <c r="AF219" s="686"/>
    </row>
    <row r="220" ht="15.75" customHeight="1">
      <c r="A220" s="683"/>
      <c r="B220" s="683"/>
      <c r="C220" s="684"/>
      <c r="D220" s="684"/>
      <c r="E220" s="684"/>
      <c r="F220" s="683"/>
      <c r="G220" s="683"/>
      <c r="H220" s="683"/>
      <c r="I220" s="683"/>
      <c r="J220" s="683"/>
      <c r="K220" s="683"/>
      <c r="L220" s="685"/>
      <c r="M220" s="685"/>
      <c r="N220" s="685"/>
      <c r="O220" s="683"/>
      <c r="P220" s="683"/>
      <c r="Q220" s="686"/>
      <c r="R220" s="686"/>
      <c r="S220" s="686"/>
      <c r="T220" s="686"/>
      <c r="U220" s="686"/>
      <c r="V220" s="686"/>
      <c r="W220" s="686"/>
      <c r="X220" s="686"/>
      <c r="Y220" s="686"/>
      <c r="Z220" s="686"/>
      <c r="AA220" s="686"/>
      <c r="AB220" s="686"/>
      <c r="AC220" s="686"/>
      <c r="AD220" s="686"/>
      <c r="AE220" s="686"/>
      <c r="AF220" s="686"/>
    </row>
    <row r="221" ht="15.75" customHeight="1">
      <c r="A221" s="683"/>
      <c r="B221" s="683"/>
      <c r="C221" s="684"/>
      <c r="D221" s="684"/>
      <c r="E221" s="684"/>
      <c r="F221" s="683"/>
      <c r="G221" s="683"/>
      <c r="H221" s="683"/>
      <c r="I221" s="683"/>
      <c r="J221" s="683"/>
      <c r="K221" s="683"/>
      <c r="L221" s="685"/>
      <c r="M221" s="685"/>
      <c r="N221" s="685"/>
      <c r="O221" s="683"/>
      <c r="P221" s="683"/>
      <c r="Q221" s="686"/>
      <c r="R221" s="686"/>
      <c r="S221" s="686"/>
      <c r="T221" s="686"/>
      <c r="U221" s="686"/>
      <c r="V221" s="686"/>
      <c r="W221" s="686"/>
      <c r="X221" s="686"/>
      <c r="Y221" s="686"/>
      <c r="Z221" s="686"/>
      <c r="AA221" s="686"/>
      <c r="AB221" s="686"/>
      <c r="AC221" s="686"/>
      <c r="AD221" s="686"/>
      <c r="AE221" s="686"/>
      <c r="AF221" s="686"/>
    </row>
    <row r="222" ht="15.75" customHeight="1">
      <c r="A222" s="683"/>
      <c r="B222" s="683"/>
      <c r="C222" s="684"/>
      <c r="D222" s="684"/>
      <c r="E222" s="684"/>
      <c r="F222" s="683"/>
      <c r="G222" s="683"/>
      <c r="H222" s="683"/>
      <c r="I222" s="683"/>
      <c r="J222" s="683"/>
      <c r="K222" s="683"/>
      <c r="L222" s="685"/>
      <c r="M222" s="685"/>
      <c r="N222" s="685"/>
      <c r="O222" s="683"/>
      <c r="P222" s="683"/>
      <c r="Q222" s="686"/>
      <c r="R222" s="686"/>
      <c r="S222" s="686"/>
      <c r="T222" s="686"/>
      <c r="U222" s="686"/>
      <c r="V222" s="686"/>
      <c r="W222" s="686"/>
      <c r="X222" s="686"/>
      <c r="Y222" s="686"/>
      <c r="Z222" s="686"/>
      <c r="AA222" s="686"/>
      <c r="AB222" s="686"/>
      <c r="AC222" s="686"/>
      <c r="AD222" s="686"/>
      <c r="AE222" s="686"/>
      <c r="AF222" s="686"/>
    </row>
    <row r="223" ht="15.75" customHeight="1">
      <c r="A223" s="683"/>
      <c r="B223" s="683"/>
      <c r="C223" s="684"/>
      <c r="D223" s="684"/>
      <c r="E223" s="684"/>
      <c r="F223" s="683"/>
      <c r="G223" s="683"/>
      <c r="H223" s="683"/>
      <c r="I223" s="683"/>
      <c r="J223" s="683"/>
      <c r="K223" s="683"/>
      <c r="L223" s="685"/>
      <c r="M223" s="685"/>
      <c r="N223" s="687"/>
      <c r="O223" s="683"/>
      <c r="P223" s="683"/>
      <c r="Q223" s="686"/>
      <c r="R223" s="686"/>
      <c r="S223" s="686"/>
      <c r="T223" s="686"/>
      <c r="U223" s="686"/>
      <c r="V223" s="686"/>
      <c r="W223" s="686"/>
      <c r="X223" s="686"/>
      <c r="Y223" s="686"/>
      <c r="Z223" s="686"/>
      <c r="AA223" s="686"/>
      <c r="AB223" s="686"/>
      <c r="AC223" s="686"/>
      <c r="AD223" s="686"/>
      <c r="AE223" s="686"/>
      <c r="AF223" s="686"/>
    </row>
    <row r="224" ht="15.75" customHeight="1">
      <c r="A224" s="683"/>
      <c r="B224" s="683"/>
      <c r="C224" s="684"/>
      <c r="D224" s="684"/>
      <c r="E224" s="684"/>
      <c r="F224" s="683"/>
      <c r="G224" s="683"/>
      <c r="H224" s="683"/>
      <c r="I224" s="683"/>
      <c r="J224" s="683"/>
      <c r="K224" s="683"/>
      <c r="L224" s="685"/>
      <c r="M224" s="685"/>
      <c r="N224" s="685"/>
      <c r="O224" s="683"/>
      <c r="P224" s="683"/>
      <c r="Q224" s="686"/>
      <c r="R224" s="686"/>
      <c r="S224" s="686"/>
      <c r="T224" s="686"/>
      <c r="U224" s="686"/>
      <c r="V224" s="686"/>
      <c r="W224" s="686"/>
      <c r="X224" s="686"/>
      <c r="Y224" s="686"/>
      <c r="Z224" s="686"/>
      <c r="AA224" s="686"/>
      <c r="AB224" s="686"/>
      <c r="AC224" s="686"/>
      <c r="AD224" s="686"/>
      <c r="AE224" s="686"/>
      <c r="AF224" s="686"/>
    </row>
    <row r="225" ht="15.75" customHeight="1">
      <c r="A225" s="683"/>
      <c r="B225" s="683"/>
      <c r="C225" s="684"/>
      <c r="D225" s="684"/>
      <c r="E225" s="684"/>
      <c r="F225" s="683"/>
      <c r="G225" s="683"/>
      <c r="H225" s="683"/>
      <c r="I225" s="683"/>
      <c r="J225" s="683"/>
      <c r="K225" s="683"/>
      <c r="L225" s="685"/>
      <c r="M225" s="685"/>
      <c r="N225" s="685"/>
      <c r="O225" s="683"/>
      <c r="P225" s="683"/>
      <c r="Q225" s="686"/>
      <c r="R225" s="686"/>
      <c r="S225" s="686"/>
      <c r="T225" s="686"/>
      <c r="U225" s="686"/>
      <c r="V225" s="686"/>
      <c r="W225" s="686"/>
      <c r="X225" s="686"/>
      <c r="Y225" s="686"/>
      <c r="Z225" s="686"/>
      <c r="AA225" s="686"/>
      <c r="AB225" s="686"/>
      <c r="AC225" s="686"/>
      <c r="AD225" s="686"/>
      <c r="AE225" s="686"/>
      <c r="AF225" s="686"/>
    </row>
    <row r="226" ht="15.75" customHeight="1">
      <c r="A226" s="683"/>
      <c r="B226" s="683"/>
      <c r="C226" s="684"/>
      <c r="D226" s="684"/>
      <c r="E226" s="684"/>
      <c r="F226" s="683"/>
      <c r="G226" s="683"/>
      <c r="H226" s="683"/>
      <c r="I226" s="683"/>
      <c r="J226" s="683"/>
      <c r="K226" s="683"/>
      <c r="L226" s="685"/>
      <c r="M226" s="685"/>
      <c r="N226" s="685"/>
      <c r="O226" s="683"/>
      <c r="P226" s="683"/>
      <c r="Q226" s="686"/>
      <c r="R226" s="686"/>
      <c r="S226" s="686"/>
      <c r="T226" s="686"/>
      <c r="U226" s="686"/>
      <c r="V226" s="686"/>
      <c r="W226" s="686"/>
      <c r="X226" s="686"/>
      <c r="Y226" s="686"/>
      <c r="Z226" s="686"/>
      <c r="AA226" s="686"/>
      <c r="AB226" s="686"/>
      <c r="AC226" s="686"/>
      <c r="AD226" s="686"/>
      <c r="AE226" s="686"/>
      <c r="AF226" s="686"/>
    </row>
    <row r="227" ht="15.75" customHeight="1">
      <c r="A227" s="683"/>
      <c r="B227" s="683"/>
      <c r="C227" s="684"/>
      <c r="D227" s="684"/>
      <c r="E227" s="684"/>
      <c r="F227" s="683"/>
      <c r="G227" s="683"/>
      <c r="H227" s="683"/>
      <c r="I227" s="683"/>
      <c r="J227" s="683"/>
      <c r="K227" s="683"/>
      <c r="L227" s="685"/>
      <c r="M227" s="685"/>
      <c r="N227" s="685"/>
      <c r="O227" s="683"/>
      <c r="P227" s="683"/>
      <c r="Q227" s="686"/>
      <c r="R227" s="686"/>
      <c r="S227" s="686"/>
      <c r="T227" s="686"/>
      <c r="U227" s="686"/>
      <c r="V227" s="686"/>
      <c r="W227" s="686"/>
      <c r="X227" s="686"/>
      <c r="Y227" s="686"/>
      <c r="Z227" s="686"/>
      <c r="AA227" s="686"/>
      <c r="AB227" s="686"/>
      <c r="AC227" s="686"/>
      <c r="AD227" s="686"/>
      <c r="AE227" s="686"/>
      <c r="AF227" s="686"/>
    </row>
    <row r="228" ht="15.75" customHeight="1">
      <c r="A228" s="683"/>
      <c r="B228" s="683"/>
      <c r="C228" s="684"/>
      <c r="D228" s="684"/>
      <c r="E228" s="684"/>
      <c r="F228" s="683"/>
      <c r="G228" s="683"/>
      <c r="H228" s="683"/>
      <c r="I228" s="683"/>
      <c r="J228" s="683"/>
      <c r="K228" s="683"/>
      <c r="L228" s="685"/>
      <c r="M228" s="685"/>
      <c r="N228" s="685"/>
      <c r="O228" s="683"/>
      <c r="P228" s="683"/>
      <c r="Q228" s="686"/>
      <c r="R228" s="686"/>
      <c r="S228" s="686"/>
      <c r="T228" s="686"/>
      <c r="U228" s="686"/>
      <c r="V228" s="686"/>
      <c r="W228" s="686"/>
      <c r="X228" s="686"/>
      <c r="Y228" s="686"/>
      <c r="Z228" s="686"/>
      <c r="AA228" s="686"/>
      <c r="AB228" s="686"/>
      <c r="AC228" s="686"/>
      <c r="AD228" s="686"/>
      <c r="AE228" s="686"/>
      <c r="AF228" s="686"/>
    </row>
    <row r="229" ht="15.75" customHeight="1">
      <c r="A229" s="683"/>
      <c r="B229" s="683"/>
      <c r="C229" s="684"/>
      <c r="D229" s="684"/>
      <c r="E229" s="684"/>
      <c r="F229" s="683"/>
      <c r="G229" s="683"/>
      <c r="H229" s="683"/>
      <c r="I229" s="683"/>
      <c r="J229" s="683"/>
      <c r="K229" s="683"/>
      <c r="L229" s="685"/>
      <c r="M229" s="685"/>
      <c r="N229" s="685"/>
      <c r="O229" s="683"/>
      <c r="P229" s="683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86"/>
      <c r="AB229" s="686"/>
      <c r="AC229" s="686"/>
      <c r="AD229" s="686"/>
      <c r="AE229" s="686"/>
      <c r="AF229" s="686"/>
    </row>
    <row r="230" ht="15.75" customHeight="1">
      <c r="A230" s="683"/>
      <c r="B230" s="683"/>
      <c r="C230" s="684"/>
      <c r="D230" s="684"/>
      <c r="E230" s="684"/>
      <c r="F230" s="683"/>
      <c r="G230" s="683"/>
      <c r="H230" s="683"/>
      <c r="I230" s="683"/>
      <c r="J230" s="683"/>
      <c r="K230" s="683"/>
      <c r="L230" s="685"/>
      <c r="M230" s="685"/>
      <c r="N230" s="685"/>
      <c r="O230" s="683"/>
      <c r="P230" s="685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86"/>
      <c r="AB230" s="686"/>
      <c r="AC230" s="686"/>
      <c r="AD230" s="686"/>
      <c r="AE230" s="686"/>
      <c r="AF230" s="686"/>
    </row>
    <row r="231" ht="15.75" customHeight="1">
      <c r="A231" s="683"/>
      <c r="B231" s="683"/>
      <c r="C231" s="684"/>
      <c r="D231" s="684"/>
      <c r="E231" s="684"/>
      <c r="F231" s="683"/>
      <c r="G231" s="683"/>
      <c r="H231" s="683"/>
      <c r="I231" s="683"/>
      <c r="J231" s="683"/>
      <c r="K231" s="683"/>
      <c r="L231" s="685"/>
      <c r="M231" s="685"/>
      <c r="N231" s="685"/>
      <c r="O231" s="683"/>
      <c r="P231" s="685"/>
      <c r="Q231" s="686"/>
      <c r="R231" s="686"/>
      <c r="S231" s="686"/>
      <c r="T231" s="686"/>
      <c r="U231" s="686"/>
      <c r="V231" s="686"/>
      <c r="W231" s="686"/>
      <c r="X231" s="686"/>
      <c r="Y231" s="686"/>
      <c r="Z231" s="686"/>
      <c r="AA231" s="686"/>
      <c r="AB231" s="686"/>
      <c r="AC231" s="686"/>
      <c r="AD231" s="686"/>
      <c r="AE231" s="686"/>
      <c r="AF231" s="686"/>
    </row>
    <row r="232" ht="14.25" customHeight="1">
      <c r="A232" s="683"/>
      <c r="B232" s="683"/>
      <c r="C232" s="684"/>
      <c r="D232" s="684"/>
      <c r="E232" s="684"/>
      <c r="F232" s="683"/>
      <c r="G232" s="683"/>
      <c r="H232" s="683"/>
      <c r="I232" s="683"/>
      <c r="J232" s="683"/>
      <c r="K232" s="683"/>
      <c r="L232" s="685"/>
      <c r="M232" s="685"/>
      <c r="N232" s="685"/>
      <c r="O232" s="683"/>
      <c r="P232" s="683"/>
      <c r="Q232" s="686"/>
      <c r="R232" s="686"/>
      <c r="S232" s="686"/>
      <c r="T232" s="686"/>
      <c r="U232" s="686"/>
      <c r="V232" s="686"/>
      <c r="W232" s="686"/>
      <c r="X232" s="686"/>
      <c r="Y232" s="686"/>
      <c r="Z232" s="686"/>
      <c r="AA232" s="686"/>
      <c r="AB232" s="686"/>
      <c r="AC232" s="686"/>
      <c r="AD232" s="686"/>
      <c r="AE232" s="686"/>
      <c r="AF232" s="686"/>
    </row>
    <row r="233" ht="15.75" customHeight="1">
      <c r="A233" s="683"/>
      <c r="B233" s="683"/>
      <c r="C233" s="684"/>
      <c r="D233" s="684"/>
      <c r="E233" s="684"/>
      <c r="F233" s="683"/>
      <c r="G233" s="683"/>
      <c r="H233" s="683"/>
      <c r="I233" s="683"/>
      <c r="J233" s="683"/>
      <c r="K233" s="683"/>
      <c r="L233" s="685"/>
      <c r="M233" s="685"/>
      <c r="N233" s="685"/>
      <c r="O233" s="683"/>
      <c r="P233" s="683"/>
      <c r="Q233" s="686"/>
      <c r="R233" s="686"/>
      <c r="S233" s="686"/>
      <c r="T233" s="686"/>
      <c r="U233" s="686"/>
      <c r="V233" s="686"/>
      <c r="W233" s="686"/>
      <c r="X233" s="686"/>
      <c r="Y233" s="686"/>
      <c r="Z233" s="686"/>
      <c r="AA233" s="686"/>
      <c r="AB233" s="686"/>
      <c r="AC233" s="686"/>
      <c r="AD233" s="686"/>
      <c r="AE233" s="686"/>
      <c r="AF233" s="686"/>
    </row>
    <row r="234" ht="15.75" customHeight="1">
      <c r="A234" s="683"/>
      <c r="B234" s="683"/>
      <c r="C234" s="684"/>
      <c r="D234" s="684"/>
      <c r="E234" s="684"/>
      <c r="F234" s="683"/>
      <c r="G234" s="683"/>
      <c r="H234" s="683"/>
      <c r="I234" s="683"/>
      <c r="J234" s="683"/>
      <c r="K234" s="683"/>
      <c r="L234" s="685"/>
      <c r="M234" s="685"/>
      <c r="N234" s="685"/>
      <c r="O234" s="683"/>
      <c r="P234" s="683"/>
      <c r="Q234" s="686"/>
      <c r="R234" s="686"/>
      <c r="S234" s="686"/>
      <c r="T234" s="686"/>
      <c r="U234" s="686"/>
      <c r="V234" s="686"/>
      <c r="W234" s="686"/>
      <c r="X234" s="686"/>
      <c r="Y234" s="686"/>
      <c r="Z234" s="686"/>
      <c r="AA234" s="686"/>
      <c r="AB234" s="686"/>
      <c r="AC234" s="686"/>
      <c r="AD234" s="686"/>
      <c r="AE234" s="686"/>
      <c r="AF234" s="686"/>
    </row>
    <row r="235" ht="15.75" customHeight="1">
      <c r="A235" s="683"/>
      <c r="B235" s="683"/>
      <c r="C235" s="684"/>
      <c r="D235" s="684"/>
      <c r="E235" s="684"/>
      <c r="F235" s="683"/>
      <c r="G235" s="683"/>
      <c r="H235" s="683"/>
      <c r="I235" s="683"/>
      <c r="J235" s="683"/>
      <c r="K235" s="683"/>
      <c r="L235" s="685"/>
      <c r="M235" s="685"/>
      <c r="N235" s="685"/>
      <c r="O235" s="683"/>
      <c r="P235" s="683"/>
      <c r="Q235" s="686"/>
      <c r="R235" s="686"/>
      <c r="S235" s="686"/>
      <c r="T235" s="686"/>
      <c r="U235" s="686"/>
      <c r="V235" s="686"/>
      <c r="W235" s="686"/>
      <c r="X235" s="686"/>
      <c r="Y235" s="686"/>
      <c r="Z235" s="686"/>
      <c r="AA235" s="686"/>
      <c r="AB235" s="686"/>
      <c r="AC235" s="686"/>
      <c r="AD235" s="686"/>
      <c r="AE235" s="686"/>
      <c r="AF235" s="686"/>
    </row>
    <row r="236" ht="15.75" customHeight="1">
      <c r="A236" s="683"/>
      <c r="B236" s="683"/>
      <c r="C236" s="684"/>
      <c r="D236" s="684"/>
      <c r="E236" s="684"/>
      <c r="F236" s="683"/>
      <c r="G236" s="683"/>
      <c r="H236" s="683"/>
      <c r="I236" s="683"/>
      <c r="J236" s="683"/>
      <c r="K236" s="683"/>
      <c r="L236" s="685"/>
      <c r="M236" s="685"/>
      <c r="N236" s="685"/>
      <c r="O236" s="683"/>
      <c r="P236" s="683"/>
      <c r="Q236" s="686"/>
      <c r="R236" s="686"/>
      <c r="S236" s="686"/>
      <c r="T236" s="686"/>
      <c r="U236" s="686"/>
      <c r="V236" s="686"/>
      <c r="W236" s="686"/>
      <c r="X236" s="686"/>
      <c r="Y236" s="686"/>
      <c r="Z236" s="686"/>
      <c r="AA236" s="686"/>
      <c r="AB236" s="686"/>
      <c r="AC236" s="686"/>
      <c r="AD236" s="686"/>
      <c r="AE236" s="686"/>
      <c r="AF236" s="686"/>
    </row>
    <row r="237" ht="15.75" customHeight="1">
      <c r="A237" s="683"/>
      <c r="B237" s="683"/>
      <c r="C237" s="684"/>
      <c r="D237" s="684"/>
      <c r="E237" s="684"/>
      <c r="F237" s="683"/>
      <c r="G237" s="683"/>
      <c r="H237" s="683"/>
      <c r="I237" s="683"/>
      <c r="J237" s="683"/>
      <c r="K237" s="683"/>
      <c r="L237" s="685"/>
      <c r="M237" s="685"/>
      <c r="N237" s="685"/>
      <c r="O237" s="683"/>
      <c r="P237" s="683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86"/>
      <c r="AB237" s="686"/>
      <c r="AC237" s="686"/>
      <c r="AD237" s="686"/>
      <c r="AE237" s="686"/>
      <c r="AF237" s="686"/>
    </row>
    <row r="238" ht="15.75" customHeight="1">
      <c r="A238" s="683"/>
      <c r="B238" s="683"/>
      <c r="C238" s="684"/>
      <c r="D238" s="684"/>
      <c r="E238" s="684"/>
      <c r="F238" s="683"/>
      <c r="G238" s="683"/>
      <c r="H238" s="683"/>
      <c r="I238" s="683"/>
      <c r="J238" s="683"/>
      <c r="K238" s="683"/>
      <c r="L238" s="685"/>
      <c r="M238" s="685"/>
      <c r="N238" s="685"/>
      <c r="O238" s="683"/>
      <c r="P238" s="683"/>
      <c r="Q238" s="686"/>
      <c r="R238" s="686"/>
      <c r="S238" s="686"/>
      <c r="T238" s="686"/>
      <c r="U238" s="686"/>
      <c r="V238" s="686"/>
      <c r="W238" s="686"/>
      <c r="X238" s="686"/>
      <c r="Y238" s="686"/>
      <c r="Z238" s="686"/>
      <c r="AA238" s="686"/>
      <c r="AB238" s="686"/>
      <c r="AC238" s="686"/>
      <c r="AD238" s="686"/>
      <c r="AE238" s="686"/>
      <c r="AF238" s="686"/>
    </row>
    <row r="239" ht="15.75" customHeight="1">
      <c r="A239" s="683"/>
      <c r="B239" s="683"/>
      <c r="C239" s="684"/>
      <c r="D239" s="684"/>
      <c r="E239" s="684"/>
      <c r="F239" s="683"/>
      <c r="G239" s="683"/>
      <c r="H239" s="683"/>
      <c r="I239" s="683"/>
      <c r="J239" s="683"/>
      <c r="K239" s="683"/>
      <c r="L239" s="685"/>
      <c r="M239" s="685"/>
      <c r="N239" s="685"/>
      <c r="O239" s="683"/>
      <c r="P239" s="683"/>
      <c r="Q239" s="686"/>
      <c r="R239" s="686"/>
      <c r="S239" s="686"/>
      <c r="T239" s="686"/>
      <c r="U239" s="686"/>
      <c r="V239" s="686"/>
      <c r="W239" s="686"/>
      <c r="X239" s="686"/>
      <c r="Y239" s="686"/>
      <c r="Z239" s="686"/>
      <c r="AA239" s="686"/>
      <c r="AB239" s="686"/>
      <c r="AC239" s="686"/>
      <c r="AD239" s="686"/>
      <c r="AE239" s="686"/>
      <c r="AF239" s="686"/>
    </row>
    <row r="240" ht="15.75" customHeight="1">
      <c r="A240" s="683"/>
      <c r="B240" s="683"/>
      <c r="C240" s="684"/>
      <c r="D240" s="684"/>
      <c r="E240" s="684"/>
      <c r="F240" s="683"/>
      <c r="G240" s="683"/>
      <c r="H240" s="683"/>
      <c r="I240" s="683"/>
      <c r="J240" s="683"/>
      <c r="K240" s="683"/>
      <c r="L240" s="685"/>
      <c r="M240" s="685"/>
      <c r="N240" s="685"/>
      <c r="O240" s="683"/>
      <c r="P240" s="683"/>
      <c r="Q240" s="686"/>
      <c r="R240" s="686"/>
      <c r="S240" s="686"/>
      <c r="T240" s="686"/>
      <c r="U240" s="686"/>
      <c r="V240" s="686"/>
      <c r="W240" s="686"/>
      <c r="X240" s="686"/>
      <c r="Y240" s="686"/>
      <c r="Z240" s="686"/>
      <c r="AA240" s="686"/>
      <c r="AB240" s="686"/>
      <c r="AC240" s="686"/>
      <c r="AD240" s="686"/>
      <c r="AE240" s="686"/>
      <c r="AF240" s="686"/>
    </row>
    <row r="241" ht="15.75" customHeight="1">
      <c r="A241" s="683"/>
      <c r="B241" s="683"/>
      <c r="C241" s="684"/>
      <c r="D241" s="684"/>
      <c r="E241" s="684"/>
      <c r="F241" s="683"/>
      <c r="G241" s="683"/>
      <c r="H241" s="683"/>
      <c r="I241" s="683"/>
      <c r="J241" s="683"/>
      <c r="K241" s="683"/>
      <c r="L241" s="683"/>
      <c r="M241" s="683"/>
      <c r="N241" s="683"/>
      <c r="O241" s="683"/>
      <c r="P241" s="683"/>
      <c r="Q241" s="686"/>
      <c r="R241" s="686"/>
      <c r="S241" s="686"/>
      <c r="T241" s="686"/>
      <c r="U241" s="686"/>
      <c r="V241" s="686"/>
      <c r="W241" s="686"/>
      <c r="X241" s="686"/>
      <c r="Y241" s="686"/>
      <c r="Z241" s="686"/>
      <c r="AA241" s="686"/>
      <c r="AB241" s="686"/>
      <c r="AC241" s="686"/>
      <c r="AD241" s="686"/>
      <c r="AE241" s="686"/>
      <c r="AF241" s="686"/>
    </row>
    <row r="242" ht="15.75" customHeight="1">
      <c r="A242" s="683"/>
      <c r="B242" s="683"/>
      <c r="C242" s="684"/>
      <c r="D242" s="684"/>
      <c r="E242" s="684"/>
      <c r="F242" s="683"/>
      <c r="G242" s="683"/>
      <c r="H242" s="683"/>
      <c r="I242" s="683"/>
      <c r="J242" s="683"/>
      <c r="K242" s="683"/>
      <c r="L242" s="683"/>
      <c r="M242" s="683"/>
      <c r="N242" s="683"/>
      <c r="O242" s="683"/>
      <c r="P242" s="683"/>
      <c r="Q242" s="686"/>
      <c r="R242" s="686"/>
      <c r="S242" s="686"/>
      <c r="T242" s="686"/>
      <c r="U242" s="686"/>
      <c r="V242" s="686"/>
      <c r="W242" s="686"/>
      <c r="X242" s="686"/>
      <c r="Y242" s="686"/>
      <c r="Z242" s="686"/>
      <c r="AA242" s="686"/>
      <c r="AB242" s="686"/>
      <c r="AC242" s="686"/>
      <c r="AD242" s="686"/>
      <c r="AE242" s="686"/>
      <c r="AF242" s="686"/>
    </row>
    <row r="243" ht="15.75" customHeight="1">
      <c r="A243" s="683"/>
      <c r="B243" s="683"/>
      <c r="C243" s="684"/>
      <c r="D243" s="684"/>
      <c r="E243" s="684"/>
      <c r="F243" s="683"/>
      <c r="G243" s="683"/>
      <c r="H243" s="683"/>
      <c r="I243" s="683"/>
      <c r="J243" s="683"/>
      <c r="K243" s="683"/>
      <c r="L243" s="685"/>
      <c r="M243" s="685"/>
      <c r="N243" s="685"/>
      <c r="O243" s="683"/>
      <c r="P243" s="683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86"/>
      <c r="AB243" s="686"/>
      <c r="AC243" s="686"/>
      <c r="AD243" s="686"/>
      <c r="AE243" s="686"/>
      <c r="AF243" s="686"/>
    </row>
    <row r="244" ht="15.75" customHeight="1">
      <c r="A244" s="683"/>
      <c r="B244" s="683"/>
      <c r="C244" s="684"/>
      <c r="D244" s="684"/>
      <c r="E244" s="684"/>
      <c r="F244" s="683"/>
      <c r="G244" s="683"/>
      <c r="H244" s="683"/>
      <c r="I244" s="683"/>
      <c r="J244" s="683"/>
      <c r="K244" s="683"/>
      <c r="L244" s="685"/>
      <c r="M244" s="685"/>
      <c r="N244" s="685"/>
      <c r="O244" s="683"/>
      <c r="P244" s="683"/>
      <c r="Q244" s="686"/>
      <c r="R244" s="686"/>
      <c r="S244" s="686"/>
      <c r="T244" s="686"/>
      <c r="U244" s="686"/>
      <c r="V244" s="686"/>
      <c r="W244" s="686"/>
      <c r="X244" s="686"/>
      <c r="Y244" s="686"/>
      <c r="Z244" s="686"/>
      <c r="AA244" s="686"/>
      <c r="AB244" s="686"/>
      <c r="AC244" s="686"/>
      <c r="AD244" s="686"/>
      <c r="AE244" s="686"/>
      <c r="AF244" s="686"/>
    </row>
    <row r="245" ht="15.75" customHeight="1">
      <c r="A245" s="683"/>
      <c r="B245" s="683"/>
      <c r="C245" s="684"/>
      <c r="D245" s="684"/>
      <c r="E245" s="684"/>
      <c r="F245" s="683"/>
      <c r="G245" s="683"/>
      <c r="H245" s="683"/>
      <c r="I245" s="683"/>
      <c r="J245" s="683"/>
      <c r="K245" s="683"/>
      <c r="L245" s="685"/>
      <c r="M245" s="685"/>
      <c r="N245" s="685"/>
      <c r="O245" s="683"/>
      <c r="P245" s="683"/>
      <c r="Q245" s="686"/>
      <c r="R245" s="686"/>
      <c r="S245" s="686"/>
      <c r="T245" s="686"/>
      <c r="U245" s="686"/>
      <c r="V245" s="686"/>
      <c r="W245" s="686"/>
      <c r="X245" s="686"/>
      <c r="Y245" s="686"/>
      <c r="Z245" s="686"/>
      <c r="AA245" s="686"/>
      <c r="AB245" s="686"/>
      <c r="AC245" s="686"/>
      <c r="AD245" s="686"/>
      <c r="AE245" s="686"/>
      <c r="AF245" s="686"/>
    </row>
    <row r="246" ht="15.75" customHeight="1">
      <c r="A246" s="683"/>
      <c r="B246" s="683"/>
      <c r="C246" s="684"/>
      <c r="D246" s="684"/>
      <c r="E246" s="684"/>
      <c r="F246" s="683"/>
      <c r="G246" s="683"/>
      <c r="H246" s="683"/>
      <c r="I246" s="683"/>
      <c r="J246" s="683"/>
      <c r="K246" s="683"/>
      <c r="L246" s="685"/>
      <c r="M246" s="685"/>
      <c r="N246" s="685"/>
      <c r="O246" s="683"/>
      <c r="P246" s="683"/>
      <c r="Q246" s="686"/>
      <c r="R246" s="686"/>
      <c r="S246" s="686"/>
      <c r="T246" s="686"/>
      <c r="U246" s="686"/>
      <c r="V246" s="686"/>
      <c r="W246" s="686"/>
      <c r="X246" s="686"/>
      <c r="Y246" s="686"/>
      <c r="Z246" s="686"/>
      <c r="AA246" s="686"/>
      <c r="AB246" s="686"/>
      <c r="AC246" s="686"/>
      <c r="AD246" s="686"/>
      <c r="AE246" s="686"/>
      <c r="AF246" s="686"/>
    </row>
    <row r="247" ht="15.75" customHeight="1">
      <c r="A247" s="683"/>
      <c r="B247" s="683"/>
      <c r="C247" s="684"/>
      <c r="D247" s="684"/>
      <c r="E247" s="684"/>
      <c r="F247" s="683"/>
      <c r="G247" s="683"/>
      <c r="H247" s="683"/>
      <c r="I247" s="683"/>
      <c r="J247" s="683"/>
      <c r="K247" s="683"/>
      <c r="L247" s="685"/>
      <c r="M247" s="685"/>
      <c r="N247" s="685"/>
      <c r="O247" s="683"/>
      <c r="P247" s="683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86"/>
      <c r="AB247" s="686"/>
      <c r="AC247" s="686"/>
      <c r="AD247" s="686"/>
      <c r="AE247" s="686"/>
      <c r="AF247" s="686"/>
    </row>
    <row r="248" ht="15.75" customHeight="1">
      <c r="A248" s="683"/>
      <c r="B248" s="683"/>
      <c r="C248" s="684"/>
      <c r="D248" s="684"/>
      <c r="E248" s="684"/>
      <c r="F248" s="683"/>
      <c r="G248" s="683"/>
      <c r="H248" s="683"/>
      <c r="I248" s="683"/>
      <c r="J248" s="683"/>
      <c r="K248" s="683"/>
      <c r="L248" s="685"/>
      <c r="M248" s="685"/>
      <c r="N248" s="685"/>
      <c r="O248" s="683"/>
      <c r="P248" s="683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86"/>
      <c r="AB248" s="686"/>
      <c r="AC248" s="686"/>
      <c r="AD248" s="686"/>
      <c r="AE248" s="686"/>
      <c r="AF248" s="686"/>
    </row>
    <row r="249" ht="15.75" customHeight="1">
      <c r="A249" s="683"/>
      <c r="B249" s="683"/>
      <c r="C249" s="684"/>
      <c r="D249" s="684"/>
      <c r="E249" s="684"/>
      <c r="F249" s="683"/>
      <c r="G249" s="683"/>
      <c r="H249" s="683"/>
      <c r="I249" s="683"/>
      <c r="J249" s="683"/>
      <c r="K249" s="683"/>
      <c r="L249" s="685"/>
      <c r="M249" s="685"/>
      <c r="N249" s="685"/>
      <c r="O249" s="683"/>
      <c r="P249" s="683"/>
      <c r="Q249" s="686"/>
      <c r="R249" s="686"/>
      <c r="S249" s="686"/>
      <c r="T249" s="686"/>
      <c r="U249" s="686"/>
      <c r="V249" s="686"/>
      <c r="W249" s="686"/>
      <c r="X249" s="686"/>
      <c r="Y249" s="686"/>
      <c r="Z249" s="686"/>
      <c r="AA249" s="686"/>
      <c r="AB249" s="686"/>
      <c r="AC249" s="686"/>
      <c r="AD249" s="686"/>
      <c r="AE249" s="686"/>
      <c r="AF249" s="686"/>
    </row>
    <row r="250" ht="15.75" customHeight="1">
      <c r="A250" s="683"/>
      <c r="B250" s="683"/>
      <c r="C250" s="684"/>
      <c r="D250" s="684"/>
      <c r="E250" s="684"/>
      <c r="F250" s="683"/>
      <c r="G250" s="683"/>
      <c r="H250" s="683"/>
      <c r="I250" s="683"/>
      <c r="J250" s="683"/>
      <c r="K250" s="683"/>
      <c r="L250" s="685"/>
      <c r="M250" s="685"/>
      <c r="N250" s="685"/>
      <c r="O250" s="683"/>
      <c r="P250" s="683"/>
      <c r="Q250" s="686"/>
      <c r="R250" s="686"/>
      <c r="S250" s="686"/>
      <c r="T250" s="686"/>
      <c r="U250" s="686"/>
      <c r="V250" s="686"/>
      <c r="W250" s="686"/>
      <c r="X250" s="686"/>
      <c r="Y250" s="686"/>
      <c r="Z250" s="686"/>
      <c r="AA250" s="686"/>
      <c r="AB250" s="686"/>
      <c r="AC250" s="686"/>
      <c r="AD250" s="686"/>
      <c r="AE250" s="686"/>
      <c r="AF250" s="686"/>
    </row>
    <row r="251" ht="15.75" customHeight="1">
      <c r="A251" s="683"/>
      <c r="B251" s="683"/>
      <c r="C251" s="684"/>
      <c r="D251" s="684"/>
      <c r="E251" s="684"/>
      <c r="F251" s="683"/>
      <c r="G251" s="683"/>
      <c r="H251" s="683"/>
      <c r="I251" s="683"/>
      <c r="J251" s="683"/>
      <c r="K251" s="683"/>
      <c r="L251" s="685"/>
      <c r="M251" s="685"/>
      <c r="N251" s="685"/>
      <c r="O251" s="683"/>
      <c r="P251" s="683"/>
      <c r="Q251" s="686"/>
      <c r="R251" s="686"/>
      <c r="S251" s="686"/>
      <c r="T251" s="686"/>
      <c r="U251" s="686"/>
      <c r="V251" s="686"/>
      <c r="W251" s="686"/>
      <c r="X251" s="686"/>
      <c r="Y251" s="686"/>
      <c r="Z251" s="686"/>
      <c r="AA251" s="686"/>
      <c r="AB251" s="686"/>
      <c r="AC251" s="686"/>
      <c r="AD251" s="686"/>
      <c r="AE251" s="686"/>
      <c r="AF251" s="686"/>
    </row>
    <row r="252" ht="15.75" customHeight="1">
      <c r="A252" s="683"/>
      <c r="B252" s="683"/>
      <c r="C252" s="684"/>
      <c r="D252" s="684"/>
      <c r="E252" s="684"/>
      <c r="F252" s="683"/>
      <c r="G252" s="683"/>
      <c r="H252" s="683"/>
      <c r="I252" s="683"/>
      <c r="J252" s="683"/>
      <c r="K252" s="683"/>
      <c r="L252" s="685"/>
      <c r="M252" s="685"/>
      <c r="N252" s="685"/>
      <c r="O252" s="683"/>
      <c r="P252" s="683"/>
      <c r="Q252" s="686"/>
      <c r="R252" s="686"/>
      <c r="S252" s="686"/>
      <c r="T252" s="686"/>
      <c r="U252" s="686"/>
      <c r="V252" s="686"/>
      <c r="W252" s="686"/>
      <c r="X252" s="686"/>
      <c r="Y252" s="686"/>
      <c r="Z252" s="686"/>
      <c r="AA252" s="686"/>
      <c r="AB252" s="686"/>
      <c r="AC252" s="686"/>
      <c r="AD252" s="686"/>
      <c r="AE252" s="686"/>
      <c r="AF252" s="686"/>
    </row>
    <row r="253" ht="15.75" customHeight="1">
      <c r="A253" s="683"/>
      <c r="B253" s="683"/>
      <c r="C253" s="684"/>
      <c r="D253" s="684"/>
      <c r="E253" s="684"/>
      <c r="F253" s="683"/>
      <c r="G253" s="683"/>
      <c r="H253" s="683"/>
      <c r="I253" s="683"/>
      <c r="J253" s="683"/>
      <c r="K253" s="683"/>
      <c r="L253" s="685"/>
      <c r="M253" s="685"/>
      <c r="N253" s="685"/>
      <c r="O253" s="683"/>
      <c r="P253" s="683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86"/>
      <c r="AB253" s="686"/>
      <c r="AC253" s="686"/>
      <c r="AD253" s="686"/>
      <c r="AE253" s="686"/>
      <c r="AF253" s="686"/>
    </row>
    <row r="254" ht="15.75" customHeight="1">
      <c r="A254" s="683"/>
      <c r="B254" s="683"/>
      <c r="C254" s="684"/>
      <c r="D254" s="684"/>
      <c r="E254" s="684"/>
      <c r="F254" s="683"/>
      <c r="G254" s="683"/>
      <c r="H254" s="683"/>
      <c r="I254" s="683"/>
      <c r="J254" s="683"/>
      <c r="K254" s="683"/>
      <c r="L254" s="685"/>
      <c r="M254" s="685"/>
      <c r="N254" s="685"/>
      <c r="O254" s="683"/>
      <c r="P254" s="683"/>
      <c r="Q254" s="686"/>
      <c r="R254" s="686"/>
      <c r="S254" s="686"/>
      <c r="T254" s="686"/>
      <c r="U254" s="686"/>
      <c r="V254" s="686"/>
      <c r="W254" s="686"/>
      <c r="X254" s="686"/>
      <c r="Y254" s="686"/>
      <c r="Z254" s="686"/>
      <c r="AA254" s="686"/>
      <c r="AB254" s="686"/>
      <c r="AC254" s="686"/>
      <c r="AD254" s="686"/>
      <c r="AE254" s="686"/>
      <c r="AF254" s="686"/>
    </row>
    <row r="255" ht="15.75" customHeight="1">
      <c r="A255" s="683"/>
      <c r="B255" s="683"/>
      <c r="C255" s="684"/>
      <c r="D255" s="684"/>
      <c r="E255" s="684"/>
      <c r="F255" s="683"/>
      <c r="G255" s="683"/>
      <c r="H255" s="683"/>
      <c r="I255" s="683"/>
      <c r="J255" s="683"/>
      <c r="K255" s="683"/>
      <c r="L255" s="685"/>
      <c r="M255" s="685"/>
      <c r="N255" s="685"/>
      <c r="O255" s="683"/>
      <c r="P255" s="683"/>
      <c r="Q255" s="686"/>
      <c r="R255" s="686"/>
      <c r="S255" s="686"/>
      <c r="T255" s="686"/>
      <c r="U255" s="686"/>
      <c r="V255" s="686"/>
      <c r="W255" s="686"/>
      <c r="X255" s="686"/>
      <c r="Y255" s="686"/>
      <c r="Z255" s="686"/>
      <c r="AA255" s="686"/>
      <c r="AB255" s="686"/>
      <c r="AC255" s="686"/>
      <c r="AD255" s="686"/>
      <c r="AE255" s="686"/>
      <c r="AF255" s="686"/>
    </row>
    <row r="256" ht="15.75" customHeight="1">
      <c r="A256" s="683"/>
      <c r="B256" s="683"/>
      <c r="C256" s="684"/>
      <c r="D256" s="684"/>
      <c r="E256" s="684"/>
      <c r="F256" s="683"/>
      <c r="G256" s="683"/>
      <c r="H256" s="683"/>
      <c r="I256" s="683"/>
      <c r="J256" s="683"/>
      <c r="K256" s="683"/>
      <c r="L256" s="685"/>
      <c r="M256" s="685"/>
      <c r="N256" s="685"/>
      <c r="O256" s="683"/>
      <c r="P256" s="683"/>
      <c r="Q256" s="686"/>
      <c r="R256" s="686"/>
      <c r="S256" s="686"/>
      <c r="T256" s="686"/>
      <c r="U256" s="686"/>
      <c r="V256" s="686"/>
      <c r="W256" s="686"/>
      <c r="X256" s="686"/>
      <c r="Y256" s="686"/>
      <c r="Z256" s="686"/>
      <c r="AA256" s="686"/>
      <c r="AB256" s="686"/>
      <c r="AC256" s="686"/>
      <c r="AD256" s="686"/>
      <c r="AE256" s="686"/>
      <c r="AF256" s="686"/>
    </row>
    <row r="257" ht="15.75" customHeight="1">
      <c r="A257" s="683"/>
      <c r="B257" s="683"/>
      <c r="C257" s="684"/>
      <c r="D257" s="684"/>
      <c r="E257" s="684"/>
      <c r="F257" s="683"/>
      <c r="G257" s="683"/>
      <c r="H257" s="683"/>
      <c r="I257" s="683"/>
      <c r="J257" s="683"/>
      <c r="K257" s="683"/>
      <c r="L257" s="685"/>
      <c r="M257" s="685"/>
      <c r="N257" s="687"/>
      <c r="O257" s="683"/>
      <c r="P257" s="683"/>
      <c r="Q257" s="686"/>
      <c r="R257" s="686"/>
      <c r="S257" s="686"/>
      <c r="T257" s="686"/>
      <c r="U257" s="686"/>
      <c r="V257" s="686"/>
      <c r="W257" s="686"/>
      <c r="X257" s="686"/>
      <c r="Y257" s="686"/>
      <c r="Z257" s="686"/>
      <c r="AA257" s="686"/>
      <c r="AB257" s="686"/>
      <c r="AC257" s="686"/>
      <c r="AD257" s="686"/>
      <c r="AE257" s="686"/>
      <c r="AF257" s="686"/>
    </row>
    <row r="258" ht="15.75" customHeight="1">
      <c r="A258" s="683"/>
      <c r="B258" s="683"/>
      <c r="C258" s="684"/>
      <c r="D258" s="684"/>
      <c r="E258" s="684"/>
      <c r="F258" s="683"/>
      <c r="G258" s="683"/>
      <c r="H258" s="683"/>
      <c r="I258" s="683"/>
      <c r="J258" s="683"/>
      <c r="K258" s="683"/>
      <c r="L258" s="685"/>
      <c r="M258" s="685"/>
      <c r="N258" s="687"/>
      <c r="O258" s="683"/>
      <c r="P258" s="683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86"/>
      <c r="AB258" s="686"/>
      <c r="AC258" s="686"/>
      <c r="AD258" s="686"/>
      <c r="AE258" s="686"/>
      <c r="AF258" s="686"/>
    </row>
    <row r="259" ht="15.75" customHeight="1">
      <c r="A259" s="683"/>
      <c r="B259" s="683"/>
      <c r="C259" s="684"/>
      <c r="D259" s="684"/>
      <c r="E259" s="684"/>
      <c r="F259" s="683"/>
      <c r="G259" s="683"/>
      <c r="H259" s="683"/>
      <c r="I259" s="683"/>
      <c r="J259" s="683"/>
      <c r="K259" s="683"/>
      <c r="L259" s="685"/>
      <c r="M259" s="685"/>
      <c r="N259" s="685"/>
      <c r="O259" s="683"/>
      <c r="P259" s="683"/>
      <c r="Q259" s="686"/>
      <c r="R259" s="686"/>
      <c r="S259" s="686"/>
      <c r="T259" s="686"/>
      <c r="U259" s="686"/>
      <c r="V259" s="686"/>
      <c r="W259" s="686"/>
      <c r="X259" s="686"/>
      <c r="Y259" s="686"/>
      <c r="Z259" s="686"/>
      <c r="AA259" s="686"/>
      <c r="AB259" s="686"/>
      <c r="AC259" s="686"/>
      <c r="AD259" s="686"/>
      <c r="AE259" s="686"/>
      <c r="AF259" s="686"/>
    </row>
    <row r="260" ht="15.75" customHeight="1">
      <c r="A260" s="683"/>
      <c r="B260" s="683"/>
      <c r="C260" s="684"/>
      <c r="D260" s="684"/>
      <c r="E260" s="684"/>
      <c r="F260" s="683"/>
      <c r="G260" s="683"/>
      <c r="H260" s="683"/>
      <c r="I260" s="683"/>
      <c r="J260" s="683"/>
      <c r="K260" s="683"/>
      <c r="L260" s="685"/>
      <c r="M260" s="685"/>
      <c r="N260" s="685"/>
      <c r="O260" s="683"/>
      <c r="P260" s="683"/>
      <c r="Q260" s="686"/>
      <c r="R260" s="686"/>
      <c r="S260" s="686"/>
      <c r="T260" s="686"/>
      <c r="U260" s="686"/>
      <c r="V260" s="686"/>
      <c r="W260" s="686"/>
      <c r="X260" s="686"/>
      <c r="Y260" s="686"/>
      <c r="Z260" s="686"/>
      <c r="AA260" s="686"/>
      <c r="AB260" s="686"/>
      <c r="AC260" s="686"/>
      <c r="AD260" s="686"/>
      <c r="AE260" s="686"/>
      <c r="AF260" s="686"/>
    </row>
    <row r="261" ht="15.75" customHeight="1">
      <c r="A261" s="683"/>
      <c r="B261" s="683"/>
      <c r="C261" s="684"/>
      <c r="D261" s="684"/>
      <c r="E261" s="684"/>
      <c r="F261" s="683"/>
      <c r="G261" s="683"/>
      <c r="H261" s="683"/>
      <c r="I261" s="683"/>
      <c r="J261" s="683"/>
      <c r="K261" s="683"/>
      <c r="L261" s="685"/>
      <c r="M261" s="685"/>
      <c r="N261" s="685"/>
      <c r="O261" s="683"/>
      <c r="P261" s="683"/>
      <c r="Q261" s="686"/>
      <c r="R261" s="686"/>
      <c r="S261" s="686"/>
      <c r="T261" s="686"/>
      <c r="U261" s="686"/>
      <c r="V261" s="686"/>
      <c r="W261" s="686"/>
      <c r="X261" s="686"/>
      <c r="Y261" s="686"/>
      <c r="Z261" s="686"/>
      <c r="AA261" s="686"/>
      <c r="AB261" s="686"/>
      <c r="AC261" s="686"/>
      <c r="AD261" s="686"/>
      <c r="AE261" s="686"/>
      <c r="AF261" s="686"/>
    </row>
    <row r="262" ht="15.75" customHeight="1">
      <c r="A262" s="683"/>
      <c r="B262" s="683"/>
      <c r="C262" s="684"/>
      <c r="D262" s="684"/>
      <c r="E262" s="684"/>
      <c r="F262" s="683"/>
      <c r="G262" s="683"/>
      <c r="H262" s="683"/>
      <c r="I262" s="683"/>
      <c r="J262" s="683"/>
      <c r="K262" s="683"/>
      <c r="L262" s="685"/>
      <c r="M262" s="685"/>
      <c r="N262" s="685"/>
      <c r="O262" s="683"/>
      <c r="P262" s="683"/>
      <c r="Q262" s="686"/>
      <c r="R262" s="686"/>
      <c r="S262" s="686"/>
      <c r="T262" s="686"/>
      <c r="U262" s="686"/>
      <c r="V262" s="686"/>
      <c r="W262" s="686"/>
      <c r="X262" s="686"/>
      <c r="Y262" s="686"/>
      <c r="Z262" s="686"/>
      <c r="AA262" s="686"/>
      <c r="AB262" s="686"/>
      <c r="AC262" s="686"/>
      <c r="AD262" s="686"/>
      <c r="AE262" s="686"/>
      <c r="AF262" s="686"/>
    </row>
    <row r="263" ht="15.75" customHeight="1">
      <c r="A263" s="683"/>
      <c r="B263" s="683"/>
      <c r="C263" s="684"/>
      <c r="D263" s="684"/>
      <c r="E263" s="684"/>
      <c r="F263" s="683"/>
      <c r="G263" s="683"/>
      <c r="H263" s="683"/>
      <c r="I263" s="683"/>
      <c r="J263" s="683"/>
      <c r="K263" s="683"/>
      <c r="L263" s="685"/>
      <c r="M263" s="685"/>
      <c r="N263" s="685"/>
      <c r="O263" s="683"/>
      <c r="P263" s="683"/>
      <c r="Q263" s="686"/>
      <c r="R263" s="686"/>
      <c r="S263" s="686"/>
      <c r="T263" s="686"/>
      <c r="U263" s="686"/>
      <c r="V263" s="686"/>
      <c r="W263" s="686"/>
      <c r="X263" s="686"/>
      <c r="Y263" s="686"/>
      <c r="Z263" s="686"/>
      <c r="AA263" s="686"/>
      <c r="AB263" s="686"/>
      <c r="AC263" s="686"/>
      <c r="AD263" s="686"/>
      <c r="AE263" s="686"/>
      <c r="AF263" s="686"/>
    </row>
    <row r="264" ht="15.75" customHeight="1">
      <c r="A264" s="683"/>
      <c r="B264" s="683"/>
      <c r="C264" s="684"/>
      <c r="D264" s="684"/>
      <c r="E264" s="684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P264" s="683"/>
      <c r="Q264" s="686"/>
      <c r="R264" s="686"/>
      <c r="S264" s="686"/>
      <c r="T264" s="686"/>
      <c r="U264" s="686"/>
      <c r="V264" s="686"/>
      <c r="W264" s="686"/>
      <c r="X264" s="686"/>
      <c r="Y264" s="686"/>
      <c r="Z264" s="686"/>
      <c r="AA264" s="686"/>
      <c r="AB264" s="686"/>
      <c r="AC264" s="686"/>
      <c r="AD264" s="686"/>
      <c r="AE264" s="686"/>
      <c r="AF264" s="686"/>
    </row>
    <row r="265" ht="15.75" customHeight="1">
      <c r="A265" s="683"/>
      <c r="B265" s="683"/>
      <c r="C265" s="684"/>
      <c r="D265" s="684"/>
      <c r="E265" s="684"/>
      <c r="F265" s="683"/>
      <c r="G265" s="683"/>
      <c r="H265" s="683"/>
      <c r="I265" s="683"/>
      <c r="J265" s="683"/>
      <c r="K265" s="683"/>
      <c r="L265" s="685"/>
      <c r="M265" s="685"/>
      <c r="N265" s="685"/>
      <c r="O265" s="683"/>
      <c r="P265" s="685"/>
      <c r="Q265" s="686"/>
      <c r="R265" s="686"/>
      <c r="S265" s="686"/>
      <c r="T265" s="686"/>
      <c r="U265" s="686"/>
      <c r="V265" s="686"/>
      <c r="W265" s="686"/>
      <c r="X265" s="686"/>
      <c r="Y265" s="686"/>
      <c r="Z265" s="686"/>
      <c r="AA265" s="686"/>
      <c r="AB265" s="686"/>
      <c r="AC265" s="686"/>
      <c r="AD265" s="686"/>
      <c r="AE265" s="686"/>
      <c r="AF265" s="686"/>
    </row>
    <row r="266" ht="15.75" customHeight="1">
      <c r="A266" s="683"/>
      <c r="B266" s="683"/>
      <c r="C266" s="684"/>
      <c r="D266" s="684"/>
      <c r="E266" s="684"/>
      <c r="F266" s="683"/>
      <c r="G266" s="683"/>
      <c r="H266" s="683"/>
      <c r="I266" s="683"/>
      <c r="J266" s="683"/>
      <c r="K266" s="683"/>
      <c r="L266" s="685"/>
      <c r="M266" s="685"/>
      <c r="N266" s="685"/>
      <c r="O266" s="683"/>
      <c r="P266" s="685"/>
      <c r="Q266" s="686"/>
      <c r="R266" s="686"/>
      <c r="S266" s="686"/>
      <c r="T266" s="686"/>
      <c r="U266" s="686"/>
      <c r="V266" s="686"/>
      <c r="W266" s="686"/>
      <c r="X266" s="686"/>
      <c r="Y266" s="686"/>
      <c r="Z266" s="686"/>
      <c r="AA266" s="686"/>
      <c r="AB266" s="686"/>
      <c r="AC266" s="686"/>
      <c r="AD266" s="686"/>
      <c r="AE266" s="686"/>
      <c r="AF266" s="686"/>
    </row>
    <row r="267" ht="15.75" customHeight="1">
      <c r="A267" s="683"/>
      <c r="B267" s="683"/>
      <c r="C267" s="684"/>
      <c r="D267" s="684"/>
      <c r="E267" s="684"/>
      <c r="F267" s="683"/>
      <c r="G267" s="683"/>
      <c r="H267" s="683"/>
      <c r="I267" s="683"/>
      <c r="J267" s="683"/>
      <c r="K267" s="683"/>
      <c r="L267" s="685"/>
      <c r="M267" s="685"/>
      <c r="N267" s="685"/>
      <c r="O267" s="683"/>
      <c r="P267" s="683"/>
      <c r="Q267" s="686"/>
      <c r="R267" s="686"/>
      <c r="S267" s="686"/>
      <c r="T267" s="686"/>
      <c r="U267" s="686"/>
      <c r="V267" s="686"/>
      <c r="W267" s="686"/>
      <c r="X267" s="686"/>
      <c r="Y267" s="686"/>
      <c r="Z267" s="686"/>
      <c r="AA267" s="686"/>
      <c r="AB267" s="686"/>
      <c r="AC267" s="686"/>
      <c r="AD267" s="686"/>
      <c r="AE267" s="686"/>
      <c r="AF267" s="686"/>
    </row>
    <row r="268" ht="14.25" customHeight="1">
      <c r="A268" s="683"/>
      <c r="B268" s="683"/>
      <c r="C268" s="684"/>
      <c r="D268" s="684"/>
      <c r="E268" s="684"/>
      <c r="F268" s="683"/>
      <c r="G268" s="683"/>
      <c r="H268" s="683"/>
      <c r="I268" s="683"/>
      <c r="J268" s="683"/>
      <c r="K268" s="683"/>
      <c r="L268" s="685"/>
      <c r="M268" s="685"/>
      <c r="N268" s="687"/>
      <c r="O268" s="683"/>
      <c r="P268" s="685"/>
      <c r="Q268" s="686"/>
      <c r="R268" s="686"/>
      <c r="S268" s="686"/>
      <c r="T268" s="686"/>
      <c r="U268" s="686"/>
      <c r="V268" s="686"/>
      <c r="W268" s="686"/>
      <c r="X268" s="686"/>
      <c r="Y268" s="686"/>
      <c r="Z268" s="686"/>
      <c r="AA268" s="686"/>
      <c r="AB268" s="686"/>
      <c r="AC268" s="686"/>
      <c r="AD268" s="686"/>
      <c r="AE268" s="686"/>
      <c r="AF268" s="686"/>
    </row>
    <row r="269" ht="15.75" customHeight="1">
      <c r="A269" s="683"/>
      <c r="B269" s="683"/>
      <c r="C269" s="684"/>
      <c r="D269" s="684"/>
      <c r="E269" s="684"/>
      <c r="F269" s="683"/>
      <c r="G269" s="683"/>
      <c r="H269" s="683"/>
      <c r="I269" s="683"/>
      <c r="J269" s="683"/>
      <c r="K269" s="683"/>
      <c r="L269" s="685"/>
      <c r="M269" s="685"/>
      <c r="N269" s="685"/>
      <c r="O269" s="683"/>
      <c r="P269" s="683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86"/>
      <c r="AB269" s="686"/>
      <c r="AC269" s="686"/>
      <c r="AD269" s="686"/>
      <c r="AE269" s="686"/>
      <c r="AF269" s="686"/>
    </row>
    <row r="270" ht="15.75" customHeight="1">
      <c r="A270" s="683"/>
      <c r="B270" s="683"/>
      <c r="C270" s="684"/>
      <c r="D270" s="684"/>
      <c r="E270" s="684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P270" s="683"/>
      <c r="Q270" s="686"/>
      <c r="R270" s="686"/>
      <c r="S270" s="686"/>
      <c r="T270" s="686"/>
      <c r="U270" s="686"/>
      <c r="V270" s="686"/>
      <c r="W270" s="686"/>
      <c r="X270" s="686"/>
      <c r="Y270" s="686"/>
      <c r="Z270" s="686"/>
      <c r="AA270" s="686"/>
      <c r="AB270" s="686"/>
      <c r="AC270" s="686"/>
      <c r="AD270" s="686"/>
      <c r="AE270" s="686"/>
      <c r="AF270" s="686"/>
    </row>
    <row r="271" ht="15.75" customHeight="1">
      <c r="A271" s="683"/>
      <c r="B271" s="683"/>
      <c r="C271" s="684"/>
      <c r="D271" s="684"/>
      <c r="E271" s="684"/>
      <c r="F271" s="683"/>
      <c r="G271" s="683"/>
      <c r="H271" s="683"/>
      <c r="I271" s="683"/>
      <c r="J271" s="683"/>
      <c r="K271" s="683"/>
      <c r="L271" s="685"/>
      <c r="M271" s="685"/>
      <c r="N271" s="685"/>
      <c r="O271" s="683"/>
      <c r="P271" s="683"/>
      <c r="Q271" s="686"/>
      <c r="R271" s="686"/>
      <c r="S271" s="686"/>
      <c r="T271" s="686"/>
      <c r="U271" s="686"/>
      <c r="V271" s="686"/>
      <c r="W271" s="686"/>
      <c r="X271" s="686"/>
      <c r="Y271" s="686"/>
      <c r="Z271" s="686"/>
      <c r="AA271" s="686"/>
      <c r="AB271" s="686"/>
      <c r="AC271" s="686"/>
      <c r="AD271" s="686"/>
      <c r="AE271" s="686"/>
      <c r="AF271" s="686"/>
    </row>
    <row r="272" ht="15.75" customHeight="1">
      <c r="A272" s="683"/>
      <c r="B272" s="683"/>
      <c r="C272" s="684"/>
      <c r="D272" s="684"/>
      <c r="E272" s="684"/>
      <c r="F272" s="683"/>
      <c r="G272" s="683"/>
      <c r="H272" s="683"/>
      <c r="I272" s="683"/>
      <c r="J272" s="683"/>
      <c r="K272" s="683"/>
      <c r="L272" s="685"/>
      <c r="M272" s="685"/>
      <c r="N272" s="687"/>
      <c r="O272" s="683"/>
      <c r="P272" s="683"/>
      <c r="Q272" s="686"/>
      <c r="R272" s="686"/>
      <c r="S272" s="686"/>
      <c r="T272" s="686"/>
      <c r="U272" s="686"/>
      <c r="V272" s="686"/>
      <c r="W272" s="686"/>
      <c r="X272" s="686"/>
      <c r="Y272" s="686"/>
      <c r="Z272" s="686"/>
      <c r="AA272" s="686"/>
      <c r="AB272" s="686"/>
      <c r="AC272" s="686"/>
      <c r="AD272" s="686"/>
      <c r="AE272" s="686"/>
      <c r="AF272" s="686"/>
    </row>
    <row r="273" ht="15.75" customHeight="1">
      <c r="A273" s="683"/>
      <c r="B273" s="683"/>
      <c r="C273" s="684"/>
      <c r="D273" s="684"/>
      <c r="E273" s="684"/>
      <c r="F273" s="683"/>
      <c r="G273" s="683"/>
      <c r="H273" s="683"/>
      <c r="I273" s="683"/>
      <c r="J273" s="683"/>
      <c r="K273" s="683"/>
      <c r="L273" s="685"/>
      <c r="M273" s="685"/>
      <c r="N273" s="685"/>
      <c r="O273" s="683"/>
      <c r="P273" s="683"/>
      <c r="Q273" s="686"/>
      <c r="R273" s="686"/>
      <c r="S273" s="686"/>
      <c r="T273" s="686"/>
      <c r="U273" s="686"/>
      <c r="V273" s="686"/>
      <c r="W273" s="686"/>
      <c r="X273" s="686"/>
      <c r="Y273" s="686"/>
      <c r="Z273" s="686"/>
      <c r="AA273" s="686"/>
      <c r="AB273" s="686"/>
      <c r="AC273" s="686"/>
      <c r="AD273" s="686"/>
      <c r="AE273" s="686"/>
      <c r="AF273" s="686"/>
    </row>
    <row r="274" ht="15.75" customHeight="1">
      <c r="A274" s="683"/>
      <c r="B274" s="683"/>
      <c r="C274" s="684"/>
      <c r="D274" s="684"/>
      <c r="E274" s="684"/>
      <c r="F274" s="683"/>
      <c r="G274" s="683"/>
      <c r="H274" s="683"/>
      <c r="I274" s="683"/>
      <c r="J274" s="683"/>
      <c r="K274" s="683"/>
      <c r="L274" s="685"/>
      <c r="M274" s="685"/>
      <c r="N274" s="685"/>
      <c r="O274" s="683"/>
      <c r="P274" s="683"/>
      <c r="Q274" s="686"/>
      <c r="R274" s="686"/>
      <c r="S274" s="686"/>
      <c r="T274" s="686"/>
      <c r="U274" s="686"/>
      <c r="V274" s="686"/>
      <c r="W274" s="686"/>
      <c r="X274" s="686"/>
      <c r="Y274" s="686"/>
      <c r="Z274" s="686"/>
      <c r="AA274" s="686"/>
      <c r="AB274" s="686"/>
      <c r="AC274" s="686"/>
      <c r="AD274" s="686"/>
      <c r="AE274" s="686"/>
      <c r="AF274" s="686"/>
    </row>
    <row r="275" ht="15.75" customHeight="1">
      <c r="A275" s="683"/>
      <c r="B275" s="683"/>
      <c r="C275" s="684"/>
      <c r="D275" s="684"/>
      <c r="E275" s="684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P275" s="683"/>
      <c r="Q275" s="686"/>
      <c r="R275" s="686"/>
      <c r="S275" s="686"/>
      <c r="T275" s="686"/>
      <c r="U275" s="686"/>
      <c r="V275" s="686"/>
      <c r="W275" s="686"/>
      <c r="X275" s="686"/>
      <c r="Y275" s="686"/>
      <c r="Z275" s="686"/>
      <c r="AA275" s="686"/>
      <c r="AB275" s="686"/>
      <c r="AC275" s="686"/>
      <c r="AD275" s="686"/>
      <c r="AE275" s="686"/>
      <c r="AF275" s="686"/>
    </row>
    <row r="276" ht="15.75" customHeight="1">
      <c r="A276" s="683"/>
      <c r="B276" s="683"/>
      <c r="C276" s="684"/>
      <c r="D276" s="684"/>
      <c r="E276" s="684"/>
      <c r="F276" s="683"/>
      <c r="G276" s="683"/>
      <c r="H276" s="683"/>
      <c r="I276" s="683"/>
      <c r="J276" s="683"/>
      <c r="K276" s="683"/>
      <c r="L276" s="685"/>
      <c r="M276" s="685"/>
      <c r="N276" s="685"/>
      <c r="O276" s="683"/>
      <c r="P276" s="683"/>
      <c r="Q276" s="686"/>
      <c r="R276" s="686"/>
      <c r="S276" s="686"/>
      <c r="T276" s="686"/>
      <c r="U276" s="686"/>
      <c r="V276" s="686"/>
      <c r="W276" s="686"/>
      <c r="X276" s="686"/>
      <c r="Y276" s="686"/>
      <c r="Z276" s="686"/>
      <c r="AA276" s="686"/>
      <c r="AB276" s="686"/>
      <c r="AC276" s="686"/>
      <c r="AD276" s="686"/>
      <c r="AE276" s="686"/>
      <c r="AF276" s="686"/>
    </row>
    <row r="277" ht="15.75" customHeight="1">
      <c r="A277" s="683"/>
      <c r="B277" s="683"/>
      <c r="C277" s="684"/>
      <c r="D277" s="684"/>
      <c r="E277" s="684"/>
      <c r="F277" s="683"/>
      <c r="G277" s="683"/>
      <c r="H277" s="683"/>
      <c r="I277" s="683"/>
      <c r="J277" s="683"/>
      <c r="K277" s="683"/>
      <c r="L277" s="685"/>
      <c r="M277" s="685"/>
      <c r="N277" s="685"/>
      <c r="O277" s="683"/>
      <c r="P277" s="683"/>
      <c r="Q277" s="686"/>
      <c r="R277" s="686"/>
      <c r="S277" s="686"/>
      <c r="T277" s="686"/>
      <c r="U277" s="686"/>
      <c r="V277" s="686"/>
      <c r="W277" s="686"/>
      <c r="X277" s="686"/>
      <c r="Y277" s="686"/>
      <c r="Z277" s="686"/>
      <c r="AA277" s="686"/>
      <c r="AB277" s="686"/>
      <c r="AC277" s="686"/>
      <c r="AD277" s="686"/>
      <c r="AE277" s="686"/>
      <c r="AF277" s="686"/>
    </row>
    <row r="278" ht="15.75" customHeight="1">
      <c r="A278" s="683"/>
      <c r="B278" s="683"/>
      <c r="C278" s="684"/>
      <c r="D278" s="684"/>
      <c r="E278" s="684"/>
      <c r="F278" s="683"/>
      <c r="G278" s="683"/>
      <c r="H278" s="683"/>
      <c r="I278" s="683"/>
      <c r="J278" s="683"/>
      <c r="K278" s="683"/>
      <c r="L278" s="685"/>
      <c r="M278" s="685"/>
      <c r="N278" s="685"/>
      <c r="O278" s="683"/>
      <c r="P278" s="683"/>
      <c r="Q278" s="686"/>
      <c r="R278" s="686"/>
      <c r="S278" s="686"/>
      <c r="T278" s="686"/>
      <c r="U278" s="686"/>
      <c r="V278" s="686"/>
      <c r="W278" s="686"/>
      <c r="X278" s="686"/>
      <c r="Y278" s="686"/>
      <c r="Z278" s="686"/>
      <c r="AA278" s="686"/>
      <c r="AB278" s="686"/>
      <c r="AC278" s="686"/>
      <c r="AD278" s="686"/>
      <c r="AE278" s="686"/>
      <c r="AF278" s="686"/>
    </row>
    <row r="279" ht="15.75" customHeight="1">
      <c r="A279" s="683"/>
      <c r="B279" s="683"/>
      <c r="C279" s="684"/>
      <c r="D279" s="684"/>
      <c r="E279" s="684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P279" s="683"/>
      <c r="Q279" s="686"/>
      <c r="R279" s="686"/>
      <c r="S279" s="686"/>
      <c r="T279" s="686"/>
      <c r="U279" s="686"/>
      <c r="V279" s="686"/>
      <c r="W279" s="686"/>
      <c r="X279" s="686"/>
      <c r="Y279" s="686"/>
      <c r="Z279" s="686"/>
      <c r="AA279" s="686"/>
      <c r="AB279" s="686"/>
      <c r="AC279" s="686"/>
      <c r="AD279" s="686"/>
      <c r="AE279" s="686"/>
      <c r="AF279" s="686"/>
    </row>
    <row r="280" ht="14.25" customHeight="1">
      <c r="A280" s="683"/>
      <c r="B280" s="683"/>
      <c r="C280" s="684"/>
      <c r="D280" s="684"/>
      <c r="E280" s="684"/>
      <c r="F280" s="683"/>
      <c r="G280" s="683"/>
      <c r="H280" s="683"/>
      <c r="I280" s="683"/>
      <c r="J280" s="683"/>
      <c r="K280" s="683"/>
      <c r="L280" s="685"/>
      <c r="M280" s="685"/>
      <c r="N280" s="685"/>
      <c r="O280" s="683"/>
      <c r="P280" s="683"/>
      <c r="Q280" s="686"/>
      <c r="R280" s="686"/>
      <c r="S280" s="686"/>
      <c r="T280" s="686"/>
      <c r="U280" s="686"/>
      <c r="V280" s="686"/>
      <c r="W280" s="686"/>
      <c r="X280" s="686"/>
      <c r="Y280" s="686"/>
      <c r="Z280" s="686"/>
      <c r="AA280" s="686"/>
      <c r="AB280" s="686"/>
      <c r="AC280" s="686"/>
      <c r="AD280" s="686"/>
      <c r="AE280" s="686"/>
      <c r="AF280" s="686"/>
    </row>
    <row r="281" ht="15.75" customHeight="1">
      <c r="A281" s="683"/>
      <c r="B281" s="683"/>
      <c r="C281" s="684"/>
      <c r="D281" s="684"/>
      <c r="E281" s="684"/>
      <c r="F281" s="683"/>
      <c r="G281" s="683"/>
      <c r="H281" s="683"/>
      <c r="I281" s="683"/>
      <c r="J281" s="683"/>
      <c r="K281" s="683"/>
      <c r="L281" s="685"/>
      <c r="M281" s="685"/>
      <c r="N281" s="685"/>
      <c r="O281" s="683"/>
      <c r="P281" s="683"/>
      <c r="Q281" s="686"/>
      <c r="R281" s="686"/>
      <c r="S281" s="686"/>
      <c r="T281" s="686"/>
      <c r="U281" s="686"/>
      <c r="V281" s="686"/>
      <c r="W281" s="686"/>
      <c r="X281" s="686"/>
      <c r="Y281" s="686"/>
      <c r="Z281" s="686"/>
      <c r="AA281" s="686"/>
      <c r="AB281" s="686"/>
      <c r="AC281" s="686"/>
      <c r="AD281" s="686"/>
      <c r="AE281" s="686"/>
      <c r="AF281" s="686"/>
    </row>
    <row r="282" ht="15.75" customHeight="1">
      <c r="A282" s="683"/>
      <c r="B282" s="683"/>
      <c r="C282" s="684"/>
      <c r="D282" s="684"/>
      <c r="E282" s="684"/>
      <c r="F282" s="683"/>
      <c r="G282" s="683"/>
      <c r="H282" s="683"/>
      <c r="I282" s="683"/>
      <c r="J282" s="683"/>
      <c r="K282" s="683"/>
      <c r="L282" s="685"/>
      <c r="M282" s="685"/>
      <c r="N282" s="685"/>
      <c r="O282" s="683"/>
      <c r="P282" s="683"/>
      <c r="Q282" s="686"/>
      <c r="R282" s="686"/>
      <c r="S282" s="686"/>
      <c r="T282" s="686"/>
      <c r="U282" s="686"/>
      <c r="V282" s="686"/>
      <c r="W282" s="686"/>
      <c r="X282" s="686"/>
      <c r="Y282" s="686"/>
      <c r="Z282" s="686"/>
      <c r="AA282" s="686"/>
      <c r="AB282" s="686"/>
      <c r="AC282" s="686"/>
      <c r="AD282" s="686"/>
      <c r="AE282" s="686"/>
      <c r="AF282" s="686"/>
    </row>
    <row r="283" ht="15.75" customHeight="1">
      <c r="A283" s="683"/>
      <c r="B283" s="683"/>
      <c r="C283" s="684"/>
      <c r="D283" s="684"/>
      <c r="E283" s="684"/>
      <c r="F283" s="683"/>
      <c r="G283" s="683"/>
      <c r="H283" s="683"/>
      <c r="I283" s="683"/>
      <c r="J283" s="683"/>
      <c r="K283" s="683"/>
      <c r="L283" s="685"/>
      <c r="M283" s="685"/>
      <c r="N283" s="685"/>
      <c r="O283" s="683"/>
      <c r="P283" s="683"/>
      <c r="Q283" s="686"/>
      <c r="R283" s="686"/>
      <c r="S283" s="686"/>
      <c r="T283" s="686"/>
      <c r="U283" s="686"/>
      <c r="V283" s="686"/>
      <c r="W283" s="686"/>
      <c r="X283" s="686"/>
      <c r="Y283" s="686"/>
      <c r="Z283" s="686"/>
      <c r="AA283" s="686"/>
      <c r="AB283" s="686"/>
      <c r="AC283" s="686"/>
      <c r="AD283" s="686"/>
      <c r="AE283" s="686"/>
      <c r="AF283" s="686"/>
    </row>
    <row r="284" ht="15.75" customHeight="1">
      <c r="A284" s="683"/>
      <c r="B284" s="683"/>
      <c r="C284" s="684"/>
      <c r="D284" s="684"/>
      <c r="E284" s="684"/>
      <c r="F284" s="683"/>
      <c r="G284" s="683"/>
      <c r="H284" s="683"/>
      <c r="I284" s="683"/>
      <c r="J284" s="683"/>
      <c r="K284" s="683"/>
      <c r="L284" s="685"/>
      <c r="M284" s="685"/>
      <c r="N284" s="685"/>
      <c r="O284" s="683"/>
      <c r="P284" s="683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86"/>
      <c r="AB284" s="686"/>
      <c r="AC284" s="686"/>
      <c r="AD284" s="686"/>
      <c r="AE284" s="686"/>
      <c r="AF284" s="686"/>
    </row>
    <row r="285" ht="15.75" customHeight="1">
      <c r="A285" s="683"/>
      <c r="B285" s="683"/>
      <c r="C285" s="684"/>
      <c r="D285" s="684"/>
      <c r="E285" s="684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P285" s="683"/>
      <c r="Q285" s="686"/>
      <c r="R285" s="686"/>
      <c r="S285" s="686"/>
      <c r="T285" s="686"/>
      <c r="U285" s="686"/>
      <c r="V285" s="686"/>
      <c r="W285" s="686"/>
      <c r="X285" s="686"/>
      <c r="Y285" s="686"/>
      <c r="Z285" s="686"/>
      <c r="AA285" s="686"/>
      <c r="AB285" s="686"/>
      <c r="AC285" s="686"/>
      <c r="AD285" s="686"/>
      <c r="AE285" s="686"/>
      <c r="AF285" s="686"/>
    </row>
    <row r="286" ht="15.75" customHeight="1">
      <c r="A286" s="683"/>
      <c r="B286" s="683"/>
      <c r="C286" s="684"/>
      <c r="D286" s="684"/>
      <c r="E286" s="684"/>
      <c r="F286" s="683"/>
      <c r="G286" s="683"/>
      <c r="H286" s="683"/>
      <c r="I286" s="683"/>
      <c r="J286" s="683"/>
      <c r="K286" s="683"/>
      <c r="L286" s="685"/>
      <c r="M286" s="685"/>
      <c r="N286" s="685"/>
      <c r="O286" s="683"/>
      <c r="P286" s="683"/>
      <c r="Q286" s="686"/>
      <c r="R286" s="686"/>
      <c r="S286" s="686"/>
      <c r="T286" s="686"/>
      <c r="U286" s="686"/>
      <c r="V286" s="686"/>
      <c r="W286" s="686"/>
      <c r="X286" s="686"/>
      <c r="Y286" s="686"/>
      <c r="Z286" s="686"/>
      <c r="AA286" s="686"/>
      <c r="AB286" s="686"/>
      <c r="AC286" s="686"/>
      <c r="AD286" s="686"/>
      <c r="AE286" s="686"/>
      <c r="AF286" s="686"/>
    </row>
    <row r="287" ht="15.75" customHeight="1">
      <c r="A287" s="683"/>
      <c r="B287" s="683"/>
      <c r="C287" s="684"/>
      <c r="D287" s="684"/>
      <c r="E287" s="684"/>
      <c r="F287" s="683"/>
      <c r="G287" s="683"/>
      <c r="H287" s="683"/>
      <c r="I287" s="683"/>
      <c r="J287" s="683"/>
      <c r="K287" s="683"/>
      <c r="L287" s="685"/>
      <c r="M287" s="685"/>
      <c r="N287" s="685"/>
      <c r="O287" s="683"/>
      <c r="P287" s="683"/>
      <c r="Q287" s="686"/>
      <c r="R287" s="686"/>
      <c r="S287" s="686"/>
      <c r="T287" s="686"/>
      <c r="U287" s="686"/>
      <c r="V287" s="686"/>
      <c r="W287" s="686"/>
      <c r="X287" s="686"/>
      <c r="Y287" s="686"/>
      <c r="Z287" s="686"/>
      <c r="AA287" s="686"/>
      <c r="AB287" s="686"/>
      <c r="AC287" s="686"/>
      <c r="AD287" s="686"/>
      <c r="AE287" s="686"/>
      <c r="AF287" s="686"/>
    </row>
    <row r="288" ht="15.75" customHeight="1">
      <c r="A288" s="683"/>
      <c r="B288" s="683"/>
      <c r="C288" s="684"/>
      <c r="D288" s="684"/>
      <c r="E288" s="684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P288" s="683"/>
      <c r="Q288" s="686"/>
      <c r="R288" s="686"/>
      <c r="S288" s="686"/>
      <c r="T288" s="686"/>
      <c r="U288" s="686"/>
      <c r="V288" s="686"/>
      <c r="W288" s="686"/>
      <c r="X288" s="686"/>
      <c r="Y288" s="686"/>
      <c r="Z288" s="686"/>
      <c r="AA288" s="686"/>
      <c r="AB288" s="686"/>
      <c r="AC288" s="686"/>
      <c r="AD288" s="686"/>
      <c r="AE288" s="686"/>
      <c r="AF288" s="686"/>
    </row>
    <row r="289" ht="15.75" customHeight="1">
      <c r="A289" s="683"/>
      <c r="B289" s="683"/>
      <c r="C289" s="684"/>
      <c r="D289" s="684"/>
      <c r="E289" s="684"/>
      <c r="F289" s="683"/>
      <c r="G289" s="683"/>
      <c r="H289" s="683"/>
      <c r="I289" s="683"/>
      <c r="J289" s="683"/>
      <c r="K289" s="683"/>
      <c r="L289" s="685"/>
      <c r="M289" s="685"/>
      <c r="N289" s="685"/>
      <c r="O289" s="683"/>
      <c r="P289" s="683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86"/>
      <c r="AB289" s="686"/>
      <c r="AC289" s="686"/>
      <c r="AD289" s="686"/>
      <c r="AE289" s="686"/>
      <c r="AF289" s="686"/>
    </row>
    <row r="290" ht="15.75" customHeight="1">
      <c r="A290" s="683"/>
      <c r="B290" s="683"/>
      <c r="C290" s="684"/>
      <c r="D290" s="684"/>
      <c r="E290" s="684"/>
      <c r="F290" s="683"/>
      <c r="G290" s="683"/>
      <c r="H290" s="683"/>
      <c r="I290" s="683"/>
      <c r="J290" s="683"/>
      <c r="K290" s="683"/>
      <c r="L290" s="685"/>
      <c r="M290" s="685"/>
      <c r="N290" s="685"/>
      <c r="O290" s="683"/>
      <c r="P290" s="683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86"/>
      <c r="AB290" s="686"/>
      <c r="AC290" s="686"/>
      <c r="AD290" s="686"/>
      <c r="AE290" s="686"/>
      <c r="AF290" s="686"/>
    </row>
    <row r="291" ht="15.75" customHeight="1">
      <c r="A291" s="683"/>
      <c r="B291" s="683"/>
      <c r="C291" s="684"/>
      <c r="D291" s="684"/>
      <c r="E291" s="684"/>
      <c r="F291" s="683"/>
      <c r="G291" s="683"/>
      <c r="H291" s="683"/>
      <c r="I291" s="683"/>
      <c r="J291" s="683"/>
      <c r="K291" s="683"/>
      <c r="L291" s="685"/>
      <c r="M291" s="685"/>
      <c r="N291" s="685"/>
      <c r="O291" s="683"/>
      <c r="P291" s="683"/>
      <c r="Q291" s="686"/>
      <c r="R291" s="686"/>
      <c r="S291" s="686"/>
      <c r="T291" s="686"/>
      <c r="U291" s="686"/>
      <c r="V291" s="686"/>
      <c r="W291" s="686"/>
      <c r="X291" s="686"/>
      <c r="Y291" s="686"/>
      <c r="Z291" s="686"/>
      <c r="AA291" s="686"/>
      <c r="AB291" s="686"/>
      <c r="AC291" s="686"/>
      <c r="AD291" s="686"/>
      <c r="AE291" s="686"/>
      <c r="AF291" s="686"/>
    </row>
    <row r="292" ht="15.75" customHeight="1">
      <c r="A292" s="683"/>
      <c r="B292" s="683"/>
      <c r="C292" s="684"/>
      <c r="D292" s="684"/>
      <c r="E292" s="684"/>
      <c r="F292" s="683"/>
      <c r="G292" s="683"/>
      <c r="H292" s="683"/>
      <c r="I292" s="683"/>
      <c r="J292" s="683"/>
      <c r="K292" s="683"/>
      <c r="L292" s="685"/>
      <c r="M292" s="685"/>
      <c r="N292" s="685"/>
      <c r="O292" s="683"/>
      <c r="P292" s="683"/>
      <c r="Q292" s="686"/>
      <c r="R292" s="686"/>
      <c r="S292" s="686"/>
      <c r="T292" s="686"/>
      <c r="U292" s="686"/>
      <c r="V292" s="686"/>
      <c r="W292" s="686"/>
      <c r="X292" s="686"/>
      <c r="Y292" s="686"/>
      <c r="Z292" s="686"/>
      <c r="AA292" s="686"/>
      <c r="AB292" s="686"/>
      <c r="AC292" s="686"/>
      <c r="AD292" s="686"/>
      <c r="AE292" s="686"/>
      <c r="AF292" s="686"/>
    </row>
    <row r="293" ht="15.75" customHeight="1">
      <c r="A293" s="683"/>
      <c r="B293" s="683"/>
      <c r="C293" s="684"/>
      <c r="D293" s="684"/>
      <c r="E293" s="684"/>
      <c r="F293" s="683"/>
      <c r="G293" s="683"/>
      <c r="H293" s="683"/>
      <c r="I293" s="683"/>
      <c r="J293" s="683"/>
      <c r="K293" s="683"/>
      <c r="L293" s="685"/>
      <c r="M293" s="685"/>
      <c r="N293" s="685"/>
      <c r="O293" s="683"/>
      <c r="P293" s="683"/>
      <c r="Q293" s="686"/>
      <c r="R293" s="686"/>
      <c r="S293" s="686"/>
      <c r="T293" s="686"/>
      <c r="U293" s="686"/>
      <c r="V293" s="686"/>
      <c r="W293" s="686"/>
      <c r="X293" s="686"/>
      <c r="Y293" s="686"/>
      <c r="Z293" s="686"/>
      <c r="AA293" s="686"/>
      <c r="AB293" s="686"/>
      <c r="AC293" s="686"/>
      <c r="AD293" s="686"/>
      <c r="AE293" s="686"/>
      <c r="AF293" s="686"/>
    </row>
    <row r="294" ht="15.75" customHeight="1">
      <c r="A294" s="683"/>
      <c r="B294" s="683"/>
      <c r="C294" s="684"/>
      <c r="D294" s="684"/>
      <c r="E294" s="684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P294" s="683"/>
      <c r="Q294" s="686"/>
      <c r="R294" s="686"/>
      <c r="S294" s="686"/>
      <c r="T294" s="686"/>
      <c r="U294" s="686"/>
      <c r="V294" s="686"/>
      <c r="W294" s="686"/>
      <c r="X294" s="686"/>
      <c r="Y294" s="686"/>
      <c r="Z294" s="686"/>
      <c r="AA294" s="686"/>
      <c r="AB294" s="686"/>
      <c r="AC294" s="686"/>
      <c r="AD294" s="686"/>
      <c r="AE294" s="686"/>
      <c r="AF294" s="686"/>
    </row>
    <row r="295" ht="15.75" customHeight="1">
      <c r="A295" s="683"/>
      <c r="B295" s="683"/>
      <c r="C295" s="684"/>
      <c r="D295" s="684"/>
      <c r="E295" s="684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P295" s="683"/>
      <c r="Q295" s="686"/>
      <c r="R295" s="686"/>
      <c r="S295" s="686"/>
      <c r="T295" s="686"/>
      <c r="U295" s="686"/>
      <c r="V295" s="686"/>
      <c r="W295" s="686"/>
      <c r="X295" s="686"/>
      <c r="Y295" s="686"/>
      <c r="Z295" s="686"/>
      <c r="AA295" s="686"/>
      <c r="AB295" s="686"/>
      <c r="AC295" s="686"/>
      <c r="AD295" s="686"/>
      <c r="AE295" s="686"/>
      <c r="AF295" s="686"/>
    </row>
    <row r="296" ht="15.75" customHeight="1">
      <c r="A296" s="683"/>
      <c r="B296" s="683"/>
      <c r="C296" s="684"/>
      <c r="D296" s="684"/>
      <c r="E296" s="684"/>
      <c r="F296" s="683"/>
      <c r="G296" s="683"/>
      <c r="H296" s="683"/>
      <c r="I296" s="683"/>
      <c r="J296" s="683"/>
      <c r="K296" s="683"/>
      <c r="L296" s="685"/>
      <c r="M296" s="685"/>
      <c r="N296" s="685"/>
      <c r="O296" s="683"/>
      <c r="P296" s="683"/>
      <c r="Q296" s="686"/>
      <c r="R296" s="686"/>
      <c r="S296" s="686"/>
      <c r="T296" s="686"/>
      <c r="U296" s="686"/>
      <c r="V296" s="686"/>
      <c r="W296" s="686"/>
      <c r="X296" s="686"/>
      <c r="Y296" s="686"/>
      <c r="Z296" s="686"/>
      <c r="AA296" s="686"/>
      <c r="AB296" s="686"/>
      <c r="AC296" s="686"/>
      <c r="AD296" s="686"/>
      <c r="AE296" s="686"/>
      <c r="AF296" s="686"/>
    </row>
    <row r="297" ht="15.75" customHeight="1">
      <c r="A297" s="683"/>
      <c r="B297" s="683"/>
      <c r="C297" s="684"/>
      <c r="D297" s="684"/>
      <c r="E297" s="684"/>
      <c r="F297" s="683"/>
      <c r="G297" s="683"/>
      <c r="H297" s="683"/>
      <c r="I297" s="683"/>
      <c r="J297" s="683"/>
      <c r="K297" s="683"/>
      <c r="L297" s="685"/>
      <c r="M297" s="685"/>
      <c r="N297" s="685"/>
      <c r="O297" s="683"/>
      <c r="P297" s="683"/>
      <c r="Q297" s="686"/>
      <c r="R297" s="686"/>
      <c r="S297" s="686"/>
      <c r="T297" s="686"/>
      <c r="U297" s="686"/>
      <c r="V297" s="686"/>
      <c r="W297" s="686"/>
      <c r="X297" s="686"/>
      <c r="Y297" s="686"/>
      <c r="Z297" s="686"/>
      <c r="AA297" s="686"/>
      <c r="AB297" s="686"/>
      <c r="AC297" s="686"/>
      <c r="AD297" s="686"/>
      <c r="AE297" s="686"/>
      <c r="AF297" s="686"/>
    </row>
    <row r="298" ht="15.75" customHeight="1">
      <c r="A298" s="683"/>
      <c r="B298" s="683"/>
      <c r="C298" s="684"/>
      <c r="D298" s="684"/>
      <c r="E298" s="684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P298" s="683"/>
      <c r="Q298" s="686"/>
      <c r="R298" s="686"/>
      <c r="S298" s="686"/>
      <c r="T298" s="686"/>
      <c r="U298" s="686"/>
      <c r="V298" s="686"/>
      <c r="W298" s="686"/>
      <c r="X298" s="686"/>
      <c r="Y298" s="686"/>
      <c r="Z298" s="686"/>
      <c r="AA298" s="686"/>
      <c r="AB298" s="686"/>
      <c r="AC298" s="686"/>
      <c r="AD298" s="686"/>
      <c r="AE298" s="686"/>
      <c r="AF298" s="686"/>
    </row>
    <row r="299" ht="15.75" customHeight="1">
      <c r="A299" s="683"/>
      <c r="B299" s="683"/>
      <c r="C299" s="684"/>
      <c r="D299" s="684"/>
      <c r="E299" s="684"/>
      <c r="F299" s="683"/>
      <c r="G299" s="683"/>
      <c r="H299" s="683"/>
      <c r="I299" s="683"/>
      <c r="J299" s="683"/>
      <c r="K299" s="683"/>
      <c r="L299" s="685"/>
      <c r="M299" s="685"/>
      <c r="N299" s="685"/>
      <c r="O299" s="683"/>
      <c r="P299" s="683"/>
      <c r="Q299" s="686"/>
      <c r="R299" s="686"/>
      <c r="S299" s="686"/>
      <c r="T299" s="686"/>
      <c r="U299" s="686"/>
      <c r="V299" s="686"/>
      <c r="W299" s="686"/>
      <c r="X299" s="686"/>
      <c r="Y299" s="686"/>
      <c r="Z299" s="686"/>
      <c r="AA299" s="686"/>
      <c r="AB299" s="686"/>
      <c r="AC299" s="686"/>
      <c r="AD299" s="686"/>
      <c r="AE299" s="686"/>
      <c r="AF299" s="686"/>
    </row>
    <row r="300" ht="15.75" customHeight="1">
      <c r="A300" s="683"/>
      <c r="B300" s="683"/>
      <c r="C300" s="684"/>
      <c r="D300" s="684"/>
      <c r="E300" s="684"/>
      <c r="F300" s="683"/>
      <c r="G300" s="683"/>
      <c r="H300" s="683"/>
      <c r="I300" s="683"/>
      <c r="J300" s="683"/>
      <c r="K300" s="683"/>
      <c r="L300" s="685"/>
      <c r="M300" s="685"/>
      <c r="N300" s="685"/>
      <c r="O300" s="683"/>
      <c r="P300" s="683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86"/>
      <c r="AB300" s="686"/>
      <c r="AC300" s="686"/>
      <c r="AD300" s="686"/>
      <c r="AE300" s="686"/>
      <c r="AF300" s="686"/>
    </row>
    <row r="301" ht="15.75" customHeight="1">
      <c r="A301" s="683"/>
      <c r="B301" s="683"/>
      <c r="C301" s="684"/>
      <c r="D301" s="684"/>
      <c r="E301" s="684"/>
      <c r="F301" s="683"/>
      <c r="G301" s="683"/>
      <c r="H301" s="683"/>
      <c r="I301" s="683"/>
      <c r="J301" s="683"/>
      <c r="K301" s="683"/>
      <c r="L301" s="685"/>
      <c r="M301" s="685"/>
      <c r="N301" s="685"/>
      <c r="O301" s="683"/>
      <c r="P301" s="683"/>
      <c r="Q301" s="686"/>
      <c r="R301" s="686"/>
      <c r="S301" s="686"/>
      <c r="T301" s="686"/>
      <c r="U301" s="686"/>
      <c r="V301" s="686"/>
      <c r="W301" s="686"/>
      <c r="X301" s="686"/>
      <c r="Y301" s="686"/>
      <c r="Z301" s="686"/>
      <c r="AA301" s="686"/>
      <c r="AB301" s="686"/>
      <c r="AC301" s="686"/>
      <c r="AD301" s="686"/>
      <c r="AE301" s="686"/>
      <c r="AF301" s="686"/>
    </row>
    <row r="302" ht="15.75" customHeight="1">
      <c r="A302" s="683"/>
      <c r="B302" s="683"/>
      <c r="C302" s="684"/>
      <c r="D302" s="684"/>
      <c r="E302" s="684"/>
      <c r="F302" s="683"/>
      <c r="G302" s="683"/>
      <c r="H302" s="683"/>
      <c r="I302" s="683"/>
      <c r="J302" s="683"/>
      <c r="K302" s="683"/>
      <c r="L302" s="685"/>
      <c r="M302" s="685"/>
      <c r="N302" s="685"/>
      <c r="O302" s="683"/>
      <c r="P302" s="683"/>
      <c r="Q302" s="686"/>
      <c r="R302" s="686"/>
      <c r="S302" s="686"/>
      <c r="T302" s="686"/>
      <c r="U302" s="686"/>
      <c r="V302" s="686"/>
      <c r="W302" s="686"/>
      <c r="X302" s="686"/>
      <c r="Y302" s="686"/>
      <c r="Z302" s="686"/>
      <c r="AA302" s="686"/>
      <c r="AB302" s="686"/>
      <c r="AC302" s="686"/>
      <c r="AD302" s="686"/>
      <c r="AE302" s="686"/>
      <c r="AF302" s="686"/>
    </row>
    <row r="303" ht="15.75" customHeight="1">
      <c r="A303" s="683"/>
      <c r="B303" s="683"/>
      <c r="C303" s="684"/>
      <c r="D303" s="684"/>
      <c r="E303" s="684"/>
      <c r="F303" s="683"/>
      <c r="G303" s="683"/>
      <c r="H303" s="683"/>
      <c r="I303" s="683"/>
      <c r="J303" s="683"/>
      <c r="K303" s="683"/>
      <c r="L303" s="685"/>
      <c r="M303" s="685"/>
      <c r="N303" s="685"/>
      <c r="O303" s="683"/>
      <c r="P303" s="683"/>
      <c r="Q303" s="686"/>
      <c r="R303" s="686"/>
      <c r="S303" s="686"/>
      <c r="T303" s="686"/>
      <c r="U303" s="686"/>
      <c r="V303" s="686"/>
      <c r="W303" s="686"/>
      <c r="X303" s="686"/>
      <c r="Y303" s="686"/>
      <c r="Z303" s="686"/>
      <c r="AA303" s="686"/>
      <c r="AB303" s="686"/>
      <c r="AC303" s="686"/>
      <c r="AD303" s="686"/>
      <c r="AE303" s="686"/>
      <c r="AF303" s="686"/>
    </row>
    <row r="304" ht="15.75" customHeight="1">
      <c r="A304" s="683"/>
      <c r="B304" s="683"/>
      <c r="C304" s="684"/>
      <c r="D304" s="684"/>
      <c r="E304" s="684"/>
      <c r="F304" s="683"/>
      <c r="G304" s="683"/>
      <c r="H304" s="683"/>
      <c r="I304" s="683"/>
      <c r="J304" s="683"/>
      <c r="K304" s="683"/>
      <c r="L304" s="685"/>
      <c r="M304" s="685"/>
      <c r="N304" s="685"/>
      <c r="O304" s="683"/>
      <c r="P304" s="683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86"/>
      <c r="AB304" s="686"/>
      <c r="AC304" s="686"/>
      <c r="AD304" s="686"/>
      <c r="AE304" s="686"/>
      <c r="AF304" s="686"/>
    </row>
    <row r="305" ht="15.75" customHeight="1">
      <c r="A305" s="683"/>
      <c r="B305" s="683"/>
      <c r="C305" s="684"/>
      <c r="D305" s="684"/>
      <c r="E305" s="684"/>
      <c r="F305" s="683"/>
      <c r="G305" s="683"/>
      <c r="H305" s="683"/>
      <c r="I305" s="683"/>
      <c r="J305" s="683"/>
      <c r="K305" s="683"/>
      <c r="L305" s="685"/>
      <c r="M305" s="685"/>
      <c r="N305" s="685"/>
      <c r="O305" s="683"/>
      <c r="P305" s="683"/>
      <c r="Q305" s="686"/>
      <c r="R305" s="686"/>
      <c r="S305" s="686"/>
      <c r="T305" s="686"/>
      <c r="U305" s="686"/>
      <c r="V305" s="686"/>
      <c r="W305" s="686"/>
      <c r="X305" s="686"/>
      <c r="Y305" s="686"/>
      <c r="Z305" s="686"/>
      <c r="AA305" s="686"/>
      <c r="AB305" s="686"/>
      <c r="AC305" s="686"/>
      <c r="AD305" s="686"/>
      <c r="AE305" s="686"/>
      <c r="AF305" s="686"/>
    </row>
    <row r="306" ht="15.75" customHeight="1">
      <c r="A306" s="683"/>
      <c r="B306" s="683"/>
      <c r="C306" s="684"/>
      <c r="D306" s="684"/>
      <c r="E306" s="684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P306" s="683"/>
      <c r="Q306" s="686"/>
      <c r="R306" s="686"/>
      <c r="S306" s="686"/>
      <c r="T306" s="686"/>
      <c r="U306" s="686"/>
      <c r="V306" s="686"/>
      <c r="W306" s="686"/>
      <c r="X306" s="686"/>
      <c r="Y306" s="686"/>
      <c r="Z306" s="686"/>
      <c r="AA306" s="686"/>
      <c r="AB306" s="686"/>
      <c r="AC306" s="686"/>
      <c r="AD306" s="686"/>
      <c r="AE306" s="686"/>
      <c r="AF306" s="686"/>
    </row>
    <row r="307" ht="15.75" customHeight="1">
      <c r="A307" s="683"/>
      <c r="B307" s="683"/>
      <c r="C307" s="684"/>
      <c r="D307" s="684"/>
      <c r="E307" s="684"/>
      <c r="F307" s="683"/>
      <c r="G307" s="683"/>
      <c r="H307" s="683"/>
      <c r="I307" s="683"/>
      <c r="J307" s="683"/>
      <c r="K307" s="683"/>
      <c r="L307" s="685"/>
      <c r="M307" s="685"/>
      <c r="N307" s="685"/>
      <c r="O307" s="683"/>
      <c r="P307" s="683"/>
      <c r="Q307" s="686"/>
      <c r="R307" s="686"/>
      <c r="S307" s="686"/>
      <c r="T307" s="686"/>
      <c r="U307" s="686"/>
      <c r="V307" s="686"/>
      <c r="W307" s="686"/>
      <c r="X307" s="686"/>
      <c r="Y307" s="686"/>
      <c r="Z307" s="686"/>
      <c r="AA307" s="686"/>
      <c r="AB307" s="686"/>
      <c r="AC307" s="686"/>
      <c r="AD307" s="686"/>
      <c r="AE307" s="686"/>
      <c r="AF307" s="686"/>
    </row>
    <row r="308" ht="15.75" customHeight="1">
      <c r="A308" s="683"/>
      <c r="B308" s="683"/>
      <c r="C308" s="684"/>
      <c r="D308" s="684"/>
      <c r="E308" s="684"/>
      <c r="F308" s="683"/>
      <c r="G308" s="683"/>
      <c r="H308" s="683"/>
      <c r="I308" s="683"/>
      <c r="J308" s="683"/>
      <c r="K308" s="683"/>
      <c r="L308" s="685"/>
      <c r="M308" s="685"/>
      <c r="N308" s="685"/>
      <c r="O308" s="683"/>
      <c r="P308" s="683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86"/>
      <c r="AB308" s="686"/>
      <c r="AC308" s="686"/>
      <c r="AD308" s="686"/>
      <c r="AE308" s="686"/>
      <c r="AF308" s="686"/>
    </row>
    <row r="309" ht="15.75" customHeight="1">
      <c r="A309" s="683"/>
      <c r="B309" s="683"/>
      <c r="C309" s="684"/>
      <c r="D309" s="684"/>
      <c r="E309" s="684"/>
      <c r="F309" s="683"/>
      <c r="G309" s="683"/>
      <c r="H309" s="683"/>
      <c r="I309" s="683"/>
      <c r="J309" s="683"/>
      <c r="K309" s="683"/>
      <c r="L309" s="685"/>
      <c r="M309" s="685"/>
      <c r="N309" s="685"/>
      <c r="O309" s="683"/>
      <c r="P309" s="683"/>
      <c r="Q309" s="686"/>
      <c r="R309" s="686"/>
      <c r="S309" s="686"/>
      <c r="T309" s="686"/>
      <c r="U309" s="686"/>
      <c r="V309" s="686"/>
      <c r="W309" s="686"/>
      <c r="X309" s="686"/>
      <c r="Y309" s="686"/>
      <c r="Z309" s="686"/>
      <c r="AA309" s="686"/>
      <c r="AB309" s="686"/>
      <c r="AC309" s="686"/>
      <c r="AD309" s="686"/>
      <c r="AE309" s="686"/>
      <c r="AF309" s="686"/>
    </row>
    <row r="310" ht="15.75" customHeight="1">
      <c r="A310" s="683"/>
      <c r="B310" s="683"/>
      <c r="C310" s="684"/>
      <c r="D310" s="684"/>
      <c r="E310" s="684"/>
      <c r="F310" s="683"/>
      <c r="G310" s="683"/>
      <c r="H310" s="683"/>
      <c r="I310" s="683"/>
      <c r="J310" s="683"/>
      <c r="K310" s="683"/>
      <c r="L310" s="685"/>
      <c r="M310" s="685"/>
      <c r="N310" s="685"/>
      <c r="O310" s="683"/>
      <c r="P310" s="683"/>
      <c r="Q310" s="686"/>
      <c r="R310" s="686"/>
      <c r="S310" s="686"/>
      <c r="T310" s="686"/>
      <c r="U310" s="686"/>
      <c r="V310" s="686"/>
      <c r="W310" s="686"/>
      <c r="X310" s="686"/>
      <c r="Y310" s="686"/>
      <c r="Z310" s="686"/>
      <c r="AA310" s="686"/>
      <c r="AB310" s="686"/>
      <c r="AC310" s="686"/>
      <c r="AD310" s="686"/>
      <c r="AE310" s="686"/>
      <c r="AF310" s="686"/>
    </row>
    <row r="311" ht="15.75" customHeight="1">
      <c r="A311" s="683"/>
      <c r="B311" s="683"/>
      <c r="C311" s="684"/>
      <c r="D311" s="684"/>
      <c r="E311" s="684"/>
      <c r="F311" s="683"/>
      <c r="G311" s="683"/>
      <c r="H311" s="683"/>
      <c r="I311" s="683"/>
      <c r="J311" s="683"/>
      <c r="K311" s="683"/>
      <c r="L311" s="690"/>
      <c r="M311" s="690"/>
      <c r="N311" s="690"/>
      <c r="O311" s="683"/>
      <c r="P311" s="683"/>
      <c r="Q311" s="686"/>
      <c r="R311" s="686"/>
      <c r="S311" s="686"/>
      <c r="T311" s="686"/>
      <c r="U311" s="686"/>
      <c r="V311" s="686"/>
      <c r="W311" s="686"/>
      <c r="X311" s="686"/>
      <c r="Y311" s="686"/>
      <c r="Z311" s="686"/>
      <c r="AA311" s="686"/>
      <c r="AB311" s="686"/>
      <c r="AC311" s="686"/>
      <c r="AD311" s="686"/>
      <c r="AE311" s="686"/>
      <c r="AF311" s="686"/>
    </row>
    <row r="312" ht="15.75" customHeight="1">
      <c r="A312" s="683"/>
      <c r="B312" s="683"/>
      <c r="C312" s="684"/>
      <c r="D312" s="684"/>
      <c r="E312" s="684"/>
      <c r="F312" s="683"/>
      <c r="G312" s="683"/>
      <c r="H312" s="683"/>
      <c r="I312" s="683"/>
      <c r="J312" s="683"/>
      <c r="K312" s="683"/>
      <c r="L312" s="685"/>
      <c r="M312" s="685"/>
      <c r="N312" s="685"/>
      <c r="O312" s="683"/>
      <c r="P312" s="683"/>
      <c r="Q312" s="686"/>
      <c r="R312" s="686"/>
      <c r="S312" s="686"/>
      <c r="T312" s="686"/>
      <c r="U312" s="686"/>
      <c r="V312" s="686"/>
      <c r="W312" s="686"/>
      <c r="X312" s="686"/>
      <c r="Y312" s="686"/>
      <c r="Z312" s="686"/>
      <c r="AA312" s="686"/>
      <c r="AB312" s="686"/>
      <c r="AC312" s="686"/>
      <c r="AD312" s="686"/>
      <c r="AE312" s="686"/>
      <c r="AF312" s="686"/>
    </row>
    <row r="313" ht="15.75" customHeight="1">
      <c r="A313" s="683"/>
      <c r="B313" s="683"/>
      <c r="C313" s="684"/>
      <c r="D313" s="684"/>
      <c r="E313" s="684"/>
      <c r="F313" s="683"/>
      <c r="G313" s="683"/>
      <c r="H313" s="683"/>
      <c r="I313" s="683"/>
      <c r="J313" s="683"/>
      <c r="K313" s="683"/>
      <c r="L313" s="685"/>
      <c r="M313" s="685"/>
      <c r="N313" s="685"/>
      <c r="O313" s="683"/>
      <c r="P313" s="683"/>
      <c r="Q313" s="686"/>
      <c r="R313" s="686"/>
      <c r="S313" s="686"/>
      <c r="T313" s="686"/>
      <c r="U313" s="686"/>
      <c r="V313" s="686"/>
      <c r="W313" s="686"/>
      <c r="X313" s="686"/>
      <c r="Y313" s="686"/>
      <c r="Z313" s="686"/>
      <c r="AA313" s="686"/>
      <c r="AB313" s="686"/>
      <c r="AC313" s="686"/>
      <c r="AD313" s="686"/>
      <c r="AE313" s="686"/>
      <c r="AF313" s="686"/>
    </row>
    <row r="314" ht="15.75" customHeight="1">
      <c r="A314" s="683"/>
      <c r="B314" s="683"/>
      <c r="C314" s="684"/>
      <c r="D314" s="684"/>
      <c r="E314" s="684"/>
      <c r="F314" s="683"/>
      <c r="G314" s="683"/>
      <c r="H314" s="683"/>
      <c r="I314" s="683"/>
      <c r="J314" s="683"/>
      <c r="K314" s="683"/>
      <c r="L314" s="685"/>
      <c r="M314" s="685"/>
      <c r="N314" s="685"/>
      <c r="O314" s="683"/>
      <c r="P314" s="683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86"/>
      <c r="AB314" s="686"/>
      <c r="AC314" s="686"/>
      <c r="AD314" s="686"/>
      <c r="AE314" s="686"/>
      <c r="AF314" s="686"/>
    </row>
    <row r="315" ht="15.75" customHeight="1">
      <c r="A315" s="683"/>
      <c r="B315" s="683"/>
      <c r="C315" s="684"/>
      <c r="D315" s="684"/>
      <c r="E315" s="684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P315" s="683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86"/>
      <c r="AB315" s="686"/>
      <c r="AC315" s="686"/>
      <c r="AD315" s="686"/>
      <c r="AE315" s="686"/>
      <c r="AF315" s="686"/>
    </row>
    <row r="316" ht="15.75" customHeight="1">
      <c r="A316" s="683"/>
      <c r="B316" s="683"/>
      <c r="C316" s="684"/>
      <c r="D316" s="684"/>
      <c r="E316" s="684"/>
      <c r="F316" s="683"/>
      <c r="G316" s="683"/>
      <c r="H316" s="683"/>
      <c r="I316" s="683"/>
      <c r="J316" s="683"/>
      <c r="K316" s="683"/>
      <c r="L316" s="685"/>
      <c r="M316" s="685"/>
      <c r="N316" s="685"/>
      <c r="O316" s="683"/>
      <c r="P316" s="683"/>
      <c r="Q316" s="686"/>
      <c r="R316" s="686"/>
      <c r="S316" s="686"/>
      <c r="T316" s="686"/>
      <c r="U316" s="686"/>
      <c r="V316" s="686"/>
      <c r="W316" s="686"/>
      <c r="X316" s="686"/>
      <c r="Y316" s="686"/>
      <c r="Z316" s="686"/>
      <c r="AA316" s="686"/>
      <c r="AB316" s="686"/>
      <c r="AC316" s="686"/>
      <c r="AD316" s="686"/>
      <c r="AE316" s="686"/>
      <c r="AF316" s="686"/>
    </row>
    <row r="317" ht="15.75" customHeight="1">
      <c r="A317" s="683"/>
      <c r="B317" s="683"/>
      <c r="C317" s="684"/>
      <c r="D317" s="684"/>
      <c r="E317" s="684"/>
      <c r="F317" s="683"/>
      <c r="G317" s="683"/>
      <c r="H317" s="683"/>
      <c r="I317" s="683"/>
      <c r="J317" s="683"/>
      <c r="K317" s="683"/>
      <c r="L317" s="685"/>
      <c r="M317" s="685"/>
      <c r="N317" s="685"/>
      <c r="O317" s="683"/>
      <c r="P317" s="683"/>
      <c r="Q317" s="686"/>
      <c r="R317" s="686"/>
      <c r="S317" s="686"/>
      <c r="T317" s="686"/>
      <c r="U317" s="686"/>
      <c r="V317" s="686"/>
      <c r="W317" s="686"/>
      <c r="X317" s="686"/>
      <c r="Y317" s="686"/>
      <c r="Z317" s="686"/>
      <c r="AA317" s="686"/>
      <c r="AB317" s="686"/>
      <c r="AC317" s="686"/>
      <c r="AD317" s="686"/>
      <c r="AE317" s="686"/>
      <c r="AF317" s="686"/>
    </row>
    <row r="318" ht="15.75" customHeight="1">
      <c r="A318" s="683"/>
      <c r="B318" s="683"/>
      <c r="C318" s="684"/>
      <c r="D318" s="684"/>
      <c r="E318" s="684"/>
      <c r="F318" s="683"/>
      <c r="G318" s="683"/>
      <c r="H318" s="683"/>
      <c r="I318" s="683"/>
      <c r="J318" s="683"/>
      <c r="K318" s="683"/>
      <c r="L318" s="685"/>
      <c r="M318" s="685"/>
      <c r="N318" s="685"/>
      <c r="O318" s="683"/>
      <c r="P318" s="683"/>
      <c r="Q318" s="686"/>
      <c r="R318" s="686"/>
      <c r="S318" s="686"/>
      <c r="T318" s="686"/>
      <c r="U318" s="686"/>
      <c r="V318" s="686"/>
      <c r="W318" s="686"/>
      <c r="X318" s="686"/>
      <c r="Y318" s="686"/>
      <c r="Z318" s="686"/>
      <c r="AA318" s="686"/>
      <c r="AB318" s="686"/>
      <c r="AC318" s="686"/>
      <c r="AD318" s="686"/>
      <c r="AE318" s="686"/>
      <c r="AF318" s="686"/>
    </row>
    <row r="319" ht="15.75" customHeight="1">
      <c r="A319" s="683"/>
      <c r="B319" s="683"/>
      <c r="C319" s="684"/>
      <c r="D319" s="684"/>
      <c r="E319" s="684"/>
      <c r="F319" s="683"/>
      <c r="G319" s="683"/>
      <c r="H319" s="683"/>
      <c r="I319" s="683"/>
      <c r="J319" s="683"/>
      <c r="K319" s="683"/>
      <c r="L319" s="685"/>
      <c r="M319" s="685"/>
      <c r="N319" s="685"/>
      <c r="O319" s="683"/>
      <c r="P319" s="683"/>
      <c r="Q319" s="686"/>
      <c r="R319" s="686"/>
      <c r="S319" s="686"/>
      <c r="T319" s="686"/>
      <c r="U319" s="686"/>
      <c r="V319" s="686"/>
      <c r="W319" s="686"/>
      <c r="X319" s="686"/>
      <c r="Y319" s="686"/>
      <c r="Z319" s="686"/>
      <c r="AA319" s="686"/>
      <c r="AB319" s="686"/>
      <c r="AC319" s="686"/>
      <c r="AD319" s="686"/>
      <c r="AE319" s="686"/>
      <c r="AF319" s="686"/>
    </row>
    <row r="320" ht="15.75" customHeight="1">
      <c r="A320" s="683"/>
      <c r="B320" s="683"/>
      <c r="C320" s="684"/>
      <c r="D320" s="684"/>
      <c r="E320" s="684"/>
      <c r="F320" s="683"/>
      <c r="G320" s="683"/>
      <c r="H320" s="683"/>
      <c r="I320" s="683"/>
      <c r="J320" s="683"/>
      <c r="K320" s="683"/>
      <c r="L320" s="683"/>
      <c r="M320" s="683"/>
      <c r="N320" s="683"/>
      <c r="O320" s="683"/>
      <c r="P320" s="683"/>
      <c r="Q320" s="686"/>
      <c r="R320" s="686"/>
      <c r="S320" s="686"/>
      <c r="T320" s="686"/>
      <c r="U320" s="686"/>
      <c r="V320" s="686"/>
      <c r="W320" s="686"/>
      <c r="X320" s="686"/>
      <c r="Y320" s="686"/>
      <c r="Z320" s="686"/>
      <c r="AA320" s="686"/>
      <c r="AB320" s="686"/>
      <c r="AC320" s="686"/>
      <c r="AD320" s="686"/>
      <c r="AE320" s="686"/>
      <c r="AF320" s="686"/>
    </row>
    <row r="321" ht="15.75" customHeight="1">
      <c r="A321" s="683"/>
      <c r="B321" s="683"/>
      <c r="C321" s="684"/>
      <c r="D321" s="684"/>
      <c r="E321" s="684"/>
      <c r="F321" s="683"/>
      <c r="G321" s="683"/>
      <c r="H321" s="683"/>
      <c r="I321" s="683"/>
      <c r="J321" s="683"/>
      <c r="K321" s="683"/>
      <c r="L321" s="685"/>
      <c r="M321" s="685"/>
      <c r="N321" s="685"/>
      <c r="O321" s="683"/>
      <c r="P321" s="683"/>
      <c r="Q321" s="686"/>
      <c r="R321" s="686"/>
      <c r="S321" s="686"/>
      <c r="T321" s="686"/>
      <c r="U321" s="686"/>
      <c r="V321" s="686"/>
      <c r="W321" s="686"/>
      <c r="X321" s="686"/>
      <c r="Y321" s="686"/>
      <c r="Z321" s="686"/>
      <c r="AA321" s="686"/>
      <c r="AB321" s="686"/>
      <c r="AC321" s="686"/>
      <c r="AD321" s="686"/>
      <c r="AE321" s="686"/>
      <c r="AF321" s="686"/>
    </row>
    <row r="322" ht="15.75" customHeight="1">
      <c r="A322" s="683"/>
      <c r="B322" s="683"/>
      <c r="C322" s="684"/>
      <c r="D322" s="684"/>
      <c r="E322" s="684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6"/>
      <c r="R322" s="686"/>
      <c r="S322" s="686"/>
      <c r="T322" s="686"/>
      <c r="U322" s="686"/>
      <c r="V322" s="686"/>
      <c r="W322" s="686"/>
      <c r="X322" s="686"/>
      <c r="Y322" s="686"/>
      <c r="Z322" s="686"/>
      <c r="AA322" s="686"/>
      <c r="AB322" s="686"/>
      <c r="AC322" s="686"/>
      <c r="AD322" s="686"/>
      <c r="AE322" s="686"/>
      <c r="AF322" s="686"/>
    </row>
    <row r="323" ht="15.75" customHeight="1">
      <c r="A323" s="683"/>
      <c r="B323" s="683"/>
      <c r="C323" s="684"/>
      <c r="D323" s="684"/>
      <c r="E323" s="684"/>
      <c r="F323" s="683"/>
      <c r="G323" s="683"/>
      <c r="H323" s="683"/>
      <c r="I323" s="683"/>
      <c r="J323" s="683"/>
      <c r="K323" s="683"/>
      <c r="L323" s="685"/>
      <c r="M323" s="685"/>
      <c r="N323" s="685"/>
      <c r="O323" s="683"/>
      <c r="P323" s="683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86"/>
      <c r="AB323" s="686"/>
      <c r="AC323" s="686"/>
      <c r="AD323" s="686"/>
      <c r="AE323" s="686"/>
      <c r="AF323" s="686"/>
    </row>
    <row r="324" ht="15.75" customHeight="1">
      <c r="A324" s="683"/>
      <c r="B324" s="683"/>
      <c r="C324" s="684"/>
      <c r="D324" s="684"/>
      <c r="E324" s="684"/>
      <c r="F324" s="683"/>
      <c r="G324" s="683"/>
      <c r="H324" s="683"/>
      <c r="I324" s="683"/>
      <c r="J324" s="683"/>
      <c r="K324" s="683"/>
      <c r="L324" s="685"/>
      <c r="M324" s="685"/>
      <c r="N324" s="685"/>
      <c r="O324" s="683"/>
      <c r="P324" s="683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86"/>
      <c r="AB324" s="686"/>
      <c r="AC324" s="686"/>
      <c r="AD324" s="686"/>
      <c r="AE324" s="686"/>
      <c r="AF324" s="686"/>
    </row>
    <row r="325" ht="15.75" customHeight="1">
      <c r="A325" s="683"/>
      <c r="B325" s="683"/>
      <c r="C325" s="684"/>
      <c r="D325" s="684"/>
      <c r="E325" s="684"/>
      <c r="F325" s="683"/>
      <c r="G325" s="683"/>
      <c r="H325" s="683"/>
      <c r="I325" s="683"/>
      <c r="J325" s="683"/>
      <c r="K325" s="683"/>
      <c r="L325" s="685"/>
      <c r="M325" s="685"/>
      <c r="N325" s="685"/>
      <c r="O325" s="683"/>
      <c r="P325" s="683"/>
      <c r="Q325" s="686"/>
      <c r="R325" s="686"/>
      <c r="S325" s="686"/>
      <c r="T325" s="686"/>
      <c r="U325" s="686"/>
      <c r="V325" s="686"/>
      <c r="W325" s="686"/>
      <c r="X325" s="686"/>
      <c r="Y325" s="686"/>
      <c r="Z325" s="686"/>
      <c r="AA325" s="686"/>
      <c r="AB325" s="686"/>
      <c r="AC325" s="686"/>
      <c r="AD325" s="686"/>
      <c r="AE325" s="686"/>
      <c r="AF325" s="686"/>
    </row>
    <row r="326" ht="15.75" customHeight="1">
      <c r="A326" s="683"/>
      <c r="B326" s="683"/>
      <c r="C326" s="684"/>
      <c r="D326" s="684"/>
      <c r="E326" s="684"/>
      <c r="F326" s="683"/>
      <c r="G326" s="683"/>
      <c r="H326" s="683"/>
      <c r="I326" s="683"/>
      <c r="J326" s="683"/>
      <c r="K326" s="683"/>
      <c r="L326" s="685"/>
      <c r="M326" s="685"/>
      <c r="N326" s="685"/>
      <c r="O326" s="683"/>
      <c r="P326" s="683"/>
      <c r="Q326" s="686"/>
      <c r="R326" s="686"/>
      <c r="S326" s="686"/>
      <c r="T326" s="686"/>
      <c r="U326" s="686"/>
      <c r="V326" s="686"/>
      <c r="W326" s="686"/>
      <c r="X326" s="686"/>
      <c r="Y326" s="686"/>
      <c r="Z326" s="686"/>
      <c r="AA326" s="686"/>
      <c r="AB326" s="686"/>
      <c r="AC326" s="686"/>
      <c r="AD326" s="686"/>
      <c r="AE326" s="686"/>
      <c r="AF326" s="686"/>
    </row>
    <row r="327" ht="15.75" customHeight="1">
      <c r="A327" s="683"/>
      <c r="B327" s="683"/>
      <c r="C327" s="684"/>
      <c r="D327" s="684"/>
      <c r="E327" s="684"/>
      <c r="F327" s="683"/>
      <c r="G327" s="683"/>
      <c r="H327" s="683"/>
      <c r="I327" s="683"/>
      <c r="J327" s="683"/>
      <c r="K327" s="683"/>
      <c r="L327" s="685"/>
      <c r="M327" s="685"/>
      <c r="N327" s="685"/>
      <c r="O327" s="683"/>
      <c r="P327" s="683"/>
      <c r="Q327" s="686"/>
      <c r="R327" s="686"/>
      <c r="S327" s="686"/>
      <c r="T327" s="686"/>
      <c r="U327" s="686"/>
      <c r="V327" s="686"/>
      <c r="W327" s="686"/>
      <c r="X327" s="686"/>
      <c r="Y327" s="686"/>
      <c r="Z327" s="686"/>
      <c r="AA327" s="686"/>
      <c r="AB327" s="686"/>
      <c r="AC327" s="686"/>
      <c r="AD327" s="686"/>
      <c r="AE327" s="686"/>
      <c r="AF327" s="686"/>
    </row>
    <row r="328" ht="15.75" customHeight="1">
      <c r="A328" s="683"/>
      <c r="B328" s="683"/>
      <c r="C328" s="684"/>
      <c r="D328" s="684"/>
      <c r="E328" s="684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6"/>
      <c r="R328" s="686"/>
      <c r="S328" s="686"/>
      <c r="T328" s="686"/>
      <c r="U328" s="686"/>
      <c r="V328" s="686"/>
      <c r="W328" s="686"/>
      <c r="X328" s="686"/>
      <c r="Y328" s="686"/>
      <c r="Z328" s="686"/>
      <c r="AA328" s="686"/>
      <c r="AB328" s="686"/>
      <c r="AC328" s="686"/>
      <c r="AD328" s="686"/>
      <c r="AE328" s="686"/>
      <c r="AF328" s="686"/>
    </row>
    <row r="329" ht="15.75" customHeight="1">
      <c r="A329" s="683"/>
      <c r="B329" s="683"/>
      <c r="C329" s="684"/>
      <c r="D329" s="684"/>
      <c r="E329" s="684"/>
      <c r="F329" s="683"/>
      <c r="G329" s="683"/>
      <c r="H329" s="683"/>
      <c r="I329" s="683"/>
      <c r="J329" s="683"/>
      <c r="K329" s="683"/>
      <c r="L329" s="685"/>
      <c r="M329" s="685"/>
      <c r="N329" s="685"/>
      <c r="O329" s="683"/>
      <c r="P329" s="683"/>
      <c r="Q329" s="686"/>
      <c r="R329" s="686"/>
      <c r="S329" s="686"/>
      <c r="T329" s="686"/>
      <c r="U329" s="686"/>
      <c r="V329" s="686"/>
      <c r="W329" s="686"/>
      <c r="X329" s="686"/>
      <c r="Y329" s="686"/>
      <c r="Z329" s="686"/>
      <c r="AA329" s="686"/>
      <c r="AB329" s="686"/>
      <c r="AC329" s="686"/>
      <c r="AD329" s="686"/>
      <c r="AE329" s="686"/>
      <c r="AF329" s="686"/>
    </row>
    <row r="330" ht="15.75" customHeight="1">
      <c r="A330" s="683"/>
      <c r="B330" s="683"/>
      <c r="C330" s="684"/>
      <c r="D330" s="684"/>
      <c r="E330" s="684"/>
      <c r="F330" s="683"/>
      <c r="G330" s="683"/>
      <c r="H330" s="683"/>
      <c r="I330" s="683"/>
      <c r="J330" s="683"/>
      <c r="K330" s="683"/>
      <c r="L330" s="685"/>
      <c r="M330" s="685"/>
      <c r="N330" s="685"/>
      <c r="O330" s="683"/>
      <c r="P330" s="683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86"/>
      <c r="AB330" s="686"/>
      <c r="AC330" s="686"/>
      <c r="AD330" s="686"/>
      <c r="AE330" s="686"/>
      <c r="AF330" s="686"/>
    </row>
    <row r="331" ht="15.75" customHeight="1">
      <c r="A331" s="683"/>
      <c r="B331" s="683"/>
      <c r="C331" s="684"/>
      <c r="D331" s="684"/>
      <c r="E331" s="684"/>
      <c r="F331" s="683"/>
      <c r="G331" s="683"/>
      <c r="H331" s="683"/>
      <c r="I331" s="683"/>
      <c r="J331" s="683"/>
      <c r="K331" s="683"/>
      <c r="L331" s="685"/>
      <c r="M331" s="685"/>
      <c r="N331" s="685"/>
      <c r="O331" s="683"/>
      <c r="P331" s="683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86"/>
      <c r="AB331" s="686"/>
      <c r="AC331" s="686"/>
      <c r="AD331" s="686"/>
      <c r="AE331" s="686"/>
      <c r="AF331" s="686"/>
    </row>
    <row r="332" ht="15.75" customHeight="1">
      <c r="A332" s="683"/>
      <c r="B332" s="683"/>
      <c r="C332" s="684"/>
      <c r="D332" s="684"/>
      <c r="E332" s="684"/>
      <c r="F332" s="683"/>
      <c r="G332" s="683"/>
      <c r="H332" s="683"/>
      <c r="I332" s="683"/>
      <c r="J332" s="683"/>
      <c r="K332" s="683"/>
      <c r="L332" s="685"/>
      <c r="M332" s="685"/>
      <c r="N332" s="685"/>
      <c r="O332" s="683"/>
      <c r="P332" s="683"/>
      <c r="Q332" s="686"/>
      <c r="R332" s="686"/>
      <c r="S332" s="686"/>
      <c r="T332" s="686"/>
      <c r="U332" s="686"/>
      <c r="V332" s="686"/>
      <c r="W332" s="686"/>
      <c r="X332" s="686"/>
      <c r="Y332" s="686"/>
      <c r="Z332" s="686"/>
      <c r="AA332" s="686"/>
      <c r="AB332" s="686"/>
      <c r="AC332" s="686"/>
      <c r="AD332" s="686"/>
      <c r="AE332" s="686"/>
      <c r="AF332" s="686"/>
    </row>
    <row r="333" ht="15.75" customHeight="1">
      <c r="A333" s="683"/>
      <c r="B333" s="683"/>
      <c r="C333" s="684"/>
      <c r="D333" s="684"/>
      <c r="E333" s="684"/>
      <c r="F333" s="683"/>
      <c r="G333" s="683"/>
      <c r="H333" s="683"/>
      <c r="I333" s="683"/>
      <c r="J333" s="683"/>
      <c r="K333" s="683"/>
      <c r="L333" s="685"/>
      <c r="M333" s="685"/>
      <c r="N333" s="685"/>
      <c r="O333" s="683"/>
      <c r="P333" s="683"/>
      <c r="Q333" s="686"/>
      <c r="R333" s="686"/>
      <c r="S333" s="686"/>
      <c r="T333" s="686"/>
      <c r="U333" s="686"/>
      <c r="V333" s="686"/>
      <c r="W333" s="686"/>
      <c r="X333" s="686"/>
      <c r="Y333" s="686"/>
      <c r="Z333" s="686"/>
      <c r="AA333" s="686"/>
      <c r="AB333" s="686"/>
      <c r="AC333" s="686"/>
      <c r="AD333" s="686"/>
      <c r="AE333" s="686"/>
      <c r="AF333" s="686"/>
    </row>
    <row r="334" ht="15.75" customHeight="1">
      <c r="A334" s="683"/>
      <c r="B334" s="683"/>
      <c r="C334" s="684"/>
      <c r="D334" s="684"/>
      <c r="E334" s="684"/>
      <c r="F334" s="683"/>
      <c r="G334" s="683"/>
      <c r="H334" s="683"/>
      <c r="I334" s="683"/>
      <c r="J334" s="683"/>
      <c r="K334" s="683"/>
      <c r="L334" s="685"/>
      <c r="M334" s="685"/>
      <c r="N334" s="685"/>
      <c r="O334" s="683"/>
      <c r="P334" s="683"/>
      <c r="Q334" s="686"/>
      <c r="R334" s="686"/>
      <c r="S334" s="686"/>
      <c r="T334" s="686"/>
      <c r="U334" s="686"/>
      <c r="V334" s="686"/>
      <c r="W334" s="686"/>
      <c r="X334" s="686"/>
      <c r="Y334" s="686"/>
      <c r="Z334" s="686"/>
      <c r="AA334" s="686"/>
      <c r="AB334" s="686"/>
      <c r="AC334" s="686"/>
      <c r="AD334" s="686"/>
      <c r="AE334" s="686"/>
      <c r="AF334" s="686"/>
    </row>
    <row r="335" ht="15.75" customHeight="1">
      <c r="A335" s="683"/>
      <c r="B335" s="683"/>
      <c r="C335" s="684"/>
      <c r="D335" s="684"/>
      <c r="E335" s="684"/>
      <c r="F335" s="683"/>
      <c r="G335" s="689"/>
      <c r="H335" s="683"/>
      <c r="I335" s="683"/>
      <c r="J335" s="683"/>
      <c r="K335" s="683"/>
      <c r="L335" s="685"/>
      <c r="M335" s="685"/>
      <c r="N335" s="685"/>
      <c r="O335" s="683"/>
      <c r="P335" s="683"/>
      <c r="Q335" s="686"/>
      <c r="R335" s="686"/>
      <c r="S335" s="686"/>
      <c r="T335" s="686"/>
      <c r="U335" s="686"/>
      <c r="V335" s="686"/>
      <c r="W335" s="686"/>
      <c r="X335" s="686"/>
      <c r="Y335" s="686"/>
      <c r="Z335" s="686"/>
      <c r="AA335" s="686"/>
      <c r="AB335" s="686"/>
      <c r="AC335" s="686"/>
      <c r="AD335" s="686"/>
      <c r="AE335" s="686"/>
      <c r="AF335" s="686"/>
    </row>
    <row r="336" ht="15.75" customHeight="1">
      <c r="A336" s="683"/>
      <c r="B336" s="683"/>
      <c r="C336" s="684"/>
      <c r="D336" s="684"/>
      <c r="E336" s="684"/>
      <c r="F336" s="683"/>
      <c r="G336" s="683"/>
      <c r="H336" s="683"/>
      <c r="I336" s="683"/>
      <c r="J336" s="683"/>
      <c r="K336" s="683"/>
      <c r="L336" s="685"/>
      <c r="M336" s="685"/>
      <c r="N336" s="685"/>
      <c r="O336" s="683"/>
      <c r="P336" s="683"/>
      <c r="Q336" s="686"/>
      <c r="R336" s="686"/>
      <c r="S336" s="686"/>
      <c r="T336" s="686"/>
      <c r="U336" s="686"/>
      <c r="V336" s="686"/>
      <c r="W336" s="686"/>
      <c r="X336" s="686"/>
      <c r="Y336" s="686"/>
      <c r="Z336" s="686"/>
      <c r="AA336" s="686"/>
      <c r="AB336" s="686"/>
      <c r="AC336" s="686"/>
      <c r="AD336" s="686"/>
      <c r="AE336" s="686"/>
      <c r="AF336" s="686"/>
    </row>
    <row r="337" ht="15.75" customHeight="1">
      <c r="A337" s="683"/>
      <c r="B337" s="683"/>
      <c r="C337" s="684"/>
      <c r="D337" s="684"/>
      <c r="E337" s="684"/>
      <c r="F337" s="683"/>
      <c r="G337" s="683"/>
      <c r="H337" s="683"/>
      <c r="I337" s="683"/>
      <c r="J337" s="683"/>
      <c r="K337" s="683"/>
      <c r="L337" s="685"/>
      <c r="M337" s="685"/>
      <c r="N337" s="685"/>
      <c r="O337" s="683"/>
      <c r="P337" s="683"/>
      <c r="Q337" s="686"/>
      <c r="R337" s="686"/>
      <c r="S337" s="686"/>
      <c r="T337" s="686"/>
      <c r="U337" s="686"/>
      <c r="V337" s="686"/>
      <c r="W337" s="686"/>
      <c r="X337" s="686"/>
      <c r="Y337" s="686"/>
      <c r="Z337" s="686"/>
      <c r="AA337" s="686"/>
      <c r="AB337" s="686"/>
      <c r="AC337" s="686"/>
      <c r="AD337" s="686"/>
      <c r="AE337" s="686"/>
      <c r="AF337" s="686"/>
    </row>
    <row r="338" ht="15.75" customHeight="1">
      <c r="A338" s="683"/>
      <c r="B338" s="683"/>
      <c r="C338" s="684"/>
      <c r="D338" s="684"/>
      <c r="E338" s="684"/>
      <c r="F338" s="683"/>
      <c r="G338" s="683"/>
      <c r="H338" s="683"/>
      <c r="I338" s="683"/>
      <c r="J338" s="683"/>
      <c r="K338" s="683"/>
      <c r="L338" s="685"/>
      <c r="M338" s="685"/>
      <c r="N338" s="685"/>
      <c r="O338" s="683"/>
      <c r="P338" s="683"/>
      <c r="Q338" s="686"/>
      <c r="R338" s="686"/>
      <c r="S338" s="686"/>
      <c r="T338" s="686"/>
      <c r="U338" s="686"/>
      <c r="V338" s="686"/>
      <c r="W338" s="686"/>
      <c r="X338" s="686"/>
      <c r="Y338" s="686"/>
      <c r="Z338" s="686"/>
      <c r="AA338" s="686"/>
      <c r="AB338" s="686"/>
      <c r="AC338" s="686"/>
      <c r="AD338" s="686"/>
      <c r="AE338" s="686"/>
      <c r="AF338" s="686"/>
    </row>
    <row r="339" ht="15.75" customHeight="1">
      <c r="A339" s="683"/>
      <c r="B339" s="683"/>
      <c r="C339" s="684"/>
      <c r="D339" s="684"/>
      <c r="E339" s="684"/>
      <c r="F339" s="683"/>
      <c r="G339" s="683"/>
      <c r="H339" s="683"/>
      <c r="I339" s="683"/>
      <c r="J339" s="683"/>
      <c r="K339" s="683"/>
      <c r="L339" s="685"/>
      <c r="M339" s="685"/>
      <c r="N339" s="685"/>
      <c r="O339" s="683"/>
      <c r="P339" s="683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86"/>
      <c r="AB339" s="686"/>
      <c r="AC339" s="686"/>
      <c r="AD339" s="686"/>
      <c r="AE339" s="686"/>
      <c r="AF339" s="686"/>
    </row>
    <row r="340" ht="15.75" customHeight="1">
      <c r="A340" s="683"/>
      <c r="B340" s="683"/>
      <c r="C340" s="684"/>
      <c r="D340" s="684"/>
      <c r="E340" s="684"/>
      <c r="F340" s="683"/>
      <c r="G340" s="683"/>
      <c r="H340" s="683"/>
      <c r="I340" s="683"/>
      <c r="J340" s="683"/>
      <c r="K340" s="683"/>
      <c r="L340" s="685"/>
      <c r="M340" s="685"/>
      <c r="N340" s="685"/>
      <c r="O340" s="683"/>
      <c r="P340" s="683"/>
      <c r="Q340" s="686"/>
      <c r="R340" s="686"/>
      <c r="S340" s="686"/>
      <c r="T340" s="686"/>
      <c r="U340" s="686"/>
      <c r="V340" s="686"/>
      <c r="W340" s="686"/>
      <c r="X340" s="686"/>
      <c r="Y340" s="686"/>
      <c r="Z340" s="686"/>
      <c r="AA340" s="686"/>
      <c r="AB340" s="686"/>
      <c r="AC340" s="686"/>
      <c r="AD340" s="686"/>
      <c r="AE340" s="686"/>
      <c r="AF340" s="686"/>
    </row>
    <row r="341" ht="15.75" customHeight="1">
      <c r="A341" s="683"/>
      <c r="B341" s="683"/>
      <c r="C341" s="684"/>
      <c r="D341" s="684"/>
      <c r="E341" s="684"/>
      <c r="F341" s="683"/>
      <c r="G341" s="683"/>
      <c r="H341" s="683"/>
      <c r="I341" s="683"/>
      <c r="J341" s="683"/>
      <c r="K341" s="683"/>
      <c r="L341" s="685"/>
      <c r="M341" s="685"/>
      <c r="N341" s="685"/>
      <c r="O341" s="683"/>
      <c r="P341" s="683"/>
      <c r="Q341" s="686"/>
      <c r="R341" s="686"/>
      <c r="S341" s="686"/>
      <c r="T341" s="686"/>
      <c r="U341" s="686"/>
      <c r="V341" s="686"/>
      <c r="W341" s="686"/>
      <c r="X341" s="686"/>
      <c r="Y341" s="686"/>
      <c r="Z341" s="686"/>
      <c r="AA341" s="686"/>
      <c r="AB341" s="686"/>
      <c r="AC341" s="686"/>
      <c r="AD341" s="686"/>
      <c r="AE341" s="686"/>
      <c r="AF341" s="686"/>
    </row>
    <row r="342" ht="15.75" customHeight="1">
      <c r="A342" s="683"/>
      <c r="B342" s="683"/>
      <c r="C342" s="684"/>
      <c r="D342" s="684"/>
      <c r="E342" s="684"/>
      <c r="F342" s="683"/>
      <c r="G342" s="683"/>
      <c r="H342" s="683"/>
      <c r="I342" s="683"/>
      <c r="J342" s="683"/>
      <c r="K342" s="683"/>
      <c r="L342" s="685"/>
      <c r="M342" s="685"/>
      <c r="N342" s="685"/>
      <c r="O342" s="683"/>
      <c r="P342" s="683"/>
      <c r="Q342" s="686"/>
      <c r="R342" s="686"/>
      <c r="S342" s="686"/>
      <c r="T342" s="686"/>
      <c r="U342" s="686"/>
      <c r="V342" s="686"/>
      <c r="W342" s="686"/>
      <c r="X342" s="686"/>
      <c r="Y342" s="686"/>
      <c r="Z342" s="686"/>
      <c r="AA342" s="686"/>
      <c r="AB342" s="686"/>
      <c r="AC342" s="686"/>
      <c r="AD342" s="686"/>
      <c r="AE342" s="686"/>
      <c r="AF342" s="686"/>
    </row>
    <row r="343" ht="15.75" customHeight="1">
      <c r="A343" s="683"/>
      <c r="B343" s="683"/>
      <c r="C343" s="684"/>
      <c r="D343" s="684"/>
      <c r="E343" s="684"/>
      <c r="F343" s="683"/>
      <c r="G343" s="683"/>
      <c r="H343" s="683"/>
      <c r="I343" s="683"/>
      <c r="J343" s="683"/>
      <c r="K343" s="683"/>
      <c r="L343" s="685"/>
      <c r="M343" s="685"/>
      <c r="N343" s="685"/>
      <c r="O343" s="683"/>
      <c r="P343" s="683"/>
      <c r="Q343" s="686"/>
      <c r="R343" s="686"/>
      <c r="S343" s="686"/>
      <c r="T343" s="686"/>
      <c r="U343" s="686"/>
      <c r="V343" s="686"/>
      <c r="W343" s="686"/>
      <c r="X343" s="686"/>
      <c r="Y343" s="686"/>
      <c r="Z343" s="686"/>
      <c r="AA343" s="686"/>
      <c r="AB343" s="686"/>
      <c r="AC343" s="686"/>
      <c r="AD343" s="686"/>
      <c r="AE343" s="686"/>
      <c r="AF343" s="686"/>
    </row>
    <row r="344" ht="15.75" customHeight="1">
      <c r="A344" s="683"/>
      <c r="B344" s="683"/>
      <c r="C344" s="684"/>
      <c r="D344" s="684"/>
      <c r="E344" s="684"/>
      <c r="F344" s="683"/>
      <c r="G344" s="683"/>
      <c r="H344" s="683"/>
      <c r="I344" s="683"/>
      <c r="J344" s="683"/>
      <c r="K344" s="683"/>
      <c r="L344" s="685"/>
      <c r="M344" s="685"/>
      <c r="N344" s="685"/>
      <c r="O344" s="683"/>
      <c r="P344" s="683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86"/>
      <c r="AB344" s="686"/>
      <c r="AC344" s="686"/>
      <c r="AD344" s="686"/>
      <c r="AE344" s="686"/>
      <c r="AF344" s="686"/>
    </row>
    <row r="345" ht="15.75" customHeight="1">
      <c r="A345" s="683"/>
      <c r="B345" s="683"/>
      <c r="C345" s="684"/>
      <c r="D345" s="684"/>
      <c r="E345" s="684"/>
      <c r="F345" s="683"/>
      <c r="G345" s="683"/>
      <c r="H345" s="683"/>
      <c r="I345" s="683"/>
      <c r="J345" s="683"/>
      <c r="K345" s="683"/>
      <c r="L345" s="685"/>
      <c r="M345" s="685"/>
      <c r="N345" s="685"/>
      <c r="O345" s="683"/>
      <c r="P345" s="683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86"/>
      <c r="AB345" s="686"/>
      <c r="AC345" s="686"/>
      <c r="AD345" s="686"/>
      <c r="AE345" s="686"/>
      <c r="AF345" s="686"/>
    </row>
    <row r="346" ht="15.75" customHeight="1">
      <c r="A346" s="683"/>
      <c r="B346" s="683"/>
      <c r="C346" s="684"/>
      <c r="D346" s="684"/>
      <c r="E346" s="684"/>
      <c r="F346" s="683"/>
      <c r="G346" s="683"/>
      <c r="H346" s="683"/>
      <c r="I346" s="683"/>
      <c r="J346" s="683"/>
      <c r="K346" s="683"/>
      <c r="L346" s="685"/>
      <c r="M346" s="685"/>
      <c r="N346" s="685"/>
      <c r="O346" s="683"/>
      <c r="P346" s="683"/>
      <c r="Q346" s="686"/>
      <c r="R346" s="686"/>
      <c r="S346" s="686"/>
      <c r="T346" s="686"/>
      <c r="U346" s="686"/>
      <c r="V346" s="686"/>
      <c r="W346" s="686"/>
      <c r="X346" s="686"/>
      <c r="Y346" s="686"/>
      <c r="Z346" s="686"/>
      <c r="AA346" s="686"/>
      <c r="AB346" s="686"/>
      <c r="AC346" s="686"/>
      <c r="AD346" s="686"/>
      <c r="AE346" s="686"/>
      <c r="AF346" s="686"/>
    </row>
    <row r="347" ht="15.75" customHeight="1">
      <c r="A347" s="683"/>
      <c r="B347" s="683"/>
      <c r="C347" s="684"/>
      <c r="D347" s="684"/>
      <c r="E347" s="684"/>
      <c r="F347" s="683"/>
      <c r="G347" s="683"/>
      <c r="H347" s="683"/>
      <c r="I347" s="683"/>
      <c r="J347" s="683"/>
      <c r="K347" s="683"/>
      <c r="L347" s="685"/>
      <c r="M347" s="685"/>
      <c r="N347" s="685"/>
      <c r="O347" s="683"/>
      <c r="P347" s="683"/>
      <c r="Q347" s="686"/>
      <c r="R347" s="686"/>
      <c r="S347" s="686"/>
      <c r="T347" s="686"/>
      <c r="U347" s="686"/>
      <c r="V347" s="686"/>
      <c r="W347" s="686"/>
      <c r="X347" s="686"/>
      <c r="Y347" s="686"/>
      <c r="Z347" s="686"/>
      <c r="AA347" s="686"/>
      <c r="AB347" s="686"/>
      <c r="AC347" s="686"/>
      <c r="AD347" s="686"/>
      <c r="AE347" s="686"/>
      <c r="AF347" s="686"/>
    </row>
    <row r="348" ht="15.75" customHeight="1">
      <c r="A348" s="683"/>
      <c r="B348" s="683"/>
      <c r="C348" s="684"/>
      <c r="D348" s="684"/>
      <c r="E348" s="684"/>
      <c r="F348" s="683"/>
      <c r="G348" s="683"/>
      <c r="H348" s="683"/>
      <c r="I348" s="683"/>
      <c r="J348" s="683"/>
      <c r="K348" s="683"/>
      <c r="L348" s="685"/>
      <c r="M348" s="685"/>
      <c r="N348" s="685"/>
      <c r="O348" s="683"/>
      <c r="P348" s="683"/>
      <c r="Q348" s="686"/>
      <c r="R348" s="686"/>
      <c r="S348" s="686"/>
      <c r="T348" s="686"/>
      <c r="U348" s="686"/>
      <c r="V348" s="686"/>
      <c r="W348" s="686"/>
      <c r="X348" s="686"/>
      <c r="Y348" s="686"/>
      <c r="Z348" s="686"/>
      <c r="AA348" s="686"/>
      <c r="AB348" s="686"/>
      <c r="AC348" s="686"/>
      <c r="AD348" s="686"/>
      <c r="AE348" s="686"/>
      <c r="AF348" s="686"/>
    </row>
    <row r="349" ht="15.75" customHeight="1">
      <c r="A349" s="683"/>
      <c r="B349" s="683"/>
      <c r="C349" s="684"/>
      <c r="D349" s="684"/>
      <c r="E349" s="684"/>
      <c r="F349" s="683"/>
      <c r="G349" s="683"/>
      <c r="H349" s="683"/>
      <c r="I349" s="683"/>
      <c r="J349" s="683"/>
      <c r="K349" s="683"/>
      <c r="L349" s="685"/>
      <c r="M349" s="685"/>
      <c r="N349" s="685"/>
      <c r="O349" s="683"/>
      <c r="P349" s="683"/>
      <c r="Q349" s="686"/>
      <c r="R349" s="686"/>
      <c r="S349" s="686"/>
      <c r="T349" s="686"/>
      <c r="U349" s="686"/>
      <c r="V349" s="686"/>
      <c r="W349" s="686"/>
      <c r="X349" s="686"/>
      <c r="Y349" s="686"/>
      <c r="Z349" s="686"/>
      <c r="AA349" s="686"/>
      <c r="AB349" s="686"/>
      <c r="AC349" s="686"/>
      <c r="AD349" s="686"/>
      <c r="AE349" s="686"/>
      <c r="AF349" s="686"/>
    </row>
    <row r="350" ht="15.75" customHeight="1">
      <c r="A350" s="683"/>
      <c r="B350" s="683"/>
      <c r="C350" s="684"/>
      <c r="D350" s="684"/>
      <c r="E350" s="684"/>
      <c r="F350" s="683"/>
      <c r="G350" s="683"/>
      <c r="H350" s="683"/>
      <c r="I350" s="683"/>
      <c r="J350" s="683"/>
      <c r="K350" s="683"/>
      <c r="L350" s="685"/>
      <c r="M350" s="685"/>
      <c r="N350" s="685"/>
      <c r="O350" s="683"/>
      <c r="P350" s="683"/>
      <c r="Q350" s="686"/>
      <c r="R350" s="686"/>
      <c r="S350" s="686"/>
      <c r="T350" s="686"/>
      <c r="U350" s="686"/>
      <c r="V350" s="686"/>
      <c r="W350" s="686"/>
      <c r="X350" s="686"/>
      <c r="Y350" s="686"/>
      <c r="Z350" s="686"/>
      <c r="AA350" s="686"/>
      <c r="AB350" s="686"/>
      <c r="AC350" s="686"/>
      <c r="AD350" s="686"/>
      <c r="AE350" s="686"/>
      <c r="AF350" s="686"/>
    </row>
    <row r="351" ht="15.75" customHeight="1">
      <c r="A351" s="683"/>
      <c r="B351" s="683"/>
      <c r="C351" s="684"/>
      <c r="D351" s="684"/>
      <c r="E351" s="684"/>
      <c r="F351" s="683"/>
      <c r="G351" s="683"/>
      <c r="H351" s="683"/>
      <c r="I351" s="683"/>
      <c r="J351" s="683"/>
      <c r="K351" s="683"/>
      <c r="L351" s="685"/>
      <c r="M351" s="685"/>
      <c r="N351" s="685"/>
      <c r="O351" s="683"/>
      <c r="P351" s="683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86"/>
      <c r="AB351" s="686"/>
      <c r="AC351" s="686"/>
      <c r="AD351" s="686"/>
      <c r="AE351" s="686"/>
      <c r="AF351" s="686"/>
    </row>
    <row r="352" ht="15.75" customHeight="1">
      <c r="A352" s="683"/>
      <c r="B352" s="683"/>
      <c r="C352" s="684"/>
      <c r="D352" s="684"/>
      <c r="E352" s="684"/>
      <c r="F352" s="683"/>
      <c r="G352" s="683"/>
      <c r="H352" s="683"/>
      <c r="I352" s="683"/>
      <c r="J352" s="683"/>
      <c r="K352" s="683"/>
      <c r="L352" s="685"/>
      <c r="M352" s="685"/>
      <c r="N352" s="685"/>
      <c r="O352" s="683"/>
      <c r="P352" s="683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86"/>
      <c r="AB352" s="686"/>
      <c r="AC352" s="686"/>
      <c r="AD352" s="686"/>
      <c r="AE352" s="686"/>
      <c r="AF352" s="686"/>
    </row>
    <row r="353" ht="15.75" customHeight="1">
      <c r="A353" s="683"/>
      <c r="B353" s="683"/>
      <c r="C353" s="684"/>
      <c r="D353" s="684"/>
      <c r="E353" s="684"/>
      <c r="F353" s="683"/>
      <c r="G353" s="683"/>
      <c r="H353" s="683"/>
      <c r="I353" s="683"/>
      <c r="J353" s="683"/>
      <c r="K353" s="683"/>
      <c r="L353" s="685"/>
      <c r="M353" s="685"/>
      <c r="N353" s="685"/>
      <c r="O353" s="683"/>
      <c r="P353" s="683"/>
      <c r="Q353" s="686"/>
      <c r="R353" s="686"/>
      <c r="S353" s="686"/>
      <c r="T353" s="686"/>
      <c r="U353" s="686"/>
      <c r="V353" s="686"/>
      <c r="W353" s="686"/>
      <c r="X353" s="686"/>
      <c r="Y353" s="686"/>
      <c r="Z353" s="686"/>
      <c r="AA353" s="686"/>
      <c r="AB353" s="686"/>
      <c r="AC353" s="686"/>
      <c r="AD353" s="686"/>
      <c r="AE353" s="686"/>
      <c r="AF353" s="686"/>
    </row>
    <row r="354" ht="15.75" customHeight="1">
      <c r="A354" s="683"/>
      <c r="B354" s="683"/>
      <c r="C354" s="684"/>
      <c r="D354" s="684"/>
      <c r="E354" s="684"/>
      <c r="F354" s="683"/>
      <c r="G354" s="683"/>
      <c r="H354" s="683"/>
      <c r="I354" s="683"/>
      <c r="J354" s="683"/>
      <c r="K354" s="683"/>
      <c r="L354" s="685"/>
      <c r="M354" s="685"/>
      <c r="N354" s="685"/>
      <c r="O354" s="683"/>
      <c r="P354" s="683"/>
      <c r="Q354" s="686"/>
      <c r="R354" s="686"/>
      <c r="S354" s="686"/>
      <c r="T354" s="686"/>
      <c r="U354" s="686"/>
      <c r="V354" s="686"/>
      <c r="W354" s="686"/>
      <c r="X354" s="686"/>
      <c r="Y354" s="686"/>
      <c r="Z354" s="686"/>
      <c r="AA354" s="686"/>
      <c r="AB354" s="686"/>
      <c r="AC354" s="686"/>
      <c r="AD354" s="686"/>
      <c r="AE354" s="686"/>
      <c r="AF354" s="686"/>
    </row>
    <row r="355" ht="15.75" customHeight="1">
      <c r="A355" s="683"/>
      <c r="B355" s="683"/>
      <c r="C355" s="684"/>
      <c r="D355" s="684"/>
      <c r="E355" s="684"/>
      <c r="F355" s="683"/>
      <c r="G355" s="683"/>
      <c r="H355" s="683"/>
      <c r="I355" s="683"/>
      <c r="J355" s="683"/>
      <c r="K355" s="683"/>
      <c r="L355" s="685"/>
      <c r="M355" s="685"/>
      <c r="N355" s="685"/>
      <c r="O355" s="683"/>
      <c r="P355" s="683"/>
      <c r="Q355" s="686"/>
      <c r="R355" s="686"/>
      <c r="S355" s="686"/>
      <c r="T355" s="686"/>
      <c r="U355" s="686"/>
      <c r="V355" s="686"/>
      <c r="W355" s="686"/>
      <c r="X355" s="686"/>
      <c r="Y355" s="686"/>
      <c r="Z355" s="686"/>
      <c r="AA355" s="686"/>
      <c r="AB355" s="686"/>
      <c r="AC355" s="686"/>
      <c r="AD355" s="686"/>
      <c r="AE355" s="686"/>
      <c r="AF355" s="686"/>
    </row>
    <row r="356" ht="15.75" customHeight="1">
      <c r="A356" s="683"/>
      <c r="B356" s="683"/>
      <c r="C356" s="684"/>
      <c r="D356" s="684"/>
      <c r="E356" s="684"/>
      <c r="F356" s="683"/>
      <c r="G356" s="683"/>
      <c r="H356" s="683"/>
      <c r="I356" s="683"/>
      <c r="J356" s="683"/>
      <c r="K356" s="683"/>
      <c r="L356" s="685"/>
      <c r="M356" s="685"/>
      <c r="N356" s="685"/>
      <c r="O356" s="683"/>
      <c r="P356" s="683"/>
      <c r="Q356" s="686"/>
      <c r="R356" s="686"/>
      <c r="S356" s="686"/>
      <c r="T356" s="686"/>
      <c r="U356" s="686"/>
      <c r="V356" s="686"/>
      <c r="W356" s="686"/>
      <c r="X356" s="686"/>
      <c r="Y356" s="686"/>
      <c r="Z356" s="686"/>
      <c r="AA356" s="686"/>
      <c r="AB356" s="686"/>
      <c r="AC356" s="686"/>
      <c r="AD356" s="686"/>
      <c r="AE356" s="686"/>
      <c r="AF356" s="686"/>
    </row>
    <row r="357" ht="15.75" customHeight="1">
      <c r="A357" s="683"/>
      <c r="B357" s="683"/>
      <c r="C357" s="684"/>
      <c r="D357" s="684"/>
      <c r="E357" s="684"/>
      <c r="F357" s="683"/>
      <c r="G357" s="683"/>
      <c r="H357" s="683"/>
      <c r="I357" s="683"/>
      <c r="J357" s="683"/>
      <c r="K357" s="683"/>
      <c r="L357" s="685"/>
      <c r="M357" s="685"/>
      <c r="N357" s="685"/>
      <c r="O357" s="683"/>
      <c r="P357" s="683"/>
      <c r="Q357" s="686"/>
      <c r="R357" s="686"/>
      <c r="S357" s="686"/>
      <c r="T357" s="686"/>
      <c r="U357" s="686"/>
      <c r="V357" s="686"/>
      <c r="W357" s="686"/>
      <c r="X357" s="686"/>
      <c r="Y357" s="686"/>
      <c r="Z357" s="686"/>
      <c r="AA357" s="686"/>
      <c r="AB357" s="686"/>
      <c r="AC357" s="686"/>
      <c r="AD357" s="686"/>
      <c r="AE357" s="686"/>
      <c r="AF357" s="686"/>
    </row>
    <row r="358" ht="15.75" customHeight="1">
      <c r="A358" s="683"/>
      <c r="B358" s="683"/>
      <c r="C358" s="684"/>
      <c r="D358" s="684"/>
      <c r="E358" s="684"/>
      <c r="F358" s="683"/>
      <c r="G358" s="683"/>
      <c r="H358" s="683"/>
      <c r="I358" s="683"/>
      <c r="J358" s="683"/>
      <c r="K358" s="683"/>
      <c r="L358" s="685"/>
      <c r="M358" s="685"/>
      <c r="N358" s="685"/>
      <c r="O358" s="683"/>
      <c r="P358" s="683"/>
      <c r="Q358" s="686"/>
      <c r="R358" s="686"/>
      <c r="S358" s="686"/>
      <c r="T358" s="686"/>
      <c r="U358" s="686"/>
      <c r="V358" s="686"/>
      <c r="W358" s="686"/>
      <c r="X358" s="686"/>
      <c r="Y358" s="686"/>
      <c r="Z358" s="686"/>
      <c r="AA358" s="686"/>
      <c r="AB358" s="686"/>
      <c r="AC358" s="686"/>
      <c r="AD358" s="686"/>
      <c r="AE358" s="686"/>
      <c r="AF358" s="686"/>
    </row>
    <row r="359" ht="15.75" customHeight="1">
      <c r="A359" s="683"/>
      <c r="B359" s="683"/>
      <c r="C359" s="684"/>
      <c r="D359" s="684"/>
      <c r="E359" s="684"/>
      <c r="F359" s="683"/>
      <c r="G359" s="683"/>
      <c r="H359" s="683"/>
      <c r="I359" s="683"/>
      <c r="J359" s="683"/>
      <c r="K359" s="683"/>
      <c r="L359" s="685"/>
      <c r="M359" s="685"/>
      <c r="N359" s="685"/>
      <c r="O359" s="683"/>
      <c r="P359" s="683"/>
      <c r="Q359" s="686"/>
      <c r="R359" s="686"/>
      <c r="S359" s="686"/>
      <c r="T359" s="686"/>
      <c r="U359" s="686"/>
      <c r="V359" s="686"/>
      <c r="W359" s="686"/>
      <c r="X359" s="686"/>
      <c r="Y359" s="686"/>
      <c r="Z359" s="686"/>
      <c r="AA359" s="686"/>
      <c r="AB359" s="686"/>
      <c r="AC359" s="686"/>
      <c r="AD359" s="686"/>
      <c r="AE359" s="686"/>
      <c r="AF359" s="686"/>
    </row>
    <row r="360" ht="15.75" customHeight="1">
      <c r="A360" s="683"/>
      <c r="B360" s="683"/>
      <c r="C360" s="684"/>
      <c r="D360" s="684"/>
      <c r="E360" s="684"/>
      <c r="F360" s="683"/>
      <c r="G360" s="683"/>
      <c r="H360" s="683"/>
      <c r="I360" s="683"/>
      <c r="J360" s="683"/>
      <c r="K360" s="683"/>
      <c r="L360" s="685"/>
      <c r="M360" s="685"/>
      <c r="N360" s="685"/>
      <c r="O360" s="683"/>
      <c r="P360" s="683"/>
      <c r="Q360" s="686"/>
      <c r="R360" s="686"/>
      <c r="S360" s="686"/>
      <c r="T360" s="686"/>
      <c r="U360" s="686"/>
      <c r="V360" s="686"/>
      <c r="W360" s="686"/>
      <c r="X360" s="686"/>
      <c r="Y360" s="686"/>
      <c r="Z360" s="686"/>
      <c r="AA360" s="686"/>
      <c r="AB360" s="686"/>
      <c r="AC360" s="686"/>
      <c r="AD360" s="686"/>
      <c r="AE360" s="686"/>
      <c r="AF360" s="686"/>
    </row>
    <row r="361" ht="15.75" customHeight="1">
      <c r="A361" s="683"/>
      <c r="B361" s="683"/>
      <c r="C361" s="684"/>
      <c r="D361" s="684"/>
      <c r="E361" s="684"/>
      <c r="F361" s="683"/>
      <c r="G361" s="683"/>
      <c r="H361" s="683"/>
      <c r="I361" s="683"/>
      <c r="J361" s="683"/>
      <c r="K361" s="683"/>
      <c r="L361" s="685"/>
      <c r="M361" s="685"/>
      <c r="N361" s="685"/>
      <c r="O361" s="683"/>
      <c r="P361" s="683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86"/>
      <c r="AB361" s="686"/>
      <c r="AC361" s="686"/>
      <c r="AD361" s="686"/>
      <c r="AE361" s="686"/>
      <c r="AF361" s="686"/>
    </row>
    <row r="362" ht="15.75" customHeight="1">
      <c r="A362" s="683"/>
      <c r="B362" s="683"/>
      <c r="C362" s="684"/>
      <c r="D362" s="684"/>
      <c r="E362" s="684"/>
      <c r="F362" s="683"/>
      <c r="G362" s="683"/>
      <c r="H362" s="683"/>
      <c r="I362" s="683"/>
      <c r="J362" s="683"/>
      <c r="K362" s="683"/>
      <c r="L362" s="685"/>
      <c r="M362" s="685"/>
      <c r="N362" s="685"/>
      <c r="O362" s="683"/>
      <c r="P362" s="683"/>
      <c r="Q362" s="686"/>
      <c r="R362" s="686"/>
      <c r="S362" s="686"/>
      <c r="T362" s="686"/>
      <c r="U362" s="686"/>
      <c r="V362" s="686"/>
      <c r="W362" s="686"/>
      <c r="X362" s="686"/>
      <c r="Y362" s="686"/>
      <c r="Z362" s="686"/>
      <c r="AA362" s="686"/>
      <c r="AB362" s="686"/>
      <c r="AC362" s="686"/>
      <c r="AD362" s="686"/>
      <c r="AE362" s="686"/>
      <c r="AF362" s="686"/>
    </row>
    <row r="363" ht="15.75" customHeight="1">
      <c r="A363" s="683"/>
      <c r="B363" s="683"/>
      <c r="C363" s="684"/>
      <c r="D363" s="684"/>
      <c r="E363" s="684"/>
      <c r="F363" s="683"/>
      <c r="G363" s="683"/>
      <c r="H363" s="683"/>
      <c r="I363" s="683"/>
      <c r="J363" s="683"/>
      <c r="K363" s="683"/>
      <c r="L363" s="685"/>
      <c r="M363" s="685"/>
      <c r="N363" s="685"/>
      <c r="O363" s="683"/>
      <c r="P363" s="683"/>
      <c r="Q363" s="686"/>
      <c r="R363" s="686"/>
      <c r="S363" s="686"/>
      <c r="T363" s="686"/>
      <c r="U363" s="686"/>
      <c r="V363" s="686"/>
      <c r="W363" s="686"/>
      <c r="X363" s="686"/>
      <c r="Y363" s="686"/>
      <c r="Z363" s="686"/>
      <c r="AA363" s="686"/>
      <c r="AB363" s="686"/>
      <c r="AC363" s="686"/>
      <c r="AD363" s="686"/>
      <c r="AE363" s="686"/>
      <c r="AF363" s="686"/>
    </row>
    <row r="364" ht="15.75" customHeight="1">
      <c r="A364" s="683"/>
      <c r="B364" s="683"/>
      <c r="C364" s="684"/>
      <c r="D364" s="684"/>
      <c r="E364" s="684"/>
      <c r="F364" s="683"/>
      <c r="G364" s="683"/>
      <c r="H364" s="683"/>
      <c r="I364" s="683"/>
      <c r="J364" s="683"/>
      <c r="K364" s="683"/>
      <c r="L364" s="685"/>
      <c r="M364" s="685"/>
      <c r="N364" s="685"/>
      <c r="O364" s="683"/>
      <c r="P364" s="683"/>
      <c r="Q364" s="686"/>
      <c r="R364" s="686"/>
      <c r="S364" s="686"/>
      <c r="T364" s="686"/>
      <c r="U364" s="686"/>
      <c r="V364" s="686"/>
      <c r="W364" s="686"/>
      <c r="X364" s="686"/>
      <c r="Y364" s="686"/>
      <c r="Z364" s="686"/>
      <c r="AA364" s="686"/>
      <c r="AB364" s="686"/>
      <c r="AC364" s="686"/>
      <c r="AD364" s="686"/>
      <c r="AE364" s="686"/>
      <c r="AF364" s="686"/>
    </row>
    <row r="365" ht="15.75" customHeight="1">
      <c r="A365" s="683"/>
      <c r="B365" s="683"/>
      <c r="C365" s="684"/>
      <c r="D365" s="684"/>
      <c r="E365" s="684"/>
      <c r="F365" s="683"/>
      <c r="G365" s="683"/>
      <c r="H365" s="683"/>
      <c r="I365" s="683"/>
      <c r="J365" s="683"/>
      <c r="K365" s="683"/>
      <c r="L365" s="685"/>
      <c r="M365" s="685"/>
      <c r="N365" s="685"/>
      <c r="O365" s="683"/>
      <c r="P365" s="683"/>
      <c r="Q365" s="686"/>
      <c r="R365" s="686"/>
      <c r="S365" s="686"/>
      <c r="T365" s="686"/>
      <c r="U365" s="686"/>
      <c r="V365" s="686"/>
      <c r="W365" s="686"/>
      <c r="X365" s="686"/>
      <c r="Y365" s="686"/>
      <c r="Z365" s="686"/>
      <c r="AA365" s="686"/>
      <c r="AB365" s="686"/>
      <c r="AC365" s="686"/>
      <c r="AD365" s="686"/>
      <c r="AE365" s="686"/>
      <c r="AF365" s="686"/>
    </row>
    <row r="366" ht="15.75" customHeight="1">
      <c r="A366" s="683"/>
      <c r="B366" s="683"/>
      <c r="C366" s="684"/>
      <c r="D366" s="684"/>
      <c r="E366" s="684"/>
      <c r="F366" s="683"/>
      <c r="G366" s="683"/>
      <c r="H366" s="683"/>
      <c r="I366" s="683"/>
      <c r="J366" s="683"/>
      <c r="K366" s="683"/>
      <c r="L366" s="685"/>
      <c r="M366" s="685"/>
      <c r="N366" s="685"/>
      <c r="O366" s="683"/>
      <c r="P366" s="683"/>
      <c r="Q366" s="686"/>
      <c r="R366" s="686"/>
      <c r="S366" s="686"/>
      <c r="T366" s="686"/>
      <c r="U366" s="686"/>
      <c r="V366" s="686"/>
      <c r="W366" s="686"/>
      <c r="X366" s="686"/>
      <c r="Y366" s="686"/>
      <c r="Z366" s="686"/>
      <c r="AA366" s="686"/>
      <c r="AB366" s="686"/>
      <c r="AC366" s="686"/>
      <c r="AD366" s="686"/>
      <c r="AE366" s="686"/>
      <c r="AF366" s="686"/>
    </row>
    <row r="367" ht="15.75" customHeight="1">
      <c r="A367" s="683"/>
      <c r="B367" s="683"/>
      <c r="C367" s="684"/>
      <c r="D367" s="684"/>
      <c r="E367" s="684"/>
      <c r="F367" s="683"/>
      <c r="G367" s="683"/>
      <c r="H367" s="683"/>
      <c r="I367" s="683"/>
      <c r="J367" s="683"/>
      <c r="K367" s="683"/>
      <c r="L367" s="685"/>
      <c r="M367" s="685"/>
      <c r="N367" s="685"/>
      <c r="O367" s="683"/>
      <c r="P367" s="683"/>
      <c r="Q367" s="686"/>
      <c r="R367" s="686"/>
      <c r="S367" s="686"/>
      <c r="T367" s="686"/>
      <c r="U367" s="686"/>
      <c r="V367" s="686"/>
      <c r="W367" s="686"/>
      <c r="X367" s="686"/>
      <c r="Y367" s="686"/>
      <c r="Z367" s="686"/>
      <c r="AA367" s="686"/>
      <c r="AB367" s="686"/>
      <c r="AC367" s="686"/>
      <c r="AD367" s="686"/>
      <c r="AE367" s="686"/>
      <c r="AF367" s="686"/>
    </row>
    <row r="368" ht="15.75" customHeight="1">
      <c r="A368" s="683"/>
      <c r="B368" s="683"/>
      <c r="C368" s="684"/>
      <c r="D368" s="684"/>
      <c r="E368" s="684"/>
      <c r="F368" s="683"/>
      <c r="G368" s="683"/>
      <c r="H368" s="683"/>
      <c r="I368" s="683"/>
      <c r="J368" s="683"/>
      <c r="K368" s="683"/>
      <c r="L368" s="685"/>
      <c r="M368" s="685"/>
      <c r="N368" s="685"/>
      <c r="O368" s="683"/>
      <c r="P368" s="683"/>
      <c r="Q368" s="686"/>
      <c r="R368" s="686"/>
      <c r="S368" s="686"/>
      <c r="T368" s="686"/>
      <c r="U368" s="686"/>
      <c r="V368" s="686"/>
      <c r="W368" s="686"/>
      <c r="X368" s="686"/>
      <c r="Y368" s="686"/>
      <c r="Z368" s="686"/>
      <c r="AA368" s="686"/>
      <c r="AB368" s="686"/>
      <c r="AC368" s="686"/>
      <c r="AD368" s="686"/>
      <c r="AE368" s="686"/>
      <c r="AF368" s="686"/>
    </row>
    <row r="369" ht="15.75" customHeight="1">
      <c r="A369" s="683"/>
      <c r="B369" s="683"/>
      <c r="C369" s="684"/>
      <c r="D369" s="684"/>
      <c r="E369" s="684"/>
      <c r="F369" s="683"/>
      <c r="G369" s="683"/>
      <c r="H369" s="683"/>
      <c r="I369" s="683"/>
      <c r="J369" s="683"/>
      <c r="K369" s="683"/>
      <c r="L369" s="685"/>
      <c r="M369" s="685"/>
      <c r="N369" s="685"/>
      <c r="O369" s="683"/>
      <c r="P369" s="683"/>
      <c r="Q369" s="686"/>
      <c r="R369" s="686"/>
      <c r="S369" s="686"/>
      <c r="T369" s="686"/>
      <c r="U369" s="686"/>
      <c r="V369" s="686"/>
      <c r="W369" s="686"/>
      <c r="X369" s="686"/>
      <c r="Y369" s="686"/>
      <c r="Z369" s="686"/>
      <c r="AA369" s="686"/>
      <c r="AB369" s="686"/>
      <c r="AC369" s="686"/>
      <c r="AD369" s="686"/>
      <c r="AE369" s="686"/>
      <c r="AF369" s="686"/>
    </row>
    <row r="370" ht="15.75" customHeight="1">
      <c r="A370" s="683"/>
      <c r="B370" s="683"/>
      <c r="C370" s="684"/>
      <c r="D370" s="684"/>
      <c r="E370" s="684"/>
      <c r="F370" s="683"/>
      <c r="G370" s="683"/>
      <c r="H370" s="683"/>
      <c r="I370" s="683"/>
      <c r="J370" s="683"/>
      <c r="K370" s="683"/>
      <c r="L370" s="685"/>
      <c r="M370" s="685"/>
      <c r="N370" s="685"/>
      <c r="O370" s="683"/>
      <c r="P370" s="683"/>
      <c r="Q370" s="686"/>
      <c r="R370" s="686"/>
      <c r="S370" s="686"/>
      <c r="T370" s="686"/>
      <c r="U370" s="686"/>
      <c r="V370" s="686"/>
      <c r="W370" s="686"/>
      <c r="X370" s="686"/>
      <c r="Y370" s="686"/>
      <c r="Z370" s="686"/>
      <c r="AA370" s="686"/>
      <c r="AB370" s="686"/>
      <c r="AC370" s="686"/>
      <c r="AD370" s="686"/>
      <c r="AE370" s="686"/>
      <c r="AF370" s="686"/>
    </row>
    <row r="371" ht="15.75" customHeight="1">
      <c r="A371" s="683"/>
      <c r="B371" s="683"/>
      <c r="C371" s="684"/>
      <c r="D371" s="684"/>
      <c r="E371" s="684"/>
      <c r="F371" s="683"/>
      <c r="G371" s="683"/>
      <c r="H371" s="683"/>
      <c r="I371" s="683"/>
      <c r="J371" s="683"/>
      <c r="K371" s="683"/>
      <c r="L371" s="685"/>
      <c r="M371" s="685"/>
      <c r="N371" s="685"/>
      <c r="O371" s="683"/>
      <c r="P371" s="683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86"/>
      <c r="AB371" s="686"/>
      <c r="AC371" s="686"/>
      <c r="AD371" s="686"/>
      <c r="AE371" s="686"/>
      <c r="AF371" s="686"/>
    </row>
    <row r="372" ht="15.75" customHeight="1">
      <c r="A372" s="683"/>
      <c r="B372" s="683"/>
      <c r="C372" s="684"/>
      <c r="D372" s="684"/>
      <c r="E372" s="684"/>
      <c r="F372" s="683"/>
      <c r="G372" s="683"/>
      <c r="H372" s="683"/>
      <c r="I372" s="683"/>
      <c r="J372" s="683"/>
      <c r="K372" s="683"/>
      <c r="L372" s="685"/>
      <c r="M372" s="685"/>
      <c r="N372" s="685"/>
      <c r="O372" s="683"/>
      <c r="P372" s="683"/>
      <c r="Q372" s="686"/>
      <c r="R372" s="686"/>
      <c r="S372" s="686"/>
      <c r="T372" s="686"/>
      <c r="U372" s="686"/>
      <c r="V372" s="686"/>
      <c r="W372" s="686"/>
      <c r="X372" s="686"/>
      <c r="Y372" s="686"/>
      <c r="Z372" s="686"/>
      <c r="AA372" s="686"/>
      <c r="AB372" s="686"/>
      <c r="AC372" s="686"/>
      <c r="AD372" s="686"/>
      <c r="AE372" s="686"/>
      <c r="AF372" s="686"/>
    </row>
    <row r="373" ht="15.75" customHeight="1">
      <c r="A373" s="683"/>
      <c r="B373" s="683"/>
      <c r="C373" s="684"/>
      <c r="D373" s="684"/>
      <c r="E373" s="684"/>
      <c r="F373" s="683"/>
      <c r="G373" s="683"/>
      <c r="H373" s="683"/>
      <c r="I373" s="683"/>
      <c r="J373" s="683"/>
      <c r="K373" s="683"/>
      <c r="L373" s="685"/>
      <c r="M373" s="685"/>
      <c r="N373" s="685"/>
      <c r="O373" s="683"/>
      <c r="P373" s="683"/>
      <c r="Q373" s="686"/>
      <c r="R373" s="686"/>
      <c r="S373" s="686"/>
      <c r="T373" s="686"/>
      <c r="U373" s="686"/>
      <c r="V373" s="686"/>
      <c r="W373" s="686"/>
      <c r="X373" s="686"/>
      <c r="Y373" s="686"/>
      <c r="Z373" s="686"/>
      <c r="AA373" s="686"/>
      <c r="AB373" s="686"/>
      <c r="AC373" s="686"/>
      <c r="AD373" s="686"/>
      <c r="AE373" s="686"/>
      <c r="AF373" s="686"/>
    </row>
    <row r="374" ht="15.75" customHeight="1">
      <c r="A374" s="683"/>
      <c r="B374" s="683"/>
      <c r="C374" s="684"/>
      <c r="D374" s="684"/>
      <c r="E374" s="684"/>
      <c r="F374" s="683"/>
      <c r="G374" s="683"/>
      <c r="H374" s="683"/>
      <c r="I374" s="683"/>
      <c r="J374" s="683"/>
      <c r="K374" s="683"/>
      <c r="L374" s="685"/>
      <c r="M374" s="685"/>
      <c r="N374" s="685"/>
      <c r="O374" s="683"/>
      <c r="P374" s="683"/>
      <c r="Q374" s="686"/>
      <c r="R374" s="686"/>
      <c r="S374" s="686"/>
      <c r="T374" s="686"/>
      <c r="U374" s="686"/>
      <c r="V374" s="686"/>
      <c r="W374" s="686"/>
      <c r="X374" s="686"/>
      <c r="Y374" s="686"/>
      <c r="Z374" s="686"/>
      <c r="AA374" s="686"/>
      <c r="AB374" s="686"/>
      <c r="AC374" s="686"/>
      <c r="AD374" s="686"/>
      <c r="AE374" s="686"/>
      <c r="AF374" s="686"/>
    </row>
    <row r="375" ht="15.75" customHeight="1">
      <c r="A375" s="683"/>
      <c r="B375" s="683"/>
      <c r="C375" s="684"/>
      <c r="D375" s="684"/>
      <c r="E375" s="684"/>
      <c r="F375" s="683"/>
      <c r="G375" s="683"/>
      <c r="H375" s="683"/>
      <c r="I375" s="683"/>
      <c r="J375" s="683"/>
      <c r="K375" s="683"/>
      <c r="L375" s="683"/>
      <c r="M375" s="683"/>
      <c r="N375" s="683"/>
      <c r="O375" s="683"/>
      <c r="P375" s="683"/>
      <c r="Q375" s="686"/>
      <c r="R375" s="686"/>
      <c r="S375" s="686"/>
      <c r="T375" s="686"/>
      <c r="U375" s="686"/>
      <c r="V375" s="686"/>
      <c r="W375" s="686"/>
      <c r="X375" s="686"/>
      <c r="Y375" s="686"/>
      <c r="Z375" s="686"/>
      <c r="AA375" s="686"/>
      <c r="AB375" s="686"/>
      <c r="AC375" s="686"/>
      <c r="AD375" s="686"/>
      <c r="AE375" s="686"/>
      <c r="AF375" s="686"/>
    </row>
    <row r="376" ht="15.75" customHeight="1">
      <c r="A376" s="683"/>
      <c r="B376" s="683"/>
      <c r="C376" s="684"/>
      <c r="D376" s="684"/>
      <c r="E376" s="684"/>
      <c r="F376" s="683"/>
      <c r="G376" s="683"/>
      <c r="H376" s="683"/>
      <c r="I376" s="683"/>
      <c r="J376" s="683"/>
      <c r="K376" s="683"/>
      <c r="L376" s="685"/>
      <c r="M376" s="685"/>
      <c r="N376" s="685"/>
      <c r="O376" s="683"/>
      <c r="P376" s="683"/>
      <c r="Q376" s="686"/>
      <c r="R376" s="686"/>
      <c r="S376" s="686"/>
      <c r="T376" s="686"/>
      <c r="U376" s="686"/>
      <c r="V376" s="686"/>
      <c r="W376" s="686"/>
      <c r="X376" s="686"/>
      <c r="Y376" s="686"/>
      <c r="Z376" s="686"/>
      <c r="AA376" s="686"/>
      <c r="AB376" s="686"/>
      <c r="AC376" s="686"/>
      <c r="AD376" s="686"/>
      <c r="AE376" s="686"/>
      <c r="AF376" s="686"/>
    </row>
    <row r="377" ht="15.75" customHeight="1">
      <c r="A377" s="683"/>
      <c r="B377" s="683"/>
      <c r="C377" s="684"/>
      <c r="D377" s="684"/>
      <c r="E377" s="684"/>
      <c r="F377" s="683"/>
      <c r="G377" s="683"/>
      <c r="H377" s="683"/>
      <c r="I377" s="683"/>
      <c r="J377" s="683"/>
      <c r="K377" s="683"/>
      <c r="L377" s="685"/>
      <c r="M377" s="685"/>
      <c r="N377" s="685"/>
      <c r="O377" s="683"/>
      <c r="P377" s="683"/>
      <c r="Q377" s="686"/>
      <c r="R377" s="686"/>
      <c r="S377" s="686"/>
      <c r="T377" s="686"/>
      <c r="U377" s="686"/>
      <c r="V377" s="686"/>
      <c r="W377" s="686"/>
      <c r="X377" s="686"/>
      <c r="Y377" s="686"/>
      <c r="Z377" s="686"/>
      <c r="AA377" s="686"/>
      <c r="AB377" s="686"/>
      <c r="AC377" s="686"/>
      <c r="AD377" s="686"/>
      <c r="AE377" s="686"/>
      <c r="AF377" s="686"/>
    </row>
    <row r="378" ht="15.75" customHeight="1">
      <c r="A378" s="683"/>
      <c r="B378" s="683"/>
      <c r="C378" s="684"/>
      <c r="D378" s="684"/>
      <c r="E378" s="684"/>
      <c r="F378" s="683"/>
      <c r="G378" s="683"/>
      <c r="H378" s="683"/>
      <c r="I378" s="683"/>
      <c r="J378" s="683"/>
      <c r="K378" s="683"/>
      <c r="L378" s="683"/>
      <c r="M378" s="683"/>
      <c r="N378" s="683"/>
      <c r="O378" s="683"/>
      <c r="P378" s="683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86"/>
      <c r="AB378" s="686"/>
      <c r="AC378" s="686"/>
      <c r="AD378" s="686"/>
      <c r="AE378" s="686"/>
      <c r="AF378" s="686"/>
    </row>
    <row r="379" ht="15.75" customHeight="1">
      <c r="A379" s="683"/>
      <c r="B379" s="683"/>
      <c r="C379" s="684"/>
      <c r="D379" s="684"/>
      <c r="E379" s="684"/>
      <c r="F379" s="683"/>
      <c r="G379" s="683"/>
      <c r="H379" s="683"/>
      <c r="I379" s="683"/>
      <c r="J379" s="683"/>
      <c r="K379" s="683"/>
      <c r="L379" s="685"/>
      <c r="M379" s="685"/>
      <c r="N379" s="687"/>
      <c r="O379" s="683"/>
      <c r="P379" s="683"/>
      <c r="Q379" s="686"/>
      <c r="R379" s="686"/>
      <c r="S379" s="686"/>
      <c r="T379" s="686"/>
      <c r="U379" s="686"/>
      <c r="V379" s="686"/>
      <c r="W379" s="686"/>
      <c r="X379" s="686"/>
      <c r="Y379" s="686"/>
      <c r="Z379" s="686"/>
      <c r="AA379" s="686"/>
      <c r="AB379" s="686"/>
      <c r="AC379" s="686"/>
      <c r="AD379" s="686"/>
      <c r="AE379" s="686"/>
      <c r="AF379" s="686"/>
    </row>
    <row r="380" ht="15.75" customHeight="1">
      <c r="A380" s="683"/>
      <c r="B380" s="683"/>
      <c r="C380" s="684"/>
      <c r="D380" s="684"/>
      <c r="E380" s="684"/>
      <c r="F380" s="683"/>
      <c r="G380" s="683"/>
      <c r="H380" s="683"/>
      <c r="I380" s="683"/>
      <c r="J380" s="683"/>
      <c r="K380" s="683"/>
      <c r="L380" s="685"/>
      <c r="M380" s="685"/>
      <c r="N380" s="685"/>
      <c r="O380" s="683"/>
      <c r="P380" s="683"/>
      <c r="Q380" s="686"/>
      <c r="R380" s="686"/>
      <c r="S380" s="686"/>
      <c r="T380" s="686"/>
      <c r="U380" s="686"/>
      <c r="V380" s="686"/>
      <c r="W380" s="686"/>
      <c r="X380" s="686"/>
      <c r="Y380" s="686"/>
      <c r="Z380" s="686"/>
      <c r="AA380" s="686"/>
      <c r="AB380" s="686"/>
      <c r="AC380" s="686"/>
      <c r="AD380" s="686"/>
      <c r="AE380" s="686"/>
      <c r="AF380" s="686"/>
    </row>
    <row r="381" ht="15.75" customHeight="1">
      <c r="A381" s="683"/>
      <c r="B381" s="683"/>
      <c r="C381" s="684"/>
      <c r="D381" s="684"/>
      <c r="E381" s="684"/>
      <c r="F381" s="683"/>
      <c r="G381" s="683"/>
      <c r="H381" s="683"/>
      <c r="I381" s="683"/>
      <c r="J381" s="683"/>
      <c r="K381" s="683"/>
      <c r="L381" s="685"/>
      <c r="M381" s="685"/>
      <c r="N381" s="685"/>
      <c r="O381" s="683"/>
      <c r="P381" s="683"/>
      <c r="Q381" s="686"/>
      <c r="R381" s="686"/>
      <c r="S381" s="686"/>
      <c r="T381" s="686"/>
      <c r="U381" s="686"/>
      <c r="V381" s="686"/>
      <c r="W381" s="686"/>
      <c r="X381" s="686"/>
      <c r="Y381" s="686"/>
      <c r="Z381" s="686"/>
      <c r="AA381" s="686"/>
      <c r="AB381" s="686"/>
      <c r="AC381" s="686"/>
      <c r="AD381" s="686"/>
      <c r="AE381" s="686"/>
      <c r="AF381" s="686"/>
    </row>
    <row r="382" ht="15.75" customHeight="1">
      <c r="A382" s="683"/>
      <c r="B382" s="683"/>
      <c r="C382" s="684"/>
      <c r="D382" s="684"/>
      <c r="E382" s="684"/>
      <c r="F382" s="683"/>
      <c r="G382" s="683"/>
      <c r="H382" s="683"/>
      <c r="I382" s="683"/>
      <c r="J382" s="683"/>
      <c r="K382" s="683"/>
      <c r="L382" s="683"/>
      <c r="M382" s="683"/>
      <c r="N382" s="683"/>
      <c r="O382" s="683"/>
      <c r="P382" s="683"/>
      <c r="Q382" s="686"/>
      <c r="R382" s="686"/>
      <c r="S382" s="686"/>
      <c r="T382" s="686"/>
      <c r="U382" s="686"/>
      <c r="V382" s="686"/>
      <c r="W382" s="686"/>
      <c r="X382" s="686"/>
      <c r="Y382" s="686"/>
      <c r="Z382" s="686"/>
      <c r="AA382" s="686"/>
      <c r="AB382" s="686"/>
      <c r="AC382" s="686"/>
      <c r="AD382" s="686"/>
      <c r="AE382" s="686"/>
      <c r="AF382" s="686"/>
    </row>
    <row r="383" ht="15.75" customHeight="1">
      <c r="A383" s="683"/>
      <c r="B383" s="683"/>
      <c r="C383" s="684"/>
      <c r="D383" s="684"/>
      <c r="E383" s="684"/>
      <c r="F383" s="683"/>
      <c r="G383" s="683"/>
      <c r="H383" s="683"/>
      <c r="I383" s="683"/>
      <c r="J383" s="683"/>
      <c r="K383" s="683"/>
      <c r="L383" s="685"/>
      <c r="M383" s="685"/>
      <c r="N383" s="685"/>
      <c r="O383" s="683"/>
      <c r="P383" s="683"/>
      <c r="Q383" s="686"/>
      <c r="R383" s="686"/>
      <c r="S383" s="686"/>
      <c r="T383" s="686"/>
      <c r="U383" s="686"/>
      <c r="V383" s="686"/>
      <c r="W383" s="686"/>
      <c r="X383" s="686"/>
      <c r="Y383" s="686"/>
      <c r="Z383" s="686"/>
      <c r="AA383" s="686"/>
      <c r="AB383" s="686"/>
      <c r="AC383" s="686"/>
      <c r="AD383" s="686"/>
      <c r="AE383" s="686"/>
      <c r="AF383" s="686"/>
    </row>
    <row r="384" ht="15.75" customHeight="1">
      <c r="A384" s="683"/>
      <c r="B384" s="683"/>
      <c r="C384" s="684"/>
      <c r="D384" s="684"/>
      <c r="E384" s="684"/>
      <c r="F384" s="683"/>
      <c r="G384" s="683"/>
      <c r="H384" s="683"/>
      <c r="I384" s="683"/>
      <c r="J384" s="683"/>
      <c r="K384" s="683"/>
      <c r="L384" s="685"/>
      <c r="M384" s="685"/>
      <c r="N384" s="685"/>
      <c r="O384" s="683"/>
      <c r="P384" s="683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86"/>
      <c r="AB384" s="686"/>
      <c r="AC384" s="686"/>
      <c r="AD384" s="686"/>
      <c r="AE384" s="686"/>
      <c r="AF384" s="686"/>
    </row>
    <row r="385" ht="15.75" customHeight="1">
      <c r="A385" s="683"/>
      <c r="B385" s="683"/>
      <c r="C385" s="684"/>
      <c r="D385" s="684"/>
      <c r="E385" s="684"/>
      <c r="F385" s="683"/>
      <c r="G385" s="683"/>
      <c r="H385" s="683"/>
      <c r="I385" s="683"/>
      <c r="J385" s="683"/>
      <c r="K385" s="683"/>
      <c r="L385" s="685"/>
      <c r="M385" s="685"/>
      <c r="N385" s="685"/>
      <c r="O385" s="683"/>
      <c r="P385" s="683"/>
      <c r="Q385" s="686"/>
      <c r="R385" s="686"/>
      <c r="S385" s="686"/>
      <c r="T385" s="686"/>
      <c r="U385" s="686"/>
      <c r="V385" s="686"/>
      <c r="W385" s="686"/>
      <c r="X385" s="686"/>
      <c r="Y385" s="686"/>
      <c r="Z385" s="686"/>
      <c r="AA385" s="686"/>
      <c r="AB385" s="686"/>
      <c r="AC385" s="686"/>
      <c r="AD385" s="686"/>
      <c r="AE385" s="686"/>
      <c r="AF385" s="686"/>
    </row>
    <row r="386" ht="15.75" customHeight="1">
      <c r="A386" s="683"/>
      <c r="B386" s="683"/>
      <c r="C386" s="684"/>
      <c r="D386" s="684"/>
      <c r="E386" s="684"/>
      <c r="F386" s="683"/>
      <c r="G386" s="683"/>
      <c r="H386" s="683"/>
      <c r="I386" s="683"/>
      <c r="J386" s="683"/>
      <c r="K386" s="683"/>
      <c r="L386" s="685"/>
      <c r="M386" s="685"/>
      <c r="N386" s="685"/>
      <c r="O386" s="683"/>
      <c r="P386" s="683"/>
      <c r="Q386" s="686"/>
      <c r="R386" s="686"/>
      <c r="S386" s="686"/>
      <c r="T386" s="686"/>
      <c r="U386" s="686"/>
      <c r="V386" s="686"/>
      <c r="W386" s="686"/>
      <c r="X386" s="686"/>
      <c r="Y386" s="686"/>
      <c r="Z386" s="686"/>
      <c r="AA386" s="686"/>
      <c r="AB386" s="686"/>
      <c r="AC386" s="686"/>
      <c r="AD386" s="686"/>
      <c r="AE386" s="686"/>
      <c r="AF386" s="686"/>
    </row>
    <row r="387" ht="15.75" customHeight="1">
      <c r="A387" s="683"/>
      <c r="B387" s="683"/>
      <c r="C387" s="684"/>
      <c r="D387" s="684"/>
      <c r="E387" s="684"/>
      <c r="F387" s="683"/>
      <c r="G387" s="683"/>
      <c r="H387" s="683"/>
      <c r="I387" s="683"/>
      <c r="J387" s="683"/>
      <c r="K387" s="683"/>
      <c r="L387" s="685"/>
      <c r="M387" s="685"/>
      <c r="N387" s="685"/>
      <c r="O387" s="683"/>
      <c r="P387" s="683"/>
      <c r="Q387" s="686"/>
      <c r="R387" s="686"/>
      <c r="S387" s="686"/>
      <c r="T387" s="686"/>
      <c r="U387" s="686"/>
      <c r="V387" s="686"/>
      <c r="W387" s="686"/>
      <c r="X387" s="686"/>
      <c r="Y387" s="686"/>
      <c r="Z387" s="686"/>
      <c r="AA387" s="686"/>
      <c r="AB387" s="686"/>
      <c r="AC387" s="686"/>
      <c r="AD387" s="686"/>
      <c r="AE387" s="686"/>
      <c r="AF387" s="686"/>
    </row>
    <row r="388" ht="15.75" customHeight="1">
      <c r="A388" s="683"/>
      <c r="B388" s="683"/>
      <c r="C388" s="684"/>
      <c r="D388" s="684"/>
      <c r="E388" s="684"/>
      <c r="F388" s="683"/>
      <c r="G388" s="683"/>
      <c r="H388" s="683"/>
      <c r="I388" s="683"/>
      <c r="J388" s="683"/>
      <c r="K388" s="683"/>
      <c r="L388" s="685"/>
      <c r="M388" s="685"/>
      <c r="N388" s="685"/>
      <c r="O388" s="683"/>
      <c r="P388" s="683"/>
      <c r="Q388" s="686"/>
      <c r="R388" s="686"/>
      <c r="S388" s="686"/>
      <c r="T388" s="686"/>
      <c r="U388" s="686"/>
      <c r="V388" s="686"/>
      <c r="W388" s="686"/>
      <c r="X388" s="686"/>
      <c r="Y388" s="686"/>
      <c r="Z388" s="686"/>
      <c r="AA388" s="686"/>
      <c r="AB388" s="686"/>
      <c r="AC388" s="686"/>
      <c r="AD388" s="686"/>
      <c r="AE388" s="686"/>
      <c r="AF388" s="686"/>
    </row>
    <row r="389" ht="15.75" customHeight="1">
      <c r="A389" s="683"/>
      <c r="B389" s="683"/>
      <c r="C389" s="684"/>
      <c r="D389" s="684"/>
      <c r="E389" s="684"/>
      <c r="F389" s="683"/>
      <c r="G389" s="683"/>
      <c r="H389" s="683"/>
      <c r="I389" s="683"/>
      <c r="J389" s="683"/>
      <c r="K389" s="683"/>
      <c r="L389" s="685"/>
      <c r="M389" s="685"/>
      <c r="N389" s="685"/>
      <c r="O389" s="683"/>
      <c r="P389" s="683"/>
      <c r="Q389" s="686"/>
      <c r="R389" s="686"/>
      <c r="S389" s="686"/>
      <c r="T389" s="686"/>
      <c r="U389" s="686"/>
      <c r="V389" s="686"/>
      <c r="W389" s="686"/>
      <c r="X389" s="686"/>
      <c r="Y389" s="686"/>
      <c r="Z389" s="686"/>
      <c r="AA389" s="686"/>
      <c r="AB389" s="686"/>
      <c r="AC389" s="686"/>
      <c r="AD389" s="686"/>
      <c r="AE389" s="686"/>
      <c r="AF389" s="686"/>
    </row>
    <row r="390" ht="15.75" customHeight="1">
      <c r="A390" s="683"/>
      <c r="B390" s="683"/>
      <c r="C390" s="684"/>
      <c r="D390" s="684"/>
      <c r="E390" s="684"/>
      <c r="F390" s="683"/>
      <c r="G390" s="683"/>
      <c r="H390" s="683"/>
      <c r="I390" s="683"/>
      <c r="J390" s="683"/>
      <c r="K390" s="683"/>
      <c r="L390" s="685"/>
      <c r="M390" s="685"/>
      <c r="N390" s="685"/>
      <c r="O390" s="683"/>
      <c r="P390" s="683"/>
      <c r="Q390" s="686"/>
      <c r="R390" s="686"/>
      <c r="S390" s="686"/>
      <c r="T390" s="686"/>
      <c r="U390" s="686"/>
      <c r="V390" s="686"/>
      <c r="W390" s="686"/>
      <c r="X390" s="686"/>
      <c r="Y390" s="686"/>
      <c r="Z390" s="686"/>
      <c r="AA390" s="686"/>
      <c r="AB390" s="686"/>
      <c r="AC390" s="686"/>
      <c r="AD390" s="686"/>
      <c r="AE390" s="686"/>
      <c r="AF390" s="686"/>
    </row>
    <row r="391" ht="15.75" customHeight="1">
      <c r="A391" s="683"/>
      <c r="B391" s="683"/>
      <c r="C391" s="684"/>
      <c r="D391" s="684"/>
      <c r="E391" s="684"/>
      <c r="F391" s="683"/>
      <c r="G391" s="683"/>
      <c r="H391" s="683"/>
      <c r="I391" s="683"/>
      <c r="J391" s="683"/>
      <c r="K391" s="683"/>
      <c r="L391" s="685"/>
      <c r="M391" s="685"/>
      <c r="N391" s="685"/>
      <c r="O391" s="683"/>
      <c r="P391" s="683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86"/>
      <c r="AB391" s="686"/>
      <c r="AC391" s="686"/>
      <c r="AD391" s="686"/>
      <c r="AE391" s="686"/>
      <c r="AF391" s="686"/>
    </row>
    <row r="392" ht="15.75" customHeight="1">
      <c r="A392" s="683"/>
      <c r="B392" s="683"/>
      <c r="C392" s="684"/>
      <c r="D392" s="684"/>
      <c r="E392" s="684"/>
      <c r="F392" s="683"/>
      <c r="G392" s="683"/>
      <c r="H392" s="683"/>
      <c r="I392" s="683"/>
      <c r="J392" s="683"/>
      <c r="K392" s="683"/>
      <c r="L392" s="683"/>
      <c r="M392" s="683"/>
      <c r="N392" s="683"/>
      <c r="O392" s="683"/>
      <c r="P392" s="683"/>
      <c r="Q392" s="686"/>
      <c r="R392" s="686"/>
      <c r="S392" s="686"/>
      <c r="T392" s="686"/>
      <c r="U392" s="686"/>
      <c r="V392" s="686"/>
      <c r="W392" s="686"/>
      <c r="X392" s="686"/>
      <c r="Y392" s="686"/>
      <c r="Z392" s="686"/>
      <c r="AA392" s="686"/>
      <c r="AB392" s="686"/>
      <c r="AC392" s="686"/>
      <c r="AD392" s="686"/>
      <c r="AE392" s="686"/>
      <c r="AF392" s="686"/>
    </row>
    <row r="393" ht="15.75" customHeight="1">
      <c r="A393" s="683"/>
      <c r="B393" s="683"/>
      <c r="C393" s="684"/>
      <c r="D393" s="684"/>
      <c r="E393" s="684"/>
      <c r="F393" s="683"/>
      <c r="G393" s="683"/>
      <c r="H393" s="683"/>
      <c r="I393" s="683"/>
      <c r="J393" s="683"/>
      <c r="K393" s="683"/>
      <c r="L393" s="685"/>
      <c r="M393" s="685"/>
      <c r="N393" s="685"/>
      <c r="O393" s="683"/>
      <c r="P393" s="683"/>
      <c r="Q393" s="686"/>
      <c r="R393" s="686"/>
      <c r="S393" s="686"/>
      <c r="T393" s="686"/>
      <c r="U393" s="686"/>
      <c r="V393" s="686"/>
      <c r="W393" s="686"/>
      <c r="X393" s="686"/>
      <c r="Y393" s="686"/>
      <c r="Z393" s="686"/>
      <c r="AA393" s="686"/>
      <c r="AB393" s="686"/>
      <c r="AC393" s="686"/>
      <c r="AD393" s="686"/>
      <c r="AE393" s="686"/>
      <c r="AF393" s="686"/>
    </row>
    <row r="394" ht="15.75" customHeight="1">
      <c r="A394" s="683"/>
      <c r="B394" s="683"/>
      <c r="C394" s="684"/>
      <c r="D394" s="684"/>
      <c r="E394" s="684"/>
      <c r="F394" s="683"/>
      <c r="G394" s="683"/>
      <c r="H394" s="683"/>
      <c r="I394" s="683"/>
      <c r="J394" s="683"/>
      <c r="K394" s="683"/>
      <c r="L394" s="683"/>
      <c r="M394" s="683"/>
      <c r="N394" s="683"/>
      <c r="O394" s="683"/>
      <c r="P394" s="683"/>
      <c r="Q394" s="686"/>
      <c r="R394" s="686"/>
      <c r="S394" s="686"/>
      <c r="T394" s="686"/>
      <c r="U394" s="686"/>
      <c r="V394" s="686"/>
      <c r="W394" s="686"/>
      <c r="X394" s="686"/>
      <c r="Y394" s="686"/>
      <c r="Z394" s="686"/>
      <c r="AA394" s="686"/>
      <c r="AB394" s="686"/>
      <c r="AC394" s="686"/>
      <c r="AD394" s="686"/>
      <c r="AE394" s="686"/>
      <c r="AF394" s="686"/>
    </row>
    <row r="395" ht="15.75" customHeight="1">
      <c r="A395" s="683"/>
      <c r="B395" s="683"/>
      <c r="C395" s="684"/>
      <c r="D395" s="684"/>
      <c r="E395" s="684"/>
      <c r="F395" s="683"/>
      <c r="G395" s="683"/>
      <c r="H395" s="683"/>
      <c r="I395" s="683"/>
      <c r="J395" s="683"/>
      <c r="K395" s="683"/>
      <c r="L395" s="685"/>
      <c r="M395" s="685"/>
      <c r="N395" s="685"/>
      <c r="O395" s="683"/>
      <c r="P395" s="683"/>
      <c r="Q395" s="686"/>
      <c r="R395" s="686"/>
      <c r="S395" s="686"/>
      <c r="T395" s="686"/>
      <c r="U395" s="686"/>
      <c r="V395" s="686"/>
      <c r="W395" s="686"/>
      <c r="X395" s="686"/>
      <c r="Y395" s="686"/>
      <c r="Z395" s="686"/>
      <c r="AA395" s="686"/>
      <c r="AB395" s="686"/>
      <c r="AC395" s="686"/>
      <c r="AD395" s="686"/>
      <c r="AE395" s="686"/>
      <c r="AF395" s="686"/>
    </row>
    <row r="396" ht="15.75" customHeight="1">
      <c r="A396" s="683"/>
      <c r="B396" s="683"/>
      <c r="C396" s="684"/>
      <c r="D396" s="684"/>
      <c r="E396" s="684"/>
      <c r="F396" s="683"/>
      <c r="G396" s="683"/>
      <c r="H396" s="683"/>
      <c r="I396" s="683"/>
      <c r="J396" s="683"/>
      <c r="K396" s="683"/>
      <c r="L396" s="685"/>
      <c r="M396" s="685"/>
      <c r="N396" s="685"/>
      <c r="O396" s="683"/>
      <c r="P396" s="683"/>
      <c r="Q396" s="686"/>
      <c r="R396" s="686"/>
      <c r="S396" s="686"/>
      <c r="T396" s="686"/>
      <c r="U396" s="686"/>
      <c r="V396" s="686"/>
      <c r="W396" s="686"/>
      <c r="X396" s="686"/>
      <c r="Y396" s="686"/>
      <c r="Z396" s="686"/>
      <c r="AA396" s="686"/>
      <c r="AB396" s="686"/>
      <c r="AC396" s="686"/>
      <c r="AD396" s="686"/>
      <c r="AE396" s="686"/>
      <c r="AF396" s="686"/>
    </row>
    <row r="397" ht="15.75" customHeight="1">
      <c r="A397" s="683"/>
      <c r="B397" s="683"/>
      <c r="C397" s="684"/>
      <c r="D397" s="684"/>
      <c r="E397" s="684"/>
      <c r="F397" s="683"/>
      <c r="G397" s="683"/>
      <c r="H397" s="683"/>
      <c r="I397" s="683"/>
      <c r="J397" s="683"/>
      <c r="K397" s="683"/>
      <c r="L397" s="685"/>
      <c r="M397" s="685"/>
      <c r="N397" s="685"/>
      <c r="O397" s="683"/>
      <c r="P397" s="683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86"/>
      <c r="AB397" s="686"/>
      <c r="AC397" s="686"/>
      <c r="AD397" s="686"/>
      <c r="AE397" s="686"/>
      <c r="AF397" s="686"/>
    </row>
    <row r="398" ht="15.75" customHeight="1">
      <c r="A398" s="683"/>
      <c r="B398" s="683"/>
      <c r="C398" s="684"/>
      <c r="D398" s="684"/>
      <c r="E398" s="684"/>
      <c r="F398" s="683"/>
      <c r="G398" s="683"/>
      <c r="H398" s="683"/>
      <c r="I398" s="683"/>
      <c r="J398" s="683"/>
      <c r="K398" s="683"/>
      <c r="L398" s="685"/>
      <c r="M398" s="685"/>
      <c r="N398" s="685"/>
      <c r="O398" s="683"/>
      <c r="P398" s="683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86"/>
      <c r="AB398" s="686"/>
      <c r="AC398" s="686"/>
      <c r="AD398" s="686"/>
      <c r="AE398" s="686"/>
      <c r="AF398" s="686"/>
    </row>
    <row r="399" ht="15.75" customHeight="1">
      <c r="A399" s="683"/>
      <c r="B399" s="683"/>
      <c r="C399" s="684"/>
      <c r="D399" s="684"/>
      <c r="E399" s="684"/>
      <c r="F399" s="683"/>
      <c r="G399" s="683"/>
      <c r="H399" s="683"/>
      <c r="I399" s="683"/>
      <c r="J399" s="683"/>
      <c r="K399" s="683"/>
      <c r="L399" s="685"/>
      <c r="M399" s="685"/>
      <c r="N399" s="685"/>
      <c r="O399" s="683"/>
      <c r="P399" s="683"/>
      <c r="Q399" s="686"/>
      <c r="R399" s="686"/>
      <c r="S399" s="686"/>
      <c r="T399" s="686"/>
      <c r="U399" s="686"/>
      <c r="V399" s="686"/>
      <c r="W399" s="686"/>
      <c r="X399" s="686"/>
      <c r="Y399" s="686"/>
      <c r="Z399" s="686"/>
      <c r="AA399" s="686"/>
      <c r="AB399" s="686"/>
      <c r="AC399" s="686"/>
      <c r="AD399" s="686"/>
      <c r="AE399" s="686"/>
      <c r="AF399" s="686"/>
    </row>
    <row r="400" ht="15.75" customHeight="1">
      <c r="A400" s="683"/>
      <c r="B400" s="683"/>
      <c r="C400" s="684"/>
      <c r="D400" s="684"/>
      <c r="E400" s="684"/>
      <c r="F400" s="683"/>
      <c r="G400" s="683"/>
      <c r="H400" s="683"/>
      <c r="I400" s="683"/>
      <c r="J400" s="683"/>
      <c r="K400" s="683"/>
      <c r="L400" s="685"/>
      <c r="M400" s="685"/>
      <c r="N400" s="685"/>
      <c r="O400" s="683"/>
      <c r="P400" s="683"/>
      <c r="Q400" s="686"/>
      <c r="R400" s="686"/>
      <c r="S400" s="686"/>
      <c r="T400" s="686"/>
      <c r="U400" s="686"/>
      <c r="V400" s="686"/>
      <c r="W400" s="686"/>
      <c r="X400" s="686"/>
      <c r="Y400" s="686"/>
      <c r="Z400" s="686"/>
      <c r="AA400" s="686"/>
      <c r="AB400" s="686"/>
      <c r="AC400" s="686"/>
      <c r="AD400" s="686"/>
      <c r="AE400" s="686"/>
      <c r="AF400" s="686"/>
    </row>
    <row r="401" ht="15.75" customHeight="1">
      <c r="A401" s="683"/>
      <c r="B401" s="683"/>
      <c r="C401" s="684"/>
      <c r="D401" s="684"/>
      <c r="E401" s="684"/>
      <c r="F401" s="683"/>
      <c r="G401" s="683"/>
      <c r="H401" s="683"/>
      <c r="I401" s="683"/>
      <c r="J401" s="683"/>
      <c r="K401" s="683"/>
      <c r="L401" s="685"/>
      <c r="M401" s="685"/>
      <c r="N401" s="685"/>
      <c r="O401" s="683"/>
      <c r="P401" s="683"/>
      <c r="Q401" s="686"/>
      <c r="R401" s="686"/>
      <c r="S401" s="686"/>
      <c r="T401" s="686"/>
      <c r="U401" s="686"/>
      <c r="V401" s="686"/>
      <c r="W401" s="686"/>
      <c r="X401" s="686"/>
      <c r="Y401" s="686"/>
      <c r="Z401" s="686"/>
      <c r="AA401" s="686"/>
      <c r="AB401" s="686"/>
      <c r="AC401" s="686"/>
      <c r="AD401" s="686"/>
      <c r="AE401" s="686"/>
      <c r="AF401" s="686"/>
    </row>
    <row r="402" ht="15.75" customHeight="1">
      <c r="A402" s="683"/>
      <c r="B402" s="683"/>
      <c r="C402" s="684"/>
      <c r="D402" s="684"/>
      <c r="E402" s="684"/>
      <c r="F402" s="683"/>
      <c r="G402" s="683"/>
      <c r="H402" s="683"/>
      <c r="I402" s="683"/>
      <c r="J402" s="683"/>
      <c r="K402" s="683"/>
      <c r="L402" s="685"/>
      <c r="M402" s="685"/>
      <c r="N402" s="685"/>
      <c r="O402" s="683"/>
      <c r="P402" s="683"/>
      <c r="Q402" s="686"/>
      <c r="R402" s="686"/>
      <c r="S402" s="686"/>
      <c r="T402" s="686"/>
      <c r="U402" s="686"/>
      <c r="V402" s="686"/>
      <c r="W402" s="686"/>
      <c r="X402" s="686"/>
      <c r="Y402" s="686"/>
      <c r="Z402" s="686"/>
      <c r="AA402" s="686"/>
      <c r="AB402" s="686"/>
      <c r="AC402" s="686"/>
      <c r="AD402" s="686"/>
      <c r="AE402" s="686"/>
      <c r="AF402" s="686"/>
    </row>
    <row r="403" ht="15.75" customHeight="1">
      <c r="A403" s="683"/>
      <c r="B403" s="683"/>
      <c r="C403" s="684"/>
      <c r="D403" s="684"/>
      <c r="E403" s="684"/>
      <c r="F403" s="683"/>
      <c r="G403" s="683"/>
      <c r="H403" s="683"/>
      <c r="I403" s="683"/>
      <c r="J403" s="683"/>
      <c r="K403" s="683"/>
      <c r="L403" s="685"/>
      <c r="M403" s="685"/>
      <c r="N403" s="685"/>
      <c r="O403" s="683"/>
      <c r="P403" s="683"/>
      <c r="Q403" s="686"/>
      <c r="R403" s="686"/>
      <c r="S403" s="686"/>
      <c r="T403" s="686"/>
      <c r="U403" s="686"/>
      <c r="V403" s="686"/>
      <c r="W403" s="686"/>
      <c r="X403" s="686"/>
      <c r="Y403" s="686"/>
      <c r="Z403" s="686"/>
      <c r="AA403" s="686"/>
      <c r="AB403" s="686"/>
      <c r="AC403" s="686"/>
      <c r="AD403" s="686"/>
      <c r="AE403" s="686"/>
      <c r="AF403" s="686"/>
    </row>
    <row r="404" ht="15.75" customHeight="1">
      <c r="A404" s="683"/>
      <c r="B404" s="683"/>
      <c r="C404" s="684"/>
      <c r="D404" s="684"/>
      <c r="E404" s="684"/>
      <c r="F404" s="683"/>
      <c r="G404" s="683"/>
      <c r="H404" s="683"/>
      <c r="I404" s="683"/>
      <c r="J404" s="683"/>
      <c r="K404" s="683"/>
      <c r="L404" s="685"/>
      <c r="M404" s="685"/>
      <c r="N404" s="685"/>
      <c r="O404" s="683"/>
      <c r="P404" s="683"/>
      <c r="Q404" s="686"/>
      <c r="R404" s="686"/>
      <c r="S404" s="686"/>
      <c r="T404" s="686"/>
      <c r="U404" s="686"/>
      <c r="V404" s="686"/>
      <c r="W404" s="686"/>
      <c r="X404" s="686"/>
      <c r="Y404" s="686"/>
      <c r="Z404" s="686"/>
      <c r="AA404" s="686"/>
      <c r="AB404" s="686"/>
      <c r="AC404" s="686"/>
      <c r="AD404" s="686"/>
      <c r="AE404" s="686"/>
      <c r="AF404" s="686"/>
    </row>
    <row r="405" ht="15.75" customHeight="1">
      <c r="A405" s="683"/>
      <c r="B405" s="683"/>
      <c r="C405" s="684"/>
      <c r="D405" s="684"/>
      <c r="E405" s="684"/>
      <c r="F405" s="683"/>
      <c r="G405" s="683"/>
      <c r="H405" s="683"/>
      <c r="I405" s="683"/>
      <c r="J405" s="683"/>
      <c r="K405" s="683"/>
      <c r="L405" s="685"/>
      <c r="M405" s="685"/>
      <c r="N405" s="685"/>
      <c r="O405" s="683"/>
      <c r="P405" s="683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86"/>
      <c r="AB405" s="686"/>
      <c r="AC405" s="686"/>
      <c r="AD405" s="686"/>
      <c r="AE405" s="686"/>
      <c r="AF405" s="686"/>
    </row>
    <row r="406" ht="15.75" customHeight="1">
      <c r="A406" s="683"/>
      <c r="B406" s="683"/>
      <c r="C406" s="684"/>
      <c r="D406" s="684"/>
      <c r="E406" s="684"/>
      <c r="F406" s="683"/>
      <c r="G406" s="683"/>
      <c r="H406" s="683"/>
      <c r="I406" s="683"/>
      <c r="J406" s="683"/>
      <c r="K406" s="683"/>
      <c r="L406" s="685"/>
      <c r="M406" s="685"/>
      <c r="N406" s="685"/>
      <c r="O406" s="683"/>
      <c r="P406" s="683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86"/>
      <c r="AB406" s="686"/>
      <c r="AC406" s="686"/>
      <c r="AD406" s="686"/>
      <c r="AE406" s="686"/>
      <c r="AF406" s="686"/>
    </row>
    <row r="407" ht="15.75" customHeight="1">
      <c r="A407" s="683"/>
      <c r="B407" s="683"/>
      <c r="C407" s="684"/>
      <c r="D407" s="684"/>
      <c r="E407" s="684"/>
      <c r="F407" s="683"/>
      <c r="G407" s="683"/>
      <c r="H407" s="683"/>
      <c r="I407" s="683"/>
      <c r="J407" s="683"/>
      <c r="K407" s="683"/>
      <c r="L407" s="685"/>
      <c r="M407" s="685"/>
      <c r="N407" s="685"/>
      <c r="O407" s="683"/>
      <c r="P407" s="683"/>
      <c r="Q407" s="686"/>
      <c r="R407" s="686"/>
      <c r="S407" s="686"/>
      <c r="T407" s="686"/>
      <c r="U407" s="686"/>
      <c r="V407" s="686"/>
      <c r="W407" s="686"/>
      <c r="X407" s="686"/>
      <c r="Y407" s="686"/>
      <c r="Z407" s="686"/>
      <c r="AA407" s="686"/>
      <c r="AB407" s="686"/>
      <c r="AC407" s="686"/>
      <c r="AD407" s="686"/>
      <c r="AE407" s="686"/>
      <c r="AF407" s="686"/>
    </row>
    <row r="408" ht="15.75" customHeight="1">
      <c r="A408" s="683"/>
      <c r="B408" s="683"/>
      <c r="C408" s="684"/>
      <c r="D408" s="684"/>
      <c r="E408" s="684"/>
      <c r="F408" s="683"/>
      <c r="G408" s="683"/>
      <c r="H408" s="683"/>
      <c r="I408" s="683"/>
      <c r="J408" s="683"/>
      <c r="K408" s="683"/>
      <c r="L408" s="685"/>
      <c r="M408" s="685"/>
      <c r="N408" s="685"/>
      <c r="O408" s="683"/>
      <c r="P408" s="683"/>
      <c r="Q408" s="686"/>
      <c r="R408" s="686"/>
      <c r="S408" s="686"/>
      <c r="T408" s="686"/>
      <c r="U408" s="686"/>
      <c r="V408" s="686"/>
      <c r="W408" s="686"/>
      <c r="X408" s="686"/>
      <c r="Y408" s="686"/>
      <c r="Z408" s="686"/>
      <c r="AA408" s="686"/>
      <c r="AB408" s="686"/>
      <c r="AC408" s="686"/>
      <c r="AD408" s="686"/>
      <c r="AE408" s="686"/>
      <c r="AF408" s="686"/>
    </row>
    <row r="409" ht="15.75" customHeight="1">
      <c r="A409" s="683"/>
      <c r="B409" s="683"/>
      <c r="C409" s="684"/>
      <c r="D409" s="684"/>
      <c r="E409" s="684"/>
      <c r="F409" s="683"/>
      <c r="G409" s="683"/>
      <c r="H409" s="683"/>
      <c r="I409" s="683"/>
      <c r="J409" s="683"/>
      <c r="K409" s="683"/>
      <c r="L409" s="685"/>
      <c r="M409" s="685"/>
      <c r="N409" s="685"/>
      <c r="O409" s="683"/>
      <c r="P409" s="683"/>
      <c r="Q409" s="686"/>
      <c r="R409" s="686"/>
      <c r="S409" s="686"/>
      <c r="T409" s="686"/>
      <c r="U409" s="686"/>
      <c r="V409" s="686"/>
      <c r="W409" s="686"/>
      <c r="X409" s="686"/>
      <c r="Y409" s="686"/>
      <c r="Z409" s="686"/>
      <c r="AA409" s="686"/>
      <c r="AB409" s="686"/>
      <c r="AC409" s="686"/>
      <c r="AD409" s="686"/>
      <c r="AE409" s="686"/>
      <c r="AF409" s="686"/>
    </row>
    <row r="410" ht="15.75" customHeight="1">
      <c r="A410" s="683"/>
      <c r="B410" s="683"/>
      <c r="C410" s="684"/>
      <c r="D410" s="684"/>
      <c r="E410" s="684"/>
      <c r="F410" s="683"/>
      <c r="G410" s="683"/>
      <c r="H410" s="683"/>
      <c r="I410" s="683"/>
      <c r="J410" s="683"/>
      <c r="K410" s="683"/>
      <c r="L410" s="685"/>
      <c r="M410" s="685"/>
      <c r="N410" s="685"/>
      <c r="O410" s="683"/>
      <c r="P410" s="683"/>
      <c r="Q410" s="686"/>
      <c r="R410" s="686"/>
      <c r="S410" s="686"/>
      <c r="T410" s="686"/>
      <c r="U410" s="686"/>
      <c r="V410" s="686"/>
      <c r="W410" s="686"/>
      <c r="X410" s="686"/>
      <c r="Y410" s="686"/>
      <c r="Z410" s="686"/>
      <c r="AA410" s="686"/>
      <c r="AB410" s="686"/>
      <c r="AC410" s="686"/>
      <c r="AD410" s="686"/>
      <c r="AE410" s="686"/>
      <c r="AF410" s="686"/>
    </row>
    <row r="411" ht="15.75" customHeight="1">
      <c r="A411" s="683"/>
      <c r="B411" s="683"/>
      <c r="C411" s="684"/>
      <c r="D411" s="684"/>
      <c r="E411" s="684"/>
      <c r="F411" s="683"/>
      <c r="G411" s="683"/>
      <c r="H411" s="683"/>
      <c r="I411" s="683"/>
      <c r="J411" s="683"/>
      <c r="K411" s="683"/>
      <c r="L411" s="685"/>
      <c r="M411" s="685"/>
      <c r="N411" s="685"/>
      <c r="O411" s="683"/>
      <c r="P411" s="683"/>
      <c r="Q411" s="686"/>
      <c r="R411" s="686"/>
      <c r="S411" s="686"/>
      <c r="T411" s="686"/>
      <c r="U411" s="686"/>
      <c r="V411" s="686"/>
      <c r="W411" s="686"/>
      <c r="X411" s="686"/>
      <c r="Y411" s="686"/>
      <c r="Z411" s="686"/>
      <c r="AA411" s="686"/>
      <c r="AB411" s="686"/>
      <c r="AC411" s="686"/>
      <c r="AD411" s="686"/>
      <c r="AE411" s="686"/>
      <c r="AF411" s="686"/>
    </row>
    <row r="412" ht="15.75" customHeight="1">
      <c r="A412" s="683"/>
      <c r="B412" s="683"/>
      <c r="C412" s="684"/>
      <c r="D412" s="684"/>
      <c r="E412" s="684"/>
      <c r="F412" s="683"/>
      <c r="G412" s="683"/>
      <c r="H412" s="683"/>
      <c r="I412" s="683"/>
      <c r="J412" s="683"/>
      <c r="K412" s="683"/>
      <c r="L412" s="685"/>
      <c r="M412" s="685"/>
      <c r="N412" s="685"/>
      <c r="O412" s="683"/>
      <c r="P412" s="683"/>
      <c r="Q412" s="686"/>
      <c r="R412" s="686"/>
      <c r="S412" s="686"/>
      <c r="T412" s="686"/>
      <c r="U412" s="686"/>
      <c r="V412" s="686"/>
      <c r="W412" s="686"/>
      <c r="X412" s="686"/>
      <c r="Y412" s="686"/>
      <c r="Z412" s="686"/>
      <c r="AA412" s="686"/>
      <c r="AB412" s="686"/>
      <c r="AC412" s="686"/>
      <c r="AD412" s="686"/>
      <c r="AE412" s="686"/>
      <c r="AF412" s="686"/>
    </row>
    <row r="413" ht="15.75" customHeight="1">
      <c r="A413" s="683"/>
      <c r="B413" s="683"/>
      <c r="C413" s="684"/>
      <c r="D413" s="684"/>
      <c r="E413" s="684"/>
      <c r="F413" s="683"/>
      <c r="G413" s="683"/>
      <c r="H413" s="683"/>
      <c r="I413" s="683"/>
      <c r="J413" s="683"/>
      <c r="K413" s="683"/>
      <c r="L413" s="683"/>
      <c r="M413" s="683"/>
      <c r="N413" s="683"/>
      <c r="O413" s="683"/>
      <c r="P413" s="683"/>
      <c r="Q413" s="686"/>
      <c r="R413" s="686"/>
      <c r="S413" s="686"/>
      <c r="T413" s="686"/>
      <c r="U413" s="686"/>
      <c r="V413" s="686"/>
      <c r="W413" s="686"/>
      <c r="X413" s="686"/>
      <c r="Y413" s="686"/>
      <c r="Z413" s="686"/>
      <c r="AA413" s="686"/>
      <c r="AB413" s="686"/>
      <c r="AC413" s="686"/>
      <c r="AD413" s="686"/>
      <c r="AE413" s="686"/>
      <c r="AF413" s="686"/>
    </row>
    <row r="414" ht="15.75" customHeight="1">
      <c r="A414" s="683"/>
      <c r="B414" s="683"/>
      <c r="C414" s="684"/>
      <c r="D414" s="684"/>
      <c r="E414" s="684"/>
      <c r="F414" s="683"/>
      <c r="G414" s="683"/>
      <c r="H414" s="683"/>
      <c r="I414" s="683"/>
      <c r="J414" s="683"/>
      <c r="K414" s="683"/>
      <c r="L414" s="685"/>
      <c r="M414" s="685"/>
      <c r="N414" s="685"/>
      <c r="O414" s="683"/>
      <c r="P414" s="683"/>
      <c r="Q414" s="686"/>
      <c r="R414" s="686"/>
      <c r="S414" s="686"/>
      <c r="T414" s="686"/>
      <c r="U414" s="686"/>
      <c r="V414" s="686"/>
      <c r="W414" s="686"/>
      <c r="X414" s="686"/>
      <c r="Y414" s="686"/>
      <c r="Z414" s="686"/>
      <c r="AA414" s="686"/>
      <c r="AB414" s="686"/>
      <c r="AC414" s="686"/>
      <c r="AD414" s="686"/>
      <c r="AE414" s="686"/>
      <c r="AF414" s="686"/>
    </row>
    <row r="415" ht="15.75" customHeight="1">
      <c r="A415" s="683"/>
      <c r="B415" s="683"/>
      <c r="C415" s="684"/>
      <c r="D415" s="684"/>
      <c r="E415" s="684"/>
      <c r="F415" s="683"/>
      <c r="G415" s="683"/>
      <c r="H415" s="683"/>
      <c r="I415" s="683"/>
      <c r="J415" s="683"/>
      <c r="K415" s="683"/>
      <c r="L415" s="685"/>
      <c r="M415" s="685"/>
      <c r="N415" s="685"/>
      <c r="O415" s="683"/>
      <c r="P415" s="683"/>
      <c r="Q415" s="686"/>
      <c r="R415" s="686"/>
      <c r="S415" s="686"/>
      <c r="T415" s="686"/>
      <c r="U415" s="686"/>
      <c r="V415" s="686"/>
      <c r="W415" s="686"/>
      <c r="X415" s="686"/>
      <c r="Y415" s="686"/>
      <c r="Z415" s="686"/>
      <c r="AA415" s="686"/>
      <c r="AB415" s="686"/>
      <c r="AC415" s="686"/>
      <c r="AD415" s="686"/>
      <c r="AE415" s="686"/>
      <c r="AF415" s="686"/>
    </row>
    <row r="416" ht="15.75" customHeight="1">
      <c r="A416" s="683"/>
      <c r="B416" s="683"/>
      <c r="C416" s="684"/>
      <c r="D416" s="684"/>
      <c r="E416" s="684"/>
      <c r="F416" s="683"/>
      <c r="G416" s="683"/>
      <c r="H416" s="683"/>
      <c r="I416" s="683"/>
      <c r="J416" s="683"/>
      <c r="K416" s="683"/>
      <c r="L416" s="685"/>
      <c r="M416" s="685"/>
      <c r="N416" s="685"/>
      <c r="O416" s="683"/>
      <c r="P416" s="683"/>
      <c r="Q416" s="686"/>
      <c r="R416" s="686"/>
      <c r="S416" s="686"/>
      <c r="T416" s="686"/>
      <c r="U416" s="686"/>
      <c r="V416" s="686"/>
      <c r="W416" s="686"/>
      <c r="X416" s="686"/>
      <c r="Y416" s="686"/>
      <c r="Z416" s="686"/>
      <c r="AA416" s="686"/>
      <c r="AB416" s="686"/>
      <c r="AC416" s="686"/>
      <c r="AD416" s="686"/>
      <c r="AE416" s="686"/>
      <c r="AF416" s="686"/>
    </row>
    <row r="417" ht="15.75" customHeight="1">
      <c r="A417" s="683"/>
      <c r="B417" s="683"/>
      <c r="C417" s="684"/>
      <c r="D417" s="684"/>
      <c r="E417" s="684"/>
      <c r="F417" s="683"/>
      <c r="G417" s="683"/>
      <c r="H417" s="683"/>
      <c r="I417" s="683"/>
      <c r="J417" s="683"/>
      <c r="K417" s="683"/>
      <c r="L417" s="685"/>
      <c r="M417" s="685"/>
      <c r="N417" s="685"/>
      <c r="O417" s="683"/>
      <c r="P417" s="683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86"/>
      <c r="AB417" s="686"/>
      <c r="AC417" s="686"/>
      <c r="AD417" s="686"/>
      <c r="AE417" s="686"/>
      <c r="AF417" s="686"/>
    </row>
    <row r="418" ht="15.75" customHeight="1">
      <c r="A418" s="683"/>
      <c r="B418" s="683"/>
      <c r="C418" s="684"/>
      <c r="D418" s="684"/>
      <c r="E418" s="684"/>
      <c r="F418" s="683"/>
      <c r="G418" s="683"/>
      <c r="H418" s="683"/>
      <c r="I418" s="683"/>
      <c r="J418" s="683"/>
      <c r="K418" s="683"/>
      <c r="L418" s="685"/>
      <c r="M418" s="685"/>
      <c r="N418" s="685"/>
      <c r="O418" s="683"/>
      <c r="P418" s="683"/>
      <c r="Q418" s="686"/>
      <c r="R418" s="686"/>
      <c r="S418" s="686"/>
      <c r="T418" s="686"/>
      <c r="U418" s="686"/>
      <c r="V418" s="686"/>
      <c r="W418" s="686"/>
      <c r="X418" s="686"/>
      <c r="Y418" s="686"/>
      <c r="Z418" s="686"/>
      <c r="AA418" s="686"/>
      <c r="AB418" s="686"/>
      <c r="AC418" s="686"/>
      <c r="AD418" s="686"/>
      <c r="AE418" s="686"/>
      <c r="AF418" s="686"/>
    </row>
    <row r="419" ht="15.75" customHeight="1">
      <c r="A419" s="683"/>
      <c r="B419" s="683"/>
      <c r="C419" s="684"/>
      <c r="D419" s="684"/>
      <c r="E419" s="684"/>
      <c r="F419" s="683"/>
      <c r="G419" s="683"/>
      <c r="H419" s="683"/>
      <c r="I419" s="683"/>
      <c r="J419" s="683"/>
      <c r="K419" s="683"/>
      <c r="L419" s="685"/>
      <c r="M419" s="685"/>
      <c r="N419" s="685"/>
      <c r="O419" s="683"/>
      <c r="P419" s="683"/>
      <c r="Q419" s="686"/>
      <c r="R419" s="686"/>
      <c r="S419" s="686"/>
      <c r="T419" s="686"/>
      <c r="U419" s="686"/>
      <c r="V419" s="686"/>
      <c r="W419" s="686"/>
      <c r="X419" s="686"/>
      <c r="Y419" s="686"/>
      <c r="Z419" s="686"/>
      <c r="AA419" s="686"/>
      <c r="AB419" s="686"/>
      <c r="AC419" s="686"/>
      <c r="AD419" s="686"/>
      <c r="AE419" s="686"/>
      <c r="AF419" s="686"/>
    </row>
    <row r="420" ht="15.75" customHeight="1">
      <c r="A420" s="683"/>
      <c r="B420" s="683"/>
      <c r="C420" s="684"/>
      <c r="D420" s="684"/>
      <c r="E420" s="684"/>
      <c r="F420" s="683"/>
      <c r="G420" s="683"/>
      <c r="H420" s="683"/>
      <c r="I420" s="683"/>
      <c r="J420" s="683"/>
      <c r="K420" s="683"/>
      <c r="L420" s="685"/>
      <c r="M420" s="685"/>
      <c r="N420" s="685"/>
      <c r="O420" s="683"/>
      <c r="P420" s="683"/>
      <c r="Q420" s="686"/>
      <c r="R420" s="686"/>
      <c r="S420" s="686"/>
      <c r="T420" s="686"/>
      <c r="U420" s="686"/>
      <c r="V420" s="686"/>
      <c r="W420" s="686"/>
      <c r="X420" s="686"/>
      <c r="Y420" s="686"/>
      <c r="Z420" s="686"/>
      <c r="AA420" s="686"/>
      <c r="AB420" s="686"/>
      <c r="AC420" s="686"/>
      <c r="AD420" s="686"/>
      <c r="AE420" s="686"/>
      <c r="AF420" s="686"/>
    </row>
    <row r="421" ht="15.75" customHeight="1">
      <c r="A421" s="683"/>
      <c r="B421" s="683"/>
      <c r="C421" s="684"/>
      <c r="D421" s="684"/>
      <c r="E421" s="684"/>
      <c r="F421" s="683"/>
      <c r="G421" s="683"/>
      <c r="H421" s="683"/>
      <c r="I421" s="683"/>
      <c r="J421" s="683"/>
      <c r="K421" s="683"/>
      <c r="L421" s="685"/>
      <c r="M421" s="685"/>
      <c r="N421" s="685"/>
      <c r="O421" s="683"/>
      <c r="P421" s="683"/>
      <c r="Q421" s="686"/>
      <c r="R421" s="686"/>
      <c r="S421" s="686"/>
      <c r="T421" s="686"/>
      <c r="U421" s="686"/>
      <c r="V421" s="686"/>
      <c r="W421" s="686"/>
      <c r="X421" s="686"/>
      <c r="Y421" s="686"/>
      <c r="Z421" s="686"/>
      <c r="AA421" s="686"/>
      <c r="AB421" s="686"/>
      <c r="AC421" s="686"/>
      <c r="AD421" s="686"/>
      <c r="AE421" s="686"/>
      <c r="AF421" s="686"/>
    </row>
    <row r="422" ht="15.75" customHeight="1">
      <c r="A422" s="683"/>
      <c r="B422" s="683"/>
      <c r="C422" s="684"/>
      <c r="D422" s="684"/>
      <c r="E422" s="684"/>
      <c r="F422" s="683"/>
      <c r="G422" s="683"/>
      <c r="H422" s="683"/>
      <c r="I422" s="683"/>
      <c r="J422" s="683"/>
      <c r="K422" s="683"/>
      <c r="L422" s="685"/>
      <c r="M422" s="685"/>
      <c r="N422" s="685"/>
      <c r="O422" s="683"/>
      <c r="P422" s="683"/>
      <c r="Q422" s="686"/>
      <c r="R422" s="686"/>
      <c r="S422" s="686"/>
      <c r="T422" s="686"/>
      <c r="U422" s="686"/>
      <c r="V422" s="686"/>
      <c r="W422" s="686"/>
      <c r="X422" s="686"/>
      <c r="Y422" s="686"/>
      <c r="Z422" s="686"/>
      <c r="AA422" s="686"/>
      <c r="AB422" s="686"/>
      <c r="AC422" s="686"/>
      <c r="AD422" s="686"/>
      <c r="AE422" s="686"/>
      <c r="AF422" s="686"/>
    </row>
    <row r="423" ht="15.75" customHeight="1">
      <c r="A423" s="683"/>
      <c r="B423" s="683"/>
      <c r="C423" s="684"/>
      <c r="D423" s="684"/>
      <c r="E423" s="684"/>
      <c r="F423" s="683"/>
      <c r="G423" s="683"/>
      <c r="H423" s="683"/>
      <c r="I423" s="683"/>
      <c r="J423" s="683"/>
      <c r="K423" s="683"/>
      <c r="L423" s="685"/>
      <c r="M423" s="685"/>
      <c r="N423" s="685"/>
      <c r="O423" s="683"/>
      <c r="P423" s="683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86"/>
      <c r="AB423" s="686"/>
      <c r="AC423" s="686"/>
      <c r="AD423" s="686"/>
      <c r="AE423" s="686"/>
      <c r="AF423" s="686"/>
    </row>
    <row r="424" ht="15.75" customHeight="1">
      <c r="A424" s="683"/>
      <c r="B424" s="683"/>
      <c r="C424" s="684"/>
      <c r="D424" s="684"/>
      <c r="E424" s="684"/>
      <c r="F424" s="683"/>
      <c r="G424" s="683"/>
      <c r="H424" s="683"/>
      <c r="I424" s="683"/>
      <c r="J424" s="683"/>
      <c r="K424" s="683"/>
      <c r="L424" s="685"/>
      <c r="M424" s="685"/>
      <c r="N424" s="685"/>
      <c r="O424" s="683"/>
      <c r="P424" s="683"/>
      <c r="Q424" s="686"/>
      <c r="R424" s="686"/>
      <c r="S424" s="686"/>
      <c r="T424" s="686"/>
      <c r="U424" s="686"/>
      <c r="V424" s="686"/>
      <c r="W424" s="686"/>
      <c r="X424" s="686"/>
      <c r="Y424" s="686"/>
      <c r="Z424" s="686"/>
      <c r="AA424" s="686"/>
      <c r="AB424" s="686"/>
      <c r="AC424" s="686"/>
      <c r="AD424" s="686"/>
      <c r="AE424" s="686"/>
      <c r="AF424" s="686"/>
    </row>
    <row r="425" ht="15.75" customHeight="1">
      <c r="A425" s="683"/>
      <c r="B425" s="683"/>
      <c r="C425" s="684"/>
      <c r="D425" s="684"/>
      <c r="E425" s="684"/>
      <c r="F425" s="683"/>
      <c r="G425" s="683"/>
      <c r="H425" s="683"/>
      <c r="I425" s="683"/>
      <c r="J425" s="683"/>
      <c r="K425" s="683"/>
      <c r="L425" s="690"/>
      <c r="M425" s="690"/>
      <c r="N425" s="690"/>
      <c r="O425" s="683"/>
      <c r="P425" s="683"/>
      <c r="Q425" s="686"/>
      <c r="R425" s="686"/>
      <c r="S425" s="686"/>
      <c r="T425" s="686"/>
      <c r="U425" s="686"/>
      <c r="V425" s="686"/>
      <c r="W425" s="686"/>
      <c r="X425" s="686"/>
      <c r="Y425" s="686"/>
      <c r="Z425" s="686"/>
      <c r="AA425" s="686"/>
      <c r="AB425" s="686"/>
      <c r="AC425" s="686"/>
      <c r="AD425" s="686"/>
      <c r="AE425" s="686"/>
      <c r="AF425" s="686"/>
    </row>
    <row r="426" ht="15.75" customHeight="1">
      <c r="A426" s="683"/>
      <c r="B426" s="683"/>
      <c r="C426" s="684"/>
      <c r="D426" s="684"/>
      <c r="E426" s="684"/>
      <c r="F426" s="683"/>
      <c r="G426" s="683"/>
      <c r="H426" s="683"/>
      <c r="I426" s="683"/>
      <c r="J426" s="683"/>
      <c r="K426" s="683"/>
      <c r="L426" s="685"/>
      <c r="M426" s="685"/>
      <c r="N426" s="685"/>
      <c r="O426" s="683"/>
      <c r="P426" s="683"/>
      <c r="Q426" s="686"/>
      <c r="R426" s="686"/>
      <c r="S426" s="686"/>
      <c r="T426" s="686"/>
      <c r="U426" s="686"/>
      <c r="V426" s="686"/>
      <c r="W426" s="686"/>
      <c r="X426" s="686"/>
      <c r="Y426" s="686"/>
      <c r="Z426" s="686"/>
      <c r="AA426" s="686"/>
      <c r="AB426" s="686"/>
      <c r="AC426" s="686"/>
      <c r="AD426" s="686"/>
      <c r="AE426" s="686"/>
      <c r="AF426" s="686"/>
    </row>
    <row r="427" ht="15.75" customHeight="1">
      <c r="A427" s="683"/>
      <c r="B427" s="683"/>
      <c r="C427" s="684"/>
      <c r="D427" s="684"/>
      <c r="E427" s="684"/>
      <c r="F427" s="683"/>
      <c r="G427" s="683"/>
      <c r="H427" s="683"/>
      <c r="I427" s="683"/>
      <c r="J427" s="683"/>
      <c r="K427" s="683"/>
      <c r="L427" s="685"/>
      <c r="M427" s="685"/>
      <c r="N427" s="685"/>
      <c r="O427" s="683"/>
      <c r="P427" s="683"/>
      <c r="Q427" s="686"/>
      <c r="R427" s="686"/>
      <c r="S427" s="686"/>
      <c r="T427" s="686"/>
      <c r="U427" s="686"/>
      <c r="V427" s="686"/>
      <c r="W427" s="686"/>
      <c r="X427" s="686"/>
      <c r="Y427" s="686"/>
      <c r="Z427" s="686"/>
      <c r="AA427" s="686"/>
      <c r="AB427" s="686"/>
      <c r="AC427" s="686"/>
      <c r="AD427" s="686"/>
      <c r="AE427" s="686"/>
      <c r="AF427" s="686"/>
    </row>
    <row r="428" ht="15.75" customHeight="1">
      <c r="A428" s="683"/>
      <c r="B428" s="683"/>
      <c r="C428" s="684"/>
      <c r="D428" s="684"/>
      <c r="E428" s="684"/>
      <c r="F428" s="683"/>
      <c r="G428" s="683"/>
      <c r="H428" s="683"/>
      <c r="I428" s="683"/>
      <c r="J428" s="683"/>
      <c r="K428" s="683"/>
      <c r="L428" s="685"/>
      <c r="M428" s="685"/>
      <c r="N428" s="685"/>
      <c r="O428" s="683"/>
      <c r="P428" s="683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86"/>
      <c r="AB428" s="686"/>
      <c r="AC428" s="686"/>
      <c r="AD428" s="686"/>
      <c r="AE428" s="686"/>
      <c r="AF428" s="686"/>
    </row>
    <row r="429" ht="15.75" customHeight="1">
      <c r="A429" s="683"/>
      <c r="B429" s="683"/>
      <c r="C429" s="684"/>
      <c r="D429" s="684"/>
      <c r="E429" s="684"/>
      <c r="F429" s="683"/>
      <c r="G429" s="683"/>
      <c r="H429" s="683"/>
      <c r="I429" s="683"/>
      <c r="J429" s="683"/>
      <c r="K429" s="683"/>
      <c r="L429" s="685"/>
      <c r="M429" s="685"/>
      <c r="N429" s="685"/>
      <c r="O429" s="683"/>
      <c r="P429" s="683"/>
      <c r="Q429" s="686"/>
      <c r="R429" s="686"/>
      <c r="S429" s="686"/>
      <c r="T429" s="686"/>
      <c r="U429" s="686"/>
      <c r="V429" s="686"/>
      <c r="W429" s="686"/>
      <c r="X429" s="686"/>
      <c r="Y429" s="686"/>
      <c r="Z429" s="686"/>
      <c r="AA429" s="686"/>
      <c r="AB429" s="686"/>
      <c r="AC429" s="686"/>
      <c r="AD429" s="686"/>
      <c r="AE429" s="686"/>
      <c r="AF429" s="686"/>
    </row>
    <row r="430" ht="15.75" customHeight="1">
      <c r="A430" s="683"/>
      <c r="B430" s="683"/>
      <c r="C430" s="684"/>
      <c r="D430" s="684"/>
      <c r="E430" s="684"/>
      <c r="F430" s="683"/>
      <c r="G430" s="683"/>
      <c r="H430" s="683"/>
      <c r="I430" s="683"/>
      <c r="J430" s="683"/>
      <c r="K430" s="683"/>
      <c r="L430" s="685"/>
      <c r="M430" s="685"/>
      <c r="N430" s="685"/>
      <c r="O430" s="683"/>
      <c r="P430" s="683"/>
      <c r="Q430" s="686"/>
      <c r="R430" s="686"/>
      <c r="S430" s="686"/>
      <c r="T430" s="686"/>
      <c r="U430" s="686"/>
      <c r="V430" s="686"/>
      <c r="W430" s="686"/>
      <c r="X430" s="686"/>
      <c r="Y430" s="686"/>
      <c r="Z430" s="686"/>
      <c r="AA430" s="686"/>
      <c r="AB430" s="686"/>
      <c r="AC430" s="686"/>
      <c r="AD430" s="686"/>
      <c r="AE430" s="686"/>
      <c r="AF430" s="686"/>
    </row>
    <row r="431" ht="15.75" customHeight="1">
      <c r="A431" s="683"/>
      <c r="B431" s="683"/>
      <c r="C431" s="684"/>
      <c r="D431" s="684"/>
      <c r="E431" s="684"/>
      <c r="F431" s="683"/>
      <c r="G431" s="683"/>
      <c r="H431" s="683"/>
      <c r="I431" s="683"/>
      <c r="J431" s="683"/>
      <c r="K431" s="683"/>
      <c r="L431" s="685"/>
      <c r="M431" s="685"/>
      <c r="N431" s="685"/>
      <c r="O431" s="683"/>
      <c r="P431" s="683"/>
      <c r="Q431" s="686"/>
      <c r="R431" s="686"/>
      <c r="S431" s="686"/>
      <c r="T431" s="686"/>
      <c r="U431" s="686"/>
      <c r="V431" s="686"/>
      <c r="W431" s="686"/>
      <c r="X431" s="686"/>
      <c r="Y431" s="686"/>
      <c r="Z431" s="686"/>
      <c r="AA431" s="686"/>
      <c r="AB431" s="686"/>
      <c r="AC431" s="686"/>
      <c r="AD431" s="686"/>
      <c r="AE431" s="686"/>
      <c r="AF431" s="686"/>
    </row>
    <row r="432" ht="15.75" customHeight="1">
      <c r="A432" s="683"/>
      <c r="B432" s="683"/>
      <c r="C432" s="684"/>
      <c r="D432" s="684"/>
      <c r="E432" s="684"/>
      <c r="F432" s="683"/>
      <c r="G432" s="683"/>
      <c r="H432" s="683"/>
      <c r="I432" s="683"/>
      <c r="J432" s="683"/>
      <c r="K432" s="683"/>
      <c r="L432" s="685"/>
      <c r="M432" s="685"/>
      <c r="N432" s="685"/>
      <c r="O432" s="683"/>
      <c r="P432" s="683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86"/>
      <c r="AB432" s="686"/>
      <c r="AC432" s="686"/>
      <c r="AD432" s="686"/>
      <c r="AE432" s="686"/>
      <c r="AF432" s="686"/>
    </row>
    <row r="433" ht="15.75" customHeight="1">
      <c r="A433" s="683"/>
      <c r="B433" s="683"/>
      <c r="C433" s="684"/>
      <c r="D433" s="684"/>
      <c r="E433" s="684"/>
      <c r="F433" s="683"/>
      <c r="G433" s="683"/>
      <c r="H433" s="683"/>
      <c r="I433" s="683"/>
      <c r="J433" s="683"/>
      <c r="K433" s="683"/>
      <c r="L433" s="685"/>
      <c r="M433" s="685"/>
      <c r="N433" s="685"/>
      <c r="O433" s="683"/>
      <c r="P433" s="683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86"/>
      <c r="AB433" s="686"/>
      <c r="AC433" s="686"/>
      <c r="AD433" s="686"/>
      <c r="AE433" s="686"/>
      <c r="AF433" s="686"/>
    </row>
    <row r="434" ht="15.75" customHeight="1">
      <c r="A434" s="683"/>
      <c r="B434" s="683"/>
      <c r="C434" s="684"/>
      <c r="D434" s="684"/>
      <c r="E434" s="684"/>
      <c r="F434" s="683"/>
      <c r="G434" s="683"/>
      <c r="H434" s="683"/>
      <c r="I434" s="683"/>
      <c r="J434" s="683"/>
      <c r="K434" s="683"/>
      <c r="L434" s="685"/>
      <c r="M434" s="685"/>
      <c r="N434" s="685"/>
      <c r="O434" s="683"/>
      <c r="P434" s="683"/>
      <c r="Q434" s="686"/>
      <c r="R434" s="686"/>
      <c r="S434" s="686"/>
      <c r="T434" s="686"/>
      <c r="U434" s="686"/>
      <c r="V434" s="686"/>
      <c r="W434" s="686"/>
      <c r="X434" s="686"/>
      <c r="Y434" s="686"/>
      <c r="Z434" s="686"/>
      <c r="AA434" s="686"/>
      <c r="AB434" s="686"/>
      <c r="AC434" s="686"/>
      <c r="AD434" s="686"/>
      <c r="AE434" s="686"/>
      <c r="AF434" s="686"/>
    </row>
    <row r="435" ht="15.75" customHeight="1">
      <c r="A435" s="683"/>
      <c r="B435" s="683"/>
      <c r="C435" s="684"/>
      <c r="D435" s="684"/>
      <c r="E435" s="684"/>
      <c r="F435" s="683"/>
      <c r="G435" s="683"/>
      <c r="H435" s="683"/>
      <c r="I435" s="683"/>
      <c r="J435" s="683"/>
      <c r="K435" s="683"/>
      <c r="L435" s="685"/>
      <c r="M435" s="685"/>
      <c r="N435" s="685"/>
      <c r="O435" s="683"/>
      <c r="P435" s="683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686"/>
      <c r="AB435" s="686"/>
      <c r="AC435" s="686"/>
      <c r="AD435" s="686"/>
      <c r="AE435" s="686"/>
      <c r="AF435" s="686"/>
    </row>
    <row r="436" ht="15.75" customHeight="1">
      <c r="A436" s="683"/>
      <c r="B436" s="683"/>
      <c r="C436" s="684"/>
      <c r="D436" s="684"/>
      <c r="E436" s="684"/>
      <c r="F436" s="683"/>
      <c r="G436" s="683"/>
      <c r="H436" s="683"/>
      <c r="I436" s="683"/>
      <c r="J436" s="683"/>
      <c r="K436" s="683"/>
      <c r="L436" s="685"/>
      <c r="M436" s="685"/>
      <c r="N436" s="685"/>
      <c r="O436" s="683"/>
      <c r="P436" s="683"/>
      <c r="Q436" s="686"/>
      <c r="R436" s="686"/>
      <c r="S436" s="686"/>
      <c r="T436" s="686"/>
      <c r="U436" s="686"/>
      <c r="V436" s="686"/>
      <c r="W436" s="686"/>
      <c r="X436" s="686"/>
      <c r="Y436" s="686"/>
      <c r="Z436" s="686"/>
      <c r="AA436" s="686"/>
      <c r="AB436" s="686"/>
      <c r="AC436" s="686"/>
      <c r="AD436" s="686"/>
      <c r="AE436" s="686"/>
      <c r="AF436" s="686"/>
    </row>
    <row r="437" ht="15.75" customHeight="1">
      <c r="A437" s="683"/>
      <c r="B437" s="683"/>
      <c r="C437" s="684"/>
      <c r="D437" s="684"/>
      <c r="E437" s="684"/>
      <c r="F437" s="683"/>
      <c r="G437" s="683"/>
      <c r="H437" s="683"/>
      <c r="I437" s="683"/>
      <c r="J437" s="683"/>
      <c r="K437" s="683"/>
      <c r="L437" s="685"/>
      <c r="M437" s="685"/>
      <c r="N437" s="685"/>
      <c r="O437" s="683"/>
      <c r="P437" s="683"/>
      <c r="Q437" s="686"/>
      <c r="R437" s="686"/>
      <c r="S437" s="686"/>
      <c r="T437" s="686"/>
      <c r="U437" s="686"/>
      <c r="V437" s="686"/>
      <c r="W437" s="686"/>
      <c r="X437" s="686"/>
      <c r="Y437" s="686"/>
      <c r="Z437" s="686"/>
      <c r="AA437" s="686"/>
      <c r="AB437" s="686"/>
      <c r="AC437" s="686"/>
      <c r="AD437" s="686"/>
      <c r="AE437" s="686"/>
      <c r="AF437" s="686"/>
    </row>
    <row r="438" ht="15.75" customHeight="1">
      <c r="A438" s="683"/>
      <c r="B438" s="683"/>
      <c r="C438" s="684"/>
      <c r="D438" s="684"/>
      <c r="E438" s="684"/>
      <c r="F438" s="683"/>
      <c r="G438" s="683"/>
      <c r="H438" s="683"/>
      <c r="I438" s="683"/>
      <c r="J438" s="683"/>
      <c r="K438" s="683"/>
      <c r="L438" s="685"/>
      <c r="M438" s="685"/>
      <c r="N438" s="685"/>
      <c r="O438" s="683"/>
      <c r="P438" s="683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86"/>
      <c r="AB438" s="686"/>
      <c r="AC438" s="686"/>
      <c r="AD438" s="686"/>
      <c r="AE438" s="686"/>
      <c r="AF438" s="686"/>
    </row>
    <row r="439" ht="15.75" customHeight="1">
      <c r="A439" s="683"/>
      <c r="B439" s="683"/>
      <c r="C439" s="684"/>
      <c r="D439" s="684"/>
      <c r="E439" s="684"/>
      <c r="F439" s="683"/>
      <c r="G439" s="683"/>
      <c r="H439" s="683"/>
      <c r="I439" s="683"/>
      <c r="J439" s="683"/>
      <c r="K439" s="683"/>
      <c r="L439" s="685"/>
      <c r="M439" s="685"/>
      <c r="N439" s="685"/>
      <c r="O439" s="683"/>
      <c r="P439" s="683"/>
      <c r="Q439" s="686"/>
      <c r="R439" s="686"/>
      <c r="S439" s="686"/>
      <c r="T439" s="686"/>
      <c r="U439" s="686"/>
      <c r="V439" s="686"/>
      <c r="W439" s="686"/>
      <c r="X439" s="686"/>
      <c r="Y439" s="686"/>
      <c r="Z439" s="686"/>
      <c r="AA439" s="686"/>
      <c r="AB439" s="686"/>
      <c r="AC439" s="686"/>
      <c r="AD439" s="686"/>
      <c r="AE439" s="686"/>
      <c r="AF439" s="686"/>
    </row>
    <row r="440" ht="15.75" customHeight="1">
      <c r="A440" s="683"/>
      <c r="B440" s="683"/>
      <c r="C440" s="684"/>
      <c r="D440" s="684"/>
      <c r="E440" s="684"/>
      <c r="F440" s="683"/>
      <c r="G440" s="683"/>
      <c r="H440" s="683"/>
      <c r="I440" s="683"/>
      <c r="J440" s="683"/>
      <c r="K440" s="683"/>
      <c r="L440" s="685"/>
      <c r="M440" s="685"/>
      <c r="N440" s="685"/>
      <c r="O440" s="683"/>
      <c r="P440" s="683"/>
      <c r="Q440" s="686"/>
      <c r="R440" s="686"/>
      <c r="S440" s="686"/>
      <c r="T440" s="686"/>
      <c r="U440" s="686"/>
      <c r="V440" s="686"/>
      <c r="W440" s="686"/>
      <c r="X440" s="686"/>
      <c r="Y440" s="686"/>
      <c r="Z440" s="686"/>
      <c r="AA440" s="686"/>
      <c r="AB440" s="686"/>
      <c r="AC440" s="686"/>
      <c r="AD440" s="686"/>
      <c r="AE440" s="686"/>
      <c r="AF440" s="686"/>
    </row>
    <row r="441" ht="15.75" customHeight="1">
      <c r="A441" s="683"/>
      <c r="B441" s="683"/>
      <c r="C441" s="684"/>
      <c r="D441" s="684"/>
      <c r="E441" s="684"/>
      <c r="F441" s="683"/>
      <c r="G441" s="683"/>
      <c r="H441" s="683"/>
      <c r="I441" s="683"/>
      <c r="J441" s="683"/>
      <c r="K441" s="683"/>
      <c r="L441" s="685"/>
      <c r="M441" s="685"/>
      <c r="N441" s="685"/>
      <c r="O441" s="683"/>
      <c r="P441" s="683"/>
      <c r="Q441" s="686"/>
      <c r="R441" s="686"/>
      <c r="S441" s="686"/>
      <c r="T441" s="686"/>
      <c r="U441" s="686"/>
      <c r="V441" s="686"/>
      <c r="W441" s="686"/>
      <c r="X441" s="686"/>
      <c r="Y441" s="686"/>
      <c r="Z441" s="686"/>
      <c r="AA441" s="686"/>
      <c r="AB441" s="686"/>
      <c r="AC441" s="686"/>
      <c r="AD441" s="686"/>
      <c r="AE441" s="686"/>
      <c r="AF441" s="686"/>
    </row>
    <row r="442" ht="15.75" customHeight="1">
      <c r="A442" s="683"/>
      <c r="B442" s="683"/>
      <c r="C442" s="684"/>
      <c r="D442" s="684"/>
      <c r="E442" s="684"/>
      <c r="F442" s="683"/>
      <c r="G442" s="683"/>
      <c r="H442" s="683"/>
      <c r="I442" s="683"/>
      <c r="J442" s="683"/>
      <c r="K442" s="683"/>
      <c r="L442" s="685"/>
      <c r="M442" s="685"/>
      <c r="N442" s="685"/>
      <c r="O442" s="683"/>
      <c r="P442" s="683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86"/>
      <c r="AB442" s="686"/>
      <c r="AC442" s="686"/>
      <c r="AD442" s="686"/>
      <c r="AE442" s="686"/>
      <c r="AF442" s="686"/>
    </row>
    <row r="443" ht="15.75" customHeight="1">
      <c r="A443" s="683"/>
      <c r="B443" s="683"/>
      <c r="C443" s="684"/>
      <c r="D443" s="684"/>
      <c r="E443" s="684"/>
      <c r="F443" s="683"/>
      <c r="G443" s="683"/>
      <c r="H443" s="683"/>
      <c r="I443" s="683"/>
      <c r="J443" s="683"/>
      <c r="K443" s="683"/>
      <c r="L443" s="685"/>
      <c r="M443" s="685"/>
      <c r="N443" s="685"/>
      <c r="O443" s="683"/>
      <c r="P443" s="683"/>
      <c r="Q443" s="686"/>
      <c r="R443" s="686"/>
      <c r="S443" s="686"/>
      <c r="T443" s="686"/>
      <c r="U443" s="686"/>
      <c r="V443" s="686"/>
      <c r="W443" s="686"/>
      <c r="X443" s="686"/>
      <c r="Y443" s="686"/>
      <c r="Z443" s="686"/>
      <c r="AA443" s="686"/>
      <c r="AB443" s="686"/>
      <c r="AC443" s="686"/>
      <c r="AD443" s="686"/>
      <c r="AE443" s="686"/>
      <c r="AF443" s="686"/>
    </row>
    <row r="444" ht="15.75" customHeight="1">
      <c r="A444" s="683"/>
      <c r="B444" s="683"/>
      <c r="C444" s="684"/>
      <c r="D444" s="684"/>
      <c r="E444" s="684"/>
      <c r="F444" s="683"/>
      <c r="G444" s="683"/>
      <c r="H444" s="683"/>
      <c r="I444" s="683"/>
      <c r="J444" s="683"/>
      <c r="K444" s="683"/>
      <c r="L444" s="685"/>
      <c r="M444" s="685"/>
      <c r="N444" s="685"/>
      <c r="O444" s="683"/>
      <c r="P444" s="683"/>
      <c r="Q444" s="686"/>
      <c r="R444" s="686"/>
      <c r="S444" s="686"/>
      <c r="T444" s="686"/>
      <c r="U444" s="686"/>
      <c r="V444" s="686"/>
      <c r="W444" s="686"/>
      <c r="X444" s="686"/>
      <c r="Y444" s="686"/>
      <c r="Z444" s="686"/>
      <c r="AA444" s="686"/>
      <c r="AB444" s="686"/>
      <c r="AC444" s="686"/>
      <c r="AD444" s="686"/>
      <c r="AE444" s="686"/>
      <c r="AF444" s="686"/>
    </row>
    <row r="445" ht="15.75" customHeight="1">
      <c r="A445" s="683"/>
      <c r="B445" s="683"/>
      <c r="C445" s="684"/>
      <c r="D445" s="684"/>
      <c r="E445" s="684"/>
      <c r="F445" s="683"/>
      <c r="G445" s="683"/>
      <c r="H445" s="683"/>
      <c r="I445" s="683"/>
      <c r="J445" s="683"/>
      <c r="K445" s="683"/>
      <c r="L445" s="685"/>
      <c r="M445" s="685"/>
      <c r="N445" s="685"/>
      <c r="O445" s="683"/>
      <c r="P445" s="683"/>
      <c r="Q445" s="686"/>
      <c r="R445" s="686"/>
      <c r="S445" s="686"/>
      <c r="T445" s="686"/>
      <c r="U445" s="686"/>
      <c r="V445" s="686"/>
      <c r="W445" s="686"/>
      <c r="X445" s="686"/>
      <c r="Y445" s="686"/>
      <c r="Z445" s="686"/>
      <c r="AA445" s="686"/>
      <c r="AB445" s="686"/>
      <c r="AC445" s="686"/>
      <c r="AD445" s="686"/>
      <c r="AE445" s="686"/>
      <c r="AF445" s="686"/>
    </row>
    <row r="446" ht="15.75" customHeight="1">
      <c r="A446" s="683"/>
      <c r="B446" s="683"/>
      <c r="C446" s="684"/>
      <c r="D446" s="684"/>
      <c r="E446" s="684"/>
      <c r="F446" s="683"/>
      <c r="G446" s="683"/>
      <c r="H446" s="683"/>
      <c r="I446" s="683"/>
      <c r="J446" s="683"/>
      <c r="K446" s="683"/>
      <c r="L446" s="685"/>
      <c r="M446" s="685"/>
      <c r="N446" s="685"/>
      <c r="O446" s="683"/>
      <c r="P446" s="683"/>
      <c r="Q446" s="686"/>
      <c r="R446" s="686"/>
      <c r="S446" s="686"/>
      <c r="T446" s="686"/>
      <c r="U446" s="686"/>
      <c r="V446" s="686"/>
      <c r="W446" s="686"/>
      <c r="X446" s="686"/>
      <c r="Y446" s="686"/>
      <c r="Z446" s="686"/>
      <c r="AA446" s="686"/>
      <c r="AB446" s="686"/>
      <c r="AC446" s="686"/>
      <c r="AD446" s="686"/>
      <c r="AE446" s="686"/>
      <c r="AF446" s="686"/>
    </row>
    <row r="447" ht="15.75" customHeight="1">
      <c r="A447" s="683"/>
      <c r="B447" s="683"/>
      <c r="C447" s="684"/>
      <c r="D447" s="684"/>
      <c r="E447" s="684"/>
      <c r="F447" s="683"/>
      <c r="G447" s="683"/>
      <c r="H447" s="683"/>
      <c r="I447" s="683"/>
      <c r="J447" s="683"/>
      <c r="K447" s="683"/>
      <c r="L447" s="685"/>
      <c r="M447" s="685"/>
      <c r="N447" s="685"/>
      <c r="O447" s="683"/>
      <c r="P447" s="683"/>
      <c r="Q447" s="686"/>
      <c r="R447" s="686"/>
      <c r="S447" s="686"/>
      <c r="T447" s="686"/>
      <c r="U447" s="686"/>
      <c r="V447" s="686"/>
      <c r="W447" s="686"/>
      <c r="X447" s="686"/>
      <c r="Y447" s="686"/>
      <c r="Z447" s="686"/>
      <c r="AA447" s="686"/>
      <c r="AB447" s="686"/>
      <c r="AC447" s="686"/>
      <c r="AD447" s="686"/>
      <c r="AE447" s="686"/>
      <c r="AF447" s="686"/>
    </row>
    <row r="448" ht="15.75" customHeight="1">
      <c r="A448" s="683"/>
      <c r="B448" s="683"/>
      <c r="C448" s="684"/>
      <c r="D448" s="684"/>
      <c r="E448" s="684"/>
      <c r="F448" s="683"/>
      <c r="G448" s="683"/>
      <c r="H448" s="683"/>
      <c r="I448" s="683"/>
      <c r="J448" s="683"/>
      <c r="K448" s="683"/>
      <c r="L448" s="685"/>
      <c r="M448" s="685"/>
      <c r="N448" s="685"/>
      <c r="O448" s="683"/>
      <c r="P448" s="683"/>
      <c r="Q448" s="686"/>
      <c r="R448" s="686"/>
      <c r="S448" s="686"/>
      <c r="T448" s="686"/>
      <c r="U448" s="686"/>
      <c r="V448" s="686"/>
      <c r="W448" s="686"/>
      <c r="X448" s="686"/>
      <c r="Y448" s="686"/>
      <c r="Z448" s="686"/>
      <c r="AA448" s="686"/>
      <c r="AB448" s="686"/>
      <c r="AC448" s="686"/>
      <c r="AD448" s="686"/>
      <c r="AE448" s="686"/>
      <c r="AF448" s="686"/>
    </row>
    <row r="449" ht="15.75" customHeight="1">
      <c r="A449" s="683"/>
      <c r="B449" s="683"/>
      <c r="C449" s="684"/>
      <c r="D449" s="684"/>
      <c r="E449" s="684"/>
      <c r="F449" s="683"/>
      <c r="G449" s="683"/>
      <c r="H449" s="683"/>
      <c r="I449" s="683"/>
      <c r="J449" s="683"/>
      <c r="K449" s="683"/>
      <c r="L449" s="685"/>
      <c r="M449" s="685"/>
      <c r="N449" s="685"/>
      <c r="O449" s="683"/>
      <c r="P449" s="683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86"/>
      <c r="AB449" s="686"/>
      <c r="AC449" s="686"/>
      <c r="AD449" s="686"/>
      <c r="AE449" s="686"/>
      <c r="AF449" s="686"/>
    </row>
    <row r="450" ht="15.75" customHeight="1">
      <c r="A450" s="683"/>
      <c r="B450" s="683"/>
      <c r="C450" s="684"/>
      <c r="D450" s="684"/>
      <c r="E450" s="684"/>
      <c r="F450" s="683"/>
      <c r="G450" s="683"/>
      <c r="H450" s="683"/>
      <c r="I450" s="683"/>
      <c r="J450" s="683"/>
      <c r="K450" s="683"/>
      <c r="L450" s="685"/>
      <c r="M450" s="685"/>
      <c r="N450" s="685"/>
      <c r="O450" s="683"/>
      <c r="P450" s="683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86"/>
      <c r="AB450" s="686"/>
      <c r="AC450" s="686"/>
      <c r="AD450" s="686"/>
      <c r="AE450" s="686"/>
      <c r="AF450" s="686"/>
    </row>
    <row r="451" ht="15.75" customHeight="1">
      <c r="A451" s="683"/>
      <c r="B451" s="683"/>
      <c r="C451" s="684"/>
      <c r="D451" s="684"/>
      <c r="E451" s="684"/>
      <c r="F451" s="683"/>
      <c r="G451" s="683"/>
      <c r="H451" s="683"/>
      <c r="I451" s="683"/>
      <c r="J451" s="683"/>
      <c r="K451" s="683"/>
      <c r="L451" s="685"/>
      <c r="M451" s="685"/>
      <c r="N451" s="685"/>
      <c r="O451" s="683"/>
      <c r="P451" s="683"/>
      <c r="Q451" s="686"/>
      <c r="R451" s="686"/>
      <c r="S451" s="686"/>
      <c r="T451" s="686"/>
      <c r="U451" s="686"/>
      <c r="V451" s="686"/>
      <c r="W451" s="686"/>
      <c r="X451" s="686"/>
      <c r="Y451" s="686"/>
      <c r="Z451" s="686"/>
      <c r="AA451" s="686"/>
      <c r="AB451" s="686"/>
      <c r="AC451" s="686"/>
      <c r="AD451" s="686"/>
      <c r="AE451" s="686"/>
      <c r="AF451" s="686"/>
    </row>
    <row r="452" ht="15.75" customHeight="1">
      <c r="A452" s="683"/>
      <c r="B452" s="683"/>
      <c r="C452" s="684"/>
      <c r="D452" s="684"/>
      <c r="E452" s="684"/>
      <c r="F452" s="683"/>
      <c r="G452" s="683"/>
      <c r="H452" s="683"/>
      <c r="I452" s="683"/>
      <c r="J452" s="683"/>
      <c r="K452" s="683"/>
      <c r="L452" s="685"/>
      <c r="M452" s="685"/>
      <c r="N452" s="685"/>
      <c r="O452" s="683"/>
      <c r="P452" s="683"/>
      <c r="Q452" s="686"/>
      <c r="R452" s="686"/>
      <c r="S452" s="686"/>
      <c r="T452" s="686"/>
      <c r="U452" s="686"/>
      <c r="V452" s="686"/>
      <c r="W452" s="686"/>
      <c r="X452" s="686"/>
      <c r="Y452" s="686"/>
      <c r="Z452" s="686"/>
      <c r="AA452" s="686"/>
      <c r="AB452" s="686"/>
      <c r="AC452" s="686"/>
      <c r="AD452" s="686"/>
      <c r="AE452" s="686"/>
      <c r="AF452" s="686"/>
    </row>
    <row r="453" ht="15.75" customHeight="1">
      <c r="A453" s="683"/>
      <c r="B453" s="683"/>
      <c r="C453" s="684"/>
      <c r="D453" s="684"/>
      <c r="E453" s="684"/>
      <c r="F453" s="683"/>
      <c r="G453" s="683"/>
      <c r="H453" s="683"/>
      <c r="I453" s="683"/>
      <c r="J453" s="683"/>
      <c r="K453" s="683"/>
      <c r="L453" s="685"/>
      <c r="M453" s="685"/>
      <c r="N453" s="685"/>
      <c r="O453" s="683"/>
      <c r="P453" s="683"/>
      <c r="Q453" s="686"/>
      <c r="R453" s="686"/>
      <c r="S453" s="686"/>
      <c r="T453" s="686"/>
      <c r="U453" s="686"/>
      <c r="V453" s="686"/>
      <c r="W453" s="686"/>
      <c r="X453" s="686"/>
      <c r="Y453" s="686"/>
      <c r="Z453" s="686"/>
      <c r="AA453" s="686"/>
      <c r="AB453" s="686"/>
      <c r="AC453" s="686"/>
      <c r="AD453" s="686"/>
      <c r="AE453" s="686"/>
      <c r="AF453" s="686"/>
    </row>
    <row r="454" ht="15.75" customHeight="1">
      <c r="A454" s="683"/>
      <c r="B454" s="683"/>
      <c r="C454" s="684"/>
      <c r="D454" s="684"/>
      <c r="E454" s="684"/>
      <c r="F454" s="683"/>
      <c r="G454" s="683"/>
      <c r="H454" s="683"/>
      <c r="I454" s="683"/>
      <c r="J454" s="683"/>
      <c r="K454" s="683"/>
      <c r="L454" s="685"/>
      <c r="M454" s="685"/>
      <c r="N454" s="685"/>
      <c r="O454" s="683"/>
      <c r="P454" s="683"/>
      <c r="Q454" s="686"/>
      <c r="R454" s="686"/>
      <c r="S454" s="686"/>
      <c r="T454" s="686"/>
      <c r="U454" s="686"/>
      <c r="V454" s="686"/>
      <c r="W454" s="686"/>
      <c r="X454" s="686"/>
      <c r="Y454" s="686"/>
      <c r="Z454" s="686"/>
      <c r="AA454" s="686"/>
      <c r="AB454" s="686"/>
      <c r="AC454" s="686"/>
      <c r="AD454" s="686"/>
      <c r="AE454" s="686"/>
      <c r="AF454" s="686"/>
    </row>
    <row r="455" ht="15.75" customHeight="1">
      <c r="A455" s="683"/>
      <c r="B455" s="683"/>
      <c r="C455" s="684"/>
      <c r="D455" s="684"/>
      <c r="E455" s="684"/>
      <c r="F455" s="683"/>
      <c r="G455" s="683"/>
      <c r="H455" s="683"/>
      <c r="I455" s="683"/>
      <c r="J455" s="683"/>
      <c r="K455" s="683"/>
      <c r="L455" s="685"/>
      <c r="M455" s="685"/>
      <c r="N455" s="685"/>
      <c r="O455" s="683"/>
      <c r="P455" s="683"/>
      <c r="Q455" s="686"/>
      <c r="R455" s="686"/>
      <c r="S455" s="686"/>
      <c r="T455" s="686"/>
      <c r="U455" s="686"/>
      <c r="V455" s="686"/>
      <c r="W455" s="686"/>
      <c r="X455" s="686"/>
      <c r="Y455" s="686"/>
      <c r="Z455" s="686"/>
      <c r="AA455" s="686"/>
      <c r="AB455" s="686"/>
      <c r="AC455" s="686"/>
      <c r="AD455" s="686"/>
      <c r="AE455" s="686"/>
      <c r="AF455" s="686"/>
    </row>
    <row r="456" ht="15.75" customHeight="1">
      <c r="A456" s="683"/>
      <c r="B456" s="683"/>
      <c r="C456" s="684"/>
      <c r="D456" s="684"/>
      <c r="E456" s="684"/>
      <c r="F456" s="683"/>
      <c r="G456" s="683"/>
      <c r="H456" s="683"/>
      <c r="I456" s="683"/>
      <c r="J456" s="683"/>
      <c r="K456" s="683"/>
      <c r="L456" s="685"/>
      <c r="M456" s="685"/>
      <c r="N456" s="685"/>
      <c r="O456" s="683"/>
      <c r="P456" s="683"/>
      <c r="Q456" s="686"/>
      <c r="R456" s="686"/>
      <c r="S456" s="686"/>
      <c r="T456" s="686"/>
      <c r="U456" s="686"/>
      <c r="V456" s="686"/>
      <c r="W456" s="686"/>
      <c r="X456" s="686"/>
      <c r="Y456" s="686"/>
      <c r="Z456" s="686"/>
      <c r="AA456" s="686"/>
      <c r="AB456" s="686"/>
      <c r="AC456" s="686"/>
      <c r="AD456" s="686"/>
      <c r="AE456" s="686"/>
      <c r="AF456" s="686"/>
    </row>
    <row r="457" ht="15.75" customHeight="1">
      <c r="A457" s="683"/>
      <c r="B457" s="683"/>
      <c r="C457" s="684"/>
      <c r="D457" s="684"/>
      <c r="E457" s="684"/>
      <c r="F457" s="683"/>
      <c r="G457" s="683"/>
      <c r="H457" s="683"/>
      <c r="I457" s="683"/>
      <c r="J457" s="683"/>
      <c r="K457" s="683"/>
      <c r="L457" s="685"/>
      <c r="M457" s="685"/>
      <c r="N457" s="685"/>
      <c r="O457" s="683"/>
      <c r="P457" s="683"/>
      <c r="Q457" s="686"/>
      <c r="R457" s="686"/>
      <c r="S457" s="686"/>
      <c r="T457" s="686"/>
      <c r="U457" s="686"/>
      <c r="V457" s="686"/>
      <c r="W457" s="686"/>
      <c r="X457" s="686"/>
      <c r="Y457" s="686"/>
      <c r="Z457" s="686"/>
      <c r="AA457" s="686"/>
      <c r="AB457" s="686"/>
      <c r="AC457" s="686"/>
      <c r="AD457" s="686"/>
      <c r="AE457" s="686"/>
      <c r="AF457" s="686"/>
    </row>
    <row r="458" ht="15.75" customHeight="1">
      <c r="A458" s="683"/>
      <c r="B458" s="683"/>
      <c r="C458" s="684"/>
      <c r="D458" s="684"/>
      <c r="E458" s="684"/>
      <c r="F458" s="683"/>
      <c r="G458" s="683"/>
      <c r="H458" s="683"/>
      <c r="I458" s="683"/>
      <c r="J458" s="683"/>
      <c r="K458" s="683"/>
      <c r="L458" s="683"/>
      <c r="M458" s="683"/>
      <c r="N458" s="683"/>
      <c r="O458" s="683"/>
      <c r="P458" s="683"/>
      <c r="Q458" s="686"/>
      <c r="R458" s="686"/>
      <c r="S458" s="686"/>
      <c r="T458" s="686"/>
      <c r="U458" s="686"/>
      <c r="V458" s="686"/>
      <c r="W458" s="686"/>
      <c r="X458" s="686"/>
      <c r="Y458" s="686"/>
      <c r="Z458" s="686"/>
      <c r="AA458" s="686"/>
      <c r="AB458" s="686"/>
      <c r="AC458" s="686"/>
      <c r="AD458" s="686"/>
      <c r="AE458" s="686"/>
      <c r="AF458" s="686"/>
    </row>
    <row r="459" ht="15.75" customHeight="1">
      <c r="A459" s="683"/>
      <c r="B459" s="683"/>
      <c r="C459" s="684"/>
      <c r="D459" s="684"/>
      <c r="E459" s="684"/>
      <c r="F459" s="683"/>
      <c r="G459" s="683"/>
      <c r="H459" s="683"/>
      <c r="I459" s="683"/>
      <c r="J459" s="683"/>
      <c r="K459" s="683"/>
      <c r="L459" s="685"/>
      <c r="M459" s="685"/>
      <c r="N459" s="685"/>
      <c r="O459" s="683"/>
      <c r="P459" s="683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86"/>
      <c r="AB459" s="686"/>
      <c r="AC459" s="686"/>
      <c r="AD459" s="686"/>
      <c r="AE459" s="686"/>
      <c r="AF459" s="686"/>
    </row>
    <row r="460" ht="15.75" customHeight="1">
      <c r="A460" s="683"/>
      <c r="B460" s="683"/>
      <c r="C460" s="684"/>
      <c r="D460" s="684"/>
      <c r="E460" s="684"/>
      <c r="F460" s="683"/>
      <c r="G460" s="683"/>
      <c r="H460" s="683"/>
      <c r="I460" s="683"/>
      <c r="J460" s="683"/>
      <c r="K460" s="683"/>
      <c r="L460" s="685"/>
      <c r="M460" s="685"/>
      <c r="N460" s="685"/>
      <c r="O460" s="683"/>
      <c r="P460" s="683"/>
      <c r="Q460" s="686"/>
      <c r="R460" s="686"/>
      <c r="S460" s="686"/>
      <c r="T460" s="686"/>
      <c r="U460" s="686"/>
      <c r="V460" s="686"/>
      <c r="W460" s="686"/>
      <c r="X460" s="686"/>
      <c r="Y460" s="686"/>
      <c r="Z460" s="686"/>
      <c r="AA460" s="686"/>
      <c r="AB460" s="686"/>
      <c r="AC460" s="686"/>
      <c r="AD460" s="686"/>
      <c r="AE460" s="686"/>
      <c r="AF460" s="686"/>
    </row>
    <row r="461" ht="15.75" customHeight="1">
      <c r="A461" s="683"/>
      <c r="B461" s="683"/>
      <c r="C461" s="684"/>
      <c r="D461" s="684"/>
      <c r="E461" s="684"/>
      <c r="F461" s="683"/>
      <c r="G461" s="683"/>
      <c r="H461" s="683"/>
      <c r="I461" s="683"/>
      <c r="J461" s="683"/>
      <c r="K461" s="683"/>
      <c r="L461" s="685"/>
      <c r="M461" s="685"/>
      <c r="N461" s="687"/>
      <c r="O461" s="683"/>
      <c r="P461" s="683"/>
      <c r="Q461" s="686"/>
      <c r="R461" s="686"/>
      <c r="S461" s="686"/>
      <c r="T461" s="686"/>
      <c r="U461" s="686"/>
      <c r="V461" s="686"/>
      <c r="W461" s="686"/>
      <c r="X461" s="686"/>
      <c r="Y461" s="686"/>
      <c r="Z461" s="686"/>
      <c r="AA461" s="686"/>
      <c r="AB461" s="686"/>
      <c r="AC461" s="686"/>
      <c r="AD461" s="686"/>
      <c r="AE461" s="686"/>
      <c r="AF461" s="686"/>
    </row>
    <row r="462" ht="15.75" customHeight="1">
      <c r="A462" s="683"/>
      <c r="B462" s="683"/>
      <c r="C462" s="684"/>
      <c r="D462" s="684"/>
      <c r="E462" s="684"/>
      <c r="F462" s="683"/>
      <c r="G462" s="683"/>
      <c r="H462" s="683"/>
      <c r="I462" s="683"/>
      <c r="J462" s="683"/>
      <c r="K462" s="683"/>
      <c r="L462" s="685"/>
      <c r="M462" s="685"/>
      <c r="N462" s="687"/>
      <c r="O462" s="683"/>
      <c r="P462" s="683"/>
      <c r="Q462" s="686"/>
      <c r="R462" s="686"/>
      <c r="S462" s="686"/>
      <c r="T462" s="686"/>
      <c r="U462" s="686"/>
      <c r="V462" s="686"/>
      <c r="W462" s="686"/>
      <c r="X462" s="686"/>
      <c r="Y462" s="686"/>
      <c r="Z462" s="686"/>
      <c r="AA462" s="686"/>
      <c r="AB462" s="686"/>
      <c r="AC462" s="686"/>
      <c r="AD462" s="686"/>
      <c r="AE462" s="686"/>
      <c r="AF462" s="686"/>
    </row>
    <row r="463" ht="15.75" customHeight="1">
      <c r="A463" s="683"/>
      <c r="B463" s="683"/>
      <c r="C463" s="684"/>
      <c r="D463" s="684"/>
      <c r="E463" s="684"/>
      <c r="F463" s="683"/>
      <c r="G463" s="683"/>
      <c r="H463" s="683"/>
      <c r="I463" s="683"/>
      <c r="J463" s="683"/>
      <c r="K463" s="683"/>
      <c r="L463" s="685"/>
      <c r="M463" s="685"/>
      <c r="N463" s="685"/>
      <c r="O463" s="683"/>
      <c r="P463" s="683"/>
      <c r="Q463" s="686"/>
      <c r="R463" s="686"/>
      <c r="S463" s="686"/>
      <c r="T463" s="686"/>
      <c r="U463" s="686"/>
      <c r="V463" s="686"/>
      <c r="W463" s="686"/>
      <c r="X463" s="686"/>
      <c r="Y463" s="686"/>
      <c r="Z463" s="686"/>
      <c r="AA463" s="686"/>
      <c r="AB463" s="686"/>
      <c r="AC463" s="686"/>
      <c r="AD463" s="686"/>
      <c r="AE463" s="686"/>
      <c r="AF463" s="686"/>
    </row>
    <row r="464" ht="15.75" customHeight="1">
      <c r="A464" s="683"/>
      <c r="B464" s="683"/>
      <c r="C464" s="684"/>
      <c r="D464" s="684"/>
      <c r="E464" s="684"/>
      <c r="F464" s="683"/>
      <c r="G464" s="683"/>
      <c r="H464" s="683"/>
      <c r="I464" s="683"/>
      <c r="J464" s="683"/>
      <c r="K464" s="683"/>
      <c r="L464" s="685"/>
      <c r="M464" s="685"/>
      <c r="N464" s="685"/>
      <c r="O464" s="683"/>
      <c r="P464" s="683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86"/>
      <c r="AB464" s="686"/>
      <c r="AC464" s="686"/>
      <c r="AD464" s="686"/>
      <c r="AE464" s="686"/>
      <c r="AF464" s="686"/>
    </row>
    <row r="465" ht="15.75" customHeight="1">
      <c r="A465" s="683"/>
      <c r="B465" s="683"/>
      <c r="C465" s="684"/>
      <c r="D465" s="684"/>
      <c r="E465" s="684"/>
      <c r="F465" s="683"/>
      <c r="G465" s="683"/>
      <c r="H465" s="683"/>
      <c r="I465" s="683"/>
      <c r="J465" s="683"/>
      <c r="K465" s="683"/>
      <c r="L465" s="685"/>
      <c r="M465" s="685"/>
      <c r="N465" s="685"/>
      <c r="O465" s="683"/>
      <c r="P465" s="683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86"/>
      <c r="AB465" s="686"/>
      <c r="AC465" s="686"/>
      <c r="AD465" s="686"/>
      <c r="AE465" s="686"/>
      <c r="AF465" s="686"/>
    </row>
    <row r="466" ht="15.75" customHeight="1">
      <c r="A466" s="683"/>
      <c r="B466" s="683"/>
      <c r="C466" s="684"/>
      <c r="D466" s="684"/>
      <c r="E466" s="684"/>
      <c r="F466" s="683"/>
      <c r="G466" s="683"/>
      <c r="H466" s="683"/>
      <c r="I466" s="683"/>
      <c r="J466" s="683"/>
      <c r="K466" s="683"/>
      <c r="L466" s="685"/>
      <c r="M466" s="685"/>
      <c r="N466" s="685"/>
      <c r="O466" s="683"/>
      <c r="P466" s="683"/>
      <c r="Q466" s="686"/>
      <c r="R466" s="686"/>
      <c r="S466" s="686"/>
      <c r="T466" s="686"/>
      <c r="U466" s="686"/>
      <c r="V466" s="686"/>
      <c r="W466" s="686"/>
      <c r="X466" s="686"/>
      <c r="Y466" s="686"/>
      <c r="Z466" s="686"/>
      <c r="AA466" s="686"/>
      <c r="AB466" s="686"/>
      <c r="AC466" s="686"/>
      <c r="AD466" s="686"/>
      <c r="AE466" s="686"/>
      <c r="AF466" s="686"/>
    </row>
    <row r="467" ht="15.75" customHeight="1">
      <c r="A467" s="683"/>
      <c r="B467" s="683"/>
      <c r="C467" s="684"/>
      <c r="D467" s="684"/>
      <c r="E467" s="684"/>
      <c r="F467" s="683"/>
      <c r="G467" s="683"/>
      <c r="H467" s="683"/>
      <c r="I467" s="683"/>
      <c r="J467" s="683"/>
      <c r="K467" s="683"/>
      <c r="L467" s="685"/>
      <c r="M467" s="685"/>
      <c r="N467" s="685"/>
      <c r="O467" s="683"/>
      <c r="P467" s="683"/>
      <c r="Q467" s="686"/>
      <c r="R467" s="686"/>
      <c r="S467" s="686"/>
      <c r="T467" s="686"/>
      <c r="U467" s="686"/>
      <c r="V467" s="686"/>
      <c r="W467" s="686"/>
      <c r="X467" s="686"/>
      <c r="Y467" s="686"/>
      <c r="Z467" s="686"/>
      <c r="AA467" s="686"/>
      <c r="AB467" s="686"/>
      <c r="AC467" s="686"/>
      <c r="AD467" s="686"/>
      <c r="AE467" s="686"/>
      <c r="AF467" s="686"/>
    </row>
    <row r="468" ht="15.75" customHeight="1">
      <c r="A468" s="683"/>
      <c r="B468" s="683"/>
      <c r="C468" s="684"/>
      <c r="D468" s="684"/>
      <c r="E468" s="684"/>
      <c r="F468" s="683"/>
      <c r="G468" s="683"/>
      <c r="H468" s="683"/>
      <c r="I468" s="683"/>
      <c r="J468" s="683"/>
      <c r="K468" s="683"/>
      <c r="L468" s="685"/>
      <c r="M468" s="685"/>
      <c r="N468" s="685"/>
      <c r="O468" s="683"/>
      <c r="P468" s="683"/>
      <c r="Q468" s="686"/>
      <c r="R468" s="686"/>
      <c r="S468" s="686"/>
      <c r="T468" s="686"/>
      <c r="U468" s="686"/>
      <c r="V468" s="686"/>
      <c r="W468" s="686"/>
      <c r="X468" s="686"/>
      <c r="Y468" s="686"/>
      <c r="Z468" s="686"/>
      <c r="AA468" s="686"/>
      <c r="AB468" s="686"/>
      <c r="AC468" s="686"/>
      <c r="AD468" s="686"/>
      <c r="AE468" s="686"/>
      <c r="AF468" s="686"/>
    </row>
    <row r="469" ht="15.75" customHeight="1">
      <c r="A469" s="683"/>
      <c r="B469" s="683"/>
      <c r="C469" s="684"/>
      <c r="D469" s="684"/>
      <c r="E469" s="684"/>
      <c r="F469" s="683"/>
      <c r="G469" s="683"/>
      <c r="H469" s="683"/>
      <c r="I469" s="683"/>
      <c r="J469" s="683"/>
      <c r="K469" s="683"/>
      <c r="L469" s="685"/>
      <c r="M469" s="685"/>
      <c r="N469" s="685"/>
      <c r="O469" s="683"/>
      <c r="P469" s="683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86"/>
      <c r="AB469" s="686"/>
      <c r="AC469" s="686"/>
      <c r="AD469" s="686"/>
      <c r="AE469" s="686"/>
      <c r="AF469" s="686"/>
    </row>
    <row r="470" ht="15.75" customHeight="1">
      <c r="A470" s="683"/>
      <c r="B470" s="683"/>
      <c r="C470" s="684"/>
      <c r="D470" s="684"/>
      <c r="E470" s="684"/>
      <c r="F470" s="683"/>
      <c r="G470" s="683"/>
      <c r="H470" s="683"/>
      <c r="I470" s="683"/>
      <c r="J470" s="683"/>
      <c r="K470" s="683"/>
      <c r="L470" s="685"/>
      <c r="M470" s="685"/>
      <c r="N470" s="685"/>
      <c r="O470" s="683"/>
      <c r="P470" s="685"/>
      <c r="Q470" s="686"/>
      <c r="R470" s="686"/>
      <c r="S470" s="686"/>
      <c r="T470" s="686"/>
      <c r="U470" s="686"/>
      <c r="V470" s="686"/>
      <c r="W470" s="686"/>
      <c r="X470" s="686"/>
      <c r="Y470" s="686"/>
      <c r="Z470" s="686"/>
      <c r="AA470" s="686"/>
      <c r="AB470" s="686"/>
      <c r="AC470" s="686"/>
      <c r="AD470" s="686"/>
      <c r="AE470" s="686"/>
      <c r="AF470" s="686"/>
    </row>
    <row r="471" ht="15.75" customHeight="1">
      <c r="A471" s="683"/>
      <c r="B471" s="683"/>
      <c r="C471" s="684"/>
      <c r="D471" s="684"/>
      <c r="E471" s="684"/>
      <c r="F471" s="683"/>
      <c r="G471" s="683"/>
      <c r="H471" s="683"/>
      <c r="I471" s="683"/>
      <c r="J471" s="683"/>
      <c r="K471" s="683"/>
      <c r="L471" s="685"/>
      <c r="M471" s="685"/>
      <c r="N471" s="685"/>
      <c r="O471" s="683"/>
      <c r="P471" s="685"/>
      <c r="Q471" s="686"/>
      <c r="R471" s="686"/>
      <c r="S471" s="686"/>
      <c r="T471" s="686"/>
      <c r="U471" s="686"/>
      <c r="V471" s="686"/>
      <c r="W471" s="686"/>
      <c r="X471" s="686"/>
      <c r="Y471" s="686"/>
      <c r="Z471" s="686"/>
      <c r="AA471" s="686"/>
      <c r="AB471" s="686"/>
      <c r="AC471" s="686"/>
      <c r="AD471" s="686"/>
      <c r="AE471" s="686"/>
      <c r="AF471" s="686"/>
    </row>
    <row r="472" ht="15.75" customHeight="1">
      <c r="A472" s="683"/>
      <c r="B472" s="683"/>
      <c r="C472" s="684"/>
      <c r="D472" s="684"/>
      <c r="E472" s="684"/>
      <c r="F472" s="683"/>
      <c r="G472" s="683"/>
      <c r="H472" s="683"/>
      <c r="I472" s="683"/>
      <c r="J472" s="683"/>
      <c r="K472" s="683"/>
      <c r="L472" s="685"/>
      <c r="M472" s="685"/>
      <c r="N472" s="685"/>
      <c r="O472" s="683"/>
      <c r="P472" s="683"/>
      <c r="Q472" s="686"/>
      <c r="R472" s="686"/>
      <c r="S472" s="686"/>
      <c r="T472" s="686"/>
      <c r="U472" s="686"/>
      <c r="V472" s="686"/>
      <c r="W472" s="686"/>
      <c r="X472" s="686"/>
      <c r="Y472" s="686"/>
      <c r="Z472" s="686"/>
      <c r="AA472" s="686"/>
      <c r="AB472" s="686"/>
      <c r="AC472" s="686"/>
      <c r="AD472" s="686"/>
      <c r="AE472" s="686"/>
      <c r="AF472" s="686"/>
    </row>
    <row r="473" ht="15.75" customHeight="1">
      <c r="A473" s="683"/>
      <c r="B473" s="683"/>
      <c r="C473" s="684"/>
      <c r="D473" s="684"/>
      <c r="E473" s="684"/>
      <c r="F473" s="683"/>
      <c r="G473" s="683"/>
      <c r="H473" s="683"/>
      <c r="I473" s="683"/>
      <c r="J473" s="683"/>
      <c r="K473" s="683"/>
      <c r="L473" s="685"/>
      <c r="M473" s="685"/>
      <c r="N473" s="685"/>
      <c r="O473" s="683"/>
      <c r="P473" s="683"/>
      <c r="Q473" s="686"/>
      <c r="R473" s="686"/>
      <c r="S473" s="686"/>
      <c r="T473" s="686"/>
      <c r="U473" s="686"/>
      <c r="V473" s="686"/>
      <c r="W473" s="686"/>
      <c r="X473" s="686"/>
      <c r="Y473" s="686"/>
      <c r="Z473" s="686"/>
      <c r="AA473" s="686"/>
      <c r="AB473" s="686"/>
      <c r="AC473" s="686"/>
      <c r="AD473" s="686"/>
      <c r="AE473" s="686"/>
      <c r="AF473" s="686"/>
    </row>
    <row r="474" ht="15.75" customHeight="1">
      <c r="A474" s="683"/>
      <c r="B474" s="683"/>
      <c r="C474" s="684"/>
      <c r="D474" s="684"/>
      <c r="E474" s="684"/>
      <c r="F474" s="683"/>
      <c r="G474" s="683"/>
      <c r="H474" s="683"/>
      <c r="I474" s="683"/>
      <c r="J474" s="683"/>
      <c r="K474" s="683"/>
      <c r="L474" s="685"/>
      <c r="M474" s="685"/>
      <c r="N474" s="685"/>
      <c r="O474" s="683"/>
      <c r="P474" s="683"/>
      <c r="Q474" s="686"/>
      <c r="R474" s="686"/>
      <c r="S474" s="686"/>
      <c r="T474" s="686"/>
      <c r="U474" s="686"/>
      <c r="V474" s="686"/>
      <c r="W474" s="686"/>
      <c r="X474" s="686"/>
      <c r="Y474" s="686"/>
      <c r="Z474" s="686"/>
      <c r="AA474" s="686"/>
      <c r="AB474" s="686"/>
      <c r="AC474" s="686"/>
      <c r="AD474" s="686"/>
      <c r="AE474" s="686"/>
      <c r="AF474" s="686"/>
    </row>
    <row r="475" ht="15.75" customHeight="1">
      <c r="A475" s="683"/>
      <c r="B475" s="683"/>
      <c r="C475" s="684"/>
      <c r="D475" s="684"/>
      <c r="E475" s="684"/>
      <c r="F475" s="683"/>
      <c r="G475" s="683"/>
      <c r="H475" s="683"/>
      <c r="I475" s="683"/>
      <c r="J475" s="683"/>
      <c r="K475" s="683"/>
      <c r="L475" s="685"/>
      <c r="M475" s="685"/>
      <c r="N475" s="685"/>
      <c r="O475" s="683"/>
      <c r="P475" s="683"/>
      <c r="Q475" s="686"/>
      <c r="R475" s="686"/>
      <c r="S475" s="686"/>
      <c r="T475" s="686"/>
      <c r="U475" s="686"/>
      <c r="V475" s="686"/>
      <c r="W475" s="686"/>
      <c r="X475" s="686"/>
      <c r="Y475" s="686"/>
      <c r="Z475" s="686"/>
      <c r="AA475" s="686"/>
      <c r="AB475" s="686"/>
      <c r="AC475" s="686"/>
      <c r="AD475" s="686"/>
      <c r="AE475" s="686"/>
      <c r="AF475" s="686"/>
    </row>
    <row r="476" ht="15.75" customHeight="1">
      <c r="A476" s="683"/>
      <c r="B476" s="683"/>
      <c r="C476" s="684"/>
      <c r="D476" s="684"/>
      <c r="E476" s="684"/>
      <c r="F476" s="683"/>
      <c r="G476" s="683"/>
      <c r="H476" s="683"/>
      <c r="I476" s="683"/>
      <c r="J476" s="683"/>
      <c r="K476" s="683"/>
      <c r="L476" s="685"/>
      <c r="M476" s="685"/>
      <c r="N476" s="685"/>
      <c r="O476" s="683"/>
      <c r="P476" s="683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86"/>
      <c r="AB476" s="686"/>
      <c r="AC476" s="686"/>
      <c r="AD476" s="686"/>
      <c r="AE476" s="686"/>
      <c r="AF476" s="686"/>
    </row>
    <row r="477" ht="15.75" customHeight="1">
      <c r="A477" s="683"/>
      <c r="B477" s="683"/>
      <c r="C477" s="684"/>
      <c r="D477" s="684"/>
      <c r="E477" s="684"/>
      <c r="F477" s="683"/>
      <c r="G477" s="683"/>
      <c r="H477" s="683"/>
      <c r="I477" s="683"/>
      <c r="J477" s="683"/>
      <c r="K477" s="683"/>
      <c r="L477" s="685"/>
      <c r="M477" s="685"/>
      <c r="N477" s="685"/>
      <c r="O477" s="683"/>
      <c r="P477" s="683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86"/>
      <c r="AB477" s="686"/>
      <c r="AC477" s="686"/>
      <c r="AD477" s="686"/>
      <c r="AE477" s="686"/>
      <c r="AF477" s="686"/>
    </row>
    <row r="478" ht="15.75" customHeight="1">
      <c r="A478" s="683"/>
      <c r="B478" s="683"/>
      <c r="C478" s="684"/>
      <c r="D478" s="684"/>
      <c r="E478" s="684"/>
      <c r="F478" s="683"/>
      <c r="G478" s="683"/>
      <c r="H478" s="683"/>
      <c r="I478" s="683"/>
      <c r="J478" s="683"/>
      <c r="K478" s="683"/>
      <c r="L478" s="685"/>
      <c r="M478" s="685"/>
      <c r="N478" s="685"/>
      <c r="O478" s="683"/>
      <c r="P478" s="683"/>
      <c r="Q478" s="686"/>
      <c r="R478" s="686"/>
      <c r="S478" s="686"/>
      <c r="T478" s="686"/>
      <c r="U478" s="686"/>
      <c r="V478" s="686"/>
      <c r="W478" s="686"/>
      <c r="X478" s="686"/>
      <c r="Y478" s="686"/>
      <c r="Z478" s="686"/>
      <c r="AA478" s="686"/>
      <c r="AB478" s="686"/>
      <c r="AC478" s="686"/>
      <c r="AD478" s="686"/>
      <c r="AE478" s="686"/>
      <c r="AF478" s="686"/>
    </row>
    <row r="479" ht="15.75" customHeight="1">
      <c r="A479" s="683"/>
      <c r="B479" s="683"/>
      <c r="C479" s="684"/>
      <c r="D479" s="684"/>
      <c r="E479" s="684"/>
      <c r="F479" s="683"/>
      <c r="G479" s="683"/>
      <c r="H479" s="683"/>
      <c r="I479" s="683"/>
      <c r="J479" s="683"/>
      <c r="K479" s="683"/>
      <c r="L479" s="685"/>
      <c r="M479" s="685"/>
      <c r="N479" s="685"/>
      <c r="O479" s="683"/>
      <c r="P479" s="683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686"/>
      <c r="AB479" s="686"/>
      <c r="AC479" s="686"/>
      <c r="AD479" s="686"/>
      <c r="AE479" s="686"/>
      <c r="AF479" s="686"/>
    </row>
    <row r="480" ht="15.75" customHeight="1">
      <c r="A480" s="683"/>
      <c r="B480" s="683"/>
      <c r="C480" s="684"/>
      <c r="D480" s="684"/>
      <c r="E480" s="684"/>
      <c r="F480" s="683"/>
      <c r="G480" s="683"/>
      <c r="H480" s="683"/>
      <c r="I480" s="683"/>
      <c r="J480" s="683"/>
      <c r="K480" s="683"/>
      <c r="L480" s="685"/>
      <c r="M480" s="685"/>
      <c r="N480" s="685"/>
      <c r="O480" s="683"/>
      <c r="P480" s="683"/>
      <c r="Q480" s="686"/>
      <c r="R480" s="686"/>
      <c r="S480" s="686"/>
      <c r="T480" s="686"/>
      <c r="U480" s="686"/>
      <c r="V480" s="686"/>
      <c r="W480" s="686"/>
      <c r="X480" s="686"/>
      <c r="Y480" s="686"/>
      <c r="Z480" s="686"/>
      <c r="AA480" s="686"/>
      <c r="AB480" s="686"/>
      <c r="AC480" s="686"/>
      <c r="AD480" s="686"/>
      <c r="AE480" s="686"/>
      <c r="AF480" s="686"/>
    </row>
    <row r="481" ht="15.75" customHeight="1">
      <c r="A481" s="683"/>
      <c r="B481" s="683"/>
      <c r="C481" s="684"/>
      <c r="D481" s="684"/>
      <c r="E481" s="684"/>
      <c r="F481" s="683"/>
      <c r="G481" s="683"/>
      <c r="H481" s="683"/>
      <c r="I481" s="683"/>
      <c r="J481" s="683"/>
      <c r="K481" s="683"/>
      <c r="L481" s="685"/>
      <c r="M481" s="685"/>
      <c r="N481" s="685"/>
      <c r="O481" s="683"/>
      <c r="P481" s="683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686"/>
      <c r="AB481" s="686"/>
      <c r="AC481" s="686"/>
      <c r="AD481" s="686"/>
      <c r="AE481" s="686"/>
      <c r="AF481" s="686"/>
    </row>
    <row r="482" ht="15.75" customHeight="1">
      <c r="A482" s="683"/>
      <c r="B482" s="683"/>
      <c r="C482" s="684"/>
      <c r="D482" s="684"/>
      <c r="E482" s="684"/>
      <c r="F482" s="683"/>
      <c r="G482" s="683"/>
      <c r="H482" s="683"/>
      <c r="I482" s="683"/>
      <c r="J482" s="683"/>
      <c r="K482" s="683"/>
      <c r="L482" s="685"/>
      <c r="M482" s="685"/>
      <c r="N482" s="685"/>
      <c r="O482" s="683"/>
      <c r="P482" s="683"/>
      <c r="Q482" s="686"/>
      <c r="R482" s="686"/>
      <c r="S482" s="686"/>
      <c r="T482" s="686"/>
      <c r="U482" s="686"/>
      <c r="V482" s="686"/>
      <c r="W482" s="686"/>
      <c r="X482" s="686"/>
      <c r="Y482" s="686"/>
      <c r="Z482" s="686"/>
      <c r="AA482" s="686"/>
      <c r="AB482" s="686"/>
      <c r="AC482" s="686"/>
      <c r="AD482" s="686"/>
      <c r="AE482" s="686"/>
      <c r="AF482" s="686"/>
    </row>
    <row r="483" ht="15.75" customHeight="1">
      <c r="A483" s="683"/>
      <c r="B483" s="683"/>
      <c r="C483" s="684"/>
      <c r="D483" s="684"/>
      <c r="E483" s="684"/>
      <c r="F483" s="683"/>
      <c r="G483" s="683"/>
      <c r="H483" s="683"/>
      <c r="I483" s="683"/>
      <c r="J483" s="683"/>
      <c r="K483" s="683"/>
      <c r="L483" s="685"/>
      <c r="M483" s="685"/>
      <c r="N483" s="685"/>
      <c r="O483" s="683"/>
      <c r="P483" s="683"/>
      <c r="Q483" s="686"/>
      <c r="R483" s="686"/>
      <c r="S483" s="686"/>
      <c r="T483" s="686"/>
      <c r="U483" s="686"/>
      <c r="V483" s="686"/>
      <c r="W483" s="686"/>
      <c r="X483" s="686"/>
      <c r="Y483" s="686"/>
      <c r="Z483" s="686"/>
      <c r="AA483" s="686"/>
      <c r="AB483" s="686"/>
      <c r="AC483" s="686"/>
      <c r="AD483" s="686"/>
      <c r="AE483" s="686"/>
      <c r="AF483" s="686"/>
    </row>
    <row r="484" ht="15.75" customHeight="1">
      <c r="A484" s="683"/>
      <c r="B484" s="683"/>
      <c r="C484" s="684"/>
      <c r="D484" s="684"/>
      <c r="E484" s="684"/>
      <c r="F484" s="683"/>
      <c r="G484" s="683"/>
      <c r="H484" s="683"/>
      <c r="I484" s="683"/>
      <c r="J484" s="683"/>
      <c r="K484" s="683"/>
      <c r="L484" s="685"/>
      <c r="M484" s="685"/>
      <c r="N484" s="685"/>
      <c r="O484" s="683"/>
      <c r="P484" s="683"/>
      <c r="Q484" s="686"/>
      <c r="R484" s="686"/>
      <c r="S484" s="686"/>
      <c r="T484" s="686"/>
      <c r="U484" s="686"/>
      <c r="V484" s="686"/>
      <c r="W484" s="686"/>
      <c r="X484" s="686"/>
      <c r="Y484" s="686"/>
      <c r="Z484" s="686"/>
      <c r="AA484" s="686"/>
      <c r="AB484" s="686"/>
      <c r="AC484" s="686"/>
      <c r="AD484" s="686"/>
      <c r="AE484" s="686"/>
      <c r="AF484" s="686"/>
    </row>
    <row r="485" ht="15.75" customHeight="1">
      <c r="A485" s="683"/>
      <c r="B485" s="683"/>
      <c r="C485" s="684"/>
      <c r="D485" s="684"/>
      <c r="E485" s="684"/>
      <c r="F485" s="683"/>
      <c r="G485" s="683"/>
      <c r="H485" s="683"/>
      <c r="I485" s="683"/>
      <c r="J485" s="683"/>
      <c r="K485" s="683"/>
      <c r="L485" s="685"/>
      <c r="M485" s="685"/>
      <c r="N485" s="685"/>
      <c r="O485" s="683"/>
      <c r="P485" s="683"/>
      <c r="Q485" s="686"/>
      <c r="R485" s="686"/>
      <c r="S485" s="686"/>
      <c r="T485" s="686"/>
      <c r="U485" s="686"/>
      <c r="V485" s="686"/>
      <c r="W485" s="686"/>
      <c r="X485" s="686"/>
      <c r="Y485" s="686"/>
      <c r="Z485" s="686"/>
      <c r="AA485" s="686"/>
      <c r="AB485" s="686"/>
      <c r="AC485" s="686"/>
      <c r="AD485" s="686"/>
      <c r="AE485" s="686"/>
      <c r="AF485" s="686"/>
    </row>
    <row r="486" ht="15.75" customHeight="1">
      <c r="A486" s="683"/>
      <c r="B486" s="683"/>
      <c r="C486" s="684"/>
      <c r="D486" s="684"/>
      <c r="E486" s="684"/>
      <c r="F486" s="683"/>
      <c r="G486" s="683"/>
      <c r="H486" s="683"/>
      <c r="I486" s="683"/>
      <c r="J486" s="683"/>
      <c r="K486" s="683"/>
      <c r="L486" s="685"/>
      <c r="M486" s="685"/>
      <c r="N486" s="685"/>
      <c r="O486" s="683"/>
      <c r="P486" s="683"/>
      <c r="Q486" s="686"/>
      <c r="R486" s="686"/>
      <c r="S486" s="686"/>
      <c r="T486" s="686"/>
      <c r="U486" s="686"/>
      <c r="V486" s="686"/>
      <c r="W486" s="686"/>
      <c r="X486" s="686"/>
      <c r="Y486" s="686"/>
      <c r="Z486" s="686"/>
      <c r="AA486" s="686"/>
      <c r="AB486" s="686"/>
      <c r="AC486" s="686"/>
      <c r="AD486" s="686"/>
      <c r="AE486" s="686"/>
      <c r="AF486" s="686"/>
    </row>
    <row r="487" ht="15.75" customHeight="1">
      <c r="A487" s="683"/>
      <c r="B487" s="683"/>
      <c r="C487" s="684"/>
      <c r="D487" s="684"/>
      <c r="E487" s="684"/>
      <c r="F487" s="683"/>
      <c r="G487" s="683"/>
      <c r="H487" s="683"/>
      <c r="I487" s="683"/>
      <c r="J487" s="683"/>
      <c r="K487" s="683"/>
      <c r="L487" s="685"/>
      <c r="M487" s="685"/>
      <c r="N487" s="685"/>
      <c r="O487" s="683"/>
      <c r="P487" s="683"/>
      <c r="Q487" s="686"/>
      <c r="R487" s="686"/>
      <c r="S487" s="686"/>
      <c r="T487" s="686"/>
      <c r="U487" s="686"/>
      <c r="V487" s="686"/>
      <c r="W487" s="686"/>
      <c r="X487" s="686"/>
      <c r="Y487" s="686"/>
      <c r="Z487" s="686"/>
      <c r="AA487" s="686"/>
      <c r="AB487" s="686"/>
      <c r="AC487" s="686"/>
      <c r="AD487" s="686"/>
      <c r="AE487" s="686"/>
      <c r="AF487" s="686"/>
    </row>
    <row r="488" ht="15.75" customHeight="1">
      <c r="A488" s="683"/>
      <c r="B488" s="683"/>
      <c r="C488" s="684"/>
      <c r="D488" s="684"/>
      <c r="E488" s="684"/>
      <c r="F488" s="683"/>
      <c r="G488" s="683"/>
      <c r="H488" s="683"/>
      <c r="I488" s="683"/>
      <c r="J488" s="683"/>
      <c r="K488" s="683"/>
      <c r="L488" s="685"/>
      <c r="M488" s="685"/>
      <c r="N488" s="685"/>
      <c r="O488" s="683"/>
      <c r="P488" s="683"/>
      <c r="Q488" s="686"/>
      <c r="R488" s="686"/>
      <c r="S488" s="686"/>
      <c r="T488" s="686"/>
      <c r="U488" s="686"/>
      <c r="V488" s="686"/>
      <c r="W488" s="686"/>
      <c r="X488" s="686"/>
      <c r="Y488" s="686"/>
      <c r="Z488" s="686"/>
      <c r="AA488" s="686"/>
      <c r="AB488" s="686"/>
      <c r="AC488" s="686"/>
      <c r="AD488" s="686"/>
      <c r="AE488" s="686"/>
      <c r="AF488" s="686"/>
    </row>
    <row r="489" ht="15.75" customHeight="1">
      <c r="A489" s="683"/>
      <c r="B489" s="683"/>
      <c r="C489" s="684"/>
      <c r="D489" s="684"/>
      <c r="E489" s="684"/>
      <c r="F489" s="683"/>
      <c r="G489" s="683"/>
      <c r="H489" s="683"/>
      <c r="I489" s="683"/>
      <c r="J489" s="683"/>
      <c r="K489" s="683"/>
      <c r="L489" s="685"/>
      <c r="M489" s="685"/>
      <c r="N489" s="685"/>
      <c r="O489" s="683"/>
      <c r="P489" s="683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86"/>
      <c r="AB489" s="686"/>
      <c r="AC489" s="686"/>
      <c r="AD489" s="686"/>
      <c r="AE489" s="686"/>
      <c r="AF489" s="686"/>
    </row>
    <row r="490" ht="15.75" customHeight="1">
      <c r="A490" s="683"/>
      <c r="B490" s="683"/>
      <c r="C490" s="684"/>
      <c r="D490" s="684"/>
      <c r="E490" s="684"/>
      <c r="F490" s="683"/>
      <c r="G490" s="683"/>
      <c r="H490" s="683"/>
      <c r="I490" s="683"/>
      <c r="J490" s="683"/>
      <c r="K490" s="683"/>
      <c r="L490" s="685"/>
      <c r="M490" s="685"/>
      <c r="N490" s="685"/>
      <c r="O490" s="683"/>
      <c r="P490" s="683"/>
      <c r="Q490" s="686"/>
      <c r="R490" s="686"/>
      <c r="S490" s="686"/>
      <c r="T490" s="686"/>
      <c r="U490" s="686"/>
      <c r="V490" s="686"/>
      <c r="W490" s="686"/>
      <c r="X490" s="686"/>
      <c r="Y490" s="686"/>
      <c r="Z490" s="686"/>
      <c r="AA490" s="686"/>
      <c r="AB490" s="686"/>
      <c r="AC490" s="686"/>
      <c r="AD490" s="686"/>
      <c r="AE490" s="686"/>
      <c r="AF490" s="686"/>
    </row>
    <row r="491" ht="15.75" customHeight="1">
      <c r="A491" s="683"/>
      <c r="B491" s="683"/>
      <c r="C491" s="684"/>
      <c r="D491" s="684"/>
      <c r="E491" s="684"/>
      <c r="F491" s="683"/>
      <c r="G491" s="683"/>
      <c r="H491" s="683"/>
      <c r="I491" s="683"/>
      <c r="J491" s="683"/>
      <c r="K491" s="683"/>
      <c r="L491" s="685"/>
      <c r="M491" s="685"/>
      <c r="N491" s="685"/>
      <c r="O491" s="683"/>
      <c r="P491" s="683"/>
      <c r="Q491" s="686"/>
      <c r="R491" s="686"/>
      <c r="S491" s="686"/>
      <c r="T491" s="686"/>
      <c r="U491" s="686"/>
      <c r="V491" s="686"/>
      <c r="W491" s="686"/>
      <c r="X491" s="686"/>
      <c r="Y491" s="686"/>
      <c r="Z491" s="686"/>
      <c r="AA491" s="686"/>
      <c r="AB491" s="686"/>
      <c r="AC491" s="686"/>
      <c r="AD491" s="686"/>
      <c r="AE491" s="686"/>
      <c r="AF491" s="686"/>
    </row>
    <row r="492" ht="15.75" customHeight="1">
      <c r="A492" s="683"/>
      <c r="B492" s="683"/>
      <c r="C492" s="684"/>
      <c r="D492" s="684"/>
      <c r="E492" s="684"/>
      <c r="F492" s="683"/>
      <c r="G492" s="683"/>
      <c r="H492" s="683"/>
      <c r="I492" s="683"/>
      <c r="J492" s="683"/>
      <c r="K492" s="683"/>
      <c r="L492" s="685"/>
      <c r="M492" s="685"/>
      <c r="N492" s="685"/>
      <c r="O492" s="683"/>
      <c r="P492" s="683"/>
      <c r="Q492" s="686"/>
      <c r="R492" s="686"/>
      <c r="S492" s="686"/>
      <c r="T492" s="686"/>
      <c r="U492" s="686"/>
      <c r="V492" s="686"/>
      <c r="W492" s="686"/>
      <c r="X492" s="686"/>
      <c r="Y492" s="686"/>
      <c r="Z492" s="686"/>
      <c r="AA492" s="686"/>
      <c r="AB492" s="686"/>
      <c r="AC492" s="686"/>
      <c r="AD492" s="686"/>
      <c r="AE492" s="686"/>
      <c r="AF492" s="686"/>
    </row>
    <row r="493" ht="15.75" customHeight="1">
      <c r="A493" s="683"/>
      <c r="B493" s="683"/>
      <c r="C493" s="684"/>
      <c r="D493" s="684"/>
      <c r="E493" s="684"/>
      <c r="F493" s="683"/>
      <c r="G493" s="683"/>
      <c r="H493" s="683"/>
      <c r="I493" s="683"/>
      <c r="J493" s="683"/>
      <c r="K493" s="683"/>
      <c r="L493" s="685"/>
      <c r="M493" s="685"/>
      <c r="N493" s="685"/>
      <c r="O493" s="683"/>
      <c r="P493" s="683"/>
      <c r="Q493" s="686"/>
      <c r="R493" s="686"/>
      <c r="S493" s="686"/>
      <c r="T493" s="686"/>
      <c r="U493" s="686"/>
      <c r="V493" s="686"/>
      <c r="W493" s="686"/>
      <c r="X493" s="686"/>
      <c r="Y493" s="686"/>
      <c r="Z493" s="686"/>
      <c r="AA493" s="686"/>
      <c r="AB493" s="686"/>
      <c r="AC493" s="686"/>
      <c r="AD493" s="686"/>
      <c r="AE493" s="686"/>
      <c r="AF493" s="686"/>
    </row>
    <row r="494" ht="15.75" customHeight="1">
      <c r="A494" s="683"/>
      <c r="B494" s="683"/>
      <c r="C494" s="684"/>
      <c r="D494" s="684"/>
      <c r="E494" s="684"/>
      <c r="F494" s="683"/>
      <c r="G494" s="683"/>
      <c r="H494" s="683"/>
      <c r="I494" s="683"/>
      <c r="J494" s="683"/>
      <c r="K494" s="683"/>
      <c r="L494" s="685"/>
      <c r="M494" s="685"/>
      <c r="N494" s="685"/>
      <c r="O494" s="683"/>
      <c r="P494" s="683"/>
      <c r="Q494" s="686"/>
      <c r="R494" s="686"/>
      <c r="S494" s="686"/>
      <c r="T494" s="686"/>
      <c r="U494" s="686"/>
      <c r="V494" s="686"/>
      <c r="W494" s="686"/>
      <c r="X494" s="686"/>
      <c r="Y494" s="686"/>
      <c r="Z494" s="686"/>
      <c r="AA494" s="686"/>
      <c r="AB494" s="686"/>
      <c r="AC494" s="686"/>
      <c r="AD494" s="686"/>
      <c r="AE494" s="686"/>
      <c r="AF494" s="686"/>
    </row>
    <row r="495" ht="15.75" customHeight="1">
      <c r="A495" s="683"/>
      <c r="B495" s="683"/>
      <c r="C495" s="684"/>
      <c r="D495" s="684"/>
      <c r="E495" s="684"/>
      <c r="F495" s="683"/>
      <c r="G495" s="683"/>
      <c r="H495" s="683"/>
      <c r="I495" s="683"/>
      <c r="J495" s="683"/>
      <c r="K495" s="683"/>
      <c r="L495" s="685"/>
      <c r="M495" s="685"/>
      <c r="N495" s="685"/>
      <c r="O495" s="683"/>
      <c r="P495" s="683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86"/>
      <c r="AB495" s="686"/>
      <c r="AC495" s="686"/>
      <c r="AD495" s="686"/>
      <c r="AE495" s="686"/>
      <c r="AF495" s="686"/>
    </row>
    <row r="496" ht="15.75" customHeight="1">
      <c r="A496" s="683"/>
      <c r="B496" s="683"/>
      <c r="C496" s="684"/>
      <c r="D496" s="684"/>
      <c r="E496" s="684"/>
      <c r="F496" s="683"/>
      <c r="G496" s="683"/>
      <c r="H496" s="683"/>
      <c r="I496" s="683"/>
      <c r="J496" s="683"/>
      <c r="K496" s="683"/>
      <c r="L496" s="685"/>
      <c r="M496" s="685"/>
      <c r="N496" s="685"/>
      <c r="O496" s="683"/>
      <c r="P496" s="683"/>
      <c r="Q496" s="686"/>
      <c r="R496" s="686"/>
      <c r="S496" s="686"/>
      <c r="T496" s="686"/>
      <c r="U496" s="686"/>
      <c r="V496" s="686"/>
      <c r="W496" s="686"/>
      <c r="X496" s="686"/>
      <c r="Y496" s="686"/>
      <c r="Z496" s="686"/>
      <c r="AA496" s="686"/>
      <c r="AB496" s="686"/>
      <c r="AC496" s="686"/>
      <c r="AD496" s="686"/>
      <c r="AE496" s="686"/>
      <c r="AF496" s="686"/>
    </row>
    <row r="497" ht="15.75" customHeight="1">
      <c r="A497" s="683"/>
      <c r="B497" s="683"/>
      <c r="C497" s="684"/>
      <c r="D497" s="684"/>
      <c r="E497" s="684"/>
      <c r="F497" s="683"/>
      <c r="G497" s="683"/>
      <c r="H497" s="683"/>
      <c r="I497" s="683"/>
      <c r="J497" s="683"/>
      <c r="K497" s="683"/>
      <c r="L497" s="685"/>
      <c r="M497" s="685"/>
      <c r="N497" s="685"/>
      <c r="O497" s="683"/>
      <c r="P497" s="683"/>
      <c r="Q497" s="686"/>
      <c r="R497" s="686"/>
      <c r="S497" s="686"/>
      <c r="T497" s="686"/>
      <c r="U497" s="686"/>
      <c r="V497" s="686"/>
      <c r="W497" s="686"/>
      <c r="X497" s="686"/>
      <c r="Y497" s="686"/>
      <c r="Z497" s="686"/>
      <c r="AA497" s="686"/>
      <c r="AB497" s="686"/>
      <c r="AC497" s="686"/>
      <c r="AD497" s="686"/>
      <c r="AE497" s="686"/>
      <c r="AF497" s="686"/>
    </row>
    <row r="498" ht="15.75" customHeight="1">
      <c r="A498" s="683"/>
      <c r="B498" s="683"/>
      <c r="C498" s="684"/>
      <c r="D498" s="684"/>
      <c r="E498" s="684"/>
      <c r="F498" s="683"/>
      <c r="G498" s="683"/>
      <c r="H498" s="683"/>
      <c r="I498" s="683"/>
      <c r="J498" s="683"/>
      <c r="K498" s="683"/>
      <c r="L498" s="685"/>
      <c r="M498" s="685"/>
      <c r="N498" s="685"/>
      <c r="O498" s="683"/>
      <c r="P498" s="683"/>
      <c r="Q498" s="686"/>
      <c r="R498" s="686"/>
      <c r="S498" s="686"/>
      <c r="T498" s="686"/>
      <c r="U498" s="686"/>
      <c r="V498" s="686"/>
      <c r="W498" s="686"/>
      <c r="X498" s="686"/>
      <c r="Y498" s="686"/>
      <c r="Z498" s="686"/>
      <c r="AA498" s="686"/>
      <c r="AB498" s="686"/>
      <c r="AC498" s="686"/>
      <c r="AD498" s="686"/>
      <c r="AE498" s="686"/>
      <c r="AF498" s="686"/>
    </row>
    <row r="499" ht="15.75" customHeight="1">
      <c r="A499" s="683"/>
      <c r="B499" s="683"/>
      <c r="C499" s="684"/>
      <c r="D499" s="684"/>
      <c r="E499" s="684"/>
      <c r="F499" s="683"/>
      <c r="G499" s="683"/>
      <c r="H499" s="683"/>
      <c r="I499" s="683"/>
      <c r="J499" s="683"/>
      <c r="K499" s="683"/>
      <c r="L499" s="685"/>
      <c r="M499" s="685"/>
      <c r="N499" s="685"/>
      <c r="O499" s="683"/>
      <c r="P499" s="683"/>
      <c r="Q499" s="686"/>
      <c r="R499" s="686"/>
      <c r="S499" s="686"/>
      <c r="T499" s="686"/>
      <c r="U499" s="686"/>
      <c r="V499" s="686"/>
      <c r="W499" s="686"/>
      <c r="X499" s="686"/>
      <c r="Y499" s="686"/>
      <c r="Z499" s="686"/>
      <c r="AA499" s="686"/>
      <c r="AB499" s="686"/>
      <c r="AC499" s="686"/>
      <c r="AD499" s="686"/>
      <c r="AE499" s="686"/>
      <c r="AF499" s="686"/>
    </row>
    <row r="500" ht="15.75" customHeight="1">
      <c r="A500" s="683"/>
      <c r="B500" s="683"/>
      <c r="C500" s="684"/>
      <c r="D500" s="684"/>
      <c r="E500" s="684"/>
      <c r="F500" s="683"/>
      <c r="G500" s="683"/>
      <c r="H500" s="683"/>
      <c r="I500" s="683"/>
      <c r="J500" s="683"/>
      <c r="K500" s="683"/>
      <c r="L500" s="685"/>
      <c r="M500" s="685"/>
      <c r="N500" s="685"/>
      <c r="O500" s="683"/>
      <c r="P500" s="683"/>
      <c r="Q500" s="686"/>
      <c r="R500" s="686"/>
      <c r="S500" s="686"/>
      <c r="T500" s="686"/>
      <c r="U500" s="686"/>
      <c r="V500" s="686"/>
      <c r="W500" s="686"/>
      <c r="X500" s="686"/>
      <c r="Y500" s="686"/>
      <c r="Z500" s="686"/>
      <c r="AA500" s="686"/>
      <c r="AB500" s="686"/>
      <c r="AC500" s="686"/>
      <c r="AD500" s="686"/>
      <c r="AE500" s="686"/>
      <c r="AF500" s="686"/>
    </row>
    <row r="501" ht="15.75" customHeight="1">
      <c r="A501" s="683"/>
      <c r="B501" s="683"/>
      <c r="C501" s="684"/>
      <c r="D501" s="684"/>
      <c r="E501" s="684"/>
      <c r="F501" s="683"/>
      <c r="G501" s="683"/>
      <c r="H501" s="683"/>
      <c r="I501" s="683"/>
      <c r="J501" s="683"/>
      <c r="K501" s="683"/>
      <c r="L501" s="685"/>
      <c r="M501" s="685"/>
      <c r="N501" s="685"/>
      <c r="O501" s="683"/>
      <c r="P501" s="683"/>
      <c r="Q501" s="686"/>
      <c r="R501" s="686"/>
      <c r="S501" s="686"/>
      <c r="T501" s="686"/>
      <c r="U501" s="686"/>
      <c r="V501" s="686"/>
      <c r="W501" s="686"/>
      <c r="X501" s="686"/>
      <c r="Y501" s="686"/>
      <c r="Z501" s="686"/>
      <c r="AA501" s="686"/>
      <c r="AB501" s="686"/>
      <c r="AC501" s="686"/>
      <c r="AD501" s="686"/>
      <c r="AE501" s="686"/>
      <c r="AF501" s="686"/>
    </row>
    <row r="502" ht="15.75" customHeight="1">
      <c r="A502" s="683"/>
      <c r="B502" s="683"/>
      <c r="C502" s="684"/>
      <c r="D502" s="684"/>
      <c r="E502" s="684"/>
      <c r="F502" s="683"/>
      <c r="G502" s="683"/>
      <c r="H502" s="683"/>
      <c r="I502" s="683"/>
      <c r="J502" s="683"/>
      <c r="K502" s="683"/>
      <c r="L502" s="685"/>
      <c r="M502" s="685"/>
      <c r="N502" s="685"/>
      <c r="O502" s="683"/>
      <c r="P502" s="683"/>
      <c r="Q502" s="686"/>
      <c r="R502" s="686"/>
      <c r="S502" s="686"/>
      <c r="T502" s="686"/>
      <c r="U502" s="686"/>
      <c r="V502" s="686"/>
      <c r="W502" s="686"/>
      <c r="X502" s="686"/>
      <c r="Y502" s="686"/>
      <c r="Z502" s="686"/>
      <c r="AA502" s="686"/>
      <c r="AB502" s="686"/>
      <c r="AC502" s="686"/>
      <c r="AD502" s="686"/>
      <c r="AE502" s="686"/>
      <c r="AF502" s="686"/>
    </row>
    <row r="503" ht="15.75" customHeight="1">
      <c r="A503" s="683"/>
      <c r="B503" s="683"/>
      <c r="C503" s="684"/>
      <c r="D503" s="684"/>
      <c r="E503" s="684"/>
      <c r="F503" s="683"/>
      <c r="G503" s="683"/>
      <c r="H503" s="683"/>
      <c r="I503" s="683"/>
      <c r="J503" s="683"/>
      <c r="K503" s="683"/>
      <c r="L503" s="685"/>
      <c r="M503" s="685"/>
      <c r="N503" s="685"/>
      <c r="O503" s="683"/>
      <c r="P503" s="683"/>
      <c r="Q503" s="686"/>
      <c r="R503" s="686"/>
      <c r="S503" s="686"/>
      <c r="T503" s="686"/>
      <c r="U503" s="686"/>
      <c r="V503" s="686"/>
      <c r="W503" s="686"/>
      <c r="X503" s="686"/>
      <c r="Y503" s="686"/>
      <c r="Z503" s="686"/>
      <c r="AA503" s="686"/>
      <c r="AB503" s="686"/>
      <c r="AC503" s="686"/>
      <c r="AD503" s="686"/>
      <c r="AE503" s="686"/>
      <c r="AF503" s="686"/>
    </row>
    <row r="504" ht="15.75" customHeight="1">
      <c r="A504" s="683"/>
      <c r="B504" s="683"/>
      <c r="C504" s="684"/>
      <c r="D504" s="684"/>
      <c r="E504" s="684"/>
      <c r="F504" s="683"/>
      <c r="G504" s="683"/>
      <c r="H504" s="683"/>
      <c r="I504" s="683"/>
      <c r="J504" s="683"/>
      <c r="K504" s="683"/>
      <c r="L504" s="685"/>
      <c r="M504" s="685"/>
      <c r="N504" s="685"/>
      <c r="O504" s="683"/>
      <c r="P504" s="683"/>
      <c r="Q504" s="686"/>
      <c r="R504" s="686"/>
      <c r="S504" s="686"/>
      <c r="T504" s="686"/>
      <c r="U504" s="686"/>
      <c r="V504" s="686"/>
      <c r="W504" s="686"/>
      <c r="X504" s="686"/>
      <c r="Y504" s="686"/>
      <c r="Z504" s="686"/>
      <c r="AA504" s="686"/>
      <c r="AB504" s="686"/>
      <c r="AC504" s="686"/>
      <c r="AD504" s="686"/>
      <c r="AE504" s="686"/>
      <c r="AF504" s="686"/>
    </row>
    <row r="505" ht="15.75" customHeight="1">
      <c r="A505" s="683"/>
      <c r="B505" s="683"/>
      <c r="C505" s="684"/>
      <c r="D505" s="684"/>
      <c r="E505" s="684"/>
      <c r="F505" s="683"/>
      <c r="G505" s="683"/>
      <c r="H505" s="683"/>
      <c r="I505" s="683"/>
      <c r="J505" s="683"/>
      <c r="K505" s="683"/>
      <c r="L505" s="685"/>
      <c r="M505" s="685"/>
      <c r="N505" s="685"/>
      <c r="O505" s="683"/>
      <c r="P505" s="683"/>
      <c r="Q505" s="686"/>
      <c r="R505" s="686"/>
      <c r="S505" s="686"/>
      <c r="T505" s="686"/>
      <c r="U505" s="686"/>
      <c r="V505" s="686"/>
      <c r="W505" s="686"/>
      <c r="X505" s="686"/>
      <c r="Y505" s="686"/>
      <c r="Z505" s="686"/>
      <c r="AA505" s="686"/>
      <c r="AB505" s="686"/>
      <c r="AC505" s="686"/>
      <c r="AD505" s="686"/>
      <c r="AE505" s="686"/>
      <c r="AF505" s="686"/>
    </row>
    <row r="506" ht="15.75" customHeight="1">
      <c r="A506" s="683"/>
      <c r="B506" s="683"/>
      <c r="C506" s="684"/>
      <c r="D506" s="684"/>
      <c r="E506" s="684"/>
      <c r="F506" s="683"/>
      <c r="G506" s="683"/>
      <c r="H506" s="683"/>
      <c r="I506" s="683"/>
      <c r="J506" s="683"/>
      <c r="K506" s="683"/>
      <c r="L506" s="685"/>
      <c r="M506" s="685"/>
      <c r="N506" s="685"/>
      <c r="O506" s="683"/>
      <c r="P506" s="683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86"/>
      <c r="AB506" s="686"/>
      <c r="AC506" s="686"/>
      <c r="AD506" s="686"/>
      <c r="AE506" s="686"/>
      <c r="AF506" s="686"/>
    </row>
    <row r="507" ht="15.75" customHeight="1">
      <c r="A507" s="683"/>
      <c r="B507" s="683"/>
      <c r="C507" s="684"/>
      <c r="D507" s="684"/>
      <c r="E507" s="684"/>
      <c r="F507" s="683"/>
      <c r="G507" s="683"/>
      <c r="H507" s="683"/>
      <c r="I507" s="683"/>
      <c r="J507" s="683"/>
      <c r="K507" s="683"/>
      <c r="L507" s="685"/>
      <c r="M507" s="685"/>
      <c r="N507" s="685"/>
      <c r="O507" s="683"/>
      <c r="P507" s="683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86"/>
      <c r="AB507" s="686"/>
      <c r="AC507" s="686"/>
      <c r="AD507" s="686"/>
      <c r="AE507" s="686"/>
      <c r="AF507" s="686"/>
    </row>
    <row r="508" ht="15.75" customHeight="1">
      <c r="A508" s="683"/>
      <c r="B508" s="683"/>
      <c r="C508" s="684"/>
      <c r="D508" s="684"/>
      <c r="E508" s="684"/>
      <c r="F508" s="683"/>
      <c r="G508" s="683"/>
      <c r="H508" s="683"/>
      <c r="I508" s="683"/>
      <c r="J508" s="683"/>
      <c r="K508" s="683"/>
      <c r="L508" s="685"/>
      <c r="M508" s="685"/>
      <c r="N508" s="685"/>
      <c r="O508" s="683"/>
      <c r="P508" s="683"/>
      <c r="Q508" s="686"/>
      <c r="R508" s="686"/>
      <c r="S508" s="686"/>
      <c r="T508" s="686"/>
      <c r="U508" s="686"/>
      <c r="V508" s="686"/>
      <c r="W508" s="686"/>
      <c r="X508" s="686"/>
      <c r="Y508" s="686"/>
      <c r="Z508" s="686"/>
      <c r="AA508" s="686"/>
      <c r="AB508" s="686"/>
      <c r="AC508" s="686"/>
      <c r="AD508" s="686"/>
      <c r="AE508" s="686"/>
      <c r="AF508" s="686"/>
    </row>
    <row r="509" ht="15.75" customHeight="1">
      <c r="A509" s="683"/>
      <c r="B509" s="683"/>
      <c r="C509" s="684"/>
      <c r="D509" s="684"/>
      <c r="E509" s="684"/>
      <c r="F509" s="683"/>
      <c r="G509" s="683"/>
      <c r="H509" s="683"/>
      <c r="I509" s="683"/>
      <c r="J509" s="683"/>
      <c r="K509" s="683"/>
      <c r="L509" s="685"/>
      <c r="M509" s="685"/>
      <c r="N509" s="685"/>
      <c r="O509" s="683"/>
      <c r="P509" s="683"/>
      <c r="Q509" s="686"/>
      <c r="R509" s="686"/>
      <c r="S509" s="686"/>
      <c r="T509" s="686"/>
      <c r="U509" s="686"/>
      <c r="V509" s="686"/>
      <c r="W509" s="686"/>
      <c r="X509" s="686"/>
      <c r="Y509" s="686"/>
      <c r="Z509" s="686"/>
      <c r="AA509" s="686"/>
      <c r="AB509" s="686"/>
      <c r="AC509" s="686"/>
      <c r="AD509" s="686"/>
      <c r="AE509" s="686"/>
      <c r="AF509" s="686"/>
    </row>
    <row r="510" ht="15.75" customHeight="1">
      <c r="A510" s="683"/>
      <c r="B510" s="683"/>
      <c r="C510" s="684"/>
      <c r="D510" s="684"/>
      <c r="E510" s="684"/>
      <c r="F510" s="683"/>
      <c r="G510" s="683"/>
      <c r="H510" s="683"/>
      <c r="I510" s="683"/>
      <c r="J510" s="683"/>
      <c r="K510" s="683"/>
      <c r="L510" s="685"/>
      <c r="M510" s="685"/>
      <c r="N510" s="685"/>
      <c r="O510" s="683"/>
      <c r="P510" s="683"/>
      <c r="Q510" s="686"/>
      <c r="R510" s="686"/>
      <c r="S510" s="686"/>
      <c r="T510" s="686"/>
      <c r="U510" s="686"/>
      <c r="V510" s="686"/>
      <c r="W510" s="686"/>
      <c r="X510" s="686"/>
      <c r="Y510" s="686"/>
      <c r="Z510" s="686"/>
      <c r="AA510" s="686"/>
      <c r="AB510" s="686"/>
      <c r="AC510" s="686"/>
      <c r="AD510" s="686"/>
      <c r="AE510" s="686"/>
      <c r="AF510" s="686"/>
    </row>
    <row r="511" ht="15.75" customHeight="1">
      <c r="A511" s="683"/>
      <c r="B511" s="683"/>
      <c r="C511" s="684"/>
      <c r="D511" s="684"/>
      <c r="E511" s="684"/>
      <c r="F511" s="683"/>
      <c r="G511" s="683"/>
      <c r="H511" s="683"/>
      <c r="I511" s="683"/>
      <c r="J511" s="683"/>
      <c r="K511" s="683"/>
      <c r="L511" s="685"/>
      <c r="M511" s="685"/>
      <c r="N511" s="685"/>
      <c r="O511" s="683"/>
      <c r="P511" s="683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86"/>
      <c r="AB511" s="686"/>
      <c r="AC511" s="686"/>
      <c r="AD511" s="686"/>
      <c r="AE511" s="686"/>
      <c r="AF511" s="686"/>
    </row>
    <row r="512" ht="15.75" customHeight="1">
      <c r="A512" s="683"/>
      <c r="B512" s="683"/>
      <c r="C512" s="684"/>
      <c r="D512" s="684"/>
      <c r="E512" s="684"/>
      <c r="F512" s="683"/>
      <c r="G512" s="683"/>
      <c r="H512" s="683"/>
      <c r="I512" s="683"/>
      <c r="J512" s="683"/>
      <c r="K512" s="683"/>
      <c r="L512" s="685"/>
      <c r="M512" s="685"/>
      <c r="N512" s="685"/>
      <c r="O512" s="683"/>
      <c r="P512" s="683"/>
      <c r="Q512" s="686"/>
      <c r="R512" s="686"/>
      <c r="S512" s="686"/>
      <c r="T512" s="686"/>
      <c r="U512" s="686"/>
      <c r="V512" s="686"/>
      <c r="W512" s="686"/>
      <c r="X512" s="686"/>
      <c r="Y512" s="686"/>
      <c r="Z512" s="686"/>
      <c r="AA512" s="686"/>
      <c r="AB512" s="686"/>
      <c r="AC512" s="686"/>
      <c r="AD512" s="686"/>
      <c r="AE512" s="686"/>
      <c r="AF512" s="686"/>
    </row>
    <row r="513" ht="15.75" customHeight="1">
      <c r="A513" s="683"/>
      <c r="B513" s="683"/>
      <c r="C513" s="684"/>
      <c r="D513" s="684"/>
      <c r="E513" s="684"/>
      <c r="F513" s="683"/>
      <c r="G513" s="683"/>
      <c r="H513" s="683"/>
      <c r="I513" s="683"/>
      <c r="J513" s="683"/>
      <c r="K513" s="683"/>
      <c r="L513" s="685"/>
      <c r="M513" s="685"/>
      <c r="N513" s="685"/>
      <c r="O513" s="683"/>
      <c r="P513" s="683"/>
      <c r="Q513" s="686"/>
      <c r="R513" s="686"/>
      <c r="S513" s="686"/>
      <c r="T513" s="686"/>
      <c r="U513" s="686"/>
      <c r="V513" s="686"/>
      <c r="W513" s="686"/>
      <c r="X513" s="686"/>
      <c r="Y513" s="686"/>
      <c r="Z513" s="686"/>
      <c r="AA513" s="686"/>
      <c r="AB513" s="686"/>
      <c r="AC513" s="686"/>
      <c r="AD513" s="686"/>
      <c r="AE513" s="686"/>
      <c r="AF513" s="686"/>
    </row>
    <row r="514" ht="15.75" customHeight="1">
      <c r="A514" s="683"/>
      <c r="B514" s="683"/>
      <c r="C514" s="684"/>
      <c r="D514" s="684"/>
      <c r="E514" s="684"/>
      <c r="F514" s="683"/>
      <c r="G514" s="683"/>
      <c r="H514" s="683"/>
      <c r="I514" s="683"/>
      <c r="J514" s="683"/>
      <c r="K514" s="683"/>
      <c r="L514" s="685"/>
      <c r="M514" s="685"/>
      <c r="N514" s="685"/>
      <c r="O514" s="683"/>
      <c r="P514" s="683"/>
      <c r="Q514" s="686"/>
      <c r="R514" s="686"/>
      <c r="S514" s="686"/>
      <c r="T514" s="686"/>
      <c r="U514" s="686"/>
      <c r="V514" s="686"/>
      <c r="W514" s="686"/>
      <c r="X514" s="686"/>
      <c r="Y514" s="686"/>
      <c r="Z514" s="686"/>
      <c r="AA514" s="686"/>
      <c r="AB514" s="686"/>
      <c r="AC514" s="686"/>
      <c r="AD514" s="686"/>
      <c r="AE514" s="686"/>
      <c r="AF514" s="686"/>
    </row>
    <row r="515" ht="15.75" customHeight="1">
      <c r="A515" s="683"/>
      <c r="B515" s="683"/>
      <c r="C515" s="684"/>
      <c r="D515" s="684"/>
      <c r="E515" s="684"/>
      <c r="F515" s="683"/>
      <c r="G515" s="683"/>
      <c r="H515" s="683"/>
      <c r="I515" s="683"/>
      <c r="J515" s="683"/>
      <c r="K515" s="683"/>
      <c r="L515" s="685"/>
      <c r="M515" s="685"/>
      <c r="N515" s="685"/>
      <c r="O515" s="683"/>
      <c r="P515" s="683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86"/>
      <c r="AB515" s="686"/>
      <c r="AC515" s="686"/>
      <c r="AD515" s="686"/>
      <c r="AE515" s="686"/>
      <c r="AF515" s="686"/>
    </row>
    <row r="516" ht="15.75" customHeight="1">
      <c r="A516" s="683"/>
      <c r="B516" s="683"/>
      <c r="C516" s="684"/>
      <c r="D516" s="684"/>
      <c r="E516" s="684"/>
      <c r="F516" s="683"/>
      <c r="G516" s="683"/>
      <c r="H516" s="683"/>
      <c r="I516" s="683"/>
      <c r="J516" s="683"/>
      <c r="K516" s="683"/>
      <c r="L516" s="685"/>
      <c r="M516" s="685"/>
      <c r="N516" s="685"/>
      <c r="O516" s="683"/>
      <c r="P516" s="683"/>
      <c r="Q516" s="686"/>
      <c r="R516" s="686"/>
      <c r="S516" s="686"/>
      <c r="T516" s="686"/>
      <c r="U516" s="686"/>
      <c r="V516" s="686"/>
      <c r="W516" s="686"/>
      <c r="X516" s="686"/>
      <c r="Y516" s="686"/>
      <c r="Z516" s="686"/>
      <c r="AA516" s="686"/>
      <c r="AB516" s="686"/>
      <c r="AC516" s="686"/>
      <c r="AD516" s="686"/>
      <c r="AE516" s="686"/>
      <c r="AF516" s="686"/>
    </row>
    <row r="517" ht="15.75" customHeight="1">
      <c r="A517" s="683"/>
      <c r="B517" s="683"/>
      <c r="C517" s="684"/>
      <c r="D517" s="684"/>
      <c r="E517" s="684"/>
      <c r="F517" s="683"/>
      <c r="G517" s="683"/>
      <c r="H517" s="683"/>
      <c r="I517" s="683"/>
      <c r="J517" s="683"/>
      <c r="K517" s="683"/>
      <c r="L517" s="685"/>
      <c r="M517" s="685"/>
      <c r="N517" s="685"/>
      <c r="O517" s="683"/>
      <c r="P517" s="683"/>
      <c r="Q517" s="686"/>
      <c r="R517" s="686"/>
      <c r="S517" s="686"/>
      <c r="T517" s="686"/>
      <c r="U517" s="686"/>
      <c r="V517" s="686"/>
      <c r="W517" s="686"/>
      <c r="X517" s="686"/>
      <c r="Y517" s="686"/>
      <c r="Z517" s="686"/>
      <c r="AA517" s="686"/>
      <c r="AB517" s="686"/>
      <c r="AC517" s="686"/>
      <c r="AD517" s="686"/>
      <c r="AE517" s="686"/>
      <c r="AF517" s="686"/>
    </row>
    <row r="518" ht="15.75" customHeight="1">
      <c r="A518" s="683"/>
      <c r="B518" s="683"/>
      <c r="C518" s="684"/>
      <c r="D518" s="684"/>
      <c r="E518" s="684"/>
      <c r="F518" s="683"/>
      <c r="G518" s="683"/>
      <c r="H518" s="683"/>
      <c r="I518" s="683"/>
      <c r="J518" s="683"/>
      <c r="K518" s="683"/>
      <c r="L518" s="685"/>
      <c r="M518" s="685"/>
      <c r="N518" s="685"/>
      <c r="O518" s="683"/>
      <c r="P518" s="683"/>
      <c r="Q518" s="686"/>
      <c r="R518" s="686"/>
      <c r="S518" s="686"/>
      <c r="T518" s="686"/>
      <c r="U518" s="686"/>
      <c r="V518" s="686"/>
      <c r="W518" s="686"/>
      <c r="X518" s="686"/>
      <c r="Y518" s="686"/>
      <c r="Z518" s="686"/>
      <c r="AA518" s="686"/>
      <c r="AB518" s="686"/>
      <c r="AC518" s="686"/>
      <c r="AD518" s="686"/>
      <c r="AE518" s="686"/>
      <c r="AF518" s="686"/>
    </row>
    <row r="519" ht="15.75" customHeight="1">
      <c r="A519" s="683"/>
      <c r="B519" s="683"/>
      <c r="C519" s="684"/>
      <c r="D519" s="684"/>
      <c r="E519" s="684"/>
      <c r="F519" s="683"/>
      <c r="G519" s="683"/>
      <c r="H519" s="683"/>
      <c r="I519" s="683"/>
      <c r="J519" s="683"/>
      <c r="K519" s="683"/>
      <c r="L519" s="685"/>
      <c r="M519" s="685"/>
      <c r="N519" s="685"/>
      <c r="O519" s="683"/>
      <c r="P519" s="683"/>
      <c r="Q519" s="686"/>
      <c r="R519" s="686"/>
      <c r="S519" s="686"/>
      <c r="T519" s="686"/>
      <c r="U519" s="686"/>
      <c r="V519" s="686"/>
      <c r="W519" s="686"/>
      <c r="X519" s="686"/>
      <c r="Y519" s="686"/>
      <c r="Z519" s="686"/>
      <c r="AA519" s="686"/>
      <c r="AB519" s="686"/>
      <c r="AC519" s="686"/>
      <c r="AD519" s="686"/>
      <c r="AE519" s="686"/>
      <c r="AF519" s="686"/>
    </row>
    <row r="520" ht="15.75" customHeight="1">
      <c r="A520" s="683"/>
      <c r="B520" s="683"/>
      <c r="C520" s="684"/>
      <c r="D520" s="684"/>
      <c r="E520" s="684"/>
      <c r="F520" s="683"/>
      <c r="G520" s="683"/>
      <c r="H520" s="683"/>
      <c r="I520" s="683"/>
      <c r="J520" s="683"/>
      <c r="K520" s="683"/>
      <c r="L520" s="685"/>
      <c r="M520" s="685"/>
      <c r="N520" s="685"/>
      <c r="O520" s="683"/>
      <c r="P520" s="683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86"/>
      <c r="AB520" s="686"/>
      <c r="AC520" s="686"/>
      <c r="AD520" s="686"/>
      <c r="AE520" s="686"/>
      <c r="AF520" s="686"/>
    </row>
    <row r="521" ht="15.75" customHeight="1">
      <c r="A521" s="683"/>
      <c r="B521" s="683"/>
      <c r="C521" s="684"/>
      <c r="D521" s="684"/>
      <c r="E521" s="684"/>
      <c r="F521" s="683"/>
      <c r="G521" s="683"/>
      <c r="H521" s="683"/>
      <c r="I521" s="683"/>
      <c r="J521" s="683"/>
      <c r="K521" s="683"/>
      <c r="L521" s="685"/>
      <c r="M521" s="685"/>
      <c r="N521" s="685"/>
      <c r="O521" s="683"/>
      <c r="P521" s="683"/>
      <c r="Q521" s="686"/>
      <c r="R521" s="686"/>
      <c r="S521" s="686"/>
      <c r="T521" s="686"/>
      <c r="U521" s="686"/>
      <c r="V521" s="686"/>
      <c r="W521" s="686"/>
      <c r="X521" s="686"/>
      <c r="Y521" s="686"/>
      <c r="Z521" s="686"/>
      <c r="AA521" s="686"/>
      <c r="AB521" s="686"/>
      <c r="AC521" s="686"/>
      <c r="AD521" s="686"/>
      <c r="AE521" s="686"/>
      <c r="AF521" s="686"/>
    </row>
    <row r="522" ht="15.75" customHeight="1">
      <c r="A522" s="683"/>
      <c r="B522" s="683"/>
      <c r="C522" s="684"/>
      <c r="D522" s="684"/>
      <c r="E522" s="684"/>
      <c r="F522" s="683"/>
      <c r="G522" s="683"/>
      <c r="H522" s="683"/>
      <c r="I522" s="683"/>
      <c r="J522" s="683"/>
      <c r="K522" s="683"/>
      <c r="L522" s="685"/>
      <c r="M522" s="685"/>
      <c r="N522" s="685"/>
      <c r="O522" s="683"/>
      <c r="P522" s="683"/>
      <c r="Q522" s="686"/>
      <c r="R522" s="686"/>
      <c r="S522" s="686"/>
      <c r="T522" s="686"/>
      <c r="U522" s="686"/>
      <c r="V522" s="686"/>
      <c r="W522" s="686"/>
      <c r="X522" s="686"/>
      <c r="Y522" s="686"/>
      <c r="Z522" s="686"/>
      <c r="AA522" s="686"/>
      <c r="AB522" s="686"/>
      <c r="AC522" s="686"/>
      <c r="AD522" s="686"/>
      <c r="AE522" s="686"/>
      <c r="AF522" s="686"/>
    </row>
    <row r="523" ht="15.75" customHeight="1">
      <c r="A523" s="683"/>
      <c r="B523" s="683"/>
      <c r="C523" s="684"/>
      <c r="D523" s="684"/>
      <c r="E523" s="684"/>
      <c r="F523" s="683"/>
      <c r="G523" s="683"/>
      <c r="H523" s="683"/>
      <c r="I523" s="683"/>
      <c r="J523" s="683"/>
      <c r="K523" s="683"/>
      <c r="L523" s="685"/>
      <c r="M523" s="685"/>
      <c r="N523" s="685"/>
      <c r="O523" s="683"/>
      <c r="P523" s="683"/>
      <c r="Q523" s="686"/>
      <c r="R523" s="686"/>
      <c r="S523" s="686"/>
      <c r="T523" s="686"/>
      <c r="U523" s="686"/>
      <c r="V523" s="686"/>
      <c r="W523" s="686"/>
      <c r="X523" s="686"/>
      <c r="Y523" s="686"/>
      <c r="Z523" s="686"/>
      <c r="AA523" s="686"/>
      <c r="AB523" s="686"/>
      <c r="AC523" s="686"/>
      <c r="AD523" s="686"/>
      <c r="AE523" s="686"/>
      <c r="AF523" s="686"/>
    </row>
    <row r="524" ht="15.75" customHeight="1">
      <c r="A524" s="683"/>
      <c r="B524" s="683"/>
      <c r="C524" s="684"/>
      <c r="D524" s="684"/>
      <c r="E524" s="684"/>
      <c r="F524" s="683"/>
      <c r="G524" s="683"/>
      <c r="H524" s="683"/>
      <c r="I524" s="683"/>
      <c r="J524" s="683"/>
      <c r="K524" s="683"/>
      <c r="L524" s="685"/>
      <c r="M524" s="685"/>
      <c r="N524" s="685"/>
      <c r="O524" s="683"/>
      <c r="P524" s="683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86"/>
      <c r="AB524" s="686"/>
      <c r="AC524" s="686"/>
      <c r="AD524" s="686"/>
      <c r="AE524" s="686"/>
      <c r="AF524" s="686"/>
    </row>
    <row r="525" ht="15.75" customHeight="1">
      <c r="A525" s="683"/>
      <c r="B525" s="683"/>
      <c r="C525" s="684"/>
      <c r="D525" s="684"/>
      <c r="E525" s="686"/>
      <c r="F525" s="683"/>
      <c r="G525" s="683"/>
      <c r="H525" s="683"/>
      <c r="I525" s="683"/>
      <c r="J525" s="683"/>
      <c r="K525" s="683"/>
      <c r="L525" s="685"/>
      <c r="M525" s="685"/>
      <c r="N525" s="685"/>
      <c r="O525" s="683"/>
      <c r="P525" s="683"/>
      <c r="Q525" s="686"/>
      <c r="R525" s="686"/>
      <c r="S525" s="686"/>
      <c r="T525" s="686"/>
      <c r="U525" s="686"/>
      <c r="V525" s="686"/>
      <c r="W525" s="686"/>
      <c r="X525" s="686"/>
      <c r="Y525" s="686"/>
      <c r="Z525" s="686"/>
      <c r="AA525" s="686"/>
      <c r="AB525" s="686"/>
      <c r="AC525" s="686"/>
      <c r="AD525" s="686"/>
      <c r="AE525" s="686"/>
      <c r="AF525" s="686"/>
    </row>
    <row r="526" ht="15.75" customHeight="1">
      <c r="A526" s="683"/>
      <c r="B526" s="683"/>
      <c r="C526" s="684"/>
      <c r="D526" s="684"/>
      <c r="E526" s="684"/>
      <c r="F526" s="683"/>
      <c r="G526" s="683"/>
      <c r="H526" s="683"/>
      <c r="I526" s="683"/>
      <c r="J526" s="683"/>
      <c r="K526" s="683"/>
      <c r="L526" s="685"/>
      <c r="M526" s="685"/>
      <c r="N526" s="685"/>
      <c r="O526" s="683"/>
      <c r="P526" s="683"/>
      <c r="Q526" s="686"/>
      <c r="R526" s="686"/>
      <c r="S526" s="686"/>
      <c r="T526" s="686"/>
      <c r="U526" s="686"/>
      <c r="V526" s="686"/>
      <c r="W526" s="686"/>
      <c r="X526" s="686"/>
      <c r="Y526" s="686"/>
      <c r="Z526" s="686"/>
      <c r="AA526" s="686"/>
      <c r="AB526" s="686"/>
      <c r="AC526" s="686"/>
      <c r="AD526" s="686"/>
      <c r="AE526" s="686"/>
      <c r="AF526" s="686"/>
    </row>
    <row r="527" ht="15.75" customHeight="1">
      <c r="A527" s="683"/>
      <c r="B527" s="683"/>
      <c r="C527" s="684"/>
      <c r="D527" s="684"/>
      <c r="E527" s="684"/>
      <c r="F527" s="683"/>
      <c r="G527" s="683"/>
      <c r="H527" s="683"/>
      <c r="I527" s="683"/>
      <c r="J527" s="683"/>
      <c r="K527" s="683"/>
      <c r="L527" s="685"/>
      <c r="M527" s="685"/>
      <c r="N527" s="685"/>
      <c r="O527" s="683"/>
      <c r="P527" s="683"/>
      <c r="Q527" s="686"/>
      <c r="R527" s="686"/>
      <c r="S527" s="686"/>
      <c r="T527" s="686"/>
      <c r="U527" s="686"/>
      <c r="V527" s="686"/>
      <c r="W527" s="686"/>
      <c r="X527" s="686"/>
      <c r="Y527" s="686"/>
      <c r="Z527" s="686"/>
      <c r="AA527" s="686"/>
      <c r="AB527" s="686"/>
      <c r="AC527" s="686"/>
      <c r="AD527" s="686"/>
      <c r="AE527" s="686"/>
      <c r="AF527" s="686"/>
    </row>
    <row r="528" ht="15.75" customHeight="1">
      <c r="A528" s="683"/>
      <c r="B528" s="683"/>
      <c r="C528" s="684"/>
      <c r="D528" s="684"/>
      <c r="E528" s="684"/>
      <c r="F528" s="683"/>
      <c r="G528" s="683"/>
      <c r="H528" s="683"/>
      <c r="I528" s="683"/>
      <c r="J528" s="683"/>
      <c r="K528" s="683"/>
      <c r="L528" s="685"/>
      <c r="M528" s="685"/>
      <c r="N528" s="685"/>
      <c r="O528" s="683"/>
      <c r="P528" s="683"/>
      <c r="Q528" s="686"/>
      <c r="R528" s="686"/>
      <c r="S528" s="686"/>
      <c r="T528" s="686"/>
      <c r="U528" s="686"/>
      <c r="V528" s="686"/>
      <c r="W528" s="686"/>
      <c r="X528" s="686"/>
      <c r="Y528" s="686"/>
      <c r="Z528" s="686"/>
      <c r="AA528" s="686"/>
      <c r="AB528" s="686"/>
      <c r="AC528" s="686"/>
      <c r="AD528" s="686"/>
      <c r="AE528" s="686"/>
      <c r="AF528" s="686"/>
    </row>
    <row r="529" ht="15.75" customHeight="1">
      <c r="A529" s="683"/>
      <c r="B529" s="683"/>
      <c r="C529" s="684"/>
      <c r="D529" s="684"/>
      <c r="E529" s="684"/>
      <c r="F529" s="683"/>
      <c r="G529" s="683"/>
      <c r="H529" s="683"/>
      <c r="I529" s="683"/>
      <c r="J529" s="683"/>
      <c r="K529" s="683"/>
      <c r="L529" s="685"/>
      <c r="M529" s="685"/>
      <c r="N529" s="685"/>
      <c r="O529" s="683"/>
      <c r="P529" s="683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86"/>
      <c r="AB529" s="686"/>
      <c r="AC529" s="686"/>
      <c r="AD529" s="686"/>
      <c r="AE529" s="686"/>
      <c r="AF529" s="686"/>
    </row>
    <row r="530" ht="15.75" customHeight="1">
      <c r="A530" s="683"/>
      <c r="B530" s="683"/>
      <c r="C530" s="684"/>
      <c r="D530" s="684"/>
      <c r="E530" s="684"/>
      <c r="F530" s="683"/>
      <c r="G530" s="683"/>
      <c r="H530" s="683"/>
      <c r="I530" s="683"/>
      <c r="J530" s="683"/>
      <c r="K530" s="683"/>
      <c r="L530" s="685"/>
      <c r="M530" s="685"/>
      <c r="N530" s="685"/>
      <c r="O530" s="683"/>
      <c r="P530" s="683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86"/>
      <c r="AB530" s="686"/>
      <c r="AC530" s="686"/>
      <c r="AD530" s="686"/>
      <c r="AE530" s="686"/>
      <c r="AF530" s="686"/>
    </row>
    <row r="531" ht="15.75" customHeight="1">
      <c r="A531" s="683"/>
      <c r="B531" s="683"/>
      <c r="C531" s="684"/>
      <c r="D531" s="684"/>
      <c r="E531" s="684"/>
      <c r="F531" s="683"/>
      <c r="G531" s="683"/>
      <c r="H531" s="683"/>
      <c r="I531" s="683"/>
      <c r="J531" s="683"/>
      <c r="K531" s="683"/>
      <c r="L531" s="685"/>
      <c r="M531" s="685"/>
      <c r="N531" s="685"/>
      <c r="O531" s="683"/>
      <c r="P531" s="683"/>
      <c r="Q531" s="686"/>
      <c r="R531" s="686"/>
      <c r="S531" s="686"/>
      <c r="T531" s="686"/>
      <c r="U531" s="686"/>
      <c r="V531" s="686"/>
      <c r="W531" s="686"/>
      <c r="X531" s="686"/>
      <c r="Y531" s="686"/>
      <c r="Z531" s="686"/>
      <c r="AA531" s="686"/>
      <c r="AB531" s="686"/>
      <c r="AC531" s="686"/>
      <c r="AD531" s="686"/>
      <c r="AE531" s="686"/>
      <c r="AF531" s="686"/>
    </row>
    <row r="532" ht="15.75" customHeight="1">
      <c r="A532" s="683"/>
      <c r="B532" s="683"/>
      <c r="C532" s="684"/>
      <c r="D532" s="684"/>
      <c r="E532" s="684"/>
      <c r="F532" s="683"/>
      <c r="G532" s="683"/>
      <c r="H532" s="683"/>
      <c r="I532" s="683"/>
      <c r="J532" s="683"/>
      <c r="K532" s="683"/>
      <c r="L532" s="685"/>
      <c r="M532" s="685"/>
      <c r="N532" s="685"/>
      <c r="O532" s="683"/>
      <c r="P532" s="683"/>
      <c r="Q532" s="686"/>
      <c r="R532" s="686"/>
      <c r="S532" s="686"/>
      <c r="T532" s="686"/>
      <c r="U532" s="686"/>
      <c r="V532" s="686"/>
      <c r="W532" s="686"/>
      <c r="X532" s="686"/>
      <c r="Y532" s="686"/>
      <c r="Z532" s="686"/>
      <c r="AA532" s="686"/>
      <c r="AB532" s="686"/>
      <c r="AC532" s="686"/>
      <c r="AD532" s="686"/>
      <c r="AE532" s="686"/>
      <c r="AF532" s="686"/>
    </row>
    <row r="533" ht="15.75" customHeight="1">
      <c r="A533" s="683"/>
      <c r="B533" s="683"/>
      <c r="C533" s="684"/>
      <c r="D533" s="684"/>
      <c r="E533" s="684"/>
      <c r="F533" s="683"/>
      <c r="G533" s="683"/>
      <c r="H533" s="683"/>
      <c r="I533" s="683"/>
      <c r="J533" s="683"/>
      <c r="K533" s="683"/>
      <c r="L533" s="685"/>
      <c r="M533" s="685"/>
      <c r="N533" s="685"/>
      <c r="O533" s="683"/>
      <c r="P533" s="683"/>
      <c r="Q533" s="686"/>
      <c r="R533" s="686"/>
      <c r="S533" s="686"/>
      <c r="T533" s="686"/>
      <c r="U533" s="686"/>
      <c r="V533" s="686"/>
      <c r="W533" s="686"/>
      <c r="X533" s="686"/>
      <c r="Y533" s="686"/>
      <c r="Z533" s="686"/>
      <c r="AA533" s="686"/>
      <c r="AB533" s="686"/>
      <c r="AC533" s="686"/>
      <c r="AD533" s="686"/>
      <c r="AE533" s="686"/>
      <c r="AF533" s="686"/>
    </row>
    <row r="534" ht="15.75" customHeight="1">
      <c r="A534" s="683"/>
      <c r="B534" s="683"/>
      <c r="C534" s="684"/>
      <c r="D534" s="684"/>
      <c r="E534" s="684"/>
      <c r="F534" s="683"/>
      <c r="G534" s="683"/>
      <c r="H534" s="683"/>
      <c r="I534" s="683"/>
      <c r="J534" s="683"/>
      <c r="K534" s="683"/>
      <c r="L534" s="685"/>
      <c r="M534" s="685"/>
      <c r="N534" s="685"/>
      <c r="O534" s="683"/>
      <c r="P534" s="683"/>
      <c r="Q534" s="686"/>
      <c r="R534" s="686"/>
      <c r="S534" s="686"/>
      <c r="T534" s="686"/>
      <c r="U534" s="686"/>
      <c r="V534" s="686"/>
      <c r="W534" s="686"/>
      <c r="X534" s="686"/>
      <c r="Y534" s="686"/>
      <c r="Z534" s="686"/>
      <c r="AA534" s="686"/>
      <c r="AB534" s="686"/>
      <c r="AC534" s="686"/>
      <c r="AD534" s="686"/>
      <c r="AE534" s="686"/>
      <c r="AF534" s="686"/>
    </row>
    <row r="535" ht="15.75" customHeight="1">
      <c r="A535" s="683"/>
      <c r="B535" s="683"/>
      <c r="C535" s="684"/>
      <c r="D535" s="684"/>
      <c r="E535" s="684"/>
      <c r="F535" s="683"/>
      <c r="G535" s="683"/>
      <c r="H535" s="683"/>
      <c r="I535" s="683"/>
      <c r="J535" s="683"/>
      <c r="K535" s="683"/>
      <c r="L535" s="685"/>
      <c r="M535" s="685"/>
      <c r="N535" s="685"/>
      <c r="O535" s="683"/>
      <c r="P535" s="683"/>
      <c r="Q535" s="686"/>
      <c r="R535" s="686"/>
      <c r="S535" s="686"/>
      <c r="T535" s="686"/>
      <c r="U535" s="686"/>
      <c r="V535" s="686"/>
      <c r="W535" s="686"/>
      <c r="X535" s="686"/>
      <c r="Y535" s="686"/>
      <c r="Z535" s="686"/>
      <c r="AA535" s="686"/>
      <c r="AB535" s="686"/>
      <c r="AC535" s="686"/>
      <c r="AD535" s="686"/>
      <c r="AE535" s="686"/>
      <c r="AF535" s="686"/>
    </row>
    <row r="536" ht="15.75" customHeight="1">
      <c r="A536" s="683"/>
      <c r="B536" s="683"/>
      <c r="C536" s="684"/>
      <c r="D536" s="684"/>
      <c r="E536" s="684"/>
      <c r="F536" s="683"/>
      <c r="G536" s="683"/>
      <c r="H536" s="683"/>
      <c r="I536" s="683"/>
      <c r="J536" s="683"/>
      <c r="K536" s="683"/>
      <c r="L536" s="685"/>
      <c r="M536" s="685"/>
      <c r="N536" s="685"/>
      <c r="O536" s="683"/>
      <c r="P536" s="683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686"/>
      <c r="AB536" s="686"/>
      <c r="AC536" s="686"/>
      <c r="AD536" s="686"/>
      <c r="AE536" s="686"/>
      <c r="AF536" s="686"/>
    </row>
    <row r="537" ht="15.75" customHeight="1">
      <c r="A537" s="683"/>
      <c r="B537" s="683"/>
      <c r="C537" s="684"/>
      <c r="D537" s="684"/>
      <c r="E537" s="684"/>
      <c r="F537" s="683"/>
      <c r="G537" s="683"/>
      <c r="H537" s="683"/>
      <c r="I537" s="683"/>
      <c r="J537" s="683"/>
      <c r="K537" s="683"/>
      <c r="L537" s="685"/>
      <c r="M537" s="685"/>
      <c r="N537" s="685"/>
      <c r="O537" s="683"/>
      <c r="P537" s="683"/>
      <c r="Q537" s="686"/>
      <c r="R537" s="686"/>
      <c r="S537" s="686"/>
      <c r="T537" s="686"/>
      <c r="U537" s="686"/>
      <c r="V537" s="686"/>
      <c r="W537" s="686"/>
      <c r="X537" s="686"/>
      <c r="Y537" s="686"/>
      <c r="Z537" s="686"/>
      <c r="AA537" s="686"/>
      <c r="AB537" s="686"/>
      <c r="AC537" s="686"/>
      <c r="AD537" s="686"/>
      <c r="AE537" s="686"/>
      <c r="AF537" s="686"/>
    </row>
    <row r="538" ht="15.75" customHeight="1">
      <c r="A538" s="683"/>
      <c r="B538" s="683"/>
      <c r="C538" s="684"/>
      <c r="D538" s="684"/>
      <c r="E538" s="684"/>
      <c r="F538" s="683"/>
      <c r="G538" s="683"/>
      <c r="H538" s="683"/>
      <c r="I538" s="683"/>
      <c r="J538" s="683"/>
      <c r="K538" s="683"/>
      <c r="L538" s="685"/>
      <c r="M538" s="685"/>
      <c r="N538" s="685"/>
      <c r="O538" s="683"/>
      <c r="P538" s="683"/>
      <c r="Q538" s="686"/>
      <c r="R538" s="686"/>
      <c r="S538" s="686"/>
      <c r="T538" s="686"/>
      <c r="U538" s="686"/>
      <c r="V538" s="686"/>
      <c r="W538" s="686"/>
      <c r="X538" s="686"/>
      <c r="Y538" s="686"/>
      <c r="Z538" s="686"/>
      <c r="AA538" s="686"/>
      <c r="AB538" s="686"/>
      <c r="AC538" s="686"/>
      <c r="AD538" s="686"/>
      <c r="AE538" s="686"/>
      <c r="AF538" s="686"/>
    </row>
    <row r="539" ht="15.75" customHeight="1">
      <c r="A539" s="683"/>
      <c r="B539" s="683"/>
      <c r="C539" s="684"/>
      <c r="D539" s="684"/>
      <c r="E539" s="684"/>
      <c r="F539" s="683"/>
      <c r="G539" s="683"/>
      <c r="H539" s="683"/>
      <c r="I539" s="683"/>
      <c r="J539" s="683"/>
      <c r="K539" s="683"/>
      <c r="L539" s="685"/>
      <c r="M539" s="685"/>
      <c r="N539" s="685"/>
      <c r="O539" s="683"/>
      <c r="P539" s="683"/>
      <c r="Q539" s="686"/>
      <c r="R539" s="686"/>
      <c r="S539" s="686"/>
      <c r="T539" s="686"/>
      <c r="U539" s="686"/>
      <c r="V539" s="686"/>
      <c r="W539" s="686"/>
      <c r="X539" s="686"/>
      <c r="Y539" s="686"/>
      <c r="Z539" s="686"/>
      <c r="AA539" s="686"/>
      <c r="AB539" s="686"/>
      <c r="AC539" s="686"/>
      <c r="AD539" s="686"/>
      <c r="AE539" s="686"/>
      <c r="AF539" s="686"/>
    </row>
    <row r="540" ht="15.75" customHeight="1">
      <c r="A540" s="683"/>
      <c r="B540" s="683"/>
      <c r="C540" s="684"/>
      <c r="D540" s="684"/>
      <c r="E540" s="684"/>
      <c r="F540" s="683"/>
      <c r="G540" s="683"/>
      <c r="H540" s="683"/>
      <c r="I540" s="683"/>
      <c r="J540" s="683"/>
      <c r="K540" s="683"/>
      <c r="L540" s="685"/>
      <c r="M540" s="685"/>
      <c r="N540" s="685"/>
      <c r="O540" s="683"/>
      <c r="P540" s="683"/>
      <c r="Q540" s="686"/>
      <c r="R540" s="686"/>
      <c r="S540" s="686"/>
      <c r="T540" s="686"/>
      <c r="U540" s="686"/>
      <c r="V540" s="686"/>
      <c r="W540" s="686"/>
      <c r="X540" s="686"/>
      <c r="Y540" s="686"/>
      <c r="Z540" s="686"/>
      <c r="AA540" s="686"/>
      <c r="AB540" s="686"/>
      <c r="AC540" s="686"/>
      <c r="AD540" s="686"/>
      <c r="AE540" s="686"/>
      <c r="AF540" s="686"/>
    </row>
    <row r="541" ht="15.75" customHeight="1">
      <c r="A541" s="683"/>
      <c r="B541" s="683"/>
      <c r="C541" s="684"/>
      <c r="D541" s="684"/>
      <c r="E541" s="684"/>
      <c r="F541" s="683"/>
      <c r="G541" s="683"/>
      <c r="H541" s="683"/>
      <c r="I541" s="683"/>
      <c r="J541" s="683"/>
      <c r="K541" s="683"/>
      <c r="L541" s="685"/>
      <c r="M541" s="685"/>
      <c r="N541" s="685"/>
      <c r="O541" s="683"/>
      <c r="P541" s="683"/>
      <c r="Q541" s="686"/>
      <c r="R541" s="686"/>
      <c r="S541" s="686"/>
      <c r="T541" s="686"/>
      <c r="U541" s="686"/>
      <c r="V541" s="686"/>
      <c r="W541" s="686"/>
      <c r="X541" s="686"/>
      <c r="Y541" s="686"/>
      <c r="Z541" s="686"/>
      <c r="AA541" s="686"/>
      <c r="AB541" s="686"/>
      <c r="AC541" s="686"/>
      <c r="AD541" s="686"/>
      <c r="AE541" s="686"/>
      <c r="AF541" s="686"/>
    </row>
    <row r="542" ht="15.75" customHeight="1">
      <c r="A542" s="683"/>
      <c r="B542" s="683"/>
      <c r="C542" s="684"/>
      <c r="D542" s="684"/>
      <c r="E542" s="684"/>
      <c r="F542" s="683"/>
      <c r="G542" s="683"/>
      <c r="H542" s="683"/>
      <c r="I542" s="683"/>
      <c r="J542" s="683"/>
      <c r="K542" s="683"/>
      <c r="L542" s="685"/>
      <c r="M542" s="685"/>
      <c r="N542" s="685"/>
      <c r="O542" s="683"/>
      <c r="P542" s="683"/>
      <c r="Q542" s="686"/>
      <c r="R542" s="686"/>
      <c r="S542" s="686"/>
      <c r="T542" s="686"/>
      <c r="U542" s="686"/>
      <c r="V542" s="686"/>
      <c r="W542" s="686"/>
      <c r="X542" s="686"/>
      <c r="Y542" s="686"/>
      <c r="Z542" s="686"/>
      <c r="AA542" s="686"/>
      <c r="AB542" s="686"/>
      <c r="AC542" s="686"/>
      <c r="AD542" s="686"/>
      <c r="AE542" s="686"/>
      <c r="AF542" s="686"/>
    </row>
    <row r="543" ht="15.75" customHeight="1">
      <c r="A543" s="683"/>
      <c r="B543" s="683"/>
      <c r="C543" s="684"/>
      <c r="D543" s="684"/>
      <c r="E543" s="684"/>
      <c r="F543" s="683"/>
      <c r="G543" s="683"/>
      <c r="H543" s="683"/>
      <c r="I543" s="683"/>
      <c r="J543" s="683"/>
      <c r="K543" s="683"/>
      <c r="L543" s="685"/>
      <c r="M543" s="685"/>
      <c r="N543" s="685"/>
      <c r="O543" s="683"/>
      <c r="P543" s="683"/>
      <c r="Q543" s="686"/>
      <c r="R543" s="686"/>
      <c r="S543" s="686"/>
      <c r="T543" s="686"/>
      <c r="U543" s="686"/>
      <c r="V543" s="686"/>
      <c r="W543" s="686"/>
      <c r="X543" s="686"/>
      <c r="Y543" s="686"/>
      <c r="Z543" s="686"/>
      <c r="AA543" s="686"/>
      <c r="AB543" s="686"/>
      <c r="AC543" s="686"/>
      <c r="AD543" s="686"/>
      <c r="AE543" s="686"/>
      <c r="AF543" s="686"/>
    </row>
    <row r="544" ht="15.75" customHeight="1">
      <c r="A544" s="683"/>
      <c r="B544" s="683"/>
      <c r="C544" s="684"/>
      <c r="D544" s="684"/>
      <c r="E544" s="684"/>
      <c r="F544" s="683"/>
      <c r="G544" s="683"/>
      <c r="H544" s="683"/>
      <c r="I544" s="683"/>
      <c r="J544" s="683"/>
      <c r="K544" s="683"/>
      <c r="L544" s="685"/>
      <c r="M544" s="685"/>
      <c r="N544" s="685"/>
      <c r="O544" s="683"/>
      <c r="P544" s="683"/>
      <c r="Q544" s="686"/>
      <c r="R544" s="686"/>
      <c r="S544" s="686"/>
      <c r="T544" s="686"/>
      <c r="U544" s="686"/>
      <c r="V544" s="686"/>
      <c r="W544" s="686"/>
      <c r="X544" s="686"/>
      <c r="Y544" s="686"/>
      <c r="Z544" s="686"/>
      <c r="AA544" s="686"/>
      <c r="AB544" s="686"/>
      <c r="AC544" s="686"/>
      <c r="AD544" s="686"/>
      <c r="AE544" s="686"/>
      <c r="AF544" s="686"/>
    </row>
    <row r="545" ht="15.75" customHeight="1">
      <c r="A545" s="683"/>
      <c r="B545" s="683"/>
      <c r="C545" s="684"/>
      <c r="D545" s="684"/>
      <c r="E545" s="684"/>
      <c r="F545" s="683"/>
      <c r="G545" s="683"/>
      <c r="H545" s="683"/>
      <c r="I545" s="683"/>
      <c r="J545" s="683"/>
      <c r="K545" s="683"/>
      <c r="L545" s="685"/>
      <c r="M545" s="685"/>
      <c r="N545" s="685"/>
      <c r="O545" s="683"/>
      <c r="P545" s="683"/>
      <c r="Q545" s="686"/>
      <c r="R545" s="686"/>
      <c r="S545" s="686"/>
      <c r="T545" s="686"/>
      <c r="U545" s="686"/>
      <c r="V545" s="686"/>
      <c r="W545" s="686"/>
      <c r="X545" s="686"/>
      <c r="Y545" s="686"/>
      <c r="Z545" s="686"/>
      <c r="AA545" s="686"/>
      <c r="AB545" s="686"/>
      <c r="AC545" s="686"/>
      <c r="AD545" s="686"/>
      <c r="AE545" s="686"/>
      <c r="AF545" s="686"/>
    </row>
    <row r="546" ht="15.75" customHeight="1">
      <c r="A546" s="683"/>
      <c r="B546" s="683"/>
      <c r="C546" s="684"/>
      <c r="D546" s="684"/>
      <c r="E546" s="684"/>
      <c r="F546" s="683"/>
      <c r="G546" s="683"/>
      <c r="H546" s="683"/>
      <c r="I546" s="683"/>
      <c r="J546" s="683"/>
      <c r="K546" s="683"/>
      <c r="L546" s="685"/>
      <c r="M546" s="685"/>
      <c r="N546" s="685"/>
      <c r="O546" s="683"/>
      <c r="P546" s="683"/>
      <c r="Q546" s="686"/>
      <c r="R546" s="686"/>
      <c r="S546" s="686"/>
      <c r="T546" s="686"/>
      <c r="U546" s="686"/>
      <c r="V546" s="686"/>
      <c r="W546" s="686"/>
      <c r="X546" s="686"/>
      <c r="Y546" s="686"/>
      <c r="Z546" s="686"/>
      <c r="AA546" s="686"/>
      <c r="AB546" s="686"/>
      <c r="AC546" s="686"/>
      <c r="AD546" s="686"/>
      <c r="AE546" s="686"/>
      <c r="AF546" s="686"/>
    </row>
    <row r="547" ht="15.75" customHeight="1">
      <c r="A547" s="683"/>
      <c r="B547" s="683"/>
      <c r="C547" s="684"/>
      <c r="D547" s="684"/>
      <c r="E547" s="684"/>
      <c r="F547" s="683"/>
      <c r="G547" s="683"/>
      <c r="H547" s="683"/>
      <c r="I547" s="683"/>
      <c r="J547" s="683"/>
      <c r="K547" s="683"/>
      <c r="L547" s="685"/>
      <c r="M547" s="685"/>
      <c r="N547" s="685"/>
      <c r="O547" s="683"/>
      <c r="P547" s="683"/>
      <c r="Q547" s="686"/>
      <c r="R547" s="686"/>
      <c r="S547" s="686"/>
      <c r="T547" s="686"/>
      <c r="U547" s="686"/>
      <c r="V547" s="686"/>
      <c r="W547" s="686"/>
      <c r="X547" s="686"/>
      <c r="Y547" s="686"/>
      <c r="Z547" s="686"/>
      <c r="AA547" s="686"/>
      <c r="AB547" s="686"/>
      <c r="AC547" s="686"/>
      <c r="AD547" s="686"/>
      <c r="AE547" s="686"/>
      <c r="AF547" s="686"/>
    </row>
    <row r="548" ht="15.75" customHeight="1">
      <c r="A548" s="683"/>
      <c r="B548" s="683"/>
      <c r="C548" s="684"/>
      <c r="D548" s="684"/>
      <c r="E548" s="684"/>
      <c r="F548" s="683"/>
      <c r="G548" s="683"/>
      <c r="H548" s="683"/>
      <c r="I548" s="683"/>
      <c r="J548" s="683"/>
      <c r="K548" s="683"/>
      <c r="L548" s="685"/>
      <c r="M548" s="685"/>
      <c r="N548" s="685"/>
      <c r="O548" s="683"/>
      <c r="P548" s="683"/>
      <c r="Q548" s="686"/>
      <c r="R548" s="686"/>
      <c r="S548" s="686"/>
      <c r="T548" s="686"/>
      <c r="U548" s="686"/>
      <c r="V548" s="686"/>
      <c r="W548" s="686"/>
      <c r="X548" s="686"/>
      <c r="Y548" s="686"/>
      <c r="Z548" s="686"/>
      <c r="AA548" s="686"/>
      <c r="AB548" s="686"/>
      <c r="AC548" s="686"/>
      <c r="AD548" s="686"/>
      <c r="AE548" s="686"/>
      <c r="AF548" s="686"/>
    </row>
    <row r="549" ht="15.75" customHeight="1">
      <c r="A549" s="683"/>
      <c r="B549" s="683"/>
      <c r="C549" s="684"/>
      <c r="D549" s="684"/>
      <c r="E549" s="684"/>
      <c r="F549" s="683"/>
      <c r="G549" s="683"/>
      <c r="H549" s="683"/>
      <c r="I549" s="683"/>
      <c r="J549" s="683"/>
      <c r="K549" s="683"/>
      <c r="L549" s="685"/>
      <c r="M549" s="685"/>
      <c r="N549" s="685"/>
      <c r="O549" s="683"/>
      <c r="P549" s="683"/>
      <c r="Q549" s="686"/>
      <c r="R549" s="686"/>
      <c r="S549" s="686"/>
      <c r="T549" s="686"/>
      <c r="U549" s="686"/>
      <c r="V549" s="686"/>
      <c r="W549" s="686"/>
      <c r="X549" s="686"/>
      <c r="Y549" s="686"/>
      <c r="Z549" s="686"/>
      <c r="AA549" s="686"/>
      <c r="AB549" s="686"/>
      <c r="AC549" s="686"/>
      <c r="AD549" s="686"/>
      <c r="AE549" s="686"/>
      <c r="AF549" s="686"/>
    </row>
    <row r="550" ht="15.75" customHeight="1">
      <c r="A550" s="683"/>
      <c r="B550" s="683"/>
      <c r="C550" s="684"/>
      <c r="D550" s="684"/>
      <c r="E550" s="684"/>
      <c r="F550" s="683"/>
      <c r="G550" s="683"/>
      <c r="H550" s="683"/>
      <c r="I550" s="683"/>
      <c r="J550" s="683"/>
      <c r="K550" s="683"/>
      <c r="L550" s="685"/>
      <c r="M550" s="685"/>
      <c r="N550" s="685"/>
      <c r="O550" s="683"/>
      <c r="P550" s="683"/>
      <c r="Q550" s="686"/>
      <c r="R550" s="686"/>
      <c r="S550" s="686"/>
      <c r="T550" s="686"/>
      <c r="U550" s="686"/>
      <c r="V550" s="686"/>
      <c r="W550" s="686"/>
      <c r="X550" s="686"/>
      <c r="Y550" s="686"/>
      <c r="Z550" s="686"/>
      <c r="AA550" s="686"/>
      <c r="AB550" s="686"/>
      <c r="AC550" s="686"/>
      <c r="AD550" s="686"/>
      <c r="AE550" s="686"/>
      <c r="AF550" s="686"/>
    </row>
    <row r="551" ht="15.75" customHeight="1">
      <c r="A551" s="683"/>
      <c r="B551" s="683"/>
      <c r="C551" s="684"/>
      <c r="D551" s="684"/>
      <c r="E551" s="684"/>
      <c r="F551" s="683"/>
      <c r="G551" s="683"/>
      <c r="H551" s="683"/>
      <c r="I551" s="683"/>
      <c r="J551" s="683"/>
      <c r="K551" s="683"/>
      <c r="L551" s="685"/>
      <c r="M551" s="685"/>
      <c r="N551" s="685"/>
      <c r="O551" s="683"/>
      <c r="P551" s="683"/>
      <c r="Q551" s="686"/>
      <c r="R551" s="686"/>
      <c r="S551" s="686"/>
      <c r="T551" s="686"/>
      <c r="U551" s="686"/>
      <c r="V551" s="686"/>
      <c r="W551" s="686"/>
      <c r="X551" s="686"/>
      <c r="Y551" s="686"/>
      <c r="Z551" s="686"/>
      <c r="AA551" s="686"/>
      <c r="AB551" s="686"/>
      <c r="AC551" s="686"/>
      <c r="AD551" s="686"/>
      <c r="AE551" s="686"/>
      <c r="AF551" s="686"/>
    </row>
    <row r="552" ht="15.75" customHeight="1">
      <c r="A552" s="683"/>
      <c r="B552" s="683"/>
      <c r="C552" s="684"/>
      <c r="D552" s="684"/>
      <c r="E552" s="684"/>
      <c r="F552" s="683"/>
      <c r="G552" s="683"/>
      <c r="H552" s="683"/>
      <c r="I552" s="683"/>
      <c r="J552" s="683"/>
      <c r="K552" s="683"/>
      <c r="L552" s="685"/>
      <c r="M552" s="685"/>
      <c r="N552" s="685"/>
      <c r="O552" s="683"/>
      <c r="P552" s="683"/>
      <c r="Q552" s="686"/>
      <c r="R552" s="686"/>
      <c r="S552" s="686"/>
      <c r="T552" s="686"/>
      <c r="U552" s="686"/>
      <c r="V552" s="686"/>
      <c r="W552" s="686"/>
      <c r="X552" s="686"/>
      <c r="Y552" s="686"/>
      <c r="Z552" s="686"/>
      <c r="AA552" s="686"/>
      <c r="AB552" s="686"/>
      <c r="AC552" s="686"/>
      <c r="AD552" s="686"/>
      <c r="AE552" s="686"/>
      <c r="AF552" s="686"/>
    </row>
    <row r="553" ht="15.75" customHeight="1">
      <c r="A553" s="683"/>
      <c r="B553" s="683"/>
      <c r="C553" s="684"/>
      <c r="D553" s="684"/>
      <c r="E553" s="684"/>
      <c r="F553" s="683"/>
      <c r="G553" s="683"/>
      <c r="H553" s="683"/>
      <c r="I553" s="683"/>
      <c r="J553" s="683"/>
      <c r="K553" s="683"/>
      <c r="L553" s="685"/>
      <c r="M553" s="685"/>
      <c r="N553" s="685"/>
      <c r="O553" s="683"/>
      <c r="P553" s="683"/>
      <c r="Q553" s="686"/>
      <c r="R553" s="686"/>
      <c r="S553" s="686"/>
      <c r="T553" s="686"/>
      <c r="U553" s="686"/>
      <c r="V553" s="686"/>
      <c r="W553" s="686"/>
      <c r="X553" s="686"/>
      <c r="Y553" s="686"/>
      <c r="Z553" s="686"/>
      <c r="AA553" s="686"/>
      <c r="AB553" s="686"/>
      <c r="AC553" s="686"/>
      <c r="AD553" s="686"/>
      <c r="AE553" s="686"/>
      <c r="AF553" s="686"/>
    </row>
    <row r="554" ht="15.75" customHeight="1">
      <c r="A554" s="683"/>
      <c r="B554" s="683"/>
      <c r="C554" s="684"/>
      <c r="D554" s="684"/>
      <c r="E554" s="684"/>
      <c r="F554" s="683"/>
      <c r="G554" s="683"/>
      <c r="H554" s="683"/>
      <c r="I554" s="683"/>
      <c r="J554" s="683"/>
      <c r="K554" s="683"/>
      <c r="L554" s="685"/>
      <c r="M554" s="685"/>
      <c r="N554" s="685"/>
      <c r="O554" s="683"/>
      <c r="P554" s="683"/>
      <c r="Q554" s="686"/>
      <c r="R554" s="686"/>
      <c r="S554" s="686"/>
      <c r="T554" s="686"/>
      <c r="U554" s="686"/>
      <c r="V554" s="686"/>
      <c r="W554" s="686"/>
      <c r="X554" s="686"/>
      <c r="Y554" s="686"/>
      <c r="Z554" s="686"/>
      <c r="AA554" s="686"/>
      <c r="AB554" s="686"/>
      <c r="AC554" s="686"/>
      <c r="AD554" s="686"/>
      <c r="AE554" s="686"/>
      <c r="AF554" s="686"/>
    </row>
    <row r="555" ht="15.75" customHeight="1">
      <c r="A555" s="683"/>
      <c r="B555" s="683"/>
      <c r="C555" s="684"/>
      <c r="D555" s="684"/>
      <c r="E555" s="684"/>
      <c r="F555" s="683"/>
      <c r="G555" s="683"/>
      <c r="H555" s="683"/>
      <c r="I555" s="683"/>
      <c r="J555" s="683"/>
      <c r="K555" s="683"/>
      <c r="L555" s="685"/>
      <c r="M555" s="685"/>
      <c r="N555" s="685"/>
      <c r="O555" s="683"/>
      <c r="P555" s="683"/>
      <c r="Q555" s="686"/>
      <c r="R555" s="686"/>
      <c r="S555" s="686"/>
      <c r="T555" s="686"/>
      <c r="U555" s="686"/>
      <c r="V555" s="686"/>
      <c r="W555" s="686"/>
      <c r="X555" s="686"/>
      <c r="Y555" s="686"/>
      <c r="Z555" s="686"/>
      <c r="AA555" s="686"/>
      <c r="AB555" s="686"/>
      <c r="AC555" s="686"/>
      <c r="AD555" s="686"/>
      <c r="AE555" s="686"/>
      <c r="AF555" s="686"/>
    </row>
    <row r="556" ht="15.75" customHeight="1">
      <c r="A556" s="683"/>
      <c r="B556" s="683"/>
      <c r="C556" s="684"/>
      <c r="D556" s="684"/>
      <c r="E556" s="684"/>
      <c r="F556" s="683"/>
      <c r="G556" s="683"/>
      <c r="H556" s="683"/>
      <c r="I556" s="683"/>
      <c r="J556" s="683"/>
      <c r="K556" s="683"/>
      <c r="L556" s="685"/>
      <c r="M556" s="685"/>
      <c r="N556" s="685"/>
      <c r="O556" s="683"/>
      <c r="P556" s="683"/>
      <c r="Q556" s="686"/>
      <c r="R556" s="686"/>
      <c r="S556" s="686"/>
      <c r="T556" s="686"/>
      <c r="U556" s="686"/>
      <c r="V556" s="686"/>
      <c r="W556" s="686"/>
      <c r="X556" s="686"/>
      <c r="Y556" s="686"/>
      <c r="Z556" s="686"/>
      <c r="AA556" s="686"/>
      <c r="AB556" s="686"/>
      <c r="AC556" s="686"/>
      <c r="AD556" s="686"/>
      <c r="AE556" s="686"/>
      <c r="AF556" s="686"/>
    </row>
    <row r="557" ht="15.75" customHeight="1">
      <c r="A557" s="683"/>
      <c r="B557" s="683"/>
      <c r="C557" s="684"/>
      <c r="D557" s="684"/>
      <c r="E557" s="684"/>
      <c r="F557" s="683"/>
      <c r="G557" s="683"/>
      <c r="H557" s="683"/>
      <c r="I557" s="683"/>
      <c r="J557" s="683"/>
      <c r="K557" s="683"/>
      <c r="L557" s="685"/>
      <c r="M557" s="685"/>
      <c r="N557" s="685"/>
      <c r="O557" s="683"/>
      <c r="P557" s="683"/>
      <c r="Q557" s="686"/>
      <c r="R557" s="686"/>
      <c r="S557" s="686"/>
      <c r="T557" s="686"/>
      <c r="U557" s="686"/>
      <c r="V557" s="686"/>
      <c r="W557" s="686"/>
      <c r="X557" s="686"/>
      <c r="Y557" s="686"/>
      <c r="Z557" s="686"/>
      <c r="AA557" s="686"/>
      <c r="AB557" s="686"/>
      <c r="AC557" s="686"/>
      <c r="AD557" s="686"/>
      <c r="AE557" s="686"/>
      <c r="AF557" s="686"/>
    </row>
    <row r="558" ht="15.75" customHeight="1">
      <c r="A558" s="683"/>
      <c r="B558" s="683"/>
      <c r="C558" s="684"/>
      <c r="D558" s="684"/>
      <c r="E558" s="684"/>
      <c r="F558" s="683"/>
      <c r="G558" s="683"/>
      <c r="H558" s="683"/>
      <c r="I558" s="683"/>
      <c r="J558" s="683"/>
      <c r="K558" s="683"/>
      <c r="L558" s="685"/>
      <c r="M558" s="685"/>
      <c r="N558" s="685"/>
      <c r="O558" s="683"/>
      <c r="P558" s="683"/>
      <c r="Q558" s="686"/>
      <c r="R558" s="686"/>
      <c r="S558" s="686"/>
      <c r="T558" s="686"/>
      <c r="U558" s="686"/>
      <c r="V558" s="686"/>
      <c r="W558" s="686"/>
      <c r="X558" s="686"/>
      <c r="Y558" s="686"/>
      <c r="Z558" s="686"/>
      <c r="AA558" s="686"/>
      <c r="AB558" s="686"/>
      <c r="AC558" s="686"/>
      <c r="AD558" s="686"/>
      <c r="AE558" s="686"/>
      <c r="AF558" s="686"/>
    </row>
    <row r="559" ht="15.75" customHeight="1">
      <c r="A559" s="683"/>
      <c r="B559" s="683"/>
      <c r="C559" s="684"/>
      <c r="D559" s="684"/>
      <c r="E559" s="684"/>
      <c r="F559" s="683"/>
      <c r="G559" s="683"/>
      <c r="H559" s="683"/>
      <c r="I559" s="683"/>
      <c r="J559" s="683"/>
      <c r="K559" s="683"/>
      <c r="L559" s="685"/>
      <c r="M559" s="685"/>
      <c r="N559" s="685"/>
      <c r="O559" s="683"/>
      <c r="P559" s="683"/>
      <c r="Q559" s="686"/>
      <c r="R559" s="686"/>
      <c r="S559" s="686"/>
      <c r="T559" s="686"/>
      <c r="U559" s="686"/>
      <c r="V559" s="686"/>
      <c r="W559" s="686"/>
      <c r="X559" s="686"/>
      <c r="Y559" s="686"/>
      <c r="Z559" s="686"/>
      <c r="AA559" s="686"/>
      <c r="AB559" s="686"/>
      <c r="AC559" s="686"/>
      <c r="AD559" s="686"/>
      <c r="AE559" s="686"/>
      <c r="AF559" s="686"/>
    </row>
    <row r="560" ht="15.75" customHeight="1">
      <c r="A560" s="683"/>
      <c r="B560" s="683"/>
      <c r="C560" s="684"/>
      <c r="D560" s="684"/>
      <c r="E560" s="684"/>
      <c r="F560" s="683"/>
      <c r="G560" s="683"/>
      <c r="H560" s="683"/>
      <c r="I560" s="683"/>
      <c r="J560" s="683"/>
      <c r="K560" s="683"/>
      <c r="L560" s="685"/>
      <c r="M560" s="685"/>
      <c r="N560" s="685"/>
      <c r="O560" s="683"/>
      <c r="P560" s="683"/>
      <c r="Q560" s="686"/>
      <c r="R560" s="686"/>
      <c r="S560" s="686"/>
      <c r="T560" s="686"/>
      <c r="U560" s="686"/>
      <c r="V560" s="686"/>
      <c r="W560" s="686"/>
      <c r="X560" s="686"/>
      <c r="Y560" s="686"/>
      <c r="Z560" s="686"/>
      <c r="AA560" s="686"/>
      <c r="AB560" s="686"/>
      <c r="AC560" s="686"/>
      <c r="AD560" s="686"/>
      <c r="AE560" s="686"/>
      <c r="AF560" s="686"/>
    </row>
    <row r="561" ht="15.75" customHeight="1">
      <c r="A561" s="683"/>
      <c r="B561" s="683"/>
      <c r="C561" s="684"/>
      <c r="D561" s="684"/>
      <c r="E561" s="684"/>
      <c r="F561" s="683"/>
      <c r="G561" s="683"/>
      <c r="H561" s="683"/>
      <c r="I561" s="683"/>
      <c r="J561" s="683"/>
      <c r="K561" s="683"/>
      <c r="L561" s="685"/>
      <c r="M561" s="685"/>
      <c r="N561" s="685"/>
      <c r="O561" s="683"/>
      <c r="P561" s="683"/>
      <c r="Q561" s="686"/>
      <c r="R561" s="686"/>
      <c r="S561" s="686"/>
      <c r="T561" s="686"/>
      <c r="U561" s="686"/>
      <c r="V561" s="686"/>
      <c r="W561" s="686"/>
      <c r="X561" s="686"/>
      <c r="Y561" s="686"/>
      <c r="Z561" s="686"/>
      <c r="AA561" s="686"/>
      <c r="AB561" s="686"/>
      <c r="AC561" s="686"/>
      <c r="AD561" s="686"/>
      <c r="AE561" s="686"/>
      <c r="AF561" s="686"/>
    </row>
    <row r="562" ht="15.75" customHeight="1">
      <c r="A562" s="683"/>
      <c r="B562" s="683"/>
      <c r="C562" s="684"/>
      <c r="D562" s="684"/>
      <c r="E562" s="684"/>
      <c r="F562" s="683"/>
      <c r="G562" s="683"/>
      <c r="H562" s="683"/>
      <c r="I562" s="683"/>
      <c r="J562" s="683"/>
      <c r="K562" s="683"/>
      <c r="L562" s="685"/>
      <c r="M562" s="685"/>
      <c r="N562" s="685"/>
      <c r="O562" s="683"/>
      <c r="P562" s="683"/>
      <c r="Q562" s="686"/>
      <c r="R562" s="686"/>
      <c r="S562" s="686"/>
      <c r="T562" s="686"/>
      <c r="U562" s="686"/>
      <c r="V562" s="686"/>
      <c r="W562" s="686"/>
      <c r="X562" s="686"/>
      <c r="Y562" s="686"/>
      <c r="Z562" s="686"/>
      <c r="AA562" s="686"/>
      <c r="AB562" s="686"/>
      <c r="AC562" s="686"/>
      <c r="AD562" s="686"/>
      <c r="AE562" s="686"/>
      <c r="AF562" s="686"/>
    </row>
    <row r="563" ht="15.75" customHeight="1">
      <c r="A563" s="683"/>
      <c r="B563" s="683"/>
      <c r="C563" s="684"/>
      <c r="D563" s="684"/>
      <c r="E563" s="684"/>
      <c r="F563" s="683"/>
      <c r="G563" s="683"/>
      <c r="H563" s="683"/>
      <c r="I563" s="683"/>
      <c r="J563" s="683"/>
      <c r="K563" s="683"/>
      <c r="L563" s="685"/>
      <c r="M563" s="685"/>
      <c r="N563" s="685"/>
      <c r="O563" s="683"/>
      <c r="P563" s="683"/>
      <c r="Q563" s="686"/>
      <c r="R563" s="686"/>
      <c r="S563" s="686"/>
      <c r="T563" s="686"/>
      <c r="U563" s="686"/>
      <c r="V563" s="686"/>
      <c r="W563" s="686"/>
      <c r="X563" s="686"/>
      <c r="Y563" s="686"/>
      <c r="Z563" s="686"/>
      <c r="AA563" s="686"/>
      <c r="AB563" s="686"/>
      <c r="AC563" s="686"/>
      <c r="AD563" s="686"/>
      <c r="AE563" s="686"/>
      <c r="AF563" s="686"/>
    </row>
    <row r="564" ht="15.75" customHeight="1">
      <c r="A564" s="683"/>
      <c r="B564" s="683"/>
      <c r="C564" s="684"/>
      <c r="D564" s="684"/>
      <c r="E564" s="684"/>
      <c r="F564" s="683"/>
      <c r="G564" s="683"/>
      <c r="H564" s="683"/>
      <c r="I564" s="683"/>
      <c r="J564" s="683"/>
      <c r="K564" s="683"/>
      <c r="L564" s="685"/>
      <c r="M564" s="685"/>
      <c r="N564" s="685"/>
      <c r="O564" s="683"/>
      <c r="P564" s="683"/>
      <c r="Q564" s="686"/>
      <c r="R564" s="686"/>
      <c r="S564" s="686"/>
      <c r="T564" s="686"/>
      <c r="U564" s="686"/>
      <c r="V564" s="686"/>
      <c r="W564" s="686"/>
      <c r="X564" s="686"/>
      <c r="Y564" s="686"/>
      <c r="Z564" s="686"/>
      <c r="AA564" s="686"/>
      <c r="AB564" s="686"/>
      <c r="AC564" s="686"/>
      <c r="AD564" s="686"/>
      <c r="AE564" s="686"/>
      <c r="AF564" s="686"/>
    </row>
    <row r="565" ht="15.75" customHeight="1">
      <c r="A565" s="683"/>
      <c r="B565" s="683"/>
      <c r="C565" s="684"/>
      <c r="D565" s="684"/>
      <c r="E565" s="684"/>
      <c r="F565" s="683"/>
      <c r="G565" s="683"/>
      <c r="H565" s="683"/>
      <c r="I565" s="683"/>
      <c r="J565" s="683"/>
      <c r="K565" s="683"/>
      <c r="L565" s="685"/>
      <c r="M565" s="685"/>
      <c r="N565" s="685"/>
      <c r="O565" s="683"/>
      <c r="P565" s="683"/>
      <c r="Q565" s="686"/>
      <c r="R565" s="686"/>
      <c r="S565" s="686"/>
      <c r="T565" s="686"/>
      <c r="U565" s="686"/>
      <c r="V565" s="686"/>
      <c r="W565" s="686"/>
      <c r="X565" s="686"/>
      <c r="Y565" s="686"/>
      <c r="Z565" s="686"/>
      <c r="AA565" s="686"/>
      <c r="AB565" s="686"/>
      <c r="AC565" s="686"/>
      <c r="AD565" s="686"/>
      <c r="AE565" s="686"/>
      <c r="AF565" s="686"/>
    </row>
    <row r="566" ht="15.75" customHeight="1">
      <c r="A566" s="683"/>
      <c r="B566" s="683"/>
      <c r="C566" s="684"/>
      <c r="D566" s="684"/>
      <c r="E566" s="684"/>
      <c r="F566" s="683"/>
      <c r="G566" s="683"/>
      <c r="H566" s="683"/>
      <c r="I566" s="683"/>
      <c r="J566" s="683"/>
      <c r="K566" s="683"/>
      <c r="L566" s="685"/>
      <c r="M566" s="685"/>
      <c r="N566" s="685"/>
      <c r="O566" s="683"/>
      <c r="P566" s="683"/>
      <c r="Q566" s="686"/>
      <c r="R566" s="686"/>
      <c r="S566" s="686"/>
      <c r="T566" s="686"/>
      <c r="U566" s="686"/>
      <c r="V566" s="686"/>
      <c r="W566" s="686"/>
      <c r="X566" s="686"/>
      <c r="Y566" s="686"/>
      <c r="Z566" s="686"/>
      <c r="AA566" s="686"/>
      <c r="AB566" s="686"/>
      <c r="AC566" s="686"/>
      <c r="AD566" s="686"/>
      <c r="AE566" s="686"/>
      <c r="AF566" s="686"/>
    </row>
    <row r="567" ht="15.75" customHeight="1">
      <c r="A567" s="683"/>
      <c r="B567" s="683"/>
      <c r="C567" s="684"/>
      <c r="D567" s="684"/>
      <c r="E567" s="684"/>
      <c r="F567" s="683"/>
      <c r="G567" s="683"/>
      <c r="H567" s="683"/>
      <c r="I567" s="683"/>
      <c r="J567" s="683"/>
      <c r="K567" s="683"/>
      <c r="L567" s="685"/>
      <c r="M567" s="685"/>
      <c r="N567" s="685"/>
      <c r="O567" s="683"/>
      <c r="P567" s="683"/>
      <c r="Q567" s="686"/>
      <c r="R567" s="686"/>
      <c r="S567" s="686"/>
      <c r="T567" s="686"/>
      <c r="U567" s="686"/>
      <c r="V567" s="686"/>
      <c r="W567" s="686"/>
      <c r="X567" s="686"/>
      <c r="Y567" s="686"/>
      <c r="Z567" s="686"/>
      <c r="AA567" s="686"/>
      <c r="AB567" s="686"/>
      <c r="AC567" s="686"/>
      <c r="AD567" s="686"/>
      <c r="AE567" s="686"/>
      <c r="AF567" s="686"/>
    </row>
    <row r="568" ht="15.75" customHeight="1">
      <c r="A568" s="683"/>
      <c r="B568" s="683"/>
      <c r="C568" s="684"/>
      <c r="D568" s="684"/>
      <c r="E568" s="684"/>
      <c r="F568" s="683"/>
      <c r="G568" s="683"/>
      <c r="H568" s="683"/>
      <c r="I568" s="683"/>
      <c r="J568" s="683"/>
      <c r="K568" s="683"/>
      <c r="L568" s="685"/>
      <c r="M568" s="685"/>
      <c r="N568" s="685"/>
      <c r="O568" s="683"/>
      <c r="P568" s="683"/>
      <c r="Q568" s="686"/>
      <c r="R568" s="686"/>
      <c r="S568" s="686"/>
      <c r="T568" s="686"/>
      <c r="U568" s="686"/>
      <c r="V568" s="686"/>
      <c r="W568" s="686"/>
      <c r="X568" s="686"/>
      <c r="Y568" s="686"/>
      <c r="Z568" s="686"/>
      <c r="AA568" s="686"/>
      <c r="AB568" s="686"/>
      <c r="AC568" s="686"/>
      <c r="AD568" s="686"/>
      <c r="AE568" s="686"/>
      <c r="AF568" s="686"/>
    </row>
    <row r="569" ht="15.75" customHeight="1">
      <c r="A569" s="683"/>
      <c r="B569" s="683"/>
      <c r="C569" s="684"/>
      <c r="D569" s="684"/>
      <c r="E569" s="684"/>
      <c r="F569" s="683"/>
      <c r="G569" s="683"/>
      <c r="H569" s="683"/>
      <c r="I569" s="683"/>
      <c r="J569" s="683"/>
      <c r="K569" s="683"/>
      <c r="L569" s="685"/>
      <c r="M569" s="685"/>
      <c r="N569" s="685"/>
      <c r="O569" s="683"/>
      <c r="P569" s="683"/>
      <c r="Q569" s="686"/>
      <c r="R569" s="686"/>
      <c r="S569" s="686"/>
      <c r="T569" s="686"/>
      <c r="U569" s="686"/>
      <c r="V569" s="686"/>
      <c r="W569" s="686"/>
      <c r="X569" s="686"/>
      <c r="Y569" s="686"/>
      <c r="Z569" s="686"/>
      <c r="AA569" s="686"/>
      <c r="AB569" s="686"/>
      <c r="AC569" s="686"/>
      <c r="AD569" s="686"/>
      <c r="AE569" s="686"/>
      <c r="AF569" s="686"/>
    </row>
    <row r="570" ht="15.75" customHeight="1">
      <c r="A570" s="683"/>
      <c r="B570" s="683"/>
      <c r="C570" s="684"/>
      <c r="D570" s="684"/>
      <c r="E570" s="684"/>
      <c r="F570" s="683"/>
      <c r="G570" s="683"/>
      <c r="H570" s="683"/>
      <c r="I570" s="683"/>
      <c r="J570" s="683"/>
      <c r="K570" s="683"/>
      <c r="L570" s="685"/>
      <c r="M570" s="685"/>
      <c r="N570" s="685"/>
      <c r="O570" s="683"/>
      <c r="P570" s="683"/>
      <c r="Q570" s="686"/>
      <c r="R570" s="686"/>
      <c r="S570" s="686"/>
      <c r="T570" s="686"/>
      <c r="U570" s="686"/>
      <c r="V570" s="686"/>
      <c r="W570" s="686"/>
      <c r="X570" s="686"/>
      <c r="Y570" s="686"/>
      <c r="Z570" s="686"/>
      <c r="AA570" s="686"/>
      <c r="AB570" s="686"/>
      <c r="AC570" s="686"/>
      <c r="AD570" s="686"/>
      <c r="AE570" s="686"/>
      <c r="AF570" s="686"/>
    </row>
    <row r="571" ht="15.75" customHeight="1">
      <c r="A571" s="683"/>
      <c r="B571" s="683"/>
      <c r="C571" s="684"/>
      <c r="D571" s="684"/>
      <c r="E571" s="684"/>
      <c r="F571" s="683"/>
      <c r="G571" s="683"/>
      <c r="H571" s="683"/>
      <c r="I571" s="683"/>
      <c r="J571" s="683"/>
      <c r="K571" s="683"/>
      <c r="L571" s="685"/>
      <c r="M571" s="685"/>
      <c r="N571" s="685"/>
      <c r="O571" s="683"/>
      <c r="P571" s="683"/>
      <c r="Q571" s="686"/>
      <c r="R571" s="686"/>
      <c r="S571" s="686"/>
      <c r="T571" s="686"/>
      <c r="U571" s="686"/>
      <c r="V571" s="686"/>
      <c r="W571" s="686"/>
      <c r="X571" s="686"/>
      <c r="Y571" s="686"/>
      <c r="Z571" s="686"/>
      <c r="AA571" s="686"/>
      <c r="AB571" s="686"/>
      <c r="AC571" s="686"/>
      <c r="AD571" s="686"/>
      <c r="AE571" s="686"/>
      <c r="AF571" s="686"/>
    </row>
    <row r="572" ht="15.75" customHeight="1">
      <c r="A572" s="683"/>
      <c r="B572" s="683"/>
      <c r="C572" s="684"/>
      <c r="D572" s="684"/>
      <c r="E572" s="684"/>
      <c r="F572" s="683"/>
      <c r="G572" s="683"/>
      <c r="H572" s="683"/>
      <c r="I572" s="683"/>
      <c r="J572" s="683"/>
      <c r="K572" s="683"/>
      <c r="L572" s="685"/>
      <c r="M572" s="685"/>
      <c r="N572" s="685"/>
      <c r="O572" s="683"/>
      <c r="P572" s="683"/>
      <c r="Q572" s="686"/>
      <c r="R572" s="686"/>
      <c r="S572" s="686"/>
      <c r="T572" s="686"/>
      <c r="U572" s="686"/>
      <c r="V572" s="686"/>
      <c r="W572" s="686"/>
      <c r="X572" s="686"/>
      <c r="Y572" s="686"/>
      <c r="Z572" s="686"/>
      <c r="AA572" s="686"/>
      <c r="AB572" s="686"/>
      <c r="AC572" s="686"/>
      <c r="AD572" s="686"/>
      <c r="AE572" s="686"/>
      <c r="AF572" s="686"/>
    </row>
    <row r="573" ht="15.75" customHeight="1">
      <c r="A573" s="683"/>
      <c r="B573" s="683"/>
      <c r="C573" s="684"/>
      <c r="D573" s="684"/>
      <c r="E573" s="684"/>
      <c r="F573" s="683"/>
      <c r="G573" s="683"/>
      <c r="H573" s="683"/>
      <c r="I573" s="683"/>
      <c r="J573" s="683"/>
      <c r="K573" s="683"/>
      <c r="L573" s="685"/>
      <c r="M573" s="685"/>
      <c r="N573" s="685"/>
      <c r="O573" s="683"/>
      <c r="P573" s="683"/>
      <c r="Q573" s="686"/>
      <c r="R573" s="686"/>
      <c r="S573" s="686"/>
      <c r="T573" s="686"/>
      <c r="U573" s="686"/>
      <c r="V573" s="686"/>
      <c r="W573" s="686"/>
      <c r="X573" s="686"/>
      <c r="Y573" s="686"/>
      <c r="Z573" s="686"/>
      <c r="AA573" s="686"/>
      <c r="AB573" s="686"/>
      <c r="AC573" s="686"/>
      <c r="AD573" s="686"/>
      <c r="AE573" s="686"/>
      <c r="AF573" s="686"/>
    </row>
    <row r="574" ht="15.75" customHeight="1">
      <c r="A574" s="683"/>
      <c r="B574" s="683"/>
      <c r="C574" s="684"/>
      <c r="D574" s="684"/>
      <c r="E574" s="684"/>
      <c r="F574" s="683"/>
      <c r="G574" s="683"/>
      <c r="H574" s="683"/>
      <c r="I574" s="683"/>
      <c r="J574" s="683"/>
      <c r="K574" s="683"/>
      <c r="L574" s="685"/>
      <c r="M574" s="685"/>
      <c r="N574" s="685"/>
      <c r="O574" s="683"/>
      <c r="P574" s="683"/>
      <c r="Q574" s="686"/>
      <c r="R574" s="686"/>
      <c r="S574" s="686"/>
      <c r="T574" s="686"/>
      <c r="U574" s="686"/>
      <c r="V574" s="686"/>
      <c r="W574" s="686"/>
      <c r="X574" s="686"/>
      <c r="Y574" s="686"/>
      <c r="Z574" s="686"/>
      <c r="AA574" s="686"/>
      <c r="AB574" s="686"/>
      <c r="AC574" s="686"/>
      <c r="AD574" s="686"/>
      <c r="AE574" s="686"/>
      <c r="AF574" s="686"/>
    </row>
    <row r="575" ht="15.75" customHeight="1">
      <c r="A575" s="683"/>
      <c r="B575" s="683"/>
      <c r="C575" s="684"/>
      <c r="D575" s="684"/>
      <c r="E575" s="684"/>
      <c r="F575" s="683"/>
      <c r="G575" s="683"/>
      <c r="H575" s="683"/>
      <c r="I575" s="683"/>
      <c r="J575" s="683"/>
      <c r="K575" s="683"/>
      <c r="L575" s="685"/>
      <c r="M575" s="685"/>
      <c r="N575" s="685"/>
      <c r="O575" s="683"/>
      <c r="P575" s="683"/>
      <c r="Q575" s="686"/>
      <c r="R575" s="686"/>
      <c r="S575" s="686"/>
      <c r="T575" s="686"/>
      <c r="U575" s="686"/>
      <c r="V575" s="686"/>
      <c r="W575" s="686"/>
      <c r="X575" s="686"/>
      <c r="Y575" s="686"/>
      <c r="Z575" s="686"/>
      <c r="AA575" s="686"/>
      <c r="AB575" s="686"/>
      <c r="AC575" s="686"/>
      <c r="AD575" s="686"/>
      <c r="AE575" s="686"/>
      <c r="AF575" s="686"/>
    </row>
    <row r="576" ht="15.75" customHeight="1">
      <c r="A576" s="683"/>
      <c r="B576" s="683"/>
      <c r="C576" s="684"/>
      <c r="D576" s="684"/>
      <c r="E576" s="684"/>
      <c r="F576" s="683"/>
      <c r="G576" s="683"/>
      <c r="H576" s="683"/>
      <c r="I576" s="683"/>
      <c r="J576" s="683"/>
      <c r="K576" s="683"/>
      <c r="L576" s="685"/>
      <c r="M576" s="685"/>
      <c r="N576" s="685"/>
      <c r="O576" s="683"/>
      <c r="P576" s="683"/>
      <c r="Q576" s="686"/>
      <c r="R576" s="686"/>
      <c r="S576" s="686"/>
      <c r="T576" s="686"/>
      <c r="U576" s="686"/>
      <c r="V576" s="686"/>
      <c r="W576" s="686"/>
      <c r="X576" s="686"/>
      <c r="Y576" s="686"/>
      <c r="Z576" s="686"/>
      <c r="AA576" s="686"/>
      <c r="AB576" s="686"/>
      <c r="AC576" s="686"/>
      <c r="AD576" s="686"/>
      <c r="AE576" s="686"/>
      <c r="AF576" s="686"/>
    </row>
    <row r="577" ht="15.75" customHeight="1">
      <c r="A577" s="683"/>
      <c r="B577" s="683"/>
      <c r="C577" s="684"/>
      <c r="D577" s="684"/>
      <c r="E577" s="684"/>
      <c r="F577" s="683"/>
      <c r="G577" s="683"/>
      <c r="H577" s="683"/>
      <c r="I577" s="683"/>
      <c r="J577" s="683"/>
      <c r="K577" s="683"/>
      <c r="L577" s="685"/>
      <c r="M577" s="685"/>
      <c r="N577" s="685"/>
      <c r="O577" s="683"/>
      <c r="P577" s="683"/>
      <c r="Q577" s="686"/>
      <c r="R577" s="686"/>
      <c r="S577" s="686"/>
      <c r="T577" s="686"/>
      <c r="U577" s="686"/>
      <c r="V577" s="686"/>
      <c r="W577" s="686"/>
      <c r="X577" s="686"/>
      <c r="Y577" s="686"/>
      <c r="Z577" s="686"/>
      <c r="AA577" s="686"/>
      <c r="AB577" s="686"/>
      <c r="AC577" s="686"/>
      <c r="AD577" s="686"/>
      <c r="AE577" s="686"/>
      <c r="AF577" s="686"/>
    </row>
    <row r="578" ht="15.75" customHeight="1">
      <c r="A578" s="683"/>
      <c r="B578" s="683"/>
      <c r="C578" s="684"/>
      <c r="D578" s="684"/>
      <c r="E578" s="684"/>
      <c r="F578" s="683"/>
      <c r="G578" s="683"/>
      <c r="H578" s="683"/>
      <c r="I578" s="683"/>
      <c r="J578" s="683"/>
      <c r="K578" s="683"/>
      <c r="L578" s="685"/>
      <c r="M578" s="685"/>
      <c r="N578" s="685"/>
      <c r="O578" s="683"/>
      <c r="P578" s="683"/>
      <c r="Q578" s="686"/>
      <c r="R578" s="686"/>
      <c r="S578" s="686"/>
      <c r="T578" s="686"/>
      <c r="U578" s="686"/>
      <c r="V578" s="686"/>
      <c r="W578" s="686"/>
      <c r="X578" s="686"/>
      <c r="Y578" s="686"/>
      <c r="Z578" s="686"/>
      <c r="AA578" s="686"/>
      <c r="AB578" s="686"/>
      <c r="AC578" s="686"/>
      <c r="AD578" s="686"/>
      <c r="AE578" s="686"/>
      <c r="AF578" s="686"/>
    </row>
    <row r="579" ht="15.75" customHeight="1">
      <c r="A579" s="683"/>
      <c r="B579" s="683"/>
      <c r="C579" s="684"/>
      <c r="D579" s="684"/>
      <c r="E579" s="684"/>
      <c r="F579" s="683"/>
      <c r="G579" s="683"/>
      <c r="H579" s="683"/>
      <c r="I579" s="683"/>
      <c r="J579" s="683"/>
      <c r="K579" s="683"/>
      <c r="L579" s="685"/>
      <c r="M579" s="685"/>
      <c r="N579" s="685"/>
      <c r="O579" s="683"/>
      <c r="P579" s="683"/>
      <c r="Q579" s="686"/>
      <c r="R579" s="686"/>
      <c r="S579" s="686"/>
      <c r="T579" s="686"/>
      <c r="U579" s="686"/>
      <c r="V579" s="686"/>
      <c r="W579" s="686"/>
      <c r="X579" s="686"/>
      <c r="Y579" s="686"/>
      <c r="Z579" s="686"/>
      <c r="AA579" s="686"/>
      <c r="AB579" s="686"/>
      <c r="AC579" s="686"/>
      <c r="AD579" s="686"/>
      <c r="AE579" s="686"/>
      <c r="AF579" s="686"/>
    </row>
    <row r="580" ht="15.75" customHeight="1">
      <c r="A580" s="683"/>
      <c r="B580" s="683"/>
      <c r="C580" s="684"/>
      <c r="D580" s="684"/>
      <c r="E580" s="684"/>
      <c r="F580" s="683"/>
      <c r="G580" s="683"/>
      <c r="H580" s="683"/>
      <c r="I580" s="683"/>
      <c r="J580" s="683"/>
      <c r="K580" s="683"/>
      <c r="L580" s="685"/>
      <c r="M580" s="685"/>
      <c r="N580" s="685"/>
      <c r="O580" s="683"/>
      <c r="P580" s="683"/>
      <c r="Q580" s="686"/>
      <c r="R580" s="686"/>
      <c r="S580" s="686"/>
      <c r="T580" s="686"/>
      <c r="U580" s="686"/>
      <c r="V580" s="686"/>
      <c r="W580" s="686"/>
      <c r="X580" s="686"/>
      <c r="Y580" s="686"/>
      <c r="Z580" s="686"/>
      <c r="AA580" s="686"/>
      <c r="AB580" s="686"/>
      <c r="AC580" s="686"/>
      <c r="AD580" s="686"/>
      <c r="AE580" s="686"/>
      <c r="AF580" s="686"/>
    </row>
    <row r="581" ht="15.75" customHeight="1">
      <c r="A581" s="683"/>
      <c r="B581" s="683"/>
      <c r="C581" s="684"/>
      <c r="D581" s="684"/>
      <c r="E581" s="686"/>
      <c r="F581" s="683"/>
      <c r="G581" s="689"/>
      <c r="H581" s="683"/>
      <c r="I581" s="683"/>
      <c r="J581" s="683"/>
      <c r="K581" s="683"/>
      <c r="L581" s="685"/>
      <c r="M581" s="685"/>
      <c r="N581" s="685"/>
      <c r="O581" s="683"/>
      <c r="P581" s="683"/>
      <c r="Q581" s="686"/>
      <c r="R581" s="686"/>
      <c r="S581" s="686"/>
      <c r="T581" s="686"/>
      <c r="U581" s="686"/>
      <c r="V581" s="686"/>
      <c r="W581" s="686"/>
      <c r="X581" s="686"/>
      <c r="Y581" s="686"/>
      <c r="Z581" s="686"/>
      <c r="AA581" s="686"/>
      <c r="AB581" s="686"/>
      <c r="AC581" s="686"/>
      <c r="AD581" s="686"/>
      <c r="AE581" s="686"/>
      <c r="AF581" s="686"/>
    </row>
    <row r="582" ht="15.75" customHeight="1">
      <c r="A582" s="683"/>
      <c r="B582" s="683"/>
      <c r="C582" s="684"/>
      <c r="D582" s="684"/>
      <c r="E582" s="684"/>
      <c r="F582" s="683"/>
      <c r="G582" s="683"/>
      <c r="H582" s="683"/>
      <c r="I582" s="683"/>
      <c r="J582" s="683"/>
      <c r="K582" s="683"/>
      <c r="L582" s="685"/>
      <c r="M582" s="685"/>
      <c r="N582" s="685"/>
      <c r="O582" s="683"/>
      <c r="P582" s="683"/>
      <c r="Q582" s="686"/>
      <c r="R582" s="686"/>
      <c r="S582" s="686"/>
      <c r="T582" s="686"/>
      <c r="U582" s="686"/>
      <c r="V582" s="686"/>
      <c r="W582" s="686"/>
      <c r="X582" s="686"/>
      <c r="Y582" s="686"/>
      <c r="Z582" s="686"/>
      <c r="AA582" s="686"/>
      <c r="AB582" s="686"/>
      <c r="AC582" s="686"/>
      <c r="AD582" s="686"/>
      <c r="AE582" s="686"/>
      <c r="AF582" s="686"/>
    </row>
    <row r="583" ht="15.75" customHeight="1">
      <c r="A583" s="683"/>
      <c r="B583" s="683"/>
      <c r="C583" s="684"/>
      <c r="D583" s="684"/>
      <c r="E583" s="684"/>
      <c r="F583" s="683"/>
      <c r="G583" s="683"/>
      <c r="H583" s="683"/>
      <c r="I583" s="683"/>
      <c r="J583" s="683"/>
      <c r="K583" s="683"/>
      <c r="L583" s="685"/>
      <c r="M583" s="685"/>
      <c r="N583" s="685"/>
      <c r="O583" s="683"/>
      <c r="P583" s="683"/>
      <c r="Q583" s="686"/>
      <c r="R583" s="686"/>
      <c r="S583" s="686"/>
      <c r="T583" s="686"/>
      <c r="U583" s="686"/>
      <c r="V583" s="686"/>
      <c r="W583" s="686"/>
      <c r="X583" s="686"/>
      <c r="Y583" s="686"/>
      <c r="Z583" s="686"/>
      <c r="AA583" s="686"/>
      <c r="AB583" s="686"/>
      <c r="AC583" s="686"/>
      <c r="AD583" s="686"/>
      <c r="AE583" s="686"/>
      <c r="AF583" s="686"/>
    </row>
    <row r="584" ht="15.75" customHeight="1">
      <c r="A584" s="683"/>
      <c r="B584" s="683"/>
      <c r="C584" s="684"/>
      <c r="D584" s="684"/>
      <c r="E584" s="684"/>
      <c r="F584" s="683"/>
      <c r="G584" s="683"/>
      <c r="H584" s="683"/>
      <c r="I584" s="683"/>
      <c r="J584" s="683"/>
      <c r="K584" s="683"/>
      <c r="L584" s="685"/>
      <c r="M584" s="685"/>
      <c r="N584" s="685"/>
      <c r="O584" s="683"/>
      <c r="P584" s="683"/>
      <c r="Q584" s="686"/>
      <c r="R584" s="686"/>
      <c r="S584" s="686"/>
      <c r="T584" s="686"/>
      <c r="U584" s="686"/>
      <c r="V584" s="686"/>
      <c r="W584" s="686"/>
      <c r="X584" s="686"/>
      <c r="Y584" s="686"/>
      <c r="Z584" s="686"/>
      <c r="AA584" s="686"/>
      <c r="AB584" s="686"/>
      <c r="AC584" s="686"/>
      <c r="AD584" s="686"/>
      <c r="AE584" s="686"/>
      <c r="AF584" s="686"/>
    </row>
    <row r="585" ht="15.75" customHeight="1">
      <c r="A585" s="683"/>
      <c r="B585" s="683"/>
      <c r="C585" s="684"/>
      <c r="D585" s="684"/>
      <c r="E585" s="684"/>
      <c r="F585" s="683"/>
      <c r="G585" s="683"/>
      <c r="H585" s="683"/>
      <c r="I585" s="683"/>
      <c r="J585" s="683"/>
      <c r="K585" s="683"/>
      <c r="L585" s="685"/>
      <c r="M585" s="685"/>
      <c r="N585" s="685"/>
      <c r="O585" s="683"/>
      <c r="P585" s="683"/>
      <c r="Q585" s="686"/>
      <c r="R585" s="686"/>
      <c r="S585" s="686"/>
      <c r="T585" s="686"/>
      <c r="U585" s="686"/>
      <c r="V585" s="686"/>
      <c r="W585" s="686"/>
      <c r="X585" s="686"/>
      <c r="Y585" s="686"/>
      <c r="Z585" s="686"/>
      <c r="AA585" s="686"/>
      <c r="AB585" s="686"/>
      <c r="AC585" s="686"/>
      <c r="AD585" s="686"/>
      <c r="AE585" s="686"/>
      <c r="AF585" s="686"/>
    </row>
    <row r="586" ht="15.75" customHeight="1">
      <c r="A586" s="683"/>
      <c r="B586" s="683"/>
      <c r="C586" s="684"/>
      <c r="D586" s="684"/>
      <c r="E586" s="684"/>
      <c r="F586" s="683"/>
      <c r="G586" s="683"/>
      <c r="H586" s="683"/>
      <c r="I586" s="683"/>
      <c r="J586" s="683"/>
      <c r="K586" s="683"/>
      <c r="L586" s="685"/>
      <c r="M586" s="685"/>
      <c r="N586" s="685"/>
      <c r="O586" s="683"/>
      <c r="P586" s="683"/>
      <c r="Q586" s="686"/>
      <c r="R586" s="686"/>
      <c r="S586" s="686"/>
      <c r="T586" s="686"/>
      <c r="U586" s="686"/>
      <c r="V586" s="686"/>
      <c r="W586" s="686"/>
      <c r="X586" s="686"/>
      <c r="Y586" s="686"/>
      <c r="Z586" s="686"/>
      <c r="AA586" s="686"/>
      <c r="AB586" s="686"/>
      <c r="AC586" s="686"/>
      <c r="AD586" s="686"/>
      <c r="AE586" s="686"/>
      <c r="AF586" s="686"/>
    </row>
    <row r="587" ht="15.75" customHeight="1">
      <c r="A587" s="683"/>
      <c r="B587" s="683"/>
      <c r="C587" s="684"/>
      <c r="D587" s="684"/>
      <c r="E587" s="684"/>
      <c r="F587" s="683"/>
      <c r="G587" s="683"/>
      <c r="H587" s="683"/>
      <c r="I587" s="683"/>
      <c r="J587" s="683"/>
      <c r="K587" s="683"/>
      <c r="L587" s="685"/>
      <c r="M587" s="685"/>
      <c r="N587" s="685"/>
      <c r="O587" s="683"/>
      <c r="P587" s="683"/>
      <c r="Q587" s="686"/>
      <c r="R587" s="686"/>
      <c r="S587" s="686"/>
      <c r="T587" s="686"/>
      <c r="U587" s="686"/>
      <c r="V587" s="686"/>
      <c r="W587" s="686"/>
      <c r="X587" s="686"/>
      <c r="Y587" s="686"/>
      <c r="Z587" s="686"/>
      <c r="AA587" s="686"/>
      <c r="AB587" s="686"/>
      <c r="AC587" s="686"/>
      <c r="AD587" s="686"/>
      <c r="AE587" s="686"/>
      <c r="AF587" s="686"/>
    </row>
    <row r="588" ht="15.75" customHeight="1">
      <c r="A588" s="683"/>
      <c r="B588" s="683"/>
      <c r="C588" s="684"/>
      <c r="D588" s="684"/>
      <c r="E588" s="684"/>
      <c r="F588" s="683"/>
      <c r="G588" s="683"/>
      <c r="H588" s="683"/>
      <c r="I588" s="683"/>
      <c r="J588" s="683"/>
      <c r="K588" s="683"/>
      <c r="L588" s="685"/>
      <c r="M588" s="685"/>
      <c r="N588" s="685"/>
      <c r="O588" s="683"/>
      <c r="P588" s="683"/>
      <c r="Q588" s="686"/>
      <c r="R588" s="686"/>
      <c r="S588" s="686"/>
      <c r="T588" s="686"/>
      <c r="U588" s="686"/>
      <c r="V588" s="686"/>
      <c r="W588" s="686"/>
      <c r="X588" s="686"/>
      <c r="Y588" s="686"/>
      <c r="Z588" s="686"/>
      <c r="AA588" s="686"/>
      <c r="AB588" s="686"/>
      <c r="AC588" s="686"/>
      <c r="AD588" s="686"/>
      <c r="AE588" s="686"/>
      <c r="AF588" s="686"/>
    </row>
    <row r="589" ht="15.75" customHeight="1">
      <c r="A589" s="683"/>
      <c r="B589" s="683"/>
      <c r="C589" s="684"/>
      <c r="D589" s="684"/>
      <c r="E589" s="684"/>
      <c r="F589" s="683"/>
      <c r="G589" s="683"/>
      <c r="H589" s="683"/>
      <c r="I589" s="683"/>
      <c r="J589" s="683"/>
      <c r="K589" s="683"/>
      <c r="L589" s="685"/>
      <c r="M589" s="685"/>
      <c r="N589" s="685"/>
      <c r="O589" s="683"/>
      <c r="P589" s="683"/>
      <c r="Q589" s="686"/>
      <c r="R589" s="686"/>
      <c r="S589" s="686"/>
      <c r="T589" s="686"/>
      <c r="U589" s="686"/>
      <c r="V589" s="686"/>
      <c r="W589" s="686"/>
      <c r="X589" s="686"/>
      <c r="Y589" s="686"/>
      <c r="Z589" s="686"/>
      <c r="AA589" s="686"/>
      <c r="AB589" s="686"/>
      <c r="AC589" s="686"/>
      <c r="AD589" s="686"/>
      <c r="AE589" s="686"/>
      <c r="AF589" s="686"/>
    </row>
    <row r="590" ht="15.75" customHeight="1">
      <c r="A590" s="683"/>
      <c r="B590" s="683"/>
      <c r="C590" s="684"/>
      <c r="D590" s="684"/>
      <c r="E590" s="684"/>
      <c r="F590" s="683"/>
      <c r="G590" s="683"/>
      <c r="H590" s="683"/>
      <c r="I590" s="683"/>
      <c r="J590" s="683"/>
      <c r="K590" s="683"/>
      <c r="L590" s="685"/>
      <c r="M590" s="685"/>
      <c r="N590" s="685"/>
      <c r="O590" s="683"/>
      <c r="P590" s="683"/>
      <c r="Q590" s="686"/>
      <c r="R590" s="686"/>
      <c r="S590" s="686"/>
      <c r="T590" s="686"/>
      <c r="U590" s="686"/>
      <c r="V590" s="686"/>
      <c r="W590" s="686"/>
      <c r="X590" s="686"/>
      <c r="Y590" s="686"/>
      <c r="Z590" s="686"/>
      <c r="AA590" s="686"/>
      <c r="AB590" s="686"/>
      <c r="AC590" s="686"/>
      <c r="AD590" s="686"/>
      <c r="AE590" s="686"/>
      <c r="AF590" s="686"/>
    </row>
    <row r="591" ht="15.75" customHeight="1">
      <c r="A591" s="683"/>
      <c r="B591" s="683"/>
      <c r="C591" s="684"/>
      <c r="D591" s="684"/>
      <c r="E591" s="684"/>
      <c r="F591" s="683"/>
      <c r="G591" s="683"/>
      <c r="H591" s="683"/>
      <c r="I591" s="683"/>
      <c r="J591" s="683"/>
      <c r="K591" s="683"/>
      <c r="L591" s="685"/>
      <c r="M591" s="685"/>
      <c r="N591" s="685"/>
      <c r="O591" s="683"/>
      <c r="P591" s="683"/>
      <c r="Q591" s="686"/>
      <c r="R591" s="686"/>
      <c r="S591" s="686"/>
      <c r="T591" s="686"/>
      <c r="U591" s="686"/>
      <c r="V591" s="686"/>
      <c r="W591" s="686"/>
      <c r="X591" s="686"/>
      <c r="Y591" s="686"/>
      <c r="Z591" s="686"/>
      <c r="AA591" s="686"/>
      <c r="AB591" s="686"/>
      <c r="AC591" s="686"/>
      <c r="AD591" s="686"/>
      <c r="AE591" s="686"/>
      <c r="AF591" s="686"/>
    </row>
    <row r="592" ht="15.75" customHeight="1">
      <c r="A592" s="683"/>
      <c r="B592" s="683"/>
      <c r="C592" s="684"/>
      <c r="D592" s="684"/>
      <c r="E592" s="684"/>
      <c r="F592" s="683"/>
      <c r="G592" s="683"/>
      <c r="H592" s="683"/>
      <c r="I592" s="683"/>
      <c r="J592" s="683"/>
      <c r="K592" s="683"/>
      <c r="L592" s="685"/>
      <c r="M592" s="685"/>
      <c r="N592" s="685"/>
      <c r="O592" s="683"/>
      <c r="P592" s="683"/>
      <c r="Q592" s="686"/>
      <c r="R592" s="686"/>
      <c r="S592" s="686"/>
      <c r="T592" s="686"/>
      <c r="U592" s="686"/>
      <c r="V592" s="686"/>
      <c r="W592" s="686"/>
      <c r="X592" s="686"/>
      <c r="Y592" s="686"/>
      <c r="Z592" s="686"/>
      <c r="AA592" s="686"/>
      <c r="AB592" s="686"/>
      <c r="AC592" s="686"/>
      <c r="AD592" s="686"/>
      <c r="AE592" s="686"/>
      <c r="AF592" s="686"/>
    </row>
    <row r="593" ht="15.75" customHeight="1">
      <c r="A593" s="683"/>
      <c r="B593" s="683"/>
      <c r="C593" s="684"/>
      <c r="D593" s="684"/>
      <c r="E593" s="684"/>
      <c r="F593" s="683"/>
      <c r="G593" s="683"/>
      <c r="H593" s="683"/>
      <c r="I593" s="683"/>
      <c r="J593" s="683"/>
      <c r="K593" s="683"/>
      <c r="L593" s="685"/>
      <c r="M593" s="685"/>
      <c r="N593" s="685"/>
      <c r="O593" s="683"/>
      <c r="P593" s="683"/>
      <c r="Q593" s="686"/>
      <c r="R593" s="686"/>
      <c r="S593" s="686"/>
      <c r="T593" s="686"/>
      <c r="U593" s="686"/>
      <c r="V593" s="686"/>
      <c r="W593" s="686"/>
      <c r="X593" s="686"/>
      <c r="Y593" s="686"/>
      <c r="Z593" s="686"/>
      <c r="AA593" s="686"/>
      <c r="AB593" s="686"/>
      <c r="AC593" s="686"/>
      <c r="AD593" s="686"/>
      <c r="AE593" s="686"/>
      <c r="AF593" s="686"/>
    </row>
    <row r="594" ht="15.75" customHeight="1">
      <c r="A594" s="683"/>
      <c r="B594" s="683"/>
      <c r="C594" s="684"/>
      <c r="D594" s="684"/>
      <c r="E594" s="684"/>
      <c r="F594" s="683"/>
      <c r="G594" s="683"/>
      <c r="H594" s="683"/>
      <c r="I594" s="683"/>
      <c r="J594" s="683"/>
      <c r="K594" s="683"/>
      <c r="L594" s="685"/>
      <c r="M594" s="685"/>
      <c r="N594" s="685"/>
      <c r="O594" s="683"/>
      <c r="P594" s="683"/>
      <c r="Q594" s="686"/>
      <c r="R594" s="686"/>
      <c r="S594" s="686"/>
      <c r="T594" s="686"/>
      <c r="U594" s="686"/>
      <c r="V594" s="686"/>
      <c r="W594" s="686"/>
      <c r="X594" s="686"/>
      <c r="Y594" s="686"/>
      <c r="Z594" s="686"/>
      <c r="AA594" s="686"/>
      <c r="AB594" s="686"/>
      <c r="AC594" s="686"/>
      <c r="AD594" s="686"/>
      <c r="AE594" s="686"/>
      <c r="AF594" s="686"/>
    </row>
    <row r="595" ht="15.75" customHeight="1">
      <c r="A595" s="683"/>
      <c r="B595" s="683"/>
      <c r="C595" s="684"/>
      <c r="D595" s="684"/>
      <c r="E595" s="684"/>
      <c r="F595" s="683"/>
      <c r="G595" s="683"/>
      <c r="H595" s="683"/>
      <c r="I595" s="683"/>
      <c r="J595" s="683"/>
      <c r="K595" s="683"/>
      <c r="L595" s="685"/>
      <c r="M595" s="685"/>
      <c r="N595" s="685"/>
      <c r="O595" s="683"/>
      <c r="P595" s="683"/>
      <c r="Q595" s="686"/>
      <c r="R595" s="686"/>
      <c r="S595" s="686"/>
      <c r="T595" s="686"/>
      <c r="U595" s="686"/>
      <c r="V595" s="686"/>
      <c r="W595" s="686"/>
      <c r="X595" s="686"/>
      <c r="Y595" s="686"/>
      <c r="Z595" s="686"/>
      <c r="AA595" s="686"/>
      <c r="AB595" s="686"/>
      <c r="AC595" s="686"/>
      <c r="AD595" s="686"/>
      <c r="AE595" s="686"/>
      <c r="AF595" s="686"/>
    </row>
    <row r="596" ht="15.75" customHeight="1">
      <c r="A596" s="683"/>
      <c r="B596" s="683"/>
      <c r="C596" s="684"/>
      <c r="D596" s="684"/>
      <c r="E596" s="684"/>
      <c r="F596" s="683"/>
      <c r="G596" s="683"/>
      <c r="H596" s="683"/>
      <c r="I596" s="683"/>
      <c r="J596" s="683"/>
      <c r="K596" s="683"/>
      <c r="L596" s="685"/>
      <c r="M596" s="685"/>
      <c r="N596" s="685"/>
      <c r="O596" s="683"/>
      <c r="P596" s="683"/>
      <c r="Q596" s="686"/>
      <c r="R596" s="686"/>
      <c r="S596" s="686"/>
      <c r="T596" s="686"/>
      <c r="U596" s="686"/>
      <c r="V596" s="686"/>
      <c r="W596" s="686"/>
      <c r="X596" s="686"/>
      <c r="Y596" s="686"/>
      <c r="Z596" s="686"/>
      <c r="AA596" s="686"/>
      <c r="AB596" s="686"/>
      <c r="AC596" s="686"/>
      <c r="AD596" s="686"/>
      <c r="AE596" s="686"/>
      <c r="AF596" s="686"/>
    </row>
    <row r="597" ht="15.75" customHeight="1">
      <c r="A597" s="683"/>
      <c r="B597" s="683"/>
      <c r="C597" s="684"/>
      <c r="D597" s="684"/>
      <c r="E597" s="684"/>
      <c r="F597" s="683"/>
      <c r="G597" s="683"/>
      <c r="H597" s="683"/>
      <c r="I597" s="683"/>
      <c r="J597" s="683"/>
      <c r="K597" s="683"/>
      <c r="L597" s="685"/>
      <c r="M597" s="685"/>
      <c r="N597" s="685"/>
      <c r="O597" s="683"/>
      <c r="P597" s="683"/>
      <c r="Q597" s="686"/>
      <c r="R597" s="686"/>
      <c r="S597" s="686"/>
      <c r="T597" s="686"/>
      <c r="U597" s="686"/>
      <c r="V597" s="686"/>
      <c r="W597" s="686"/>
      <c r="X597" s="686"/>
      <c r="Y597" s="686"/>
      <c r="Z597" s="686"/>
      <c r="AA597" s="686"/>
      <c r="AB597" s="686"/>
      <c r="AC597" s="686"/>
      <c r="AD597" s="686"/>
      <c r="AE597" s="686"/>
      <c r="AF597" s="686"/>
    </row>
    <row r="598" ht="15.75" customHeight="1">
      <c r="A598" s="683"/>
      <c r="B598" s="683"/>
      <c r="C598" s="684"/>
      <c r="D598" s="684"/>
      <c r="E598" s="684"/>
      <c r="F598" s="683"/>
      <c r="G598" s="683"/>
      <c r="H598" s="683"/>
      <c r="I598" s="683"/>
      <c r="J598" s="683"/>
      <c r="K598" s="683"/>
      <c r="L598" s="685"/>
      <c r="M598" s="685"/>
      <c r="N598" s="685"/>
      <c r="O598" s="683"/>
      <c r="P598" s="683"/>
      <c r="Q598" s="686"/>
      <c r="R598" s="686"/>
      <c r="S598" s="686"/>
      <c r="T598" s="686"/>
      <c r="U598" s="686"/>
      <c r="V598" s="686"/>
      <c r="W598" s="686"/>
      <c r="X598" s="686"/>
      <c r="Y598" s="686"/>
      <c r="Z598" s="686"/>
      <c r="AA598" s="686"/>
      <c r="AB598" s="686"/>
      <c r="AC598" s="686"/>
      <c r="AD598" s="686"/>
      <c r="AE598" s="686"/>
      <c r="AF598" s="686"/>
    </row>
    <row r="599" ht="15.75" customHeight="1">
      <c r="A599" s="683"/>
      <c r="B599" s="683"/>
      <c r="C599" s="684"/>
      <c r="D599" s="684"/>
      <c r="E599" s="684"/>
      <c r="F599" s="683"/>
      <c r="G599" s="683"/>
      <c r="H599" s="683"/>
      <c r="I599" s="683"/>
      <c r="J599" s="683"/>
      <c r="K599" s="683"/>
      <c r="L599" s="685"/>
      <c r="M599" s="685"/>
      <c r="N599" s="685"/>
      <c r="O599" s="683"/>
      <c r="P599" s="683"/>
      <c r="Q599" s="686"/>
      <c r="R599" s="686"/>
      <c r="S599" s="686"/>
      <c r="T599" s="686"/>
      <c r="U599" s="686"/>
      <c r="V599" s="686"/>
      <c r="W599" s="686"/>
      <c r="X599" s="686"/>
      <c r="Y599" s="686"/>
      <c r="Z599" s="686"/>
      <c r="AA599" s="686"/>
      <c r="AB599" s="686"/>
      <c r="AC599" s="686"/>
      <c r="AD599" s="686"/>
      <c r="AE599" s="686"/>
      <c r="AF599" s="686"/>
    </row>
    <row r="600" ht="15.75" customHeight="1">
      <c r="A600" s="683"/>
      <c r="B600" s="683"/>
      <c r="C600" s="684"/>
      <c r="D600" s="684"/>
      <c r="E600" s="684"/>
      <c r="F600" s="683"/>
      <c r="G600" s="683"/>
      <c r="H600" s="683"/>
      <c r="I600" s="683"/>
      <c r="J600" s="683"/>
      <c r="K600" s="683"/>
      <c r="L600" s="685"/>
      <c r="M600" s="685"/>
      <c r="N600" s="685"/>
      <c r="O600" s="683"/>
      <c r="P600" s="683"/>
      <c r="Q600" s="686"/>
      <c r="R600" s="686"/>
      <c r="S600" s="686"/>
      <c r="T600" s="686"/>
      <c r="U600" s="686"/>
      <c r="V600" s="686"/>
      <c r="W600" s="686"/>
      <c r="X600" s="686"/>
      <c r="Y600" s="686"/>
      <c r="Z600" s="686"/>
      <c r="AA600" s="686"/>
      <c r="AB600" s="686"/>
      <c r="AC600" s="686"/>
      <c r="AD600" s="686"/>
      <c r="AE600" s="686"/>
      <c r="AF600" s="686"/>
    </row>
    <row r="601" ht="15.75" customHeight="1">
      <c r="A601" s="683"/>
      <c r="B601" s="683"/>
      <c r="C601" s="684"/>
      <c r="D601" s="684"/>
      <c r="E601" s="684"/>
      <c r="F601" s="683"/>
      <c r="G601" s="683"/>
      <c r="H601" s="683"/>
      <c r="I601" s="683"/>
      <c r="J601" s="683"/>
      <c r="K601" s="683"/>
      <c r="L601" s="685"/>
      <c r="M601" s="685"/>
      <c r="N601" s="685"/>
      <c r="O601" s="683"/>
      <c r="P601" s="683"/>
      <c r="Q601" s="686"/>
      <c r="R601" s="686"/>
      <c r="S601" s="686"/>
      <c r="T601" s="686"/>
      <c r="U601" s="686"/>
      <c r="V601" s="686"/>
      <c r="W601" s="686"/>
      <c r="X601" s="686"/>
      <c r="Y601" s="686"/>
      <c r="Z601" s="686"/>
      <c r="AA601" s="686"/>
      <c r="AB601" s="686"/>
      <c r="AC601" s="686"/>
      <c r="AD601" s="686"/>
      <c r="AE601" s="686"/>
      <c r="AF601" s="686"/>
    </row>
    <row r="602" ht="15.75" customHeight="1">
      <c r="A602" s="683"/>
      <c r="B602" s="683"/>
      <c r="C602" s="684"/>
      <c r="D602" s="684"/>
      <c r="E602" s="684"/>
      <c r="F602" s="683"/>
      <c r="G602" s="683"/>
      <c r="H602" s="683"/>
      <c r="I602" s="683"/>
      <c r="J602" s="683"/>
      <c r="K602" s="683"/>
      <c r="L602" s="685"/>
      <c r="M602" s="685"/>
      <c r="N602" s="685"/>
      <c r="O602" s="683"/>
      <c r="P602" s="683"/>
      <c r="Q602" s="686"/>
      <c r="R602" s="686"/>
      <c r="S602" s="686"/>
      <c r="T602" s="686"/>
      <c r="U602" s="686"/>
      <c r="V602" s="686"/>
      <c r="W602" s="686"/>
      <c r="X602" s="686"/>
      <c r="Y602" s="686"/>
      <c r="Z602" s="686"/>
      <c r="AA602" s="686"/>
      <c r="AB602" s="686"/>
      <c r="AC602" s="686"/>
      <c r="AD602" s="686"/>
      <c r="AE602" s="686"/>
      <c r="AF602" s="686"/>
    </row>
    <row r="603" ht="15.75" customHeight="1">
      <c r="A603" s="683"/>
      <c r="B603" s="683"/>
      <c r="C603" s="684"/>
      <c r="D603" s="684"/>
      <c r="E603" s="684"/>
      <c r="F603" s="683"/>
      <c r="G603" s="683"/>
      <c r="H603" s="683"/>
      <c r="I603" s="683"/>
      <c r="J603" s="683"/>
      <c r="K603" s="683"/>
      <c r="L603" s="685"/>
      <c r="M603" s="685"/>
      <c r="N603" s="685"/>
      <c r="O603" s="683"/>
      <c r="P603" s="683"/>
      <c r="Q603" s="686"/>
      <c r="R603" s="686"/>
      <c r="S603" s="686"/>
      <c r="T603" s="686"/>
      <c r="U603" s="686"/>
      <c r="V603" s="686"/>
      <c r="W603" s="686"/>
      <c r="X603" s="686"/>
      <c r="Y603" s="686"/>
      <c r="Z603" s="686"/>
      <c r="AA603" s="686"/>
      <c r="AB603" s="686"/>
      <c r="AC603" s="686"/>
      <c r="AD603" s="686"/>
      <c r="AE603" s="686"/>
      <c r="AF603" s="686"/>
    </row>
    <row r="604" ht="15.75" customHeight="1">
      <c r="A604" s="683"/>
      <c r="B604" s="683"/>
      <c r="C604" s="684"/>
      <c r="D604" s="684"/>
      <c r="E604" s="684"/>
      <c r="F604" s="683"/>
      <c r="G604" s="683"/>
      <c r="H604" s="683"/>
      <c r="I604" s="683"/>
      <c r="J604" s="683"/>
      <c r="K604" s="683"/>
      <c r="L604" s="685"/>
      <c r="M604" s="685"/>
      <c r="N604" s="685"/>
      <c r="O604" s="683"/>
      <c r="P604" s="683"/>
      <c r="Q604" s="686"/>
      <c r="R604" s="686"/>
      <c r="S604" s="686"/>
      <c r="T604" s="686"/>
      <c r="U604" s="686"/>
      <c r="V604" s="686"/>
      <c r="W604" s="686"/>
      <c r="X604" s="686"/>
      <c r="Y604" s="686"/>
      <c r="Z604" s="686"/>
      <c r="AA604" s="686"/>
      <c r="AB604" s="686"/>
      <c r="AC604" s="686"/>
      <c r="AD604" s="686"/>
      <c r="AE604" s="686"/>
      <c r="AF604" s="686"/>
    </row>
    <row r="605" ht="15.75" customHeight="1">
      <c r="A605" s="683"/>
      <c r="B605" s="683"/>
      <c r="C605" s="684"/>
      <c r="D605" s="684"/>
      <c r="E605" s="684"/>
      <c r="F605" s="683"/>
      <c r="G605" s="683"/>
      <c r="H605" s="683"/>
      <c r="I605" s="683"/>
      <c r="J605" s="683"/>
      <c r="K605" s="683"/>
      <c r="L605" s="685"/>
      <c r="M605" s="685"/>
      <c r="N605" s="685"/>
      <c r="O605" s="683"/>
      <c r="P605" s="683"/>
      <c r="Q605" s="686"/>
      <c r="R605" s="686"/>
      <c r="S605" s="686"/>
      <c r="T605" s="686"/>
      <c r="U605" s="686"/>
      <c r="V605" s="686"/>
      <c r="W605" s="686"/>
      <c r="X605" s="686"/>
      <c r="Y605" s="686"/>
      <c r="Z605" s="686"/>
      <c r="AA605" s="686"/>
      <c r="AB605" s="686"/>
      <c r="AC605" s="686"/>
      <c r="AD605" s="686"/>
      <c r="AE605" s="686"/>
      <c r="AF605" s="686"/>
    </row>
    <row r="606" ht="15.75" customHeight="1">
      <c r="A606" s="683"/>
      <c r="B606" s="683"/>
      <c r="C606" s="684"/>
      <c r="D606" s="684"/>
      <c r="E606" s="684"/>
      <c r="F606" s="683"/>
      <c r="G606" s="683"/>
      <c r="H606" s="683"/>
      <c r="I606" s="683"/>
      <c r="J606" s="683"/>
      <c r="K606" s="683"/>
      <c r="L606" s="685"/>
      <c r="M606" s="685"/>
      <c r="N606" s="685"/>
      <c r="O606" s="683"/>
      <c r="P606" s="683"/>
      <c r="Q606" s="686"/>
      <c r="R606" s="686"/>
      <c r="S606" s="686"/>
      <c r="T606" s="686"/>
      <c r="U606" s="686"/>
      <c r="V606" s="686"/>
      <c r="W606" s="686"/>
      <c r="X606" s="686"/>
      <c r="Y606" s="686"/>
      <c r="Z606" s="686"/>
      <c r="AA606" s="686"/>
      <c r="AB606" s="686"/>
      <c r="AC606" s="686"/>
      <c r="AD606" s="686"/>
      <c r="AE606" s="686"/>
      <c r="AF606" s="686"/>
    </row>
    <row r="607" ht="15.75" customHeight="1">
      <c r="A607" s="683"/>
      <c r="B607" s="683"/>
      <c r="C607" s="684"/>
      <c r="D607" s="684"/>
      <c r="E607" s="684"/>
      <c r="F607" s="683"/>
      <c r="G607" s="683"/>
      <c r="H607" s="683"/>
      <c r="I607" s="683"/>
      <c r="J607" s="683"/>
      <c r="K607" s="683"/>
      <c r="L607" s="685"/>
      <c r="M607" s="685"/>
      <c r="N607" s="685"/>
      <c r="O607" s="683"/>
      <c r="P607" s="683"/>
      <c r="Q607" s="686"/>
      <c r="R607" s="686"/>
      <c r="S607" s="686"/>
      <c r="T607" s="686"/>
      <c r="U607" s="686"/>
      <c r="V607" s="686"/>
      <c r="W607" s="686"/>
      <c r="X607" s="686"/>
      <c r="Y607" s="686"/>
      <c r="Z607" s="686"/>
      <c r="AA607" s="686"/>
      <c r="AB607" s="686"/>
      <c r="AC607" s="686"/>
      <c r="AD607" s="686"/>
      <c r="AE607" s="686"/>
      <c r="AF607" s="686"/>
    </row>
    <row r="608" ht="15.75" customHeight="1">
      <c r="A608" s="683"/>
      <c r="B608" s="683"/>
      <c r="C608" s="684"/>
      <c r="D608" s="684"/>
      <c r="E608" s="684"/>
      <c r="F608" s="683"/>
      <c r="G608" s="683"/>
      <c r="H608" s="683"/>
      <c r="I608" s="683"/>
      <c r="J608" s="683"/>
      <c r="K608" s="683"/>
      <c r="L608" s="685"/>
      <c r="M608" s="685"/>
      <c r="N608" s="685"/>
      <c r="O608" s="683"/>
      <c r="P608" s="683"/>
      <c r="Q608" s="686"/>
      <c r="R608" s="686"/>
      <c r="S608" s="686"/>
      <c r="T608" s="686"/>
      <c r="U608" s="686"/>
      <c r="V608" s="686"/>
      <c r="W608" s="686"/>
      <c r="X608" s="686"/>
      <c r="Y608" s="686"/>
      <c r="Z608" s="686"/>
      <c r="AA608" s="686"/>
      <c r="AB608" s="686"/>
      <c r="AC608" s="686"/>
      <c r="AD608" s="686"/>
      <c r="AE608" s="686"/>
      <c r="AF608" s="686"/>
    </row>
    <row r="609" ht="15.75" customHeight="1">
      <c r="A609" s="683"/>
      <c r="B609" s="683"/>
      <c r="C609" s="684"/>
      <c r="D609" s="684"/>
      <c r="E609" s="684"/>
      <c r="F609" s="683"/>
      <c r="G609" s="683"/>
      <c r="H609" s="683"/>
      <c r="I609" s="683"/>
      <c r="J609" s="683"/>
      <c r="K609" s="683"/>
      <c r="L609" s="685"/>
      <c r="M609" s="685"/>
      <c r="N609" s="685"/>
      <c r="O609" s="683"/>
      <c r="P609" s="683"/>
      <c r="Q609" s="686"/>
      <c r="R609" s="686"/>
      <c r="S609" s="686"/>
      <c r="T609" s="686"/>
      <c r="U609" s="686"/>
      <c r="V609" s="686"/>
      <c r="W609" s="686"/>
      <c r="X609" s="686"/>
      <c r="Y609" s="686"/>
      <c r="Z609" s="686"/>
      <c r="AA609" s="686"/>
      <c r="AB609" s="686"/>
      <c r="AC609" s="686"/>
      <c r="AD609" s="686"/>
      <c r="AE609" s="686"/>
      <c r="AF609" s="686"/>
    </row>
    <row r="610" ht="15.75" customHeight="1">
      <c r="A610" s="683"/>
      <c r="B610" s="683"/>
      <c r="C610" s="684"/>
      <c r="D610" s="684"/>
      <c r="E610" s="684"/>
      <c r="F610" s="683"/>
      <c r="G610" s="683"/>
      <c r="H610" s="683"/>
      <c r="I610" s="683"/>
      <c r="J610" s="683"/>
      <c r="K610" s="683"/>
      <c r="L610" s="685"/>
      <c r="M610" s="685"/>
      <c r="N610" s="685"/>
      <c r="O610" s="683"/>
      <c r="P610" s="683"/>
      <c r="Q610" s="686"/>
      <c r="R610" s="686"/>
      <c r="S610" s="686"/>
      <c r="T610" s="686"/>
      <c r="U610" s="686"/>
      <c r="V610" s="686"/>
      <c r="W610" s="686"/>
      <c r="X610" s="686"/>
      <c r="Y610" s="686"/>
      <c r="Z610" s="686"/>
      <c r="AA610" s="686"/>
      <c r="AB610" s="686"/>
      <c r="AC610" s="686"/>
      <c r="AD610" s="686"/>
      <c r="AE610" s="686"/>
      <c r="AF610" s="686"/>
    </row>
    <row r="611" ht="15.75" customHeight="1">
      <c r="A611" s="683"/>
      <c r="B611" s="683"/>
      <c r="C611" s="684"/>
      <c r="D611" s="684"/>
      <c r="E611" s="684"/>
      <c r="F611" s="683"/>
      <c r="G611" s="683"/>
      <c r="H611" s="683"/>
      <c r="I611" s="683"/>
      <c r="J611" s="683"/>
      <c r="K611" s="683"/>
      <c r="L611" s="685"/>
      <c r="M611" s="685"/>
      <c r="N611" s="685"/>
      <c r="O611" s="683"/>
      <c r="P611" s="683"/>
      <c r="Q611" s="686"/>
      <c r="R611" s="686"/>
      <c r="S611" s="686"/>
      <c r="T611" s="686"/>
      <c r="U611" s="686"/>
      <c r="V611" s="686"/>
      <c r="W611" s="686"/>
      <c r="X611" s="686"/>
      <c r="Y611" s="686"/>
      <c r="Z611" s="686"/>
      <c r="AA611" s="686"/>
      <c r="AB611" s="686"/>
      <c r="AC611" s="686"/>
      <c r="AD611" s="686"/>
      <c r="AE611" s="686"/>
      <c r="AF611" s="686"/>
    </row>
    <row r="612" ht="15.75" customHeight="1">
      <c r="A612" s="683"/>
      <c r="B612" s="683"/>
      <c r="C612" s="684"/>
      <c r="D612" s="684"/>
      <c r="E612" s="684"/>
      <c r="F612" s="683"/>
      <c r="G612" s="683"/>
      <c r="H612" s="683"/>
      <c r="I612" s="683"/>
      <c r="J612" s="683"/>
      <c r="K612" s="683"/>
      <c r="L612" s="685"/>
      <c r="M612" s="685"/>
      <c r="N612" s="685"/>
      <c r="O612" s="683"/>
      <c r="P612" s="683"/>
      <c r="Q612" s="686"/>
      <c r="R612" s="686"/>
      <c r="S612" s="686"/>
      <c r="T612" s="686"/>
      <c r="U612" s="686"/>
      <c r="V612" s="686"/>
      <c r="W612" s="686"/>
      <c r="X612" s="686"/>
      <c r="Y612" s="686"/>
      <c r="Z612" s="686"/>
      <c r="AA612" s="686"/>
      <c r="AB612" s="686"/>
      <c r="AC612" s="686"/>
      <c r="AD612" s="686"/>
      <c r="AE612" s="686"/>
      <c r="AF612" s="686"/>
    </row>
    <row r="613" ht="15.75" customHeight="1">
      <c r="A613" s="683"/>
      <c r="B613" s="683"/>
      <c r="C613" s="684"/>
      <c r="D613" s="684"/>
      <c r="E613" s="684"/>
      <c r="F613" s="683"/>
      <c r="G613" s="683"/>
      <c r="H613" s="683"/>
      <c r="I613" s="683"/>
      <c r="J613" s="683"/>
      <c r="K613" s="683"/>
      <c r="L613" s="685"/>
      <c r="M613" s="685"/>
      <c r="N613" s="685"/>
      <c r="O613" s="683"/>
      <c r="P613" s="683"/>
      <c r="Q613" s="686"/>
      <c r="R613" s="686"/>
      <c r="S613" s="686"/>
      <c r="T613" s="686"/>
      <c r="U613" s="686"/>
      <c r="V613" s="686"/>
      <c r="W613" s="686"/>
      <c r="X613" s="686"/>
      <c r="Y613" s="686"/>
      <c r="Z613" s="686"/>
      <c r="AA613" s="686"/>
      <c r="AB613" s="686"/>
      <c r="AC613" s="686"/>
      <c r="AD613" s="686"/>
      <c r="AE613" s="686"/>
      <c r="AF613" s="686"/>
    </row>
    <row r="614" ht="15.75" customHeight="1">
      <c r="A614" s="683"/>
      <c r="B614" s="683"/>
      <c r="C614" s="684"/>
      <c r="D614" s="684"/>
      <c r="E614" s="684"/>
      <c r="F614" s="683"/>
      <c r="G614" s="683"/>
      <c r="H614" s="683"/>
      <c r="I614" s="683"/>
      <c r="J614" s="683"/>
      <c r="K614" s="683"/>
      <c r="L614" s="685"/>
      <c r="M614" s="685"/>
      <c r="N614" s="685"/>
      <c r="O614" s="683"/>
      <c r="P614" s="683"/>
      <c r="Q614" s="686"/>
      <c r="R614" s="686"/>
      <c r="S614" s="686"/>
      <c r="T614" s="686"/>
      <c r="U614" s="686"/>
      <c r="V614" s="686"/>
      <c r="W614" s="686"/>
      <c r="X614" s="686"/>
      <c r="Y614" s="686"/>
      <c r="Z614" s="686"/>
      <c r="AA614" s="686"/>
      <c r="AB614" s="686"/>
      <c r="AC614" s="686"/>
      <c r="AD614" s="686"/>
      <c r="AE614" s="686"/>
      <c r="AF614" s="686"/>
    </row>
    <row r="615" ht="15.75" customHeight="1">
      <c r="A615" s="683"/>
      <c r="B615" s="683"/>
      <c r="C615" s="684"/>
      <c r="D615" s="684"/>
      <c r="E615" s="684"/>
      <c r="F615" s="683"/>
      <c r="G615" s="683"/>
      <c r="H615" s="683"/>
      <c r="I615" s="683"/>
      <c r="J615" s="683"/>
      <c r="K615" s="683"/>
      <c r="L615" s="685"/>
      <c r="M615" s="685"/>
      <c r="N615" s="685"/>
      <c r="O615" s="683"/>
      <c r="P615" s="683"/>
      <c r="Q615" s="686"/>
      <c r="R615" s="686"/>
      <c r="S615" s="686"/>
      <c r="T615" s="686"/>
      <c r="U615" s="686"/>
      <c r="V615" s="686"/>
      <c r="W615" s="686"/>
      <c r="X615" s="686"/>
      <c r="Y615" s="686"/>
      <c r="Z615" s="686"/>
      <c r="AA615" s="686"/>
      <c r="AB615" s="686"/>
      <c r="AC615" s="686"/>
      <c r="AD615" s="686"/>
      <c r="AE615" s="686"/>
      <c r="AF615" s="686"/>
    </row>
    <row r="616" ht="15.75" customHeight="1">
      <c r="A616" s="683"/>
      <c r="B616" s="683"/>
      <c r="C616" s="684"/>
      <c r="D616" s="684"/>
      <c r="E616" s="684"/>
      <c r="F616" s="683"/>
      <c r="G616" s="683"/>
      <c r="H616" s="683"/>
      <c r="I616" s="683"/>
      <c r="J616" s="683"/>
      <c r="K616" s="683"/>
      <c r="L616" s="685"/>
      <c r="M616" s="685"/>
      <c r="N616" s="685"/>
      <c r="O616" s="683"/>
      <c r="P616" s="683"/>
      <c r="Q616" s="686"/>
      <c r="R616" s="686"/>
      <c r="S616" s="686"/>
      <c r="T616" s="686"/>
      <c r="U616" s="686"/>
      <c r="V616" s="686"/>
      <c r="W616" s="686"/>
      <c r="X616" s="686"/>
      <c r="Y616" s="686"/>
      <c r="Z616" s="686"/>
      <c r="AA616" s="686"/>
      <c r="AB616" s="686"/>
      <c r="AC616" s="686"/>
      <c r="AD616" s="686"/>
      <c r="AE616" s="686"/>
      <c r="AF616" s="686"/>
    </row>
    <row r="617" ht="15.75" customHeight="1">
      <c r="A617" s="683"/>
      <c r="B617" s="683"/>
      <c r="C617" s="684"/>
      <c r="D617" s="684"/>
      <c r="E617" s="684"/>
      <c r="F617" s="683"/>
      <c r="G617" s="683"/>
      <c r="H617" s="683"/>
      <c r="I617" s="683"/>
      <c r="J617" s="683"/>
      <c r="K617" s="683"/>
      <c r="L617" s="685"/>
      <c r="M617" s="685"/>
      <c r="N617" s="685"/>
      <c r="O617" s="683"/>
      <c r="P617" s="683"/>
      <c r="Q617" s="686"/>
      <c r="R617" s="686"/>
      <c r="S617" s="686"/>
      <c r="T617" s="686"/>
      <c r="U617" s="686"/>
      <c r="V617" s="686"/>
      <c r="W617" s="686"/>
      <c r="X617" s="686"/>
      <c r="Y617" s="686"/>
      <c r="Z617" s="686"/>
      <c r="AA617" s="686"/>
      <c r="AB617" s="686"/>
      <c r="AC617" s="686"/>
      <c r="AD617" s="686"/>
      <c r="AE617" s="686"/>
      <c r="AF617" s="686"/>
    </row>
    <row r="618" ht="15.75" customHeight="1">
      <c r="A618" s="683"/>
      <c r="B618" s="683"/>
      <c r="C618" s="684"/>
      <c r="D618" s="684"/>
      <c r="E618" s="684"/>
      <c r="F618" s="683"/>
      <c r="G618" s="683"/>
      <c r="H618" s="683"/>
      <c r="I618" s="683"/>
      <c r="J618" s="683"/>
      <c r="K618" s="683"/>
      <c r="L618" s="685"/>
      <c r="M618" s="685"/>
      <c r="N618" s="685"/>
      <c r="O618" s="683"/>
      <c r="P618" s="683"/>
      <c r="Q618" s="686"/>
      <c r="R618" s="686"/>
      <c r="S618" s="686"/>
      <c r="T618" s="686"/>
      <c r="U618" s="686"/>
      <c r="V618" s="686"/>
      <c r="W618" s="686"/>
      <c r="X618" s="686"/>
      <c r="Y618" s="686"/>
      <c r="Z618" s="686"/>
      <c r="AA618" s="686"/>
      <c r="AB618" s="686"/>
      <c r="AC618" s="686"/>
      <c r="AD618" s="686"/>
      <c r="AE618" s="686"/>
      <c r="AF618" s="686"/>
    </row>
    <row r="619" ht="15.75" customHeight="1">
      <c r="A619" s="683"/>
      <c r="B619" s="683"/>
      <c r="C619" s="684"/>
      <c r="D619" s="684"/>
      <c r="E619" s="684"/>
      <c r="F619" s="683"/>
      <c r="G619" s="683"/>
      <c r="H619" s="683"/>
      <c r="I619" s="683"/>
      <c r="J619" s="683"/>
      <c r="K619" s="683"/>
      <c r="L619" s="685"/>
      <c r="M619" s="685"/>
      <c r="N619" s="685"/>
      <c r="O619" s="683"/>
      <c r="P619" s="683"/>
      <c r="Q619" s="686"/>
      <c r="R619" s="686"/>
      <c r="S619" s="686"/>
      <c r="T619" s="686"/>
      <c r="U619" s="686"/>
      <c r="V619" s="686"/>
      <c r="W619" s="686"/>
      <c r="X619" s="686"/>
      <c r="Y619" s="686"/>
      <c r="Z619" s="686"/>
      <c r="AA619" s="686"/>
      <c r="AB619" s="686"/>
      <c r="AC619" s="686"/>
      <c r="AD619" s="686"/>
      <c r="AE619" s="686"/>
      <c r="AF619" s="686"/>
    </row>
    <row r="620" ht="15.75" customHeight="1">
      <c r="A620" s="683"/>
      <c r="B620" s="683"/>
      <c r="C620" s="684"/>
      <c r="D620" s="684"/>
      <c r="E620" s="684"/>
      <c r="F620" s="683"/>
      <c r="G620" s="683"/>
      <c r="H620" s="683"/>
      <c r="I620" s="683"/>
      <c r="J620" s="683"/>
      <c r="K620" s="683"/>
      <c r="L620" s="685"/>
      <c r="M620" s="685"/>
      <c r="N620" s="685"/>
      <c r="O620" s="683"/>
      <c r="P620" s="683"/>
      <c r="Q620" s="686"/>
      <c r="R620" s="686"/>
      <c r="S620" s="686"/>
      <c r="T620" s="686"/>
      <c r="U620" s="686"/>
      <c r="V620" s="686"/>
      <c r="W620" s="686"/>
      <c r="X620" s="686"/>
      <c r="Y620" s="686"/>
      <c r="Z620" s="686"/>
      <c r="AA620" s="686"/>
      <c r="AB620" s="686"/>
      <c r="AC620" s="686"/>
      <c r="AD620" s="686"/>
      <c r="AE620" s="686"/>
      <c r="AF620" s="686"/>
    </row>
    <row r="621" ht="15.75" customHeight="1">
      <c r="A621" s="683"/>
      <c r="B621" s="683"/>
      <c r="C621" s="684"/>
      <c r="D621" s="684"/>
      <c r="E621" s="684"/>
      <c r="F621" s="683"/>
      <c r="G621" s="683"/>
      <c r="H621" s="683"/>
      <c r="I621" s="683"/>
      <c r="J621" s="683"/>
      <c r="K621" s="683"/>
      <c r="L621" s="685"/>
      <c r="M621" s="685"/>
      <c r="N621" s="685"/>
      <c r="O621" s="683"/>
      <c r="P621" s="683"/>
      <c r="Q621" s="686"/>
      <c r="R621" s="686"/>
      <c r="S621" s="686"/>
      <c r="T621" s="686"/>
      <c r="U621" s="686"/>
      <c r="V621" s="686"/>
      <c r="W621" s="686"/>
      <c r="X621" s="686"/>
      <c r="Y621" s="686"/>
      <c r="Z621" s="686"/>
      <c r="AA621" s="686"/>
      <c r="AB621" s="686"/>
      <c r="AC621" s="686"/>
      <c r="AD621" s="686"/>
      <c r="AE621" s="686"/>
      <c r="AF621" s="686"/>
    </row>
    <row r="622" ht="15.75" customHeight="1">
      <c r="A622" s="683"/>
      <c r="B622" s="683"/>
      <c r="C622" s="684"/>
      <c r="D622" s="684"/>
      <c r="E622" s="684"/>
      <c r="F622" s="683"/>
      <c r="G622" s="683"/>
      <c r="H622" s="683"/>
      <c r="I622" s="683"/>
      <c r="J622" s="683"/>
      <c r="K622" s="683"/>
      <c r="L622" s="685"/>
      <c r="M622" s="685"/>
      <c r="N622" s="685"/>
      <c r="O622" s="683"/>
      <c r="P622" s="683"/>
      <c r="Q622" s="686"/>
      <c r="R622" s="686"/>
      <c r="S622" s="686"/>
      <c r="T622" s="686"/>
      <c r="U622" s="686"/>
      <c r="V622" s="686"/>
      <c r="W622" s="686"/>
      <c r="X622" s="686"/>
      <c r="Y622" s="686"/>
      <c r="Z622" s="686"/>
      <c r="AA622" s="686"/>
      <c r="AB622" s="686"/>
      <c r="AC622" s="686"/>
      <c r="AD622" s="686"/>
      <c r="AE622" s="686"/>
      <c r="AF622" s="686"/>
    </row>
    <row r="623" ht="15.75" customHeight="1">
      <c r="A623" s="683"/>
      <c r="B623" s="683"/>
      <c r="C623" s="684"/>
      <c r="D623" s="684"/>
      <c r="E623" s="684"/>
      <c r="F623" s="683"/>
      <c r="G623" s="683"/>
      <c r="H623" s="683"/>
      <c r="I623" s="683"/>
      <c r="J623" s="683"/>
      <c r="K623" s="683"/>
      <c r="L623" s="685"/>
      <c r="M623" s="685"/>
      <c r="N623" s="685"/>
      <c r="O623" s="683"/>
      <c r="P623" s="683"/>
      <c r="Q623" s="686"/>
      <c r="R623" s="686"/>
      <c r="S623" s="686"/>
      <c r="T623" s="686"/>
      <c r="U623" s="686"/>
      <c r="V623" s="686"/>
      <c r="W623" s="686"/>
      <c r="X623" s="686"/>
      <c r="Y623" s="686"/>
      <c r="Z623" s="686"/>
      <c r="AA623" s="686"/>
      <c r="AB623" s="686"/>
      <c r="AC623" s="686"/>
      <c r="AD623" s="686"/>
      <c r="AE623" s="686"/>
      <c r="AF623" s="686"/>
    </row>
    <row r="624" ht="15.75" customHeight="1">
      <c r="A624" s="683"/>
      <c r="B624" s="683"/>
      <c r="C624" s="684"/>
      <c r="D624" s="684"/>
      <c r="E624" s="684"/>
      <c r="F624" s="683"/>
      <c r="G624" s="683"/>
      <c r="H624" s="683"/>
      <c r="I624" s="683"/>
      <c r="J624" s="683"/>
      <c r="K624" s="683"/>
      <c r="L624" s="685"/>
      <c r="M624" s="685"/>
      <c r="N624" s="685"/>
      <c r="O624" s="683"/>
      <c r="P624" s="683"/>
      <c r="Q624" s="686"/>
      <c r="R624" s="686"/>
      <c r="S624" s="686"/>
      <c r="T624" s="686"/>
      <c r="U624" s="686"/>
      <c r="V624" s="686"/>
      <c r="W624" s="686"/>
      <c r="X624" s="686"/>
      <c r="Y624" s="686"/>
      <c r="Z624" s="686"/>
      <c r="AA624" s="686"/>
      <c r="AB624" s="686"/>
      <c r="AC624" s="686"/>
      <c r="AD624" s="686"/>
      <c r="AE624" s="686"/>
      <c r="AF624" s="686"/>
    </row>
    <row r="625" ht="15.75" customHeight="1">
      <c r="A625" s="683"/>
      <c r="B625" s="683"/>
      <c r="C625" s="684"/>
      <c r="D625" s="684"/>
      <c r="E625" s="684"/>
      <c r="F625" s="683"/>
      <c r="G625" s="683"/>
      <c r="H625" s="683"/>
      <c r="I625" s="683"/>
      <c r="J625" s="683"/>
      <c r="K625" s="683"/>
      <c r="L625" s="685"/>
      <c r="M625" s="685"/>
      <c r="N625" s="685"/>
      <c r="O625" s="683"/>
      <c r="P625" s="683"/>
      <c r="Q625" s="686"/>
      <c r="R625" s="686"/>
      <c r="S625" s="686"/>
      <c r="T625" s="686"/>
      <c r="U625" s="686"/>
      <c r="V625" s="686"/>
      <c r="W625" s="686"/>
      <c r="X625" s="686"/>
      <c r="Y625" s="686"/>
      <c r="Z625" s="686"/>
      <c r="AA625" s="686"/>
      <c r="AB625" s="686"/>
      <c r="AC625" s="686"/>
      <c r="AD625" s="686"/>
      <c r="AE625" s="686"/>
      <c r="AF625" s="686"/>
    </row>
    <row r="626" ht="15.75" customHeight="1">
      <c r="A626" s="683"/>
      <c r="B626" s="683"/>
      <c r="C626" s="684"/>
      <c r="D626" s="684"/>
      <c r="E626" s="684"/>
      <c r="F626" s="683"/>
      <c r="G626" s="683"/>
      <c r="H626" s="683"/>
      <c r="I626" s="683"/>
      <c r="J626" s="683"/>
      <c r="K626" s="683"/>
      <c r="L626" s="685"/>
      <c r="M626" s="685"/>
      <c r="N626" s="685"/>
      <c r="O626" s="683"/>
      <c r="P626" s="683"/>
      <c r="Q626" s="686"/>
      <c r="R626" s="686"/>
      <c r="S626" s="686"/>
      <c r="T626" s="686"/>
      <c r="U626" s="686"/>
      <c r="V626" s="686"/>
      <c r="W626" s="686"/>
      <c r="X626" s="686"/>
      <c r="Y626" s="686"/>
      <c r="Z626" s="686"/>
      <c r="AA626" s="686"/>
      <c r="AB626" s="686"/>
      <c r="AC626" s="686"/>
      <c r="AD626" s="686"/>
      <c r="AE626" s="686"/>
      <c r="AF626" s="686"/>
    </row>
    <row r="627" ht="15.75" customHeight="1">
      <c r="A627" s="683"/>
      <c r="B627" s="683"/>
      <c r="C627" s="684"/>
      <c r="D627" s="684"/>
      <c r="E627" s="684"/>
      <c r="F627" s="683"/>
      <c r="G627" s="683"/>
      <c r="H627" s="683"/>
      <c r="I627" s="683"/>
      <c r="J627" s="683"/>
      <c r="K627" s="683"/>
      <c r="L627" s="685"/>
      <c r="M627" s="685"/>
      <c r="N627" s="685"/>
      <c r="O627" s="683"/>
      <c r="P627" s="683"/>
      <c r="Q627" s="686"/>
      <c r="R627" s="686"/>
      <c r="S627" s="686"/>
      <c r="T627" s="686"/>
      <c r="U627" s="686"/>
      <c r="V627" s="686"/>
      <c r="W627" s="686"/>
      <c r="X627" s="686"/>
      <c r="Y627" s="686"/>
      <c r="Z627" s="686"/>
      <c r="AA627" s="686"/>
      <c r="AB627" s="686"/>
      <c r="AC627" s="686"/>
      <c r="AD627" s="686"/>
      <c r="AE627" s="686"/>
      <c r="AF627" s="686"/>
    </row>
    <row r="628" ht="15.75" customHeight="1">
      <c r="A628" s="683"/>
      <c r="B628" s="683"/>
      <c r="C628" s="684"/>
      <c r="D628" s="684"/>
      <c r="E628" s="684"/>
      <c r="F628" s="683"/>
      <c r="G628" s="683"/>
      <c r="H628" s="683"/>
      <c r="I628" s="683"/>
      <c r="J628" s="683"/>
      <c r="K628" s="683"/>
      <c r="L628" s="685"/>
      <c r="M628" s="685"/>
      <c r="N628" s="685"/>
      <c r="O628" s="683"/>
      <c r="P628" s="683"/>
      <c r="Q628" s="686"/>
      <c r="R628" s="686"/>
      <c r="S628" s="686"/>
      <c r="T628" s="686"/>
      <c r="U628" s="686"/>
      <c r="V628" s="686"/>
      <c r="W628" s="686"/>
      <c r="X628" s="686"/>
      <c r="Y628" s="686"/>
      <c r="Z628" s="686"/>
      <c r="AA628" s="686"/>
      <c r="AB628" s="686"/>
      <c r="AC628" s="686"/>
      <c r="AD628" s="686"/>
      <c r="AE628" s="686"/>
      <c r="AF628" s="686"/>
    </row>
    <row r="629" ht="15.75" customHeight="1">
      <c r="A629" s="683"/>
      <c r="B629" s="683"/>
      <c r="C629" s="684"/>
      <c r="D629" s="684"/>
      <c r="E629" s="684"/>
      <c r="F629" s="683"/>
      <c r="G629" s="683"/>
      <c r="H629" s="683"/>
      <c r="I629" s="683"/>
      <c r="J629" s="683"/>
      <c r="K629" s="683"/>
      <c r="L629" s="685"/>
      <c r="M629" s="685"/>
      <c r="N629" s="685"/>
      <c r="O629" s="683"/>
      <c r="P629" s="683"/>
      <c r="Q629" s="686"/>
      <c r="R629" s="686"/>
      <c r="S629" s="686"/>
      <c r="T629" s="686"/>
      <c r="U629" s="686"/>
      <c r="V629" s="686"/>
      <c r="W629" s="686"/>
      <c r="X629" s="686"/>
      <c r="Y629" s="686"/>
      <c r="Z629" s="686"/>
      <c r="AA629" s="686"/>
      <c r="AB629" s="686"/>
      <c r="AC629" s="686"/>
      <c r="AD629" s="686"/>
      <c r="AE629" s="686"/>
      <c r="AF629" s="686"/>
    </row>
    <row r="630" ht="15.75" customHeight="1">
      <c r="A630" s="683"/>
      <c r="B630" s="683"/>
      <c r="C630" s="684"/>
      <c r="D630" s="684"/>
      <c r="E630" s="684"/>
      <c r="F630" s="683"/>
      <c r="G630" s="683"/>
      <c r="H630" s="683"/>
      <c r="I630" s="683"/>
      <c r="J630" s="683"/>
      <c r="K630" s="683"/>
      <c r="L630" s="685"/>
      <c r="M630" s="685"/>
      <c r="N630" s="685"/>
      <c r="O630" s="683"/>
      <c r="P630" s="683"/>
      <c r="Q630" s="686"/>
      <c r="R630" s="686"/>
      <c r="S630" s="686"/>
      <c r="T630" s="686"/>
      <c r="U630" s="686"/>
      <c r="V630" s="686"/>
      <c r="W630" s="686"/>
      <c r="X630" s="686"/>
      <c r="Y630" s="686"/>
      <c r="Z630" s="686"/>
      <c r="AA630" s="686"/>
      <c r="AB630" s="686"/>
      <c r="AC630" s="686"/>
      <c r="AD630" s="686"/>
      <c r="AE630" s="686"/>
      <c r="AF630" s="686"/>
    </row>
    <row r="631" ht="15.75" customHeight="1">
      <c r="A631" s="683"/>
      <c r="B631" s="683"/>
      <c r="C631" s="684"/>
      <c r="D631" s="684"/>
      <c r="E631" s="684"/>
      <c r="F631" s="683"/>
      <c r="G631" s="683"/>
      <c r="H631" s="683"/>
      <c r="I631" s="683"/>
      <c r="J631" s="683"/>
      <c r="K631" s="683"/>
      <c r="L631" s="685"/>
      <c r="M631" s="685"/>
      <c r="N631" s="685"/>
      <c r="O631" s="683"/>
      <c r="P631" s="683"/>
      <c r="Q631" s="686"/>
      <c r="R631" s="686"/>
      <c r="S631" s="686"/>
      <c r="T631" s="686"/>
      <c r="U631" s="686"/>
      <c r="V631" s="686"/>
      <c r="W631" s="686"/>
      <c r="X631" s="686"/>
      <c r="Y631" s="686"/>
      <c r="Z631" s="686"/>
      <c r="AA631" s="686"/>
      <c r="AB631" s="686"/>
      <c r="AC631" s="686"/>
      <c r="AD631" s="686"/>
      <c r="AE631" s="686"/>
      <c r="AF631" s="686"/>
    </row>
    <row r="632" ht="15.75" customHeight="1">
      <c r="A632" s="683"/>
      <c r="B632" s="683"/>
      <c r="C632" s="684"/>
      <c r="D632" s="684"/>
      <c r="E632" s="684"/>
      <c r="F632" s="683"/>
      <c r="G632" s="683"/>
      <c r="H632" s="683"/>
      <c r="I632" s="683"/>
      <c r="J632" s="683"/>
      <c r="K632" s="683"/>
      <c r="L632" s="685"/>
      <c r="M632" s="685"/>
      <c r="N632" s="685"/>
      <c r="O632" s="683"/>
      <c r="P632" s="683"/>
      <c r="Q632" s="686"/>
      <c r="R632" s="686"/>
      <c r="S632" s="686"/>
      <c r="T632" s="686"/>
      <c r="U632" s="686"/>
      <c r="V632" s="686"/>
      <c r="W632" s="686"/>
      <c r="X632" s="686"/>
      <c r="Y632" s="686"/>
      <c r="Z632" s="686"/>
      <c r="AA632" s="686"/>
      <c r="AB632" s="686"/>
      <c r="AC632" s="686"/>
      <c r="AD632" s="686"/>
      <c r="AE632" s="686"/>
      <c r="AF632" s="686"/>
    </row>
    <row r="633" ht="15.75" customHeight="1">
      <c r="A633" s="683"/>
      <c r="B633" s="683"/>
      <c r="C633" s="684"/>
      <c r="D633" s="684"/>
      <c r="E633" s="684"/>
      <c r="F633" s="683"/>
      <c r="G633" s="683"/>
      <c r="H633" s="683"/>
      <c r="I633" s="683"/>
      <c r="J633" s="683"/>
      <c r="K633" s="683"/>
      <c r="L633" s="685"/>
      <c r="M633" s="685"/>
      <c r="N633" s="685"/>
      <c r="O633" s="683"/>
      <c r="P633" s="683"/>
      <c r="Q633" s="686"/>
      <c r="R633" s="686"/>
      <c r="S633" s="686"/>
      <c r="T633" s="686"/>
      <c r="U633" s="686"/>
      <c r="V633" s="686"/>
      <c r="W633" s="686"/>
      <c r="X633" s="686"/>
      <c r="Y633" s="686"/>
      <c r="Z633" s="686"/>
      <c r="AA633" s="686"/>
      <c r="AB633" s="686"/>
      <c r="AC633" s="686"/>
      <c r="AD633" s="686"/>
      <c r="AE633" s="686"/>
      <c r="AF633" s="686"/>
    </row>
    <row r="634" ht="15.75" customHeight="1">
      <c r="A634" s="683"/>
      <c r="B634" s="683"/>
      <c r="C634" s="684"/>
      <c r="D634" s="684"/>
      <c r="E634" s="684"/>
      <c r="F634" s="683"/>
      <c r="G634" s="683"/>
      <c r="H634" s="683"/>
      <c r="I634" s="683"/>
      <c r="J634" s="683"/>
      <c r="K634" s="683"/>
      <c r="L634" s="685"/>
      <c r="M634" s="685"/>
      <c r="N634" s="685"/>
      <c r="O634" s="683"/>
      <c r="P634" s="683"/>
      <c r="Q634" s="686"/>
      <c r="R634" s="686"/>
      <c r="S634" s="686"/>
      <c r="T634" s="686"/>
      <c r="U634" s="686"/>
      <c r="V634" s="686"/>
      <c r="W634" s="686"/>
      <c r="X634" s="686"/>
      <c r="Y634" s="686"/>
      <c r="Z634" s="686"/>
      <c r="AA634" s="686"/>
      <c r="AB634" s="686"/>
      <c r="AC634" s="686"/>
      <c r="AD634" s="686"/>
      <c r="AE634" s="686"/>
      <c r="AF634" s="686"/>
    </row>
    <row r="635" ht="15.75" customHeight="1">
      <c r="A635" s="683"/>
      <c r="B635" s="683"/>
      <c r="C635" s="684"/>
      <c r="D635" s="684"/>
      <c r="E635" s="684"/>
      <c r="F635" s="683"/>
      <c r="G635" s="683"/>
      <c r="H635" s="683"/>
      <c r="I635" s="683"/>
      <c r="J635" s="683"/>
      <c r="K635" s="683"/>
      <c r="L635" s="685"/>
      <c r="M635" s="685"/>
      <c r="N635" s="685"/>
      <c r="O635" s="683"/>
      <c r="P635" s="683"/>
      <c r="Q635" s="686"/>
      <c r="R635" s="686"/>
      <c r="S635" s="686"/>
      <c r="T635" s="686"/>
      <c r="U635" s="686"/>
      <c r="V635" s="686"/>
      <c r="W635" s="686"/>
      <c r="X635" s="686"/>
      <c r="Y635" s="686"/>
      <c r="Z635" s="686"/>
      <c r="AA635" s="686"/>
      <c r="AB635" s="686"/>
      <c r="AC635" s="686"/>
      <c r="AD635" s="686"/>
      <c r="AE635" s="686"/>
      <c r="AF635" s="686"/>
    </row>
    <row r="636" ht="15.75" customHeight="1">
      <c r="A636" s="683"/>
      <c r="B636" s="683"/>
      <c r="C636" s="684"/>
      <c r="D636" s="684"/>
      <c r="E636" s="686"/>
      <c r="F636" s="683"/>
      <c r="G636" s="689"/>
      <c r="H636" s="683"/>
      <c r="I636" s="683"/>
      <c r="J636" s="683"/>
      <c r="K636" s="683"/>
      <c r="L636" s="685"/>
      <c r="M636" s="685"/>
      <c r="N636" s="685"/>
      <c r="O636" s="683"/>
      <c r="P636" s="683"/>
      <c r="Q636" s="686"/>
      <c r="R636" s="686"/>
      <c r="S636" s="686"/>
      <c r="T636" s="686"/>
      <c r="U636" s="686"/>
      <c r="V636" s="686"/>
      <c r="W636" s="686"/>
      <c r="X636" s="686"/>
      <c r="Y636" s="686"/>
      <c r="Z636" s="686"/>
      <c r="AA636" s="686"/>
      <c r="AB636" s="686"/>
      <c r="AC636" s="686"/>
      <c r="AD636" s="686"/>
      <c r="AE636" s="686"/>
      <c r="AF636" s="686"/>
    </row>
    <row r="637" ht="15.75" customHeight="1">
      <c r="A637" s="683"/>
      <c r="B637" s="683"/>
      <c r="C637" s="684"/>
      <c r="D637" s="684"/>
      <c r="E637" s="684"/>
      <c r="F637" s="683"/>
      <c r="G637" s="683"/>
      <c r="H637" s="683"/>
      <c r="I637" s="683"/>
      <c r="J637" s="683"/>
      <c r="K637" s="683"/>
      <c r="L637" s="685"/>
      <c r="M637" s="685"/>
      <c r="N637" s="685"/>
      <c r="O637" s="683"/>
      <c r="P637" s="683"/>
      <c r="Q637" s="686"/>
      <c r="R637" s="686"/>
      <c r="S637" s="686"/>
      <c r="T637" s="686"/>
      <c r="U637" s="686"/>
      <c r="V637" s="686"/>
      <c r="W637" s="686"/>
      <c r="X637" s="686"/>
      <c r="Y637" s="686"/>
      <c r="Z637" s="686"/>
      <c r="AA637" s="686"/>
      <c r="AB637" s="686"/>
      <c r="AC637" s="686"/>
      <c r="AD637" s="686"/>
      <c r="AE637" s="686"/>
      <c r="AF637" s="686"/>
    </row>
    <row r="638" ht="15.75" customHeight="1">
      <c r="A638" s="683"/>
      <c r="B638" s="683"/>
      <c r="C638" s="684"/>
      <c r="D638" s="684"/>
      <c r="E638" s="684"/>
      <c r="F638" s="683"/>
      <c r="G638" s="683"/>
      <c r="H638" s="683"/>
      <c r="I638" s="683"/>
      <c r="J638" s="683"/>
      <c r="K638" s="683"/>
      <c r="L638" s="685"/>
      <c r="M638" s="685"/>
      <c r="N638" s="685"/>
      <c r="O638" s="683"/>
      <c r="P638" s="683"/>
      <c r="Q638" s="686"/>
      <c r="R638" s="686"/>
      <c r="S638" s="686"/>
      <c r="T638" s="686"/>
      <c r="U638" s="686"/>
      <c r="V638" s="686"/>
      <c r="W638" s="686"/>
      <c r="X638" s="686"/>
      <c r="Y638" s="686"/>
      <c r="Z638" s="686"/>
      <c r="AA638" s="686"/>
      <c r="AB638" s="686"/>
      <c r="AC638" s="686"/>
      <c r="AD638" s="686"/>
      <c r="AE638" s="686"/>
      <c r="AF638" s="686"/>
    </row>
    <row r="639" ht="15.75" customHeight="1">
      <c r="A639" s="683"/>
      <c r="B639" s="683"/>
      <c r="C639" s="684"/>
      <c r="D639" s="684"/>
      <c r="E639" s="684"/>
      <c r="F639" s="683"/>
      <c r="G639" s="683"/>
      <c r="H639" s="683"/>
      <c r="I639" s="683"/>
      <c r="J639" s="683"/>
      <c r="K639" s="683"/>
      <c r="L639" s="685"/>
      <c r="M639" s="685"/>
      <c r="N639" s="685"/>
      <c r="O639" s="683"/>
      <c r="P639" s="683"/>
      <c r="Q639" s="686"/>
      <c r="R639" s="686"/>
      <c r="S639" s="686"/>
      <c r="T639" s="686"/>
      <c r="U639" s="686"/>
      <c r="V639" s="686"/>
      <c r="W639" s="686"/>
      <c r="X639" s="686"/>
      <c r="Y639" s="686"/>
      <c r="Z639" s="686"/>
      <c r="AA639" s="686"/>
      <c r="AB639" s="686"/>
      <c r="AC639" s="686"/>
      <c r="AD639" s="686"/>
      <c r="AE639" s="686"/>
      <c r="AF639" s="686"/>
    </row>
    <row r="640" ht="15.75" customHeight="1">
      <c r="A640" s="683"/>
      <c r="B640" s="683"/>
      <c r="C640" s="684"/>
      <c r="D640" s="684"/>
      <c r="E640" s="684"/>
      <c r="F640" s="683"/>
      <c r="G640" s="683"/>
      <c r="H640" s="683"/>
      <c r="I640" s="683"/>
      <c r="J640" s="683"/>
      <c r="K640" s="683"/>
      <c r="L640" s="685"/>
      <c r="M640" s="685"/>
      <c r="N640" s="685"/>
      <c r="O640" s="683"/>
      <c r="P640" s="683"/>
      <c r="Q640" s="686"/>
      <c r="R640" s="686"/>
      <c r="S640" s="686"/>
      <c r="T640" s="686"/>
      <c r="U640" s="686"/>
      <c r="V640" s="686"/>
      <c r="W640" s="686"/>
      <c r="X640" s="686"/>
      <c r="Y640" s="686"/>
      <c r="Z640" s="686"/>
      <c r="AA640" s="686"/>
      <c r="AB640" s="686"/>
      <c r="AC640" s="686"/>
      <c r="AD640" s="686"/>
      <c r="AE640" s="686"/>
      <c r="AF640" s="686"/>
    </row>
    <row r="641" ht="15.75" customHeight="1">
      <c r="A641" s="683"/>
      <c r="B641" s="683"/>
      <c r="C641" s="684"/>
      <c r="D641" s="684"/>
      <c r="E641" s="684"/>
      <c r="F641" s="683"/>
      <c r="G641" s="683"/>
      <c r="H641" s="683"/>
      <c r="I641" s="683"/>
      <c r="J641" s="683"/>
      <c r="K641" s="683"/>
      <c r="L641" s="685"/>
      <c r="M641" s="685"/>
      <c r="N641" s="685"/>
      <c r="O641" s="683"/>
      <c r="P641" s="683"/>
      <c r="Q641" s="686"/>
      <c r="R641" s="686"/>
      <c r="S641" s="686"/>
      <c r="T641" s="686"/>
      <c r="U641" s="686"/>
      <c r="V641" s="686"/>
      <c r="W641" s="686"/>
      <c r="X641" s="686"/>
      <c r="Y641" s="686"/>
      <c r="Z641" s="686"/>
      <c r="AA641" s="686"/>
      <c r="AB641" s="686"/>
      <c r="AC641" s="686"/>
      <c r="AD641" s="686"/>
      <c r="AE641" s="686"/>
      <c r="AF641" s="686"/>
    </row>
    <row r="642" ht="15.75" customHeight="1">
      <c r="A642" s="683"/>
      <c r="B642" s="683"/>
      <c r="C642" s="684"/>
      <c r="D642" s="684"/>
      <c r="E642" s="684"/>
      <c r="F642" s="683"/>
      <c r="G642" s="683"/>
      <c r="H642" s="683"/>
      <c r="I642" s="683"/>
      <c r="J642" s="683"/>
      <c r="K642" s="683"/>
      <c r="L642" s="685"/>
      <c r="M642" s="685"/>
      <c r="N642" s="685"/>
      <c r="O642" s="683"/>
      <c r="P642" s="683"/>
      <c r="Q642" s="686"/>
      <c r="R642" s="686"/>
      <c r="S642" s="686"/>
      <c r="T642" s="686"/>
      <c r="U642" s="686"/>
      <c r="V642" s="686"/>
      <c r="W642" s="686"/>
      <c r="X642" s="686"/>
      <c r="Y642" s="686"/>
      <c r="Z642" s="686"/>
      <c r="AA642" s="686"/>
      <c r="AB642" s="686"/>
      <c r="AC642" s="686"/>
      <c r="AD642" s="686"/>
      <c r="AE642" s="686"/>
      <c r="AF642" s="686"/>
    </row>
    <row r="643" ht="15.75" customHeight="1">
      <c r="A643" s="683"/>
      <c r="B643" s="683"/>
      <c r="C643" s="684"/>
      <c r="D643" s="684"/>
      <c r="E643" s="684"/>
      <c r="F643" s="683"/>
      <c r="G643" s="683"/>
      <c r="H643" s="683"/>
      <c r="I643" s="683"/>
      <c r="J643" s="683"/>
      <c r="K643" s="683"/>
      <c r="L643" s="685"/>
      <c r="M643" s="685"/>
      <c r="N643" s="685"/>
      <c r="O643" s="683"/>
      <c r="P643" s="683"/>
      <c r="Q643" s="686"/>
      <c r="R643" s="686"/>
      <c r="S643" s="686"/>
      <c r="T643" s="686"/>
      <c r="U643" s="686"/>
      <c r="V643" s="686"/>
      <c r="W643" s="686"/>
      <c r="X643" s="686"/>
      <c r="Y643" s="686"/>
      <c r="Z643" s="686"/>
      <c r="AA643" s="686"/>
      <c r="AB643" s="686"/>
      <c r="AC643" s="686"/>
      <c r="AD643" s="686"/>
      <c r="AE643" s="686"/>
      <c r="AF643" s="686"/>
    </row>
    <row r="644" ht="15.75" customHeight="1">
      <c r="A644" s="683"/>
      <c r="B644" s="683"/>
      <c r="C644" s="684"/>
      <c r="D644" s="684"/>
      <c r="E644" s="684"/>
      <c r="F644" s="683"/>
      <c r="G644" s="683"/>
      <c r="H644" s="683"/>
      <c r="I644" s="683"/>
      <c r="J644" s="683"/>
      <c r="K644" s="683"/>
      <c r="L644" s="685"/>
      <c r="M644" s="685"/>
      <c r="N644" s="685"/>
      <c r="O644" s="683"/>
      <c r="P644" s="683"/>
      <c r="Q644" s="686"/>
      <c r="R644" s="686"/>
      <c r="S644" s="686"/>
      <c r="T644" s="686"/>
      <c r="U644" s="686"/>
      <c r="V644" s="686"/>
      <c r="W644" s="686"/>
      <c r="X644" s="686"/>
      <c r="Y644" s="686"/>
      <c r="Z644" s="686"/>
      <c r="AA644" s="686"/>
      <c r="AB644" s="686"/>
      <c r="AC644" s="686"/>
      <c r="AD644" s="686"/>
      <c r="AE644" s="686"/>
      <c r="AF644" s="686"/>
    </row>
    <row r="645" ht="15.75" customHeight="1">
      <c r="A645" s="683"/>
      <c r="B645" s="683"/>
      <c r="C645" s="684"/>
      <c r="D645" s="684"/>
      <c r="E645" s="684"/>
      <c r="F645" s="683"/>
      <c r="G645" s="683"/>
      <c r="H645" s="683"/>
      <c r="I645" s="683"/>
      <c r="J645" s="683"/>
      <c r="K645" s="683"/>
      <c r="L645" s="685"/>
      <c r="M645" s="685"/>
      <c r="N645" s="685"/>
      <c r="O645" s="683"/>
      <c r="P645" s="683"/>
      <c r="Q645" s="686"/>
      <c r="R645" s="686"/>
      <c r="S645" s="686"/>
      <c r="T645" s="686"/>
      <c r="U645" s="686"/>
      <c r="V645" s="686"/>
      <c r="W645" s="686"/>
      <c r="X645" s="686"/>
      <c r="Y645" s="686"/>
      <c r="Z645" s="686"/>
      <c r="AA645" s="686"/>
      <c r="AB645" s="686"/>
      <c r="AC645" s="686"/>
      <c r="AD645" s="686"/>
      <c r="AE645" s="686"/>
      <c r="AF645" s="686"/>
    </row>
    <row r="646" ht="15.75" customHeight="1">
      <c r="A646" s="683"/>
      <c r="B646" s="683"/>
      <c r="C646" s="684"/>
      <c r="D646" s="684"/>
      <c r="E646" s="684"/>
      <c r="F646" s="683"/>
      <c r="G646" s="683"/>
      <c r="H646" s="683"/>
      <c r="I646" s="683"/>
      <c r="J646" s="683"/>
      <c r="K646" s="683"/>
      <c r="L646" s="685"/>
      <c r="M646" s="685"/>
      <c r="N646" s="685"/>
      <c r="O646" s="683"/>
      <c r="P646" s="683"/>
      <c r="Q646" s="686"/>
      <c r="R646" s="686"/>
      <c r="S646" s="686"/>
      <c r="T646" s="686"/>
      <c r="U646" s="686"/>
      <c r="V646" s="686"/>
      <c r="W646" s="686"/>
      <c r="X646" s="686"/>
      <c r="Y646" s="686"/>
      <c r="Z646" s="686"/>
      <c r="AA646" s="686"/>
      <c r="AB646" s="686"/>
      <c r="AC646" s="686"/>
      <c r="AD646" s="686"/>
      <c r="AE646" s="686"/>
      <c r="AF646" s="686"/>
    </row>
    <row r="647" ht="15.75" customHeight="1">
      <c r="A647" s="683"/>
      <c r="B647" s="683"/>
      <c r="C647" s="684"/>
      <c r="D647" s="684"/>
      <c r="E647" s="684"/>
      <c r="F647" s="683"/>
      <c r="G647" s="683"/>
      <c r="H647" s="683"/>
      <c r="I647" s="683"/>
      <c r="J647" s="683"/>
      <c r="K647" s="683"/>
      <c r="L647" s="685"/>
      <c r="M647" s="685"/>
      <c r="N647" s="685"/>
      <c r="O647" s="683"/>
      <c r="P647" s="683"/>
      <c r="Q647" s="686"/>
      <c r="R647" s="686"/>
      <c r="S647" s="686"/>
      <c r="T647" s="686"/>
      <c r="U647" s="686"/>
      <c r="V647" s="686"/>
      <c r="W647" s="686"/>
      <c r="X647" s="686"/>
      <c r="Y647" s="686"/>
      <c r="Z647" s="686"/>
      <c r="AA647" s="686"/>
      <c r="AB647" s="686"/>
      <c r="AC647" s="686"/>
      <c r="AD647" s="686"/>
      <c r="AE647" s="686"/>
      <c r="AF647" s="686"/>
    </row>
    <row r="648" ht="15.75" customHeight="1">
      <c r="A648" s="683"/>
      <c r="B648" s="683"/>
      <c r="C648" s="684"/>
      <c r="D648" s="684"/>
      <c r="E648" s="684"/>
      <c r="F648" s="683"/>
      <c r="G648" s="683"/>
      <c r="H648" s="683"/>
      <c r="I648" s="683"/>
      <c r="J648" s="683"/>
      <c r="K648" s="683"/>
      <c r="L648" s="685"/>
      <c r="M648" s="685"/>
      <c r="N648" s="685"/>
      <c r="O648" s="683"/>
      <c r="P648" s="683"/>
      <c r="Q648" s="686"/>
      <c r="R648" s="686"/>
      <c r="S648" s="686"/>
      <c r="T648" s="686"/>
      <c r="U648" s="686"/>
      <c r="V648" s="686"/>
      <c r="W648" s="686"/>
      <c r="X648" s="686"/>
      <c r="Y648" s="686"/>
      <c r="Z648" s="686"/>
      <c r="AA648" s="686"/>
      <c r="AB648" s="686"/>
      <c r="AC648" s="686"/>
      <c r="AD648" s="686"/>
      <c r="AE648" s="686"/>
      <c r="AF648" s="686"/>
    </row>
    <row r="649" ht="15.75" customHeight="1">
      <c r="A649" s="683"/>
      <c r="B649" s="683"/>
      <c r="C649" s="684"/>
      <c r="D649" s="684"/>
      <c r="E649" s="684"/>
      <c r="F649" s="683"/>
      <c r="G649" s="683"/>
      <c r="H649" s="683"/>
      <c r="I649" s="683"/>
      <c r="J649" s="683"/>
      <c r="K649" s="683"/>
      <c r="L649" s="685"/>
      <c r="M649" s="685"/>
      <c r="N649" s="685"/>
      <c r="O649" s="683"/>
      <c r="P649" s="683"/>
      <c r="Q649" s="686"/>
      <c r="R649" s="686"/>
      <c r="S649" s="686"/>
      <c r="T649" s="686"/>
      <c r="U649" s="686"/>
      <c r="V649" s="686"/>
      <c r="W649" s="686"/>
      <c r="X649" s="686"/>
      <c r="Y649" s="686"/>
      <c r="Z649" s="686"/>
      <c r="AA649" s="686"/>
      <c r="AB649" s="686"/>
      <c r="AC649" s="686"/>
      <c r="AD649" s="686"/>
      <c r="AE649" s="686"/>
      <c r="AF649" s="686"/>
    </row>
    <row r="650" ht="15.75" customHeight="1">
      <c r="A650" s="683"/>
      <c r="B650" s="683"/>
      <c r="C650" s="684"/>
      <c r="D650" s="684"/>
      <c r="E650" s="684"/>
      <c r="F650" s="683"/>
      <c r="G650" s="683"/>
      <c r="H650" s="683"/>
      <c r="I650" s="683"/>
      <c r="J650" s="683"/>
      <c r="K650" s="683"/>
      <c r="L650" s="685"/>
      <c r="M650" s="685"/>
      <c r="N650" s="685"/>
      <c r="O650" s="683"/>
      <c r="P650" s="683"/>
      <c r="Q650" s="686"/>
      <c r="R650" s="686"/>
      <c r="S650" s="686"/>
      <c r="T650" s="686"/>
      <c r="U650" s="686"/>
      <c r="V650" s="686"/>
      <c r="W650" s="686"/>
      <c r="X650" s="686"/>
      <c r="Y650" s="686"/>
      <c r="Z650" s="686"/>
      <c r="AA650" s="686"/>
      <c r="AB650" s="686"/>
      <c r="AC650" s="686"/>
      <c r="AD650" s="686"/>
      <c r="AE650" s="686"/>
      <c r="AF650" s="686"/>
    </row>
    <row r="651" ht="15.75" customHeight="1">
      <c r="A651" s="683"/>
      <c r="B651" s="683"/>
      <c r="C651" s="684"/>
      <c r="D651" s="684"/>
      <c r="E651" s="684"/>
      <c r="F651" s="683"/>
      <c r="G651" s="683"/>
      <c r="H651" s="683"/>
      <c r="I651" s="683"/>
      <c r="J651" s="683"/>
      <c r="K651" s="683"/>
      <c r="L651" s="685"/>
      <c r="M651" s="685"/>
      <c r="N651" s="685"/>
      <c r="O651" s="683"/>
      <c r="P651" s="683"/>
      <c r="Q651" s="686"/>
      <c r="R651" s="686"/>
      <c r="S651" s="686"/>
      <c r="T651" s="686"/>
      <c r="U651" s="686"/>
      <c r="V651" s="686"/>
      <c r="W651" s="686"/>
      <c r="X651" s="686"/>
      <c r="Y651" s="686"/>
      <c r="Z651" s="686"/>
      <c r="AA651" s="686"/>
      <c r="AB651" s="686"/>
      <c r="AC651" s="686"/>
      <c r="AD651" s="686"/>
      <c r="AE651" s="686"/>
      <c r="AF651" s="686"/>
    </row>
    <row r="652" ht="15.75" customHeight="1">
      <c r="A652" s="683"/>
      <c r="B652" s="683"/>
      <c r="C652" s="684"/>
      <c r="D652" s="684"/>
      <c r="E652" s="684"/>
      <c r="F652" s="683"/>
      <c r="G652" s="683"/>
      <c r="H652" s="683"/>
      <c r="I652" s="683"/>
      <c r="J652" s="683"/>
      <c r="K652" s="683"/>
      <c r="L652" s="685"/>
      <c r="M652" s="685"/>
      <c r="N652" s="685"/>
      <c r="O652" s="683"/>
      <c r="P652" s="683"/>
      <c r="Q652" s="686"/>
      <c r="R652" s="686"/>
      <c r="S652" s="686"/>
      <c r="T652" s="686"/>
      <c r="U652" s="686"/>
      <c r="V652" s="686"/>
      <c r="W652" s="686"/>
      <c r="X652" s="686"/>
      <c r="Y652" s="686"/>
      <c r="Z652" s="686"/>
      <c r="AA652" s="686"/>
      <c r="AB652" s="686"/>
      <c r="AC652" s="686"/>
      <c r="AD652" s="686"/>
      <c r="AE652" s="686"/>
      <c r="AF652" s="686"/>
    </row>
    <row r="653" ht="15.75" customHeight="1">
      <c r="A653" s="683"/>
      <c r="B653" s="683"/>
      <c r="C653" s="684"/>
      <c r="D653" s="684"/>
      <c r="E653" s="684"/>
      <c r="F653" s="683"/>
      <c r="G653" s="683"/>
      <c r="H653" s="683"/>
      <c r="I653" s="683"/>
      <c r="J653" s="683"/>
      <c r="K653" s="683"/>
      <c r="L653" s="685"/>
      <c r="M653" s="685"/>
      <c r="N653" s="685"/>
      <c r="O653" s="683"/>
      <c r="P653" s="683"/>
      <c r="Q653" s="686"/>
      <c r="R653" s="686"/>
      <c r="S653" s="686"/>
      <c r="T653" s="686"/>
      <c r="U653" s="686"/>
      <c r="V653" s="686"/>
      <c r="W653" s="686"/>
      <c r="X653" s="686"/>
      <c r="Y653" s="686"/>
      <c r="Z653" s="686"/>
      <c r="AA653" s="686"/>
      <c r="AB653" s="686"/>
      <c r="AC653" s="686"/>
      <c r="AD653" s="686"/>
      <c r="AE653" s="686"/>
      <c r="AF653" s="686"/>
    </row>
    <row r="654" ht="15.75" customHeight="1">
      <c r="A654" s="683"/>
      <c r="B654" s="683"/>
      <c r="C654" s="684"/>
      <c r="D654" s="684"/>
      <c r="E654" s="684"/>
      <c r="F654" s="683"/>
      <c r="G654" s="683"/>
      <c r="H654" s="683"/>
      <c r="I654" s="683"/>
      <c r="J654" s="683"/>
      <c r="K654" s="683"/>
      <c r="L654" s="685"/>
      <c r="M654" s="685"/>
      <c r="N654" s="685"/>
      <c r="O654" s="683"/>
      <c r="P654" s="683"/>
      <c r="Q654" s="686"/>
      <c r="R654" s="686"/>
      <c r="S654" s="686"/>
      <c r="T654" s="686"/>
      <c r="U654" s="686"/>
      <c r="V654" s="686"/>
      <c r="W654" s="686"/>
      <c r="X654" s="686"/>
      <c r="Y654" s="686"/>
      <c r="Z654" s="686"/>
      <c r="AA654" s="686"/>
      <c r="AB654" s="686"/>
      <c r="AC654" s="686"/>
      <c r="AD654" s="686"/>
      <c r="AE654" s="686"/>
      <c r="AF654" s="686"/>
    </row>
    <row r="655" ht="15.75" customHeight="1">
      <c r="A655" s="683"/>
      <c r="B655" s="683"/>
      <c r="C655" s="684"/>
      <c r="D655" s="684"/>
      <c r="E655" s="684"/>
      <c r="F655" s="683"/>
      <c r="G655" s="683"/>
      <c r="H655" s="683"/>
      <c r="I655" s="683"/>
      <c r="J655" s="683"/>
      <c r="K655" s="683"/>
      <c r="L655" s="685"/>
      <c r="M655" s="685"/>
      <c r="N655" s="685"/>
      <c r="O655" s="683"/>
      <c r="P655" s="683"/>
      <c r="Q655" s="686"/>
      <c r="R655" s="686"/>
      <c r="S655" s="686"/>
      <c r="T655" s="686"/>
      <c r="U655" s="686"/>
      <c r="V655" s="686"/>
      <c r="W655" s="686"/>
      <c r="X655" s="686"/>
      <c r="Y655" s="686"/>
      <c r="Z655" s="686"/>
      <c r="AA655" s="686"/>
      <c r="AB655" s="686"/>
      <c r="AC655" s="686"/>
      <c r="AD655" s="686"/>
      <c r="AE655" s="686"/>
      <c r="AF655" s="686"/>
    </row>
    <row r="656" ht="15.75" customHeight="1">
      <c r="A656" s="683"/>
      <c r="B656" s="683"/>
      <c r="C656" s="684"/>
      <c r="D656" s="684"/>
      <c r="E656" s="684"/>
      <c r="F656" s="683"/>
      <c r="G656" s="683"/>
      <c r="H656" s="683"/>
      <c r="I656" s="683"/>
      <c r="J656" s="683"/>
      <c r="K656" s="683"/>
      <c r="L656" s="685"/>
      <c r="M656" s="685"/>
      <c r="N656" s="685"/>
      <c r="O656" s="683"/>
      <c r="P656" s="683"/>
      <c r="Q656" s="686"/>
      <c r="R656" s="686"/>
      <c r="S656" s="686"/>
      <c r="T656" s="686"/>
      <c r="U656" s="686"/>
      <c r="V656" s="686"/>
      <c r="W656" s="686"/>
      <c r="X656" s="686"/>
      <c r="Y656" s="686"/>
      <c r="Z656" s="686"/>
      <c r="AA656" s="686"/>
      <c r="AB656" s="686"/>
      <c r="AC656" s="686"/>
      <c r="AD656" s="686"/>
      <c r="AE656" s="686"/>
      <c r="AF656" s="686"/>
    </row>
    <row r="657" ht="15.75" customHeight="1">
      <c r="A657" s="683"/>
      <c r="B657" s="683"/>
      <c r="C657" s="684"/>
      <c r="D657" s="684"/>
      <c r="E657" s="684"/>
      <c r="F657" s="683"/>
      <c r="G657" s="683"/>
      <c r="H657" s="683"/>
      <c r="I657" s="683"/>
      <c r="J657" s="683"/>
      <c r="K657" s="683"/>
      <c r="L657" s="685"/>
      <c r="M657" s="685"/>
      <c r="N657" s="685"/>
      <c r="O657" s="683"/>
      <c r="P657" s="683"/>
      <c r="Q657" s="686"/>
      <c r="R657" s="686"/>
      <c r="S657" s="686"/>
      <c r="T657" s="686"/>
      <c r="U657" s="686"/>
      <c r="V657" s="686"/>
      <c r="W657" s="686"/>
      <c r="X657" s="686"/>
      <c r="Y657" s="686"/>
      <c r="Z657" s="686"/>
      <c r="AA657" s="686"/>
      <c r="AB657" s="686"/>
      <c r="AC657" s="686"/>
      <c r="AD657" s="686"/>
      <c r="AE657" s="686"/>
      <c r="AF657" s="686"/>
    </row>
    <row r="658" ht="15.75" customHeight="1">
      <c r="A658" s="683"/>
      <c r="B658" s="683"/>
      <c r="C658" s="684"/>
      <c r="D658" s="684"/>
      <c r="E658" s="684"/>
      <c r="F658" s="683"/>
      <c r="G658" s="683"/>
      <c r="H658" s="683"/>
      <c r="I658" s="683"/>
      <c r="J658" s="683"/>
      <c r="K658" s="683"/>
      <c r="L658" s="685"/>
      <c r="M658" s="685"/>
      <c r="N658" s="685"/>
      <c r="O658" s="683"/>
      <c r="P658" s="683"/>
      <c r="Q658" s="686"/>
      <c r="R658" s="686"/>
      <c r="S658" s="686"/>
      <c r="T658" s="686"/>
      <c r="U658" s="686"/>
      <c r="V658" s="686"/>
      <c r="W658" s="686"/>
      <c r="X658" s="686"/>
      <c r="Y658" s="686"/>
      <c r="Z658" s="686"/>
      <c r="AA658" s="686"/>
      <c r="AB658" s="686"/>
      <c r="AC658" s="686"/>
      <c r="AD658" s="686"/>
      <c r="AE658" s="686"/>
      <c r="AF658" s="686"/>
    </row>
    <row r="659" ht="15.75" customHeight="1">
      <c r="A659" s="683"/>
      <c r="B659" s="683"/>
      <c r="C659" s="684"/>
      <c r="D659" s="684"/>
      <c r="E659" s="684"/>
      <c r="F659" s="683"/>
      <c r="G659" s="683"/>
      <c r="H659" s="683"/>
      <c r="I659" s="683"/>
      <c r="J659" s="683"/>
      <c r="K659" s="683"/>
      <c r="L659" s="685"/>
      <c r="M659" s="685"/>
      <c r="N659" s="685"/>
      <c r="O659" s="683"/>
      <c r="P659" s="683"/>
      <c r="Q659" s="686"/>
      <c r="R659" s="686"/>
      <c r="S659" s="686"/>
      <c r="T659" s="686"/>
      <c r="U659" s="686"/>
      <c r="V659" s="686"/>
      <c r="W659" s="686"/>
      <c r="X659" s="686"/>
      <c r="Y659" s="686"/>
      <c r="Z659" s="686"/>
      <c r="AA659" s="686"/>
      <c r="AB659" s="686"/>
      <c r="AC659" s="686"/>
      <c r="AD659" s="686"/>
      <c r="AE659" s="686"/>
      <c r="AF659" s="686"/>
    </row>
    <row r="660" ht="15.75" customHeight="1">
      <c r="A660" s="683"/>
      <c r="B660" s="683"/>
      <c r="C660" s="684"/>
      <c r="D660" s="684"/>
      <c r="E660" s="686"/>
      <c r="F660" s="683"/>
      <c r="G660" s="683"/>
      <c r="H660" s="683"/>
      <c r="I660" s="683"/>
      <c r="J660" s="683"/>
      <c r="K660" s="683"/>
      <c r="L660" s="685"/>
      <c r="M660" s="685"/>
      <c r="N660" s="685"/>
      <c r="O660" s="683"/>
      <c r="P660" s="685"/>
      <c r="Q660" s="686"/>
      <c r="R660" s="686"/>
      <c r="S660" s="686"/>
      <c r="T660" s="686"/>
      <c r="U660" s="686"/>
      <c r="V660" s="686"/>
      <c r="W660" s="686"/>
      <c r="X660" s="686"/>
      <c r="Y660" s="686"/>
      <c r="Z660" s="686"/>
      <c r="AA660" s="686"/>
      <c r="AB660" s="686"/>
      <c r="AC660" s="686"/>
      <c r="AD660" s="686"/>
      <c r="AE660" s="686"/>
      <c r="AF660" s="686"/>
    </row>
    <row r="661" ht="15.75" customHeight="1">
      <c r="A661" s="683"/>
      <c r="B661" s="683"/>
      <c r="C661" s="684"/>
      <c r="D661" s="684"/>
      <c r="E661" s="684"/>
      <c r="F661" s="683"/>
      <c r="G661" s="683"/>
      <c r="H661" s="683"/>
      <c r="I661" s="683"/>
      <c r="J661" s="683"/>
      <c r="K661" s="683"/>
      <c r="L661" s="685"/>
      <c r="M661" s="685"/>
      <c r="N661" s="685"/>
      <c r="O661" s="683"/>
      <c r="P661" s="683"/>
      <c r="Q661" s="686"/>
      <c r="R661" s="686"/>
      <c r="S661" s="686"/>
      <c r="T661" s="686"/>
      <c r="U661" s="686"/>
      <c r="V661" s="686"/>
      <c r="W661" s="686"/>
      <c r="X661" s="686"/>
      <c r="Y661" s="686"/>
      <c r="Z661" s="686"/>
      <c r="AA661" s="686"/>
      <c r="AB661" s="686"/>
      <c r="AC661" s="686"/>
      <c r="AD661" s="686"/>
      <c r="AE661" s="686"/>
      <c r="AF661" s="686"/>
    </row>
    <row r="662" ht="15.75" customHeight="1">
      <c r="A662" s="683"/>
      <c r="B662" s="683"/>
      <c r="C662" s="684"/>
      <c r="D662" s="684"/>
      <c r="E662" s="684"/>
      <c r="F662" s="683"/>
      <c r="G662" s="683"/>
      <c r="H662" s="683"/>
      <c r="I662" s="683"/>
      <c r="J662" s="683"/>
      <c r="K662" s="683"/>
      <c r="L662" s="685"/>
      <c r="M662" s="685"/>
      <c r="N662" s="685"/>
      <c r="O662" s="683"/>
      <c r="P662" s="683"/>
      <c r="Q662" s="686"/>
      <c r="R662" s="686"/>
      <c r="S662" s="686"/>
      <c r="T662" s="686"/>
      <c r="U662" s="686"/>
      <c r="V662" s="686"/>
      <c r="W662" s="686"/>
      <c r="X662" s="686"/>
      <c r="Y662" s="686"/>
      <c r="Z662" s="686"/>
      <c r="AA662" s="686"/>
      <c r="AB662" s="686"/>
      <c r="AC662" s="686"/>
      <c r="AD662" s="686"/>
      <c r="AE662" s="686"/>
      <c r="AF662" s="686"/>
    </row>
    <row r="663" ht="15.75" customHeight="1">
      <c r="A663" s="683"/>
      <c r="B663" s="683"/>
      <c r="C663" s="684"/>
      <c r="D663" s="684"/>
      <c r="E663" s="684"/>
      <c r="F663" s="683"/>
      <c r="G663" s="683"/>
      <c r="H663" s="683"/>
      <c r="I663" s="683"/>
      <c r="J663" s="683"/>
      <c r="K663" s="683"/>
      <c r="L663" s="685"/>
      <c r="M663" s="685"/>
      <c r="N663" s="685"/>
      <c r="O663" s="683"/>
      <c r="P663" s="683"/>
      <c r="Q663" s="686"/>
      <c r="R663" s="686"/>
      <c r="S663" s="686"/>
      <c r="T663" s="686"/>
      <c r="U663" s="686"/>
      <c r="V663" s="686"/>
      <c r="W663" s="686"/>
      <c r="X663" s="686"/>
      <c r="Y663" s="686"/>
      <c r="Z663" s="686"/>
      <c r="AA663" s="686"/>
      <c r="AB663" s="686"/>
      <c r="AC663" s="686"/>
      <c r="AD663" s="686"/>
      <c r="AE663" s="686"/>
      <c r="AF663" s="686"/>
    </row>
    <row r="664" ht="15.75" customHeight="1">
      <c r="A664" s="683"/>
      <c r="B664" s="683"/>
      <c r="C664" s="684"/>
      <c r="D664" s="684"/>
      <c r="E664" s="684"/>
      <c r="F664" s="683"/>
      <c r="G664" s="683"/>
      <c r="H664" s="683"/>
      <c r="I664" s="683"/>
      <c r="J664" s="683"/>
      <c r="K664" s="683"/>
      <c r="L664" s="685"/>
      <c r="M664" s="685"/>
      <c r="N664" s="685"/>
      <c r="O664" s="683"/>
      <c r="P664" s="683"/>
      <c r="Q664" s="686"/>
      <c r="R664" s="686"/>
      <c r="S664" s="686"/>
      <c r="T664" s="686"/>
      <c r="U664" s="686"/>
      <c r="V664" s="686"/>
      <c r="W664" s="686"/>
      <c r="X664" s="686"/>
      <c r="Y664" s="686"/>
      <c r="Z664" s="686"/>
      <c r="AA664" s="686"/>
      <c r="AB664" s="686"/>
      <c r="AC664" s="686"/>
      <c r="AD664" s="686"/>
      <c r="AE664" s="686"/>
      <c r="AF664" s="686"/>
    </row>
    <row r="665" ht="15.75" customHeight="1">
      <c r="A665" s="683"/>
      <c r="B665" s="683"/>
      <c r="C665" s="684"/>
      <c r="D665" s="684"/>
      <c r="E665" s="684"/>
      <c r="F665" s="683"/>
      <c r="G665" s="683"/>
      <c r="H665" s="683"/>
      <c r="I665" s="683"/>
      <c r="J665" s="683"/>
      <c r="K665" s="683"/>
      <c r="L665" s="685"/>
      <c r="M665" s="685"/>
      <c r="N665" s="685"/>
      <c r="O665" s="683"/>
      <c r="P665" s="683"/>
      <c r="Q665" s="686"/>
      <c r="R665" s="686"/>
      <c r="S665" s="686"/>
      <c r="T665" s="686"/>
      <c r="U665" s="686"/>
      <c r="V665" s="686"/>
      <c r="W665" s="686"/>
      <c r="X665" s="686"/>
      <c r="Y665" s="686"/>
      <c r="Z665" s="686"/>
      <c r="AA665" s="686"/>
      <c r="AB665" s="686"/>
      <c r="AC665" s="686"/>
      <c r="AD665" s="686"/>
      <c r="AE665" s="686"/>
      <c r="AF665" s="686"/>
    </row>
    <row r="666" ht="15.75" customHeight="1">
      <c r="A666" s="683"/>
      <c r="B666" s="683"/>
      <c r="C666" s="684"/>
      <c r="D666" s="684"/>
      <c r="E666" s="684"/>
      <c r="F666" s="683"/>
      <c r="G666" s="683"/>
      <c r="H666" s="683"/>
      <c r="I666" s="683"/>
      <c r="J666" s="683"/>
      <c r="K666" s="683"/>
      <c r="L666" s="685"/>
      <c r="M666" s="685"/>
      <c r="N666" s="685"/>
      <c r="O666" s="683"/>
      <c r="P666" s="683"/>
      <c r="Q666" s="686"/>
      <c r="R666" s="686"/>
      <c r="S666" s="686"/>
      <c r="T666" s="686"/>
      <c r="U666" s="686"/>
      <c r="V666" s="686"/>
      <c r="W666" s="686"/>
      <c r="X666" s="686"/>
      <c r="Y666" s="686"/>
      <c r="Z666" s="686"/>
      <c r="AA666" s="686"/>
      <c r="AB666" s="686"/>
      <c r="AC666" s="686"/>
      <c r="AD666" s="686"/>
      <c r="AE666" s="686"/>
      <c r="AF666" s="686"/>
    </row>
    <row r="667" ht="15.75" customHeight="1">
      <c r="A667" s="683"/>
      <c r="B667" s="683"/>
      <c r="C667" s="684"/>
      <c r="D667" s="684"/>
      <c r="E667" s="684"/>
      <c r="F667" s="683"/>
      <c r="G667" s="683"/>
      <c r="H667" s="683"/>
      <c r="I667" s="683"/>
      <c r="J667" s="683"/>
      <c r="K667" s="683"/>
      <c r="L667" s="685"/>
      <c r="M667" s="685"/>
      <c r="N667" s="685"/>
      <c r="O667" s="683"/>
      <c r="P667" s="683"/>
      <c r="Q667" s="686"/>
      <c r="R667" s="686"/>
      <c r="S667" s="686"/>
      <c r="T667" s="686"/>
      <c r="U667" s="686"/>
      <c r="V667" s="686"/>
      <c r="W667" s="686"/>
      <c r="X667" s="686"/>
      <c r="Y667" s="686"/>
      <c r="Z667" s="686"/>
      <c r="AA667" s="686"/>
      <c r="AB667" s="686"/>
      <c r="AC667" s="686"/>
      <c r="AD667" s="686"/>
      <c r="AE667" s="686"/>
      <c r="AF667" s="686"/>
    </row>
    <row r="668" ht="15.75" customHeight="1">
      <c r="A668" s="683"/>
      <c r="B668" s="683"/>
      <c r="C668" s="684"/>
      <c r="D668" s="684"/>
      <c r="E668" s="684"/>
      <c r="F668" s="683"/>
      <c r="G668" s="683"/>
      <c r="H668" s="683"/>
      <c r="I668" s="683"/>
      <c r="J668" s="683"/>
      <c r="K668" s="683"/>
      <c r="L668" s="685"/>
      <c r="M668" s="685"/>
      <c r="N668" s="685"/>
      <c r="O668" s="683"/>
      <c r="P668" s="683"/>
      <c r="Q668" s="686"/>
      <c r="R668" s="686"/>
      <c r="S668" s="686"/>
      <c r="T668" s="686"/>
      <c r="U668" s="686"/>
      <c r="V668" s="686"/>
      <c r="W668" s="686"/>
      <c r="X668" s="686"/>
      <c r="Y668" s="686"/>
      <c r="Z668" s="686"/>
      <c r="AA668" s="686"/>
      <c r="AB668" s="686"/>
      <c r="AC668" s="686"/>
      <c r="AD668" s="686"/>
      <c r="AE668" s="686"/>
      <c r="AF668" s="686"/>
    </row>
    <row r="669" ht="15.75" customHeight="1">
      <c r="A669" s="683"/>
      <c r="B669" s="683"/>
      <c r="C669" s="684"/>
      <c r="D669" s="684"/>
      <c r="E669" s="684"/>
      <c r="F669" s="683"/>
      <c r="G669" s="683"/>
      <c r="H669" s="683"/>
      <c r="I669" s="683"/>
      <c r="J669" s="683"/>
      <c r="K669" s="683"/>
      <c r="L669" s="685"/>
      <c r="M669" s="685"/>
      <c r="N669" s="685"/>
      <c r="O669" s="683"/>
      <c r="P669" s="683"/>
      <c r="Q669" s="686"/>
      <c r="R669" s="686"/>
      <c r="S669" s="686"/>
      <c r="T669" s="686"/>
      <c r="U669" s="686"/>
      <c r="V669" s="686"/>
      <c r="W669" s="686"/>
      <c r="X669" s="686"/>
      <c r="Y669" s="686"/>
      <c r="Z669" s="686"/>
      <c r="AA669" s="686"/>
      <c r="AB669" s="686"/>
      <c r="AC669" s="686"/>
      <c r="AD669" s="686"/>
      <c r="AE669" s="686"/>
      <c r="AF669" s="686"/>
    </row>
    <row r="670" ht="15.75" customHeight="1">
      <c r="A670" s="683"/>
      <c r="B670" s="683"/>
      <c r="C670" s="684"/>
      <c r="D670" s="684"/>
      <c r="E670" s="684"/>
      <c r="F670" s="683"/>
      <c r="G670" s="683"/>
      <c r="H670" s="683"/>
      <c r="I670" s="683"/>
      <c r="J670" s="683"/>
      <c r="K670" s="683"/>
      <c r="L670" s="685"/>
      <c r="M670" s="685"/>
      <c r="N670" s="685"/>
      <c r="O670" s="683"/>
      <c r="P670" s="683"/>
      <c r="Q670" s="686"/>
      <c r="R670" s="686"/>
      <c r="S670" s="686"/>
      <c r="T670" s="686"/>
      <c r="U670" s="686"/>
      <c r="V670" s="686"/>
      <c r="W670" s="686"/>
      <c r="X670" s="686"/>
      <c r="Y670" s="686"/>
      <c r="Z670" s="686"/>
      <c r="AA670" s="686"/>
      <c r="AB670" s="686"/>
      <c r="AC670" s="686"/>
      <c r="AD670" s="686"/>
      <c r="AE670" s="686"/>
      <c r="AF670" s="686"/>
    </row>
    <row r="671" ht="15.75" customHeight="1">
      <c r="A671" s="683"/>
      <c r="B671" s="683"/>
      <c r="C671" s="684"/>
      <c r="D671" s="684"/>
      <c r="E671" s="684"/>
      <c r="F671" s="683"/>
      <c r="G671" s="683"/>
      <c r="H671" s="683"/>
      <c r="I671" s="683"/>
      <c r="J671" s="683"/>
      <c r="K671" s="683"/>
      <c r="L671" s="685"/>
      <c r="M671" s="685"/>
      <c r="N671" s="685"/>
      <c r="O671" s="683"/>
      <c r="P671" s="683"/>
      <c r="Q671" s="686"/>
      <c r="R671" s="686"/>
      <c r="S671" s="686"/>
      <c r="T671" s="686"/>
      <c r="U671" s="686"/>
      <c r="V671" s="686"/>
      <c r="W671" s="686"/>
      <c r="X671" s="686"/>
      <c r="Y671" s="686"/>
      <c r="Z671" s="686"/>
      <c r="AA671" s="686"/>
      <c r="AB671" s="686"/>
      <c r="AC671" s="686"/>
      <c r="AD671" s="686"/>
      <c r="AE671" s="686"/>
      <c r="AF671" s="686"/>
    </row>
    <row r="672" ht="15.75" customHeight="1">
      <c r="A672" s="683"/>
      <c r="B672" s="683"/>
      <c r="C672" s="684"/>
      <c r="D672" s="684"/>
      <c r="E672" s="684"/>
      <c r="F672" s="683"/>
      <c r="G672" s="683"/>
      <c r="H672" s="683"/>
      <c r="I672" s="683"/>
      <c r="J672" s="683"/>
      <c r="K672" s="683"/>
      <c r="L672" s="685"/>
      <c r="M672" s="685"/>
      <c r="N672" s="685"/>
      <c r="O672" s="683"/>
      <c r="P672" s="683"/>
      <c r="Q672" s="686"/>
      <c r="R672" s="686"/>
      <c r="S672" s="686"/>
      <c r="T672" s="686"/>
      <c r="U672" s="686"/>
      <c r="V672" s="686"/>
      <c r="W672" s="686"/>
      <c r="X672" s="686"/>
      <c r="Y672" s="686"/>
      <c r="Z672" s="686"/>
      <c r="AA672" s="686"/>
      <c r="AB672" s="686"/>
      <c r="AC672" s="686"/>
      <c r="AD672" s="686"/>
      <c r="AE672" s="686"/>
      <c r="AF672" s="686"/>
    </row>
    <row r="673" ht="15.75" customHeight="1">
      <c r="A673" s="683"/>
      <c r="B673" s="683"/>
      <c r="C673" s="684"/>
      <c r="D673" s="684"/>
      <c r="E673" s="684"/>
      <c r="F673" s="683"/>
      <c r="G673" s="683"/>
      <c r="H673" s="683"/>
      <c r="I673" s="683"/>
      <c r="J673" s="683"/>
      <c r="K673" s="683"/>
      <c r="L673" s="685"/>
      <c r="M673" s="685"/>
      <c r="N673" s="685"/>
      <c r="O673" s="683"/>
      <c r="P673" s="683"/>
      <c r="Q673" s="686"/>
      <c r="R673" s="686"/>
      <c r="S673" s="686"/>
      <c r="T673" s="686"/>
      <c r="U673" s="686"/>
      <c r="V673" s="686"/>
      <c r="W673" s="686"/>
      <c r="X673" s="686"/>
      <c r="Y673" s="686"/>
      <c r="Z673" s="686"/>
      <c r="AA673" s="686"/>
      <c r="AB673" s="686"/>
      <c r="AC673" s="686"/>
      <c r="AD673" s="686"/>
      <c r="AE673" s="686"/>
      <c r="AF673" s="686"/>
    </row>
    <row r="674" ht="15.75" customHeight="1">
      <c r="A674" s="683"/>
      <c r="B674" s="683"/>
      <c r="C674" s="684"/>
      <c r="D674" s="684"/>
      <c r="E674" s="684"/>
      <c r="F674" s="683"/>
      <c r="G674" s="683"/>
      <c r="H674" s="683"/>
      <c r="I674" s="683"/>
      <c r="J674" s="683"/>
      <c r="K674" s="683"/>
      <c r="L674" s="685"/>
      <c r="M674" s="685"/>
      <c r="N674" s="685"/>
      <c r="O674" s="683"/>
      <c r="P674" s="683"/>
      <c r="Q674" s="686"/>
      <c r="R674" s="686"/>
      <c r="S674" s="686"/>
      <c r="T674" s="686"/>
      <c r="U674" s="686"/>
      <c r="V674" s="686"/>
      <c r="W674" s="686"/>
      <c r="X674" s="686"/>
      <c r="Y674" s="686"/>
      <c r="Z674" s="686"/>
      <c r="AA674" s="686"/>
      <c r="AB674" s="686"/>
      <c r="AC674" s="686"/>
      <c r="AD674" s="686"/>
      <c r="AE674" s="686"/>
      <c r="AF674" s="686"/>
    </row>
    <row r="675" ht="15.75" customHeight="1">
      <c r="A675" s="683"/>
      <c r="B675" s="683"/>
      <c r="C675" s="684"/>
      <c r="D675" s="684"/>
      <c r="E675" s="684"/>
      <c r="F675" s="683"/>
      <c r="G675" s="683"/>
      <c r="H675" s="683"/>
      <c r="I675" s="683"/>
      <c r="J675" s="683"/>
      <c r="K675" s="683"/>
      <c r="L675" s="685"/>
      <c r="M675" s="685"/>
      <c r="N675" s="685"/>
      <c r="O675" s="683"/>
      <c r="P675" s="683"/>
      <c r="Q675" s="686"/>
      <c r="R675" s="686"/>
      <c r="S675" s="686"/>
      <c r="T675" s="686"/>
      <c r="U675" s="686"/>
      <c r="V675" s="686"/>
      <c r="W675" s="686"/>
      <c r="X675" s="686"/>
      <c r="Y675" s="686"/>
      <c r="Z675" s="686"/>
      <c r="AA675" s="686"/>
      <c r="AB675" s="686"/>
      <c r="AC675" s="686"/>
      <c r="AD675" s="686"/>
      <c r="AE675" s="686"/>
      <c r="AF675" s="686"/>
    </row>
    <row r="676" ht="15.75" customHeight="1">
      <c r="A676" s="683"/>
      <c r="B676" s="683"/>
      <c r="C676" s="684"/>
      <c r="D676" s="684"/>
      <c r="E676" s="684"/>
      <c r="F676" s="683"/>
      <c r="G676" s="683"/>
      <c r="H676" s="683"/>
      <c r="I676" s="683"/>
      <c r="J676" s="683"/>
      <c r="K676" s="683"/>
      <c r="L676" s="685"/>
      <c r="M676" s="685"/>
      <c r="N676" s="685"/>
      <c r="O676" s="683"/>
      <c r="P676" s="683"/>
      <c r="Q676" s="686"/>
      <c r="R676" s="686"/>
      <c r="S676" s="686"/>
      <c r="T676" s="686"/>
      <c r="U676" s="686"/>
      <c r="V676" s="686"/>
      <c r="W676" s="686"/>
      <c r="X676" s="686"/>
      <c r="Y676" s="686"/>
      <c r="Z676" s="686"/>
      <c r="AA676" s="686"/>
      <c r="AB676" s="686"/>
      <c r="AC676" s="686"/>
      <c r="AD676" s="686"/>
      <c r="AE676" s="686"/>
      <c r="AF676" s="686"/>
    </row>
    <row r="677" ht="15.75" customHeight="1">
      <c r="A677" s="683"/>
      <c r="B677" s="683"/>
      <c r="C677" s="684"/>
      <c r="D677" s="684"/>
      <c r="E677" s="684"/>
      <c r="F677" s="683"/>
      <c r="G677" s="683"/>
      <c r="H677" s="683"/>
      <c r="I677" s="683"/>
      <c r="J677" s="683"/>
      <c r="K677" s="683"/>
      <c r="L677" s="685"/>
      <c r="M677" s="685"/>
      <c r="N677" s="685"/>
      <c r="O677" s="683"/>
      <c r="P677" s="683"/>
      <c r="Q677" s="686"/>
      <c r="R677" s="686"/>
      <c r="S677" s="686"/>
      <c r="T677" s="686"/>
      <c r="U677" s="686"/>
      <c r="V677" s="686"/>
      <c r="W677" s="686"/>
      <c r="X677" s="686"/>
      <c r="Y677" s="686"/>
      <c r="Z677" s="686"/>
      <c r="AA677" s="686"/>
      <c r="AB677" s="686"/>
      <c r="AC677" s="686"/>
      <c r="AD677" s="686"/>
      <c r="AE677" s="686"/>
      <c r="AF677" s="686"/>
    </row>
    <row r="678" ht="15.75" customHeight="1">
      <c r="A678" s="683"/>
      <c r="B678" s="683"/>
      <c r="C678" s="684"/>
      <c r="D678" s="684"/>
      <c r="E678" s="684"/>
      <c r="F678" s="683"/>
      <c r="G678" s="683"/>
      <c r="H678" s="683"/>
      <c r="I678" s="683"/>
      <c r="J678" s="683"/>
      <c r="K678" s="683"/>
      <c r="L678" s="685"/>
      <c r="M678" s="685"/>
      <c r="N678" s="685"/>
      <c r="O678" s="683"/>
      <c r="P678" s="683"/>
      <c r="Q678" s="686"/>
      <c r="R678" s="686"/>
      <c r="S678" s="686"/>
      <c r="T678" s="686"/>
      <c r="U678" s="686"/>
      <c r="V678" s="686"/>
      <c r="W678" s="686"/>
      <c r="X678" s="686"/>
      <c r="Y678" s="686"/>
      <c r="Z678" s="686"/>
      <c r="AA678" s="686"/>
      <c r="AB678" s="686"/>
      <c r="AC678" s="686"/>
      <c r="AD678" s="686"/>
      <c r="AE678" s="686"/>
      <c r="AF678" s="686"/>
    </row>
    <row r="679" ht="15.75" customHeight="1">
      <c r="A679" s="683"/>
      <c r="B679" s="683"/>
      <c r="C679" s="684"/>
      <c r="D679" s="684"/>
      <c r="E679" s="684"/>
      <c r="F679" s="683"/>
      <c r="G679" s="683"/>
      <c r="H679" s="683"/>
      <c r="I679" s="683"/>
      <c r="J679" s="683"/>
      <c r="K679" s="683"/>
      <c r="L679" s="685"/>
      <c r="M679" s="685"/>
      <c r="N679" s="685"/>
      <c r="O679" s="683"/>
      <c r="P679" s="683"/>
      <c r="Q679" s="686"/>
      <c r="R679" s="686"/>
      <c r="S679" s="686"/>
      <c r="T679" s="686"/>
      <c r="U679" s="686"/>
      <c r="V679" s="686"/>
      <c r="W679" s="686"/>
      <c r="X679" s="686"/>
      <c r="Y679" s="686"/>
      <c r="Z679" s="686"/>
      <c r="AA679" s="686"/>
      <c r="AB679" s="686"/>
      <c r="AC679" s="686"/>
      <c r="AD679" s="686"/>
      <c r="AE679" s="686"/>
      <c r="AF679" s="686"/>
    </row>
    <row r="680" ht="15.75" customHeight="1">
      <c r="A680" s="683"/>
      <c r="B680" s="683"/>
      <c r="C680" s="684"/>
      <c r="D680" s="684"/>
      <c r="E680" s="684"/>
      <c r="F680" s="683"/>
      <c r="G680" s="683"/>
      <c r="H680" s="683"/>
      <c r="I680" s="683"/>
      <c r="J680" s="683"/>
      <c r="K680" s="683"/>
      <c r="L680" s="685"/>
      <c r="M680" s="685"/>
      <c r="N680" s="685"/>
      <c r="O680" s="683"/>
      <c r="P680" s="683"/>
      <c r="Q680" s="686"/>
      <c r="R680" s="686"/>
      <c r="S680" s="686"/>
      <c r="T680" s="686"/>
      <c r="U680" s="686"/>
      <c r="V680" s="686"/>
      <c r="W680" s="686"/>
      <c r="X680" s="686"/>
      <c r="Y680" s="686"/>
      <c r="Z680" s="686"/>
      <c r="AA680" s="686"/>
      <c r="AB680" s="686"/>
      <c r="AC680" s="686"/>
      <c r="AD680" s="686"/>
      <c r="AE680" s="686"/>
      <c r="AF680" s="686"/>
    </row>
    <row r="681" ht="15.75" customHeight="1">
      <c r="A681" s="683"/>
      <c r="B681" s="683"/>
      <c r="C681" s="684"/>
      <c r="D681" s="684"/>
      <c r="E681" s="684"/>
      <c r="F681" s="683"/>
      <c r="G681" s="683"/>
      <c r="H681" s="683"/>
      <c r="I681" s="683"/>
      <c r="J681" s="683"/>
      <c r="K681" s="683"/>
      <c r="L681" s="685"/>
      <c r="M681" s="685"/>
      <c r="N681" s="685"/>
      <c r="O681" s="683"/>
      <c r="P681" s="683"/>
      <c r="Q681" s="686"/>
      <c r="R681" s="686"/>
      <c r="S681" s="686"/>
      <c r="T681" s="686"/>
      <c r="U681" s="686"/>
      <c r="V681" s="686"/>
      <c r="W681" s="686"/>
      <c r="X681" s="686"/>
      <c r="Y681" s="686"/>
      <c r="Z681" s="686"/>
      <c r="AA681" s="686"/>
      <c r="AB681" s="686"/>
      <c r="AC681" s="686"/>
      <c r="AD681" s="686"/>
      <c r="AE681" s="686"/>
      <c r="AF681" s="686"/>
    </row>
    <row r="682" ht="15.75" customHeight="1">
      <c r="A682" s="683"/>
      <c r="B682" s="683"/>
      <c r="C682" s="684"/>
      <c r="D682" s="684"/>
      <c r="E682" s="684"/>
      <c r="F682" s="683"/>
      <c r="G682" s="683"/>
      <c r="H682" s="683"/>
      <c r="I682" s="683"/>
      <c r="J682" s="683"/>
      <c r="K682" s="683"/>
      <c r="L682" s="685"/>
      <c r="M682" s="685"/>
      <c r="N682" s="685"/>
      <c r="O682" s="683"/>
      <c r="P682" s="683"/>
      <c r="Q682" s="686"/>
      <c r="R682" s="686"/>
      <c r="S682" s="686"/>
      <c r="T682" s="686"/>
      <c r="U682" s="686"/>
      <c r="V682" s="686"/>
      <c r="W682" s="686"/>
      <c r="X682" s="686"/>
      <c r="Y682" s="686"/>
      <c r="Z682" s="686"/>
      <c r="AA682" s="686"/>
      <c r="AB682" s="686"/>
      <c r="AC682" s="686"/>
      <c r="AD682" s="686"/>
      <c r="AE682" s="686"/>
      <c r="AF682" s="686"/>
    </row>
    <row r="683" ht="15.75" customHeight="1">
      <c r="A683" s="683"/>
      <c r="B683" s="683"/>
      <c r="C683" s="684"/>
      <c r="D683" s="684"/>
      <c r="E683" s="684"/>
      <c r="F683" s="683"/>
      <c r="G683" s="683"/>
      <c r="H683" s="683"/>
      <c r="I683" s="683"/>
      <c r="J683" s="683"/>
      <c r="K683" s="683"/>
      <c r="L683" s="685"/>
      <c r="M683" s="685"/>
      <c r="N683" s="685"/>
      <c r="O683" s="683"/>
      <c r="P683" s="683"/>
      <c r="Q683" s="686"/>
      <c r="R683" s="686"/>
      <c r="S683" s="686"/>
      <c r="T683" s="686"/>
      <c r="U683" s="686"/>
      <c r="V683" s="686"/>
      <c r="W683" s="686"/>
      <c r="X683" s="686"/>
      <c r="Y683" s="686"/>
      <c r="Z683" s="686"/>
      <c r="AA683" s="686"/>
      <c r="AB683" s="686"/>
      <c r="AC683" s="686"/>
      <c r="AD683" s="686"/>
      <c r="AE683" s="686"/>
      <c r="AF683" s="686"/>
    </row>
    <row r="684" ht="15.75" customHeight="1">
      <c r="A684" s="683"/>
      <c r="B684" s="683"/>
      <c r="C684" s="684"/>
      <c r="D684" s="684"/>
      <c r="E684" s="684"/>
      <c r="F684" s="683"/>
      <c r="G684" s="683"/>
      <c r="H684" s="683"/>
      <c r="I684" s="683"/>
      <c r="J684" s="683"/>
      <c r="K684" s="683"/>
      <c r="L684" s="685"/>
      <c r="M684" s="685"/>
      <c r="N684" s="685"/>
      <c r="O684" s="683"/>
      <c r="P684" s="683"/>
      <c r="Q684" s="686"/>
      <c r="R684" s="686"/>
      <c r="S684" s="686"/>
      <c r="T684" s="686"/>
      <c r="U684" s="686"/>
      <c r="V684" s="686"/>
      <c r="W684" s="686"/>
      <c r="X684" s="686"/>
      <c r="Y684" s="686"/>
      <c r="Z684" s="686"/>
      <c r="AA684" s="686"/>
      <c r="AB684" s="686"/>
      <c r="AC684" s="686"/>
      <c r="AD684" s="686"/>
      <c r="AE684" s="686"/>
      <c r="AF684" s="686"/>
    </row>
    <row r="685" ht="15.75" customHeight="1">
      <c r="A685" s="683"/>
      <c r="B685" s="683"/>
      <c r="C685" s="684"/>
      <c r="D685" s="684"/>
      <c r="E685" s="684"/>
      <c r="F685" s="683"/>
      <c r="G685" s="683"/>
      <c r="H685" s="683"/>
      <c r="I685" s="683"/>
      <c r="J685" s="683"/>
      <c r="K685" s="683"/>
      <c r="L685" s="685"/>
      <c r="M685" s="685"/>
      <c r="N685" s="685"/>
      <c r="O685" s="683"/>
      <c r="P685" s="683"/>
      <c r="Q685" s="686"/>
      <c r="R685" s="686"/>
      <c r="S685" s="686"/>
      <c r="T685" s="686"/>
      <c r="U685" s="686"/>
      <c r="V685" s="686"/>
      <c r="W685" s="686"/>
      <c r="X685" s="686"/>
      <c r="Y685" s="686"/>
      <c r="Z685" s="686"/>
      <c r="AA685" s="686"/>
      <c r="AB685" s="686"/>
      <c r="AC685" s="686"/>
      <c r="AD685" s="686"/>
      <c r="AE685" s="686"/>
      <c r="AF685" s="686"/>
    </row>
    <row r="686" ht="15.75" customHeight="1">
      <c r="A686" s="683"/>
      <c r="B686" s="683"/>
      <c r="C686" s="684"/>
      <c r="D686" s="684"/>
      <c r="E686" s="684"/>
      <c r="F686" s="683"/>
      <c r="G686" s="683"/>
      <c r="H686" s="683"/>
      <c r="I686" s="683"/>
      <c r="J686" s="683"/>
      <c r="K686" s="683"/>
      <c r="L686" s="685"/>
      <c r="M686" s="685"/>
      <c r="N686" s="685"/>
      <c r="O686" s="683"/>
      <c r="P686" s="683"/>
      <c r="Q686" s="686"/>
      <c r="R686" s="686"/>
      <c r="S686" s="686"/>
      <c r="T686" s="686"/>
      <c r="U686" s="686"/>
      <c r="V686" s="686"/>
      <c r="W686" s="686"/>
      <c r="X686" s="686"/>
      <c r="Y686" s="686"/>
      <c r="Z686" s="686"/>
      <c r="AA686" s="686"/>
      <c r="AB686" s="686"/>
      <c r="AC686" s="686"/>
      <c r="AD686" s="686"/>
      <c r="AE686" s="686"/>
      <c r="AF686" s="686"/>
    </row>
    <row r="687" ht="15.75" customHeight="1">
      <c r="A687" s="683"/>
      <c r="B687" s="683"/>
      <c r="C687" s="684"/>
      <c r="D687" s="684"/>
      <c r="E687" s="684"/>
      <c r="F687" s="683"/>
      <c r="G687" s="683"/>
      <c r="H687" s="683"/>
      <c r="I687" s="683"/>
      <c r="J687" s="683"/>
      <c r="K687" s="683"/>
      <c r="L687" s="685"/>
      <c r="M687" s="685"/>
      <c r="N687" s="685"/>
      <c r="O687" s="683"/>
      <c r="P687" s="683"/>
      <c r="Q687" s="686"/>
      <c r="R687" s="686"/>
      <c r="S687" s="686"/>
      <c r="T687" s="686"/>
      <c r="U687" s="686"/>
      <c r="V687" s="686"/>
      <c r="W687" s="686"/>
      <c r="X687" s="686"/>
      <c r="Y687" s="686"/>
      <c r="Z687" s="686"/>
      <c r="AA687" s="686"/>
      <c r="AB687" s="686"/>
      <c r="AC687" s="686"/>
      <c r="AD687" s="686"/>
      <c r="AE687" s="686"/>
      <c r="AF687" s="686"/>
    </row>
    <row r="688" ht="15.75" customHeight="1">
      <c r="A688" s="683"/>
      <c r="B688" s="683"/>
      <c r="C688" s="684"/>
      <c r="D688" s="684"/>
      <c r="E688" s="684"/>
      <c r="F688" s="683"/>
      <c r="G688" s="683"/>
      <c r="H688" s="683"/>
      <c r="I688" s="683"/>
      <c r="J688" s="683"/>
      <c r="K688" s="683"/>
      <c r="L688" s="685"/>
      <c r="M688" s="685"/>
      <c r="N688" s="685"/>
      <c r="O688" s="683"/>
      <c r="P688" s="683"/>
      <c r="Q688" s="686"/>
      <c r="R688" s="686"/>
      <c r="S688" s="686"/>
      <c r="T688" s="686"/>
      <c r="U688" s="686"/>
      <c r="V688" s="686"/>
      <c r="W688" s="686"/>
      <c r="X688" s="686"/>
      <c r="Y688" s="686"/>
      <c r="Z688" s="686"/>
      <c r="AA688" s="686"/>
      <c r="AB688" s="686"/>
      <c r="AC688" s="686"/>
      <c r="AD688" s="686"/>
      <c r="AE688" s="686"/>
      <c r="AF688" s="686"/>
    </row>
    <row r="689" ht="15.75" customHeight="1">
      <c r="A689" s="683"/>
      <c r="B689" s="683"/>
      <c r="C689" s="684"/>
      <c r="D689" s="684"/>
      <c r="E689" s="684"/>
      <c r="F689" s="683"/>
      <c r="G689" s="683"/>
      <c r="H689" s="683"/>
      <c r="I689" s="683"/>
      <c r="J689" s="683"/>
      <c r="K689" s="683"/>
      <c r="L689" s="685"/>
      <c r="M689" s="685"/>
      <c r="N689" s="685"/>
      <c r="O689" s="683"/>
      <c r="P689" s="683"/>
      <c r="Q689" s="686"/>
      <c r="R689" s="686"/>
      <c r="S689" s="686"/>
      <c r="T689" s="686"/>
      <c r="U689" s="686"/>
      <c r="V689" s="686"/>
      <c r="W689" s="686"/>
      <c r="X689" s="686"/>
      <c r="Y689" s="686"/>
      <c r="Z689" s="686"/>
      <c r="AA689" s="686"/>
      <c r="AB689" s="686"/>
      <c r="AC689" s="686"/>
      <c r="AD689" s="686"/>
      <c r="AE689" s="686"/>
      <c r="AF689" s="686"/>
    </row>
    <row r="690" ht="15.75" customHeight="1">
      <c r="A690" s="683"/>
      <c r="B690" s="683"/>
      <c r="C690" s="684"/>
      <c r="D690" s="684"/>
      <c r="E690" s="684"/>
      <c r="F690" s="683"/>
      <c r="G690" s="683"/>
      <c r="H690" s="683"/>
      <c r="I690" s="683"/>
      <c r="J690" s="683"/>
      <c r="K690" s="683"/>
      <c r="L690" s="685"/>
      <c r="M690" s="685"/>
      <c r="N690" s="685"/>
      <c r="O690" s="683"/>
      <c r="P690" s="683"/>
      <c r="Q690" s="686"/>
      <c r="R690" s="686"/>
      <c r="S690" s="686"/>
      <c r="T690" s="686"/>
      <c r="U690" s="686"/>
      <c r="V690" s="686"/>
      <c r="W690" s="686"/>
      <c r="X690" s="686"/>
      <c r="Y690" s="686"/>
      <c r="Z690" s="686"/>
      <c r="AA690" s="686"/>
      <c r="AB690" s="686"/>
      <c r="AC690" s="686"/>
      <c r="AD690" s="686"/>
      <c r="AE690" s="686"/>
      <c r="AF690" s="686"/>
    </row>
    <row r="691" ht="15.75" customHeight="1">
      <c r="A691" s="683"/>
      <c r="B691" s="683"/>
      <c r="C691" s="684"/>
      <c r="D691" s="684"/>
      <c r="E691" s="684"/>
      <c r="F691" s="683"/>
      <c r="G691" s="683"/>
      <c r="H691" s="683"/>
      <c r="I691" s="683"/>
      <c r="J691" s="683"/>
      <c r="K691" s="683"/>
      <c r="L691" s="685"/>
      <c r="M691" s="685"/>
      <c r="N691" s="685"/>
      <c r="O691" s="683"/>
      <c r="P691" s="683"/>
      <c r="Q691" s="686"/>
      <c r="R691" s="686"/>
      <c r="S691" s="686"/>
      <c r="T691" s="686"/>
      <c r="U691" s="686"/>
      <c r="V691" s="686"/>
      <c r="W691" s="686"/>
      <c r="X691" s="686"/>
      <c r="Y691" s="686"/>
      <c r="Z691" s="686"/>
      <c r="AA691" s="686"/>
      <c r="AB691" s="686"/>
      <c r="AC691" s="686"/>
      <c r="AD691" s="686"/>
      <c r="AE691" s="686"/>
      <c r="AF691" s="686"/>
    </row>
    <row r="692" ht="15.75" customHeight="1">
      <c r="A692" s="683"/>
      <c r="B692" s="683"/>
      <c r="C692" s="684"/>
      <c r="D692" s="684"/>
      <c r="E692" s="684"/>
      <c r="F692" s="683"/>
      <c r="G692" s="683"/>
      <c r="H692" s="683"/>
      <c r="I692" s="683"/>
      <c r="J692" s="683"/>
      <c r="K692" s="683"/>
      <c r="L692" s="685"/>
      <c r="M692" s="685"/>
      <c r="N692" s="685"/>
      <c r="O692" s="683"/>
      <c r="P692" s="683"/>
      <c r="Q692" s="686"/>
      <c r="R692" s="686"/>
      <c r="S692" s="686"/>
      <c r="T692" s="686"/>
      <c r="U692" s="686"/>
      <c r="V692" s="686"/>
      <c r="W692" s="686"/>
      <c r="X692" s="686"/>
      <c r="Y692" s="686"/>
      <c r="Z692" s="686"/>
      <c r="AA692" s="686"/>
      <c r="AB692" s="686"/>
      <c r="AC692" s="686"/>
      <c r="AD692" s="686"/>
      <c r="AE692" s="686"/>
      <c r="AF692" s="686"/>
    </row>
    <row r="693" ht="15.75" customHeight="1">
      <c r="A693" s="683"/>
      <c r="B693" s="683"/>
      <c r="C693" s="684"/>
      <c r="D693" s="684"/>
      <c r="E693" s="684"/>
      <c r="F693" s="683"/>
      <c r="G693" s="683"/>
      <c r="H693" s="683"/>
      <c r="I693" s="683"/>
      <c r="J693" s="683"/>
      <c r="K693" s="683"/>
      <c r="L693" s="685"/>
      <c r="M693" s="685"/>
      <c r="N693" s="685"/>
      <c r="O693" s="683"/>
      <c r="P693" s="683"/>
      <c r="Q693" s="686"/>
      <c r="R693" s="686"/>
      <c r="S693" s="686"/>
      <c r="T693" s="686"/>
      <c r="U693" s="686"/>
      <c r="V693" s="686"/>
      <c r="W693" s="686"/>
      <c r="X693" s="686"/>
      <c r="Y693" s="686"/>
      <c r="Z693" s="686"/>
      <c r="AA693" s="686"/>
      <c r="AB693" s="686"/>
      <c r="AC693" s="686"/>
      <c r="AD693" s="686"/>
      <c r="AE693" s="686"/>
      <c r="AF693" s="686"/>
    </row>
    <row r="694" ht="15.75" customHeight="1">
      <c r="A694" s="683"/>
      <c r="B694" s="683"/>
      <c r="C694" s="684"/>
      <c r="D694" s="684"/>
      <c r="E694" s="684"/>
      <c r="F694" s="683"/>
      <c r="G694" s="683"/>
      <c r="H694" s="683"/>
      <c r="I694" s="683"/>
      <c r="J694" s="683"/>
      <c r="K694" s="683"/>
      <c r="L694" s="685"/>
      <c r="M694" s="685"/>
      <c r="N694" s="685"/>
      <c r="O694" s="683"/>
      <c r="P694" s="683"/>
      <c r="Q694" s="686"/>
      <c r="R694" s="686"/>
      <c r="S694" s="686"/>
      <c r="T694" s="686"/>
      <c r="U694" s="686"/>
      <c r="V694" s="686"/>
      <c r="W694" s="686"/>
      <c r="X694" s="686"/>
      <c r="Y694" s="686"/>
      <c r="Z694" s="686"/>
      <c r="AA694" s="686"/>
      <c r="AB694" s="686"/>
      <c r="AC694" s="686"/>
      <c r="AD694" s="686"/>
      <c r="AE694" s="686"/>
      <c r="AF694" s="686"/>
    </row>
    <row r="695" ht="15.75" customHeight="1">
      <c r="A695" s="683"/>
      <c r="B695" s="683"/>
      <c r="C695" s="684"/>
      <c r="D695" s="684"/>
      <c r="E695" s="684"/>
      <c r="F695" s="683"/>
      <c r="G695" s="683"/>
      <c r="H695" s="683"/>
      <c r="I695" s="683"/>
      <c r="J695" s="683"/>
      <c r="K695" s="683"/>
      <c r="L695" s="685"/>
      <c r="M695" s="685"/>
      <c r="N695" s="685"/>
      <c r="O695" s="683"/>
      <c r="P695" s="683"/>
      <c r="Q695" s="686"/>
      <c r="R695" s="686"/>
      <c r="S695" s="686"/>
      <c r="T695" s="686"/>
      <c r="U695" s="686"/>
      <c r="V695" s="686"/>
      <c r="W695" s="686"/>
      <c r="X695" s="686"/>
      <c r="Y695" s="686"/>
      <c r="Z695" s="686"/>
      <c r="AA695" s="686"/>
      <c r="AB695" s="686"/>
      <c r="AC695" s="686"/>
      <c r="AD695" s="686"/>
      <c r="AE695" s="686"/>
      <c r="AF695" s="686"/>
    </row>
    <row r="696" ht="15.75" customHeight="1">
      <c r="A696" s="683"/>
      <c r="B696" s="683"/>
      <c r="C696" s="684"/>
      <c r="D696" s="684"/>
      <c r="E696" s="684"/>
      <c r="F696" s="683"/>
      <c r="G696" s="683"/>
      <c r="H696" s="683"/>
      <c r="I696" s="683"/>
      <c r="J696" s="683"/>
      <c r="K696" s="683"/>
      <c r="L696" s="685"/>
      <c r="M696" s="685"/>
      <c r="N696" s="685"/>
      <c r="O696" s="683"/>
      <c r="P696" s="683"/>
      <c r="Q696" s="686"/>
      <c r="R696" s="686"/>
      <c r="S696" s="686"/>
      <c r="T696" s="686"/>
      <c r="U696" s="686"/>
      <c r="V696" s="686"/>
      <c r="W696" s="686"/>
      <c r="X696" s="686"/>
      <c r="Y696" s="686"/>
      <c r="Z696" s="686"/>
      <c r="AA696" s="686"/>
      <c r="AB696" s="686"/>
      <c r="AC696" s="686"/>
      <c r="AD696" s="686"/>
      <c r="AE696" s="686"/>
      <c r="AF696" s="686"/>
    </row>
    <row r="697" ht="15.75" customHeight="1">
      <c r="A697" s="683"/>
      <c r="B697" s="683"/>
      <c r="C697" s="684"/>
      <c r="D697" s="684"/>
      <c r="E697" s="684"/>
      <c r="F697" s="683"/>
      <c r="G697" s="683"/>
      <c r="H697" s="683"/>
      <c r="I697" s="683"/>
      <c r="J697" s="683"/>
      <c r="K697" s="683"/>
      <c r="L697" s="685"/>
      <c r="M697" s="685"/>
      <c r="N697" s="685"/>
      <c r="O697" s="683"/>
      <c r="P697" s="683"/>
      <c r="Q697" s="686"/>
      <c r="R697" s="686"/>
      <c r="S697" s="686"/>
      <c r="T697" s="686"/>
      <c r="U697" s="686"/>
      <c r="V697" s="686"/>
      <c r="W697" s="686"/>
      <c r="X697" s="686"/>
      <c r="Y697" s="686"/>
      <c r="Z697" s="686"/>
      <c r="AA697" s="686"/>
      <c r="AB697" s="686"/>
      <c r="AC697" s="686"/>
      <c r="AD697" s="686"/>
      <c r="AE697" s="686"/>
      <c r="AF697" s="686"/>
    </row>
    <row r="698" ht="15.75" customHeight="1">
      <c r="A698" s="683"/>
      <c r="B698" s="683"/>
      <c r="C698" s="684"/>
      <c r="D698" s="684"/>
      <c r="E698" s="684"/>
      <c r="F698" s="683"/>
      <c r="G698" s="683"/>
      <c r="H698" s="683"/>
      <c r="I698" s="683"/>
      <c r="J698" s="683"/>
      <c r="K698" s="683"/>
      <c r="L698" s="685"/>
      <c r="M698" s="685"/>
      <c r="N698" s="685"/>
      <c r="O698" s="683"/>
      <c r="P698" s="683"/>
      <c r="Q698" s="686"/>
      <c r="R698" s="686"/>
      <c r="S698" s="686"/>
      <c r="T698" s="686"/>
      <c r="U698" s="686"/>
      <c r="V698" s="686"/>
      <c r="W698" s="686"/>
      <c r="X698" s="686"/>
      <c r="Y698" s="686"/>
      <c r="Z698" s="686"/>
      <c r="AA698" s="686"/>
      <c r="AB698" s="686"/>
      <c r="AC698" s="686"/>
      <c r="AD698" s="686"/>
      <c r="AE698" s="686"/>
      <c r="AF698" s="686"/>
    </row>
    <row r="699" ht="15.75" customHeight="1">
      <c r="A699" s="683"/>
      <c r="B699" s="683"/>
      <c r="C699" s="684"/>
      <c r="D699" s="684"/>
      <c r="E699" s="684"/>
      <c r="F699" s="683"/>
      <c r="G699" s="683"/>
      <c r="H699" s="683"/>
      <c r="I699" s="683"/>
      <c r="J699" s="683"/>
      <c r="K699" s="683"/>
      <c r="L699" s="685"/>
      <c r="M699" s="685"/>
      <c r="N699" s="685"/>
      <c r="O699" s="683"/>
      <c r="P699" s="683"/>
      <c r="Q699" s="686"/>
      <c r="R699" s="686"/>
      <c r="S699" s="686"/>
      <c r="T699" s="686"/>
      <c r="U699" s="686"/>
      <c r="V699" s="686"/>
      <c r="W699" s="686"/>
      <c r="X699" s="686"/>
      <c r="Y699" s="686"/>
      <c r="Z699" s="686"/>
      <c r="AA699" s="686"/>
      <c r="AB699" s="686"/>
      <c r="AC699" s="686"/>
      <c r="AD699" s="686"/>
      <c r="AE699" s="686"/>
      <c r="AF699" s="686"/>
    </row>
    <row r="700" ht="15.75" customHeight="1">
      <c r="A700" s="683"/>
      <c r="B700" s="683"/>
      <c r="C700" s="684"/>
      <c r="D700" s="684"/>
      <c r="E700" s="684"/>
      <c r="F700" s="683"/>
      <c r="G700" s="683"/>
      <c r="H700" s="683"/>
      <c r="I700" s="683"/>
      <c r="J700" s="683"/>
      <c r="K700" s="683"/>
      <c r="L700" s="685"/>
      <c r="M700" s="685"/>
      <c r="N700" s="685"/>
      <c r="O700" s="683"/>
      <c r="P700" s="683"/>
      <c r="Q700" s="686"/>
      <c r="R700" s="686"/>
      <c r="S700" s="686"/>
      <c r="T700" s="686"/>
      <c r="U700" s="686"/>
      <c r="V700" s="686"/>
      <c r="W700" s="686"/>
      <c r="X700" s="686"/>
      <c r="Y700" s="686"/>
      <c r="Z700" s="686"/>
      <c r="AA700" s="686"/>
      <c r="AB700" s="686"/>
      <c r="AC700" s="686"/>
      <c r="AD700" s="686"/>
      <c r="AE700" s="686"/>
      <c r="AF700" s="686"/>
    </row>
    <row r="701" ht="15.75" customHeight="1">
      <c r="A701" s="683"/>
      <c r="B701" s="683"/>
      <c r="C701" s="684"/>
      <c r="D701" s="684"/>
      <c r="E701" s="684"/>
      <c r="F701" s="683"/>
      <c r="G701" s="683"/>
      <c r="H701" s="683"/>
      <c r="I701" s="683"/>
      <c r="J701" s="683"/>
      <c r="K701" s="683"/>
      <c r="L701" s="685"/>
      <c r="M701" s="685"/>
      <c r="N701" s="685"/>
      <c r="O701" s="683"/>
      <c r="P701" s="683"/>
      <c r="Q701" s="686"/>
      <c r="R701" s="686"/>
      <c r="S701" s="686"/>
      <c r="T701" s="686"/>
      <c r="U701" s="686"/>
      <c r="V701" s="686"/>
      <c r="W701" s="686"/>
      <c r="X701" s="686"/>
      <c r="Y701" s="686"/>
      <c r="Z701" s="686"/>
      <c r="AA701" s="686"/>
      <c r="AB701" s="686"/>
      <c r="AC701" s="686"/>
      <c r="AD701" s="686"/>
      <c r="AE701" s="686"/>
      <c r="AF701" s="686"/>
    </row>
    <row r="702" ht="15.75" customHeight="1">
      <c r="A702" s="683"/>
      <c r="B702" s="683"/>
      <c r="C702" s="684"/>
      <c r="D702" s="684"/>
      <c r="E702" s="684"/>
      <c r="F702" s="683"/>
      <c r="G702" s="683"/>
      <c r="H702" s="683"/>
      <c r="I702" s="683"/>
      <c r="J702" s="683"/>
      <c r="K702" s="683"/>
      <c r="L702" s="685"/>
      <c r="M702" s="685"/>
      <c r="N702" s="685"/>
      <c r="O702" s="683"/>
      <c r="P702" s="683"/>
      <c r="Q702" s="686"/>
      <c r="R702" s="686"/>
      <c r="S702" s="686"/>
      <c r="T702" s="686"/>
      <c r="U702" s="686"/>
      <c r="V702" s="686"/>
      <c r="W702" s="686"/>
      <c r="X702" s="686"/>
      <c r="Y702" s="686"/>
      <c r="Z702" s="686"/>
      <c r="AA702" s="686"/>
      <c r="AB702" s="686"/>
      <c r="AC702" s="686"/>
      <c r="AD702" s="686"/>
      <c r="AE702" s="686"/>
      <c r="AF702" s="686"/>
    </row>
    <row r="703" ht="15.75" customHeight="1">
      <c r="A703" s="683"/>
      <c r="B703" s="683"/>
      <c r="C703" s="684"/>
      <c r="D703" s="684"/>
      <c r="E703" s="684"/>
      <c r="F703" s="683"/>
      <c r="G703" s="683"/>
      <c r="H703" s="683"/>
      <c r="I703" s="683"/>
      <c r="J703" s="683"/>
      <c r="K703" s="683"/>
      <c r="L703" s="685"/>
      <c r="M703" s="685"/>
      <c r="N703" s="685"/>
      <c r="O703" s="683"/>
      <c r="P703" s="683"/>
      <c r="Q703" s="686"/>
      <c r="R703" s="686"/>
      <c r="S703" s="686"/>
      <c r="T703" s="686"/>
      <c r="U703" s="686"/>
      <c r="V703" s="686"/>
      <c r="W703" s="686"/>
      <c r="X703" s="686"/>
      <c r="Y703" s="686"/>
      <c r="Z703" s="686"/>
      <c r="AA703" s="686"/>
      <c r="AB703" s="686"/>
      <c r="AC703" s="686"/>
      <c r="AD703" s="686"/>
      <c r="AE703" s="686"/>
      <c r="AF703" s="686"/>
    </row>
    <row r="704" ht="15.75" customHeight="1">
      <c r="A704" s="683"/>
      <c r="B704" s="683"/>
      <c r="C704" s="684"/>
      <c r="D704" s="684"/>
      <c r="E704" s="684"/>
      <c r="F704" s="683"/>
      <c r="G704" s="683"/>
      <c r="H704" s="683"/>
      <c r="I704" s="683"/>
      <c r="J704" s="683"/>
      <c r="K704" s="683"/>
      <c r="L704" s="685"/>
      <c r="M704" s="685"/>
      <c r="N704" s="685"/>
      <c r="O704" s="683"/>
      <c r="P704" s="683"/>
      <c r="Q704" s="686"/>
      <c r="R704" s="686"/>
      <c r="S704" s="686"/>
      <c r="T704" s="686"/>
      <c r="U704" s="686"/>
      <c r="V704" s="686"/>
      <c r="W704" s="686"/>
      <c r="X704" s="686"/>
      <c r="Y704" s="686"/>
      <c r="Z704" s="686"/>
      <c r="AA704" s="686"/>
      <c r="AB704" s="686"/>
      <c r="AC704" s="686"/>
      <c r="AD704" s="686"/>
      <c r="AE704" s="686"/>
      <c r="AF704" s="686"/>
    </row>
    <row r="705" ht="15.75" customHeight="1">
      <c r="A705" s="683"/>
      <c r="B705" s="683"/>
      <c r="C705" s="684"/>
      <c r="D705" s="684"/>
      <c r="E705" s="684"/>
      <c r="F705" s="683"/>
      <c r="G705" s="683"/>
      <c r="H705" s="683"/>
      <c r="I705" s="683"/>
      <c r="J705" s="683"/>
      <c r="K705" s="683"/>
      <c r="L705" s="685"/>
      <c r="M705" s="685"/>
      <c r="N705" s="685"/>
      <c r="O705" s="683"/>
      <c r="P705" s="683"/>
      <c r="Q705" s="686"/>
      <c r="R705" s="686"/>
      <c r="S705" s="686"/>
      <c r="T705" s="686"/>
      <c r="U705" s="686"/>
      <c r="V705" s="686"/>
      <c r="W705" s="686"/>
      <c r="X705" s="686"/>
      <c r="Y705" s="686"/>
      <c r="Z705" s="686"/>
      <c r="AA705" s="686"/>
      <c r="AB705" s="686"/>
      <c r="AC705" s="686"/>
      <c r="AD705" s="686"/>
      <c r="AE705" s="686"/>
      <c r="AF705" s="686"/>
    </row>
    <row r="706" ht="15.75" customHeight="1">
      <c r="A706" s="683"/>
      <c r="B706" s="683"/>
      <c r="C706" s="684"/>
      <c r="D706" s="684"/>
      <c r="E706" s="684"/>
      <c r="F706" s="683"/>
      <c r="G706" s="683"/>
      <c r="H706" s="683"/>
      <c r="I706" s="683"/>
      <c r="J706" s="683"/>
      <c r="K706" s="683"/>
      <c r="L706" s="685"/>
      <c r="M706" s="685"/>
      <c r="N706" s="685"/>
      <c r="O706" s="683"/>
      <c r="P706" s="683"/>
      <c r="Q706" s="686"/>
      <c r="R706" s="686"/>
      <c r="S706" s="686"/>
      <c r="T706" s="686"/>
      <c r="U706" s="686"/>
      <c r="V706" s="686"/>
      <c r="W706" s="686"/>
      <c r="X706" s="686"/>
      <c r="Y706" s="686"/>
      <c r="Z706" s="686"/>
      <c r="AA706" s="686"/>
      <c r="AB706" s="686"/>
      <c r="AC706" s="686"/>
      <c r="AD706" s="686"/>
      <c r="AE706" s="686"/>
      <c r="AF706" s="686"/>
    </row>
    <row r="707" ht="15.75" customHeight="1">
      <c r="A707" s="683"/>
      <c r="B707" s="683"/>
      <c r="C707" s="684"/>
      <c r="D707" s="684"/>
      <c r="E707" s="684"/>
      <c r="F707" s="683"/>
      <c r="G707" s="683"/>
      <c r="H707" s="683"/>
      <c r="I707" s="683"/>
      <c r="J707" s="683"/>
      <c r="K707" s="683"/>
      <c r="L707" s="685"/>
      <c r="M707" s="685"/>
      <c r="N707" s="685"/>
      <c r="O707" s="683"/>
      <c r="P707" s="683"/>
      <c r="Q707" s="686"/>
      <c r="R707" s="686"/>
      <c r="S707" s="686"/>
      <c r="T707" s="686"/>
      <c r="U707" s="686"/>
      <c r="V707" s="686"/>
      <c r="W707" s="686"/>
      <c r="X707" s="686"/>
      <c r="Y707" s="686"/>
      <c r="Z707" s="686"/>
      <c r="AA707" s="686"/>
      <c r="AB707" s="686"/>
      <c r="AC707" s="686"/>
      <c r="AD707" s="686"/>
      <c r="AE707" s="686"/>
      <c r="AF707" s="686"/>
    </row>
    <row r="708" ht="15.75" customHeight="1">
      <c r="A708" s="683"/>
      <c r="B708" s="683"/>
      <c r="C708" s="684"/>
      <c r="D708" s="684"/>
      <c r="E708" s="684"/>
      <c r="F708" s="683"/>
      <c r="G708" s="683"/>
      <c r="H708" s="683"/>
      <c r="I708" s="683"/>
      <c r="J708" s="683"/>
      <c r="K708" s="683"/>
      <c r="L708" s="685"/>
      <c r="M708" s="685"/>
      <c r="N708" s="685"/>
      <c r="O708" s="683"/>
      <c r="P708" s="683"/>
      <c r="Q708" s="686"/>
      <c r="R708" s="686"/>
      <c r="S708" s="686"/>
      <c r="T708" s="686"/>
      <c r="U708" s="686"/>
      <c r="V708" s="686"/>
      <c r="W708" s="686"/>
      <c r="X708" s="686"/>
      <c r="Y708" s="686"/>
      <c r="Z708" s="686"/>
      <c r="AA708" s="686"/>
      <c r="AB708" s="686"/>
      <c r="AC708" s="686"/>
      <c r="AD708" s="686"/>
      <c r="AE708" s="686"/>
      <c r="AF708" s="686"/>
    </row>
    <row r="709" ht="15.75" customHeight="1">
      <c r="A709" s="683"/>
      <c r="B709" s="683"/>
      <c r="C709" s="684"/>
      <c r="D709" s="684"/>
      <c r="E709" s="684"/>
      <c r="F709" s="683"/>
      <c r="G709" s="683"/>
      <c r="H709" s="683"/>
      <c r="I709" s="683"/>
      <c r="J709" s="683"/>
      <c r="K709" s="683"/>
      <c r="L709" s="685"/>
      <c r="M709" s="685"/>
      <c r="N709" s="685"/>
      <c r="O709" s="683"/>
      <c r="P709" s="683"/>
      <c r="Q709" s="686"/>
      <c r="R709" s="686"/>
      <c r="S709" s="686"/>
      <c r="T709" s="686"/>
      <c r="U709" s="686"/>
      <c r="V709" s="686"/>
      <c r="W709" s="686"/>
      <c r="X709" s="686"/>
      <c r="Y709" s="686"/>
      <c r="Z709" s="686"/>
      <c r="AA709" s="686"/>
      <c r="AB709" s="686"/>
      <c r="AC709" s="686"/>
      <c r="AD709" s="686"/>
      <c r="AE709" s="686"/>
      <c r="AF709" s="686"/>
    </row>
    <row r="710" ht="15.75" customHeight="1">
      <c r="A710" s="683"/>
      <c r="B710" s="683"/>
      <c r="C710" s="684"/>
      <c r="D710" s="684"/>
      <c r="E710" s="684"/>
      <c r="F710" s="683"/>
      <c r="G710" s="683"/>
      <c r="H710" s="683"/>
      <c r="I710" s="683"/>
      <c r="J710" s="683"/>
      <c r="K710" s="683"/>
      <c r="L710" s="685"/>
      <c r="M710" s="685"/>
      <c r="N710" s="685"/>
      <c r="O710" s="683"/>
      <c r="P710" s="683"/>
      <c r="Q710" s="686"/>
      <c r="R710" s="686"/>
      <c r="S710" s="686"/>
      <c r="T710" s="686"/>
      <c r="U710" s="686"/>
      <c r="V710" s="686"/>
      <c r="W710" s="686"/>
      <c r="X710" s="686"/>
      <c r="Y710" s="686"/>
      <c r="Z710" s="686"/>
      <c r="AA710" s="686"/>
      <c r="AB710" s="686"/>
      <c r="AC710" s="686"/>
      <c r="AD710" s="686"/>
      <c r="AE710" s="686"/>
      <c r="AF710" s="686"/>
    </row>
    <row r="711" ht="15.75" customHeight="1">
      <c r="A711" s="683"/>
      <c r="B711" s="683"/>
      <c r="C711" s="684"/>
      <c r="D711" s="684"/>
      <c r="E711" s="684"/>
      <c r="F711" s="683"/>
      <c r="G711" s="683"/>
      <c r="H711" s="683"/>
      <c r="I711" s="683"/>
      <c r="J711" s="683"/>
      <c r="K711" s="683"/>
      <c r="L711" s="685"/>
      <c r="M711" s="685"/>
      <c r="N711" s="685"/>
      <c r="O711" s="683"/>
      <c r="P711" s="683"/>
      <c r="Q711" s="686"/>
      <c r="R711" s="686"/>
      <c r="S711" s="686"/>
      <c r="T711" s="686"/>
      <c r="U711" s="686"/>
      <c r="V711" s="686"/>
      <c r="W711" s="686"/>
      <c r="X711" s="686"/>
      <c r="Y711" s="686"/>
      <c r="Z711" s="686"/>
      <c r="AA711" s="686"/>
      <c r="AB711" s="686"/>
      <c r="AC711" s="686"/>
      <c r="AD711" s="686"/>
      <c r="AE711" s="686"/>
      <c r="AF711" s="686"/>
    </row>
    <row r="712" ht="15.75" customHeight="1">
      <c r="A712" s="683"/>
      <c r="B712" s="683"/>
      <c r="C712" s="684"/>
      <c r="D712" s="684"/>
      <c r="E712" s="684"/>
      <c r="F712" s="683"/>
      <c r="G712" s="683"/>
      <c r="H712" s="683"/>
      <c r="I712" s="683"/>
      <c r="J712" s="683"/>
      <c r="K712" s="683"/>
      <c r="L712" s="685"/>
      <c r="M712" s="685"/>
      <c r="N712" s="685"/>
      <c r="O712" s="683"/>
      <c r="P712" s="683"/>
      <c r="Q712" s="686"/>
      <c r="R712" s="686"/>
      <c r="S712" s="686"/>
      <c r="T712" s="686"/>
      <c r="U712" s="686"/>
      <c r="V712" s="686"/>
      <c r="W712" s="686"/>
      <c r="X712" s="686"/>
      <c r="Y712" s="686"/>
      <c r="Z712" s="686"/>
      <c r="AA712" s="686"/>
      <c r="AB712" s="686"/>
      <c r="AC712" s="686"/>
      <c r="AD712" s="686"/>
      <c r="AE712" s="686"/>
      <c r="AF712" s="686"/>
    </row>
    <row r="713" ht="15.75" customHeight="1">
      <c r="A713" s="683"/>
      <c r="B713" s="683"/>
      <c r="C713" s="684"/>
      <c r="D713" s="684"/>
      <c r="E713" s="684"/>
      <c r="F713" s="683"/>
      <c r="G713" s="683"/>
      <c r="H713" s="683"/>
      <c r="I713" s="683"/>
      <c r="J713" s="683"/>
      <c r="K713" s="683"/>
      <c r="L713" s="685"/>
      <c r="M713" s="685"/>
      <c r="N713" s="685"/>
      <c r="O713" s="683"/>
      <c r="P713" s="683"/>
      <c r="Q713" s="686"/>
      <c r="R713" s="686"/>
      <c r="S713" s="686"/>
      <c r="T713" s="686"/>
      <c r="U713" s="686"/>
      <c r="V713" s="686"/>
      <c r="W713" s="686"/>
      <c r="X713" s="686"/>
      <c r="Y713" s="686"/>
      <c r="Z713" s="686"/>
      <c r="AA713" s="686"/>
      <c r="AB713" s="686"/>
      <c r="AC713" s="686"/>
      <c r="AD713" s="686"/>
      <c r="AE713" s="686"/>
      <c r="AF713" s="686"/>
    </row>
    <row r="714" ht="15.75" customHeight="1">
      <c r="A714" s="683"/>
      <c r="B714" s="683"/>
      <c r="C714" s="684"/>
      <c r="D714" s="684"/>
      <c r="E714" s="684"/>
      <c r="F714" s="683"/>
      <c r="G714" s="683"/>
      <c r="H714" s="683"/>
      <c r="I714" s="683"/>
      <c r="J714" s="683"/>
      <c r="K714" s="683"/>
      <c r="L714" s="685"/>
      <c r="M714" s="685"/>
      <c r="N714" s="685"/>
      <c r="O714" s="683"/>
      <c r="P714" s="683"/>
      <c r="Q714" s="686"/>
      <c r="R714" s="686"/>
      <c r="S714" s="686"/>
      <c r="T714" s="686"/>
      <c r="U714" s="686"/>
      <c r="V714" s="686"/>
      <c r="W714" s="686"/>
      <c r="X714" s="686"/>
      <c r="Y714" s="686"/>
      <c r="Z714" s="686"/>
      <c r="AA714" s="686"/>
      <c r="AB714" s="686"/>
      <c r="AC714" s="686"/>
      <c r="AD714" s="686"/>
      <c r="AE714" s="686"/>
      <c r="AF714" s="686"/>
    </row>
    <row r="715" ht="15.75" customHeight="1">
      <c r="A715" s="683"/>
      <c r="B715" s="683"/>
      <c r="C715" s="684"/>
      <c r="D715" s="684"/>
      <c r="E715" s="684"/>
      <c r="F715" s="683"/>
      <c r="G715" s="683"/>
      <c r="H715" s="683"/>
      <c r="I715" s="683"/>
      <c r="J715" s="683"/>
      <c r="K715" s="683"/>
      <c r="L715" s="685"/>
      <c r="M715" s="685"/>
      <c r="N715" s="685"/>
      <c r="O715" s="683"/>
      <c r="P715" s="683"/>
      <c r="Q715" s="686"/>
      <c r="R715" s="686"/>
      <c r="S715" s="686"/>
      <c r="T715" s="686"/>
      <c r="U715" s="686"/>
      <c r="V715" s="686"/>
      <c r="W715" s="686"/>
      <c r="X715" s="686"/>
      <c r="Y715" s="686"/>
      <c r="Z715" s="686"/>
      <c r="AA715" s="686"/>
      <c r="AB715" s="686"/>
      <c r="AC715" s="686"/>
      <c r="AD715" s="686"/>
      <c r="AE715" s="686"/>
      <c r="AF715" s="686"/>
    </row>
    <row r="716" ht="15.75" customHeight="1">
      <c r="A716" s="683"/>
      <c r="B716" s="683"/>
      <c r="C716" s="684"/>
      <c r="D716" s="684"/>
      <c r="E716" s="684"/>
      <c r="F716" s="683"/>
      <c r="G716" s="683"/>
      <c r="H716" s="683"/>
      <c r="I716" s="683"/>
      <c r="J716" s="683"/>
      <c r="K716" s="683"/>
      <c r="L716" s="685"/>
      <c r="M716" s="685"/>
      <c r="N716" s="685"/>
      <c r="O716" s="683"/>
      <c r="P716" s="683"/>
      <c r="Q716" s="686"/>
      <c r="R716" s="686"/>
      <c r="S716" s="686"/>
      <c r="T716" s="686"/>
      <c r="U716" s="686"/>
      <c r="V716" s="686"/>
      <c r="W716" s="686"/>
      <c r="X716" s="686"/>
      <c r="Y716" s="686"/>
      <c r="Z716" s="686"/>
      <c r="AA716" s="686"/>
      <c r="AB716" s="686"/>
      <c r="AC716" s="686"/>
      <c r="AD716" s="686"/>
      <c r="AE716" s="686"/>
      <c r="AF716" s="686"/>
    </row>
    <row r="717" ht="15.75" customHeight="1">
      <c r="A717" s="683"/>
      <c r="B717" s="683"/>
      <c r="C717" s="684"/>
      <c r="D717" s="684"/>
      <c r="E717" s="684"/>
      <c r="F717" s="683"/>
      <c r="G717" s="683"/>
      <c r="H717" s="683"/>
      <c r="I717" s="683"/>
      <c r="J717" s="683"/>
      <c r="K717" s="683"/>
      <c r="L717" s="685"/>
      <c r="M717" s="685"/>
      <c r="N717" s="685"/>
      <c r="O717" s="683"/>
      <c r="P717" s="683"/>
      <c r="Q717" s="686"/>
      <c r="R717" s="686"/>
      <c r="S717" s="686"/>
      <c r="T717" s="686"/>
      <c r="U717" s="686"/>
      <c r="V717" s="686"/>
      <c r="W717" s="686"/>
      <c r="X717" s="686"/>
      <c r="Y717" s="686"/>
      <c r="Z717" s="686"/>
      <c r="AA717" s="686"/>
      <c r="AB717" s="686"/>
      <c r="AC717" s="686"/>
      <c r="AD717" s="686"/>
      <c r="AE717" s="686"/>
      <c r="AF717" s="686"/>
    </row>
    <row r="718" ht="15.75" customHeight="1">
      <c r="A718" s="683"/>
      <c r="B718" s="683"/>
      <c r="C718" s="684"/>
      <c r="D718" s="684"/>
      <c r="E718" s="684"/>
      <c r="F718" s="683"/>
      <c r="G718" s="683"/>
      <c r="H718" s="683"/>
      <c r="I718" s="683"/>
      <c r="J718" s="683"/>
      <c r="K718" s="683"/>
      <c r="L718" s="685"/>
      <c r="M718" s="685"/>
      <c r="N718" s="685"/>
      <c r="O718" s="683"/>
      <c r="P718" s="683"/>
      <c r="Q718" s="686"/>
      <c r="R718" s="686"/>
      <c r="S718" s="686"/>
      <c r="T718" s="686"/>
      <c r="U718" s="686"/>
      <c r="V718" s="686"/>
      <c r="W718" s="686"/>
      <c r="X718" s="686"/>
      <c r="Y718" s="686"/>
      <c r="Z718" s="686"/>
      <c r="AA718" s="686"/>
      <c r="AB718" s="686"/>
      <c r="AC718" s="686"/>
      <c r="AD718" s="686"/>
      <c r="AE718" s="686"/>
      <c r="AF718" s="686"/>
    </row>
    <row r="719" ht="15.75" customHeight="1">
      <c r="A719" s="683"/>
      <c r="B719" s="683"/>
      <c r="C719" s="684"/>
      <c r="D719" s="684"/>
      <c r="E719" s="684"/>
      <c r="F719" s="683"/>
      <c r="G719" s="683"/>
      <c r="H719" s="683"/>
      <c r="I719" s="683"/>
      <c r="J719" s="683"/>
      <c r="K719" s="683"/>
      <c r="L719" s="685"/>
      <c r="M719" s="685"/>
      <c r="N719" s="685"/>
      <c r="O719" s="683"/>
      <c r="P719" s="683"/>
      <c r="Q719" s="686"/>
      <c r="R719" s="686"/>
      <c r="S719" s="686"/>
      <c r="T719" s="686"/>
      <c r="U719" s="686"/>
      <c r="V719" s="686"/>
      <c r="W719" s="686"/>
      <c r="X719" s="686"/>
      <c r="Y719" s="686"/>
      <c r="Z719" s="686"/>
      <c r="AA719" s="686"/>
      <c r="AB719" s="686"/>
      <c r="AC719" s="686"/>
      <c r="AD719" s="686"/>
      <c r="AE719" s="686"/>
      <c r="AF719" s="686"/>
    </row>
    <row r="720" ht="15.75" customHeight="1">
      <c r="A720" s="683"/>
      <c r="B720" s="683"/>
      <c r="C720" s="684"/>
      <c r="D720" s="684"/>
      <c r="E720" s="684"/>
      <c r="F720" s="683"/>
      <c r="G720" s="683"/>
      <c r="H720" s="683"/>
      <c r="I720" s="683"/>
      <c r="J720" s="683"/>
      <c r="K720" s="683"/>
      <c r="L720" s="685"/>
      <c r="M720" s="685"/>
      <c r="N720" s="685"/>
      <c r="O720" s="683"/>
      <c r="P720" s="683"/>
      <c r="Q720" s="686"/>
      <c r="R720" s="686"/>
      <c r="S720" s="686"/>
      <c r="T720" s="686"/>
      <c r="U720" s="686"/>
      <c r="V720" s="686"/>
      <c r="W720" s="686"/>
      <c r="X720" s="686"/>
      <c r="Y720" s="686"/>
      <c r="Z720" s="686"/>
      <c r="AA720" s="686"/>
      <c r="AB720" s="686"/>
      <c r="AC720" s="686"/>
      <c r="AD720" s="686"/>
      <c r="AE720" s="686"/>
      <c r="AF720" s="686"/>
    </row>
    <row r="721" ht="15.75" customHeight="1">
      <c r="A721" s="683"/>
      <c r="B721" s="683"/>
      <c r="C721" s="684"/>
      <c r="D721" s="684"/>
      <c r="E721" s="684"/>
      <c r="F721" s="683"/>
      <c r="G721" s="683"/>
      <c r="H721" s="683"/>
      <c r="I721" s="683"/>
      <c r="J721" s="683"/>
      <c r="K721" s="683"/>
      <c r="L721" s="685"/>
      <c r="M721" s="685"/>
      <c r="N721" s="685"/>
      <c r="O721" s="683"/>
      <c r="P721" s="683"/>
      <c r="Q721" s="686"/>
      <c r="R721" s="686"/>
      <c r="S721" s="686"/>
      <c r="T721" s="686"/>
      <c r="U721" s="686"/>
      <c r="V721" s="686"/>
      <c r="W721" s="686"/>
      <c r="X721" s="686"/>
      <c r="Y721" s="686"/>
      <c r="Z721" s="686"/>
      <c r="AA721" s="686"/>
      <c r="AB721" s="686"/>
      <c r="AC721" s="686"/>
      <c r="AD721" s="686"/>
      <c r="AE721" s="686"/>
      <c r="AF721" s="686"/>
    </row>
    <row r="722" ht="15.75" customHeight="1">
      <c r="A722" s="683"/>
      <c r="B722" s="683"/>
      <c r="C722" s="684"/>
      <c r="D722" s="684"/>
      <c r="E722" s="684"/>
      <c r="F722" s="683"/>
      <c r="G722" s="683"/>
      <c r="H722" s="683"/>
      <c r="I722" s="683"/>
      <c r="J722" s="683"/>
      <c r="K722" s="683"/>
      <c r="L722" s="685"/>
      <c r="M722" s="685"/>
      <c r="N722" s="685"/>
      <c r="O722" s="683"/>
      <c r="P722" s="683"/>
      <c r="Q722" s="686"/>
      <c r="R722" s="686"/>
      <c r="S722" s="686"/>
      <c r="T722" s="686"/>
      <c r="U722" s="686"/>
      <c r="V722" s="686"/>
      <c r="W722" s="686"/>
      <c r="X722" s="686"/>
      <c r="Y722" s="686"/>
      <c r="Z722" s="686"/>
      <c r="AA722" s="686"/>
      <c r="AB722" s="686"/>
      <c r="AC722" s="686"/>
      <c r="AD722" s="686"/>
      <c r="AE722" s="686"/>
      <c r="AF722" s="686"/>
    </row>
    <row r="723" ht="15.75" customHeight="1">
      <c r="A723" s="683"/>
      <c r="B723" s="683"/>
      <c r="C723" s="684"/>
      <c r="D723" s="684"/>
      <c r="E723" s="684"/>
      <c r="F723" s="683"/>
      <c r="G723" s="683"/>
      <c r="H723" s="683"/>
      <c r="I723" s="683"/>
      <c r="J723" s="683"/>
      <c r="K723" s="683"/>
      <c r="L723" s="685"/>
      <c r="M723" s="685"/>
      <c r="N723" s="685"/>
      <c r="O723" s="683"/>
      <c r="P723" s="683"/>
      <c r="Q723" s="686"/>
      <c r="R723" s="686"/>
      <c r="S723" s="686"/>
      <c r="T723" s="686"/>
      <c r="U723" s="686"/>
      <c r="V723" s="686"/>
      <c r="W723" s="686"/>
      <c r="X723" s="686"/>
      <c r="Y723" s="686"/>
      <c r="Z723" s="686"/>
      <c r="AA723" s="686"/>
      <c r="AB723" s="686"/>
      <c r="AC723" s="686"/>
      <c r="AD723" s="686"/>
      <c r="AE723" s="686"/>
      <c r="AF723" s="686"/>
    </row>
    <row r="724" ht="15.75" customHeight="1">
      <c r="A724" s="683"/>
      <c r="B724" s="683"/>
      <c r="C724" s="684"/>
      <c r="D724" s="684"/>
      <c r="E724" s="684"/>
      <c r="F724" s="683"/>
      <c r="G724" s="683"/>
      <c r="H724" s="683"/>
      <c r="I724" s="683"/>
      <c r="J724" s="683"/>
      <c r="K724" s="683"/>
      <c r="L724" s="685"/>
      <c r="M724" s="685"/>
      <c r="N724" s="685"/>
      <c r="O724" s="683"/>
      <c r="P724" s="683"/>
      <c r="Q724" s="686"/>
      <c r="R724" s="686"/>
      <c r="S724" s="686"/>
      <c r="T724" s="686"/>
      <c r="U724" s="686"/>
      <c r="V724" s="686"/>
      <c r="W724" s="686"/>
      <c r="X724" s="686"/>
      <c r="Y724" s="686"/>
      <c r="Z724" s="686"/>
      <c r="AA724" s="686"/>
      <c r="AB724" s="686"/>
      <c r="AC724" s="686"/>
      <c r="AD724" s="686"/>
      <c r="AE724" s="686"/>
      <c r="AF724" s="686"/>
    </row>
    <row r="725" ht="15.75" customHeight="1">
      <c r="A725" s="683"/>
      <c r="B725" s="683"/>
      <c r="C725" s="684"/>
      <c r="D725" s="684"/>
      <c r="E725" s="684"/>
      <c r="F725" s="683"/>
      <c r="G725" s="683"/>
      <c r="H725" s="683"/>
      <c r="I725" s="683"/>
      <c r="J725" s="683"/>
      <c r="K725" s="683"/>
      <c r="L725" s="685"/>
      <c r="M725" s="685"/>
      <c r="N725" s="685"/>
      <c r="O725" s="683"/>
      <c r="P725" s="683"/>
      <c r="Q725" s="686"/>
      <c r="R725" s="686"/>
      <c r="S725" s="686"/>
      <c r="T725" s="686"/>
      <c r="U725" s="686"/>
      <c r="V725" s="686"/>
      <c r="W725" s="686"/>
      <c r="X725" s="686"/>
      <c r="Y725" s="686"/>
      <c r="Z725" s="686"/>
      <c r="AA725" s="686"/>
      <c r="AB725" s="686"/>
      <c r="AC725" s="686"/>
      <c r="AD725" s="686"/>
      <c r="AE725" s="686"/>
      <c r="AF725" s="686"/>
    </row>
    <row r="726" ht="15.75" customHeight="1">
      <c r="A726" s="683"/>
      <c r="B726" s="683"/>
      <c r="C726" s="684"/>
      <c r="D726" s="684"/>
      <c r="E726" s="684"/>
      <c r="F726" s="683"/>
      <c r="G726" s="683"/>
      <c r="H726" s="683"/>
      <c r="I726" s="683"/>
      <c r="J726" s="683"/>
      <c r="K726" s="683"/>
      <c r="L726" s="685"/>
      <c r="M726" s="685"/>
      <c r="N726" s="685"/>
      <c r="O726" s="683"/>
      <c r="P726" s="683"/>
      <c r="Q726" s="686"/>
      <c r="R726" s="686"/>
      <c r="S726" s="686"/>
      <c r="T726" s="686"/>
      <c r="U726" s="686"/>
      <c r="V726" s="686"/>
      <c r="W726" s="686"/>
      <c r="X726" s="686"/>
      <c r="Y726" s="686"/>
      <c r="Z726" s="686"/>
      <c r="AA726" s="686"/>
      <c r="AB726" s="686"/>
      <c r="AC726" s="686"/>
      <c r="AD726" s="686"/>
      <c r="AE726" s="686"/>
      <c r="AF726" s="686"/>
    </row>
    <row r="727" ht="15.75" customHeight="1">
      <c r="A727" s="683"/>
      <c r="B727" s="683"/>
      <c r="C727" s="684"/>
      <c r="D727" s="684"/>
      <c r="E727" s="684"/>
      <c r="F727" s="683"/>
      <c r="G727" s="683"/>
      <c r="H727" s="683"/>
      <c r="I727" s="683"/>
      <c r="J727" s="683"/>
      <c r="K727" s="683"/>
      <c r="L727" s="685"/>
      <c r="M727" s="685"/>
      <c r="N727" s="685"/>
      <c r="O727" s="683"/>
      <c r="P727" s="683"/>
      <c r="Q727" s="686"/>
      <c r="R727" s="686"/>
      <c r="S727" s="686"/>
      <c r="T727" s="686"/>
      <c r="U727" s="686"/>
      <c r="V727" s="686"/>
      <c r="W727" s="686"/>
      <c r="X727" s="686"/>
      <c r="Y727" s="686"/>
      <c r="Z727" s="686"/>
      <c r="AA727" s="686"/>
      <c r="AB727" s="686"/>
      <c r="AC727" s="686"/>
      <c r="AD727" s="686"/>
      <c r="AE727" s="686"/>
      <c r="AF727" s="686"/>
    </row>
    <row r="728" ht="15.75" customHeight="1">
      <c r="A728" s="683"/>
      <c r="B728" s="683"/>
      <c r="C728" s="684"/>
      <c r="D728" s="684"/>
      <c r="E728" s="684"/>
      <c r="F728" s="683"/>
      <c r="G728" s="683"/>
      <c r="H728" s="683"/>
      <c r="I728" s="683"/>
      <c r="J728" s="683"/>
      <c r="K728" s="683"/>
      <c r="L728" s="685"/>
      <c r="M728" s="685"/>
      <c r="N728" s="685"/>
      <c r="O728" s="683"/>
      <c r="P728" s="683"/>
      <c r="Q728" s="686"/>
      <c r="R728" s="686"/>
      <c r="S728" s="686"/>
      <c r="T728" s="686"/>
      <c r="U728" s="686"/>
      <c r="V728" s="686"/>
      <c r="W728" s="686"/>
      <c r="X728" s="686"/>
      <c r="Y728" s="686"/>
      <c r="Z728" s="686"/>
      <c r="AA728" s="686"/>
      <c r="AB728" s="686"/>
      <c r="AC728" s="686"/>
      <c r="AD728" s="686"/>
      <c r="AE728" s="686"/>
      <c r="AF728" s="686"/>
    </row>
    <row r="729" ht="15.75" customHeight="1">
      <c r="A729" s="683"/>
      <c r="B729" s="683"/>
      <c r="C729" s="684"/>
      <c r="D729" s="684"/>
      <c r="E729" s="684"/>
      <c r="F729" s="683"/>
      <c r="G729" s="683"/>
      <c r="H729" s="683"/>
      <c r="I729" s="683"/>
      <c r="J729" s="683"/>
      <c r="K729" s="683"/>
      <c r="L729" s="685"/>
      <c r="M729" s="685"/>
      <c r="N729" s="685"/>
      <c r="O729" s="683"/>
      <c r="P729" s="683"/>
      <c r="Q729" s="686"/>
      <c r="R729" s="686"/>
      <c r="S729" s="686"/>
      <c r="T729" s="686"/>
      <c r="U729" s="686"/>
      <c r="V729" s="686"/>
      <c r="W729" s="686"/>
      <c r="X729" s="686"/>
      <c r="Y729" s="686"/>
      <c r="Z729" s="686"/>
      <c r="AA729" s="686"/>
      <c r="AB729" s="686"/>
      <c r="AC729" s="686"/>
      <c r="AD729" s="686"/>
      <c r="AE729" s="686"/>
      <c r="AF729" s="686"/>
    </row>
    <row r="730" ht="15.75" customHeight="1">
      <c r="A730" s="683"/>
      <c r="B730" s="683"/>
      <c r="C730" s="684"/>
      <c r="D730" s="684"/>
      <c r="E730" s="684"/>
      <c r="F730" s="683"/>
      <c r="G730" s="683"/>
      <c r="H730" s="683"/>
      <c r="I730" s="683"/>
      <c r="J730" s="683"/>
      <c r="K730" s="683"/>
      <c r="L730" s="685"/>
      <c r="M730" s="685"/>
      <c r="N730" s="685"/>
      <c r="O730" s="683"/>
      <c r="P730" s="683"/>
      <c r="Q730" s="686"/>
      <c r="R730" s="686"/>
      <c r="S730" s="686"/>
      <c r="T730" s="686"/>
      <c r="U730" s="686"/>
      <c r="V730" s="686"/>
      <c r="W730" s="686"/>
      <c r="X730" s="686"/>
      <c r="Y730" s="686"/>
      <c r="Z730" s="686"/>
      <c r="AA730" s="686"/>
      <c r="AB730" s="686"/>
      <c r="AC730" s="686"/>
      <c r="AD730" s="686"/>
      <c r="AE730" s="686"/>
      <c r="AF730" s="686"/>
    </row>
    <row r="731" ht="15.75" customHeight="1">
      <c r="A731" s="683"/>
      <c r="B731" s="683"/>
      <c r="C731" s="684"/>
      <c r="D731" s="684"/>
      <c r="E731" s="684"/>
      <c r="F731" s="683"/>
      <c r="G731" s="683"/>
      <c r="H731" s="683"/>
      <c r="I731" s="683"/>
      <c r="J731" s="683"/>
      <c r="K731" s="683"/>
      <c r="L731" s="685"/>
      <c r="M731" s="685"/>
      <c r="N731" s="685"/>
      <c r="O731" s="683"/>
      <c r="P731" s="683"/>
      <c r="Q731" s="686"/>
      <c r="R731" s="686"/>
      <c r="S731" s="686"/>
      <c r="T731" s="686"/>
      <c r="U731" s="686"/>
      <c r="V731" s="686"/>
      <c r="W731" s="686"/>
      <c r="X731" s="686"/>
      <c r="Y731" s="686"/>
      <c r="Z731" s="686"/>
      <c r="AA731" s="686"/>
      <c r="AB731" s="686"/>
      <c r="AC731" s="686"/>
      <c r="AD731" s="686"/>
      <c r="AE731" s="686"/>
      <c r="AF731" s="686"/>
    </row>
    <row r="732" ht="15.75" customHeight="1">
      <c r="A732" s="683"/>
      <c r="B732" s="683"/>
      <c r="C732" s="684"/>
      <c r="D732" s="684"/>
      <c r="E732" s="684"/>
      <c r="F732" s="683"/>
      <c r="G732" s="683"/>
      <c r="H732" s="683"/>
      <c r="I732" s="683"/>
      <c r="J732" s="683"/>
      <c r="K732" s="683"/>
      <c r="L732" s="685"/>
      <c r="M732" s="685"/>
      <c r="N732" s="685"/>
      <c r="O732" s="683"/>
      <c r="P732" s="683"/>
      <c r="Q732" s="686"/>
      <c r="R732" s="686"/>
      <c r="S732" s="686"/>
      <c r="T732" s="686"/>
      <c r="U732" s="686"/>
      <c r="V732" s="686"/>
      <c r="W732" s="686"/>
      <c r="X732" s="686"/>
      <c r="Y732" s="686"/>
      <c r="Z732" s="686"/>
      <c r="AA732" s="686"/>
      <c r="AB732" s="686"/>
      <c r="AC732" s="686"/>
      <c r="AD732" s="686"/>
      <c r="AE732" s="686"/>
      <c r="AF732" s="686"/>
    </row>
    <row r="733" ht="15.75" customHeight="1">
      <c r="A733" s="683"/>
      <c r="B733" s="683"/>
      <c r="C733" s="684"/>
      <c r="D733" s="684"/>
      <c r="E733" s="684"/>
      <c r="F733" s="683"/>
      <c r="G733" s="683"/>
      <c r="H733" s="683"/>
      <c r="I733" s="683"/>
      <c r="J733" s="683"/>
      <c r="K733" s="683"/>
      <c r="L733" s="685"/>
      <c r="M733" s="685"/>
      <c r="N733" s="685"/>
      <c r="O733" s="683"/>
      <c r="P733" s="683"/>
      <c r="Q733" s="686"/>
      <c r="R733" s="686"/>
      <c r="S733" s="686"/>
      <c r="T733" s="686"/>
      <c r="U733" s="686"/>
      <c r="V733" s="686"/>
      <c r="W733" s="686"/>
      <c r="X733" s="686"/>
      <c r="Y733" s="686"/>
      <c r="Z733" s="686"/>
      <c r="AA733" s="686"/>
      <c r="AB733" s="686"/>
      <c r="AC733" s="686"/>
      <c r="AD733" s="686"/>
      <c r="AE733" s="686"/>
      <c r="AF733" s="686"/>
    </row>
    <row r="734" ht="15.75" customHeight="1">
      <c r="A734" s="683"/>
      <c r="B734" s="683"/>
      <c r="C734" s="684"/>
      <c r="D734" s="684"/>
      <c r="E734" s="684"/>
      <c r="F734" s="683"/>
      <c r="G734" s="683"/>
      <c r="H734" s="683"/>
      <c r="I734" s="683"/>
      <c r="J734" s="683"/>
      <c r="K734" s="683"/>
      <c r="L734" s="685"/>
      <c r="M734" s="685"/>
      <c r="N734" s="685"/>
      <c r="O734" s="683"/>
      <c r="P734" s="683"/>
      <c r="Q734" s="686"/>
      <c r="R734" s="686"/>
      <c r="S734" s="686"/>
      <c r="T734" s="686"/>
      <c r="U734" s="686"/>
      <c r="V734" s="686"/>
      <c r="W734" s="686"/>
      <c r="X734" s="686"/>
      <c r="Y734" s="686"/>
      <c r="Z734" s="686"/>
      <c r="AA734" s="686"/>
      <c r="AB734" s="686"/>
      <c r="AC734" s="686"/>
      <c r="AD734" s="686"/>
      <c r="AE734" s="686"/>
      <c r="AF734" s="686"/>
    </row>
    <row r="735" ht="15.75" customHeight="1">
      <c r="A735" s="683"/>
      <c r="B735" s="683"/>
      <c r="C735" s="684"/>
      <c r="D735" s="684"/>
      <c r="E735" s="684"/>
      <c r="F735" s="683"/>
      <c r="G735" s="683"/>
      <c r="H735" s="683"/>
      <c r="I735" s="683"/>
      <c r="J735" s="683"/>
      <c r="K735" s="683"/>
      <c r="L735" s="685"/>
      <c r="M735" s="685"/>
      <c r="N735" s="685"/>
      <c r="O735" s="683"/>
      <c r="P735" s="683"/>
      <c r="Q735" s="686"/>
      <c r="R735" s="686"/>
      <c r="S735" s="686"/>
      <c r="T735" s="686"/>
      <c r="U735" s="686"/>
      <c r="V735" s="686"/>
      <c r="W735" s="686"/>
      <c r="X735" s="686"/>
      <c r="Y735" s="686"/>
      <c r="Z735" s="686"/>
      <c r="AA735" s="686"/>
      <c r="AB735" s="686"/>
      <c r="AC735" s="686"/>
      <c r="AD735" s="686"/>
      <c r="AE735" s="686"/>
      <c r="AF735" s="686"/>
    </row>
    <row r="736" ht="15.75" customHeight="1">
      <c r="A736" s="683"/>
      <c r="B736" s="683"/>
      <c r="C736" s="684"/>
      <c r="D736" s="684"/>
      <c r="E736" s="684"/>
      <c r="F736" s="683"/>
      <c r="G736" s="683"/>
      <c r="H736" s="683"/>
      <c r="I736" s="683"/>
      <c r="J736" s="683"/>
      <c r="K736" s="683"/>
      <c r="L736" s="685"/>
      <c r="M736" s="685"/>
      <c r="N736" s="685"/>
      <c r="O736" s="683"/>
      <c r="P736" s="683"/>
      <c r="Q736" s="686"/>
      <c r="R736" s="686"/>
      <c r="S736" s="686"/>
      <c r="T736" s="686"/>
      <c r="U736" s="686"/>
      <c r="V736" s="686"/>
      <c r="W736" s="686"/>
      <c r="X736" s="686"/>
      <c r="Y736" s="686"/>
      <c r="Z736" s="686"/>
      <c r="AA736" s="686"/>
      <c r="AB736" s="686"/>
      <c r="AC736" s="686"/>
      <c r="AD736" s="686"/>
      <c r="AE736" s="686"/>
      <c r="AF736" s="686"/>
    </row>
    <row r="737" ht="15.75" customHeight="1">
      <c r="A737" s="683"/>
      <c r="B737" s="683"/>
      <c r="C737" s="684"/>
      <c r="D737" s="684"/>
      <c r="E737" s="684"/>
      <c r="F737" s="683"/>
      <c r="G737" s="683"/>
      <c r="H737" s="683"/>
      <c r="I737" s="683"/>
      <c r="J737" s="683"/>
      <c r="K737" s="683"/>
      <c r="L737" s="685"/>
      <c r="M737" s="685"/>
      <c r="N737" s="685"/>
      <c r="O737" s="683"/>
      <c r="P737" s="683"/>
      <c r="Q737" s="686"/>
      <c r="R737" s="686"/>
      <c r="S737" s="686"/>
      <c r="T737" s="686"/>
      <c r="U737" s="686"/>
      <c r="V737" s="686"/>
      <c r="W737" s="686"/>
      <c r="X737" s="686"/>
      <c r="Y737" s="686"/>
      <c r="Z737" s="686"/>
      <c r="AA737" s="686"/>
      <c r="AB737" s="686"/>
      <c r="AC737" s="686"/>
      <c r="AD737" s="686"/>
      <c r="AE737" s="686"/>
      <c r="AF737" s="686"/>
    </row>
    <row r="738" ht="15.75" customHeight="1">
      <c r="A738" s="683"/>
      <c r="B738" s="683"/>
      <c r="C738" s="684"/>
      <c r="D738" s="684"/>
      <c r="E738" s="684"/>
      <c r="F738" s="683"/>
      <c r="G738" s="683"/>
      <c r="H738" s="683"/>
      <c r="I738" s="683"/>
      <c r="J738" s="683"/>
      <c r="K738" s="683"/>
      <c r="L738" s="685"/>
      <c r="M738" s="685"/>
      <c r="N738" s="685"/>
      <c r="O738" s="683"/>
      <c r="P738" s="683"/>
      <c r="Q738" s="686"/>
      <c r="R738" s="686"/>
      <c r="S738" s="686"/>
      <c r="T738" s="686"/>
      <c r="U738" s="686"/>
      <c r="V738" s="686"/>
      <c r="W738" s="686"/>
      <c r="X738" s="686"/>
      <c r="Y738" s="686"/>
      <c r="Z738" s="686"/>
      <c r="AA738" s="686"/>
      <c r="AB738" s="686"/>
      <c r="AC738" s="686"/>
      <c r="AD738" s="686"/>
      <c r="AE738" s="686"/>
      <c r="AF738" s="686"/>
    </row>
    <row r="739" ht="15.75" customHeight="1">
      <c r="A739" s="683"/>
      <c r="B739" s="683"/>
      <c r="C739" s="684"/>
      <c r="D739" s="684"/>
      <c r="E739" s="684"/>
      <c r="F739" s="683"/>
      <c r="G739" s="683"/>
      <c r="H739" s="683"/>
      <c r="I739" s="683"/>
      <c r="J739" s="683"/>
      <c r="K739" s="683"/>
      <c r="L739" s="685"/>
      <c r="M739" s="685"/>
      <c r="N739" s="685"/>
      <c r="O739" s="683"/>
      <c r="P739" s="683"/>
      <c r="Q739" s="686"/>
      <c r="R739" s="686"/>
      <c r="S739" s="686"/>
      <c r="T739" s="686"/>
      <c r="U739" s="686"/>
      <c r="V739" s="686"/>
      <c r="W739" s="686"/>
      <c r="X739" s="686"/>
      <c r="Y739" s="686"/>
      <c r="Z739" s="686"/>
      <c r="AA739" s="686"/>
      <c r="AB739" s="686"/>
      <c r="AC739" s="686"/>
      <c r="AD739" s="686"/>
      <c r="AE739" s="686"/>
      <c r="AF739" s="686"/>
    </row>
    <row r="740" ht="15.75" customHeight="1">
      <c r="A740" s="683"/>
      <c r="B740" s="683"/>
      <c r="C740" s="684"/>
      <c r="D740" s="684"/>
      <c r="E740" s="684"/>
      <c r="F740" s="683"/>
      <c r="G740" s="683"/>
      <c r="H740" s="683"/>
      <c r="I740" s="683"/>
      <c r="J740" s="683"/>
      <c r="K740" s="683"/>
      <c r="L740" s="685"/>
      <c r="M740" s="685"/>
      <c r="N740" s="685"/>
      <c r="O740" s="683"/>
      <c r="P740" s="683"/>
      <c r="Q740" s="686"/>
      <c r="R740" s="686"/>
      <c r="S740" s="686"/>
      <c r="T740" s="686"/>
      <c r="U740" s="686"/>
      <c r="V740" s="686"/>
      <c r="W740" s="686"/>
      <c r="X740" s="686"/>
      <c r="Y740" s="686"/>
      <c r="Z740" s="686"/>
      <c r="AA740" s="686"/>
      <c r="AB740" s="686"/>
      <c r="AC740" s="686"/>
      <c r="AD740" s="686"/>
      <c r="AE740" s="686"/>
      <c r="AF740" s="686"/>
    </row>
    <row r="741" ht="15.75" customHeight="1">
      <c r="A741" s="683"/>
      <c r="B741" s="683"/>
      <c r="C741" s="684"/>
      <c r="D741" s="684"/>
      <c r="E741" s="684"/>
      <c r="F741" s="683"/>
      <c r="G741" s="683"/>
      <c r="H741" s="683"/>
      <c r="I741" s="683"/>
      <c r="J741" s="683"/>
      <c r="K741" s="683"/>
      <c r="L741" s="685"/>
      <c r="M741" s="685"/>
      <c r="N741" s="685"/>
      <c r="O741" s="683"/>
      <c r="P741" s="683"/>
      <c r="Q741" s="686"/>
      <c r="R741" s="686"/>
      <c r="S741" s="686"/>
      <c r="T741" s="686"/>
      <c r="U741" s="686"/>
      <c r="V741" s="686"/>
      <c r="W741" s="686"/>
      <c r="X741" s="686"/>
      <c r="Y741" s="686"/>
      <c r="Z741" s="686"/>
      <c r="AA741" s="686"/>
      <c r="AB741" s="686"/>
      <c r="AC741" s="686"/>
      <c r="AD741" s="686"/>
      <c r="AE741" s="686"/>
      <c r="AF741" s="686"/>
    </row>
    <row r="742" ht="15.75" customHeight="1">
      <c r="A742" s="683"/>
      <c r="B742" s="683"/>
      <c r="C742" s="684"/>
      <c r="D742" s="684"/>
      <c r="E742" s="684"/>
      <c r="F742" s="683"/>
      <c r="G742" s="683"/>
      <c r="H742" s="683"/>
      <c r="I742" s="683"/>
      <c r="J742" s="683"/>
      <c r="K742" s="683"/>
      <c r="L742" s="685"/>
      <c r="M742" s="685"/>
      <c r="N742" s="685"/>
      <c r="O742" s="683"/>
      <c r="P742" s="683"/>
      <c r="Q742" s="686"/>
      <c r="R742" s="686"/>
      <c r="S742" s="686"/>
      <c r="T742" s="686"/>
      <c r="U742" s="686"/>
      <c r="V742" s="686"/>
      <c r="W742" s="686"/>
      <c r="X742" s="686"/>
      <c r="Y742" s="686"/>
      <c r="Z742" s="686"/>
      <c r="AA742" s="686"/>
      <c r="AB742" s="686"/>
      <c r="AC742" s="686"/>
      <c r="AD742" s="686"/>
      <c r="AE742" s="686"/>
      <c r="AF742" s="686"/>
    </row>
    <row r="743" ht="15.75" customHeight="1">
      <c r="A743" s="683"/>
      <c r="B743" s="683"/>
      <c r="C743" s="684"/>
      <c r="D743" s="684"/>
      <c r="E743" s="684"/>
      <c r="F743" s="683"/>
      <c r="G743" s="683"/>
      <c r="H743" s="683"/>
      <c r="I743" s="683"/>
      <c r="J743" s="683"/>
      <c r="K743" s="683"/>
      <c r="L743" s="685"/>
      <c r="M743" s="685"/>
      <c r="N743" s="685"/>
      <c r="O743" s="683"/>
      <c r="P743" s="683"/>
      <c r="Q743" s="686"/>
      <c r="R743" s="686"/>
      <c r="S743" s="686"/>
      <c r="T743" s="686"/>
      <c r="U743" s="686"/>
      <c r="V743" s="686"/>
      <c r="W743" s="686"/>
      <c r="X743" s="686"/>
      <c r="Y743" s="686"/>
      <c r="Z743" s="686"/>
      <c r="AA743" s="686"/>
      <c r="AB743" s="686"/>
      <c r="AC743" s="686"/>
      <c r="AD743" s="686"/>
      <c r="AE743" s="686"/>
      <c r="AF743" s="686"/>
    </row>
    <row r="744" ht="15.75" customHeight="1">
      <c r="A744" s="683"/>
      <c r="B744" s="683"/>
      <c r="C744" s="684"/>
      <c r="D744" s="684"/>
      <c r="E744" s="684"/>
      <c r="F744" s="683"/>
      <c r="G744" s="683"/>
      <c r="H744" s="683"/>
      <c r="I744" s="683"/>
      <c r="J744" s="683"/>
      <c r="K744" s="683"/>
      <c r="L744" s="685"/>
      <c r="M744" s="685"/>
      <c r="N744" s="685"/>
      <c r="O744" s="683"/>
      <c r="P744" s="683"/>
      <c r="Q744" s="686"/>
      <c r="R744" s="686"/>
      <c r="S744" s="686"/>
      <c r="T744" s="686"/>
      <c r="U744" s="686"/>
      <c r="V744" s="686"/>
      <c r="W744" s="686"/>
      <c r="X744" s="686"/>
      <c r="Y744" s="686"/>
      <c r="Z744" s="686"/>
      <c r="AA744" s="686"/>
      <c r="AB744" s="686"/>
      <c r="AC744" s="686"/>
      <c r="AD744" s="686"/>
      <c r="AE744" s="686"/>
      <c r="AF744" s="686"/>
    </row>
    <row r="745" ht="15.75" customHeight="1">
      <c r="A745" s="683"/>
      <c r="B745" s="683"/>
      <c r="C745" s="684"/>
      <c r="D745" s="684"/>
      <c r="E745" s="684"/>
      <c r="F745" s="683"/>
      <c r="G745" s="683"/>
      <c r="H745" s="683"/>
      <c r="I745" s="683"/>
      <c r="J745" s="683"/>
      <c r="K745" s="683"/>
      <c r="L745" s="685"/>
      <c r="M745" s="685"/>
      <c r="N745" s="685"/>
      <c r="O745" s="683"/>
      <c r="P745" s="683"/>
      <c r="Q745" s="686"/>
      <c r="R745" s="686"/>
      <c r="S745" s="686"/>
      <c r="T745" s="686"/>
      <c r="U745" s="686"/>
      <c r="V745" s="686"/>
      <c r="W745" s="686"/>
      <c r="X745" s="686"/>
      <c r="Y745" s="686"/>
      <c r="Z745" s="686"/>
      <c r="AA745" s="686"/>
      <c r="AB745" s="686"/>
      <c r="AC745" s="686"/>
      <c r="AD745" s="686"/>
      <c r="AE745" s="686"/>
      <c r="AF745" s="686"/>
    </row>
    <row r="746" ht="15.75" customHeight="1">
      <c r="A746" s="683"/>
      <c r="B746" s="683"/>
      <c r="C746" s="684"/>
      <c r="D746" s="684"/>
      <c r="E746" s="684"/>
      <c r="F746" s="683"/>
      <c r="G746" s="683"/>
      <c r="H746" s="683"/>
      <c r="I746" s="683"/>
      <c r="J746" s="683"/>
      <c r="K746" s="683"/>
      <c r="L746" s="685"/>
      <c r="M746" s="685"/>
      <c r="N746" s="685"/>
      <c r="O746" s="683"/>
      <c r="P746" s="683"/>
      <c r="Q746" s="686"/>
      <c r="R746" s="686"/>
      <c r="S746" s="686"/>
      <c r="T746" s="686"/>
      <c r="U746" s="686"/>
      <c r="V746" s="686"/>
      <c r="W746" s="686"/>
      <c r="X746" s="686"/>
      <c r="Y746" s="686"/>
      <c r="Z746" s="686"/>
      <c r="AA746" s="686"/>
      <c r="AB746" s="686"/>
      <c r="AC746" s="686"/>
      <c r="AD746" s="686"/>
      <c r="AE746" s="686"/>
      <c r="AF746" s="686"/>
    </row>
    <row r="747" ht="15.75" customHeight="1">
      <c r="A747" s="683"/>
      <c r="B747" s="683"/>
      <c r="C747" s="684"/>
      <c r="D747" s="684"/>
      <c r="E747" s="684"/>
      <c r="F747" s="683"/>
      <c r="G747" s="683"/>
      <c r="H747" s="683"/>
      <c r="I747" s="683"/>
      <c r="J747" s="683"/>
      <c r="K747" s="683"/>
      <c r="L747" s="685"/>
      <c r="M747" s="685"/>
      <c r="N747" s="685"/>
      <c r="O747" s="683"/>
      <c r="P747" s="683"/>
      <c r="Q747" s="686"/>
      <c r="R747" s="686"/>
      <c r="S747" s="686"/>
      <c r="T747" s="686"/>
      <c r="U747" s="686"/>
      <c r="V747" s="686"/>
      <c r="W747" s="686"/>
      <c r="X747" s="686"/>
      <c r="Y747" s="686"/>
      <c r="Z747" s="686"/>
      <c r="AA747" s="686"/>
      <c r="AB747" s="686"/>
      <c r="AC747" s="686"/>
      <c r="AD747" s="686"/>
      <c r="AE747" s="686"/>
      <c r="AF747" s="686"/>
    </row>
    <row r="748" ht="15.75" customHeight="1">
      <c r="A748" s="683"/>
      <c r="B748" s="683"/>
      <c r="C748" s="684"/>
      <c r="D748" s="684"/>
      <c r="E748" s="684"/>
      <c r="F748" s="683"/>
      <c r="G748" s="683"/>
      <c r="H748" s="683"/>
      <c r="I748" s="683"/>
      <c r="J748" s="683"/>
      <c r="K748" s="683"/>
      <c r="L748" s="685"/>
      <c r="M748" s="685"/>
      <c r="N748" s="685"/>
      <c r="O748" s="683"/>
      <c r="P748" s="683"/>
      <c r="Q748" s="686"/>
      <c r="R748" s="686"/>
      <c r="S748" s="686"/>
      <c r="T748" s="686"/>
      <c r="U748" s="686"/>
      <c r="V748" s="686"/>
      <c r="W748" s="686"/>
      <c r="X748" s="686"/>
      <c r="Y748" s="686"/>
      <c r="Z748" s="686"/>
      <c r="AA748" s="686"/>
      <c r="AB748" s="686"/>
      <c r="AC748" s="686"/>
      <c r="AD748" s="686"/>
      <c r="AE748" s="686"/>
      <c r="AF748" s="686"/>
    </row>
    <row r="749" ht="15.75" customHeight="1">
      <c r="A749" s="683"/>
      <c r="B749" s="683"/>
      <c r="C749" s="684"/>
      <c r="D749" s="684"/>
      <c r="E749" s="684"/>
      <c r="F749" s="683"/>
      <c r="G749" s="683"/>
      <c r="H749" s="683"/>
      <c r="I749" s="683"/>
      <c r="J749" s="683"/>
      <c r="K749" s="683"/>
      <c r="L749" s="685"/>
      <c r="M749" s="685"/>
      <c r="N749" s="685"/>
      <c r="O749" s="683"/>
      <c r="P749" s="683"/>
      <c r="Q749" s="686"/>
      <c r="R749" s="686"/>
      <c r="S749" s="686"/>
      <c r="T749" s="686"/>
      <c r="U749" s="686"/>
      <c r="V749" s="686"/>
      <c r="W749" s="686"/>
      <c r="X749" s="686"/>
      <c r="Y749" s="686"/>
      <c r="Z749" s="686"/>
      <c r="AA749" s="686"/>
      <c r="AB749" s="686"/>
      <c r="AC749" s="686"/>
      <c r="AD749" s="686"/>
      <c r="AE749" s="686"/>
      <c r="AF749" s="686"/>
    </row>
    <row r="750" ht="15.75" customHeight="1">
      <c r="A750" s="683"/>
      <c r="B750" s="683"/>
      <c r="C750" s="684"/>
      <c r="D750" s="684"/>
      <c r="E750" s="684"/>
      <c r="F750" s="683"/>
      <c r="G750" s="683"/>
      <c r="H750" s="683"/>
      <c r="I750" s="683"/>
      <c r="J750" s="683"/>
      <c r="K750" s="683"/>
      <c r="L750" s="685"/>
      <c r="M750" s="685"/>
      <c r="N750" s="685"/>
      <c r="O750" s="683"/>
      <c r="P750" s="683"/>
      <c r="Q750" s="686"/>
      <c r="R750" s="686"/>
      <c r="S750" s="686"/>
      <c r="T750" s="686"/>
      <c r="U750" s="686"/>
      <c r="V750" s="686"/>
      <c r="W750" s="686"/>
      <c r="X750" s="686"/>
      <c r="Y750" s="686"/>
      <c r="Z750" s="686"/>
      <c r="AA750" s="686"/>
      <c r="AB750" s="686"/>
      <c r="AC750" s="686"/>
      <c r="AD750" s="686"/>
      <c r="AE750" s="686"/>
      <c r="AF750" s="686"/>
    </row>
    <row r="751" ht="15.75" customHeight="1">
      <c r="A751" s="683"/>
      <c r="B751" s="683"/>
      <c r="C751" s="684"/>
      <c r="D751" s="684"/>
      <c r="E751" s="684"/>
      <c r="F751" s="683"/>
      <c r="G751" s="683"/>
      <c r="H751" s="683"/>
      <c r="I751" s="683"/>
      <c r="J751" s="683"/>
      <c r="K751" s="683"/>
      <c r="L751" s="685"/>
      <c r="M751" s="685"/>
      <c r="N751" s="685"/>
      <c r="O751" s="683"/>
      <c r="P751" s="683"/>
      <c r="Q751" s="686"/>
      <c r="R751" s="686"/>
      <c r="S751" s="686"/>
      <c r="T751" s="686"/>
      <c r="U751" s="686"/>
      <c r="V751" s="686"/>
      <c r="W751" s="686"/>
      <c r="X751" s="686"/>
      <c r="Y751" s="686"/>
      <c r="Z751" s="686"/>
      <c r="AA751" s="686"/>
      <c r="AB751" s="686"/>
      <c r="AC751" s="686"/>
      <c r="AD751" s="686"/>
      <c r="AE751" s="686"/>
      <c r="AF751" s="686"/>
    </row>
    <row r="752" ht="15.75" customHeight="1">
      <c r="A752" s="683"/>
      <c r="B752" s="683"/>
      <c r="C752" s="684"/>
      <c r="D752" s="684"/>
      <c r="E752" s="684"/>
      <c r="F752" s="683"/>
      <c r="G752" s="683"/>
      <c r="H752" s="683"/>
      <c r="I752" s="683"/>
      <c r="J752" s="683"/>
      <c r="K752" s="683"/>
      <c r="L752" s="685"/>
      <c r="M752" s="685"/>
      <c r="N752" s="685"/>
      <c r="O752" s="683"/>
      <c r="P752" s="683"/>
      <c r="Q752" s="686"/>
      <c r="R752" s="686"/>
      <c r="S752" s="686"/>
      <c r="T752" s="686"/>
      <c r="U752" s="686"/>
      <c r="V752" s="686"/>
      <c r="W752" s="686"/>
      <c r="X752" s="686"/>
      <c r="Y752" s="686"/>
      <c r="Z752" s="686"/>
      <c r="AA752" s="686"/>
      <c r="AB752" s="686"/>
      <c r="AC752" s="686"/>
      <c r="AD752" s="686"/>
      <c r="AE752" s="686"/>
      <c r="AF752" s="686"/>
    </row>
    <row r="753" ht="15.75" customHeight="1">
      <c r="A753" s="683"/>
      <c r="B753" s="683"/>
      <c r="C753" s="684"/>
      <c r="D753" s="684"/>
      <c r="E753" s="684"/>
      <c r="F753" s="683"/>
      <c r="G753" s="683"/>
      <c r="H753" s="683"/>
      <c r="I753" s="683"/>
      <c r="J753" s="683"/>
      <c r="K753" s="683"/>
      <c r="L753" s="685"/>
      <c r="M753" s="685"/>
      <c r="N753" s="685"/>
      <c r="O753" s="683"/>
      <c r="P753" s="683"/>
      <c r="Q753" s="686"/>
      <c r="R753" s="686"/>
      <c r="S753" s="686"/>
      <c r="T753" s="686"/>
      <c r="U753" s="686"/>
      <c r="V753" s="686"/>
      <c r="W753" s="686"/>
      <c r="X753" s="686"/>
      <c r="Y753" s="686"/>
      <c r="Z753" s="686"/>
      <c r="AA753" s="686"/>
      <c r="AB753" s="686"/>
      <c r="AC753" s="686"/>
      <c r="AD753" s="686"/>
      <c r="AE753" s="686"/>
      <c r="AF753" s="686"/>
    </row>
    <row r="754" ht="15.75" customHeight="1">
      <c r="A754" s="683"/>
      <c r="B754" s="683"/>
      <c r="C754" s="684"/>
      <c r="D754" s="684"/>
      <c r="E754" s="684"/>
      <c r="F754" s="683"/>
      <c r="G754" s="683"/>
      <c r="H754" s="683"/>
      <c r="I754" s="683"/>
      <c r="J754" s="683"/>
      <c r="K754" s="683"/>
      <c r="L754" s="685"/>
      <c r="M754" s="685"/>
      <c r="N754" s="685"/>
      <c r="O754" s="683"/>
      <c r="P754" s="683"/>
      <c r="Q754" s="686"/>
      <c r="R754" s="686"/>
      <c r="S754" s="686"/>
      <c r="T754" s="686"/>
      <c r="U754" s="686"/>
      <c r="V754" s="686"/>
      <c r="W754" s="686"/>
      <c r="X754" s="686"/>
      <c r="Y754" s="686"/>
      <c r="Z754" s="686"/>
      <c r="AA754" s="686"/>
      <c r="AB754" s="686"/>
      <c r="AC754" s="686"/>
      <c r="AD754" s="686"/>
      <c r="AE754" s="686"/>
      <c r="AF754" s="686"/>
    </row>
    <row r="755" ht="15.75" customHeight="1">
      <c r="A755" s="683"/>
      <c r="B755" s="683"/>
      <c r="C755" s="684"/>
      <c r="D755" s="684"/>
      <c r="E755" s="684"/>
      <c r="F755" s="683"/>
      <c r="G755" s="683"/>
      <c r="H755" s="683"/>
      <c r="I755" s="683"/>
      <c r="J755" s="683"/>
      <c r="K755" s="683"/>
      <c r="L755" s="685"/>
      <c r="M755" s="685"/>
      <c r="N755" s="685"/>
      <c r="O755" s="683"/>
      <c r="P755" s="683"/>
      <c r="Q755" s="686"/>
      <c r="R755" s="686"/>
      <c r="S755" s="686"/>
      <c r="T755" s="686"/>
      <c r="U755" s="686"/>
      <c r="V755" s="686"/>
      <c r="W755" s="686"/>
      <c r="X755" s="686"/>
      <c r="Y755" s="686"/>
      <c r="Z755" s="686"/>
      <c r="AA755" s="686"/>
      <c r="AB755" s="686"/>
      <c r="AC755" s="686"/>
      <c r="AD755" s="686"/>
      <c r="AE755" s="686"/>
      <c r="AF755" s="686"/>
    </row>
    <row r="756" ht="15.75" customHeight="1">
      <c r="A756" s="683"/>
      <c r="B756" s="683"/>
      <c r="C756" s="684"/>
      <c r="D756" s="684"/>
      <c r="E756" s="686"/>
      <c r="F756" s="683"/>
      <c r="G756" s="683"/>
      <c r="H756" s="683"/>
      <c r="I756" s="683"/>
      <c r="J756" s="683"/>
      <c r="K756" s="683"/>
      <c r="L756" s="685"/>
      <c r="M756" s="685"/>
      <c r="N756" s="685"/>
      <c r="O756" s="683"/>
      <c r="P756" s="685"/>
      <c r="Q756" s="686"/>
      <c r="R756" s="686"/>
      <c r="S756" s="686"/>
      <c r="T756" s="686"/>
      <c r="U756" s="686"/>
      <c r="V756" s="686"/>
      <c r="W756" s="686"/>
      <c r="X756" s="686"/>
      <c r="Y756" s="686"/>
      <c r="Z756" s="686"/>
      <c r="AA756" s="686"/>
      <c r="AB756" s="686"/>
      <c r="AC756" s="686"/>
      <c r="AD756" s="686"/>
      <c r="AE756" s="686"/>
      <c r="AF756" s="686"/>
    </row>
    <row r="757" ht="15.75" customHeight="1">
      <c r="A757" s="683"/>
      <c r="B757" s="683"/>
      <c r="C757" s="684"/>
      <c r="D757" s="684"/>
      <c r="E757" s="684"/>
      <c r="F757" s="683"/>
      <c r="G757" s="683"/>
      <c r="H757" s="683"/>
      <c r="I757" s="683"/>
      <c r="J757" s="683"/>
      <c r="K757" s="683"/>
      <c r="L757" s="685"/>
      <c r="M757" s="685"/>
      <c r="N757" s="685"/>
      <c r="O757" s="683"/>
      <c r="P757" s="683"/>
      <c r="Q757" s="686"/>
      <c r="R757" s="686"/>
      <c r="S757" s="686"/>
      <c r="T757" s="686"/>
      <c r="U757" s="686"/>
      <c r="V757" s="686"/>
      <c r="W757" s="686"/>
      <c r="X757" s="686"/>
      <c r="Y757" s="686"/>
      <c r="Z757" s="686"/>
      <c r="AA757" s="686"/>
      <c r="AB757" s="686"/>
      <c r="AC757" s="686"/>
      <c r="AD757" s="686"/>
      <c r="AE757" s="686"/>
      <c r="AF757" s="686"/>
    </row>
    <row r="758" ht="15.75" customHeight="1">
      <c r="A758" s="683"/>
      <c r="B758" s="683"/>
      <c r="C758" s="684"/>
      <c r="D758" s="684"/>
      <c r="E758" s="684"/>
      <c r="F758" s="683"/>
      <c r="G758" s="683"/>
      <c r="H758" s="683"/>
      <c r="I758" s="683"/>
      <c r="J758" s="683"/>
      <c r="K758" s="683"/>
      <c r="L758" s="685"/>
      <c r="M758" s="685"/>
      <c r="N758" s="685"/>
      <c r="O758" s="683"/>
      <c r="P758" s="683"/>
      <c r="Q758" s="686"/>
      <c r="R758" s="686"/>
      <c r="S758" s="686"/>
      <c r="T758" s="686"/>
      <c r="U758" s="686"/>
      <c r="V758" s="686"/>
      <c r="W758" s="686"/>
      <c r="X758" s="686"/>
      <c r="Y758" s="686"/>
      <c r="Z758" s="686"/>
      <c r="AA758" s="686"/>
      <c r="AB758" s="686"/>
      <c r="AC758" s="686"/>
      <c r="AD758" s="686"/>
      <c r="AE758" s="686"/>
      <c r="AF758" s="686"/>
    </row>
    <row r="759" ht="15.75" customHeight="1">
      <c r="A759" s="683"/>
      <c r="B759" s="683"/>
      <c r="C759" s="684"/>
      <c r="D759" s="684"/>
      <c r="E759" s="684"/>
      <c r="F759" s="683"/>
      <c r="G759" s="683"/>
      <c r="H759" s="683"/>
      <c r="I759" s="683"/>
      <c r="J759" s="683"/>
      <c r="K759" s="683"/>
      <c r="L759" s="685"/>
      <c r="M759" s="685"/>
      <c r="N759" s="685"/>
      <c r="O759" s="683"/>
      <c r="P759" s="683"/>
      <c r="Q759" s="686"/>
      <c r="R759" s="686"/>
      <c r="S759" s="686"/>
      <c r="T759" s="686"/>
      <c r="U759" s="686"/>
      <c r="V759" s="686"/>
      <c r="W759" s="686"/>
      <c r="X759" s="686"/>
      <c r="Y759" s="686"/>
      <c r="Z759" s="686"/>
      <c r="AA759" s="686"/>
      <c r="AB759" s="686"/>
      <c r="AC759" s="686"/>
      <c r="AD759" s="686"/>
      <c r="AE759" s="686"/>
      <c r="AF759" s="686"/>
    </row>
    <row r="760" ht="15.75" customHeight="1">
      <c r="A760" s="683"/>
      <c r="B760" s="683"/>
      <c r="C760" s="684"/>
      <c r="D760" s="684"/>
      <c r="E760" s="684"/>
      <c r="F760" s="683"/>
      <c r="G760" s="683"/>
      <c r="H760" s="683"/>
      <c r="I760" s="683"/>
      <c r="J760" s="683"/>
      <c r="K760" s="683"/>
      <c r="L760" s="685"/>
      <c r="M760" s="685"/>
      <c r="N760" s="685"/>
      <c r="O760" s="683"/>
      <c r="P760" s="683"/>
      <c r="Q760" s="686"/>
      <c r="R760" s="686"/>
      <c r="S760" s="686"/>
      <c r="T760" s="686"/>
      <c r="U760" s="686"/>
      <c r="V760" s="686"/>
      <c r="W760" s="686"/>
      <c r="X760" s="686"/>
      <c r="Y760" s="686"/>
      <c r="Z760" s="686"/>
      <c r="AA760" s="686"/>
      <c r="AB760" s="686"/>
      <c r="AC760" s="686"/>
      <c r="AD760" s="686"/>
      <c r="AE760" s="686"/>
      <c r="AF760" s="686"/>
    </row>
    <row r="761" ht="15.75" customHeight="1">
      <c r="A761" s="683"/>
      <c r="B761" s="683"/>
      <c r="C761" s="684"/>
      <c r="D761" s="684"/>
      <c r="E761" s="684"/>
      <c r="F761" s="683"/>
      <c r="G761" s="683"/>
      <c r="H761" s="683"/>
      <c r="I761" s="683"/>
      <c r="J761" s="683"/>
      <c r="K761" s="683"/>
      <c r="L761" s="685"/>
      <c r="M761" s="685"/>
      <c r="N761" s="685"/>
      <c r="O761" s="683"/>
      <c r="P761" s="683"/>
      <c r="Q761" s="686"/>
      <c r="R761" s="686"/>
      <c r="S761" s="686"/>
      <c r="T761" s="686"/>
      <c r="U761" s="686"/>
      <c r="V761" s="686"/>
      <c r="W761" s="686"/>
      <c r="X761" s="686"/>
      <c r="Y761" s="686"/>
      <c r="Z761" s="686"/>
      <c r="AA761" s="686"/>
      <c r="AB761" s="686"/>
      <c r="AC761" s="686"/>
      <c r="AD761" s="686"/>
      <c r="AE761" s="686"/>
      <c r="AF761" s="686"/>
    </row>
    <row r="762" ht="15.75" customHeight="1">
      <c r="A762" s="683"/>
      <c r="B762" s="683"/>
      <c r="C762" s="684"/>
      <c r="D762" s="684"/>
      <c r="E762" s="684"/>
      <c r="F762" s="683"/>
      <c r="G762" s="683"/>
      <c r="H762" s="683"/>
      <c r="I762" s="683"/>
      <c r="J762" s="683"/>
      <c r="K762" s="683"/>
      <c r="L762" s="685"/>
      <c r="M762" s="685"/>
      <c r="N762" s="685"/>
      <c r="O762" s="683"/>
      <c r="P762" s="683"/>
      <c r="Q762" s="686"/>
      <c r="R762" s="686"/>
      <c r="S762" s="686"/>
      <c r="T762" s="686"/>
      <c r="U762" s="686"/>
      <c r="V762" s="686"/>
      <c r="W762" s="686"/>
      <c r="X762" s="686"/>
      <c r="Y762" s="686"/>
      <c r="Z762" s="686"/>
      <c r="AA762" s="686"/>
      <c r="AB762" s="686"/>
      <c r="AC762" s="686"/>
      <c r="AD762" s="686"/>
      <c r="AE762" s="686"/>
      <c r="AF762" s="686"/>
    </row>
    <row r="763" ht="15.75" customHeight="1">
      <c r="A763" s="683"/>
      <c r="B763" s="683"/>
      <c r="C763" s="684"/>
      <c r="D763" s="684"/>
      <c r="E763" s="684"/>
      <c r="F763" s="683"/>
      <c r="G763" s="683"/>
      <c r="H763" s="683"/>
      <c r="I763" s="683"/>
      <c r="J763" s="683"/>
      <c r="K763" s="683"/>
      <c r="L763" s="685"/>
      <c r="M763" s="685"/>
      <c r="N763" s="685"/>
      <c r="O763" s="683"/>
      <c r="P763" s="683"/>
      <c r="Q763" s="686"/>
      <c r="R763" s="686"/>
      <c r="S763" s="686"/>
      <c r="T763" s="686"/>
      <c r="U763" s="686"/>
      <c r="V763" s="686"/>
      <c r="W763" s="686"/>
      <c r="X763" s="686"/>
      <c r="Y763" s="686"/>
      <c r="Z763" s="686"/>
      <c r="AA763" s="686"/>
      <c r="AB763" s="686"/>
      <c r="AC763" s="686"/>
      <c r="AD763" s="686"/>
      <c r="AE763" s="686"/>
      <c r="AF763" s="686"/>
    </row>
    <row r="764" ht="15.75" customHeight="1">
      <c r="A764" s="683"/>
      <c r="B764" s="683"/>
      <c r="C764" s="684"/>
      <c r="D764" s="684"/>
      <c r="E764" s="684"/>
      <c r="F764" s="683"/>
      <c r="G764" s="683"/>
      <c r="H764" s="683"/>
      <c r="I764" s="683"/>
      <c r="J764" s="683"/>
      <c r="K764" s="683"/>
      <c r="L764" s="685"/>
      <c r="M764" s="685"/>
      <c r="N764" s="685"/>
      <c r="O764" s="683"/>
      <c r="P764" s="683"/>
      <c r="Q764" s="686"/>
      <c r="R764" s="686"/>
      <c r="S764" s="686"/>
      <c r="T764" s="686"/>
      <c r="U764" s="686"/>
      <c r="V764" s="686"/>
      <c r="W764" s="686"/>
      <c r="X764" s="686"/>
      <c r="Y764" s="686"/>
      <c r="Z764" s="686"/>
      <c r="AA764" s="686"/>
      <c r="AB764" s="686"/>
      <c r="AC764" s="686"/>
      <c r="AD764" s="686"/>
      <c r="AE764" s="686"/>
      <c r="AF764" s="686"/>
    </row>
    <row r="765" ht="15.75" customHeight="1">
      <c r="A765" s="683"/>
      <c r="B765" s="683"/>
      <c r="C765" s="684"/>
      <c r="D765" s="684"/>
      <c r="E765" s="684"/>
      <c r="F765" s="683"/>
      <c r="G765" s="683"/>
      <c r="H765" s="683"/>
      <c r="I765" s="683"/>
      <c r="J765" s="683"/>
      <c r="K765" s="683"/>
      <c r="L765" s="685"/>
      <c r="M765" s="685"/>
      <c r="N765" s="685"/>
      <c r="O765" s="683"/>
      <c r="P765" s="683"/>
      <c r="Q765" s="686"/>
      <c r="R765" s="686"/>
      <c r="S765" s="686"/>
      <c r="T765" s="686"/>
      <c r="U765" s="686"/>
      <c r="V765" s="686"/>
      <c r="W765" s="686"/>
      <c r="X765" s="686"/>
      <c r="Y765" s="686"/>
      <c r="Z765" s="686"/>
      <c r="AA765" s="686"/>
      <c r="AB765" s="686"/>
      <c r="AC765" s="686"/>
      <c r="AD765" s="686"/>
      <c r="AE765" s="686"/>
      <c r="AF765" s="686"/>
    </row>
    <row r="766" ht="15.75" customHeight="1">
      <c r="A766" s="683"/>
      <c r="B766" s="683"/>
      <c r="C766" s="684"/>
      <c r="D766" s="684"/>
      <c r="E766" s="684"/>
      <c r="F766" s="683"/>
      <c r="G766" s="683"/>
      <c r="H766" s="683"/>
      <c r="I766" s="683"/>
      <c r="J766" s="683"/>
      <c r="K766" s="683"/>
      <c r="L766" s="685"/>
      <c r="M766" s="685"/>
      <c r="N766" s="685"/>
      <c r="O766" s="683"/>
      <c r="P766" s="683"/>
      <c r="Q766" s="686"/>
      <c r="R766" s="686"/>
      <c r="S766" s="686"/>
      <c r="T766" s="686"/>
      <c r="U766" s="686"/>
      <c r="V766" s="686"/>
      <c r="W766" s="686"/>
      <c r="X766" s="686"/>
      <c r="Y766" s="686"/>
      <c r="Z766" s="686"/>
      <c r="AA766" s="686"/>
      <c r="AB766" s="686"/>
      <c r="AC766" s="686"/>
      <c r="AD766" s="686"/>
      <c r="AE766" s="686"/>
      <c r="AF766" s="686"/>
    </row>
    <row r="767" ht="15.75" customHeight="1">
      <c r="A767" s="683"/>
      <c r="B767" s="683"/>
      <c r="C767" s="684"/>
      <c r="D767" s="684"/>
      <c r="E767" s="684"/>
      <c r="F767" s="683"/>
      <c r="G767" s="683"/>
      <c r="H767" s="683"/>
      <c r="I767" s="683"/>
      <c r="J767" s="683"/>
      <c r="K767" s="683"/>
      <c r="L767" s="685"/>
      <c r="M767" s="685"/>
      <c r="N767" s="685"/>
      <c r="O767" s="683"/>
      <c r="P767" s="683"/>
      <c r="Q767" s="686"/>
      <c r="R767" s="686"/>
      <c r="S767" s="686"/>
      <c r="T767" s="686"/>
      <c r="U767" s="686"/>
      <c r="V767" s="686"/>
      <c r="W767" s="686"/>
      <c r="X767" s="686"/>
      <c r="Y767" s="686"/>
      <c r="Z767" s="686"/>
      <c r="AA767" s="686"/>
      <c r="AB767" s="686"/>
      <c r="AC767" s="686"/>
      <c r="AD767" s="686"/>
      <c r="AE767" s="686"/>
      <c r="AF767" s="686"/>
    </row>
    <row r="768" ht="15.75" customHeight="1">
      <c r="A768" s="683"/>
      <c r="B768" s="683"/>
      <c r="C768" s="684"/>
      <c r="D768" s="684"/>
      <c r="E768" s="684"/>
      <c r="F768" s="683"/>
      <c r="G768" s="683"/>
      <c r="H768" s="683"/>
      <c r="I768" s="683"/>
      <c r="J768" s="683"/>
      <c r="K768" s="683"/>
      <c r="L768" s="685"/>
      <c r="M768" s="685"/>
      <c r="N768" s="685"/>
      <c r="O768" s="683"/>
      <c r="P768" s="683"/>
      <c r="Q768" s="686"/>
      <c r="R768" s="686"/>
      <c r="S768" s="686"/>
      <c r="T768" s="686"/>
      <c r="U768" s="686"/>
      <c r="V768" s="686"/>
      <c r="W768" s="686"/>
      <c r="X768" s="686"/>
      <c r="Y768" s="686"/>
      <c r="Z768" s="686"/>
      <c r="AA768" s="686"/>
      <c r="AB768" s="686"/>
      <c r="AC768" s="686"/>
      <c r="AD768" s="686"/>
      <c r="AE768" s="686"/>
      <c r="AF768" s="686"/>
    </row>
    <row r="769" ht="15.75" customHeight="1">
      <c r="A769" s="683"/>
      <c r="B769" s="683"/>
      <c r="C769" s="684"/>
      <c r="D769" s="684"/>
      <c r="E769" s="684"/>
      <c r="F769" s="683"/>
      <c r="G769" s="683"/>
      <c r="H769" s="683"/>
      <c r="I769" s="683"/>
      <c r="J769" s="683"/>
      <c r="K769" s="683"/>
      <c r="L769" s="685"/>
      <c r="M769" s="685"/>
      <c r="N769" s="685"/>
      <c r="O769" s="683"/>
      <c r="P769" s="683"/>
      <c r="Q769" s="686"/>
      <c r="R769" s="686"/>
      <c r="S769" s="686"/>
      <c r="T769" s="686"/>
      <c r="U769" s="686"/>
      <c r="V769" s="686"/>
      <c r="W769" s="686"/>
      <c r="X769" s="686"/>
      <c r="Y769" s="686"/>
      <c r="Z769" s="686"/>
      <c r="AA769" s="686"/>
      <c r="AB769" s="686"/>
      <c r="AC769" s="686"/>
      <c r="AD769" s="686"/>
      <c r="AE769" s="686"/>
      <c r="AF769" s="686"/>
    </row>
    <row r="770" ht="15.75" customHeight="1">
      <c r="A770" s="683"/>
      <c r="B770" s="683"/>
      <c r="C770" s="684"/>
      <c r="D770" s="684"/>
      <c r="E770" s="684"/>
      <c r="F770" s="683"/>
      <c r="G770" s="683"/>
      <c r="H770" s="683"/>
      <c r="I770" s="683"/>
      <c r="J770" s="683"/>
      <c r="K770" s="683"/>
      <c r="L770" s="685"/>
      <c r="M770" s="685"/>
      <c r="N770" s="685"/>
      <c r="O770" s="683"/>
      <c r="P770" s="683"/>
      <c r="Q770" s="686"/>
      <c r="R770" s="686"/>
      <c r="S770" s="686"/>
      <c r="T770" s="686"/>
      <c r="U770" s="686"/>
      <c r="V770" s="686"/>
      <c r="W770" s="686"/>
      <c r="X770" s="686"/>
      <c r="Y770" s="686"/>
      <c r="Z770" s="686"/>
      <c r="AA770" s="686"/>
      <c r="AB770" s="686"/>
      <c r="AC770" s="686"/>
      <c r="AD770" s="686"/>
      <c r="AE770" s="686"/>
      <c r="AF770" s="686"/>
    </row>
    <row r="771" ht="15.75" customHeight="1">
      <c r="A771" s="683"/>
      <c r="B771" s="683"/>
      <c r="C771" s="684"/>
      <c r="D771" s="684"/>
      <c r="E771" s="684"/>
      <c r="F771" s="683"/>
      <c r="G771" s="683"/>
      <c r="H771" s="683"/>
      <c r="I771" s="683"/>
      <c r="J771" s="683"/>
      <c r="K771" s="683"/>
      <c r="L771" s="685"/>
      <c r="M771" s="685"/>
      <c r="N771" s="685"/>
      <c r="O771" s="683"/>
      <c r="P771" s="683"/>
      <c r="Q771" s="686"/>
      <c r="R771" s="686"/>
      <c r="S771" s="686"/>
      <c r="T771" s="686"/>
      <c r="U771" s="686"/>
      <c r="V771" s="686"/>
      <c r="W771" s="686"/>
      <c r="X771" s="686"/>
      <c r="Y771" s="686"/>
      <c r="Z771" s="686"/>
      <c r="AA771" s="686"/>
      <c r="AB771" s="686"/>
      <c r="AC771" s="686"/>
      <c r="AD771" s="686"/>
      <c r="AE771" s="686"/>
      <c r="AF771" s="686"/>
    </row>
    <row r="772" ht="15.75" customHeight="1">
      <c r="A772" s="683"/>
      <c r="B772" s="683"/>
      <c r="C772" s="684"/>
      <c r="D772" s="684"/>
      <c r="E772" s="684"/>
      <c r="F772" s="683"/>
      <c r="G772" s="683"/>
      <c r="H772" s="683"/>
      <c r="I772" s="683"/>
      <c r="J772" s="683"/>
      <c r="K772" s="683"/>
      <c r="L772" s="685"/>
      <c r="M772" s="685"/>
      <c r="N772" s="685"/>
      <c r="O772" s="683"/>
      <c r="P772" s="683"/>
      <c r="Q772" s="686"/>
      <c r="R772" s="686"/>
      <c r="S772" s="686"/>
      <c r="T772" s="686"/>
      <c r="U772" s="686"/>
      <c r="V772" s="686"/>
      <c r="W772" s="686"/>
      <c r="X772" s="686"/>
      <c r="Y772" s="686"/>
      <c r="Z772" s="686"/>
      <c r="AA772" s="686"/>
      <c r="AB772" s="686"/>
      <c r="AC772" s="686"/>
      <c r="AD772" s="686"/>
      <c r="AE772" s="686"/>
      <c r="AF772" s="686"/>
    </row>
    <row r="773" ht="15.75" customHeight="1">
      <c r="A773" s="683"/>
      <c r="B773" s="683"/>
      <c r="C773" s="684"/>
      <c r="D773" s="684"/>
      <c r="E773" s="684"/>
      <c r="F773" s="683"/>
      <c r="G773" s="683"/>
      <c r="H773" s="683"/>
      <c r="I773" s="683"/>
      <c r="J773" s="683"/>
      <c r="K773" s="683"/>
      <c r="L773" s="685"/>
      <c r="M773" s="685"/>
      <c r="N773" s="685"/>
      <c r="O773" s="683"/>
      <c r="P773" s="683"/>
      <c r="Q773" s="686"/>
      <c r="R773" s="686"/>
      <c r="S773" s="686"/>
      <c r="T773" s="686"/>
      <c r="U773" s="686"/>
      <c r="V773" s="686"/>
      <c r="W773" s="686"/>
      <c r="X773" s="686"/>
      <c r="Y773" s="686"/>
      <c r="Z773" s="686"/>
      <c r="AA773" s="686"/>
      <c r="AB773" s="686"/>
      <c r="AC773" s="686"/>
      <c r="AD773" s="686"/>
      <c r="AE773" s="686"/>
      <c r="AF773" s="686"/>
    </row>
    <row r="774" ht="15.75" customHeight="1">
      <c r="A774" s="683"/>
      <c r="B774" s="683"/>
      <c r="C774" s="684"/>
      <c r="D774" s="684"/>
      <c r="E774" s="684"/>
      <c r="F774" s="683"/>
      <c r="G774" s="683"/>
      <c r="H774" s="683"/>
      <c r="I774" s="683"/>
      <c r="J774" s="683"/>
      <c r="K774" s="683"/>
      <c r="L774" s="685"/>
      <c r="M774" s="685"/>
      <c r="N774" s="685"/>
      <c r="O774" s="683"/>
      <c r="P774" s="683"/>
      <c r="Q774" s="686"/>
      <c r="R774" s="686"/>
      <c r="S774" s="686"/>
      <c r="T774" s="686"/>
      <c r="U774" s="686"/>
      <c r="V774" s="686"/>
      <c r="W774" s="686"/>
      <c r="X774" s="686"/>
      <c r="Y774" s="686"/>
      <c r="Z774" s="686"/>
      <c r="AA774" s="686"/>
      <c r="AB774" s="686"/>
      <c r="AC774" s="686"/>
      <c r="AD774" s="686"/>
      <c r="AE774" s="686"/>
      <c r="AF774" s="686"/>
    </row>
    <row r="775" ht="15.75" customHeight="1">
      <c r="A775" s="683"/>
      <c r="B775" s="683"/>
      <c r="C775" s="684"/>
      <c r="D775" s="684"/>
      <c r="E775" s="684"/>
      <c r="F775" s="683"/>
      <c r="G775" s="683"/>
      <c r="H775" s="683"/>
      <c r="I775" s="683"/>
      <c r="J775" s="683"/>
      <c r="K775" s="683"/>
      <c r="L775" s="685"/>
      <c r="M775" s="685"/>
      <c r="N775" s="685"/>
      <c r="O775" s="683"/>
      <c r="P775" s="683"/>
      <c r="Q775" s="686"/>
      <c r="R775" s="686"/>
      <c r="S775" s="686"/>
      <c r="T775" s="686"/>
      <c r="U775" s="686"/>
      <c r="V775" s="686"/>
      <c r="W775" s="686"/>
      <c r="X775" s="686"/>
      <c r="Y775" s="686"/>
      <c r="Z775" s="686"/>
      <c r="AA775" s="686"/>
      <c r="AB775" s="686"/>
      <c r="AC775" s="686"/>
      <c r="AD775" s="686"/>
      <c r="AE775" s="686"/>
      <c r="AF775" s="686"/>
    </row>
    <row r="776" ht="15.75" customHeight="1">
      <c r="A776" s="683"/>
      <c r="B776" s="683"/>
      <c r="C776" s="684"/>
      <c r="D776" s="684"/>
      <c r="E776" s="684"/>
      <c r="F776" s="683"/>
      <c r="G776" s="683"/>
      <c r="H776" s="683"/>
      <c r="I776" s="683"/>
      <c r="J776" s="683"/>
      <c r="K776" s="683"/>
      <c r="L776" s="685"/>
      <c r="M776" s="685"/>
      <c r="N776" s="685"/>
      <c r="O776" s="683"/>
      <c r="P776" s="683"/>
      <c r="Q776" s="686"/>
      <c r="R776" s="686"/>
      <c r="S776" s="686"/>
      <c r="T776" s="686"/>
      <c r="U776" s="686"/>
      <c r="V776" s="686"/>
      <c r="W776" s="686"/>
      <c r="X776" s="686"/>
      <c r="Y776" s="686"/>
      <c r="Z776" s="686"/>
      <c r="AA776" s="686"/>
      <c r="AB776" s="686"/>
      <c r="AC776" s="686"/>
      <c r="AD776" s="686"/>
      <c r="AE776" s="686"/>
      <c r="AF776" s="686"/>
    </row>
    <row r="777" ht="15.75" customHeight="1">
      <c r="A777" s="683"/>
      <c r="B777" s="683"/>
      <c r="C777" s="684"/>
      <c r="D777" s="684"/>
      <c r="E777" s="684"/>
      <c r="F777" s="683"/>
      <c r="G777" s="683"/>
      <c r="H777" s="683"/>
      <c r="I777" s="683"/>
      <c r="J777" s="683"/>
      <c r="K777" s="683"/>
      <c r="L777" s="685"/>
      <c r="M777" s="685"/>
      <c r="N777" s="685"/>
      <c r="O777" s="683"/>
      <c r="P777" s="683"/>
      <c r="Q777" s="686"/>
      <c r="R777" s="686"/>
      <c r="S777" s="686"/>
      <c r="T777" s="686"/>
      <c r="U777" s="686"/>
      <c r="V777" s="686"/>
      <c r="W777" s="686"/>
      <c r="X777" s="686"/>
      <c r="Y777" s="686"/>
      <c r="Z777" s="686"/>
      <c r="AA777" s="686"/>
      <c r="AB777" s="686"/>
      <c r="AC777" s="686"/>
      <c r="AD777" s="686"/>
      <c r="AE777" s="686"/>
      <c r="AF777" s="686"/>
    </row>
    <row r="778" ht="15.75" customHeight="1">
      <c r="A778" s="683"/>
      <c r="B778" s="683"/>
      <c r="C778" s="684"/>
      <c r="D778" s="684"/>
      <c r="E778" s="684"/>
      <c r="F778" s="683"/>
      <c r="G778" s="683"/>
      <c r="H778" s="683"/>
      <c r="I778" s="683"/>
      <c r="J778" s="683"/>
      <c r="K778" s="683"/>
      <c r="L778" s="685"/>
      <c r="M778" s="685"/>
      <c r="N778" s="685"/>
      <c r="O778" s="683"/>
      <c r="P778" s="683"/>
      <c r="Q778" s="686"/>
      <c r="R778" s="686"/>
      <c r="S778" s="686"/>
      <c r="T778" s="686"/>
      <c r="U778" s="686"/>
      <c r="V778" s="686"/>
      <c r="W778" s="686"/>
      <c r="X778" s="686"/>
      <c r="Y778" s="686"/>
      <c r="Z778" s="686"/>
      <c r="AA778" s="686"/>
      <c r="AB778" s="686"/>
      <c r="AC778" s="686"/>
      <c r="AD778" s="686"/>
      <c r="AE778" s="686"/>
      <c r="AF778" s="686"/>
    </row>
    <row r="779" ht="15.75" customHeight="1">
      <c r="A779" s="683"/>
      <c r="B779" s="683"/>
      <c r="C779" s="684"/>
      <c r="D779" s="684"/>
      <c r="E779" s="684"/>
      <c r="F779" s="683"/>
      <c r="G779" s="683"/>
      <c r="H779" s="683"/>
      <c r="I779" s="683"/>
      <c r="J779" s="683"/>
      <c r="K779" s="683"/>
      <c r="L779" s="685"/>
      <c r="M779" s="685"/>
      <c r="N779" s="685"/>
      <c r="O779" s="683"/>
      <c r="P779" s="683"/>
      <c r="Q779" s="686"/>
      <c r="R779" s="686"/>
      <c r="S779" s="686"/>
      <c r="T779" s="686"/>
      <c r="U779" s="686"/>
      <c r="V779" s="686"/>
      <c r="W779" s="686"/>
      <c r="X779" s="686"/>
      <c r="Y779" s="686"/>
      <c r="Z779" s="686"/>
      <c r="AA779" s="686"/>
      <c r="AB779" s="686"/>
      <c r="AC779" s="686"/>
      <c r="AD779" s="686"/>
      <c r="AE779" s="686"/>
      <c r="AF779" s="686"/>
    </row>
    <row r="780" ht="15.75" customHeight="1">
      <c r="A780" s="683"/>
      <c r="B780" s="683"/>
      <c r="C780" s="684"/>
      <c r="D780" s="684"/>
      <c r="E780" s="684"/>
      <c r="F780" s="683"/>
      <c r="G780" s="683"/>
      <c r="H780" s="683"/>
      <c r="I780" s="683"/>
      <c r="J780" s="683"/>
      <c r="K780" s="683"/>
      <c r="L780" s="685"/>
      <c r="M780" s="685"/>
      <c r="N780" s="685"/>
      <c r="O780" s="683"/>
      <c r="P780" s="683"/>
      <c r="Q780" s="686"/>
      <c r="R780" s="686"/>
      <c r="S780" s="686"/>
      <c r="T780" s="686"/>
      <c r="U780" s="686"/>
      <c r="V780" s="686"/>
      <c r="W780" s="686"/>
      <c r="X780" s="686"/>
      <c r="Y780" s="686"/>
      <c r="Z780" s="686"/>
      <c r="AA780" s="686"/>
      <c r="AB780" s="686"/>
      <c r="AC780" s="686"/>
      <c r="AD780" s="686"/>
      <c r="AE780" s="686"/>
      <c r="AF780" s="686"/>
    </row>
    <row r="781" ht="15.75" customHeight="1">
      <c r="A781" s="683"/>
      <c r="B781" s="683"/>
      <c r="C781" s="684"/>
      <c r="D781" s="684"/>
      <c r="E781" s="684"/>
      <c r="F781" s="683"/>
      <c r="G781" s="683"/>
      <c r="H781" s="683"/>
      <c r="I781" s="683"/>
      <c r="J781" s="683"/>
      <c r="K781" s="683"/>
      <c r="L781" s="685"/>
      <c r="M781" s="685"/>
      <c r="N781" s="685"/>
      <c r="O781" s="683"/>
      <c r="P781" s="683"/>
      <c r="Q781" s="686"/>
      <c r="R781" s="686"/>
      <c r="S781" s="686"/>
      <c r="T781" s="686"/>
      <c r="U781" s="686"/>
      <c r="V781" s="686"/>
      <c r="W781" s="686"/>
      <c r="X781" s="686"/>
      <c r="Y781" s="686"/>
      <c r="Z781" s="686"/>
      <c r="AA781" s="686"/>
      <c r="AB781" s="686"/>
      <c r="AC781" s="686"/>
      <c r="AD781" s="686"/>
      <c r="AE781" s="686"/>
      <c r="AF781" s="686"/>
    </row>
    <row r="782" ht="15.75" customHeight="1">
      <c r="A782" s="683"/>
      <c r="B782" s="683"/>
      <c r="C782" s="684"/>
      <c r="D782" s="684"/>
      <c r="E782" s="684"/>
      <c r="F782" s="683"/>
      <c r="G782" s="683"/>
      <c r="H782" s="683"/>
      <c r="I782" s="683"/>
      <c r="J782" s="683"/>
      <c r="K782" s="683"/>
      <c r="L782" s="685"/>
      <c r="M782" s="685"/>
      <c r="N782" s="685"/>
      <c r="O782" s="683"/>
      <c r="P782" s="683"/>
      <c r="Q782" s="686"/>
      <c r="R782" s="686"/>
      <c r="S782" s="686"/>
      <c r="T782" s="686"/>
      <c r="U782" s="686"/>
      <c r="V782" s="686"/>
      <c r="W782" s="686"/>
      <c r="X782" s="686"/>
      <c r="Y782" s="686"/>
      <c r="Z782" s="686"/>
      <c r="AA782" s="686"/>
      <c r="AB782" s="686"/>
      <c r="AC782" s="686"/>
      <c r="AD782" s="686"/>
      <c r="AE782" s="686"/>
      <c r="AF782" s="686"/>
    </row>
    <row r="783" ht="15.75" customHeight="1">
      <c r="A783" s="683"/>
      <c r="B783" s="683"/>
      <c r="C783" s="684"/>
      <c r="D783" s="684"/>
      <c r="E783" s="684"/>
      <c r="F783" s="683"/>
      <c r="G783" s="683"/>
      <c r="H783" s="683"/>
      <c r="I783" s="683"/>
      <c r="J783" s="683"/>
      <c r="K783" s="683"/>
      <c r="L783" s="685"/>
      <c r="M783" s="685"/>
      <c r="N783" s="685"/>
      <c r="O783" s="683"/>
      <c r="P783" s="683"/>
      <c r="Q783" s="686"/>
      <c r="R783" s="686"/>
      <c r="S783" s="686"/>
      <c r="T783" s="686"/>
      <c r="U783" s="686"/>
      <c r="V783" s="686"/>
      <c r="W783" s="686"/>
      <c r="X783" s="686"/>
      <c r="Y783" s="686"/>
      <c r="Z783" s="686"/>
      <c r="AA783" s="686"/>
      <c r="AB783" s="686"/>
      <c r="AC783" s="686"/>
      <c r="AD783" s="686"/>
      <c r="AE783" s="686"/>
      <c r="AF783" s="686"/>
    </row>
    <row r="784" ht="15.75" customHeight="1">
      <c r="A784" s="683"/>
      <c r="B784" s="683"/>
      <c r="C784" s="684"/>
      <c r="D784" s="684"/>
      <c r="E784" s="684"/>
      <c r="F784" s="683"/>
      <c r="G784" s="683"/>
      <c r="H784" s="683"/>
      <c r="I784" s="683"/>
      <c r="J784" s="683"/>
      <c r="K784" s="683"/>
      <c r="L784" s="685"/>
      <c r="M784" s="685"/>
      <c r="N784" s="685"/>
      <c r="O784" s="683"/>
      <c r="P784" s="683"/>
      <c r="Q784" s="686"/>
      <c r="R784" s="686"/>
      <c r="S784" s="686"/>
      <c r="T784" s="686"/>
      <c r="U784" s="686"/>
      <c r="V784" s="686"/>
      <c r="W784" s="686"/>
      <c r="X784" s="686"/>
      <c r="Y784" s="686"/>
      <c r="Z784" s="686"/>
      <c r="AA784" s="686"/>
      <c r="AB784" s="686"/>
      <c r="AC784" s="686"/>
      <c r="AD784" s="686"/>
      <c r="AE784" s="686"/>
      <c r="AF784" s="686"/>
    </row>
    <row r="785" ht="15.75" customHeight="1">
      <c r="A785" s="683"/>
      <c r="B785" s="683"/>
      <c r="C785" s="684"/>
      <c r="D785" s="684"/>
      <c r="E785" s="684"/>
      <c r="F785" s="683"/>
      <c r="G785" s="683"/>
      <c r="H785" s="683"/>
      <c r="I785" s="683"/>
      <c r="J785" s="683"/>
      <c r="K785" s="683"/>
      <c r="L785" s="685"/>
      <c r="M785" s="685"/>
      <c r="N785" s="685"/>
      <c r="O785" s="683"/>
      <c r="P785" s="683"/>
      <c r="Q785" s="686"/>
      <c r="R785" s="686"/>
      <c r="S785" s="686"/>
      <c r="T785" s="686"/>
      <c r="U785" s="686"/>
      <c r="V785" s="686"/>
      <c r="W785" s="686"/>
      <c r="X785" s="686"/>
      <c r="Y785" s="686"/>
      <c r="Z785" s="686"/>
      <c r="AA785" s="686"/>
      <c r="AB785" s="686"/>
      <c r="AC785" s="686"/>
      <c r="AD785" s="686"/>
      <c r="AE785" s="686"/>
      <c r="AF785" s="686"/>
    </row>
    <row r="786" ht="15.75" customHeight="1">
      <c r="A786" s="683"/>
      <c r="B786" s="683"/>
      <c r="C786" s="684"/>
      <c r="D786" s="684"/>
      <c r="E786" s="684"/>
      <c r="F786" s="683"/>
      <c r="G786" s="683"/>
      <c r="H786" s="683"/>
      <c r="I786" s="683"/>
      <c r="J786" s="683"/>
      <c r="K786" s="683"/>
      <c r="L786" s="685"/>
      <c r="M786" s="685"/>
      <c r="N786" s="685"/>
      <c r="O786" s="683"/>
      <c r="P786" s="683"/>
      <c r="Q786" s="686"/>
      <c r="R786" s="686"/>
      <c r="S786" s="686"/>
      <c r="T786" s="686"/>
      <c r="U786" s="686"/>
      <c r="V786" s="686"/>
      <c r="W786" s="686"/>
      <c r="X786" s="686"/>
      <c r="Y786" s="686"/>
      <c r="Z786" s="686"/>
      <c r="AA786" s="686"/>
      <c r="AB786" s="686"/>
      <c r="AC786" s="686"/>
      <c r="AD786" s="686"/>
      <c r="AE786" s="686"/>
      <c r="AF786" s="686"/>
    </row>
    <row r="787" ht="15.75" customHeight="1">
      <c r="A787" s="683"/>
      <c r="B787" s="683"/>
      <c r="C787" s="684"/>
      <c r="D787" s="684"/>
      <c r="E787" s="684"/>
      <c r="F787" s="683"/>
      <c r="G787" s="683"/>
      <c r="H787" s="683"/>
      <c r="I787" s="683"/>
      <c r="J787" s="683"/>
      <c r="K787" s="683"/>
      <c r="L787" s="685"/>
      <c r="M787" s="685"/>
      <c r="N787" s="685"/>
      <c r="O787" s="683"/>
      <c r="P787" s="683"/>
      <c r="Q787" s="686"/>
      <c r="R787" s="686"/>
      <c r="S787" s="686"/>
      <c r="T787" s="686"/>
      <c r="U787" s="686"/>
      <c r="V787" s="686"/>
      <c r="W787" s="686"/>
      <c r="X787" s="686"/>
      <c r="Y787" s="686"/>
      <c r="Z787" s="686"/>
      <c r="AA787" s="686"/>
      <c r="AB787" s="686"/>
      <c r="AC787" s="686"/>
      <c r="AD787" s="686"/>
      <c r="AE787" s="686"/>
      <c r="AF787" s="686"/>
    </row>
    <row r="788" ht="15.75" customHeight="1">
      <c r="A788" s="683"/>
      <c r="B788" s="683"/>
      <c r="C788" s="684"/>
      <c r="D788" s="684"/>
      <c r="E788" s="684"/>
      <c r="F788" s="683"/>
      <c r="G788" s="683"/>
      <c r="H788" s="683"/>
      <c r="I788" s="683"/>
      <c r="J788" s="683"/>
      <c r="K788" s="683"/>
      <c r="L788" s="685"/>
      <c r="M788" s="685"/>
      <c r="N788" s="685"/>
      <c r="O788" s="683"/>
      <c r="P788" s="683"/>
      <c r="Q788" s="686"/>
      <c r="R788" s="686"/>
      <c r="S788" s="686"/>
      <c r="T788" s="686"/>
      <c r="U788" s="686"/>
      <c r="V788" s="686"/>
      <c r="W788" s="686"/>
      <c r="X788" s="686"/>
      <c r="Y788" s="686"/>
      <c r="Z788" s="686"/>
      <c r="AA788" s="686"/>
      <c r="AB788" s="686"/>
      <c r="AC788" s="686"/>
      <c r="AD788" s="686"/>
      <c r="AE788" s="686"/>
      <c r="AF788" s="686"/>
    </row>
    <row r="789" ht="15.75" customHeight="1">
      <c r="A789" s="683"/>
      <c r="B789" s="683"/>
      <c r="C789" s="684"/>
      <c r="D789" s="684"/>
      <c r="E789" s="684"/>
      <c r="F789" s="683"/>
      <c r="G789" s="683"/>
      <c r="H789" s="683"/>
      <c r="I789" s="683"/>
      <c r="J789" s="683"/>
      <c r="K789" s="683"/>
      <c r="L789" s="685"/>
      <c r="M789" s="685"/>
      <c r="N789" s="685"/>
      <c r="O789" s="683"/>
      <c r="P789" s="683"/>
      <c r="Q789" s="686"/>
      <c r="R789" s="686"/>
      <c r="S789" s="686"/>
      <c r="T789" s="686"/>
      <c r="U789" s="686"/>
      <c r="V789" s="686"/>
      <c r="W789" s="686"/>
      <c r="X789" s="686"/>
      <c r="Y789" s="686"/>
      <c r="Z789" s="686"/>
      <c r="AA789" s="686"/>
      <c r="AB789" s="686"/>
      <c r="AC789" s="686"/>
      <c r="AD789" s="686"/>
      <c r="AE789" s="686"/>
      <c r="AF789" s="686"/>
    </row>
    <row r="790" ht="15.75" customHeight="1">
      <c r="A790" s="683"/>
      <c r="B790" s="683"/>
      <c r="C790" s="684"/>
      <c r="D790" s="684"/>
      <c r="E790" s="684"/>
      <c r="F790" s="683"/>
      <c r="G790" s="683"/>
      <c r="H790" s="683"/>
      <c r="I790" s="683"/>
      <c r="J790" s="683"/>
      <c r="K790" s="683"/>
      <c r="L790" s="685"/>
      <c r="M790" s="685"/>
      <c r="N790" s="685"/>
      <c r="O790" s="683"/>
      <c r="P790" s="683"/>
      <c r="Q790" s="686"/>
      <c r="R790" s="686"/>
      <c r="S790" s="686"/>
      <c r="T790" s="686"/>
      <c r="U790" s="686"/>
      <c r="V790" s="686"/>
      <c r="W790" s="686"/>
      <c r="X790" s="686"/>
      <c r="Y790" s="686"/>
      <c r="Z790" s="686"/>
      <c r="AA790" s="686"/>
      <c r="AB790" s="686"/>
      <c r="AC790" s="686"/>
      <c r="AD790" s="686"/>
      <c r="AE790" s="686"/>
      <c r="AF790" s="686"/>
    </row>
    <row r="791" ht="15.75" customHeight="1">
      <c r="A791" s="683"/>
      <c r="B791" s="683"/>
      <c r="C791" s="684"/>
      <c r="D791" s="684"/>
      <c r="E791" s="684"/>
      <c r="F791" s="683"/>
      <c r="G791" s="683"/>
      <c r="H791" s="683"/>
      <c r="I791" s="683"/>
      <c r="J791" s="683"/>
      <c r="K791" s="683"/>
      <c r="L791" s="685"/>
      <c r="M791" s="685"/>
      <c r="N791" s="685"/>
      <c r="O791" s="683"/>
      <c r="P791" s="683"/>
      <c r="Q791" s="686"/>
      <c r="R791" s="686"/>
      <c r="S791" s="686"/>
      <c r="T791" s="686"/>
      <c r="U791" s="686"/>
      <c r="V791" s="686"/>
      <c r="W791" s="686"/>
      <c r="X791" s="686"/>
      <c r="Y791" s="686"/>
      <c r="Z791" s="686"/>
      <c r="AA791" s="686"/>
      <c r="AB791" s="686"/>
      <c r="AC791" s="686"/>
      <c r="AD791" s="686"/>
      <c r="AE791" s="686"/>
      <c r="AF791" s="686"/>
    </row>
    <row r="792" ht="15.75" customHeight="1">
      <c r="A792" s="683"/>
      <c r="B792" s="683"/>
      <c r="C792" s="684"/>
      <c r="D792" s="684"/>
      <c r="E792" s="684"/>
      <c r="F792" s="683"/>
      <c r="G792" s="683"/>
      <c r="H792" s="683"/>
      <c r="I792" s="683"/>
      <c r="J792" s="683"/>
      <c r="K792" s="683"/>
      <c r="L792" s="685"/>
      <c r="M792" s="685"/>
      <c r="N792" s="685"/>
      <c r="O792" s="683"/>
      <c r="P792" s="683"/>
      <c r="Q792" s="686"/>
      <c r="R792" s="686"/>
      <c r="S792" s="686"/>
      <c r="T792" s="686"/>
      <c r="U792" s="686"/>
      <c r="V792" s="686"/>
      <c r="W792" s="686"/>
      <c r="X792" s="686"/>
      <c r="Y792" s="686"/>
      <c r="Z792" s="686"/>
      <c r="AA792" s="686"/>
      <c r="AB792" s="686"/>
      <c r="AC792" s="686"/>
      <c r="AD792" s="686"/>
      <c r="AE792" s="686"/>
      <c r="AF792" s="686"/>
    </row>
    <row r="793" ht="15.75" customHeight="1">
      <c r="A793" s="683"/>
      <c r="B793" s="683"/>
      <c r="C793" s="684"/>
      <c r="D793" s="684"/>
      <c r="E793" s="684"/>
      <c r="F793" s="683"/>
      <c r="G793" s="683"/>
      <c r="H793" s="683"/>
      <c r="I793" s="683"/>
      <c r="J793" s="683"/>
      <c r="K793" s="683"/>
      <c r="L793" s="685"/>
      <c r="M793" s="685"/>
      <c r="N793" s="685"/>
      <c r="O793" s="683"/>
      <c r="P793" s="683"/>
      <c r="Q793" s="686"/>
      <c r="R793" s="686"/>
      <c r="S793" s="686"/>
      <c r="T793" s="686"/>
      <c r="U793" s="686"/>
      <c r="V793" s="686"/>
      <c r="W793" s="686"/>
      <c r="X793" s="686"/>
      <c r="Y793" s="686"/>
      <c r="Z793" s="686"/>
      <c r="AA793" s="686"/>
      <c r="AB793" s="686"/>
      <c r="AC793" s="686"/>
      <c r="AD793" s="686"/>
      <c r="AE793" s="686"/>
      <c r="AF793" s="686"/>
    </row>
    <row r="794" ht="15.75" customHeight="1">
      <c r="A794" s="683"/>
      <c r="B794" s="683"/>
      <c r="C794" s="684"/>
      <c r="D794" s="684"/>
      <c r="E794" s="684"/>
      <c r="F794" s="683"/>
      <c r="G794" s="683"/>
      <c r="H794" s="683"/>
      <c r="I794" s="683"/>
      <c r="J794" s="683"/>
      <c r="K794" s="683"/>
      <c r="L794" s="685"/>
      <c r="M794" s="685"/>
      <c r="N794" s="685"/>
      <c r="O794" s="683"/>
      <c r="P794" s="683"/>
      <c r="Q794" s="686"/>
      <c r="R794" s="686"/>
      <c r="S794" s="686"/>
      <c r="T794" s="686"/>
      <c r="U794" s="686"/>
      <c r="V794" s="686"/>
      <c r="W794" s="686"/>
      <c r="X794" s="686"/>
      <c r="Y794" s="686"/>
      <c r="Z794" s="686"/>
      <c r="AA794" s="686"/>
      <c r="AB794" s="686"/>
      <c r="AC794" s="686"/>
      <c r="AD794" s="686"/>
      <c r="AE794" s="686"/>
      <c r="AF794" s="686"/>
    </row>
    <row r="795" ht="15.75" customHeight="1">
      <c r="A795" s="683"/>
      <c r="B795" s="683"/>
      <c r="C795" s="684"/>
      <c r="D795" s="684"/>
      <c r="E795" s="684"/>
      <c r="F795" s="683"/>
      <c r="G795" s="683"/>
      <c r="H795" s="683"/>
      <c r="I795" s="683"/>
      <c r="J795" s="683"/>
      <c r="K795" s="683"/>
      <c r="L795" s="685"/>
      <c r="M795" s="685"/>
      <c r="N795" s="685"/>
      <c r="O795" s="683"/>
      <c r="P795" s="683"/>
      <c r="Q795" s="686"/>
      <c r="R795" s="686"/>
      <c r="S795" s="686"/>
      <c r="T795" s="686"/>
      <c r="U795" s="686"/>
      <c r="V795" s="686"/>
      <c r="W795" s="686"/>
      <c r="X795" s="686"/>
      <c r="Y795" s="686"/>
      <c r="Z795" s="686"/>
      <c r="AA795" s="686"/>
      <c r="AB795" s="686"/>
      <c r="AC795" s="686"/>
      <c r="AD795" s="686"/>
      <c r="AE795" s="686"/>
      <c r="AF795" s="686"/>
    </row>
    <row r="796" ht="15.75" customHeight="1">
      <c r="A796" s="683"/>
      <c r="B796" s="683"/>
      <c r="C796" s="684"/>
      <c r="D796" s="684"/>
      <c r="E796" s="684"/>
      <c r="F796" s="683"/>
      <c r="G796" s="683"/>
      <c r="H796" s="683"/>
      <c r="I796" s="683"/>
      <c r="J796" s="683"/>
      <c r="K796" s="683"/>
      <c r="L796" s="685"/>
      <c r="M796" s="685"/>
      <c r="N796" s="685"/>
      <c r="O796" s="683"/>
      <c r="P796" s="683"/>
      <c r="Q796" s="686"/>
      <c r="R796" s="686"/>
      <c r="S796" s="686"/>
      <c r="T796" s="686"/>
      <c r="U796" s="686"/>
      <c r="V796" s="686"/>
      <c r="W796" s="686"/>
      <c r="X796" s="686"/>
      <c r="Y796" s="686"/>
      <c r="Z796" s="686"/>
      <c r="AA796" s="686"/>
      <c r="AB796" s="686"/>
      <c r="AC796" s="686"/>
      <c r="AD796" s="686"/>
      <c r="AE796" s="686"/>
      <c r="AF796" s="686"/>
    </row>
    <row r="797" ht="15.75" customHeight="1">
      <c r="A797" s="683"/>
      <c r="B797" s="683"/>
      <c r="C797" s="684"/>
      <c r="D797" s="684"/>
      <c r="E797" s="684"/>
      <c r="F797" s="683"/>
      <c r="G797" s="683"/>
      <c r="H797" s="683"/>
      <c r="I797" s="683"/>
      <c r="J797" s="683"/>
      <c r="K797" s="683"/>
      <c r="L797" s="685"/>
      <c r="M797" s="685"/>
      <c r="N797" s="685"/>
      <c r="O797" s="683"/>
      <c r="P797" s="683"/>
      <c r="Q797" s="686"/>
      <c r="R797" s="686"/>
      <c r="S797" s="686"/>
      <c r="T797" s="686"/>
      <c r="U797" s="686"/>
      <c r="V797" s="686"/>
      <c r="W797" s="686"/>
      <c r="X797" s="686"/>
      <c r="Y797" s="686"/>
      <c r="Z797" s="686"/>
      <c r="AA797" s="686"/>
      <c r="AB797" s="686"/>
      <c r="AC797" s="686"/>
      <c r="AD797" s="686"/>
      <c r="AE797" s="686"/>
      <c r="AF797" s="686"/>
    </row>
    <row r="798" ht="15.75" customHeight="1">
      <c r="A798" s="683"/>
      <c r="B798" s="683"/>
      <c r="C798" s="684"/>
      <c r="D798" s="684"/>
      <c r="E798" s="684"/>
      <c r="F798" s="683"/>
      <c r="G798" s="683"/>
      <c r="H798" s="683"/>
      <c r="I798" s="683"/>
      <c r="J798" s="683"/>
      <c r="K798" s="683"/>
      <c r="L798" s="685"/>
      <c r="M798" s="685"/>
      <c r="N798" s="685"/>
      <c r="O798" s="683"/>
      <c r="P798" s="683"/>
      <c r="Q798" s="686"/>
      <c r="R798" s="686"/>
      <c r="S798" s="686"/>
      <c r="T798" s="686"/>
      <c r="U798" s="686"/>
      <c r="V798" s="686"/>
      <c r="W798" s="686"/>
      <c r="X798" s="686"/>
      <c r="Y798" s="686"/>
      <c r="Z798" s="686"/>
      <c r="AA798" s="686"/>
      <c r="AB798" s="686"/>
      <c r="AC798" s="686"/>
      <c r="AD798" s="686"/>
      <c r="AE798" s="686"/>
      <c r="AF798" s="686"/>
    </row>
    <row r="799" ht="15.75" customHeight="1">
      <c r="A799" s="683"/>
      <c r="B799" s="683"/>
      <c r="C799" s="684"/>
      <c r="D799" s="684"/>
      <c r="E799" s="684"/>
      <c r="F799" s="683"/>
      <c r="G799" s="683"/>
      <c r="H799" s="683"/>
      <c r="I799" s="683"/>
      <c r="J799" s="683"/>
      <c r="K799" s="683"/>
      <c r="L799" s="685"/>
      <c r="M799" s="685"/>
      <c r="N799" s="685"/>
      <c r="O799" s="683"/>
      <c r="P799" s="683"/>
      <c r="Q799" s="686"/>
      <c r="R799" s="686"/>
      <c r="S799" s="686"/>
      <c r="T799" s="686"/>
      <c r="U799" s="686"/>
      <c r="V799" s="686"/>
      <c r="W799" s="686"/>
      <c r="X799" s="686"/>
      <c r="Y799" s="686"/>
      <c r="Z799" s="686"/>
      <c r="AA799" s="686"/>
      <c r="AB799" s="686"/>
      <c r="AC799" s="686"/>
      <c r="AD799" s="686"/>
      <c r="AE799" s="686"/>
      <c r="AF799" s="686"/>
    </row>
    <row r="800" ht="15.75" customHeight="1">
      <c r="A800" s="683"/>
      <c r="B800" s="683"/>
      <c r="C800" s="684"/>
      <c r="D800" s="684"/>
      <c r="E800" s="684"/>
      <c r="F800" s="683"/>
      <c r="G800" s="683"/>
      <c r="H800" s="683"/>
      <c r="I800" s="683"/>
      <c r="J800" s="683"/>
      <c r="K800" s="683"/>
      <c r="L800" s="685"/>
      <c r="M800" s="685"/>
      <c r="N800" s="685"/>
      <c r="O800" s="683"/>
      <c r="P800" s="683"/>
      <c r="Q800" s="686"/>
      <c r="R800" s="686"/>
      <c r="S800" s="686"/>
      <c r="T800" s="686"/>
      <c r="U800" s="686"/>
      <c r="V800" s="686"/>
      <c r="W800" s="686"/>
      <c r="X800" s="686"/>
      <c r="Y800" s="686"/>
      <c r="Z800" s="686"/>
      <c r="AA800" s="686"/>
      <c r="AB800" s="686"/>
      <c r="AC800" s="686"/>
      <c r="AD800" s="686"/>
      <c r="AE800" s="686"/>
      <c r="AF800" s="686"/>
    </row>
    <row r="801" ht="15.75" customHeight="1">
      <c r="A801" s="683"/>
      <c r="B801" s="683"/>
      <c r="C801" s="684"/>
      <c r="D801" s="684"/>
      <c r="E801" s="684"/>
      <c r="F801" s="683"/>
      <c r="G801" s="683"/>
      <c r="H801" s="683"/>
      <c r="I801" s="683"/>
      <c r="J801" s="683"/>
      <c r="K801" s="683"/>
      <c r="L801" s="685"/>
      <c r="M801" s="685"/>
      <c r="N801" s="685"/>
      <c r="O801" s="683"/>
      <c r="P801" s="683"/>
      <c r="Q801" s="686"/>
      <c r="R801" s="686"/>
      <c r="S801" s="686"/>
      <c r="T801" s="686"/>
      <c r="U801" s="686"/>
      <c r="V801" s="686"/>
      <c r="W801" s="686"/>
      <c r="X801" s="686"/>
      <c r="Y801" s="686"/>
      <c r="Z801" s="686"/>
      <c r="AA801" s="686"/>
      <c r="AB801" s="686"/>
      <c r="AC801" s="686"/>
      <c r="AD801" s="686"/>
      <c r="AE801" s="686"/>
      <c r="AF801" s="686"/>
    </row>
    <row r="802" ht="15.75" customHeight="1">
      <c r="A802" s="683"/>
      <c r="B802" s="683"/>
      <c r="C802" s="684"/>
      <c r="D802" s="684"/>
      <c r="E802" s="684"/>
      <c r="F802" s="683"/>
      <c r="G802" s="683"/>
      <c r="H802" s="683"/>
      <c r="I802" s="683"/>
      <c r="J802" s="683"/>
      <c r="K802" s="683"/>
      <c r="L802" s="685"/>
      <c r="M802" s="685"/>
      <c r="N802" s="685"/>
      <c r="O802" s="683"/>
      <c r="P802" s="683"/>
      <c r="Q802" s="686"/>
      <c r="R802" s="686"/>
      <c r="S802" s="686"/>
      <c r="T802" s="686"/>
      <c r="U802" s="686"/>
      <c r="V802" s="686"/>
      <c r="W802" s="686"/>
      <c r="X802" s="686"/>
      <c r="Y802" s="686"/>
      <c r="Z802" s="686"/>
      <c r="AA802" s="686"/>
      <c r="AB802" s="686"/>
      <c r="AC802" s="686"/>
      <c r="AD802" s="686"/>
      <c r="AE802" s="686"/>
      <c r="AF802" s="686"/>
    </row>
    <row r="803" ht="15.75" customHeight="1">
      <c r="A803" s="683"/>
      <c r="B803" s="683"/>
      <c r="C803" s="684"/>
      <c r="D803" s="684"/>
      <c r="E803" s="684"/>
      <c r="F803" s="683"/>
      <c r="G803" s="683"/>
      <c r="H803" s="683"/>
      <c r="I803" s="683"/>
      <c r="J803" s="683"/>
      <c r="K803" s="683"/>
      <c r="L803" s="685"/>
      <c r="M803" s="685"/>
      <c r="N803" s="685"/>
      <c r="O803" s="683"/>
      <c r="P803" s="683"/>
      <c r="Q803" s="686"/>
      <c r="R803" s="686"/>
      <c r="S803" s="686"/>
      <c r="T803" s="686"/>
      <c r="U803" s="686"/>
      <c r="V803" s="686"/>
      <c r="W803" s="686"/>
      <c r="X803" s="686"/>
      <c r="Y803" s="686"/>
      <c r="Z803" s="686"/>
      <c r="AA803" s="686"/>
      <c r="AB803" s="686"/>
      <c r="AC803" s="686"/>
      <c r="AD803" s="686"/>
      <c r="AE803" s="686"/>
      <c r="AF803" s="686"/>
    </row>
    <row r="804" ht="15.75" customHeight="1">
      <c r="A804" s="683"/>
      <c r="B804" s="683"/>
      <c r="C804" s="684"/>
      <c r="D804" s="684"/>
      <c r="E804" s="684"/>
      <c r="F804" s="683"/>
      <c r="G804" s="683"/>
      <c r="H804" s="683"/>
      <c r="I804" s="683"/>
      <c r="J804" s="683"/>
      <c r="K804" s="683"/>
      <c r="L804" s="685"/>
      <c r="M804" s="685"/>
      <c r="N804" s="685"/>
      <c r="O804" s="683"/>
      <c r="P804" s="683"/>
      <c r="Q804" s="686"/>
      <c r="R804" s="686"/>
      <c r="S804" s="686"/>
      <c r="T804" s="686"/>
      <c r="U804" s="686"/>
      <c r="V804" s="686"/>
      <c r="W804" s="686"/>
      <c r="X804" s="686"/>
      <c r="Y804" s="686"/>
      <c r="Z804" s="686"/>
      <c r="AA804" s="686"/>
      <c r="AB804" s="686"/>
      <c r="AC804" s="686"/>
      <c r="AD804" s="686"/>
      <c r="AE804" s="686"/>
      <c r="AF804" s="686"/>
    </row>
    <row r="805" ht="15.75" customHeight="1">
      <c r="A805" s="683"/>
      <c r="B805" s="683"/>
      <c r="C805" s="684"/>
      <c r="D805" s="684"/>
      <c r="E805" s="684"/>
      <c r="F805" s="683"/>
      <c r="G805" s="683"/>
      <c r="H805" s="683"/>
      <c r="I805" s="683"/>
      <c r="J805" s="683"/>
      <c r="K805" s="683"/>
      <c r="L805" s="685"/>
      <c r="M805" s="685"/>
      <c r="N805" s="685"/>
      <c r="O805" s="683"/>
      <c r="P805" s="683"/>
      <c r="Q805" s="686"/>
      <c r="R805" s="686"/>
      <c r="S805" s="686"/>
      <c r="T805" s="686"/>
      <c r="U805" s="686"/>
      <c r="V805" s="686"/>
      <c r="W805" s="686"/>
      <c r="X805" s="686"/>
      <c r="Y805" s="686"/>
      <c r="Z805" s="686"/>
      <c r="AA805" s="686"/>
      <c r="AB805" s="686"/>
      <c r="AC805" s="686"/>
      <c r="AD805" s="686"/>
      <c r="AE805" s="686"/>
      <c r="AF805" s="686"/>
    </row>
    <row r="806" ht="15.75" customHeight="1">
      <c r="A806" s="683"/>
      <c r="B806" s="683"/>
      <c r="C806" s="684"/>
      <c r="D806" s="684"/>
      <c r="E806" s="684"/>
      <c r="F806" s="683"/>
      <c r="G806" s="683"/>
      <c r="H806" s="683"/>
      <c r="I806" s="683"/>
      <c r="J806" s="683"/>
      <c r="K806" s="683"/>
      <c r="L806" s="685"/>
      <c r="M806" s="685"/>
      <c r="N806" s="685"/>
      <c r="O806" s="683"/>
      <c r="P806" s="683"/>
      <c r="Q806" s="686"/>
      <c r="R806" s="686"/>
      <c r="S806" s="686"/>
      <c r="T806" s="686"/>
      <c r="U806" s="686"/>
      <c r="V806" s="686"/>
      <c r="W806" s="686"/>
      <c r="X806" s="686"/>
      <c r="Y806" s="686"/>
      <c r="Z806" s="686"/>
      <c r="AA806" s="686"/>
      <c r="AB806" s="686"/>
      <c r="AC806" s="686"/>
      <c r="AD806" s="686"/>
      <c r="AE806" s="686"/>
      <c r="AF806" s="686"/>
    </row>
    <row r="807" ht="15.75" customHeight="1">
      <c r="A807" s="683"/>
      <c r="B807" s="683"/>
      <c r="C807" s="684"/>
      <c r="D807" s="684"/>
      <c r="E807" s="684"/>
      <c r="F807" s="683"/>
      <c r="G807" s="683"/>
      <c r="H807" s="683"/>
      <c r="I807" s="683"/>
      <c r="J807" s="683"/>
      <c r="K807" s="683"/>
      <c r="L807" s="685"/>
      <c r="M807" s="685"/>
      <c r="N807" s="685"/>
      <c r="O807" s="683"/>
      <c r="P807" s="683"/>
      <c r="Q807" s="686"/>
      <c r="R807" s="686"/>
      <c r="S807" s="686"/>
      <c r="T807" s="686"/>
      <c r="U807" s="686"/>
      <c r="V807" s="686"/>
      <c r="W807" s="686"/>
      <c r="X807" s="686"/>
      <c r="Y807" s="686"/>
      <c r="Z807" s="686"/>
      <c r="AA807" s="686"/>
      <c r="AB807" s="686"/>
      <c r="AC807" s="686"/>
      <c r="AD807" s="686"/>
      <c r="AE807" s="686"/>
      <c r="AF807" s="686"/>
    </row>
    <row r="808" ht="15.75" customHeight="1">
      <c r="A808" s="683"/>
      <c r="B808" s="683"/>
      <c r="C808" s="684"/>
      <c r="D808" s="684"/>
      <c r="E808" s="684"/>
      <c r="F808" s="683"/>
      <c r="G808" s="683"/>
      <c r="H808" s="683"/>
      <c r="I808" s="683"/>
      <c r="J808" s="683"/>
      <c r="K808" s="683"/>
      <c r="L808" s="685"/>
      <c r="M808" s="685"/>
      <c r="N808" s="685"/>
      <c r="O808" s="683"/>
      <c r="P808" s="683"/>
      <c r="Q808" s="686"/>
      <c r="R808" s="686"/>
      <c r="S808" s="686"/>
      <c r="T808" s="686"/>
      <c r="U808" s="686"/>
      <c r="V808" s="686"/>
      <c r="W808" s="686"/>
      <c r="X808" s="686"/>
      <c r="Y808" s="686"/>
      <c r="Z808" s="686"/>
      <c r="AA808" s="686"/>
      <c r="AB808" s="686"/>
      <c r="AC808" s="686"/>
      <c r="AD808" s="686"/>
      <c r="AE808" s="686"/>
      <c r="AF808" s="686"/>
    </row>
    <row r="809" ht="15.75" customHeight="1">
      <c r="A809" s="683"/>
      <c r="B809" s="683"/>
      <c r="C809" s="684"/>
      <c r="D809" s="684"/>
      <c r="E809" s="684"/>
      <c r="F809" s="683"/>
      <c r="G809" s="683"/>
      <c r="H809" s="683"/>
      <c r="I809" s="683"/>
      <c r="J809" s="683"/>
      <c r="K809" s="683"/>
      <c r="L809" s="685"/>
      <c r="M809" s="685"/>
      <c r="N809" s="685"/>
      <c r="O809" s="683"/>
      <c r="P809" s="683"/>
      <c r="Q809" s="686"/>
      <c r="R809" s="686"/>
      <c r="S809" s="686"/>
      <c r="T809" s="686"/>
      <c r="U809" s="686"/>
      <c r="V809" s="686"/>
      <c r="W809" s="686"/>
      <c r="X809" s="686"/>
      <c r="Y809" s="686"/>
      <c r="Z809" s="686"/>
      <c r="AA809" s="686"/>
      <c r="AB809" s="686"/>
      <c r="AC809" s="686"/>
      <c r="AD809" s="686"/>
      <c r="AE809" s="686"/>
      <c r="AF809" s="686"/>
    </row>
    <row r="810" ht="15.75" customHeight="1">
      <c r="A810" s="683"/>
      <c r="B810" s="683"/>
      <c r="C810" s="684"/>
      <c r="D810" s="684"/>
      <c r="E810" s="684"/>
      <c r="F810" s="683"/>
      <c r="G810" s="683"/>
      <c r="H810" s="683"/>
      <c r="I810" s="683"/>
      <c r="J810" s="683"/>
      <c r="K810" s="683"/>
      <c r="L810" s="685"/>
      <c r="M810" s="685"/>
      <c r="N810" s="685"/>
      <c r="O810" s="683"/>
      <c r="P810" s="683"/>
      <c r="Q810" s="686"/>
      <c r="R810" s="686"/>
      <c r="S810" s="686"/>
      <c r="T810" s="686"/>
      <c r="U810" s="686"/>
      <c r="V810" s="686"/>
      <c r="W810" s="686"/>
      <c r="X810" s="686"/>
      <c r="Y810" s="686"/>
      <c r="Z810" s="686"/>
      <c r="AA810" s="686"/>
      <c r="AB810" s="686"/>
      <c r="AC810" s="686"/>
      <c r="AD810" s="686"/>
      <c r="AE810" s="686"/>
      <c r="AF810" s="686"/>
    </row>
    <row r="811" ht="15.75" customHeight="1">
      <c r="A811" s="683"/>
      <c r="B811" s="683"/>
      <c r="C811" s="684"/>
      <c r="D811" s="684"/>
      <c r="E811" s="684"/>
      <c r="F811" s="683"/>
      <c r="G811" s="683"/>
      <c r="H811" s="683"/>
      <c r="I811" s="683"/>
      <c r="J811" s="683"/>
      <c r="K811" s="683"/>
      <c r="L811" s="685"/>
      <c r="M811" s="685"/>
      <c r="N811" s="685"/>
      <c r="O811" s="683"/>
      <c r="P811" s="683"/>
      <c r="Q811" s="686"/>
      <c r="R811" s="686"/>
      <c r="S811" s="686"/>
      <c r="T811" s="686"/>
      <c r="U811" s="686"/>
      <c r="V811" s="686"/>
      <c r="W811" s="686"/>
      <c r="X811" s="686"/>
      <c r="Y811" s="686"/>
      <c r="Z811" s="686"/>
      <c r="AA811" s="686"/>
      <c r="AB811" s="686"/>
      <c r="AC811" s="686"/>
      <c r="AD811" s="686"/>
      <c r="AE811" s="686"/>
      <c r="AF811" s="686"/>
    </row>
    <row r="812" ht="15.75" customHeight="1">
      <c r="A812" s="683"/>
      <c r="B812" s="683"/>
      <c r="C812" s="684"/>
      <c r="D812" s="684"/>
      <c r="E812" s="684"/>
      <c r="F812" s="683"/>
      <c r="G812" s="683"/>
      <c r="H812" s="683"/>
      <c r="I812" s="683"/>
      <c r="J812" s="683"/>
      <c r="K812" s="683"/>
      <c r="L812" s="685"/>
      <c r="M812" s="685"/>
      <c r="N812" s="685"/>
      <c r="O812" s="683"/>
      <c r="P812" s="683"/>
      <c r="Q812" s="686"/>
      <c r="R812" s="686"/>
      <c r="S812" s="686"/>
      <c r="T812" s="686"/>
      <c r="U812" s="686"/>
      <c r="V812" s="686"/>
      <c r="W812" s="686"/>
      <c r="X812" s="686"/>
      <c r="Y812" s="686"/>
      <c r="Z812" s="686"/>
      <c r="AA812" s="686"/>
      <c r="AB812" s="686"/>
      <c r="AC812" s="686"/>
      <c r="AD812" s="686"/>
      <c r="AE812" s="686"/>
      <c r="AF812" s="686"/>
    </row>
    <row r="813" ht="15.75" customHeight="1">
      <c r="A813" s="683"/>
      <c r="B813" s="683"/>
      <c r="C813" s="684"/>
      <c r="D813" s="684"/>
      <c r="E813" s="684"/>
      <c r="F813" s="683"/>
      <c r="G813" s="683"/>
      <c r="H813" s="683"/>
      <c r="I813" s="683"/>
      <c r="J813" s="683"/>
      <c r="K813" s="683"/>
      <c r="L813" s="685"/>
      <c r="M813" s="685"/>
      <c r="N813" s="685"/>
      <c r="O813" s="683"/>
      <c r="P813" s="683"/>
      <c r="Q813" s="686"/>
      <c r="R813" s="686"/>
      <c r="S813" s="686"/>
      <c r="T813" s="686"/>
      <c r="U813" s="686"/>
      <c r="V813" s="686"/>
      <c r="W813" s="686"/>
      <c r="X813" s="686"/>
      <c r="Y813" s="686"/>
      <c r="Z813" s="686"/>
      <c r="AA813" s="686"/>
      <c r="AB813" s="686"/>
      <c r="AC813" s="686"/>
      <c r="AD813" s="686"/>
      <c r="AE813" s="686"/>
      <c r="AF813" s="686"/>
    </row>
    <row r="814" ht="15.75" customHeight="1">
      <c r="A814" s="683"/>
      <c r="B814" s="683"/>
      <c r="C814" s="684"/>
      <c r="D814" s="684"/>
      <c r="E814" s="684"/>
      <c r="F814" s="683"/>
      <c r="G814" s="683"/>
      <c r="H814" s="683"/>
      <c r="I814" s="683"/>
      <c r="J814" s="683"/>
      <c r="K814" s="683"/>
      <c r="L814" s="685"/>
      <c r="M814" s="685"/>
      <c r="N814" s="685"/>
      <c r="O814" s="683"/>
      <c r="P814" s="683"/>
      <c r="Q814" s="686"/>
      <c r="R814" s="686"/>
      <c r="S814" s="686"/>
      <c r="T814" s="686"/>
      <c r="U814" s="686"/>
      <c r="V814" s="686"/>
      <c r="W814" s="686"/>
      <c r="X814" s="686"/>
      <c r="Y814" s="686"/>
      <c r="Z814" s="686"/>
      <c r="AA814" s="686"/>
      <c r="AB814" s="686"/>
      <c r="AC814" s="686"/>
      <c r="AD814" s="686"/>
      <c r="AE814" s="686"/>
      <c r="AF814" s="686"/>
    </row>
    <row r="815" ht="15.75" customHeight="1">
      <c r="A815" s="683"/>
      <c r="B815" s="683"/>
      <c r="C815" s="684"/>
      <c r="D815" s="684"/>
      <c r="E815" s="684"/>
      <c r="F815" s="683"/>
      <c r="G815" s="683"/>
      <c r="H815" s="683"/>
      <c r="I815" s="683"/>
      <c r="J815" s="683"/>
      <c r="K815" s="683"/>
      <c r="L815" s="685"/>
      <c r="M815" s="685"/>
      <c r="N815" s="685"/>
      <c r="O815" s="683"/>
      <c r="P815" s="683"/>
      <c r="Q815" s="686"/>
      <c r="R815" s="686"/>
      <c r="S815" s="686"/>
      <c r="T815" s="686"/>
      <c r="U815" s="686"/>
      <c r="V815" s="686"/>
      <c r="W815" s="686"/>
      <c r="X815" s="686"/>
      <c r="Y815" s="686"/>
      <c r="Z815" s="686"/>
      <c r="AA815" s="686"/>
      <c r="AB815" s="686"/>
      <c r="AC815" s="686"/>
      <c r="AD815" s="686"/>
      <c r="AE815" s="686"/>
      <c r="AF815" s="686"/>
    </row>
    <row r="816" ht="15.75" customHeight="1">
      <c r="A816" s="683"/>
      <c r="B816" s="683"/>
      <c r="C816" s="684"/>
      <c r="D816" s="684"/>
      <c r="E816" s="684"/>
      <c r="F816" s="683"/>
      <c r="G816" s="683"/>
      <c r="H816" s="683"/>
      <c r="I816" s="683"/>
      <c r="J816" s="683"/>
      <c r="K816" s="683"/>
      <c r="L816" s="685"/>
      <c r="M816" s="685"/>
      <c r="N816" s="685"/>
      <c r="O816" s="683"/>
      <c r="P816" s="683"/>
      <c r="Q816" s="686"/>
      <c r="R816" s="686"/>
      <c r="S816" s="686"/>
      <c r="T816" s="686"/>
      <c r="U816" s="686"/>
      <c r="V816" s="686"/>
      <c r="W816" s="686"/>
      <c r="X816" s="686"/>
      <c r="Y816" s="686"/>
      <c r="Z816" s="686"/>
      <c r="AA816" s="686"/>
      <c r="AB816" s="686"/>
      <c r="AC816" s="686"/>
      <c r="AD816" s="686"/>
      <c r="AE816" s="686"/>
      <c r="AF816" s="686"/>
    </row>
    <row r="817" ht="15.75" customHeight="1">
      <c r="A817" s="683"/>
      <c r="B817" s="683"/>
      <c r="C817" s="684"/>
      <c r="D817" s="684"/>
      <c r="E817" s="684"/>
      <c r="F817" s="683"/>
      <c r="G817" s="683"/>
      <c r="H817" s="683"/>
      <c r="I817" s="683"/>
      <c r="J817" s="683"/>
      <c r="K817" s="683"/>
      <c r="L817" s="685"/>
      <c r="M817" s="685"/>
      <c r="N817" s="685"/>
      <c r="O817" s="683"/>
      <c r="P817" s="683"/>
      <c r="Q817" s="686"/>
      <c r="R817" s="686"/>
      <c r="S817" s="686"/>
      <c r="T817" s="686"/>
      <c r="U817" s="686"/>
      <c r="V817" s="686"/>
      <c r="W817" s="686"/>
      <c r="X817" s="686"/>
      <c r="Y817" s="686"/>
      <c r="Z817" s="686"/>
      <c r="AA817" s="686"/>
      <c r="AB817" s="686"/>
      <c r="AC817" s="686"/>
      <c r="AD817" s="686"/>
      <c r="AE817" s="686"/>
      <c r="AF817" s="686"/>
    </row>
    <row r="818" ht="15.75" customHeight="1">
      <c r="A818" s="683"/>
      <c r="B818" s="683"/>
      <c r="C818" s="684"/>
      <c r="D818" s="684"/>
      <c r="E818" s="684"/>
      <c r="F818" s="683"/>
      <c r="G818" s="683"/>
      <c r="H818" s="683"/>
      <c r="I818" s="683"/>
      <c r="J818" s="683"/>
      <c r="K818" s="683"/>
      <c r="L818" s="685"/>
      <c r="M818" s="685"/>
      <c r="N818" s="685"/>
      <c r="O818" s="683"/>
      <c r="P818" s="683"/>
      <c r="Q818" s="686"/>
      <c r="R818" s="686"/>
      <c r="S818" s="686"/>
      <c r="T818" s="686"/>
      <c r="U818" s="686"/>
      <c r="V818" s="686"/>
      <c r="W818" s="686"/>
      <c r="X818" s="686"/>
      <c r="Y818" s="686"/>
      <c r="Z818" s="686"/>
      <c r="AA818" s="686"/>
      <c r="AB818" s="686"/>
      <c r="AC818" s="686"/>
      <c r="AD818" s="686"/>
      <c r="AE818" s="686"/>
      <c r="AF818" s="686"/>
    </row>
    <row r="819" ht="15.75" customHeight="1">
      <c r="A819" s="683"/>
      <c r="B819" s="683"/>
      <c r="C819" s="684"/>
      <c r="D819" s="684"/>
      <c r="E819" s="684"/>
      <c r="F819" s="683"/>
      <c r="G819" s="683"/>
      <c r="H819" s="683"/>
      <c r="I819" s="683"/>
      <c r="J819" s="683"/>
      <c r="K819" s="683"/>
      <c r="L819" s="685"/>
      <c r="M819" s="685"/>
      <c r="N819" s="685"/>
      <c r="O819" s="683"/>
      <c r="P819" s="683"/>
      <c r="Q819" s="686"/>
      <c r="R819" s="686"/>
      <c r="S819" s="686"/>
      <c r="T819" s="686"/>
      <c r="U819" s="686"/>
      <c r="V819" s="686"/>
      <c r="W819" s="686"/>
      <c r="X819" s="686"/>
      <c r="Y819" s="686"/>
      <c r="Z819" s="686"/>
      <c r="AA819" s="686"/>
      <c r="AB819" s="686"/>
      <c r="AC819" s="686"/>
      <c r="AD819" s="686"/>
      <c r="AE819" s="686"/>
      <c r="AF819" s="686"/>
    </row>
    <row r="820" ht="15.75" customHeight="1">
      <c r="A820" s="683"/>
      <c r="B820" s="683"/>
      <c r="C820" s="684"/>
      <c r="D820" s="684"/>
      <c r="E820" s="684"/>
      <c r="F820" s="683"/>
      <c r="G820" s="683"/>
      <c r="H820" s="683"/>
      <c r="I820" s="683"/>
      <c r="J820" s="683"/>
      <c r="K820" s="683"/>
      <c r="L820" s="685"/>
      <c r="M820" s="685"/>
      <c r="N820" s="685"/>
      <c r="O820" s="683"/>
      <c r="P820" s="683"/>
      <c r="Q820" s="686"/>
      <c r="R820" s="686"/>
      <c r="S820" s="686"/>
      <c r="T820" s="686"/>
      <c r="U820" s="686"/>
      <c r="V820" s="686"/>
      <c r="W820" s="686"/>
      <c r="X820" s="686"/>
      <c r="Y820" s="686"/>
      <c r="Z820" s="686"/>
      <c r="AA820" s="686"/>
      <c r="AB820" s="686"/>
      <c r="AC820" s="686"/>
      <c r="AD820" s="686"/>
      <c r="AE820" s="686"/>
      <c r="AF820" s="686"/>
    </row>
    <row r="821" ht="15.75" customHeight="1">
      <c r="A821" s="683"/>
      <c r="B821" s="683"/>
      <c r="C821" s="684"/>
      <c r="D821" s="684"/>
      <c r="E821" s="684"/>
      <c r="F821" s="683"/>
      <c r="G821" s="683"/>
      <c r="H821" s="683"/>
      <c r="I821" s="683"/>
      <c r="J821" s="683"/>
      <c r="K821" s="683"/>
      <c r="L821" s="685"/>
      <c r="M821" s="685"/>
      <c r="N821" s="685"/>
      <c r="O821" s="683"/>
      <c r="P821" s="683"/>
      <c r="Q821" s="686"/>
      <c r="R821" s="686"/>
      <c r="S821" s="686"/>
      <c r="T821" s="686"/>
      <c r="U821" s="686"/>
      <c r="V821" s="686"/>
      <c r="W821" s="686"/>
      <c r="X821" s="686"/>
      <c r="Y821" s="686"/>
      <c r="Z821" s="686"/>
      <c r="AA821" s="686"/>
      <c r="AB821" s="686"/>
      <c r="AC821" s="686"/>
      <c r="AD821" s="686"/>
      <c r="AE821" s="686"/>
      <c r="AF821" s="686"/>
    </row>
    <row r="822" ht="15.75" customHeight="1">
      <c r="A822" s="683"/>
      <c r="B822" s="683"/>
      <c r="C822" s="684"/>
      <c r="D822" s="684"/>
      <c r="E822" s="684"/>
      <c r="F822" s="683"/>
      <c r="G822" s="683"/>
      <c r="H822" s="683"/>
      <c r="I822" s="683"/>
      <c r="J822" s="683"/>
      <c r="K822" s="683"/>
      <c r="L822" s="685"/>
      <c r="M822" s="685"/>
      <c r="N822" s="685"/>
      <c r="O822" s="683"/>
      <c r="P822" s="683"/>
      <c r="Q822" s="686"/>
      <c r="R822" s="686"/>
      <c r="S822" s="686"/>
      <c r="T822" s="686"/>
      <c r="U822" s="686"/>
      <c r="V822" s="686"/>
      <c r="W822" s="686"/>
      <c r="X822" s="686"/>
      <c r="Y822" s="686"/>
      <c r="Z822" s="686"/>
      <c r="AA822" s="686"/>
      <c r="AB822" s="686"/>
      <c r="AC822" s="686"/>
      <c r="AD822" s="686"/>
      <c r="AE822" s="686"/>
      <c r="AF822" s="686"/>
    </row>
    <row r="823" ht="15.75" customHeight="1">
      <c r="A823" s="683"/>
      <c r="B823" s="683"/>
      <c r="C823" s="684"/>
      <c r="D823" s="684"/>
      <c r="E823" s="684"/>
      <c r="F823" s="683"/>
      <c r="G823" s="683"/>
      <c r="H823" s="683"/>
      <c r="I823" s="683"/>
      <c r="J823" s="683"/>
      <c r="K823" s="683"/>
      <c r="L823" s="685"/>
      <c r="M823" s="685"/>
      <c r="N823" s="685"/>
      <c r="O823" s="683"/>
      <c r="P823" s="683"/>
      <c r="Q823" s="686"/>
      <c r="R823" s="686"/>
      <c r="S823" s="686"/>
      <c r="T823" s="686"/>
      <c r="U823" s="686"/>
      <c r="V823" s="686"/>
      <c r="W823" s="686"/>
      <c r="X823" s="686"/>
      <c r="Y823" s="686"/>
      <c r="Z823" s="686"/>
      <c r="AA823" s="686"/>
      <c r="AB823" s="686"/>
      <c r="AC823" s="686"/>
      <c r="AD823" s="686"/>
      <c r="AE823" s="686"/>
      <c r="AF823" s="686"/>
    </row>
    <row r="824" ht="15.75" customHeight="1">
      <c r="A824" s="683"/>
      <c r="B824" s="683"/>
      <c r="C824" s="684"/>
      <c r="D824" s="684"/>
      <c r="E824" s="684"/>
      <c r="F824" s="683"/>
      <c r="G824" s="683"/>
      <c r="H824" s="683"/>
      <c r="I824" s="683"/>
      <c r="J824" s="683"/>
      <c r="K824" s="683"/>
      <c r="L824" s="685"/>
      <c r="M824" s="685"/>
      <c r="N824" s="685"/>
      <c r="O824" s="683"/>
      <c r="P824" s="683"/>
      <c r="Q824" s="686"/>
      <c r="R824" s="686"/>
      <c r="S824" s="686"/>
      <c r="T824" s="686"/>
      <c r="U824" s="686"/>
      <c r="V824" s="686"/>
      <c r="W824" s="686"/>
      <c r="X824" s="686"/>
      <c r="Y824" s="686"/>
      <c r="Z824" s="686"/>
      <c r="AA824" s="686"/>
      <c r="AB824" s="686"/>
      <c r="AC824" s="686"/>
      <c r="AD824" s="686"/>
      <c r="AE824" s="686"/>
      <c r="AF824" s="686"/>
    </row>
    <row r="825" ht="15.75" customHeight="1">
      <c r="A825" s="683"/>
      <c r="B825" s="683"/>
      <c r="C825" s="684"/>
      <c r="D825" s="684"/>
      <c r="E825" s="684"/>
      <c r="F825" s="683"/>
      <c r="G825" s="683"/>
      <c r="H825" s="683"/>
      <c r="I825" s="683"/>
      <c r="J825" s="683"/>
      <c r="K825" s="683"/>
      <c r="L825" s="685"/>
      <c r="M825" s="685"/>
      <c r="N825" s="685"/>
      <c r="O825" s="683"/>
      <c r="P825" s="683"/>
      <c r="Q825" s="686"/>
      <c r="R825" s="686"/>
      <c r="S825" s="686"/>
      <c r="T825" s="686"/>
      <c r="U825" s="686"/>
      <c r="V825" s="686"/>
      <c r="W825" s="686"/>
      <c r="X825" s="686"/>
      <c r="Y825" s="686"/>
      <c r="Z825" s="686"/>
      <c r="AA825" s="686"/>
      <c r="AB825" s="686"/>
      <c r="AC825" s="686"/>
      <c r="AD825" s="686"/>
      <c r="AE825" s="686"/>
      <c r="AF825" s="686"/>
    </row>
    <row r="826" ht="15.75" customHeight="1">
      <c r="A826" s="683"/>
      <c r="B826" s="683"/>
      <c r="C826" s="684"/>
      <c r="D826" s="684"/>
      <c r="E826" s="684"/>
      <c r="F826" s="683"/>
      <c r="G826" s="683"/>
      <c r="H826" s="683"/>
      <c r="I826" s="683"/>
      <c r="J826" s="683"/>
      <c r="K826" s="683"/>
      <c r="L826" s="685"/>
      <c r="M826" s="685"/>
      <c r="N826" s="685"/>
      <c r="O826" s="683"/>
      <c r="P826" s="683"/>
      <c r="Q826" s="686"/>
      <c r="R826" s="686"/>
      <c r="S826" s="686"/>
      <c r="T826" s="686"/>
      <c r="U826" s="686"/>
      <c r="V826" s="686"/>
      <c r="W826" s="686"/>
      <c r="X826" s="686"/>
      <c r="Y826" s="686"/>
      <c r="Z826" s="686"/>
      <c r="AA826" s="686"/>
      <c r="AB826" s="686"/>
      <c r="AC826" s="686"/>
      <c r="AD826" s="686"/>
      <c r="AE826" s="686"/>
      <c r="AF826" s="686"/>
    </row>
    <row r="827" ht="15.75" customHeight="1">
      <c r="A827" s="683"/>
      <c r="B827" s="683"/>
      <c r="C827" s="684"/>
      <c r="D827" s="684"/>
      <c r="E827" s="684"/>
      <c r="F827" s="683"/>
      <c r="G827" s="683"/>
      <c r="H827" s="683"/>
      <c r="I827" s="683"/>
      <c r="J827" s="683"/>
      <c r="K827" s="683"/>
      <c r="L827" s="685"/>
      <c r="M827" s="685"/>
      <c r="N827" s="685"/>
      <c r="O827" s="683"/>
      <c r="P827" s="683"/>
      <c r="Q827" s="686"/>
      <c r="R827" s="686"/>
      <c r="S827" s="686"/>
      <c r="T827" s="686"/>
      <c r="U827" s="686"/>
      <c r="V827" s="686"/>
      <c r="W827" s="686"/>
      <c r="X827" s="686"/>
      <c r="Y827" s="686"/>
      <c r="Z827" s="686"/>
      <c r="AA827" s="686"/>
      <c r="AB827" s="686"/>
      <c r="AC827" s="686"/>
      <c r="AD827" s="686"/>
      <c r="AE827" s="686"/>
      <c r="AF827" s="686"/>
    </row>
    <row r="828" ht="15.75" customHeight="1">
      <c r="A828" s="683"/>
      <c r="B828" s="683"/>
      <c r="C828" s="684"/>
      <c r="D828" s="684"/>
      <c r="E828" s="684"/>
      <c r="F828" s="683"/>
      <c r="G828" s="683"/>
      <c r="H828" s="683"/>
      <c r="I828" s="683"/>
      <c r="J828" s="683"/>
      <c r="K828" s="683"/>
      <c r="L828" s="685"/>
      <c r="M828" s="685"/>
      <c r="N828" s="685"/>
      <c r="O828" s="683"/>
      <c r="P828" s="683"/>
      <c r="Q828" s="686"/>
      <c r="R828" s="686"/>
      <c r="S828" s="686"/>
      <c r="T828" s="686"/>
      <c r="U828" s="686"/>
      <c r="V828" s="686"/>
      <c r="W828" s="686"/>
      <c r="X828" s="686"/>
      <c r="Y828" s="686"/>
      <c r="Z828" s="686"/>
      <c r="AA828" s="686"/>
      <c r="AB828" s="686"/>
      <c r="AC828" s="686"/>
      <c r="AD828" s="686"/>
      <c r="AE828" s="686"/>
      <c r="AF828" s="686"/>
    </row>
    <row r="829" ht="15.75" customHeight="1">
      <c r="A829" s="683"/>
      <c r="B829" s="683"/>
      <c r="C829" s="684"/>
      <c r="D829" s="684"/>
      <c r="E829" s="684"/>
      <c r="F829" s="683"/>
      <c r="G829" s="683"/>
      <c r="H829" s="683"/>
      <c r="I829" s="683"/>
      <c r="J829" s="683"/>
      <c r="K829" s="683"/>
      <c r="L829" s="685"/>
      <c r="M829" s="685"/>
      <c r="N829" s="685"/>
      <c r="O829" s="683"/>
      <c r="P829" s="683"/>
      <c r="Q829" s="686"/>
      <c r="R829" s="686"/>
      <c r="S829" s="686"/>
      <c r="T829" s="686"/>
      <c r="U829" s="686"/>
      <c r="V829" s="686"/>
      <c r="W829" s="686"/>
      <c r="X829" s="686"/>
      <c r="Y829" s="686"/>
      <c r="Z829" s="686"/>
      <c r="AA829" s="686"/>
      <c r="AB829" s="686"/>
      <c r="AC829" s="686"/>
      <c r="AD829" s="686"/>
      <c r="AE829" s="686"/>
      <c r="AF829" s="686"/>
    </row>
    <row r="830" ht="15.75" customHeight="1">
      <c r="A830" s="683"/>
      <c r="B830" s="683"/>
      <c r="C830" s="684"/>
      <c r="D830" s="684"/>
      <c r="E830" s="684"/>
      <c r="F830" s="683"/>
      <c r="G830" s="683"/>
      <c r="H830" s="683"/>
      <c r="I830" s="683"/>
      <c r="J830" s="683"/>
      <c r="K830" s="683"/>
      <c r="L830" s="685"/>
      <c r="M830" s="685"/>
      <c r="N830" s="685"/>
      <c r="O830" s="683"/>
      <c r="P830" s="683"/>
      <c r="Q830" s="686"/>
      <c r="R830" s="686"/>
      <c r="S830" s="686"/>
      <c r="T830" s="686"/>
      <c r="U830" s="686"/>
      <c r="V830" s="686"/>
      <c r="W830" s="686"/>
      <c r="X830" s="686"/>
      <c r="Y830" s="686"/>
      <c r="Z830" s="686"/>
      <c r="AA830" s="686"/>
      <c r="AB830" s="686"/>
      <c r="AC830" s="686"/>
      <c r="AD830" s="686"/>
      <c r="AE830" s="686"/>
      <c r="AF830" s="686"/>
    </row>
    <row r="831" ht="15.75" customHeight="1">
      <c r="A831" s="683"/>
      <c r="B831" s="683"/>
      <c r="C831" s="684"/>
      <c r="D831" s="684"/>
      <c r="E831" s="684"/>
      <c r="F831" s="683"/>
      <c r="G831" s="683"/>
      <c r="H831" s="683"/>
      <c r="I831" s="683"/>
      <c r="J831" s="683"/>
      <c r="K831" s="683"/>
      <c r="L831" s="685"/>
      <c r="M831" s="685"/>
      <c r="N831" s="685"/>
      <c r="O831" s="683"/>
      <c r="P831" s="683"/>
      <c r="Q831" s="686"/>
      <c r="R831" s="686"/>
      <c r="S831" s="686"/>
      <c r="T831" s="686"/>
      <c r="U831" s="686"/>
      <c r="V831" s="686"/>
      <c r="W831" s="686"/>
      <c r="X831" s="686"/>
      <c r="Y831" s="686"/>
      <c r="Z831" s="686"/>
      <c r="AA831" s="686"/>
      <c r="AB831" s="686"/>
      <c r="AC831" s="686"/>
      <c r="AD831" s="686"/>
      <c r="AE831" s="686"/>
      <c r="AF831" s="686"/>
    </row>
    <row r="832" ht="15.75" customHeight="1">
      <c r="A832" s="683"/>
      <c r="B832" s="683"/>
      <c r="C832" s="684"/>
      <c r="D832" s="684"/>
      <c r="E832" s="684"/>
      <c r="F832" s="683"/>
      <c r="G832" s="683"/>
      <c r="H832" s="683"/>
      <c r="I832" s="683"/>
      <c r="J832" s="683"/>
      <c r="K832" s="683"/>
      <c r="L832" s="685"/>
      <c r="M832" s="685"/>
      <c r="N832" s="685"/>
      <c r="O832" s="683"/>
      <c r="P832" s="683"/>
      <c r="Q832" s="686"/>
      <c r="R832" s="686"/>
      <c r="S832" s="686"/>
      <c r="T832" s="686"/>
      <c r="U832" s="686"/>
      <c r="V832" s="686"/>
      <c r="W832" s="686"/>
      <c r="X832" s="686"/>
      <c r="Y832" s="686"/>
      <c r="Z832" s="686"/>
      <c r="AA832" s="686"/>
      <c r="AB832" s="686"/>
      <c r="AC832" s="686"/>
      <c r="AD832" s="686"/>
      <c r="AE832" s="686"/>
      <c r="AF832" s="686"/>
    </row>
    <row r="833" ht="15.75" customHeight="1">
      <c r="A833" s="683"/>
      <c r="B833" s="683"/>
      <c r="C833" s="684"/>
      <c r="D833" s="684"/>
      <c r="E833" s="684"/>
      <c r="F833" s="683"/>
      <c r="G833" s="683"/>
      <c r="H833" s="683"/>
      <c r="I833" s="683"/>
      <c r="J833" s="683"/>
      <c r="K833" s="683"/>
      <c r="L833" s="685"/>
      <c r="M833" s="685"/>
      <c r="N833" s="685"/>
      <c r="O833" s="683"/>
      <c r="P833" s="683"/>
      <c r="Q833" s="686"/>
      <c r="R833" s="686"/>
      <c r="S833" s="686"/>
      <c r="T833" s="686"/>
      <c r="U833" s="686"/>
      <c r="V833" s="686"/>
      <c r="W833" s="686"/>
      <c r="X833" s="686"/>
      <c r="Y833" s="686"/>
      <c r="Z833" s="686"/>
      <c r="AA833" s="686"/>
      <c r="AB833" s="686"/>
      <c r="AC833" s="686"/>
      <c r="AD833" s="686"/>
      <c r="AE833" s="686"/>
      <c r="AF833" s="686"/>
    </row>
    <row r="834" ht="15.75" customHeight="1">
      <c r="A834" s="683"/>
      <c r="B834" s="683"/>
      <c r="C834" s="684"/>
      <c r="D834" s="684"/>
      <c r="E834" s="684"/>
      <c r="F834" s="683"/>
      <c r="G834" s="683"/>
      <c r="H834" s="683"/>
      <c r="I834" s="683"/>
      <c r="J834" s="683"/>
      <c r="K834" s="683"/>
      <c r="L834" s="685"/>
      <c r="M834" s="685"/>
      <c r="N834" s="685"/>
      <c r="O834" s="683"/>
      <c r="P834" s="683"/>
      <c r="Q834" s="686"/>
      <c r="R834" s="686"/>
      <c r="S834" s="686"/>
      <c r="T834" s="686"/>
      <c r="U834" s="686"/>
      <c r="V834" s="686"/>
      <c r="W834" s="686"/>
      <c r="X834" s="686"/>
      <c r="Y834" s="686"/>
      <c r="Z834" s="686"/>
      <c r="AA834" s="686"/>
      <c r="AB834" s="686"/>
      <c r="AC834" s="686"/>
      <c r="AD834" s="686"/>
      <c r="AE834" s="686"/>
      <c r="AF834" s="686"/>
    </row>
    <row r="835" ht="15.75" customHeight="1">
      <c r="A835" s="683"/>
      <c r="B835" s="683"/>
      <c r="C835" s="684"/>
      <c r="D835" s="684"/>
      <c r="E835" s="684"/>
      <c r="F835" s="683"/>
      <c r="G835" s="683"/>
      <c r="H835" s="683"/>
      <c r="I835" s="683"/>
      <c r="J835" s="683"/>
      <c r="K835" s="683"/>
      <c r="L835" s="685"/>
      <c r="M835" s="685"/>
      <c r="N835" s="685"/>
      <c r="O835" s="683"/>
      <c r="P835" s="683"/>
      <c r="Q835" s="686"/>
      <c r="R835" s="686"/>
      <c r="S835" s="686"/>
      <c r="T835" s="686"/>
      <c r="U835" s="686"/>
      <c r="V835" s="686"/>
      <c r="W835" s="686"/>
      <c r="X835" s="686"/>
      <c r="Y835" s="686"/>
      <c r="Z835" s="686"/>
      <c r="AA835" s="686"/>
      <c r="AB835" s="686"/>
      <c r="AC835" s="686"/>
      <c r="AD835" s="686"/>
      <c r="AE835" s="686"/>
      <c r="AF835" s="686"/>
    </row>
    <row r="836" ht="15.75" customHeight="1">
      <c r="A836" s="683"/>
      <c r="B836" s="683"/>
      <c r="C836" s="684"/>
      <c r="D836" s="684"/>
      <c r="E836" s="684"/>
      <c r="F836" s="683"/>
      <c r="G836" s="683"/>
      <c r="H836" s="683"/>
      <c r="I836" s="683"/>
      <c r="J836" s="683"/>
      <c r="K836" s="683"/>
      <c r="L836" s="685"/>
      <c r="M836" s="685"/>
      <c r="N836" s="685"/>
      <c r="O836" s="683"/>
      <c r="P836" s="683"/>
      <c r="Q836" s="686"/>
      <c r="R836" s="686"/>
      <c r="S836" s="686"/>
      <c r="T836" s="686"/>
      <c r="U836" s="686"/>
      <c r="V836" s="686"/>
      <c r="W836" s="686"/>
      <c r="X836" s="686"/>
      <c r="Y836" s="686"/>
      <c r="Z836" s="686"/>
      <c r="AA836" s="686"/>
      <c r="AB836" s="686"/>
      <c r="AC836" s="686"/>
      <c r="AD836" s="686"/>
      <c r="AE836" s="686"/>
      <c r="AF836" s="686"/>
    </row>
    <row r="837" ht="15.75" customHeight="1">
      <c r="A837" s="683"/>
      <c r="B837" s="683"/>
      <c r="C837" s="684"/>
      <c r="D837" s="684"/>
      <c r="E837" s="684"/>
      <c r="F837" s="683"/>
      <c r="G837" s="683"/>
      <c r="H837" s="683"/>
      <c r="I837" s="683"/>
      <c r="J837" s="683"/>
      <c r="K837" s="683"/>
      <c r="L837" s="685"/>
      <c r="M837" s="685"/>
      <c r="N837" s="685"/>
      <c r="O837" s="683"/>
      <c r="P837" s="683"/>
      <c r="Q837" s="686"/>
      <c r="R837" s="686"/>
      <c r="S837" s="686"/>
      <c r="T837" s="686"/>
      <c r="U837" s="686"/>
      <c r="V837" s="686"/>
      <c r="W837" s="686"/>
      <c r="X837" s="686"/>
      <c r="Y837" s="686"/>
      <c r="Z837" s="686"/>
      <c r="AA837" s="686"/>
      <c r="AB837" s="686"/>
      <c r="AC837" s="686"/>
      <c r="AD837" s="686"/>
      <c r="AE837" s="686"/>
      <c r="AF837" s="686"/>
    </row>
    <row r="838" ht="15.75" customHeight="1">
      <c r="A838" s="683"/>
      <c r="B838" s="683"/>
      <c r="C838" s="684"/>
      <c r="D838" s="684"/>
      <c r="E838" s="684"/>
      <c r="F838" s="683"/>
      <c r="G838" s="683"/>
      <c r="H838" s="683"/>
      <c r="I838" s="683"/>
      <c r="J838" s="683"/>
      <c r="K838" s="683"/>
      <c r="L838" s="685"/>
      <c r="M838" s="685"/>
      <c r="N838" s="685"/>
      <c r="O838" s="683"/>
      <c r="P838" s="683"/>
      <c r="Q838" s="686"/>
      <c r="R838" s="686"/>
      <c r="S838" s="686"/>
      <c r="T838" s="686"/>
      <c r="U838" s="686"/>
      <c r="V838" s="686"/>
      <c r="W838" s="686"/>
      <c r="X838" s="686"/>
      <c r="Y838" s="686"/>
      <c r="Z838" s="686"/>
      <c r="AA838" s="686"/>
      <c r="AB838" s="686"/>
      <c r="AC838" s="686"/>
      <c r="AD838" s="686"/>
      <c r="AE838" s="686"/>
      <c r="AF838" s="686"/>
    </row>
    <row r="839" ht="15.75" customHeight="1">
      <c r="A839" s="683"/>
      <c r="B839" s="683"/>
      <c r="C839" s="684"/>
      <c r="D839" s="684"/>
      <c r="E839" s="684"/>
      <c r="F839" s="683"/>
      <c r="G839" s="683"/>
      <c r="H839" s="683"/>
      <c r="I839" s="683"/>
      <c r="J839" s="683"/>
      <c r="K839" s="683"/>
      <c r="L839" s="685"/>
      <c r="M839" s="685"/>
      <c r="N839" s="685"/>
      <c r="O839" s="683"/>
      <c r="P839" s="683"/>
      <c r="Q839" s="686"/>
      <c r="R839" s="686"/>
      <c r="S839" s="686"/>
      <c r="T839" s="686"/>
      <c r="U839" s="686"/>
      <c r="V839" s="686"/>
      <c r="W839" s="686"/>
      <c r="X839" s="686"/>
      <c r="Y839" s="686"/>
      <c r="Z839" s="686"/>
      <c r="AA839" s="686"/>
      <c r="AB839" s="686"/>
      <c r="AC839" s="686"/>
      <c r="AD839" s="686"/>
      <c r="AE839" s="686"/>
      <c r="AF839" s="686"/>
    </row>
    <row r="840" ht="15.75" customHeight="1">
      <c r="A840" s="683"/>
      <c r="B840" s="683"/>
      <c r="C840" s="684"/>
      <c r="D840" s="684"/>
      <c r="E840" s="684"/>
      <c r="F840" s="683"/>
      <c r="G840" s="683"/>
      <c r="H840" s="683"/>
      <c r="I840" s="683"/>
      <c r="J840" s="683"/>
      <c r="K840" s="683"/>
      <c r="L840" s="685"/>
      <c r="M840" s="685"/>
      <c r="N840" s="685"/>
      <c r="O840" s="683"/>
      <c r="P840" s="683"/>
      <c r="Q840" s="686"/>
      <c r="R840" s="686"/>
      <c r="S840" s="686"/>
      <c r="T840" s="686"/>
      <c r="U840" s="686"/>
      <c r="V840" s="686"/>
      <c r="W840" s="686"/>
      <c r="X840" s="686"/>
      <c r="Y840" s="686"/>
      <c r="Z840" s="686"/>
      <c r="AA840" s="686"/>
      <c r="AB840" s="686"/>
      <c r="AC840" s="686"/>
      <c r="AD840" s="686"/>
      <c r="AE840" s="686"/>
      <c r="AF840" s="686"/>
    </row>
    <row r="841" ht="15.75" customHeight="1">
      <c r="A841" s="683"/>
      <c r="B841" s="683"/>
      <c r="C841" s="684"/>
      <c r="D841" s="684"/>
      <c r="E841" s="684"/>
      <c r="F841" s="683"/>
      <c r="G841" s="683"/>
      <c r="H841" s="683"/>
      <c r="I841" s="683"/>
      <c r="J841" s="683"/>
      <c r="K841" s="683"/>
      <c r="L841" s="685"/>
      <c r="M841" s="685"/>
      <c r="N841" s="685"/>
      <c r="O841" s="683"/>
      <c r="P841" s="683"/>
      <c r="Q841" s="686"/>
      <c r="R841" s="686"/>
      <c r="S841" s="686"/>
      <c r="T841" s="686"/>
      <c r="U841" s="686"/>
      <c r="V841" s="686"/>
      <c r="W841" s="686"/>
      <c r="X841" s="686"/>
      <c r="Y841" s="686"/>
      <c r="Z841" s="686"/>
      <c r="AA841" s="686"/>
      <c r="AB841" s="686"/>
      <c r="AC841" s="686"/>
      <c r="AD841" s="686"/>
      <c r="AE841" s="686"/>
      <c r="AF841" s="686"/>
    </row>
    <row r="842" ht="15.75" customHeight="1">
      <c r="A842" s="683"/>
      <c r="B842" s="683"/>
      <c r="C842" s="684"/>
      <c r="D842" s="684"/>
      <c r="E842" s="684"/>
      <c r="F842" s="683"/>
      <c r="G842" s="683"/>
      <c r="H842" s="683"/>
      <c r="I842" s="683"/>
      <c r="J842" s="683"/>
      <c r="K842" s="683"/>
      <c r="L842" s="685"/>
      <c r="M842" s="685"/>
      <c r="N842" s="685"/>
      <c r="O842" s="683"/>
      <c r="P842" s="683"/>
      <c r="Q842" s="686"/>
      <c r="R842" s="686"/>
      <c r="S842" s="686"/>
      <c r="T842" s="686"/>
      <c r="U842" s="686"/>
      <c r="V842" s="686"/>
      <c r="W842" s="686"/>
      <c r="X842" s="686"/>
      <c r="Y842" s="686"/>
      <c r="Z842" s="686"/>
      <c r="AA842" s="686"/>
      <c r="AB842" s="686"/>
      <c r="AC842" s="686"/>
      <c r="AD842" s="686"/>
      <c r="AE842" s="686"/>
      <c r="AF842" s="686"/>
    </row>
    <row r="843" ht="15.75" customHeight="1">
      <c r="A843" s="683"/>
      <c r="B843" s="683"/>
      <c r="C843" s="684"/>
      <c r="D843" s="684"/>
      <c r="E843" s="684"/>
      <c r="F843" s="683"/>
      <c r="G843" s="683"/>
      <c r="H843" s="683"/>
      <c r="I843" s="683"/>
      <c r="J843" s="683"/>
      <c r="K843" s="683"/>
      <c r="L843" s="685"/>
      <c r="M843" s="685"/>
      <c r="N843" s="685"/>
      <c r="O843" s="683"/>
      <c r="P843" s="683"/>
      <c r="Q843" s="686"/>
      <c r="R843" s="686"/>
      <c r="S843" s="686"/>
      <c r="T843" s="686"/>
      <c r="U843" s="686"/>
      <c r="V843" s="686"/>
      <c r="W843" s="686"/>
      <c r="X843" s="686"/>
      <c r="Y843" s="686"/>
      <c r="Z843" s="686"/>
      <c r="AA843" s="686"/>
      <c r="AB843" s="686"/>
      <c r="AC843" s="686"/>
      <c r="AD843" s="686"/>
      <c r="AE843" s="686"/>
      <c r="AF843" s="686"/>
    </row>
    <row r="844" ht="15.75" customHeight="1">
      <c r="A844" s="683"/>
      <c r="B844" s="683"/>
      <c r="C844" s="684"/>
      <c r="D844" s="684"/>
      <c r="E844" s="684"/>
      <c r="F844" s="683"/>
      <c r="G844" s="683"/>
      <c r="H844" s="683"/>
      <c r="I844" s="683"/>
      <c r="J844" s="683"/>
      <c r="K844" s="683"/>
      <c r="L844" s="685"/>
      <c r="M844" s="685"/>
      <c r="N844" s="685"/>
      <c r="O844" s="683"/>
      <c r="P844" s="683"/>
      <c r="Q844" s="686"/>
      <c r="R844" s="686"/>
      <c r="S844" s="686"/>
      <c r="T844" s="686"/>
      <c r="U844" s="686"/>
      <c r="V844" s="686"/>
      <c r="W844" s="686"/>
      <c r="X844" s="686"/>
      <c r="Y844" s="686"/>
      <c r="Z844" s="686"/>
      <c r="AA844" s="686"/>
      <c r="AB844" s="686"/>
      <c r="AC844" s="686"/>
      <c r="AD844" s="686"/>
      <c r="AE844" s="686"/>
      <c r="AF844" s="686"/>
    </row>
    <row r="845" ht="15.75" customHeight="1">
      <c r="A845" s="683"/>
      <c r="B845" s="683"/>
      <c r="C845" s="684"/>
      <c r="D845" s="684"/>
      <c r="E845" s="684"/>
      <c r="F845" s="683"/>
      <c r="G845" s="683"/>
      <c r="H845" s="683"/>
      <c r="I845" s="683"/>
      <c r="J845" s="683"/>
      <c r="K845" s="683"/>
      <c r="L845" s="685"/>
      <c r="M845" s="685"/>
      <c r="N845" s="685"/>
      <c r="O845" s="683"/>
      <c r="P845" s="683"/>
      <c r="Q845" s="686"/>
      <c r="R845" s="686"/>
      <c r="S845" s="686"/>
      <c r="T845" s="686"/>
      <c r="U845" s="686"/>
      <c r="V845" s="686"/>
      <c r="W845" s="686"/>
      <c r="X845" s="686"/>
      <c r="Y845" s="686"/>
      <c r="Z845" s="686"/>
      <c r="AA845" s="686"/>
      <c r="AB845" s="686"/>
      <c r="AC845" s="686"/>
      <c r="AD845" s="686"/>
      <c r="AE845" s="686"/>
      <c r="AF845" s="686"/>
    </row>
    <row r="846" ht="15.75" customHeight="1">
      <c r="A846" s="683"/>
      <c r="B846" s="683"/>
      <c r="C846" s="684"/>
      <c r="D846" s="684"/>
      <c r="E846" s="684"/>
      <c r="F846" s="683"/>
      <c r="G846" s="683"/>
      <c r="H846" s="683"/>
      <c r="I846" s="683"/>
      <c r="J846" s="683"/>
      <c r="K846" s="683"/>
      <c r="L846" s="685"/>
      <c r="M846" s="685"/>
      <c r="N846" s="685"/>
      <c r="O846" s="683"/>
      <c r="P846" s="683"/>
      <c r="Q846" s="686"/>
      <c r="R846" s="686"/>
      <c r="S846" s="686"/>
      <c r="T846" s="686"/>
      <c r="U846" s="686"/>
      <c r="V846" s="686"/>
      <c r="W846" s="686"/>
      <c r="X846" s="686"/>
      <c r="Y846" s="686"/>
      <c r="Z846" s="686"/>
      <c r="AA846" s="686"/>
      <c r="AB846" s="686"/>
      <c r="AC846" s="686"/>
      <c r="AD846" s="686"/>
      <c r="AE846" s="686"/>
      <c r="AF846" s="686"/>
    </row>
    <row r="847" ht="15.75" customHeight="1">
      <c r="A847" s="683"/>
      <c r="B847" s="683"/>
      <c r="C847" s="684"/>
      <c r="D847" s="684"/>
      <c r="E847" s="684"/>
      <c r="F847" s="683"/>
      <c r="G847" s="683"/>
      <c r="H847" s="683"/>
      <c r="I847" s="683"/>
      <c r="J847" s="683"/>
      <c r="K847" s="683"/>
      <c r="L847" s="685"/>
      <c r="M847" s="685"/>
      <c r="N847" s="685"/>
      <c r="O847" s="683"/>
      <c r="P847" s="683"/>
      <c r="Q847" s="686"/>
      <c r="R847" s="686"/>
      <c r="S847" s="686"/>
      <c r="T847" s="686"/>
      <c r="U847" s="686"/>
      <c r="V847" s="686"/>
      <c r="W847" s="686"/>
      <c r="X847" s="686"/>
      <c r="Y847" s="686"/>
      <c r="Z847" s="686"/>
      <c r="AA847" s="686"/>
      <c r="AB847" s="686"/>
      <c r="AC847" s="686"/>
      <c r="AD847" s="686"/>
      <c r="AE847" s="686"/>
      <c r="AF847" s="686"/>
    </row>
    <row r="848" ht="15.75" customHeight="1">
      <c r="A848" s="683"/>
      <c r="B848" s="683"/>
      <c r="C848" s="684"/>
      <c r="D848" s="684"/>
      <c r="E848" s="684"/>
      <c r="F848" s="683"/>
      <c r="G848" s="683"/>
      <c r="H848" s="683"/>
      <c r="I848" s="683"/>
      <c r="J848" s="683"/>
      <c r="K848" s="683"/>
      <c r="L848" s="685"/>
      <c r="M848" s="685"/>
      <c r="N848" s="685"/>
      <c r="O848" s="683"/>
      <c r="P848" s="683"/>
      <c r="Q848" s="686"/>
      <c r="R848" s="686"/>
      <c r="S848" s="686"/>
      <c r="T848" s="686"/>
      <c r="U848" s="686"/>
      <c r="V848" s="686"/>
      <c r="W848" s="686"/>
      <c r="X848" s="686"/>
      <c r="Y848" s="686"/>
      <c r="Z848" s="686"/>
      <c r="AA848" s="686"/>
      <c r="AB848" s="686"/>
      <c r="AC848" s="686"/>
      <c r="AD848" s="686"/>
      <c r="AE848" s="686"/>
      <c r="AF848" s="686"/>
    </row>
    <row r="849" ht="15.75" customHeight="1">
      <c r="A849" s="683"/>
      <c r="B849" s="683"/>
      <c r="C849" s="684"/>
      <c r="D849" s="684"/>
      <c r="E849" s="684"/>
      <c r="F849" s="683"/>
      <c r="G849" s="683"/>
      <c r="H849" s="683"/>
      <c r="I849" s="683"/>
      <c r="J849" s="683"/>
      <c r="K849" s="683"/>
      <c r="L849" s="685"/>
      <c r="M849" s="685"/>
      <c r="N849" s="685"/>
      <c r="O849" s="683"/>
      <c r="P849" s="683"/>
      <c r="Q849" s="686"/>
      <c r="R849" s="686"/>
      <c r="S849" s="686"/>
      <c r="T849" s="686"/>
      <c r="U849" s="686"/>
      <c r="V849" s="686"/>
      <c r="W849" s="686"/>
      <c r="X849" s="686"/>
      <c r="Y849" s="686"/>
      <c r="Z849" s="686"/>
      <c r="AA849" s="686"/>
      <c r="AB849" s="686"/>
      <c r="AC849" s="686"/>
      <c r="AD849" s="686"/>
      <c r="AE849" s="686"/>
      <c r="AF849" s="686"/>
    </row>
    <row r="850" ht="15.75" customHeight="1">
      <c r="A850" s="683"/>
      <c r="B850" s="683"/>
      <c r="C850" s="684"/>
      <c r="D850" s="684"/>
      <c r="E850" s="684"/>
      <c r="F850" s="683"/>
      <c r="G850" s="683"/>
      <c r="H850" s="683"/>
      <c r="I850" s="683"/>
      <c r="J850" s="683"/>
      <c r="K850" s="683"/>
      <c r="L850" s="685"/>
      <c r="M850" s="685"/>
      <c r="N850" s="685"/>
      <c r="O850" s="683"/>
      <c r="P850" s="683"/>
      <c r="Q850" s="686"/>
      <c r="R850" s="686"/>
      <c r="S850" s="686"/>
      <c r="T850" s="686"/>
      <c r="U850" s="686"/>
      <c r="V850" s="686"/>
      <c r="W850" s="686"/>
      <c r="X850" s="686"/>
      <c r="Y850" s="686"/>
      <c r="Z850" s="686"/>
      <c r="AA850" s="686"/>
      <c r="AB850" s="686"/>
      <c r="AC850" s="686"/>
      <c r="AD850" s="686"/>
      <c r="AE850" s="686"/>
      <c r="AF850" s="686"/>
    </row>
    <row r="851" ht="15.75" customHeight="1">
      <c r="A851" s="683"/>
      <c r="B851" s="683"/>
      <c r="C851" s="684"/>
      <c r="D851" s="684"/>
      <c r="E851" s="684"/>
      <c r="F851" s="683"/>
      <c r="G851" s="683"/>
      <c r="H851" s="683"/>
      <c r="I851" s="683"/>
      <c r="J851" s="683"/>
      <c r="K851" s="683"/>
      <c r="L851" s="685"/>
      <c r="M851" s="685"/>
      <c r="N851" s="685"/>
      <c r="O851" s="683"/>
      <c r="P851" s="683"/>
      <c r="Q851" s="686"/>
      <c r="R851" s="686"/>
      <c r="S851" s="686"/>
      <c r="T851" s="686"/>
      <c r="U851" s="686"/>
      <c r="V851" s="686"/>
      <c r="W851" s="686"/>
      <c r="X851" s="686"/>
      <c r="Y851" s="686"/>
      <c r="Z851" s="686"/>
      <c r="AA851" s="686"/>
      <c r="AB851" s="686"/>
      <c r="AC851" s="686"/>
      <c r="AD851" s="686"/>
      <c r="AE851" s="686"/>
      <c r="AF851" s="686"/>
    </row>
    <row r="852" ht="15.75" customHeight="1">
      <c r="A852" s="683"/>
      <c r="B852" s="683"/>
      <c r="C852" s="684"/>
      <c r="D852" s="684"/>
      <c r="E852" s="684"/>
      <c r="F852" s="683"/>
      <c r="G852" s="683"/>
      <c r="H852" s="683"/>
      <c r="I852" s="683"/>
      <c r="J852" s="683"/>
      <c r="K852" s="683"/>
      <c r="L852" s="685"/>
      <c r="M852" s="685"/>
      <c r="N852" s="685"/>
      <c r="O852" s="683"/>
      <c r="P852" s="683"/>
      <c r="Q852" s="686"/>
      <c r="R852" s="686"/>
      <c r="S852" s="686"/>
      <c r="T852" s="686"/>
      <c r="U852" s="686"/>
      <c r="V852" s="686"/>
      <c r="W852" s="686"/>
      <c r="X852" s="686"/>
      <c r="Y852" s="686"/>
      <c r="Z852" s="686"/>
      <c r="AA852" s="686"/>
      <c r="AB852" s="686"/>
      <c r="AC852" s="686"/>
      <c r="AD852" s="686"/>
      <c r="AE852" s="686"/>
      <c r="AF852" s="686"/>
    </row>
    <row r="853" ht="15.75" customHeight="1">
      <c r="A853" s="683"/>
      <c r="B853" s="683"/>
      <c r="C853" s="684"/>
      <c r="D853" s="684"/>
      <c r="E853" s="684"/>
      <c r="F853" s="683"/>
      <c r="G853" s="683"/>
      <c r="H853" s="683"/>
      <c r="I853" s="683"/>
      <c r="J853" s="683"/>
      <c r="K853" s="683"/>
      <c r="L853" s="685"/>
      <c r="M853" s="685"/>
      <c r="N853" s="685"/>
      <c r="O853" s="683"/>
      <c r="P853" s="683"/>
      <c r="Q853" s="686"/>
      <c r="R853" s="686"/>
      <c r="S853" s="686"/>
      <c r="T853" s="686"/>
      <c r="U853" s="686"/>
      <c r="V853" s="686"/>
      <c r="W853" s="686"/>
      <c r="X853" s="686"/>
      <c r="Y853" s="686"/>
      <c r="Z853" s="686"/>
      <c r="AA853" s="686"/>
      <c r="AB853" s="686"/>
      <c r="AC853" s="686"/>
      <c r="AD853" s="686"/>
      <c r="AE853" s="686"/>
      <c r="AF853" s="686"/>
    </row>
    <row r="854" ht="15.75" customHeight="1">
      <c r="A854" s="683"/>
      <c r="B854" s="683"/>
      <c r="C854" s="684"/>
      <c r="D854" s="684"/>
      <c r="E854" s="684"/>
      <c r="F854" s="683"/>
      <c r="G854" s="683"/>
      <c r="H854" s="683"/>
      <c r="I854" s="683"/>
      <c r="J854" s="683"/>
      <c r="K854" s="683"/>
      <c r="L854" s="685"/>
      <c r="M854" s="685"/>
      <c r="N854" s="685"/>
      <c r="O854" s="683"/>
      <c r="P854" s="683"/>
      <c r="Q854" s="686"/>
      <c r="R854" s="686"/>
      <c r="S854" s="686"/>
      <c r="T854" s="686"/>
      <c r="U854" s="686"/>
      <c r="V854" s="686"/>
      <c r="W854" s="686"/>
      <c r="X854" s="686"/>
      <c r="Y854" s="686"/>
      <c r="Z854" s="686"/>
      <c r="AA854" s="686"/>
      <c r="AB854" s="686"/>
      <c r="AC854" s="686"/>
      <c r="AD854" s="686"/>
      <c r="AE854" s="686"/>
      <c r="AF854" s="686"/>
    </row>
    <row r="855" ht="15.75" customHeight="1">
      <c r="A855" s="683"/>
      <c r="B855" s="683"/>
      <c r="C855" s="684"/>
      <c r="D855" s="684"/>
      <c r="E855" s="684"/>
      <c r="F855" s="683"/>
      <c r="G855" s="683"/>
      <c r="H855" s="683"/>
      <c r="I855" s="683"/>
      <c r="J855" s="683"/>
      <c r="K855" s="683"/>
      <c r="L855" s="685"/>
      <c r="M855" s="685"/>
      <c r="N855" s="685"/>
      <c r="O855" s="683"/>
      <c r="P855" s="683"/>
      <c r="Q855" s="686"/>
      <c r="R855" s="686"/>
      <c r="S855" s="686"/>
      <c r="T855" s="686"/>
      <c r="U855" s="686"/>
      <c r="V855" s="686"/>
      <c r="W855" s="686"/>
      <c r="X855" s="686"/>
      <c r="Y855" s="686"/>
      <c r="Z855" s="686"/>
      <c r="AA855" s="686"/>
      <c r="AB855" s="686"/>
      <c r="AC855" s="686"/>
      <c r="AD855" s="686"/>
      <c r="AE855" s="686"/>
      <c r="AF855" s="686"/>
    </row>
    <row r="856" ht="15.75" customHeight="1">
      <c r="A856" s="683"/>
      <c r="B856" s="683"/>
      <c r="C856" s="684"/>
      <c r="D856" s="684"/>
      <c r="E856" s="684"/>
      <c r="F856" s="683"/>
      <c r="G856" s="683"/>
      <c r="H856" s="683"/>
      <c r="I856" s="683"/>
      <c r="J856" s="683"/>
      <c r="K856" s="683"/>
      <c r="L856" s="685"/>
      <c r="M856" s="685"/>
      <c r="N856" s="685"/>
      <c r="O856" s="683"/>
      <c r="P856" s="683"/>
      <c r="Q856" s="686"/>
      <c r="R856" s="686"/>
      <c r="S856" s="686"/>
      <c r="T856" s="686"/>
      <c r="U856" s="686"/>
      <c r="V856" s="686"/>
      <c r="W856" s="686"/>
      <c r="X856" s="686"/>
      <c r="Y856" s="686"/>
      <c r="Z856" s="686"/>
      <c r="AA856" s="686"/>
      <c r="AB856" s="686"/>
      <c r="AC856" s="686"/>
      <c r="AD856" s="686"/>
      <c r="AE856" s="686"/>
      <c r="AF856" s="686"/>
    </row>
    <row r="857" ht="15.75" customHeight="1">
      <c r="A857" s="683"/>
      <c r="B857" s="683"/>
      <c r="C857" s="684"/>
      <c r="D857" s="684"/>
      <c r="E857" s="684"/>
      <c r="F857" s="683"/>
      <c r="G857" s="683"/>
      <c r="H857" s="683"/>
      <c r="I857" s="683"/>
      <c r="J857" s="683"/>
      <c r="K857" s="683"/>
      <c r="L857" s="685"/>
      <c r="M857" s="685"/>
      <c r="N857" s="685"/>
      <c r="O857" s="683"/>
      <c r="P857" s="683"/>
      <c r="Q857" s="686"/>
      <c r="R857" s="686"/>
      <c r="S857" s="686"/>
      <c r="T857" s="686"/>
      <c r="U857" s="686"/>
      <c r="V857" s="686"/>
      <c r="W857" s="686"/>
      <c r="X857" s="686"/>
      <c r="Y857" s="686"/>
      <c r="Z857" s="686"/>
      <c r="AA857" s="686"/>
      <c r="AB857" s="686"/>
      <c r="AC857" s="686"/>
      <c r="AD857" s="686"/>
      <c r="AE857" s="686"/>
      <c r="AF857" s="686"/>
    </row>
    <row r="858" ht="15.75" customHeight="1">
      <c r="A858" s="683"/>
      <c r="B858" s="683"/>
      <c r="C858" s="684"/>
      <c r="D858" s="684"/>
      <c r="E858" s="684"/>
      <c r="F858" s="683"/>
      <c r="G858" s="683"/>
      <c r="H858" s="683"/>
      <c r="I858" s="683"/>
      <c r="J858" s="683"/>
      <c r="K858" s="683"/>
      <c r="L858" s="685"/>
      <c r="M858" s="685"/>
      <c r="N858" s="685"/>
      <c r="O858" s="683"/>
      <c r="P858" s="683"/>
      <c r="Q858" s="686"/>
      <c r="R858" s="686"/>
      <c r="S858" s="686"/>
      <c r="T858" s="686"/>
      <c r="U858" s="686"/>
      <c r="V858" s="686"/>
      <c r="W858" s="686"/>
      <c r="X858" s="686"/>
      <c r="Y858" s="686"/>
      <c r="Z858" s="686"/>
      <c r="AA858" s="686"/>
      <c r="AB858" s="686"/>
      <c r="AC858" s="686"/>
      <c r="AD858" s="686"/>
      <c r="AE858" s="686"/>
      <c r="AF858" s="686"/>
    </row>
    <row r="859" ht="15.75" customHeight="1">
      <c r="A859" s="683"/>
      <c r="B859" s="683"/>
      <c r="C859" s="684"/>
      <c r="D859" s="684"/>
      <c r="E859" s="684"/>
      <c r="F859" s="683"/>
      <c r="G859" s="683"/>
      <c r="H859" s="683"/>
      <c r="I859" s="683"/>
      <c r="J859" s="683"/>
      <c r="K859" s="683"/>
      <c r="L859" s="685"/>
      <c r="M859" s="685"/>
      <c r="N859" s="685"/>
      <c r="O859" s="683"/>
      <c r="P859" s="683"/>
      <c r="Q859" s="686"/>
      <c r="R859" s="686"/>
      <c r="S859" s="686"/>
      <c r="T859" s="686"/>
      <c r="U859" s="686"/>
      <c r="V859" s="686"/>
      <c r="W859" s="686"/>
      <c r="X859" s="686"/>
      <c r="Y859" s="686"/>
      <c r="Z859" s="686"/>
      <c r="AA859" s="686"/>
      <c r="AB859" s="686"/>
      <c r="AC859" s="686"/>
      <c r="AD859" s="686"/>
      <c r="AE859" s="686"/>
      <c r="AF859" s="686"/>
    </row>
    <row r="860" ht="15.75" customHeight="1">
      <c r="A860" s="683"/>
      <c r="B860" s="683"/>
      <c r="C860" s="684"/>
      <c r="D860" s="684"/>
      <c r="E860" s="684"/>
      <c r="F860" s="683"/>
      <c r="G860" s="683"/>
      <c r="H860" s="683"/>
      <c r="I860" s="683"/>
      <c r="J860" s="683"/>
      <c r="K860" s="683"/>
      <c r="L860" s="685"/>
      <c r="M860" s="685"/>
      <c r="N860" s="685"/>
      <c r="O860" s="683"/>
      <c r="P860" s="683"/>
      <c r="Q860" s="686"/>
      <c r="R860" s="686"/>
      <c r="S860" s="686"/>
      <c r="T860" s="686"/>
      <c r="U860" s="686"/>
      <c r="V860" s="686"/>
      <c r="W860" s="686"/>
      <c r="X860" s="686"/>
      <c r="Y860" s="686"/>
      <c r="Z860" s="686"/>
      <c r="AA860" s="686"/>
      <c r="AB860" s="686"/>
      <c r="AC860" s="686"/>
      <c r="AD860" s="686"/>
      <c r="AE860" s="686"/>
      <c r="AF860" s="686"/>
    </row>
    <row r="861" ht="15.75" customHeight="1">
      <c r="A861" s="683"/>
      <c r="B861" s="683"/>
      <c r="C861" s="684"/>
      <c r="D861" s="684"/>
      <c r="E861" s="684"/>
      <c r="F861" s="683"/>
      <c r="G861" s="683"/>
      <c r="H861" s="683"/>
      <c r="I861" s="683"/>
      <c r="J861" s="683"/>
      <c r="K861" s="683"/>
      <c r="L861" s="685"/>
      <c r="M861" s="685"/>
      <c r="N861" s="685"/>
      <c r="O861" s="683"/>
      <c r="P861" s="683"/>
      <c r="Q861" s="686"/>
      <c r="R861" s="686"/>
      <c r="S861" s="686"/>
      <c r="T861" s="686"/>
      <c r="U861" s="686"/>
      <c r="V861" s="686"/>
      <c r="W861" s="686"/>
      <c r="X861" s="686"/>
      <c r="Y861" s="686"/>
      <c r="Z861" s="686"/>
      <c r="AA861" s="686"/>
      <c r="AB861" s="686"/>
      <c r="AC861" s="686"/>
      <c r="AD861" s="686"/>
      <c r="AE861" s="686"/>
      <c r="AF861" s="686"/>
    </row>
    <row r="862" ht="15.75" customHeight="1">
      <c r="A862" s="683"/>
      <c r="B862" s="683"/>
      <c r="C862" s="684"/>
      <c r="D862" s="684"/>
      <c r="E862" s="684"/>
      <c r="F862" s="683"/>
      <c r="G862" s="683"/>
      <c r="H862" s="683"/>
      <c r="I862" s="683"/>
      <c r="J862" s="683"/>
      <c r="K862" s="683"/>
      <c r="L862" s="685"/>
      <c r="M862" s="685"/>
      <c r="N862" s="685"/>
      <c r="O862" s="683"/>
      <c r="P862" s="683"/>
      <c r="Q862" s="686"/>
      <c r="R862" s="686"/>
      <c r="S862" s="686"/>
      <c r="T862" s="686"/>
      <c r="U862" s="686"/>
      <c r="V862" s="686"/>
      <c r="W862" s="686"/>
      <c r="X862" s="686"/>
      <c r="Y862" s="686"/>
      <c r="Z862" s="686"/>
      <c r="AA862" s="686"/>
      <c r="AB862" s="686"/>
      <c r="AC862" s="686"/>
      <c r="AD862" s="686"/>
      <c r="AE862" s="686"/>
      <c r="AF862" s="686"/>
    </row>
    <row r="863" ht="15.75" customHeight="1">
      <c r="A863" s="683"/>
      <c r="B863" s="683"/>
      <c r="C863" s="684"/>
      <c r="D863" s="684"/>
      <c r="E863" s="684"/>
      <c r="F863" s="683"/>
      <c r="G863" s="683"/>
      <c r="H863" s="683"/>
      <c r="I863" s="683"/>
      <c r="J863" s="683"/>
      <c r="K863" s="683"/>
      <c r="L863" s="685"/>
      <c r="M863" s="685"/>
      <c r="N863" s="685"/>
      <c r="O863" s="683"/>
      <c r="P863" s="683"/>
      <c r="Q863" s="686"/>
      <c r="R863" s="686"/>
      <c r="S863" s="686"/>
      <c r="T863" s="686"/>
      <c r="U863" s="686"/>
      <c r="V863" s="686"/>
      <c r="W863" s="686"/>
      <c r="X863" s="686"/>
      <c r="Y863" s="686"/>
      <c r="Z863" s="686"/>
      <c r="AA863" s="686"/>
      <c r="AB863" s="686"/>
      <c r="AC863" s="686"/>
      <c r="AD863" s="686"/>
      <c r="AE863" s="686"/>
      <c r="AF863" s="686"/>
    </row>
    <row r="864" ht="15.75" customHeight="1">
      <c r="A864" s="683"/>
      <c r="B864" s="683"/>
      <c r="C864" s="684"/>
      <c r="D864" s="684"/>
      <c r="E864" s="684"/>
      <c r="F864" s="683"/>
      <c r="G864" s="683"/>
      <c r="H864" s="683"/>
      <c r="I864" s="683"/>
      <c r="J864" s="683"/>
      <c r="K864" s="683"/>
      <c r="L864" s="685"/>
      <c r="M864" s="685"/>
      <c r="N864" s="687"/>
      <c r="O864" s="683"/>
      <c r="P864" s="683"/>
      <c r="Q864" s="686"/>
      <c r="R864" s="686"/>
      <c r="S864" s="686"/>
      <c r="T864" s="686"/>
      <c r="U864" s="686"/>
      <c r="V864" s="686"/>
      <c r="W864" s="686"/>
      <c r="X864" s="686"/>
      <c r="Y864" s="686"/>
      <c r="Z864" s="686"/>
      <c r="AA864" s="686"/>
      <c r="AB864" s="686"/>
      <c r="AC864" s="686"/>
      <c r="AD864" s="686"/>
      <c r="AE864" s="686"/>
      <c r="AF864" s="686"/>
    </row>
    <row r="865" ht="15.75" customHeight="1">
      <c r="A865" s="683"/>
      <c r="B865" s="683"/>
      <c r="C865" s="684"/>
      <c r="D865" s="684"/>
      <c r="E865" s="684"/>
      <c r="F865" s="683"/>
      <c r="G865" s="683"/>
      <c r="H865" s="683"/>
      <c r="I865" s="683"/>
      <c r="J865" s="683"/>
      <c r="K865" s="683"/>
      <c r="L865" s="685"/>
      <c r="M865" s="685"/>
      <c r="N865" s="687"/>
      <c r="O865" s="683"/>
      <c r="P865" s="683"/>
      <c r="Q865" s="686"/>
      <c r="R865" s="686"/>
      <c r="S865" s="686"/>
      <c r="T865" s="686"/>
      <c r="U865" s="686"/>
      <c r="V865" s="686"/>
      <c r="W865" s="686"/>
      <c r="X865" s="686"/>
      <c r="Y865" s="686"/>
      <c r="Z865" s="686"/>
      <c r="AA865" s="686"/>
      <c r="AB865" s="686"/>
      <c r="AC865" s="686"/>
      <c r="AD865" s="686"/>
      <c r="AE865" s="686"/>
      <c r="AF865" s="686"/>
    </row>
    <row r="866" ht="15.75" customHeight="1">
      <c r="A866" s="683"/>
      <c r="B866" s="683"/>
      <c r="C866" s="684"/>
      <c r="D866" s="684"/>
      <c r="E866" s="684"/>
      <c r="F866" s="683"/>
      <c r="G866" s="683"/>
      <c r="H866" s="683"/>
      <c r="I866" s="683"/>
      <c r="J866" s="683"/>
      <c r="K866" s="683"/>
      <c r="L866" s="685"/>
      <c r="M866" s="685"/>
      <c r="N866" s="687"/>
      <c r="O866" s="683"/>
      <c r="P866" s="683"/>
      <c r="Q866" s="686"/>
      <c r="R866" s="686"/>
      <c r="S866" s="686"/>
      <c r="T866" s="686"/>
      <c r="U866" s="686"/>
      <c r="V866" s="686"/>
      <c r="W866" s="686"/>
      <c r="X866" s="686"/>
      <c r="Y866" s="686"/>
      <c r="Z866" s="686"/>
      <c r="AA866" s="686"/>
      <c r="AB866" s="686"/>
      <c r="AC866" s="686"/>
      <c r="AD866" s="686"/>
      <c r="AE866" s="686"/>
      <c r="AF866" s="686"/>
    </row>
    <row r="867" ht="15.75" customHeight="1">
      <c r="A867" s="683"/>
      <c r="B867" s="683"/>
      <c r="C867" s="684"/>
      <c r="D867" s="684"/>
      <c r="E867" s="684"/>
      <c r="F867" s="683"/>
      <c r="G867" s="683"/>
      <c r="H867" s="683"/>
      <c r="I867" s="683"/>
      <c r="J867" s="683"/>
      <c r="K867" s="683"/>
      <c r="L867" s="685"/>
      <c r="M867" s="685"/>
      <c r="N867" s="687"/>
      <c r="O867" s="683"/>
      <c r="P867" s="683"/>
      <c r="Q867" s="686"/>
      <c r="R867" s="686"/>
      <c r="S867" s="686"/>
      <c r="T867" s="686"/>
      <c r="U867" s="686"/>
      <c r="V867" s="686"/>
      <c r="W867" s="686"/>
      <c r="X867" s="686"/>
      <c r="Y867" s="686"/>
      <c r="Z867" s="686"/>
      <c r="AA867" s="686"/>
      <c r="AB867" s="686"/>
      <c r="AC867" s="686"/>
      <c r="AD867" s="686"/>
      <c r="AE867" s="686"/>
      <c r="AF867" s="686"/>
    </row>
    <row r="868" ht="15.75" customHeight="1">
      <c r="A868" s="683"/>
      <c r="B868" s="683"/>
      <c r="C868" s="684"/>
      <c r="D868" s="684"/>
      <c r="E868" s="684"/>
      <c r="F868" s="683"/>
      <c r="G868" s="683"/>
      <c r="H868" s="683"/>
      <c r="I868" s="683"/>
      <c r="J868" s="683"/>
      <c r="K868" s="683"/>
      <c r="L868" s="685"/>
      <c r="M868" s="685"/>
      <c r="N868" s="687"/>
      <c r="O868" s="683"/>
      <c r="P868" s="683"/>
      <c r="Q868" s="686"/>
      <c r="R868" s="686"/>
      <c r="S868" s="686"/>
      <c r="T868" s="686"/>
      <c r="U868" s="686"/>
      <c r="V868" s="686"/>
      <c r="W868" s="686"/>
      <c r="X868" s="686"/>
      <c r="Y868" s="686"/>
      <c r="Z868" s="686"/>
      <c r="AA868" s="686"/>
      <c r="AB868" s="686"/>
      <c r="AC868" s="686"/>
      <c r="AD868" s="686"/>
      <c r="AE868" s="686"/>
      <c r="AF868" s="686"/>
    </row>
    <row r="869" ht="15.75" customHeight="1">
      <c r="A869" s="683"/>
      <c r="B869" s="683"/>
      <c r="C869" s="684"/>
      <c r="D869" s="684"/>
      <c r="E869" s="684"/>
      <c r="F869" s="683"/>
      <c r="G869" s="683"/>
      <c r="H869" s="683"/>
      <c r="I869" s="683"/>
      <c r="J869" s="683"/>
      <c r="K869" s="683"/>
      <c r="L869" s="685"/>
      <c r="M869" s="685"/>
      <c r="N869" s="687"/>
      <c r="O869" s="683"/>
      <c r="P869" s="683"/>
      <c r="Q869" s="686"/>
      <c r="R869" s="686"/>
      <c r="S869" s="686"/>
      <c r="T869" s="686"/>
      <c r="U869" s="686"/>
      <c r="V869" s="686"/>
      <c r="W869" s="686"/>
      <c r="X869" s="686"/>
      <c r="Y869" s="686"/>
      <c r="Z869" s="686"/>
      <c r="AA869" s="686"/>
      <c r="AB869" s="686"/>
      <c r="AC869" s="686"/>
      <c r="AD869" s="686"/>
      <c r="AE869" s="686"/>
      <c r="AF869" s="686"/>
    </row>
    <row r="870" ht="15.75" customHeight="1">
      <c r="A870" s="683"/>
      <c r="B870" s="683"/>
      <c r="C870" s="684"/>
      <c r="D870" s="684"/>
      <c r="E870" s="684"/>
      <c r="F870" s="683"/>
      <c r="G870" s="683"/>
      <c r="H870" s="683"/>
      <c r="I870" s="683"/>
      <c r="J870" s="683"/>
      <c r="K870" s="683"/>
      <c r="L870" s="685"/>
      <c r="M870" s="685"/>
      <c r="N870" s="687"/>
      <c r="O870" s="683"/>
      <c r="P870" s="683"/>
      <c r="Q870" s="686"/>
      <c r="R870" s="686"/>
      <c r="S870" s="686"/>
      <c r="T870" s="686"/>
      <c r="U870" s="686"/>
      <c r="V870" s="686"/>
      <c r="W870" s="686"/>
      <c r="X870" s="686"/>
      <c r="Y870" s="686"/>
      <c r="Z870" s="686"/>
      <c r="AA870" s="686"/>
      <c r="AB870" s="686"/>
      <c r="AC870" s="686"/>
      <c r="AD870" s="686"/>
      <c r="AE870" s="686"/>
      <c r="AF870" s="686"/>
    </row>
    <row r="871" ht="15.75" customHeight="1">
      <c r="A871" s="683"/>
      <c r="B871" s="683"/>
      <c r="C871" s="684"/>
      <c r="D871" s="684"/>
      <c r="E871" s="684"/>
      <c r="F871" s="683"/>
      <c r="G871" s="683"/>
      <c r="H871" s="683"/>
      <c r="I871" s="683"/>
      <c r="J871" s="683"/>
      <c r="K871" s="683"/>
      <c r="L871" s="685"/>
      <c r="M871" s="685"/>
      <c r="N871" s="687"/>
      <c r="O871" s="683"/>
      <c r="P871" s="683"/>
      <c r="Q871" s="686"/>
      <c r="R871" s="686"/>
      <c r="S871" s="686"/>
      <c r="T871" s="686"/>
      <c r="U871" s="686"/>
      <c r="V871" s="686"/>
      <c r="W871" s="686"/>
      <c r="X871" s="686"/>
      <c r="Y871" s="686"/>
      <c r="Z871" s="686"/>
      <c r="AA871" s="686"/>
      <c r="AB871" s="686"/>
      <c r="AC871" s="686"/>
      <c r="AD871" s="686"/>
      <c r="AE871" s="686"/>
      <c r="AF871" s="686"/>
    </row>
    <row r="872" ht="15.75" customHeight="1">
      <c r="A872" s="683"/>
      <c r="B872" s="683"/>
      <c r="C872" s="684"/>
      <c r="D872" s="684"/>
      <c r="E872" s="684"/>
      <c r="F872" s="683"/>
      <c r="G872" s="683"/>
      <c r="H872" s="683"/>
      <c r="I872" s="683"/>
      <c r="J872" s="683"/>
      <c r="K872" s="683"/>
      <c r="L872" s="685"/>
      <c r="M872" s="685"/>
      <c r="N872" s="687"/>
      <c r="O872" s="683"/>
      <c r="P872" s="683"/>
      <c r="Q872" s="686"/>
      <c r="R872" s="686"/>
      <c r="S872" s="686"/>
      <c r="T872" s="686"/>
      <c r="U872" s="686"/>
      <c r="V872" s="686"/>
      <c r="W872" s="686"/>
      <c r="X872" s="686"/>
      <c r="Y872" s="686"/>
      <c r="Z872" s="686"/>
      <c r="AA872" s="686"/>
      <c r="AB872" s="686"/>
      <c r="AC872" s="686"/>
      <c r="AD872" s="686"/>
      <c r="AE872" s="686"/>
      <c r="AF872" s="686"/>
    </row>
    <row r="873" ht="15.75" customHeight="1">
      <c r="A873" s="683"/>
      <c r="B873" s="683"/>
      <c r="C873" s="684"/>
      <c r="D873" s="684"/>
      <c r="E873" s="684"/>
      <c r="F873" s="683"/>
      <c r="G873" s="683"/>
      <c r="H873" s="683"/>
      <c r="I873" s="683"/>
      <c r="J873" s="683"/>
      <c r="K873" s="683"/>
      <c r="L873" s="685"/>
      <c r="M873" s="685"/>
      <c r="N873" s="687"/>
      <c r="O873" s="683"/>
      <c r="P873" s="683"/>
      <c r="Q873" s="686"/>
      <c r="R873" s="686"/>
      <c r="S873" s="686"/>
      <c r="T873" s="686"/>
      <c r="U873" s="686"/>
      <c r="V873" s="686"/>
      <c r="W873" s="686"/>
      <c r="X873" s="686"/>
      <c r="Y873" s="686"/>
      <c r="Z873" s="686"/>
      <c r="AA873" s="686"/>
      <c r="AB873" s="686"/>
      <c r="AC873" s="686"/>
      <c r="AD873" s="686"/>
      <c r="AE873" s="686"/>
      <c r="AF873" s="686"/>
    </row>
    <row r="874" ht="15.75" customHeight="1">
      <c r="A874" s="683"/>
      <c r="B874" s="683"/>
      <c r="C874" s="684"/>
      <c r="D874" s="684"/>
      <c r="E874" s="684"/>
      <c r="F874" s="683"/>
      <c r="G874" s="683"/>
      <c r="H874" s="683"/>
      <c r="I874" s="683"/>
      <c r="J874" s="683"/>
      <c r="K874" s="683"/>
      <c r="L874" s="685"/>
      <c r="M874" s="685"/>
      <c r="N874" s="687"/>
      <c r="O874" s="683"/>
      <c r="P874" s="683"/>
      <c r="Q874" s="686"/>
      <c r="R874" s="686"/>
      <c r="S874" s="686"/>
      <c r="T874" s="686"/>
      <c r="U874" s="686"/>
      <c r="V874" s="686"/>
      <c r="W874" s="686"/>
      <c r="X874" s="686"/>
      <c r="Y874" s="686"/>
      <c r="Z874" s="686"/>
      <c r="AA874" s="686"/>
      <c r="AB874" s="686"/>
      <c r="AC874" s="686"/>
      <c r="AD874" s="686"/>
      <c r="AE874" s="686"/>
      <c r="AF874" s="686"/>
    </row>
    <row r="875" ht="15.75" customHeight="1">
      <c r="A875" s="683"/>
      <c r="B875" s="683"/>
      <c r="C875" s="684"/>
      <c r="D875" s="684"/>
      <c r="E875" s="684"/>
      <c r="F875" s="683"/>
      <c r="G875" s="683"/>
      <c r="H875" s="683"/>
      <c r="I875" s="683"/>
      <c r="J875" s="683"/>
      <c r="K875" s="683"/>
      <c r="L875" s="685"/>
      <c r="M875" s="685"/>
      <c r="N875" s="687"/>
      <c r="O875" s="683"/>
      <c r="P875" s="683"/>
      <c r="Q875" s="686"/>
      <c r="R875" s="686"/>
      <c r="S875" s="686"/>
      <c r="T875" s="686"/>
      <c r="U875" s="686"/>
      <c r="V875" s="686"/>
      <c r="W875" s="686"/>
      <c r="X875" s="686"/>
      <c r="Y875" s="686"/>
      <c r="Z875" s="686"/>
      <c r="AA875" s="686"/>
      <c r="AB875" s="686"/>
      <c r="AC875" s="686"/>
      <c r="AD875" s="686"/>
      <c r="AE875" s="686"/>
      <c r="AF875" s="686"/>
    </row>
    <row r="876" ht="15.75" customHeight="1">
      <c r="A876" s="683"/>
      <c r="B876" s="683"/>
      <c r="C876" s="684"/>
      <c r="D876" s="684"/>
      <c r="E876" s="684"/>
      <c r="F876" s="683"/>
      <c r="G876" s="683"/>
      <c r="H876" s="683"/>
      <c r="I876" s="683"/>
      <c r="J876" s="683"/>
      <c r="K876" s="683"/>
      <c r="L876" s="685"/>
      <c r="M876" s="685"/>
      <c r="N876" s="687"/>
      <c r="O876" s="683"/>
      <c r="P876" s="683"/>
      <c r="Q876" s="686"/>
      <c r="R876" s="686"/>
      <c r="S876" s="686"/>
      <c r="T876" s="686"/>
      <c r="U876" s="686"/>
      <c r="V876" s="686"/>
      <c r="W876" s="686"/>
      <c r="X876" s="686"/>
      <c r="Y876" s="686"/>
      <c r="Z876" s="686"/>
      <c r="AA876" s="686"/>
      <c r="AB876" s="686"/>
      <c r="AC876" s="686"/>
      <c r="AD876" s="686"/>
      <c r="AE876" s="686"/>
      <c r="AF876" s="686"/>
    </row>
    <row r="877" ht="15.75" customHeight="1">
      <c r="A877" s="683"/>
      <c r="B877" s="683"/>
      <c r="C877" s="684"/>
      <c r="D877" s="684"/>
      <c r="E877" s="684"/>
      <c r="F877" s="683"/>
      <c r="G877" s="683"/>
      <c r="H877" s="683"/>
      <c r="I877" s="683"/>
      <c r="J877" s="683"/>
      <c r="K877" s="683"/>
      <c r="L877" s="685"/>
      <c r="M877" s="685"/>
      <c r="N877" s="687"/>
      <c r="O877" s="683"/>
      <c r="P877" s="683"/>
      <c r="Q877" s="686"/>
      <c r="R877" s="686"/>
      <c r="S877" s="686"/>
      <c r="T877" s="686"/>
      <c r="U877" s="686"/>
      <c r="V877" s="686"/>
      <c r="W877" s="686"/>
      <c r="X877" s="686"/>
      <c r="Y877" s="686"/>
      <c r="Z877" s="686"/>
      <c r="AA877" s="686"/>
      <c r="AB877" s="686"/>
      <c r="AC877" s="686"/>
      <c r="AD877" s="686"/>
      <c r="AE877" s="686"/>
      <c r="AF877" s="686"/>
    </row>
    <row r="878" ht="15.75" customHeight="1">
      <c r="A878" s="683"/>
      <c r="B878" s="683"/>
      <c r="C878" s="684"/>
      <c r="D878" s="684"/>
      <c r="E878" s="684"/>
      <c r="F878" s="683"/>
      <c r="G878" s="683"/>
      <c r="H878" s="683"/>
      <c r="I878" s="683"/>
      <c r="J878" s="683"/>
      <c r="K878" s="683"/>
      <c r="L878" s="685"/>
      <c r="M878" s="685"/>
      <c r="N878" s="687"/>
      <c r="O878" s="683"/>
      <c r="P878" s="683"/>
      <c r="Q878" s="686"/>
      <c r="R878" s="686"/>
      <c r="S878" s="686"/>
      <c r="T878" s="686"/>
      <c r="U878" s="686"/>
      <c r="V878" s="686"/>
      <c r="W878" s="686"/>
      <c r="X878" s="686"/>
      <c r="Y878" s="686"/>
      <c r="Z878" s="686"/>
      <c r="AA878" s="686"/>
      <c r="AB878" s="686"/>
      <c r="AC878" s="686"/>
      <c r="AD878" s="686"/>
      <c r="AE878" s="686"/>
      <c r="AF878" s="686"/>
    </row>
    <row r="879" ht="15.75" customHeight="1">
      <c r="A879" s="683"/>
      <c r="B879" s="683"/>
      <c r="C879" s="684"/>
      <c r="D879" s="684"/>
      <c r="E879" s="684"/>
      <c r="F879" s="683"/>
      <c r="G879" s="683"/>
      <c r="H879" s="683"/>
      <c r="I879" s="683"/>
      <c r="J879" s="683"/>
      <c r="K879" s="683"/>
      <c r="L879" s="685"/>
      <c r="M879" s="685"/>
      <c r="N879" s="687"/>
      <c r="O879" s="683"/>
      <c r="P879" s="683"/>
      <c r="Q879" s="686"/>
      <c r="R879" s="686"/>
      <c r="S879" s="686"/>
      <c r="T879" s="686"/>
      <c r="U879" s="686"/>
      <c r="V879" s="686"/>
      <c r="W879" s="686"/>
      <c r="X879" s="686"/>
      <c r="Y879" s="686"/>
      <c r="Z879" s="686"/>
      <c r="AA879" s="686"/>
      <c r="AB879" s="686"/>
      <c r="AC879" s="686"/>
      <c r="AD879" s="686"/>
      <c r="AE879" s="686"/>
      <c r="AF879" s="686"/>
    </row>
    <row r="880" ht="15.75" customHeight="1">
      <c r="A880" s="683"/>
      <c r="B880" s="683"/>
      <c r="C880" s="684"/>
      <c r="D880" s="684"/>
      <c r="E880" s="684"/>
      <c r="F880" s="683"/>
      <c r="G880" s="683"/>
      <c r="H880" s="683"/>
      <c r="I880" s="683"/>
      <c r="J880" s="683"/>
      <c r="K880" s="683"/>
      <c r="L880" s="685"/>
      <c r="M880" s="685"/>
      <c r="N880" s="687"/>
      <c r="O880" s="683"/>
      <c r="P880" s="683"/>
      <c r="Q880" s="686"/>
      <c r="R880" s="686"/>
      <c r="S880" s="686"/>
      <c r="T880" s="686"/>
      <c r="U880" s="686"/>
      <c r="V880" s="686"/>
      <c r="W880" s="686"/>
      <c r="X880" s="686"/>
      <c r="Y880" s="686"/>
      <c r="Z880" s="686"/>
      <c r="AA880" s="686"/>
      <c r="AB880" s="686"/>
      <c r="AC880" s="686"/>
      <c r="AD880" s="686"/>
      <c r="AE880" s="686"/>
      <c r="AF880" s="686"/>
    </row>
    <row r="881" ht="15.75" customHeight="1">
      <c r="A881" s="683"/>
      <c r="B881" s="683"/>
      <c r="C881" s="684"/>
      <c r="D881" s="684"/>
      <c r="E881" s="684"/>
      <c r="F881" s="683"/>
      <c r="G881" s="683"/>
      <c r="H881" s="683"/>
      <c r="I881" s="683"/>
      <c r="J881" s="683"/>
      <c r="K881" s="683"/>
      <c r="L881" s="685"/>
      <c r="M881" s="685"/>
      <c r="N881" s="687"/>
      <c r="O881" s="683"/>
      <c r="P881" s="683"/>
      <c r="Q881" s="686"/>
      <c r="R881" s="686"/>
      <c r="S881" s="686"/>
      <c r="T881" s="686"/>
      <c r="U881" s="686"/>
      <c r="V881" s="686"/>
      <c r="W881" s="686"/>
      <c r="X881" s="686"/>
      <c r="Y881" s="686"/>
      <c r="Z881" s="686"/>
      <c r="AA881" s="686"/>
      <c r="AB881" s="686"/>
      <c r="AC881" s="686"/>
      <c r="AD881" s="686"/>
      <c r="AE881" s="686"/>
      <c r="AF881" s="686"/>
    </row>
    <row r="882" ht="15.75" customHeight="1">
      <c r="A882" s="683"/>
      <c r="B882" s="683"/>
      <c r="C882" s="684"/>
      <c r="D882" s="684"/>
      <c r="E882" s="684"/>
      <c r="F882" s="683"/>
      <c r="G882" s="683"/>
      <c r="H882" s="683"/>
      <c r="I882" s="683"/>
      <c r="J882" s="683"/>
      <c r="K882" s="683"/>
      <c r="L882" s="685"/>
      <c r="M882" s="685"/>
      <c r="N882" s="687"/>
      <c r="O882" s="683"/>
      <c r="P882" s="683"/>
      <c r="Q882" s="686"/>
      <c r="R882" s="686"/>
      <c r="S882" s="686"/>
      <c r="T882" s="686"/>
      <c r="U882" s="686"/>
      <c r="V882" s="686"/>
      <c r="W882" s="686"/>
      <c r="X882" s="686"/>
      <c r="Y882" s="686"/>
      <c r="Z882" s="686"/>
      <c r="AA882" s="686"/>
      <c r="AB882" s="686"/>
      <c r="AC882" s="686"/>
      <c r="AD882" s="686"/>
      <c r="AE882" s="686"/>
      <c r="AF882" s="686"/>
    </row>
    <row r="883" ht="15.75" customHeight="1">
      <c r="A883" s="683"/>
      <c r="B883" s="683"/>
      <c r="C883" s="684"/>
      <c r="D883" s="684"/>
      <c r="E883" s="684"/>
      <c r="F883" s="683"/>
      <c r="G883" s="683"/>
      <c r="H883" s="683"/>
      <c r="I883" s="683"/>
      <c r="J883" s="683"/>
      <c r="K883" s="683"/>
      <c r="L883" s="685"/>
      <c r="M883" s="685"/>
      <c r="N883" s="687"/>
      <c r="O883" s="683"/>
      <c r="P883" s="683"/>
      <c r="Q883" s="686"/>
      <c r="R883" s="686"/>
      <c r="S883" s="686"/>
      <c r="T883" s="686"/>
      <c r="U883" s="686"/>
      <c r="V883" s="686"/>
      <c r="W883" s="686"/>
      <c r="X883" s="686"/>
      <c r="Y883" s="686"/>
      <c r="Z883" s="686"/>
      <c r="AA883" s="686"/>
      <c r="AB883" s="686"/>
      <c r="AC883" s="686"/>
      <c r="AD883" s="686"/>
      <c r="AE883" s="686"/>
      <c r="AF883" s="686"/>
    </row>
    <row r="884" ht="15.75" customHeight="1">
      <c r="A884" s="683"/>
      <c r="B884" s="683"/>
      <c r="C884" s="684"/>
      <c r="D884" s="684"/>
      <c r="E884" s="684"/>
      <c r="F884" s="683"/>
      <c r="G884" s="683"/>
      <c r="H884" s="683"/>
      <c r="I884" s="683"/>
      <c r="J884" s="683"/>
      <c r="K884" s="683"/>
      <c r="L884" s="685"/>
      <c r="M884" s="685"/>
      <c r="N884" s="687"/>
      <c r="O884" s="683"/>
      <c r="P884" s="683"/>
      <c r="Q884" s="686"/>
      <c r="R884" s="686"/>
      <c r="S884" s="686"/>
      <c r="T884" s="686"/>
      <c r="U884" s="686"/>
      <c r="V884" s="686"/>
      <c r="W884" s="686"/>
      <c r="X884" s="686"/>
      <c r="Y884" s="686"/>
      <c r="Z884" s="686"/>
      <c r="AA884" s="686"/>
      <c r="AB884" s="686"/>
      <c r="AC884" s="686"/>
      <c r="AD884" s="686"/>
      <c r="AE884" s="686"/>
      <c r="AF884" s="686"/>
    </row>
    <row r="885" ht="15.75" customHeight="1">
      <c r="A885" s="683"/>
      <c r="B885" s="683"/>
      <c r="C885" s="684"/>
      <c r="D885" s="684"/>
      <c r="E885" s="684"/>
      <c r="F885" s="683"/>
      <c r="G885" s="683"/>
      <c r="H885" s="683"/>
      <c r="I885" s="683"/>
      <c r="J885" s="683"/>
      <c r="K885" s="683"/>
      <c r="L885" s="685"/>
      <c r="M885" s="685"/>
      <c r="N885" s="687"/>
      <c r="O885" s="683"/>
      <c r="P885" s="683"/>
      <c r="Q885" s="686"/>
      <c r="R885" s="686"/>
      <c r="S885" s="686"/>
      <c r="T885" s="686"/>
      <c r="U885" s="686"/>
      <c r="V885" s="686"/>
      <c r="W885" s="686"/>
      <c r="X885" s="686"/>
      <c r="Y885" s="686"/>
      <c r="Z885" s="686"/>
      <c r="AA885" s="686"/>
      <c r="AB885" s="686"/>
      <c r="AC885" s="686"/>
      <c r="AD885" s="686"/>
      <c r="AE885" s="686"/>
      <c r="AF885" s="686"/>
    </row>
    <row r="886" ht="15.75" customHeight="1">
      <c r="A886" s="683"/>
      <c r="B886" s="683"/>
      <c r="C886" s="684"/>
      <c r="D886" s="684"/>
      <c r="E886" s="684"/>
      <c r="F886" s="683"/>
      <c r="G886" s="683"/>
      <c r="H886" s="683"/>
      <c r="I886" s="683"/>
      <c r="J886" s="683"/>
      <c r="K886" s="683"/>
      <c r="L886" s="685"/>
      <c r="M886" s="685"/>
      <c r="N886" s="687"/>
      <c r="O886" s="683"/>
      <c r="P886" s="683"/>
      <c r="Q886" s="686"/>
      <c r="R886" s="686"/>
      <c r="S886" s="686"/>
      <c r="T886" s="686"/>
      <c r="U886" s="686"/>
      <c r="V886" s="686"/>
      <c r="W886" s="686"/>
      <c r="X886" s="686"/>
      <c r="Y886" s="686"/>
      <c r="Z886" s="686"/>
      <c r="AA886" s="686"/>
      <c r="AB886" s="686"/>
      <c r="AC886" s="686"/>
      <c r="AD886" s="686"/>
      <c r="AE886" s="686"/>
      <c r="AF886" s="686"/>
    </row>
    <row r="887" ht="15.75" customHeight="1">
      <c r="A887" s="683"/>
      <c r="B887" s="683"/>
      <c r="C887" s="684"/>
      <c r="D887" s="684"/>
      <c r="E887" s="684"/>
      <c r="F887" s="683"/>
      <c r="G887" s="683"/>
      <c r="H887" s="683"/>
      <c r="I887" s="683"/>
      <c r="J887" s="683"/>
      <c r="K887" s="683"/>
      <c r="L887" s="685"/>
      <c r="M887" s="685"/>
      <c r="N887" s="687"/>
      <c r="O887" s="683"/>
      <c r="P887" s="683"/>
      <c r="Q887" s="686"/>
      <c r="R887" s="686"/>
      <c r="S887" s="686"/>
      <c r="T887" s="686"/>
      <c r="U887" s="686"/>
      <c r="V887" s="686"/>
      <c r="W887" s="686"/>
      <c r="X887" s="686"/>
      <c r="Y887" s="686"/>
      <c r="Z887" s="686"/>
      <c r="AA887" s="686"/>
      <c r="AB887" s="686"/>
      <c r="AC887" s="686"/>
      <c r="AD887" s="686"/>
      <c r="AE887" s="686"/>
      <c r="AF887" s="686"/>
    </row>
    <row r="888" ht="15.75" customHeight="1">
      <c r="A888" s="683"/>
      <c r="B888" s="683"/>
      <c r="C888" s="684"/>
      <c r="D888" s="684"/>
      <c r="E888" s="684"/>
      <c r="F888" s="683"/>
      <c r="G888" s="683"/>
      <c r="H888" s="683"/>
      <c r="I888" s="683"/>
      <c r="J888" s="683"/>
      <c r="K888" s="683"/>
      <c r="L888" s="685"/>
      <c r="M888" s="685"/>
      <c r="N888" s="687"/>
      <c r="O888" s="683"/>
      <c r="P888" s="683"/>
      <c r="Q888" s="686"/>
      <c r="R888" s="686"/>
      <c r="S888" s="686"/>
      <c r="T888" s="686"/>
      <c r="U888" s="686"/>
      <c r="V888" s="686"/>
      <c r="W888" s="686"/>
      <c r="X888" s="686"/>
      <c r="Y888" s="686"/>
      <c r="Z888" s="686"/>
      <c r="AA888" s="686"/>
      <c r="AB888" s="686"/>
      <c r="AC888" s="686"/>
      <c r="AD888" s="686"/>
      <c r="AE888" s="686"/>
      <c r="AF888" s="686"/>
    </row>
    <row r="889" ht="15.75" customHeight="1">
      <c r="A889" s="683"/>
      <c r="B889" s="683"/>
      <c r="C889" s="684"/>
      <c r="D889" s="684"/>
      <c r="E889" s="684"/>
      <c r="F889" s="683"/>
      <c r="G889" s="683"/>
      <c r="H889" s="683"/>
      <c r="I889" s="683"/>
      <c r="J889" s="683"/>
      <c r="K889" s="683"/>
      <c r="L889" s="685"/>
      <c r="M889" s="685"/>
      <c r="N889" s="687"/>
      <c r="O889" s="683"/>
      <c r="P889" s="683"/>
      <c r="Q889" s="686"/>
      <c r="R889" s="686"/>
      <c r="S889" s="686"/>
      <c r="T889" s="686"/>
      <c r="U889" s="686"/>
      <c r="V889" s="686"/>
      <c r="W889" s="686"/>
      <c r="X889" s="686"/>
      <c r="Y889" s="686"/>
      <c r="Z889" s="686"/>
      <c r="AA889" s="686"/>
      <c r="AB889" s="686"/>
      <c r="AC889" s="686"/>
      <c r="AD889" s="686"/>
      <c r="AE889" s="686"/>
      <c r="AF889" s="686"/>
    </row>
    <row r="890" ht="15.75" customHeight="1">
      <c r="A890" s="683"/>
      <c r="B890" s="683"/>
      <c r="C890" s="684"/>
      <c r="D890" s="684"/>
      <c r="E890" s="684"/>
      <c r="F890" s="683"/>
      <c r="G890" s="683"/>
      <c r="H890" s="683"/>
      <c r="I890" s="683"/>
      <c r="J890" s="683"/>
      <c r="K890" s="683"/>
      <c r="L890" s="685"/>
      <c r="M890" s="685"/>
      <c r="N890" s="687"/>
      <c r="O890" s="683"/>
      <c r="P890" s="683"/>
      <c r="Q890" s="686"/>
      <c r="R890" s="686"/>
      <c r="S890" s="686"/>
      <c r="T890" s="686"/>
      <c r="U890" s="686"/>
      <c r="V890" s="686"/>
      <c r="W890" s="686"/>
      <c r="X890" s="686"/>
      <c r="Y890" s="686"/>
      <c r="Z890" s="686"/>
      <c r="AA890" s="686"/>
      <c r="AB890" s="686"/>
      <c r="AC890" s="686"/>
      <c r="AD890" s="686"/>
      <c r="AE890" s="686"/>
      <c r="AF890" s="686"/>
    </row>
    <row r="891" ht="15.75" customHeight="1">
      <c r="A891" s="683"/>
      <c r="B891" s="683"/>
      <c r="C891" s="684"/>
      <c r="D891" s="684"/>
      <c r="E891" s="684"/>
      <c r="F891" s="683"/>
      <c r="G891" s="683"/>
      <c r="H891" s="683"/>
      <c r="I891" s="683"/>
      <c r="J891" s="683"/>
      <c r="K891" s="683"/>
      <c r="L891" s="685"/>
      <c r="M891" s="685"/>
      <c r="N891" s="687"/>
      <c r="O891" s="683"/>
      <c r="P891" s="683"/>
      <c r="Q891" s="686"/>
      <c r="R891" s="686"/>
      <c r="S891" s="686"/>
      <c r="T891" s="686"/>
      <c r="U891" s="686"/>
      <c r="V891" s="686"/>
      <c r="W891" s="686"/>
      <c r="X891" s="686"/>
      <c r="Y891" s="686"/>
      <c r="Z891" s="686"/>
      <c r="AA891" s="686"/>
      <c r="AB891" s="686"/>
      <c r="AC891" s="686"/>
      <c r="AD891" s="686"/>
      <c r="AE891" s="686"/>
      <c r="AF891" s="686"/>
    </row>
    <row r="892" ht="15.75" customHeight="1">
      <c r="A892" s="683"/>
      <c r="B892" s="683"/>
      <c r="C892" s="684"/>
      <c r="D892" s="684"/>
      <c r="E892" s="684"/>
      <c r="F892" s="683"/>
      <c r="G892" s="683"/>
      <c r="H892" s="683"/>
      <c r="I892" s="683"/>
      <c r="J892" s="683"/>
      <c r="K892" s="683"/>
      <c r="L892" s="685"/>
      <c r="M892" s="685"/>
      <c r="N892" s="687"/>
      <c r="O892" s="683"/>
      <c r="P892" s="683"/>
      <c r="Q892" s="686"/>
      <c r="R892" s="686"/>
      <c r="S892" s="686"/>
      <c r="T892" s="686"/>
      <c r="U892" s="686"/>
      <c r="V892" s="686"/>
      <c r="W892" s="686"/>
      <c r="X892" s="686"/>
      <c r="Y892" s="686"/>
      <c r="Z892" s="686"/>
      <c r="AA892" s="686"/>
      <c r="AB892" s="686"/>
      <c r="AC892" s="686"/>
      <c r="AD892" s="686"/>
      <c r="AE892" s="686"/>
      <c r="AF892" s="686"/>
    </row>
    <row r="893" ht="15.75" customHeight="1">
      <c r="A893" s="683"/>
      <c r="B893" s="683"/>
      <c r="C893" s="684"/>
      <c r="D893" s="684"/>
      <c r="E893" s="684"/>
      <c r="F893" s="683"/>
      <c r="G893" s="683"/>
      <c r="H893" s="683"/>
      <c r="I893" s="683"/>
      <c r="J893" s="683"/>
      <c r="K893" s="683"/>
      <c r="L893" s="685"/>
      <c r="M893" s="685"/>
      <c r="N893" s="687"/>
      <c r="O893" s="683"/>
      <c r="P893" s="683"/>
      <c r="Q893" s="686"/>
      <c r="R893" s="686"/>
      <c r="S893" s="686"/>
      <c r="T893" s="686"/>
      <c r="U893" s="686"/>
      <c r="V893" s="686"/>
      <c r="W893" s="686"/>
      <c r="X893" s="686"/>
      <c r="Y893" s="686"/>
      <c r="Z893" s="686"/>
      <c r="AA893" s="686"/>
      <c r="AB893" s="686"/>
      <c r="AC893" s="686"/>
      <c r="AD893" s="686"/>
      <c r="AE893" s="686"/>
      <c r="AF893" s="686"/>
    </row>
    <row r="894" ht="15.75" customHeight="1">
      <c r="A894" s="683"/>
      <c r="B894" s="683"/>
      <c r="C894" s="684"/>
      <c r="D894" s="684"/>
      <c r="E894" s="684"/>
      <c r="F894" s="683"/>
      <c r="G894" s="683"/>
      <c r="H894" s="683"/>
      <c r="I894" s="683"/>
      <c r="J894" s="683"/>
      <c r="K894" s="683"/>
      <c r="L894" s="685"/>
      <c r="M894" s="685"/>
      <c r="N894" s="687"/>
      <c r="O894" s="683"/>
      <c r="P894" s="683"/>
      <c r="Q894" s="686"/>
      <c r="R894" s="686"/>
      <c r="S894" s="686"/>
      <c r="T894" s="686"/>
      <c r="U894" s="686"/>
      <c r="V894" s="686"/>
      <c r="W894" s="686"/>
      <c r="X894" s="686"/>
      <c r="Y894" s="686"/>
      <c r="Z894" s="686"/>
      <c r="AA894" s="686"/>
      <c r="AB894" s="686"/>
      <c r="AC894" s="686"/>
      <c r="AD894" s="686"/>
      <c r="AE894" s="686"/>
      <c r="AF894" s="686"/>
    </row>
    <row r="895" ht="15.75" customHeight="1">
      <c r="A895" s="683"/>
      <c r="B895" s="683"/>
      <c r="C895" s="684"/>
      <c r="D895" s="684"/>
      <c r="E895" s="684"/>
      <c r="F895" s="683"/>
      <c r="G895" s="683"/>
      <c r="H895" s="683"/>
      <c r="I895" s="683"/>
      <c r="J895" s="683"/>
      <c r="K895" s="683"/>
      <c r="L895" s="685"/>
      <c r="M895" s="685"/>
      <c r="N895" s="687"/>
      <c r="O895" s="683"/>
      <c r="P895" s="683"/>
      <c r="Q895" s="686"/>
      <c r="R895" s="686"/>
      <c r="S895" s="686"/>
      <c r="T895" s="686"/>
      <c r="U895" s="686"/>
      <c r="V895" s="686"/>
      <c r="W895" s="686"/>
      <c r="X895" s="686"/>
      <c r="Y895" s="686"/>
      <c r="Z895" s="686"/>
      <c r="AA895" s="686"/>
      <c r="AB895" s="686"/>
      <c r="AC895" s="686"/>
      <c r="AD895" s="686"/>
      <c r="AE895" s="686"/>
      <c r="AF895" s="686"/>
    </row>
    <row r="896" ht="15.75" customHeight="1">
      <c r="A896" s="683"/>
      <c r="B896" s="683"/>
      <c r="C896" s="684"/>
      <c r="D896" s="684"/>
      <c r="E896" s="684"/>
      <c r="F896" s="683"/>
      <c r="G896" s="683"/>
      <c r="H896" s="683"/>
      <c r="I896" s="683"/>
      <c r="J896" s="683"/>
      <c r="K896" s="683"/>
      <c r="L896" s="685"/>
      <c r="M896" s="685"/>
      <c r="N896" s="687"/>
      <c r="O896" s="683"/>
      <c r="P896" s="683"/>
      <c r="Q896" s="686"/>
      <c r="R896" s="686"/>
      <c r="S896" s="686"/>
      <c r="T896" s="686"/>
      <c r="U896" s="686"/>
      <c r="V896" s="686"/>
      <c r="W896" s="686"/>
      <c r="X896" s="686"/>
      <c r="Y896" s="686"/>
      <c r="Z896" s="686"/>
      <c r="AA896" s="686"/>
      <c r="AB896" s="686"/>
      <c r="AC896" s="686"/>
      <c r="AD896" s="686"/>
      <c r="AE896" s="686"/>
      <c r="AF896" s="686"/>
    </row>
    <row r="897" ht="15.75" customHeight="1">
      <c r="A897" s="683"/>
      <c r="B897" s="683"/>
      <c r="C897" s="684"/>
      <c r="D897" s="684"/>
      <c r="E897" s="684"/>
      <c r="F897" s="683"/>
      <c r="G897" s="683"/>
      <c r="H897" s="683"/>
      <c r="I897" s="683"/>
      <c r="J897" s="683"/>
      <c r="K897" s="683"/>
      <c r="L897" s="685"/>
      <c r="M897" s="685"/>
      <c r="N897" s="687"/>
      <c r="O897" s="683"/>
      <c r="P897" s="683"/>
      <c r="Q897" s="686"/>
      <c r="R897" s="686"/>
      <c r="S897" s="686"/>
      <c r="T897" s="686"/>
      <c r="U897" s="686"/>
      <c r="V897" s="686"/>
      <c r="W897" s="686"/>
      <c r="X897" s="686"/>
      <c r="Y897" s="686"/>
      <c r="Z897" s="686"/>
      <c r="AA897" s="686"/>
      <c r="AB897" s="686"/>
      <c r="AC897" s="686"/>
      <c r="AD897" s="686"/>
      <c r="AE897" s="686"/>
      <c r="AF897" s="686"/>
    </row>
    <row r="898" ht="15.75" customHeight="1">
      <c r="A898" s="683"/>
      <c r="B898" s="683"/>
      <c r="C898" s="684"/>
      <c r="D898" s="684"/>
      <c r="E898" s="684"/>
      <c r="F898" s="683"/>
      <c r="G898" s="683"/>
      <c r="H898" s="683"/>
      <c r="I898" s="683"/>
      <c r="J898" s="683"/>
      <c r="K898" s="683"/>
      <c r="L898" s="685"/>
      <c r="M898" s="685"/>
      <c r="N898" s="687"/>
      <c r="O898" s="683"/>
      <c r="P898" s="683"/>
      <c r="Q898" s="686"/>
      <c r="R898" s="686"/>
      <c r="S898" s="686"/>
      <c r="T898" s="686"/>
      <c r="U898" s="686"/>
      <c r="V898" s="686"/>
      <c r="W898" s="686"/>
      <c r="X898" s="686"/>
      <c r="Y898" s="686"/>
      <c r="Z898" s="686"/>
      <c r="AA898" s="686"/>
      <c r="AB898" s="686"/>
      <c r="AC898" s="686"/>
      <c r="AD898" s="686"/>
      <c r="AE898" s="686"/>
      <c r="AF898" s="686"/>
    </row>
    <row r="899" ht="15.75" customHeight="1">
      <c r="A899" s="683"/>
      <c r="B899" s="683"/>
      <c r="C899" s="684"/>
      <c r="D899" s="684"/>
      <c r="E899" s="684"/>
      <c r="F899" s="683"/>
      <c r="G899" s="683"/>
      <c r="H899" s="683"/>
      <c r="I899" s="683"/>
      <c r="J899" s="683"/>
      <c r="K899" s="683"/>
      <c r="L899" s="685"/>
      <c r="M899" s="685"/>
      <c r="N899" s="687"/>
      <c r="O899" s="683"/>
      <c r="P899" s="683"/>
      <c r="Q899" s="686"/>
      <c r="R899" s="686"/>
      <c r="S899" s="686"/>
      <c r="T899" s="686"/>
      <c r="U899" s="686"/>
      <c r="V899" s="686"/>
      <c r="W899" s="686"/>
      <c r="X899" s="686"/>
      <c r="Y899" s="686"/>
      <c r="Z899" s="686"/>
      <c r="AA899" s="686"/>
      <c r="AB899" s="686"/>
      <c r="AC899" s="686"/>
      <c r="AD899" s="686"/>
      <c r="AE899" s="686"/>
      <c r="AF899" s="686"/>
    </row>
    <row r="900" ht="15.75" customHeight="1">
      <c r="A900" s="683"/>
      <c r="B900" s="683"/>
      <c r="C900" s="684"/>
      <c r="D900" s="684"/>
      <c r="E900" s="684"/>
      <c r="F900" s="683"/>
      <c r="G900" s="683"/>
      <c r="H900" s="683"/>
      <c r="I900" s="683"/>
      <c r="J900" s="683"/>
      <c r="K900" s="683"/>
      <c r="L900" s="685"/>
      <c r="M900" s="685"/>
      <c r="N900" s="687"/>
      <c r="O900" s="683"/>
      <c r="P900" s="683"/>
      <c r="Q900" s="686"/>
      <c r="R900" s="686"/>
      <c r="S900" s="686"/>
      <c r="T900" s="686"/>
      <c r="U900" s="686"/>
      <c r="V900" s="686"/>
      <c r="W900" s="686"/>
      <c r="X900" s="686"/>
      <c r="Y900" s="686"/>
      <c r="Z900" s="686"/>
      <c r="AA900" s="686"/>
      <c r="AB900" s="686"/>
      <c r="AC900" s="686"/>
      <c r="AD900" s="686"/>
      <c r="AE900" s="686"/>
      <c r="AF900" s="686"/>
    </row>
    <row r="901" ht="15.75" customHeight="1">
      <c r="A901" s="683"/>
      <c r="B901" s="683"/>
      <c r="C901" s="684"/>
      <c r="D901" s="684"/>
      <c r="E901" s="684"/>
      <c r="F901" s="683"/>
      <c r="G901" s="683"/>
      <c r="H901" s="683"/>
      <c r="I901" s="683"/>
      <c r="J901" s="683"/>
      <c r="K901" s="683"/>
      <c r="L901" s="685"/>
      <c r="M901" s="685"/>
      <c r="N901" s="687"/>
      <c r="O901" s="683"/>
      <c r="P901" s="683"/>
      <c r="Q901" s="686"/>
      <c r="R901" s="686"/>
      <c r="S901" s="686"/>
      <c r="T901" s="686"/>
      <c r="U901" s="686"/>
      <c r="V901" s="686"/>
      <c r="W901" s="686"/>
      <c r="X901" s="686"/>
      <c r="Y901" s="686"/>
      <c r="Z901" s="686"/>
      <c r="AA901" s="686"/>
      <c r="AB901" s="686"/>
      <c r="AC901" s="686"/>
      <c r="AD901" s="686"/>
      <c r="AE901" s="686"/>
      <c r="AF901" s="686"/>
    </row>
    <row r="902" ht="15.75" customHeight="1">
      <c r="A902" s="683"/>
      <c r="B902" s="683"/>
      <c r="C902" s="684"/>
      <c r="D902" s="684"/>
      <c r="E902" s="684"/>
      <c r="F902" s="683"/>
      <c r="G902" s="683"/>
      <c r="H902" s="683"/>
      <c r="I902" s="683"/>
      <c r="J902" s="683"/>
      <c r="K902" s="683"/>
      <c r="L902" s="685"/>
      <c r="M902" s="685"/>
      <c r="N902" s="687"/>
      <c r="O902" s="683"/>
      <c r="P902" s="683"/>
      <c r="Q902" s="686"/>
      <c r="R902" s="686"/>
      <c r="S902" s="686"/>
      <c r="T902" s="686"/>
      <c r="U902" s="686"/>
      <c r="V902" s="686"/>
      <c r="W902" s="686"/>
      <c r="X902" s="686"/>
      <c r="Y902" s="686"/>
      <c r="Z902" s="686"/>
      <c r="AA902" s="686"/>
      <c r="AB902" s="686"/>
      <c r="AC902" s="686"/>
      <c r="AD902" s="686"/>
      <c r="AE902" s="686"/>
      <c r="AF902" s="686"/>
    </row>
    <row r="903" ht="15.75" customHeight="1">
      <c r="A903" s="683"/>
      <c r="B903" s="683"/>
      <c r="C903" s="684"/>
      <c r="D903" s="684"/>
      <c r="E903" s="684"/>
      <c r="F903" s="683"/>
      <c r="G903" s="683"/>
      <c r="H903" s="683"/>
      <c r="I903" s="683"/>
      <c r="J903" s="683"/>
      <c r="K903" s="683"/>
      <c r="L903" s="685"/>
      <c r="M903" s="685"/>
      <c r="N903" s="687"/>
      <c r="O903" s="683"/>
      <c r="P903" s="683"/>
      <c r="Q903" s="686"/>
      <c r="R903" s="686"/>
      <c r="S903" s="686"/>
      <c r="T903" s="686"/>
      <c r="U903" s="686"/>
      <c r="V903" s="686"/>
      <c r="W903" s="686"/>
      <c r="X903" s="686"/>
      <c r="Y903" s="686"/>
      <c r="Z903" s="686"/>
      <c r="AA903" s="686"/>
      <c r="AB903" s="686"/>
      <c r="AC903" s="686"/>
      <c r="AD903" s="686"/>
      <c r="AE903" s="686"/>
      <c r="AF903" s="686"/>
    </row>
    <row r="904" ht="15.75" customHeight="1">
      <c r="A904" s="683"/>
      <c r="B904" s="683"/>
      <c r="C904" s="684"/>
      <c r="D904" s="684"/>
      <c r="E904" s="684"/>
      <c r="F904" s="683"/>
      <c r="G904" s="683"/>
      <c r="H904" s="683"/>
      <c r="I904" s="683"/>
      <c r="J904" s="683"/>
      <c r="K904" s="683"/>
      <c r="L904" s="685"/>
      <c r="M904" s="685"/>
      <c r="N904" s="687"/>
      <c r="O904" s="683"/>
      <c r="P904" s="683"/>
      <c r="Q904" s="686"/>
      <c r="R904" s="686"/>
      <c r="S904" s="686"/>
      <c r="T904" s="686"/>
      <c r="U904" s="686"/>
      <c r="V904" s="686"/>
      <c r="W904" s="686"/>
      <c r="X904" s="686"/>
      <c r="Y904" s="686"/>
      <c r="Z904" s="686"/>
      <c r="AA904" s="686"/>
      <c r="AB904" s="686"/>
      <c r="AC904" s="686"/>
      <c r="AD904" s="686"/>
      <c r="AE904" s="686"/>
      <c r="AF904" s="686"/>
    </row>
    <row r="905" ht="15.75" customHeight="1">
      <c r="A905" s="683"/>
      <c r="B905" s="683"/>
      <c r="C905" s="684"/>
      <c r="D905" s="684"/>
      <c r="E905" s="684"/>
      <c r="F905" s="683"/>
      <c r="G905" s="683"/>
      <c r="H905" s="683"/>
      <c r="I905" s="683"/>
      <c r="J905" s="683"/>
      <c r="K905" s="683"/>
      <c r="L905" s="685"/>
      <c r="M905" s="685"/>
      <c r="N905" s="687"/>
      <c r="O905" s="683"/>
      <c r="P905" s="683"/>
      <c r="Q905" s="686"/>
      <c r="R905" s="686"/>
      <c r="S905" s="686"/>
      <c r="T905" s="686"/>
      <c r="U905" s="686"/>
      <c r="V905" s="686"/>
      <c r="W905" s="686"/>
      <c r="X905" s="686"/>
      <c r="Y905" s="686"/>
      <c r="Z905" s="686"/>
      <c r="AA905" s="686"/>
      <c r="AB905" s="686"/>
      <c r="AC905" s="686"/>
      <c r="AD905" s="686"/>
      <c r="AE905" s="686"/>
      <c r="AF905" s="686"/>
    </row>
    <row r="906" ht="15.75" customHeight="1">
      <c r="A906" s="683"/>
      <c r="B906" s="683"/>
      <c r="C906" s="684"/>
      <c r="D906" s="684"/>
      <c r="E906" s="684"/>
      <c r="F906" s="683"/>
      <c r="G906" s="683"/>
      <c r="H906" s="683"/>
      <c r="I906" s="683"/>
      <c r="J906" s="683"/>
      <c r="K906" s="683"/>
      <c r="L906" s="685"/>
      <c r="M906" s="685"/>
      <c r="N906" s="687"/>
      <c r="O906" s="683"/>
      <c r="P906" s="683"/>
      <c r="Q906" s="686"/>
      <c r="R906" s="686"/>
      <c r="S906" s="686"/>
      <c r="T906" s="686"/>
      <c r="U906" s="686"/>
      <c r="V906" s="686"/>
      <c r="W906" s="686"/>
      <c r="X906" s="686"/>
      <c r="Y906" s="686"/>
      <c r="Z906" s="686"/>
      <c r="AA906" s="686"/>
      <c r="AB906" s="686"/>
      <c r="AC906" s="686"/>
      <c r="AD906" s="686"/>
      <c r="AE906" s="686"/>
      <c r="AF906" s="686"/>
    </row>
    <row r="907" ht="15.75" customHeight="1">
      <c r="A907" s="683"/>
      <c r="B907" s="683"/>
      <c r="C907" s="684"/>
      <c r="D907" s="684"/>
      <c r="E907" s="684"/>
      <c r="F907" s="683"/>
      <c r="G907" s="683"/>
      <c r="H907" s="683"/>
      <c r="I907" s="683"/>
      <c r="J907" s="683"/>
      <c r="K907" s="683"/>
      <c r="L907" s="685"/>
      <c r="M907" s="685"/>
      <c r="N907" s="687"/>
      <c r="O907" s="683"/>
      <c r="P907" s="683"/>
      <c r="Q907" s="686"/>
      <c r="R907" s="686"/>
      <c r="S907" s="686"/>
      <c r="T907" s="686"/>
      <c r="U907" s="686"/>
      <c r="V907" s="686"/>
      <c r="W907" s="686"/>
      <c r="X907" s="686"/>
      <c r="Y907" s="686"/>
      <c r="Z907" s="686"/>
      <c r="AA907" s="686"/>
      <c r="AB907" s="686"/>
      <c r="AC907" s="686"/>
      <c r="AD907" s="686"/>
      <c r="AE907" s="686"/>
      <c r="AF907" s="686"/>
    </row>
    <row r="908" ht="15.75" customHeight="1">
      <c r="A908" s="683"/>
      <c r="B908" s="683"/>
      <c r="C908" s="684"/>
      <c r="D908" s="684"/>
      <c r="E908" s="684"/>
      <c r="F908" s="683"/>
      <c r="G908" s="683"/>
      <c r="H908" s="683"/>
      <c r="I908" s="683"/>
      <c r="J908" s="683"/>
      <c r="K908" s="683"/>
      <c r="L908" s="685"/>
      <c r="M908" s="685"/>
      <c r="N908" s="687"/>
      <c r="O908" s="683"/>
      <c r="P908" s="683"/>
      <c r="Q908" s="686"/>
      <c r="R908" s="686"/>
      <c r="S908" s="686"/>
      <c r="T908" s="686"/>
      <c r="U908" s="686"/>
      <c r="V908" s="686"/>
      <c r="W908" s="686"/>
      <c r="X908" s="686"/>
      <c r="Y908" s="686"/>
      <c r="Z908" s="686"/>
      <c r="AA908" s="686"/>
      <c r="AB908" s="686"/>
      <c r="AC908" s="686"/>
      <c r="AD908" s="686"/>
      <c r="AE908" s="686"/>
      <c r="AF908" s="686"/>
    </row>
    <row r="909" ht="15.75" customHeight="1">
      <c r="A909" s="683"/>
      <c r="B909" s="683"/>
      <c r="C909" s="684"/>
      <c r="D909" s="684"/>
      <c r="E909" s="684"/>
      <c r="F909" s="683"/>
      <c r="G909" s="683"/>
      <c r="H909" s="683"/>
      <c r="I909" s="683"/>
      <c r="J909" s="683"/>
      <c r="K909" s="683"/>
      <c r="L909" s="685"/>
      <c r="M909" s="685"/>
      <c r="N909" s="687"/>
      <c r="O909" s="683"/>
      <c r="P909" s="683"/>
      <c r="Q909" s="686"/>
      <c r="R909" s="686"/>
      <c r="S909" s="686"/>
      <c r="T909" s="686"/>
      <c r="U909" s="686"/>
      <c r="V909" s="686"/>
      <c r="W909" s="686"/>
      <c r="X909" s="686"/>
      <c r="Y909" s="686"/>
      <c r="Z909" s="686"/>
      <c r="AA909" s="686"/>
      <c r="AB909" s="686"/>
      <c r="AC909" s="686"/>
      <c r="AD909" s="686"/>
      <c r="AE909" s="686"/>
      <c r="AF909" s="686"/>
    </row>
    <row r="910" ht="15.75" customHeight="1">
      <c r="A910" s="683"/>
      <c r="B910" s="683"/>
      <c r="C910" s="684"/>
      <c r="D910" s="684"/>
      <c r="E910" s="684"/>
      <c r="F910" s="683"/>
      <c r="G910" s="683"/>
      <c r="H910" s="683"/>
      <c r="I910" s="683"/>
      <c r="J910" s="683"/>
      <c r="K910" s="683"/>
      <c r="L910" s="685"/>
      <c r="M910" s="685"/>
      <c r="N910" s="687"/>
      <c r="O910" s="683"/>
      <c r="P910" s="683"/>
      <c r="Q910" s="686"/>
      <c r="R910" s="686"/>
      <c r="S910" s="686"/>
      <c r="T910" s="686"/>
      <c r="U910" s="686"/>
      <c r="V910" s="686"/>
      <c r="W910" s="686"/>
      <c r="X910" s="686"/>
      <c r="Y910" s="686"/>
      <c r="Z910" s="686"/>
      <c r="AA910" s="686"/>
      <c r="AB910" s="686"/>
      <c r="AC910" s="686"/>
      <c r="AD910" s="686"/>
      <c r="AE910" s="686"/>
      <c r="AF910" s="686"/>
    </row>
    <row r="911" ht="15.75" customHeight="1">
      <c r="A911" s="683"/>
      <c r="B911" s="683"/>
      <c r="C911" s="684"/>
      <c r="D911" s="684"/>
      <c r="E911" s="684"/>
      <c r="F911" s="683"/>
      <c r="G911" s="683"/>
      <c r="H911" s="683"/>
      <c r="I911" s="683"/>
      <c r="J911" s="683"/>
      <c r="K911" s="683"/>
      <c r="L911" s="685"/>
      <c r="M911" s="685"/>
      <c r="N911" s="687"/>
      <c r="O911" s="683"/>
      <c r="P911" s="683"/>
      <c r="Q911" s="686"/>
      <c r="R911" s="686"/>
      <c r="S911" s="686"/>
      <c r="T911" s="686"/>
      <c r="U911" s="686"/>
      <c r="V911" s="686"/>
      <c r="W911" s="686"/>
      <c r="X911" s="686"/>
      <c r="Y911" s="686"/>
      <c r="Z911" s="686"/>
      <c r="AA911" s="686"/>
      <c r="AB911" s="686"/>
      <c r="AC911" s="686"/>
      <c r="AD911" s="686"/>
      <c r="AE911" s="686"/>
      <c r="AF911" s="686"/>
    </row>
    <row r="912" ht="15.75" customHeight="1">
      <c r="A912" s="683"/>
      <c r="B912" s="683"/>
      <c r="C912" s="684"/>
      <c r="D912" s="684"/>
      <c r="E912" s="684"/>
      <c r="F912" s="683"/>
      <c r="G912" s="683"/>
      <c r="H912" s="683"/>
      <c r="I912" s="683"/>
      <c r="J912" s="683"/>
      <c r="K912" s="683"/>
      <c r="L912" s="685"/>
      <c r="M912" s="685"/>
      <c r="N912" s="687"/>
      <c r="O912" s="683"/>
      <c r="P912" s="683"/>
      <c r="Q912" s="686"/>
      <c r="R912" s="686"/>
      <c r="S912" s="686"/>
      <c r="T912" s="686"/>
      <c r="U912" s="686"/>
      <c r="V912" s="686"/>
      <c r="W912" s="686"/>
      <c r="X912" s="686"/>
      <c r="Y912" s="686"/>
      <c r="Z912" s="686"/>
      <c r="AA912" s="686"/>
      <c r="AB912" s="686"/>
      <c r="AC912" s="686"/>
      <c r="AD912" s="686"/>
      <c r="AE912" s="686"/>
      <c r="AF912" s="686"/>
    </row>
    <row r="913" ht="15.75" customHeight="1">
      <c r="A913" s="683"/>
      <c r="B913" s="683"/>
      <c r="C913" s="684"/>
      <c r="D913" s="684"/>
      <c r="E913" s="684"/>
      <c r="F913" s="683"/>
      <c r="G913" s="683"/>
      <c r="H913" s="683"/>
      <c r="I913" s="683"/>
      <c r="J913" s="683"/>
      <c r="K913" s="683"/>
      <c r="L913" s="685"/>
      <c r="M913" s="685"/>
      <c r="N913" s="687"/>
      <c r="O913" s="683"/>
      <c r="P913" s="683"/>
      <c r="Q913" s="686"/>
      <c r="R913" s="686"/>
      <c r="S913" s="686"/>
      <c r="T913" s="686"/>
      <c r="U913" s="686"/>
      <c r="V913" s="686"/>
      <c r="W913" s="686"/>
      <c r="X913" s="686"/>
      <c r="Y913" s="686"/>
      <c r="Z913" s="686"/>
      <c r="AA913" s="686"/>
      <c r="AB913" s="686"/>
      <c r="AC913" s="686"/>
      <c r="AD913" s="686"/>
      <c r="AE913" s="686"/>
      <c r="AF913" s="686"/>
    </row>
    <row r="914" ht="15.75" customHeight="1">
      <c r="A914" s="683"/>
      <c r="B914" s="683"/>
      <c r="C914" s="684"/>
      <c r="D914" s="684"/>
      <c r="E914" s="684"/>
      <c r="F914" s="683"/>
      <c r="G914" s="683"/>
      <c r="H914" s="683"/>
      <c r="I914" s="683"/>
      <c r="J914" s="683"/>
      <c r="K914" s="683"/>
      <c r="L914" s="685"/>
      <c r="M914" s="685"/>
      <c r="N914" s="687"/>
      <c r="O914" s="683"/>
      <c r="P914" s="683"/>
      <c r="Q914" s="686"/>
      <c r="R914" s="686"/>
      <c r="S914" s="686"/>
      <c r="T914" s="686"/>
      <c r="U914" s="686"/>
      <c r="V914" s="686"/>
      <c r="W914" s="686"/>
      <c r="X914" s="686"/>
      <c r="Y914" s="686"/>
      <c r="Z914" s="686"/>
      <c r="AA914" s="686"/>
      <c r="AB914" s="686"/>
      <c r="AC914" s="686"/>
      <c r="AD914" s="686"/>
      <c r="AE914" s="686"/>
      <c r="AF914" s="686"/>
    </row>
    <row r="915" ht="15.75" customHeight="1">
      <c r="A915" s="683"/>
      <c r="B915" s="683"/>
      <c r="C915" s="684"/>
      <c r="D915" s="684"/>
      <c r="E915" s="684"/>
      <c r="F915" s="683"/>
      <c r="G915" s="683"/>
      <c r="H915" s="683"/>
      <c r="I915" s="683"/>
      <c r="J915" s="683"/>
      <c r="K915" s="683"/>
      <c r="L915" s="685"/>
      <c r="M915" s="685"/>
      <c r="N915" s="687"/>
      <c r="O915" s="683"/>
      <c r="P915" s="683"/>
      <c r="Q915" s="686"/>
      <c r="R915" s="686"/>
      <c r="S915" s="686"/>
      <c r="T915" s="686"/>
      <c r="U915" s="686"/>
      <c r="V915" s="686"/>
      <c r="W915" s="686"/>
      <c r="X915" s="686"/>
      <c r="Y915" s="686"/>
      <c r="Z915" s="686"/>
      <c r="AA915" s="686"/>
      <c r="AB915" s="686"/>
      <c r="AC915" s="686"/>
      <c r="AD915" s="686"/>
      <c r="AE915" s="686"/>
      <c r="AF915" s="686"/>
    </row>
    <row r="916" ht="15.75" customHeight="1">
      <c r="A916" s="683"/>
      <c r="B916" s="683"/>
      <c r="C916" s="684"/>
      <c r="D916" s="684"/>
      <c r="E916" s="684"/>
      <c r="F916" s="683"/>
      <c r="G916" s="683"/>
      <c r="H916" s="683"/>
      <c r="I916" s="683"/>
      <c r="J916" s="683"/>
      <c r="K916" s="683"/>
      <c r="L916" s="685"/>
      <c r="M916" s="685"/>
      <c r="N916" s="687"/>
      <c r="O916" s="683"/>
      <c r="P916" s="683"/>
      <c r="Q916" s="686"/>
      <c r="R916" s="686"/>
      <c r="S916" s="686"/>
      <c r="T916" s="686"/>
      <c r="U916" s="686"/>
      <c r="V916" s="686"/>
      <c r="W916" s="686"/>
      <c r="X916" s="686"/>
      <c r="Y916" s="686"/>
      <c r="Z916" s="686"/>
      <c r="AA916" s="686"/>
      <c r="AB916" s="686"/>
      <c r="AC916" s="686"/>
      <c r="AD916" s="686"/>
      <c r="AE916" s="686"/>
      <c r="AF916" s="686"/>
    </row>
    <row r="917" ht="15.75" customHeight="1">
      <c r="A917" s="683"/>
      <c r="B917" s="683"/>
      <c r="C917" s="684"/>
      <c r="D917" s="684"/>
      <c r="E917" s="684"/>
      <c r="F917" s="683"/>
      <c r="G917" s="683"/>
      <c r="H917" s="683"/>
      <c r="I917" s="683"/>
      <c r="J917" s="683"/>
      <c r="K917" s="683"/>
      <c r="L917" s="685"/>
      <c r="M917" s="685"/>
      <c r="N917" s="687"/>
      <c r="O917" s="683"/>
      <c r="P917" s="683"/>
      <c r="Q917" s="686"/>
      <c r="R917" s="686"/>
      <c r="S917" s="686"/>
      <c r="T917" s="686"/>
      <c r="U917" s="686"/>
      <c r="V917" s="686"/>
      <c r="W917" s="686"/>
      <c r="X917" s="686"/>
      <c r="Y917" s="686"/>
      <c r="Z917" s="686"/>
      <c r="AA917" s="686"/>
      <c r="AB917" s="686"/>
      <c r="AC917" s="686"/>
      <c r="AD917" s="686"/>
      <c r="AE917" s="686"/>
      <c r="AF917" s="686"/>
    </row>
    <row r="918" ht="15.75" customHeight="1">
      <c r="A918" s="683"/>
      <c r="B918" s="683"/>
      <c r="C918" s="684"/>
      <c r="D918" s="684"/>
      <c r="E918" s="684"/>
      <c r="F918" s="683"/>
      <c r="G918" s="683"/>
      <c r="H918" s="683"/>
      <c r="I918" s="683"/>
      <c r="J918" s="683"/>
      <c r="K918" s="683"/>
      <c r="L918" s="685"/>
      <c r="M918" s="685"/>
      <c r="N918" s="687"/>
      <c r="O918" s="683"/>
      <c r="P918" s="683"/>
      <c r="Q918" s="686"/>
      <c r="R918" s="686"/>
      <c r="S918" s="686"/>
      <c r="T918" s="686"/>
      <c r="U918" s="686"/>
      <c r="V918" s="686"/>
      <c r="W918" s="686"/>
      <c r="X918" s="686"/>
      <c r="Y918" s="686"/>
      <c r="Z918" s="686"/>
      <c r="AA918" s="686"/>
      <c r="AB918" s="686"/>
      <c r="AC918" s="686"/>
      <c r="AD918" s="686"/>
      <c r="AE918" s="686"/>
      <c r="AF918" s="686"/>
    </row>
    <row r="919" ht="15.75" customHeight="1">
      <c r="A919" s="683"/>
      <c r="B919" s="683"/>
      <c r="C919" s="684"/>
      <c r="D919" s="684"/>
      <c r="E919" s="684"/>
      <c r="F919" s="683"/>
      <c r="G919" s="683"/>
      <c r="H919" s="683"/>
      <c r="I919" s="683"/>
      <c r="J919" s="683"/>
      <c r="K919" s="683"/>
      <c r="L919" s="685"/>
      <c r="M919" s="685"/>
      <c r="N919" s="687"/>
      <c r="O919" s="683"/>
      <c r="P919" s="683"/>
      <c r="Q919" s="686"/>
      <c r="R919" s="686"/>
      <c r="S919" s="686"/>
      <c r="T919" s="686"/>
      <c r="U919" s="686"/>
      <c r="V919" s="686"/>
      <c r="W919" s="686"/>
      <c r="X919" s="686"/>
      <c r="Y919" s="686"/>
      <c r="Z919" s="686"/>
      <c r="AA919" s="686"/>
      <c r="AB919" s="686"/>
      <c r="AC919" s="686"/>
      <c r="AD919" s="686"/>
      <c r="AE919" s="686"/>
      <c r="AF919" s="686"/>
    </row>
    <row r="920" ht="15.75" customHeight="1">
      <c r="A920" s="683"/>
      <c r="B920" s="683"/>
      <c r="C920" s="684"/>
      <c r="D920" s="684"/>
      <c r="E920" s="684"/>
      <c r="F920" s="683"/>
      <c r="G920" s="683"/>
      <c r="H920" s="683"/>
      <c r="I920" s="683"/>
      <c r="J920" s="683"/>
      <c r="K920" s="683"/>
      <c r="L920" s="685"/>
      <c r="M920" s="685"/>
      <c r="N920" s="687"/>
      <c r="O920" s="683"/>
      <c r="P920" s="685"/>
      <c r="Q920" s="686"/>
      <c r="R920" s="686"/>
      <c r="S920" s="686"/>
      <c r="T920" s="686"/>
      <c r="U920" s="686"/>
      <c r="V920" s="686"/>
      <c r="W920" s="686"/>
      <c r="X920" s="686"/>
      <c r="Y920" s="686"/>
      <c r="Z920" s="686"/>
      <c r="AA920" s="686"/>
      <c r="AB920" s="686"/>
      <c r="AC920" s="686"/>
      <c r="AD920" s="686"/>
      <c r="AE920" s="686"/>
      <c r="AF920" s="686"/>
    </row>
    <row r="921" ht="15.75" customHeight="1">
      <c r="A921" s="683"/>
      <c r="B921" s="683"/>
      <c r="C921" s="684"/>
      <c r="D921" s="684"/>
      <c r="E921" s="684"/>
      <c r="F921" s="683"/>
      <c r="G921" s="683"/>
      <c r="H921" s="683"/>
      <c r="I921" s="683"/>
      <c r="J921" s="683"/>
      <c r="K921" s="683"/>
      <c r="L921" s="685"/>
      <c r="M921" s="685"/>
      <c r="N921" s="687"/>
      <c r="O921" s="683"/>
      <c r="P921" s="683"/>
      <c r="Q921" s="686"/>
      <c r="R921" s="686"/>
      <c r="S921" s="686"/>
      <c r="T921" s="686"/>
      <c r="U921" s="686"/>
      <c r="V921" s="686"/>
      <c r="W921" s="686"/>
      <c r="X921" s="686"/>
      <c r="Y921" s="686"/>
      <c r="Z921" s="686"/>
      <c r="AA921" s="686"/>
      <c r="AB921" s="686"/>
      <c r="AC921" s="686"/>
      <c r="AD921" s="686"/>
      <c r="AE921" s="686"/>
      <c r="AF921" s="686"/>
    </row>
    <row r="922" ht="15.75" customHeight="1">
      <c r="A922" s="683"/>
      <c r="B922" s="683"/>
      <c r="C922" s="684"/>
      <c r="D922" s="684"/>
      <c r="E922" s="684"/>
      <c r="F922" s="683"/>
      <c r="G922" s="683"/>
      <c r="H922" s="683"/>
      <c r="I922" s="683"/>
      <c r="J922" s="683"/>
      <c r="K922" s="683"/>
      <c r="L922" s="685"/>
      <c r="M922" s="685"/>
      <c r="N922" s="687"/>
      <c r="O922" s="683"/>
      <c r="P922" s="683"/>
      <c r="Q922" s="686"/>
      <c r="R922" s="686"/>
      <c r="S922" s="686"/>
      <c r="T922" s="686"/>
      <c r="U922" s="686"/>
      <c r="V922" s="686"/>
      <c r="W922" s="686"/>
      <c r="X922" s="686"/>
      <c r="Y922" s="686"/>
      <c r="Z922" s="686"/>
      <c r="AA922" s="686"/>
      <c r="AB922" s="686"/>
      <c r="AC922" s="686"/>
      <c r="AD922" s="686"/>
      <c r="AE922" s="686"/>
      <c r="AF922" s="686"/>
    </row>
    <row r="923" ht="15.75" customHeight="1">
      <c r="A923" s="683"/>
      <c r="B923" s="683"/>
      <c r="C923" s="684"/>
      <c r="D923" s="684"/>
      <c r="E923" s="684"/>
      <c r="F923" s="683"/>
      <c r="G923" s="683"/>
      <c r="H923" s="683"/>
      <c r="I923" s="683"/>
      <c r="J923" s="683"/>
      <c r="K923" s="683"/>
      <c r="L923" s="685"/>
      <c r="M923" s="685"/>
      <c r="N923" s="687"/>
      <c r="O923" s="683"/>
      <c r="P923" s="683"/>
      <c r="Q923" s="686"/>
      <c r="R923" s="686"/>
      <c r="S923" s="686"/>
      <c r="T923" s="686"/>
      <c r="U923" s="686"/>
      <c r="V923" s="686"/>
      <c r="W923" s="686"/>
      <c r="X923" s="686"/>
      <c r="Y923" s="686"/>
      <c r="Z923" s="686"/>
      <c r="AA923" s="686"/>
      <c r="AB923" s="686"/>
      <c r="AC923" s="686"/>
      <c r="AD923" s="686"/>
      <c r="AE923" s="686"/>
      <c r="AF923" s="686"/>
    </row>
    <row r="924" ht="15.75" customHeight="1">
      <c r="A924" s="683"/>
      <c r="B924" s="683"/>
      <c r="C924" s="684"/>
      <c r="D924" s="684"/>
      <c r="E924" s="684"/>
      <c r="F924" s="683"/>
      <c r="G924" s="683"/>
      <c r="H924" s="683"/>
      <c r="I924" s="683"/>
      <c r="J924" s="683"/>
      <c r="K924" s="683"/>
      <c r="L924" s="685"/>
      <c r="M924" s="685"/>
      <c r="N924" s="687"/>
      <c r="O924" s="683"/>
      <c r="P924" s="683"/>
      <c r="Q924" s="686"/>
      <c r="R924" s="686"/>
      <c r="S924" s="686"/>
      <c r="T924" s="686"/>
      <c r="U924" s="686"/>
      <c r="V924" s="686"/>
      <c r="W924" s="686"/>
      <c r="X924" s="686"/>
      <c r="Y924" s="686"/>
      <c r="Z924" s="686"/>
      <c r="AA924" s="686"/>
      <c r="AB924" s="686"/>
      <c r="AC924" s="686"/>
      <c r="AD924" s="686"/>
      <c r="AE924" s="686"/>
      <c r="AF924" s="686"/>
    </row>
    <row r="925" ht="15.75" customHeight="1">
      <c r="A925" s="683"/>
      <c r="B925" s="683"/>
      <c r="C925" s="684"/>
      <c r="D925" s="684"/>
      <c r="E925" s="684"/>
      <c r="F925" s="683"/>
      <c r="G925" s="683"/>
      <c r="H925" s="683"/>
      <c r="I925" s="683"/>
      <c r="J925" s="683"/>
      <c r="K925" s="683"/>
      <c r="L925" s="685"/>
      <c r="M925" s="685"/>
      <c r="N925" s="687"/>
      <c r="O925" s="683"/>
      <c r="P925" s="683"/>
      <c r="Q925" s="686"/>
      <c r="R925" s="686"/>
      <c r="S925" s="686"/>
      <c r="T925" s="686"/>
      <c r="U925" s="686"/>
      <c r="V925" s="686"/>
      <c r="W925" s="686"/>
      <c r="X925" s="686"/>
      <c r="Y925" s="686"/>
      <c r="Z925" s="686"/>
      <c r="AA925" s="686"/>
      <c r="AB925" s="686"/>
      <c r="AC925" s="686"/>
      <c r="AD925" s="686"/>
      <c r="AE925" s="686"/>
      <c r="AF925" s="686"/>
    </row>
    <row r="926" ht="15.75" customHeight="1">
      <c r="A926" s="683"/>
      <c r="B926" s="683"/>
      <c r="C926" s="684"/>
      <c r="D926" s="684"/>
      <c r="E926" s="684"/>
      <c r="F926" s="683"/>
      <c r="G926" s="683"/>
      <c r="H926" s="683"/>
      <c r="I926" s="683"/>
      <c r="J926" s="683"/>
      <c r="K926" s="683"/>
      <c r="L926" s="685"/>
      <c r="M926" s="685"/>
      <c r="N926" s="687"/>
      <c r="O926" s="683"/>
      <c r="P926" s="683"/>
      <c r="Q926" s="686"/>
      <c r="R926" s="686"/>
      <c r="S926" s="686"/>
      <c r="T926" s="686"/>
      <c r="U926" s="686"/>
      <c r="V926" s="686"/>
      <c r="W926" s="686"/>
      <c r="X926" s="686"/>
      <c r="Y926" s="686"/>
      <c r="Z926" s="686"/>
      <c r="AA926" s="686"/>
      <c r="AB926" s="686"/>
      <c r="AC926" s="686"/>
      <c r="AD926" s="686"/>
      <c r="AE926" s="686"/>
      <c r="AF926" s="686"/>
    </row>
    <row r="927" ht="15.75" customHeight="1">
      <c r="A927" s="683"/>
      <c r="B927" s="683"/>
      <c r="C927" s="684"/>
      <c r="D927" s="684"/>
      <c r="E927" s="684"/>
      <c r="F927" s="683"/>
      <c r="G927" s="683"/>
      <c r="H927" s="683"/>
      <c r="I927" s="683"/>
      <c r="J927" s="683"/>
      <c r="K927" s="683"/>
      <c r="L927" s="685"/>
      <c r="M927" s="685"/>
      <c r="N927" s="687"/>
      <c r="O927" s="683"/>
      <c r="P927" s="683"/>
      <c r="Q927" s="686"/>
      <c r="R927" s="686"/>
      <c r="S927" s="686"/>
      <c r="T927" s="686"/>
      <c r="U927" s="686"/>
      <c r="V927" s="686"/>
      <c r="W927" s="686"/>
      <c r="X927" s="686"/>
      <c r="Y927" s="686"/>
      <c r="Z927" s="686"/>
      <c r="AA927" s="686"/>
      <c r="AB927" s="686"/>
      <c r="AC927" s="686"/>
      <c r="AD927" s="686"/>
      <c r="AE927" s="686"/>
      <c r="AF927" s="686"/>
    </row>
    <row r="928" ht="15.75" customHeight="1">
      <c r="A928" s="683"/>
      <c r="B928" s="683"/>
      <c r="C928" s="684"/>
      <c r="D928" s="684"/>
      <c r="E928" s="684"/>
      <c r="F928" s="683"/>
      <c r="G928" s="683"/>
      <c r="H928" s="683"/>
      <c r="I928" s="683"/>
      <c r="J928" s="683"/>
      <c r="K928" s="683"/>
      <c r="L928" s="685"/>
      <c r="M928" s="685"/>
      <c r="N928" s="687"/>
      <c r="O928" s="683"/>
      <c r="P928" s="683"/>
      <c r="Q928" s="686"/>
      <c r="R928" s="686"/>
      <c r="S928" s="686"/>
      <c r="T928" s="686"/>
      <c r="U928" s="686"/>
      <c r="V928" s="686"/>
      <c r="W928" s="686"/>
      <c r="X928" s="686"/>
      <c r="Y928" s="686"/>
      <c r="Z928" s="686"/>
      <c r="AA928" s="686"/>
      <c r="AB928" s="686"/>
      <c r="AC928" s="686"/>
      <c r="AD928" s="686"/>
      <c r="AE928" s="686"/>
      <c r="AF928" s="686"/>
    </row>
    <row r="929" ht="15.75" customHeight="1">
      <c r="A929" s="683"/>
      <c r="B929" s="683"/>
      <c r="C929" s="684"/>
      <c r="D929" s="684"/>
      <c r="E929" s="684"/>
      <c r="F929" s="683"/>
      <c r="G929" s="683"/>
      <c r="H929" s="683"/>
      <c r="I929" s="683"/>
      <c r="J929" s="683"/>
      <c r="K929" s="683"/>
      <c r="L929" s="685"/>
      <c r="M929" s="685"/>
      <c r="N929" s="687"/>
      <c r="O929" s="683"/>
      <c r="P929" s="683"/>
      <c r="Q929" s="686"/>
      <c r="R929" s="686"/>
      <c r="S929" s="686"/>
      <c r="T929" s="686"/>
      <c r="U929" s="686"/>
      <c r="V929" s="686"/>
      <c r="W929" s="686"/>
      <c r="X929" s="686"/>
      <c r="Y929" s="686"/>
      <c r="Z929" s="686"/>
      <c r="AA929" s="686"/>
      <c r="AB929" s="686"/>
      <c r="AC929" s="686"/>
      <c r="AD929" s="686"/>
      <c r="AE929" s="686"/>
      <c r="AF929" s="686"/>
    </row>
    <row r="930" ht="15.75" customHeight="1">
      <c r="A930" s="683"/>
      <c r="B930" s="683"/>
      <c r="C930" s="684"/>
      <c r="D930" s="684"/>
      <c r="E930" s="684"/>
      <c r="F930" s="683"/>
      <c r="G930" s="683"/>
      <c r="H930" s="683"/>
      <c r="I930" s="683"/>
      <c r="J930" s="683"/>
      <c r="K930" s="683"/>
      <c r="L930" s="685"/>
      <c r="M930" s="685"/>
      <c r="N930" s="687"/>
      <c r="O930" s="683"/>
      <c r="P930" s="683"/>
      <c r="Q930" s="686"/>
      <c r="R930" s="686"/>
      <c r="S930" s="686"/>
      <c r="T930" s="686"/>
      <c r="U930" s="686"/>
      <c r="V930" s="686"/>
      <c r="W930" s="686"/>
      <c r="X930" s="686"/>
      <c r="Y930" s="686"/>
      <c r="Z930" s="686"/>
      <c r="AA930" s="686"/>
      <c r="AB930" s="686"/>
      <c r="AC930" s="686"/>
      <c r="AD930" s="686"/>
      <c r="AE930" s="686"/>
      <c r="AF930" s="686"/>
    </row>
    <row r="931" ht="15.75" customHeight="1">
      <c r="A931" s="683"/>
      <c r="B931" s="683"/>
      <c r="C931" s="684"/>
      <c r="D931" s="684"/>
      <c r="E931" s="684"/>
      <c r="F931" s="683"/>
      <c r="G931" s="683"/>
      <c r="H931" s="683"/>
      <c r="I931" s="683"/>
      <c r="J931" s="683"/>
      <c r="K931" s="683"/>
      <c r="L931" s="685"/>
      <c r="M931" s="685"/>
      <c r="N931" s="687"/>
      <c r="O931" s="683"/>
      <c r="P931" s="683"/>
      <c r="Q931" s="686"/>
      <c r="R931" s="686"/>
      <c r="S931" s="686"/>
      <c r="T931" s="686"/>
      <c r="U931" s="686"/>
      <c r="V931" s="686"/>
      <c r="W931" s="686"/>
      <c r="X931" s="686"/>
      <c r="Y931" s="686"/>
      <c r="Z931" s="686"/>
      <c r="AA931" s="686"/>
      <c r="AB931" s="686"/>
      <c r="AC931" s="686"/>
      <c r="AD931" s="686"/>
      <c r="AE931" s="686"/>
      <c r="AF931" s="686"/>
    </row>
    <row r="932" ht="15.75" customHeight="1">
      <c r="A932" s="683"/>
      <c r="B932" s="683"/>
      <c r="C932" s="684"/>
      <c r="D932" s="684"/>
      <c r="E932" s="684"/>
      <c r="F932" s="683"/>
      <c r="G932" s="683"/>
      <c r="H932" s="683"/>
      <c r="I932" s="683"/>
      <c r="J932" s="683"/>
      <c r="K932" s="683"/>
      <c r="L932" s="685"/>
      <c r="M932" s="685"/>
      <c r="N932" s="687"/>
      <c r="O932" s="683"/>
      <c r="P932" s="683"/>
      <c r="Q932" s="686"/>
      <c r="R932" s="686"/>
      <c r="S932" s="686"/>
      <c r="T932" s="686"/>
      <c r="U932" s="686"/>
      <c r="V932" s="686"/>
      <c r="W932" s="686"/>
      <c r="X932" s="686"/>
      <c r="Y932" s="686"/>
      <c r="Z932" s="686"/>
      <c r="AA932" s="686"/>
      <c r="AB932" s="686"/>
      <c r="AC932" s="686"/>
      <c r="AD932" s="686"/>
      <c r="AE932" s="686"/>
      <c r="AF932" s="686"/>
    </row>
    <row r="933" ht="15.75" customHeight="1">
      <c r="A933" s="683"/>
      <c r="B933" s="683"/>
      <c r="C933" s="684"/>
      <c r="D933" s="684"/>
      <c r="E933" s="684"/>
      <c r="F933" s="683"/>
      <c r="G933" s="683"/>
      <c r="H933" s="683"/>
      <c r="I933" s="683"/>
      <c r="J933" s="683"/>
      <c r="K933" s="683"/>
      <c r="L933" s="685"/>
      <c r="M933" s="685"/>
      <c r="N933" s="687"/>
      <c r="O933" s="683"/>
      <c r="P933" s="683"/>
      <c r="Q933" s="686"/>
      <c r="R933" s="686"/>
      <c r="S933" s="686"/>
      <c r="T933" s="686"/>
      <c r="U933" s="686"/>
      <c r="V933" s="686"/>
      <c r="W933" s="686"/>
      <c r="X933" s="686"/>
      <c r="Y933" s="686"/>
      <c r="Z933" s="686"/>
      <c r="AA933" s="686"/>
      <c r="AB933" s="686"/>
      <c r="AC933" s="686"/>
      <c r="AD933" s="686"/>
      <c r="AE933" s="686"/>
      <c r="AF933" s="686"/>
    </row>
    <row r="934" ht="15.75" customHeight="1">
      <c r="A934" s="683"/>
      <c r="B934" s="683"/>
      <c r="C934" s="684"/>
      <c r="D934" s="684"/>
      <c r="E934" s="684"/>
      <c r="F934" s="683"/>
      <c r="G934" s="683"/>
      <c r="H934" s="683"/>
      <c r="I934" s="683"/>
      <c r="J934" s="683"/>
      <c r="K934" s="683"/>
      <c r="L934" s="685"/>
      <c r="M934" s="685"/>
      <c r="N934" s="687"/>
      <c r="O934" s="683"/>
      <c r="P934" s="683"/>
      <c r="Q934" s="686"/>
      <c r="R934" s="686"/>
      <c r="S934" s="686"/>
      <c r="T934" s="686"/>
      <c r="U934" s="686"/>
      <c r="V934" s="686"/>
      <c r="W934" s="686"/>
      <c r="X934" s="686"/>
      <c r="Y934" s="686"/>
      <c r="Z934" s="686"/>
      <c r="AA934" s="686"/>
      <c r="AB934" s="686"/>
      <c r="AC934" s="686"/>
      <c r="AD934" s="686"/>
      <c r="AE934" s="686"/>
      <c r="AF934" s="686"/>
    </row>
    <row r="935" ht="15.75" customHeight="1">
      <c r="A935" s="683"/>
      <c r="B935" s="683"/>
      <c r="C935" s="684"/>
      <c r="D935" s="684"/>
      <c r="E935" s="684"/>
      <c r="F935" s="683"/>
      <c r="G935" s="683"/>
      <c r="H935" s="683"/>
      <c r="I935" s="683"/>
      <c r="J935" s="683"/>
      <c r="K935" s="683"/>
      <c r="L935" s="685"/>
      <c r="M935" s="685"/>
      <c r="N935" s="687"/>
      <c r="O935" s="683"/>
      <c r="P935" s="683"/>
      <c r="Q935" s="686"/>
      <c r="R935" s="686"/>
      <c r="S935" s="686"/>
      <c r="T935" s="686"/>
      <c r="U935" s="686"/>
      <c r="V935" s="686"/>
      <c r="W935" s="686"/>
      <c r="X935" s="686"/>
      <c r="Y935" s="686"/>
      <c r="Z935" s="686"/>
      <c r="AA935" s="686"/>
      <c r="AB935" s="686"/>
      <c r="AC935" s="686"/>
      <c r="AD935" s="686"/>
      <c r="AE935" s="686"/>
      <c r="AF935" s="686"/>
    </row>
    <row r="936" ht="15.75" customHeight="1">
      <c r="A936" s="683"/>
      <c r="B936" s="683"/>
      <c r="C936" s="684"/>
      <c r="D936" s="684"/>
      <c r="E936" s="684"/>
      <c r="F936" s="683"/>
      <c r="G936" s="683"/>
      <c r="H936" s="683"/>
      <c r="I936" s="683"/>
      <c r="J936" s="683"/>
      <c r="K936" s="683"/>
      <c r="L936" s="685"/>
      <c r="M936" s="685"/>
      <c r="N936" s="687"/>
      <c r="O936" s="683"/>
      <c r="P936" s="683"/>
      <c r="Q936" s="686"/>
      <c r="R936" s="686"/>
      <c r="S936" s="686"/>
      <c r="T936" s="686"/>
      <c r="U936" s="686"/>
      <c r="V936" s="686"/>
      <c r="W936" s="686"/>
      <c r="X936" s="686"/>
      <c r="Y936" s="686"/>
      <c r="Z936" s="686"/>
      <c r="AA936" s="686"/>
      <c r="AB936" s="686"/>
      <c r="AC936" s="686"/>
      <c r="AD936" s="686"/>
      <c r="AE936" s="686"/>
      <c r="AF936" s="686"/>
    </row>
    <row r="937" ht="15.75" customHeight="1">
      <c r="A937" s="683"/>
      <c r="B937" s="683"/>
      <c r="C937" s="684"/>
      <c r="D937" s="684"/>
      <c r="E937" s="684"/>
      <c r="F937" s="683"/>
      <c r="G937" s="683"/>
      <c r="H937" s="683"/>
      <c r="I937" s="683"/>
      <c r="J937" s="683"/>
      <c r="K937" s="683"/>
      <c r="L937" s="685"/>
      <c r="M937" s="685"/>
      <c r="N937" s="687"/>
      <c r="O937" s="683"/>
      <c r="P937" s="683"/>
      <c r="Q937" s="686"/>
      <c r="R937" s="686"/>
      <c r="S937" s="686"/>
      <c r="T937" s="686"/>
      <c r="U937" s="686"/>
      <c r="V937" s="686"/>
      <c r="W937" s="686"/>
      <c r="X937" s="686"/>
      <c r="Y937" s="686"/>
      <c r="Z937" s="686"/>
      <c r="AA937" s="686"/>
      <c r="AB937" s="686"/>
      <c r="AC937" s="686"/>
      <c r="AD937" s="686"/>
      <c r="AE937" s="686"/>
      <c r="AF937" s="686"/>
    </row>
    <row r="938" ht="15.75" customHeight="1">
      <c r="A938" s="683"/>
      <c r="B938" s="683"/>
      <c r="C938" s="684"/>
      <c r="D938" s="684"/>
      <c r="E938" s="684"/>
      <c r="F938" s="683"/>
      <c r="G938" s="683"/>
      <c r="H938" s="683"/>
      <c r="I938" s="683"/>
      <c r="J938" s="683"/>
      <c r="K938" s="683"/>
      <c r="L938" s="685"/>
      <c r="M938" s="685"/>
      <c r="N938" s="687"/>
      <c r="O938" s="683"/>
      <c r="P938" s="683"/>
      <c r="Q938" s="686"/>
      <c r="R938" s="686"/>
      <c r="S938" s="686"/>
      <c r="T938" s="686"/>
      <c r="U938" s="686"/>
      <c r="V938" s="686"/>
      <c r="W938" s="686"/>
      <c r="X938" s="686"/>
      <c r="Y938" s="686"/>
      <c r="Z938" s="686"/>
      <c r="AA938" s="686"/>
      <c r="AB938" s="686"/>
      <c r="AC938" s="686"/>
      <c r="AD938" s="686"/>
      <c r="AE938" s="686"/>
      <c r="AF938" s="686"/>
    </row>
    <row r="939" ht="15.75" customHeight="1">
      <c r="A939" s="683"/>
      <c r="B939" s="683"/>
      <c r="C939" s="684"/>
      <c r="D939" s="684"/>
      <c r="E939" s="684"/>
      <c r="F939" s="683"/>
      <c r="G939" s="683"/>
      <c r="H939" s="683"/>
      <c r="I939" s="683"/>
      <c r="J939" s="683"/>
      <c r="K939" s="683"/>
      <c r="L939" s="685"/>
      <c r="M939" s="685"/>
      <c r="N939" s="687"/>
      <c r="O939" s="683"/>
      <c r="P939" s="683"/>
      <c r="Q939" s="686"/>
      <c r="R939" s="686"/>
      <c r="S939" s="686"/>
      <c r="T939" s="686"/>
      <c r="U939" s="686"/>
      <c r="V939" s="686"/>
      <c r="W939" s="686"/>
      <c r="X939" s="686"/>
      <c r="Y939" s="686"/>
      <c r="Z939" s="686"/>
      <c r="AA939" s="686"/>
      <c r="AB939" s="686"/>
      <c r="AC939" s="686"/>
      <c r="AD939" s="686"/>
      <c r="AE939" s="686"/>
      <c r="AF939" s="686"/>
    </row>
    <row r="940" ht="15.75" customHeight="1">
      <c r="A940" s="683"/>
      <c r="B940" s="683"/>
      <c r="C940" s="684"/>
      <c r="D940" s="684"/>
      <c r="E940" s="684"/>
      <c r="F940" s="683"/>
      <c r="G940" s="683"/>
      <c r="H940" s="683"/>
      <c r="I940" s="683"/>
      <c r="J940" s="683"/>
      <c r="K940" s="683"/>
      <c r="L940" s="685"/>
      <c r="M940" s="685"/>
      <c r="N940" s="687"/>
      <c r="O940" s="683"/>
      <c r="P940" s="683"/>
      <c r="Q940" s="686"/>
      <c r="R940" s="686"/>
      <c r="S940" s="686"/>
      <c r="T940" s="686"/>
      <c r="U940" s="686"/>
      <c r="V940" s="686"/>
      <c r="W940" s="686"/>
      <c r="X940" s="686"/>
      <c r="Y940" s="686"/>
      <c r="Z940" s="686"/>
      <c r="AA940" s="686"/>
      <c r="AB940" s="686"/>
      <c r="AC940" s="686"/>
      <c r="AD940" s="686"/>
      <c r="AE940" s="686"/>
      <c r="AF940" s="686"/>
    </row>
    <row r="941" ht="15.75" customHeight="1">
      <c r="A941" s="683"/>
      <c r="B941" s="683"/>
      <c r="C941" s="684"/>
      <c r="D941" s="684"/>
      <c r="E941" s="684"/>
      <c r="F941" s="683"/>
      <c r="G941" s="683"/>
      <c r="H941" s="683"/>
      <c r="I941" s="683"/>
      <c r="J941" s="683"/>
      <c r="K941" s="683"/>
      <c r="L941" s="685"/>
      <c r="M941" s="685"/>
      <c r="N941" s="687"/>
      <c r="O941" s="683"/>
      <c r="P941" s="683"/>
      <c r="Q941" s="686"/>
      <c r="R941" s="686"/>
      <c r="S941" s="686"/>
      <c r="T941" s="686"/>
      <c r="U941" s="686"/>
      <c r="V941" s="686"/>
      <c r="W941" s="686"/>
      <c r="X941" s="686"/>
      <c r="Y941" s="686"/>
      <c r="Z941" s="686"/>
      <c r="AA941" s="686"/>
      <c r="AB941" s="686"/>
      <c r="AC941" s="686"/>
      <c r="AD941" s="686"/>
      <c r="AE941" s="686"/>
      <c r="AF941" s="686"/>
    </row>
    <row r="942" ht="15.75" customHeight="1">
      <c r="A942" s="683"/>
      <c r="B942" s="683"/>
      <c r="C942" s="684"/>
      <c r="D942" s="684"/>
      <c r="E942" s="684"/>
      <c r="F942" s="683"/>
      <c r="G942" s="683"/>
      <c r="H942" s="683"/>
      <c r="I942" s="683"/>
      <c r="J942" s="683"/>
      <c r="K942" s="683"/>
      <c r="L942" s="685"/>
      <c r="M942" s="685"/>
      <c r="N942" s="687"/>
      <c r="O942" s="683"/>
      <c r="P942" s="683"/>
      <c r="Q942" s="686"/>
      <c r="R942" s="686"/>
      <c r="S942" s="686"/>
      <c r="T942" s="686"/>
      <c r="U942" s="686"/>
      <c r="V942" s="686"/>
      <c r="W942" s="686"/>
      <c r="X942" s="686"/>
      <c r="Y942" s="686"/>
      <c r="Z942" s="686"/>
      <c r="AA942" s="686"/>
      <c r="AB942" s="686"/>
      <c r="AC942" s="686"/>
      <c r="AD942" s="686"/>
      <c r="AE942" s="686"/>
      <c r="AF942" s="686"/>
    </row>
    <row r="943" ht="15.75" customHeight="1">
      <c r="A943" s="683"/>
      <c r="B943" s="683"/>
      <c r="C943" s="684"/>
      <c r="D943" s="684"/>
      <c r="E943" s="684"/>
      <c r="F943" s="683"/>
      <c r="G943" s="683"/>
      <c r="H943" s="683"/>
      <c r="I943" s="683"/>
      <c r="J943" s="683"/>
      <c r="K943" s="683"/>
      <c r="L943" s="685"/>
      <c r="M943" s="685"/>
      <c r="N943" s="687"/>
      <c r="O943" s="683"/>
      <c r="P943" s="683"/>
      <c r="Q943" s="686"/>
      <c r="R943" s="686"/>
      <c r="S943" s="686"/>
      <c r="T943" s="686"/>
      <c r="U943" s="686"/>
      <c r="V943" s="686"/>
      <c r="W943" s="686"/>
      <c r="X943" s="686"/>
      <c r="Y943" s="686"/>
      <c r="Z943" s="686"/>
      <c r="AA943" s="686"/>
      <c r="AB943" s="686"/>
      <c r="AC943" s="686"/>
      <c r="AD943" s="686"/>
      <c r="AE943" s="686"/>
      <c r="AF943" s="686"/>
    </row>
    <row r="944" ht="15.75" customHeight="1">
      <c r="A944" s="683"/>
      <c r="B944" s="683"/>
      <c r="C944" s="684"/>
      <c r="D944" s="684"/>
      <c r="E944" s="684"/>
      <c r="F944" s="683"/>
      <c r="G944" s="683"/>
      <c r="H944" s="683"/>
      <c r="I944" s="683"/>
      <c r="J944" s="683"/>
      <c r="K944" s="683"/>
      <c r="L944" s="685"/>
      <c r="M944" s="685"/>
      <c r="N944" s="687"/>
      <c r="O944" s="683"/>
      <c r="P944" s="683"/>
      <c r="Q944" s="686"/>
      <c r="R944" s="686"/>
      <c r="S944" s="686"/>
      <c r="T944" s="686"/>
      <c r="U944" s="686"/>
      <c r="V944" s="686"/>
      <c r="W944" s="686"/>
      <c r="X944" s="686"/>
      <c r="Y944" s="686"/>
      <c r="Z944" s="686"/>
      <c r="AA944" s="686"/>
      <c r="AB944" s="686"/>
      <c r="AC944" s="686"/>
      <c r="AD944" s="686"/>
      <c r="AE944" s="686"/>
      <c r="AF944" s="686"/>
    </row>
    <row r="945" ht="15.75" customHeight="1">
      <c r="A945" s="683"/>
      <c r="B945" s="683"/>
      <c r="C945" s="684"/>
      <c r="D945" s="684"/>
      <c r="E945" s="684"/>
      <c r="F945" s="683"/>
      <c r="G945" s="683"/>
      <c r="H945" s="683"/>
      <c r="I945" s="683"/>
      <c r="J945" s="683"/>
      <c r="K945" s="683"/>
      <c r="L945" s="685"/>
      <c r="M945" s="685"/>
      <c r="N945" s="687"/>
      <c r="O945" s="683"/>
      <c r="P945" s="683"/>
      <c r="Q945" s="686"/>
      <c r="R945" s="686"/>
      <c r="S945" s="686"/>
      <c r="T945" s="686"/>
      <c r="U945" s="686"/>
      <c r="V945" s="686"/>
      <c r="W945" s="686"/>
      <c r="X945" s="686"/>
      <c r="Y945" s="686"/>
      <c r="Z945" s="686"/>
      <c r="AA945" s="686"/>
      <c r="AB945" s="686"/>
      <c r="AC945" s="686"/>
      <c r="AD945" s="686"/>
      <c r="AE945" s="686"/>
      <c r="AF945" s="686"/>
    </row>
    <row r="946" ht="15.75" customHeight="1">
      <c r="A946" s="683"/>
      <c r="B946" s="683"/>
      <c r="C946" s="684"/>
      <c r="D946" s="684"/>
      <c r="E946" s="684"/>
      <c r="F946" s="683"/>
      <c r="G946" s="683"/>
      <c r="H946" s="683"/>
      <c r="I946" s="683"/>
      <c r="J946" s="683"/>
      <c r="K946" s="683"/>
      <c r="L946" s="685"/>
      <c r="M946" s="685"/>
      <c r="N946" s="687"/>
      <c r="O946" s="683"/>
      <c r="P946" s="683"/>
      <c r="Q946" s="686"/>
      <c r="R946" s="686"/>
      <c r="S946" s="686"/>
      <c r="T946" s="686"/>
      <c r="U946" s="686"/>
      <c r="V946" s="686"/>
      <c r="W946" s="686"/>
      <c r="X946" s="686"/>
      <c r="Y946" s="686"/>
      <c r="Z946" s="686"/>
      <c r="AA946" s="686"/>
      <c r="AB946" s="686"/>
      <c r="AC946" s="686"/>
      <c r="AD946" s="686"/>
      <c r="AE946" s="686"/>
      <c r="AF946" s="686"/>
    </row>
    <row r="947" ht="15.75" customHeight="1">
      <c r="A947" s="683"/>
      <c r="B947" s="683"/>
      <c r="C947" s="684"/>
      <c r="D947" s="684"/>
      <c r="E947" s="684"/>
      <c r="F947" s="683"/>
      <c r="G947" s="683"/>
      <c r="H947" s="683"/>
      <c r="I947" s="683"/>
      <c r="J947" s="683"/>
      <c r="K947" s="683"/>
      <c r="L947" s="685"/>
      <c r="M947" s="685"/>
      <c r="N947" s="687"/>
      <c r="O947" s="683"/>
      <c r="P947" s="683"/>
      <c r="Q947" s="686"/>
      <c r="R947" s="686"/>
      <c r="S947" s="686"/>
      <c r="T947" s="686"/>
      <c r="U947" s="686"/>
      <c r="V947" s="686"/>
      <c r="W947" s="686"/>
      <c r="X947" s="686"/>
      <c r="Y947" s="686"/>
      <c r="Z947" s="686"/>
      <c r="AA947" s="686"/>
      <c r="AB947" s="686"/>
      <c r="AC947" s="686"/>
      <c r="AD947" s="686"/>
      <c r="AE947" s="686"/>
      <c r="AF947" s="686"/>
    </row>
    <row r="948" ht="15.75" customHeight="1">
      <c r="A948" s="683"/>
      <c r="B948" s="683"/>
      <c r="C948" s="684"/>
      <c r="D948" s="684"/>
      <c r="E948" s="684"/>
      <c r="F948" s="683"/>
      <c r="G948" s="683"/>
      <c r="H948" s="683"/>
      <c r="I948" s="683"/>
      <c r="J948" s="683"/>
      <c r="K948" s="683"/>
      <c r="L948" s="685"/>
      <c r="M948" s="685"/>
      <c r="N948" s="687"/>
      <c r="O948" s="683"/>
      <c r="P948" s="683"/>
      <c r="Q948" s="686"/>
      <c r="R948" s="686"/>
      <c r="S948" s="686"/>
      <c r="T948" s="686"/>
      <c r="U948" s="686"/>
      <c r="V948" s="686"/>
      <c r="W948" s="686"/>
      <c r="X948" s="686"/>
      <c r="Y948" s="686"/>
      <c r="Z948" s="686"/>
      <c r="AA948" s="686"/>
      <c r="AB948" s="686"/>
      <c r="AC948" s="686"/>
      <c r="AD948" s="686"/>
      <c r="AE948" s="686"/>
      <c r="AF948" s="686"/>
    </row>
    <row r="949" ht="15.75" customHeight="1">
      <c r="A949" s="683"/>
      <c r="B949" s="683"/>
      <c r="C949" s="684"/>
      <c r="D949" s="684"/>
      <c r="E949" s="684"/>
      <c r="F949" s="683"/>
      <c r="G949" s="683"/>
      <c r="H949" s="683"/>
      <c r="I949" s="683"/>
      <c r="J949" s="683"/>
      <c r="K949" s="683"/>
      <c r="L949" s="685"/>
      <c r="M949" s="685"/>
      <c r="N949" s="687"/>
      <c r="O949" s="683"/>
      <c r="P949" s="683"/>
      <c r="Q949" s="686"/>
      <c r="R949" s="686"/>
      <c r="S949" s="686"/>
      <c r="T949" s="686"/>
      <c r="U949" s="686"/>
      <c r="V949" s="686"/>
      <c r="W949" s="686"/>
      <c r="X949" s="686"/>
      <c r="Y949" s="686"/>
      <c r="Z949" s="686"/>
      <c r="AA949" s="686"/>
      <c r="AB949" s="686"/>
      <c r="AC949" s="686"/>
      <c r="AD949" s="686"/>
      <c r="AE949" s="686"/>
      <c r="AF949" s="686"/>
    </row>
    <row r="950" ht="15.75" customHeight="1">
      <c r="A950" s="683"/>
      <c r="B950" s="683"/>
      <c r="C950" s="684"/>
      <c r="D950" s="684"/>
      <c r="E950" s="684"/>
      <c r="F950" s="683"/>
      <c r="G950" s="683"/>
      <c r="H950" s="683"/>
      <c r="I950" s="683"/>
      <c r="J950" s="683"/>
      <c r="K950" s="683"/>
      <c r="L950" s="685"/>
      <c r="M950" s="685"/>
      <c r="N950" s="687"/>
      <c r="O950" s="683"/>
      <c r="P950" s="683"/>
      <c r="Q950" s="686"/>
      <c r="R950" s="686"/>
      <c r="S950" s="686"/>
      <c r="T950" s="686"/>
      <c r="U950" s="686"/>
      <c r="V950" s="686"/>
      <c r="W950" s="686"/>
      <c r="X950" s="686"/>
      <c r="Y950" s="686"/>
      <c r="Z950" s="686"/>
      <c r="AA950" s="686"/>
      <c r="AB950" s="686"/>
      <c r="AC950" s="686"/>
      <c r="AD950" s="686"/>
      <c r="AE950" s="686"/>
      <c r="AF950" s="686"/>
    </row>
    <row r="951" ht="15.75" customHeight="1">
      <c r="A951" s="683"/>
      <c r="B951" s="683"/>
      <c r="C951" s="684"/>
      <c r="D951" s="684"/>
      <c r="E951" s="684"/>
      <c r="F951" s="683"/>
      <c r="G951" s="683"/>
      <c r="H951" s="683"/>
      <c r="I951" s="683"/>
      <c r="J951" s="683"/>
      <c r="K951" s="683"/>
      <c r="L951" s="685"/>
      <c r="M951" s="685"/>
      <c r="N951" s="687"/>
      <c r="O951" s="683"/>
      <c r="P951" s="683"/>
      <c r="Q951" s="686"/>
      <c r="R951" s="686"/>
      <c r="S951" s="686"/>
      <c r="T951" s="686"/>
      <c r="U951" s="686"/>
      <c r="V951" s="686"/>
      <c r="W951" s="686"/>
      <c r="X951" s="686"/>
      <c r="Y951" s="686"/>
      <c r="Z951" s="686"/>
      <c r="AA951" s="686"/>
      <c r="AB951" s="686"/>
      <c r="AC951" s="686"/>
      <c r="AD951" s="686"/>
      <c r="AE951" s="686"/>
      <c r="AF951" s="686"/>
    </row>
    <row r="952" ht="15.75" customHeight="1">
      <c r="A952" s="683"/>
      <c r="B952" s="683"/>
      <c r="C952" s="684"/>
      <c r="D952" s="684"/>
      <c r="E952" s="684"/>
      <c r="F952" s="683"/>
      <c r="G952" s="683"/>
      <c r="H952" s="683"/>
      <c r="I952" s="683"/>
      <c r="J952" s="683"/>
      <c r="K952" s="683"/>
      <c r="L952" s="685"/>
      <c r="M952" s="685"/>
      <c r="N952" s="687"/>
      <c r="O952" s="683"/>
      <c r="P952" s="683"/>
      <c r="Q952" s="686"/>
      <c r="R952" s="686"/>
      <c r="S952" s="686"/>
      <c r="T952" s="686"/>
      <c r="U952" s="686"/>
      <c r="V952" s="686"/>
      <c r="W952" s="686"/>
      <c r="X952" s="686"/>
      <c r="Y952" s="686"/>
      <c r="Z952" s="686"/>
      <c r="AA952" s="686"/>
      <c r="AB952" s="686"/>
      <c r="AC952" s="686"/>
      <c r="AD952" s="686"/>
      <c r="AE952" s="686"/>
      <c r="AF952" s="686"/>
    </row>
    <row r="953" ht="15.75" customHeight="1">
      <c r="A953" s="683"/>
      <c r="B953" s="683"/>
      <c r="C953" s="684"/>
      <c r="D953" s="684"/>
      <c r="E953" s="684"/>
      <c r="F953" s="683"/>
      <c r="G953" s="683"/>
      <c r="H953" s="683"/>
      <c r="I953" s="683"/>
      <c r="J953" s="683"/>
      <c r="K953" s="683"/>
      <c r="L953" s="685"/>
      <c r="M953" s="685"/>
      <c r="N953" s="687"/>
      <c r="O953" s="683"/>
      <c r="P953" s="683"/>
      <c r="Q953" s="686"/>
      <c r="R953" s="686"/>
      <c r="S953" s="686"/>
      <c r="T953" s="686"/>
      <c r="U953" s="686"/>
      <c r="V953" s="686"/>
      <c r="W953" s="686"/>
      <c r="X953" s="686"/>
      <c r="Y953" s="686"/>
      <c r="Z953" s="686"/>
      <c r="AA953" s="686"/>
      <c r="AB953" s="686"/>
      <c r="AC953" s="686"/>
      <c r="AD953" s="686"/>
      <c r="AE953" s="686"/>
      <c r="AF953" s="686"/>
    </row>
    <row r="954" ht="15.75" customHeight="1">
      <c r="A954" s="683"/>
      <c r="B954" s="683"/>
      <c r="C954" s="684"/>
      <c r="D954" s="684"/>
      <c r="E954" s="684"/>
      <c r="F954" s="683"/>
      <c r="G954" s="683"/>
      <c r="H954" s="683"/>
      <c r="I954" s="683"/>
      <c r="J954" s="683"/>
      <c r="K954" s="683"/>
      <c r="L954" s="685"/>
      <c r="M954" s="685"/>
      <c r="N954" s="687"/>
      <c r="O954" s="683"/>
      <c r="P954" s="683"/>
      <c r="Q954" s="686"/>
      <c r="R954" s="686"/>
      <c r="S954" s="686"/>
      <c r="T954" s="686"/>
      <c r="U954" s="686"/>
      <c r="V954" s="686"/>
      <c r="W954" s="686"/>
      <c r="X954" s="686"/>
      <c r="Y954" s="686"/>
      <c r="Z954" s="686"/>
      <c r="AA954" s="686"/>
      <c r="AB954" s="686"/>
      <c r="AC954" s="686"/>
      <c r="AD954" s="686"/>
      <c r="AE954" s="686"/>
      <c r="AF954" s="686"/>
    </row>
    <row r="955" ht="15.75" customHeight="1">
      <c r="A955" s="683"/>
      <c r="B955" s="683"/>
      <c r="C955" s="684"/>
      <c r="D955" s="684"/>
      <c r="E955" s="684"/>
      <c r="F955" s="683"/>
      <c r="G955" s="683"/>
      <c r="H955" s="683"/>
      <c r="I955" s="683"/>
      <c r="J955" s="683"/>
      <c r="K955" s="683"/>
      <c r="L955" s="685"/>
      <c r="M955" s="685"/>
      <c r="N955" s="687"/>
      <c r="O955" s="683"/>
      <c r="P955" s="683"/>
      <c r="Q955" s="686"/>
      <c r="R955" s="686"/>
      <c r="S955" s="686"/>
      <c r="T955" s="686"/>
      <c r="U955" s="686"/>
      <c r="V955" s="686"/>
      <c r="W955" s="686"/>
      <c r="X955" s="686"/>
      <c r="Y955" s="686"/>
      <c r="Z955" s="686"/>
      <c r="AA955" s="686"/>
      <c r="AB955" s="686"/>
      <c r="AC955" s="686"/>
      <c r="AD955" s="686"/>
      <c r="AE955" s="686"/>
      <c r="AF955" s="686"/>
    </row>
    <row r="956" ht="15.75" customHeight="1">
      <c r="A956" s="683"/>
      <c r="B956" s="683"/>
      <c r="C956" s="684"/>
      <c r="D956" s="684"/>
      <c r="E956" s="684"/>
      <c r="F956" s="683"/>
      <c r="G956" s="683"/>
      <c r="H956" s="683"/>
      <c r="I956" s="683"/>
      <c r="J956" s="683"/>
      <c r="K956" s="683"/>
      <c r="L956" s="685"/>
      <c r="M956" s="685"/>
      <c r="N956" s="687"/>
      <c r="O956" s="683"/>
      <c r="P956" s="683"/>
      <c r="Q956" s="686"/>
      <c r="R956" s="686"/>
      <c r="S956" s="686"/>
      <c r="T956" s="686"/>
      <c r="U956" s="686"/>
      <c r="V956" s="686"/>
      <c r="W956" s="686"/>
      <c r="X956" s="686"/>
      <c r="Y956" s="686"/>
      <c r="Z956" s="686"/>
      <c r="AA956" s="686"/>
      <c r="AB956" s="686"/>
      <c r="AC956" s="686"/>
      <c r="AD956" s="686"/>
      <c r="AE956" s="686"/>
      <c r="AF956" s="686"/>
    </row>
    <row r="957" ht="15.75" customHeight="1">
      <c r="A957" s="683"/>
      <c r="B957" s="683"/>
      <c r="C957" s="684"/>
      <c r="D957" s="684"/>
      <c r="E957" s="684"/>
      <c r="F957" s="683"/>
      <c r="G957" s="683"/>
      <c r="H957" s="683"/>
      <c r="I957" s="683"/>
      <c r="J957" s="683"/>
      <c r="K957" s="683"/>
      <c r="L957" s="685"/>
      <c r="M957" s="685"/>
      <c r="N957" s="687"/>
      <c r="O957" s="683"/>
      <c r="P957" s="683"/>
      <c r="Q957" s="686"/>
      <c r="R957" s="686"/>
      <c r="S957" s="686"/>
      <c r="T957" s="686"/>
      <c r="U957" s="686"/>
      <c r="V957" s="686"/>
      <c r="W957" s="686"/>
      <c r="X957" s="686"/>
      <c r="Y957" s="686"/>
      <c r="Z957" s="686"/>
      <c r="AA957" s="686"/>
      <c r="AB957" s="686"/>
      <c r="AC957" s="686"/>
      <c r="AD957" s="686"/>
      <c r="AE957" s="686"/>
      <c r="AF957" s="686"/>
    </row>
    <row r="958" ht="15.75" customHeight="1">
      <c r="A958" s="683"/>
      <c r="B958" s="683"/>
      <c r="C958" s="684"/>
      <c r="D958" s="684"/>
      <c r="E958" s="684"/>
      <c r="F958" s="683"/>
      <c r="G958" s="683"/>
      <c r="H958" s="683"/>
      <c r="I958" s="683"/>
      <c r="J958" s="683"/>
      <c r="K958" s="683"/>
      <c r="L958" s="685"/>
      <c r="M958" s="685"/>
      <c r="N958" s="687"/>
      <c r="O958" s="683"/>
      <c r="P958" s="683"/>
      <c r="Q958" s="686"/>
      <c r="R958" s="686"/>
      <c r="S958" s="686"/>
      <c r="T958" s="686"/>
      <c r="U958" s="686"/>
      <c r="V958" s="686"/>
      <c r="W958" s="686"/>
      <c r="X958" s="686"/>
      <c r="Y958" s="686"/>
      <c r="Z958" s="686"/>
      <c r="AA958" s="686"/>
      <c r="AB958" s="686"/>
      <c r="AC958" s="686"/>
      <c r="AD958" s="686"/>
      <c r="AE958" s="686"/>
      <c r="AF958" s="686"/>
    </row>
    <row r="959" ht="15.75" customHeight="1">
      <c r="A959" s="683"/>
      <c r="B959" s="683"/>
      <c r="C959" s="684"/>
      <c r="D959" s="684"/>
      <c r="E959" s="684"/>
      <c r="F959" s="683"/>
      <c r="G959" s="683"/>
      <c r="H959" s="683"/>
      <c r="I959" s="683"/>
      <c r="J959" s="683"/>
      <c r="K959" s="683"/>
      <c r="L959" s="685"/>
      <c r="M959" s="685"/>
      <c r="N959" s="687"/>
      <c r="O959" s="683"/>
      <c r="P959" s="683"/>
      <c r="Q959" s="686"/>
      <c r="R959" s="686"/>
      <c r="S959" s="686"/>
      <c r="T959" s="686"/>
      <c r="U959" s="686"/>
      <c r="V959" s="686"/>
      <c r="W959" s="686"/>
      <c r="X959" s="686"/>
      <c r="Y959" s="686"/>
      <c r="Z959" s="686"/>
      <c r="AA959" s="686"/>
      <c r="AB959" s="686"/>
      <c r="AC959" s="686"/>
      <c r="AD959" s="686"/>
      <c r="AE959" s="686"/>
      <c r="AF959" s="686"/>
    </row>
    <row r="960" ht="15.75" customHeight="1">
      <c r="A960" s="683"/>
      <c r="B960" s="683"/>
      <c r="C960" s="684"/>
      <c r="D960" s="684"/>
      <c r="E960" s="684"/>
      <c r="F960" s="683"/>
      <c r="G960" s="683"/>
      <c r="H960" s="683"/>
      <c r="I960" s="683"/>
      <c r="J960" s="683"/>
      <c r="K960" s="683"/>
      <c r="L960" s="685"/>
      <c r="M960" s="685"/>
      <c r="N960" s="687"/>
      <c r="O960" s="683"/>
      <c r="P960" s="683"/>
      <c r="Q960" s="686"/>
      <c r="R960" s="686"/>
      <c r="S960" s="686"/>
      <c r="T960" s="686"/>
      <c r="U960" s="686"/>
      <c r="V960" s="686"/>
      <c r="W960" s="686"/>
      <c r="X960" s="686"/>
      <c r="Y960" s="686"/>
      <c r="Z960" s="686"/>
      <c r="AA960" s="686"/>
      <c r="AB960" s="686"/>
      <c r="AC960" s="686"/>
      <c r="AD960" s="686"/>
      <c r="AE960" s="686"/>
      <c r="AF960" s="686"/>
    </row>
    <row r="961" ht="15.75" customHeight="1">
      <c r="A961" s="683"/>
      <c r="B961" s="683"/>
      <c r="C961" s="684"/>
      <c r="D961" s="684"/>
      <c r="E961" s="684"/>
      <c r="F961" s="683"/>
      <c r="G961" s="683"/>
      <c r="H961" s="683"/>
      <c r="I961" s="683"/>
      <c r="J961" s="683"/>
      <c r="K961" s="683"/>
      <c r="L961" s="685"/>
      <c r="M961" s="685"/>
      <c r="N961" s="687"/>
      <c r="O961" s="683"/>
      <c r="P961" s="685"/>
      <c r="Q961" s="686"/>
      <c r="R961" s="686"/>
      <c r="S961" s="686"/>
      <c r="T961" s="686"/>
      <c r="U961" s="686"/>
      <c r="V961" s="686"/>
      <c r="W961" s="686"/>
      <c r="X961" s="686"/>
      <c r="Y961" s="686"/>
      <c r="Z961" s="686"/>
      <c r="AA961" s="686"/>
      <c r="AB961" s="686"/>
      <c r="AC961" s="686"/>
      <c r="AD961" s="686"/>
      <c r="AE961" s="686"/>
      <c r="AF961" s="686"/>
    </row>
    <row r="962" ht="15.75" customHeight="1">
      <c r="A962" s="683"/>
      <c r="B962" s="683"/>
      <c r="C962" s="684"/>
      <c r="D962" s="684"/>
      <c r="E962" s="684"/>
      <c r="F962" s="683"/>
      <c r="G962" s="683"/>
      <c r="H962" s="683"/>
      <c r="I962" s="683"/>
      <c r="J962" s="683"/>
      <c r="K962" s="683"/>
      <c r="L962" s="685"/>
      <c r="M962" s="685"/>
      <c r="N962" s="687"/>
      <c r="O962" s="683"/>
      <c r="P962" s="683"/>
      <c r="Q962" s="686"/>
      <c r="R962" s="686"/>
      <c r="S962" s="686"/>
      <c r="T962" s="686"/>
      <c r="U962" s="686"/>
      <c r="V962" s="686"/>
      <c r="W962" s="686"/>
      <c r="X962" s="686"/>
      <c r="Y962" s="686"/>
      <c r="Z962" s="686"/>
      <c r="AA962" s="686"/>
      <c r="AB962" s="686"/>
      <c r="AC962" s="686"/>
      <c r="AD962" s="686"/>
      <c r="AE962" s="686"/>
      <c r="AF962" s="686"/>
    </row>
    <row r="963" ht="15.75" customHeight="1">
      <c r="A963" s="683"/>
      <c r="B963" s="683"/>
      <c r="C963" s="684"/>
      <c r="D963" s="684"/>
      <c r="E963" s="684"/>
      <c r="F963" s="683"/>
      <c r="G963" s="683"/>
      <c r="H963" s="683"/>
      <c r="I963" s="683"/>
      <c r="J963" s="683"/>
      <c r="K963" s="683"/>
      <c r="L963" s="685"/>
      <c r="M963" s="685"/>
      <c r="N963" s="687"/>
      <c r="O963" s="683"/>
      <c r="P963" s="683"/>
      <c r="Q963" s="686"/>
      <c r="R963" s="686"/>
      <c r="S963" s="686"/>
      <c r="T963" s="686"/>
      <c r="U963" s="686"/>
      <c r="V963" s="686"/>
      <c r="W963" s="686"/>
      <c r="X963" s="686"/>
      <c r="Y963" s="686"/>
      <c r="Z963" s="686"/>
      <c r="AA963" s="686"/>
      <c r="AB963" s="686"/>
      <c r="AC963" s="686"/>
      <c r="AD963" s="686"/>
      <c r="AE963" s="686"/>
      <c r="AF963" s="686"/>
    </row>
    <row r="964" ht="15.75" customHeight="1">
      <c r="A964" s="683"/>
      <c r="B964" s="683"/>
      <c r="C964" s="684"/>
      <c r="D964" s="684"/>
      <c r="E964" s="684"/>
      <c r="F964" s="683"/>
      <c r="G964" s="683"/>
      <c r="H964" s="683"/>
      <c r="I964" s="683"/>
      <c r="J964" s="683"/>
      <c r="K964" s="683"/>
      <c r="L964" s="685"/>
      <c r="M964" s="685"/>
      <c r="N964" s="687"/>
      <c r="O964" s="683"/>
      <c r="P964" s="683"/>
      <c r="Q964" s="686"/>
      <c r="R964" s="686"/>
      <c r="S964" s="686"/>
      <c r="T964" s="686"/>
      <c r="U964" s="686"/>
      <c r="V964" s="686"/>
      <c r="W964" s="686"/>
      <c r="X964" s="686"/>
      <c r="Y964" s="686"/>
      <c r="Z964" s="686"/>
      <c r="AA964" s="686"/>
      <c r="AB964" s="686"/>
      <c r="AC964" s="686"/>
      <c r="AD964" s="686"/>
      <c r="AE964" s="686"/>
      <c r="AF964" s="686"/>
    </row>
    <row r="965" ht="15.75" customHeight="1">
      <c r="A965" s="683"/>
      <c r="B965" s="683"/>
      <c r="C965" s="684"/>
      <c r="D965" s="684"/>
      <c r="E965" s="684"/>
      <c r="F965" s="683"/>
      <c r="G965" s="683"/>
      <c r="H965" s="683"/>
      <c r="I965" s="683"/>
      <c r="J965" s="683"/>
      <c r="K965" s="683"/>
      <c r="L965" s="685"/>
      <c r="M965" s="685"/>
      <c r="N965" s="687"/>
      <c r="O965" s="683"/>
      <c r="P965" s="683"/>
      <c r="Q965" s="686"/>
      <c r="R965" s="686"/>
      <c r="S965" s="686"/>
      <c r="T965" s="686"/>
      <c r="U965" s="686"/>
      <c r="V965" s="686"/>
      <c r="W965" s="686"/>
      <c r="X965" s="686"/>
      <c r="Y965" s="686"/>
      <c r="Z965" s="686"/>
      <c r="AA965" s="686"/>
      <c r="AB965" s="686"/>
      <c r="AC965" s="686"/>
      <c r="AD965" s="686"/>
      <c r="AE965" s="686"/>
      <c r="AF965" s="686"/>
    </row>
    <row r="966" ht="15.75" customHeight="1">
      <c r="A966" s="683"/>
      <c r="B966" s="683"/>
      <c r="C966" s="684"/>
      <c r="D966" s="684"/>
      <c r="E966" s="684"/>
      <c r="F966" s="683"/>
      <c r="G966" s="683"/>
      <c r="H966" s="683"/>
      <c r="I966" s="683"/>
      <c r="J966" s="683"/>
      <c r="K966" s="683"/>
      <c r="L966" s="685"/>
      <c r="M966" s="685"/>
      <c r="N966" s="687"/>
      <c r="O966" s="683"/>
      <c r="P966" s="683"/>
      <c r="Q966" s="686"/>
      <c r="R966" s="686"/>
      <c r="S966" s="686"/>
      <c r="T966" s="686"/>
      <c r="U966" s="686"/>
      <c r="V966" s="686"/>
      <c r="W966" s="686"/>
      <c r="X966" s="686"/>
      <c r="Y966" s="686"/>
      <c r="Z966" s="686"/>
      <c r="AA966" s="686"/>
      <c r="AB966" s="686"/>
      <c r="AC966" s="686"/>
      <c r="AD966" s="686"/>
      <c r="AE966" s="686"/>
      <c r="AF966" s="686"/>
    </row>
    <row r="967" ht="15.75" customHeight="1">
      <c r="A967" s="683"/>
      <c r="B967" s="683"/>
      <c r="C967" s="684"/>
      <c r="D967" s="684"/>
      <c r="E967" s="684"/>
      <c r="F967" s="683"/>
      <c r="G967" s="683"/>
      <c r="H967" s="683"/>
      <c r="I967" s="683"/>
      <c r="J967" s="683"/>
      <c r="K967" s="683"/>
      <c r="L967" s="685"/>
      <c r="M967" s="685"/>
      <c r="N967" s="687"/>
      <c r="O967" s="683"/>
      <c r="P967" s="683"/>
      <c r="Q967" s="686"/>
      <c r="R967" s="686"/>
      <c r="S967" s="686"/>
      <c r="T967" s="686"/>
      <c r="U967" s="686"/>
      <c r="V967" s="686"/>
      <c r="W967" s="686"/>
      <c r="X967" s="686"/>
      <c r="Y967" s="686"/>
      <c r="Z967" s="686"/>
      <c r="AA967" s="686"/>
      <c r="AB967" s="686"/>
      <c r="AC967" s="686"/>
      <c r="AD967" s="686"/>
      <c r="AE967" s="686"/>
      <c r="AF967" s="686"/>
    </row>
    <row r="968" ht="15.75" customHeight="1">
      <c r="A968" s="683"/>
      <c r="B968" s="683"/>
      <c r="C968" s="684"/>
      <c r="D968" s="684"/>
      <c r="E968" s="684"/>
      <c r="F968" s="683"/>
      <c r="G968" s="683"/>
      <c r="H968" s="683"/>
      <c r="I968" s="683"/>
      <c r="J968" s="683"/>
      <c r="K968" s="683"/>
      <c r="L968" s="685"/>
      <c r="M968" s="685"/>
      <c r="N968" s="687"/>
      <c r="O968" s="683"/>
      <c r="P968" s="683"/>
      <c r="Q968" s="686"/>
      <c r="R968" s="686"/>
      <c r="S968" s="686"/>
      <c r="T968" s="686"/>
      <c r="U968" s="686"/>
      <c r="V968" s="686"/>
      <c r="W968" s="686"/>
      <c r="X968" s="686"/>
      <c r="Y968" s="686"/>
      <c r="Z968" s="686"/>
      <c r="AA968" s="686"/>
      <c r="AB968" s="686"/>
      <c r="AC968" s="686"/>
      <c r="AD968" s="686"/>
      <c r="AE968" s="686"/>
      <c r="AF968" s="686"/>
    </row>
    <row r="969" ht="15.75" customHeight="1">
      <c r="A969" s="683"/>
      <c r="B969" s="683"/>
      <c r="C969" s="684"/>
      <c r="D969" s="684"/>
      <c r="E969" s="684"/>
      <c r="F969" s="683"/>
      <c r="G969" s="683"/>
      <c r="H969" s="683"/>
      <c r="I969" s="683"/>
      <c r="J969" s="683"/>
      <c r="K969" s="683"/>
      <c r="L969" s="685"/>
      <c r="M969" s="685"/>
      <c r="N969" s="687"/>
      <c r="O969" s="683"/>
      <c r="P969" s="683"/>
      <c r="Q969" s="686"/>
      <c r="R969" s="686"/>
      <c r="S969" s="686"/>
      <c r="T969" s="686"/>
      <c r="U969" s="686"/>
      <c r="V969" s="686"/>
      <c r="W969" s="686"/>
      <c r="X969" s="686"/>
      <c r="Y969" s="686"/>
      <c r="Z969" s="686"/>
      <c r="AA969" s="686"/>
      <c r="AB969" s="686"/>
      <c r="AC969" s="686"/>
      <c r="AD969" s="686"/>
      <c r="AE969" s="686"/>
      <c r="AF969" s="686"/>
    </row>
    <row r="970" ht="15.75" customHeight="1">
      <c r="A970" s="683"/>
      <c r="B970" s="683"/>
      <c r="C970" s="684"/>
      <c r="D970" s="684"/>
      <c r="E970" s="684"/>
      <c r="F970" s="683"/>
      <c r="G970" s="683"/>
      <c r="H970" s="683"/>
      <c r="I970" s="683"/>
      <c r="J970" s="683"/>
      <c r="K970" s="683"/>
      <c r="L970" s="685"/>
      <c r="M970" s="685"/>
      <c r="N970" s="687"/>
      <c r="O970" s="683"/>
      <c r="P970" s="683"/>
      <c r="Q970" s="686"/>
      <c r="R970" s="686"/>
      <c r="S970" s="686"/>
      <c r="T970" s="686"/>
      <c r="U970" s="686"/>
      <c r="V970" s="686"/>
      <c r="W970" s="686"/>
      <c r="X970" s="686"/>
      <c r="Y970" s="686"/>
      <c r="Z970" s="686"/>
      <c r="AA970" s="686"/>
      <c r="AB970" s="686"/>
      <c r="AC970" s="686"/>
      <c r="AD970" s="686"/>
      <c r="AE970" s="686"/>
      <c r="AF970" s="686"/>
    </row>
    <row r="971" ht="15.75" customHeight="1">
      <c r="A971" s="683"/>
      <c r="B971" s="683"/>
      <c r="C971" s="684"/>
      <c r="D971" s="684"/>
      <c r="E971" s="684"/>
      <c r="F971" s="683"/>
      <c r="G971" s="683"/>
      <c r="H971" s="683"/>
      <c r="I971" s="683"/>
      <c r="J971" s="683"/>
      <c r="K971" s="683"/>
      <c r="L971" s="685"/>
      <c r="M971" s="685"/>
      <c r="N971" s="687"/>
      <c r="O971" s="683"/>
      <c r="P971" s="683"/>
      <c r="Q971" s="686"/>
      <c r="R971" s="686"/>
      <c r="S971" s="686"/>
      <c r="T971" s="686"/>
      <c r="U971" s="686"/>
      <c r="V971" s="686"/>
      <c r="W971" s="686"/>
      <c r="X971" s="686"/>
      <c r="Y971" s="686"/>
      <c r="Z971" s="686"/>
      <c r="AA971" s="686"/>
      <c r="AB971" s="686"/>
      <c r="AC971" s="686"/>
      <c r="AD971" s="686"/>
      <c r="AE971" s="686"/>
      <c r="AF971" s="686"/>
    </row>
    <row r="972" ht="15.75" customHeight="1">
      <c r="A972" s="683"/>
      <c r="B972" s="683"/>
      <c r="C972" s="684"/>
      <c r="D972" s="684"/>
      <c r="E972" s="684"/>
      <c r="F972" s="683"/>
      <c r="G972" s="683"/>
      <c r="H972" s="683"/>
      <c r="I972" s="683"/>
      <c r="J972" s="683"/>
      <c r="K972" s="683"/>
      <c r="L972" s="685"/>
      <c r="M972" s="685"/>
      <c r="N972" s="687"/>
      <c r="O972" s="683"/>
      <c r="P972" s="683"/>
      <c r="Q972" s="686"/>
      <c r="R972" s="686"/>
      <c r="S972" s="686"/>
      <c r="T972" s="686"/>
      <c r="U972" s="686"/>
      <c r="V972" s="686"/>
      <c r="W972" s="686"/>
      <c r="X972" s="686"/>
      <c r="Y972" s="686"/>
      <c r="Z972" s="686"/>
      <c r="AA972" s="686"/>
      <c r="AB972" s="686"/>
      <c r="AC972" s="686"/>
      <c r="AD972" s="686"/>
      <c r="AE972" s="686"/>
      <c r="AF972" s="686"/>
    </row>
    <row r="973" ht="15.75" customHeight="1">
      <c r="A973" s="683"/>
      <c r="B973" s="683"/>
      <c r="C973" s="684"/>
      <c r="D973" s="684"/>
      <c r="E973" s="684"/>
      <c r="F973" s="683"/>
      <c r="G973" s="683"/>
      <c r="H973" s="683"/>
      <c r="I973" s="683"/>
      <c r="J973" s="683"/>
      <c r="K973" s="683"/>
      <c r="L973" s="685"/>
      <c r="M973" s="685"/>
      <c r="N973" s="687"/>
      <c r="O973" s="683"/>
      <c r="P973" s="683"/>
      <c r="Q973" s="686"/>
      <c r="R973" s="686"/>
      <c r="S973" s="686"/>
      <c r="T973" s="686"/>
      <c r="U973" s="686"/>
      <c r="V973" s="686"/>
      <c r="W973" s="686"/>
      <c r="X973" s="686"/>
      <c r="Y973" s="686"/>
      <c r="Z973" s="686"/>
      <c r="AA973" s="686"/>
      <c r="AB973" s="686"/>
      <c r="AC973" s="686"/>
      <c r="AD973" s="686"/>
      <c r="AE973" s="686"/>
      <c r="AF973" s="686"/>
    </row>
    <row r="974" ht="15.75" customHeight="1">
      <c r="A974" s="683"/>
      <c r="B974" s="683"/>
      <c r="C974" s="684"/>
      <c r="D974" s="684"/>
      <c r="E974" s="684"/>
      <c r="F974" s="683"/>
      <c r="G974" s="683"/>
      <c r="H974" s="683"/>
      <c r="I974" s="683"/>
      <c r="J974" s="683"/>
      <c r="K974" s="683"/>
      <c r="L974" s="685"/>
      <c r="M974" s="685"/>
      <c r="N974" s="687"/>
      <c r="O974" s="683"/>
      <c r="P974" s="683"/>
      <c r="Q974" s="686"/>
      <c r="R974" s="686"/>
      <c r="S974" s="686"/>
      <c r="T974" s="686"/>
      <c r="U974" s="686"/>
      <c r="V974" s="686"/>
      <c r="W974" s="686"/>
      <c r="X974" s="686"/>
      <c r="Y974" s="686"/>
      <c r="Z974" s="686"/>
      <c r="AA974" s="686"/>
      <c r="AB974" s="686"/>
      <c r="AC974" s="686"/>
      <c r="AD974" s="686"/>
      <c r="AE974" s="686"/>
      <c r="AF974" s="686"/>
    </row>
    <row r="975" ht="15.75" customHeight="1">
      <c r="A975" s="683"/>
      <c r="B975" s="683"/>
      <c r="C975" s="684"/>
      <c r="D975" s="684"/>
      <c r="E975" s="684"/>
      <c r="F975" s="683"/>
      <c r="G975" s="683"/>
      <c r="H975" s="683"/>
      <c r="I975" s="683"/>
      <c r="J975" s="683"/>
      <c r="K975" s="683"/>
      <c r="L975" s="685"/>
      <c r="M975" s="685"/>
      <c r="N975" s="687"/>
      <c r="O975" s="683"/>
      <c r="P975" s="683"/>
      <c r="Q975" s="686"/>
      <c r="R975" s="686"/>
      <c r="S975" s="686"/>
      <c r="T975" s="686"/>
      <c r="U975" s="686"/>
      <c r="V975" s="686"/>
      <c r="W975" s="686"/>
      <c r="X975" s="686"/>
      <c r="Y975" s="686"/>
      <c r="Z975" s="686"/>
      <c r="AA975" s="686"/>
      <c r="AB975" s="686"/>
      <c r="AC975" s="686"/>
      <c r="AD975" s="686"/>
      <c r="AE975" s="686"/>
      <c r="AF975" s="686"/>
    </row>
    <row r="976" ht="15.75" customHeight="1">
      <c r="A976" s="683"/>
      <c r="B976" s="683"/>
      <c r="C976" s="684"/>
      <c r="D976" s="684"/>
      <c r="E976" s="684"/>
      <c r="F976" s="683"/>
      <c r="G976" s="683"/>
      <c r="H976" s="683"/>
      <c r="I976" s="683"/>
      <c r="J976" s="683"/>
      <c r="K976" s="683"/>
      <c r="L976" s="685"/>
      <c r="M976" s="685"/>
      <c r="N976" s="687"/>
      <c r="O976" s="683"/>
      <c r="P976" s="683"/>
      <c r="Q976" s="686"/>
      <c r="R976" s="686"/>
      <c r="S976" s="686"/>
      <c r="T976" s="686"/>
      <c r="U976" s="686"/>
      <c r="V976" s="686"/>
      <c r="W976" s="686"/>
      <c r="X976" s="686"/>
      <c r="Y976" s="686"/>
      <c r="Z976" s="686"/>
      <c r="AA976" s="686"/>
      <c r="AB976" s="686"/>
      <c r="AC976" s="686"/>
      <c r="AD976" s="686"/>
      <c r="AE976" s="686"/>
      <c r="AF976" s="686"/>
    </row>
    <row r="977" ht="15.75" customHeight="1">
      <c r="A977" s="683"/>
      <c r="B977" s="683"/>
      <c r="C977" s="684"/>
      <c r="D977" s="684"/>
      <c r="E977" s="684"/>
      <c r="F977" s="683"/>
      <c r="G977" s="683"/>
      <c r="H977" s="683"/>
      <c r="I977" s="683"/>
      <c r="J977" s="683"/>
      <c r="K977" s="683"/>
      <c r="L977" s="685"/>
      <c r="M977" s="685"/>
      <c r="N977" s="687"/>
      <c r="O977" s="683"/>
      <c r="P977" s="683"/>
      <c r="Q977" s="686"/>
      <c r="R977" s="686"/>
      <c r="S977" s="686"/>
      <c r="T977" s="686"/>
      <c r="U977" s="686"/>
      <c r="V977" s="686"/>
      <c r="W977" s="686"/>
      <c r="X977" s="686"/>
      <c r="Y977" s="686"/>
      <c r="Z977" s="686"/>
      <c r="AA977" s="686"/>
      <c r="AB977" s="686"/>
      <c r="AC977" s="686"/>
      <c r="AD977" s="686"/>
      <c r="AE977" s="686"/>
      <c r="AF977" s="686"/>
    </row>
    <row r="978" ht="15.75" customHeight="1">
      <c r="A978" s="683"/>
      <c r="B978" s="683"/>
      <c r="C978" s="684"/>
      <c r="D978" s="684"/>
      <c r="E978" s="684"/>
      <c r="F978" s="683"/>
      <c r="G978" s="683"/>
      <c r="H978" s="683"/>
      <c r="I978" s="683"/>
      <c r="J978" s="683"/>
      <c r="K978" s="683"/>
      <c r="L978" s="685"/>
      <c r="M978" s="685"/>
      <c r="N978" s="687"/>
      <c r="O978" s="683"/>
      <c r="P978" s="683"/>
      <c r="Q978" s="686"/>
      <c r="R978" s="686"/>
      <c r="S978" s="686"/>
      <c r="T978" s="686"/>
      <c r="U978" s="686"/>
      <c r="V978" s="686"/>
      <c r="W978" s="686"/>
      <c r="X978" s="686"/>
      <c r="Y978" s="686"/>
      <c r="Z978" s="686"/>
      <c r="AA978" s="686"/>
      <c r="AB978" s="686"/>
      <c r="AC978" s="686"/>
      <c r="AD978" s="686"/>
      <c r="AE978" s="686"/>
      <c r="AF978" s="686"/>
    </row>
    <row r="979" ht="15.75" customHeight="1">
      <c r="A979" s="683"/>
      <c r="B979" s="683"/>
      <c r="C979" s="684"/>
      <c r="D979" s="684"/>
      <c r="E979" s="684"/>
      <c r="F979" s="683"/>
      <c r="G979" s="683"/>
      <c r="H979" s="683"/>
      <c r="I979" s="683"/>
      <c r="J979" s="683"/>
      <c r="K979" s="683"/>
      <c r="L979" s="685"/>
      <c r="M979" s="685"/>
      <c r="N979" s="687"/>
      <c r="O979" s="683"/>
      <c r="P979" s="683"/>
      <c r="Q979" s="686"/>
      <c r="R979" s="686"/>
      <c r="S979" s="686"/>
      <c r="T979" s="686"/>
      <c r="U979" s="686"/>
      <c r="V979" s="686"/>
      <c r="W979" s="686"/>
      <c r="X979" s="686"/>
      <c r="Y979" s="686"/>
      <c r="Z979" s="686"/>
      <c r="AA979" s="686"/>
      <c r="AB979" s="686"/>
      <c r="AC979" s="686"/>
      <c r="AD979" s="686"/>
      <c r="AE979" s="686"/>
      <c r="AF979" s="686"/>
    </row>
    <row r="980" ht="15.75" customHeight="1">
      <c r="A980" s="683"/>
      <c r="B980" s="683"/>
      <c r="C980" s="684"/>
      <c r="D980" s="684"/>
      <c r="E980" s="684"/>
      <c r="F980" s="683"/>
      <c r="G980" s="683"/>
      <c r="H980" s="683"/>
      <c r="I980" s="683"/>
      <c r="J980" s="683"/>
      <c r="K980" s="683"/>
      <c r="L980" s="685"/>
      <c r="M980" s="685"/>
      <c r="N980" s="687"/>
      <c r="O980" s="683"/>
      <c r="P980" s="683"/>
      <c r="Q980" s="686"/>
      <c r="R980" s="686"/>
      <c r="S980" s="686"/>
      <c r="T980" s="686"/>
      <c r="U980" s="686"/>
      <c r="V980" s="686"/>
      <c r="W980" s="686"/>
      <c r="X980" s="686"/>
      <c r="Y980" s="686"/>
      <c r="Z980" s="686"/>
      <c r="AA980" s="686"/>
      <c r="AB980" s="686"/>
      <c r="AC980" s="686"/>
      <c r="AD980" s="686"/>
      <c r="AE980" s="686"/>
      <c r="AF980" s="686"/>
    </row>
    <row r="981" ht="15.75" customHeight="1">
      <c r="A981" s="683"/>
      <c r="B981" s="683"/>
      <c r="C981" s="684"/>
      <c r="D981" s="684"/>
      <c r="E981" s="684"/>
      <c r="F981" s="683"/>
      <c r="G981" s="683"/>
      <c r="H981" s="683"/>
      <c r="I981" s="683"/>
      <c r="J981" s="683"/>
      <c r="K981" s="683"/>
      <c r="L981" s="685"/>
      <c r="M981" s="685"/>
      <c r="N981" s="687"/>
      <c r="O981" s="683"/>
      <c r="P981" s="683"/>
      <c r="Q981" s="686"/>
      <c r="R981" s="686"/>
      <c r="S981" s="686"/>
      <c r="T981" s="686"/>
      <c r="U981" s="686"/>
      <c r="V981" s="686"/>
      <c r="W981" s="686"/>
      <c r="X981" s="686"/>
      <c r="Y981" s="686"/>
      <c r="Z981" s="686"/>
      <c r="AA981" s="686"/>
      <c r="AB981" s="686"/>
      <c r="AC981" s="686"/>
      <c r="AD981" s="686"/>
      <c r="AE981" s="686"/>
      <c r="AF981" s="686"/>
    </row>
    <row r="982" ht="15.75" customHeight="1">
      <c r="A982" s="683"/>
      <c r="B982" s="683"/>
      <c r="C982" s="684"/>
      <c r="D982" s="684"/>
      <c r="E982" s="684"/>
      <c r="F982" s="683"/>
      <c r="G982" s="683"/>
      <c r="H982" s="683"/>
      <c r="I982" s="683"/>
      <c r="J982" s="683"/>
      <c r="K982" s="683"/>
      <c r="L982" s="685"/>
      <c r="M982" s="685"/>
      <c r="N982" s="687"/>
      <c r="O982" s="683"/>
      <c r="P982" s="683"/>
      <c r="Q982" s="686"/>
      <c r="R982" s="686"/>
      <c r="S982" s="686"/>
      <c r="T982" s="686"/>
      <c r="U982" s="686"/>
      <c r="V982" s="686"/>
      <c r="W982" s="686"/>
      <c r="X982" s="686"/>
      <c r="Y982" s="686"/>
      <c r="Z982" s="686"/>
      <c r="AA982" s="686"/>
      <c r="AB982" s="686"/>
      <c r="AC982" s="686"/>
      <c r="AD982" s="686"/>
      <c r="AE982" s="686"/>
      <c r="AF982" s="686"/>
    </row>
    <row r="983" ht="15.75" customHeight="1">
      <c r="A983" s="683"/>
      <c r="B983" s="683"/>
      <c r="C983" s="684"/>
      <c r="D983" s="684"/>
      <c r="E983" s="684"/>
      <c r="F983" s="683"/>
      <c r="G983" s="683"/>
      <c r="H983" s="683"/>
      <c r="I983" s="683"/>
      <c r="J983" s="683"/>
      <c r="K983" s="683"/>
      <c r="L983" s="685"/>
      <c r="M983" s="685"/>
      <c r="N983" s="687"/>
      <c r="O983" s="683"/>
      <c r="P983" s="683"/>
      <c r="Q983" s="686"/>
      <c r="R983" s="686"/>
      <c r="S983" s="686"/>
      <c r="T983" s="686"/>
      <c r="U983" s="686"/>
      <c r="V983" s="686"/>
      <c r="W983" s="686"/>
      <c r="X983" s="686"/>
      <c r="Y983" s="686"/>
      <c r="Z983" s="686"/>
      <c r="AA983" s="686"/>
      <c r="AB983" s="686"/>
      <c r="AC983" s="686"/>
      <c r="AD983" s="686"/>
      <c r="AE983" s="686"/>
      <c r="AF983" s="686"/>
    </row>
    <row r="984" ht="15.75" customHeight="1">
      <c r="A984" s="683"/>
      <c r="B984" s="683"/>
      <c r="C984" s="684"/>
      <c r="D984" s="684"/>
      <c r="E984" s="684"/>
      <c r="F984" s="683"/>
      <c r="G984" s="683"/>
      <c r="H984" s="683"/>
      <c r="I984" s="683"/>
      <c r="J984" s="683"/>
      <c r="K984" s="683"/>
      <c r="L984" s="685"/>
      <c r="M984" s="685"/>
      <c r="N984" s="687"/>
      <c r="O984" s="683"/>
      <c r="P984" s="683"/>
      <c r="Q984" s="686"/>
      <c r="R984" s="686"/>
      <c r="S984" s="686"/>
      <c r="T984" s="686"/>
      <c r="U984" s="686"/>
      <c r="V984" s="686"/>
      <c r="W984" s="686"/>
      <c r="X984" s="686"/>
      <c r="Y984" s="686"/>
      <c r="Z984" s="686"/>
      <c r="AA984" s="686"/>
      <c r="AB984" s="686"/>
      <c r="AC984" s="686"/>
      <c r="AD984" s="686"/>
      <c r="AE984" s="686"/>
      <c r="AF984" s="686"/>
    </row>
    <row r="985" ht="15.75" customHeight="1">
      <c r="A985" s="683"/>
      <c r="B985" s="683"/>
      <c r="C985" s="684"/>
      <c r="D985" s="684"/>
      <c r="E985" s="684"/>
      <c r="F985" s="683"/>
      <c r="G985" s="683"/>
      <c r="H985" s="683"/>
      <c r="I985" s="683"/>
      <c r="J985" s="683"/>
      <c r="K985" s="683"/>
      <c r="L985" s="685"/>
      <c r="M985" s="685"/>
      <c r="N985" s="687"/>
      <c r="O985" s="683"/>
      <c r="P985" s="683"/>
      <c r="Q985" s="686"/>
      <c r="R985" s="686"/>
      <c r="S985" s="686"/>
      <c r="T985" s="686"/>
      <c r="U985" s="686"/>
      <c r="V985" s="686"/>
      <c r="W985" s="686"/>
      <c r="X985" s="686"/>
      <c r="Y985" s="686"/>
      <c r="Z985" s="686"/>
      <c r="AA985" s="686"/>
      <c r="AB985" s="686"/>
      <c r="AC985" s="686"/>
      <c r="AD985" s="686"/>
      <c r="AE985" s="686"/>
      <c r="AF985" s="686"/>
    </row>
    <row r="986" ht="15.75" customHeight="1">
      <c r="A986" s="683"/>
      <c r="B986" s="683"/>
      <c r="C986" s="684"/>
      <c r="D986" s="684"/>
      <c r="E986" s="684"/>
      <c r="F986" s="683"/>
      <c r="G986" s="683"/>
      <c r="H986" s="683"/>
      <c r="I986" s="683"/>
      <c r="J986" s="683"/>
      <c r="K986" s="683"/>
      <c r="L986" s="685"/>
      <c r="M986" s="685"/>
      <c r="N986" s="687"/>
      <c r="O986" s="683"/>
      <c r="P986" s="683"/>
      <c r="Q986" s="686"/>
      <c r="R986" s="686"/>
      <c r="S986" s="686"/>
      <c r="T986" s="686"/>
      <c r="U986" s="686"/>
      <c r="V986" s="686"/>
      <c r="W986" s="686"/>
      <c r="X986" s="686"/>
      <c r="Y986" s="686"/>
      <c r="Z986" s="686"/>
      <c r="AA986" s="686"/>
      <c r="AB986" s="686"/>
      <c r="AC986" s="686"/>
      <c r="AD986" s="686"/>
      <c r="AE986" s="686"/>
      <c r="AF986" s="686"/>
    </row>
    <row r="987" ht="15.75" customHeight="1">
      <c r="A987" s="683"/>
      <c r="B987" s="683"/>
      <c r="C987" s="684"/>
      <c r="D987" s="684"/>
      <c r="E987" s="684"/>
      <c r="F987" s="683"/>
      <c r="G987" s="683"/>
      <c r="H987" s="683"/>
      <c r="I987" s="683"/>
      <c r="J987" s="683"/>
      <c r="K987" s="683"/>
      <c r="L987" s="685"/>
      <c r="M987" s="685"/>
      <c r="N987" s="687"/>
      <c r="O987" s="683"/>
      <c r="P987" s="683"/>
      <c r="Q987" s="686"/>
      <c r="R987" s="686"/>
      <c r="S987" s="686"/>
      <c r="T987" s="686"/>
      <c r="U987" s="686"/>
      <c r="V987" s="686"/>
      <c r="W987" s="686"/>
      <c r="X987" s="686"/>
      <c r="Y987" s="686"/>
      <c r="Z987" s="686"/>
      <c r="AA987" s="686"/>
      <c r="AB987" s="686"/>
      <c r="AC987" s="686"/>
      <c r="AD987" s="686"/>
      <c r="AE987" s="686"/>
      <c r="AF987" s="686"/>
    </row>
    <row r="988" ht="15.75" customHeight="1">
      <c r="A988" s="683"/>
      <c r="B988" s="683"/>
      <c r="C988" s="684"/>
      <c r="D988" s="684"/>
      <c r="E988" s="684"/>
      <c r="F988" s="683"/>
      <c r="G988" s="683"/>
      <c r="H988" s="683"/>
      <c r="I988" s="683"/>
      <c r="J988" s="683"/>
      <c r="K988" s="683"/>
      <c r="L988" s="685"/>
      <c r="M988" s="685"/>
      <c r="N988" s="687"/>
      <c r="O988" s="683"/>
      <c r="P988" s="683"/>
      <c r="Q988" s="686"/>
      <c r="R988" s="686"/>
      <c r="S988" s="686"/>
      <c r="T988" s="686"/>
      <c r="U988" s="686"/>
      <c r="V988" s="686"/>
      <c r="W988" s="686"/>
      <c r="X988" s="686"/>
      <c r="Y988" s="686"/>
      <c r="Z988" s="686"/>
      <c r="AA988" s="686"/>
      <c r="AB988" s="686"/>
      <c r="AC988" s="686"/>
      <c r="AD988" s="686"/>
      <c r="AE988" s="686"/>
      <c r="AF988" s="686"/>
    </row>
    <row r="989" ht="15.75" customHeight="1">
      <c r="A989" s="683"/>
      <c r="B989" s="683"/>
      <c r="C989" s="684"/>
      <c r="D989" s="684"/>
      <c r="E989" s="684"/>
      <c r="F989" s="683"/>
      <c r="G989" s="683"/>
      <c r="H989" s="683"/>
      <c r="I989" s="683"/>
      <c r="J989" s="683"/>
      <c r="K989" s="683"/>
      <c r="L989" s="685"/>
      <c r="M989" s="685"/>
      <c r="N989" s="687"/>
      <c r="O989" s="683"/>
      <c r="P989" s="683"/>
      <c r="Q989" s="686"/>
      <c r="R989" s="686"/>
      <c r="S989" s="686"/>
      <c r="T989" s="686"/>
      <c r="U989" s="686"/>
      <c r="V989" s="686"/>
      <c r="W989" s="686"/>
      <c r="X989" s="686"/>
      <c r="Y989" s="686"/>
      <c r="Z989" s="686"/>
      <c r="AA989" s="686"/>
      <c r="AB989" s="686"/>
      <c r="AC989" s="686"/>
      <c r="AD989" s="686"/>
      <c r="AE989" s="686"/>
      <c r="AF989" s="686"/>
    </row>
    <row r="990" ht="15.75" customHeight="1">
      <c r="A990" s="683"/>
      <c r="B990" s="683"/>
      <c r="C990" s="684"/>
      <c r="D990" s="684"/>
      <c r="E990" s="684"/>
      <c r="F990" s="683"/>
      <c r="G990" s="683"/>
      <c r="H990" s="683"/>
      <c r="I990" s="683"/>
      <c r="J990" s="683"/>
      <c r="K990" s="683"/>
      <c r="L990" s="685"/>
      <c r="M990" s="685"/>
      <c r="N990" s="687"/>
      <c r="O990" s="683"/>
      <c r="P990" s="683"/>
      <c r="Q990" s="686"/>
      <c r="R990" s="686"/>
      <c r="S990" s="686"/>
      <c r="T990" s="686"/>
      <c r="U990" s="686"/>
      <c r="V990" s="686"/>
      <c r="W990" s="686"/>
      <c r="X990" s="686"/>
      <c r="Y990" s="686"/>
      <c r="Z990" s="686"/>
      <c r="AA990" s="686"/>
      <c r="AB990" s="686"/>
      <c r="AC990" s="686"/>
      <c r="AD990" s="686"/>
      <c r="AE990" s="686"/>
      <c r="AF990" s="686"/>
    </row>
    <row r="991" ht="15.75" customHeight="1">
      <c r="A991" s="683"/>
      <c r="B991" s="683"/>
      <c r="C991" s="684"/>
      <c r="D991" s="684"/>
      <c r="E991" s="684"/>
      <c r="F991" s="683"/>
      <c r="G991" s="683"/>
      <c r="H991" s="683"/>
      <c r="I991" s="683"/>
      <c r="J991" s="683"/>
      <c r="K991" s="683"/>
      <c r="L991" s="685"/>
      <c r="M991" s="685"/>
      <c r="N991" s="687"/>
      <c r="O991" s="683"/>
      <c r="P991" s="683"/>
      <c r="Q991" s="686"/>
      <c r="R991" s="686"/>
      <c r="S991" s="686"/>
      <c r="T991" s="686"/>
      <c r="U991" s="686"/>
      <c r="V991" s="686"/>
      <c r="W991" s="686"/>
      <c r="X991" s="686"/>
      <c r="Y991" s="686"/>
      <c r="Z991" s="686"/>
      <c r="AA991" s="686"/>
      <c r="AB991" s="686"/>
      <c r="AC991" s="686"/>
      <c r="AD991" s="686"/>
      <c r="AE991" s="686"/>
      <c r="AF991" s="686"/>
    </row>
    <row r="992" ht="15.75" customHeight="1">
      <c r="A992" s="683"/>
      <c r="B992" s="683"/>
      <c r="C992" s="684"/>
      <c r="D992" s="684"/>
      <c r="E992" s="684"/>
      <c r="F992" s="683"/>
      <c r="G992" s="683"/>
      <c r="H992" s="683"/>
      <c r="I992" s="683"/>
      <c r="J992" s="683"/>
      <c r="K992" s="683"/>
      <c r="L992" s="685"/>
      <c r="M992" s="685"/>
      <c r="N992" s="687"/>
      <c r="O992" s="683"/>
      <c r="P992" s="683"/>
      <c r="Q992" s="686"/>
      <c r="R992" s="686"/>
      <c r="S992" s="686"/>
      <c r="T992" s="686"/>
      <c r="U992" s="686"/>
      <c r="V992" s="686"/>
      <c r="W992" s="686"/>
      <c r="X992" s="686"/>
      <c r="Y992" s="686"/>
      <c r="Z992" s="686"/>
      <c r="AA992" s="686"/>
      <c r="AB992" s="686"/>
      <c r="AC992" s="686"/>
      <c r="AD992" s="686"/>
      <c r="AE992" s="686"/>
      <c r="AF992" s="686"/>
    </row>
    <row r="993" ht="15.75" customHeight="1">
      <c r="A993" s="683"/>
      <c r="B993" s="683"/>
      <c r="C993" s="684"/>
      <c r="D993" s="684"/>
      <c r="E993" s="684"/>
      <c r="F993" s="683"/>
      <c r="G993" s="683"/>
      <c r="H993" s="683"/>
      <c r="I993" s="683"/>
      <c r="J993" s="683"/>
      <c r="K993" s="683"/>
      <c r="L993" s="685"/>
      <c r="M993" s="685"/>
      <c r="N993" s="687"/>
      <c r="O993" s="683"/>
      <c r="P993" s="683"/>
      <c r="Q993" s="686"/>
      <c r="R993" s="686"/>
      <c r="S993" s="686"/>
      <c r="T993" s="686"/>
      <c r="U993" s="686"/>
      <c r="V993" s="686"/>
      <c r="W993" s="686"/>
      <c r="X993" s="686"/>
      <c r="Y993" s="686"/>
      <c r="Z993" s="686"/>
      <c r="AA993" s="686"/>
      <c r="AB993" s="686"/>
      <c r="AC993" s="686"/>
      <c r="AD993" s="686"/>
      <c r="AE993" s="686"/>
      <c r="AF993" s="686"/>
    </row>
    <row r="994" ht="15.75" customHeight="1">
      <c r="A994" s="683"/>
      <c r="B994" s="683"/>
      <c r="C994" s="684"/>
      <c r="D994" s="684"/>
      <c r="E994" s="684"/>
      <c r="F994" s="683"/>
      <c r="G994" s="683"/>
      <c r="H994" s="683"/>
      <c r="I994" s="683"/>
      <c r="J994" s="683"/>
      <c r="K994" s="683"/>
      <c r="L994" s="685"/>
      <c r="M994" s="685"/>
      <c r="N994" s="687"/>
      <c r="O994" s="683"/>
      <c r="P994" s="683"/>
      <c r="Q994" s="686"/>
      <c r="R994" s="686"/>
      <c r="S994" s="686"/>
      <c r="T994" s="686"/>
      <c r="U994" s="686"/>
      <c r="V994" s="686"/>
      <c r="W994" s="686"/>
      <c r="X994" s="686"/>
      <c r="Y994" s="686"/>
      <c r="Z994" s="686"/>
      <c r="AA994" s="686"/>
      <c r="AB994" s="686"/>
      <c r="AC994" s="686"/>
      <c r="AD994" s="686"/>
      <c r="AE994" s="686"/>
      <c r="AF994" s="686"/>
    </row>
    <row r="995" ht="15.75" customHeight="1">
      <c r="A995" s="683"/>
      <c r="B995" s="683"/>
      <c r="C995" s="684"/>
      <c r="D995" s="684"/>
      <c r="E995" s="684"/>
      <c r="F995" s="683"/>
      <c r="G995" s="683"/>
      <c r="H995" s="683"/>
      <c r="I995" s="683"/>
      <c r="J995" s="683"/>
      <c r="K995" s="683"/>
      <c r="L995" s="685"/>
      <c r="M995" s="685"/>
      <c r="N995" s="687"/>
      <c r="O995" s="683"/>
      <c r="P995" s="683"/>
      <c r="Q995" s="686"/>
      <c r="R995" s="686"/>
      <c r="S995" s="686"/>
      <c r="T995" s="686"/>
      <c r="U995" s="686"/>
      <c r="V995" s="686"/>
      <c r="W995" s="686"/>
      <c r="X995" s="686"/>
      <c r="Y995" s="686"/>
      <c r="Z995" s="686"/>
      <c r="AA995" s="686"/>
      <c r="AB995" s="686"/>
      <c r="AC995" s="686"/>
      <c r="AD995" s="686"/>
      <c r="AE995" s="686"/>
      <c r="AF995" s="686"/>
    </row>
    <row r="996" ht="15.75" customHeight="1">
      <c r="A996" s="683"/>
      <c r="B996" s="683"/>
      <c r="C996" s="684"/>
      <c r="D996" s="684"/>
      <c r="E996" s="684"/>
      <c r="F996" s="683"/>
      <c r="G996" s="683"/>
      <c r="H996" s="683"/>
      <c r="I996" s="683"/>
      <c r="J996" s="683"/>
      <c r="K996" s="683"/>
      <c r="L996" s="685"/>
      <c r="M996" s="685"/>
      <c r="N996" s="687"/>
      <c r="O996" s="683"/>
      <c r="P996" s="683"/>
      <c r="Q996" s="686"/>
      <c r="R996" s="686"/>
      <c r="S996" s="686"/>
      <c r="T996" s="686"/>
      <c r="U996" s="686"/>
      <c r="V996" s="686"/>
      <c r="W996" s="686"/>
      <c r="X996" s="686"/>
      <c r="Y996" s="686"/>
      <c r="Z996" s="686"/>
      <c r="AA996" s="686"/>
      <c r="AB996" s="686"/>
      <c r="AC996" s="686"/>
      <c r="AD996" s="686"/>
      <c r="AE996" s="686"/>
      <c r="AF996" s="686"/>
    </row>
    <row r="997" ht="15.75" customHeight="1">
      <c r="A997" s="683"/>
      <c r="B997" s="683"/>
      <c r="C997" s="684"/>
      <c r="D997" s="684"/>
      <c r="E997" s="684"/>
      <c r="F997" s="683"/>
      <c r="G997" s="683"/>
      <c r="H997" s="683"/>
      <c r="I997" s="683"/>
      <c r="J997" s="683"/>
      <c r="K997" s="683"/>
      <c r="L997" s="685"/>
      <c r="M997" s="685"/>
      <c r="N997" s="687"/>
      <c r="O997" s="683"/>
      <c r="P997" s="683"/>
      <c r="Q997" s="686"/>
      <c r="R997" s="686"/>
      <c r="S997" s="686"/>
      <c r="T997" s="686"/>
      <c r="U997" s="686"/>
      <c r="V997" s="686"/>
      <c r="W997" s="686"/>
      <c r="X997" s="686"/>
      <c r="Y997" s="686"/>
      <c r="Z997" s="686"/>
      <c r="AA997" s="686"/>
      <c r="AB997" s="686"/>
      <c r="AC997" s="686"/>
      <c r="AD997" s="686"/>
      <c r="AE997" s="686"/>
      <c r="AF997" s="686"/>
    </row>
    <row r="998" ht="15.75" customHeight="1">
      <c r="A998" s="683"/>
      <c r="B998" s="683"/>
      <c r="C998" s="684"/>
      <c r="D998" s="684"/>
      <c r="E998" s="684"/>
      <c r="F998" s="683"/>
      <c r="G998" s="683"/>
      <c r="H998" s="683"/>
      <c r="I998" s="683"/>
      <c r="J998" s="683"/>
      <c r="K998" s="683"/>
      <c r="L998" s="685"/>
      <c r="M998" s="685"/>
      <c r="N998" s="687"/>
      <c r="O998" s="683"/>
      <c r="P998" s="683"/>
      <c r="Q998" s="686"/>
      <c r="R998" s="686"/>
      <c r="S998" s="686"/>
      <c r="T998" s="686"/>
      <c r="U998" s="686"/>
      <c r="V998" s="686"/>
      <c r="W998" s="686"/>
      <c r="X998" s="686"/>
      <c r="Y998" s="686"/>
      <c r="Z998" s="686"/>
      <c r="AA998" s="686"/>
      <c r="AB998" s="686"/>
      <c r="AC998" s="686"/>
      <c r="AD998" s="686"/>
      <c r="AE998" s="686"/>
      <c r="AF998" s="686"/>
    </row>
    <row r="999" ht="15.75" customHeight="1">
      <c r="A999" s="683"/>
      <c r="B999" s="683"/>
      <c r="C999" s="684"/>
      <c r="D999" s="684"/>
      <c r="E999" s="684"/>
      <c r="F999" s="683"/>
      <c r="G999" s="683"/>
      <c r="H999" s="683"/>
      <c r="I999" s="683"/>
      <c r="J999" s="683"/>
      <c r="K999" s="683"/>
      <c r="L999" s="685"/>
      <c r="M999" s="685"/>
      <c r="N999" s="687"/>
      <c r="O999" s="683"/>
      <c r="P999" s="683"/>
      <c r="Q999" s="686"/>
      <c r="R999" s="686"/>
      <c r="S999" s="686"/>
      <c r="T999" s="686"/>
      <c r="U999" s="686"/>
      <c r="V999" s="686"/>
      <c r="W999" s="686"/>
      <c r="X999" s="686"/>
      <c r="Y999" s="686"/>
      <c r="Z999" s="686"/>
      <c r="AA999" s="686"/>
      <c r="AB999" s="686"/>
      <c r="AC999" s="686"/>
      <c r="AD999" s="686"/>
      <c r="AE999" s="686"/>
      <c r="AF999" s="686"/>
    </row>
    <row r="1000" ht="15.75" customHeight="1">
      <c r="A1000" s="683"/>
      <c r="B1000" s="683"/>
      <c r="C1000" s="684"/>
      <c r="D1000" s="684"/>
      <c r="E1000" s="684"/>
      <c r="F1000" s="683"/>
      <c r="G1000" s="683"/>
      <c r="H1000" s="683"/>
      <c r="I1000" s="683"/>
      <c r="J1000" s="683"/>
      <c r="K1000" s="683"/>
      <c r="L1000" s="685"/>
      <c r="M1000" s="685"/>
      <c r="N1000" s="687"/>
      <c r="O1000" s="683"/>
      <c r="P1000" s="683"/>
      <c r="Q1000" s="686"/>
      <c r="R1000" s="686"/>
      <c r="S1000" s="686"/>
      <c r="T1000" s="686"/>
      <c r="U1000" s="686"/>
      <c r="V1000" s="686"/>
      <c r="W1000" s="686"/>
      <c r="X1000" s="686"/>
      <c r="Y1000" s="686"/>
      <c r="Z1000" s="686"/>
      <c r="AA1000" s="686"/>
      <c r="AB1000" s="686"/>
      <c r="AC1000" s="686"/>
      <c r="AD1000" s="686"/>
      <c r="AE1000" s="686"/>
      <c r="AF1000" s="686"/>
    </row>
    <row r="1001" ht="15.75" customHeight="1">
      <c r="A1001" s="683"/>
      <c r="B1001" s="683"/>
      <c r="C1001" s="684"/>
      <c r="D1001" s="684"/>
      <c r="E1001" s="684"/>
      <c r="F1001" s="683"/>
      <c r="G1001" s="683"/>
      <c r="H1001" s="683"/>
      <c r="I1001" s="683"/>
      <c r="J1001" s="683"/>
      <c r="K1001" s="683"/>
      <c r="L1001" s="685"/>
      <c r="M1001" s="685"/>
      <c r="N1001" s="687"/>
      <c r="O1001" s="683"/>
      <c r="P1001" s="683"/>
      <c r="Q1001" s="686"/>
      <c r="R1001" s="686"/>
      <c r="S1001" s="686"/>
      <c r="T1001" s="686"/>
      <c r="U1001" s="686"/>
      <c r="V1001" s="686"/>
      <c r="W1001" s="686"/>
      <c r="X1001" s="686"/>
      <c r="Y1001" s="686"/>
      <c r="Z1001" s="686"/>
      <c r="AA1001" s="686"/>
      <c r="AB1001" s="686"/>
      <c r="AC1001" s="686"/>
      <c r="AD1001" s="686"/>
      <c r="AE1001" s="686"/>
      <c r="AF1001" s="686"/>
    </row>
    <row r="1002" ht="15.75" customHeight="1">
      <c r="A1002" s="683"/>
      <c r="B1002" s="683"/>
      <c r="C1002" s="684"/>
      <c r="D1002" s="684"/>
      <c r="E1002" s="684"/>
      <c r="F1002" s="683"/>
      <c r="G1002" s="683"/>
      <c r="H1002" s="683"/>
      <c r="I1002" s="683"/>
      <c r="J1002" s="683"/>
      <c r="K1002" s="683"/>
      <c r="L1002" s="685"/>
      <c r="M1002" s="685"/>
      <c r="N1002" s="687"/>
      <c r="O1002" s="683"/>
      <c r="P1002" s="683"/>
      <c r="Q1002" s="686"/>
      <c r="R1002" s="686"/>
      <c r="S1002" s="686"/>
      <c r="T1002" s="686"/>
      <c r="U1002" s="686"/>
      <c r="V1002" s="686"/>
      <c r="W1002" s="686"/>
      <c r="X1002" s="686"/>
      <c r="Y1002" s="686"/>
      <c r="Z1002" s="686"/>
      <c r="AA1002" s="686"/>
      <c r="AB1002" s="686"/>
      <c r="AC1002" s="686"/>
      <c r="AD1002" s="686"/>
      <c r="AE1002" s="686"/>
      <c r="AF1002" s="686"/>
    </row>
    <row r="1003" ht="15.75" customHeight="1">
      <c r="A1003" s="683"/>
      <c r="B1003" s="683"/>
      <c r="C1003" s="684"/>
      <c r="D1003" s="684"/>
      <c r="E1003" s="684"/>
      <c r="F1003" s="683"/>
      <c r="G1003" s="683"/>
      <c r="H1003" s="683"/>
      <c r="I1003" s="683"/>
      <c r="J1003" s="683"/>
      <c r="K1003" s="683"/>
      <c r="L1003" s="685"/>
      <c r="M1003" s="685"/>
      <c r="N1003" s="687"/>
      <c r="O1003" s="683"/>
      <c r="P1003" s="683"/>
      <c r="Q1003" s="686"/>
      <c r="R1003" s="686"/>
      <c r="S1003" s="686"/>
      <c r="T1003" s="686"/>
      <c r="U1003" s="686"/>
      <c r="V1003" s="686"/>
      <c r="W1003" s="686"/>
      <c r="X1003" s="686"/>
      <c r="Y1003" s="686"/>
      <c r="Z1003" s="686"/>
      <c r="AA1003" s="686"/>
      <c r="AB1003" s="686"/>
      <c r="AC1003" s="686"/>
      <c r="AD1003" s="686"/>
      <c r="AE1003" s="686"/>
      <c r="AF1003" s="686"/>
    </row>
    <row r="1004" ht="15.75" customHeight="1">
      <c r="A1004" s="683"/>
      <c r="B1004" s="683"/>
      <c r="C1004" s="684"/>
      <c r="D1004" s="684"/>
      <c r="E1004" s="684"/>
      <c r="F1004" s="683"/>
      <c r="G1004" s="683"/>
      <c r="H1004" s="683"/>
      <c r="I1004" s="683"/>
      <c r="J1004" s="683"/>
      <c r="K1004" s="683"/>
      <c r="L1004" s="685"/>
      <c r="M1004" s="685"/>
      <c r="N1004" s="687"/>
      <c r="O1004" s="683"/>
      <c r="P1004" s="683"/>
      <c r="Q1004" s="686"/>
      <c r="R1004" s="686"/>
      <c r="S1004" s="686"/>
      <c r="T1004" s="686"/>
      <c r="U1004" s="686"/>
      <c r="V1004" s="686"/>
      <c r="W1004" s="686"/>
      <c r="X1004" s="686"/>
      <c r="Y1004" s="686"/>
      <c r="Z1004" s="686"/>
      <c r="AA1004" s="686"/>
      <c r="AB1004" s="686"/>
      <c r="AC1004" s="686"/>
      <c r="AD1004" s="686"/>
      <c r="AE1004" s="686"/>
      <c r="AF1004" s="686"/>
    </row>
    <row r="1005" ht="15.75" customHeight="1">
      <c r="A1005" s="683"/>
      <c r="B1005" s="683"/>
      <c r="C1005" s="684"/>
      <c r="D1005" s="684"/>
      <c r="E1005" s="684"/>
      <c r="F1005" s="683"/>
      <c r="G1005" s="683"/>
      <c r="H1005" s="683"/>
      <c r="I1005" s="683"/>
      <c r="J1005" s="683"/>
      <c r="K1005" s="683"/>
      <c r="L1005" s="685"/>
      <c r="M1005" s="685"/>
      <c r="N1005" s="687"/>
      <c r="O1005" s="683"/>
      <c r="P1005" s="683"/>
      <c r="Q1005" s="686"/>
      <c r="R1005" s="686"/>
      <c r="S1005" s="686"/>
      <c r="T1005" s="686"/>
      <c r="U1005" s="686"/>
      <c r="V1005" s="686"/>
      <c r="W1005" s="686"/>
      <c r="X1005" s="686"/>
      <c r="Y1005" s="686"/>
      <c r="Z1005" s="686"/>
      <c r="AA1005" s="686"/>
      <c r="AB1005" s="686"/>
      <c r="AC1005" s="686"/>
      <c r="AD1005" s="686"/>
      <c r="AE1005" s="686"/>
      <c r="AF1005" s="686"/>
    </row>
    <row r="1006" ht="15.75" customHeight="1">
      <c r="A1006" s="683"/>
      <c r="B1006" s="683"/>
      <c r="C1006" s="684"/>
      <c r="D1006" s="684"/>
      <c r="E1006" s="684"/>
      <c r="F1006" s="683"/>
      <c r="G1006" s="683"/>
      <c r="H1006" s="683"/>
      <c r="I1006" s="683"/>
      <c r="J1006" s="683"/>
      <c r="K1006" s="683"/>
      <c r="L1006" s="685"/>
      <c r="M1006" s="685"/>
      <c r="N1006" s="687"/>
      <c r="O1006" s="683"/>
      <c r="P1006" s="683"/>
      <c r="Q1006" s="686"/>
      <c r="R1006" s="686"/>
      <c r="S1006" s="686"/>
      <c r="T1006" s="686"/>
      <c r="U1006" s="686"/>
      <c r="V1006" s="686"/>
      <c r="W1006" s="686"/>
      <c r="X1006" s="686"/>
      <c r="Y1006" s="686"/>
      <c r="Z1006" s="686"/>
      <c r="AA1006" s="686"/>
      <c r="AB1006" s="686"/>
      <c r="AC1006" s="686"/>
      <c r="AD1006" s="686"/>
      <c r="AE1006" s="686"/>
      <c r="AF1006" s="686"/>
    </row>
    <row r="1007" ht="15.75" customHeight="1">
      <c r="A1007" s="683"/>
      <c r="B1007" s="683"/>
      <c r="C1007" s="684"/>
      <c r="D1007" s="684"/>
      <c r="E1007" s="684"/>
      <c r="F1007" s="683"/>
      <c r="G1007" s="683"/>
      <c r="H1007" s="683"/>
      <c r="I1007" s="683"/>
      <c r="J1007" s="683"/>
      <c r="K1007" s="683"/>
      <c r="L1007" s="685"/>
      <c r="M1007" s="685"/>
      <c r="N1007" s="687"/>
      <c r="O1007" s="683"/>
      <c r="P1007" s="683"/>
      <c r="Q1007" s="686"/>
      <c r="R1007" s="686"/>
      <c r="S1007" s="686"/>
      <c r="T1007" s="686"/>
      <c r="U1007" s="686"/>
      <c r="V1007" s="686"/>
      <c r="W1007" s="686"/>
      <c r="X1007" s="686"/>
      <c r="Y1007" s="686"/>
      <c r="Z1007" s="686"/>
      <c r="AA1007" s="686"/>
      <c r="AB1007" s="686"/>
      <c r="AC1007" s="686"/>
      <c r="AD1007" s="686"/>
      <c r="AE1007" s="686"/>
      <c r="AF1007" s="686"/>
    </row>
    <row r="1008" ht="15.75" customHeight="1">
      <c r="A1008" s="683"/>
      <c r="B1008" s="683"/>
      <c r="C1008" s="684"/>
      <c r="D1008" s="684"/>
      <c r="E1008" s="684"/>
      <c r="F1008" s="683"/>
      <c r="G1008" s="683"/>
      <c r="H1008" s="683"/>
      <c r="I1008" s="683"/>
      <c r="J1008" s="683"/>
      <c r="K1008" s="683"/>
      <c r="L1008" s="685"/>
      <c r="M1008" s="685"/>
      <c r="N1008" s="687"/>
      <c r="O1008" s="683"/>
      <c r="P1008" s="683"/>
      <c r="Q1008" s="686"/>
      <c r="R1008" s="686"/>
      <c r="S1008" s="686"/>
      <c r="T1008" s="686"/>
      <c r="U1008" s="686"/>
      <c r="V1008" s="686"/>
      <c r="W1008" s="686"/>
      <c r="X1008" s="686"/>
      <c r="Y1008" s="686"/>
      <c r="Z1008" s="686"/>
      <c r="AA1008" s="686"/>
      <c r="AB1008" s="686"/>
      <c r="AC1008" s="686"/>
      <c r="AD1008" s="686"/>
      <c r="AE1008" s="686"/>
      <c r="AF1008" s="686"/>
    </row>
    <row r="1009" ht="15.75" customHeight="1">
      <c r="A1009" s="683"/>
      <c r="B1009" s="683"/>
      <c r="C1009" s="684"/>
      <c r="D1009" s="684"/>
      <c r="E1009" s="684"/>
      <c r="F1009" s="683"/>
      <c r="G1009" s="683"/>
      <c r="H1009" s="683"/>
      <c r="I1009" s="683"/>
      <c r="J1009" s="683"/>
      <c r="K1009" s="683"/>
      <c r="L1009" s="685"/>
      <c r="M1009" s="685"/>
      <c r="N1009" s="687"/>
      <c r="O1009" s="683"/>
      <c r="P1009" s="683"/>
      <c r="Q1009" s="686"/>
      <c r="R1009" s="686"/>
      <c r="S1009" s="686"/>
      <c r="T1009" s="686"/>
      <c r="U1009" s="686"/>
      <c r="V1009" s="686"/>
      <c r="W1009" s="686"/>
      <c r="X1009" s="686"/>
      <c r="Y1009" s="686"/>
      <c r="Z1009" s="686"/>
      <c r="AA1009" s="686"/>
      <c r="AB1009" s="686"/>
      <c r="AC1009" s="686"/>
      <c r="AD1009" s="686"/>
      <c r="AE1009" s="686"/>
      <c r="AF1009" s="686"/>
    </row>
    <row r="1010" ht="15.75" customHeight="1">
      <c r="A1010" s="683"/>
      <c r="B1010" s="683"/>
      <c r="C1010" s="684"/>
      <c r="D1010" s="684"/>
      <c r="E1010" s="684"/>
      <c r="F1010" s="683"/>
      <c r="G1010" s="683"/>
      <c r="H1010" s="683"/>
      <c r="I1010" s="683"/>
      <c r="J1010" s="683"/>
      <c r="K1010" s="683"/>
      <c r="L1010" s="685"/>
      <c r="M1010" s="685"/>
      <c r="N1010" s="687"/>
      <c r="O1010" s="683"/>
      <c r="P1010" s="683"/>
      <c r="Q1010" s="686"/>
      <c r="R1010" s="686"/>
      <c r="S1010" s="686"/>
      <c r="T1010" s="686"/>
      <c r="U1010" s="686"/>
      <c r="V1010" s="686"/>
      <c r="W1010" s="686"/>
      <c r="X1010" s="686"/>
      <c r="Y1010" s="686"/>
      <c r="Z1010" s="686"/>
      <c r="AA1010" s="686"/>
      <c r="AB1010" s="686"/>
      <c r="AC1010" s="686"/>
      <c r="AD1010" s="686"/>
      <c r="AE1010" s="686"/>
      <c r="AF1010" s="686"/>
    </row>
    <row r="1011" ht="15.75" customHeight="1">
      <c r="A1011" s="683"/>
      <c r="B1011" s="683"/>
      <c r="C1011" s="684"/>
      <c r="D1011" s="684"/>
      <c r="E1011" s="684"/>
      <c r="F1011" s="683"/>
      <c r="G1011" s="683"/>
      <c r="H1011" s="683"/>
      <c r="I1011" s="683"/>
      <c r="J1011" s="683"/>
      <c r="K1011" s="683"/>
      <c r="L1011" s="685"/>
      <c r="M1011" s="685"/>
      <c r="N1011" s="687"/>
      <c r="O1011" s="683"/>
      <c r="P1011" s="683"/>
      <c r="Q1011" s="686"/>
      <c r="R1011" s="686"/>
      <c r="S1011" s="686"/>
      <c r="T1011" s="686"/>
      <c r="U1011" s="686"/>
      <c r="V1011" s="686"/>
      <c r="W1011" s="686"/>
      <c r="X1011" s="686"/>
      <c r="Y1011" s="686"/>
      <c r="Z1011" s="686"/>
      <c r="AA1011" s="686"/>
      <c r="AB1011" s="686"/>
      <c r="AC1011" s="686"/>
      <c r="AD1011" s="686"/>
      <c r="AE1011" s="686"/>
      <c r="AF1011" s="686"/>
    </row>
    <row r="1012" ht="15.75" customHeight="1">
      <c r="A1012" s="683"/>
      <c r="B1012" s="683"/>
      <c r="C1012" s="684"/>
      <c r="D1012" s="684"/>
      <c r="E1012" s="684"/>
      <c r="F1012" s="683"/>
      <c r="G1012" s="683"/>
      <c r="H1012" s="683"/>
      <c r="I1012" s="683"/>
      <c r="J1012" s="683"/>
      <c r="K1012" s="683"/>
      <c r="L1012" s="685"/>
      <c r="M1012" s="685"/>
      <c r="N1012" s="687"/>
      <c r="O1012" s="683"/>
      <c r="P1012" s="683"/>
      <c r="Q1012" s="686"/>
      <c r="R1012" s="686"/>
      <c r="S1012" s="686"/>
      <c r="T1012" s="686"/>
      <c r="U1012" s="686"/>
      <c r="V1012" s="686"/>
      <c r="W1012" s="686"/>
      <c r="X1012" s="686"/>
      <c r="Y1012" s="686"/>
      <c r="Z1012" s="686"/>
      <c r="AA1012" s="686"/>
      <c r="AB1012" s="686"/>
      <c r="AC1012" s="686"/>
      <c r="AD1012" s="686"/>
      <c r="AE1012" s="686"/>
      <c r="AF1012" s="686"/>
    </row>
    <row r="1013" ht="15.75" customHeight="1">
      <c r="A1013" s="683"/>
      <c r="B1013" s="683"/>
      <c r="C1013" s="684"/>
      <c r="D1013" s="684"/>
      <c r="E1013" s="684"/>
      <c r="F1013" s="683"/>
      <c r="G1013" s="683"/>
      <c r="H1013" s="683"/>
      <c r="I1013" s="683"/>
      <c r="J1013" s="683"/>
      <c r="K1013" s="683"/>
      <c r="L1013" s="685"/>
      <c r="M1013" s="685"/>
      <c r="N1013" s="687"/>
      <c r="O1013" s="683"/>
      <c r="P1013" s="683"/>
      <c r="Q1013" s="686"/>
      <c r="R1013" s="686"/>
      <c r="S1013" s="686"/>
      <c r="T1013" s="686"/>
      <c r="U1013" s="686"/>
      <c r="V1013" s="686"/>
      <c r="W1013" s="686"/>
      <c r="X1013" s="686"/>
      <c r="Y1013" s="686"/>
      <c r="Z1013" s="686"/>
      <c r="AA1013" s="686"/>
      <c r="AB1013" s="686"/>
      <c r="AC1013" s="686"/>
      <c r="AD1013" s="686"/>
      <c r="AE1013" s="686"/>
      <c r="AF1013" s="686"/>
    </row>
    <row r="1014" ht="15.75" customHeight="1">
      <c r="A1014" s="683"/>
      <c r="B1014" s="683"/>
      <c r="C1014" s="684"/>
      <c r="D1014" s="684"/>
      <c r="E1014" s="684"/>
      <c r="F1014" s="683"/>
      <c r="G1014" s="683"/>
      <c r="H1014" s="683"/>
      <c r="I1014" s="683"/>
      <c r="J1014" s="683"/>
      <c r="K1014" s="683"/>
      <c r="L1014" s="685"/>
      <c r="M1014" s="685"/>
      <c r="N1014" s="687"/>
      <c r="O1014" s="683"/>
      <c r="P1014" s="683"/>
      <c r="Q1014" s="686"/>
      <c r="R1014" s="686"/>
      <c r="S1014" s="686"/>
      <c r="T1014" s="686"/>
      <c r="U1014" s="686"/>
      <c r="V1014" s="686"/>
      <c r="W1014" s="686"/>
      <c r="X1014" s="686"/>
      <c r="Y1014" s="686"/>
      <c r="Z1014" s="686"/>
      <c r="AA1014" s="686"/>
      <c r="AB1014" s="686"/>
      <c r="AC1014" s="686"/>
      <c r="AD1014" s="686"/>
      <c r="AE1014" s="686"/>
      <c r="AF1014" s="686"/>
    </row>
    <row r="1015" ht="15.75" customHeight="1">
      <c r="A1015" s="683"/>
      <c r="B1015" s="683"/>
      <c r="C1015" s="684"/>
      <c r="D1015" s="684"/>
      <c r="E1015" s="684"/>
      <c r="F1015" s="683"/>
      <c r="G1015" s="683"/>
      <c r="H1015" s="683"/>
      <c r="I1015" s="683"/>
      <c r="J1015" s="683"/>
      <c r="K1015" s="683"/>
      <c r="L1015" s="685"/>
      <c r="M1015" s="685"/>
      <c r="N1015" s="687"/>
      <c r="O1015" s="683"/>
      <c r="P1015" s="683"/>
      <c r="Q1015" s="686"/>
      <c r="R1015" s="686"/>
      <c r="S1015" s="686"/>
      <c r="T1015" s="686"/>
      <c r="U1015" s="686"/>
      <c r="V1015" s="686"/>
      <c r="W1015" s="686"/>
      <c r="X1015" s="686"/>
      <c r="Y1015" s="686"/>
      <c r="Z1015" s="686"/>
      <c r="AA1015" s="686"/>
      <c r="AB1015" s="686"/>
      <c r="AC1015" s="686"/>
      <c r="AD1015" s="686"/>
      <c r="AE1015" s="686"/>
      <c r="AF1015" s="686"/>
    </row>
    <row r="1016" ht="15.75" customHeight="1">
      <c r="A1016" s="683"/>
      <c r="B1016" s="683"/>
      <c r="C1016" s="684"/>
      <c r="D1016" s="684"/>
      <c r="E1016" s="684"/>
      <c r="F1016" s="683"/>
      <c r="G1016" s="683"/>
      <c r="H1016" s="683"/>
      <c r="I1016" s="683"/>
      <c r="J1016" s="683"/>
      <c r="K1016" s="683"/>
      <c r="L1016" s="685"/>
      <c r="M1016" s="685"/>
      <c r="N1016" s="687"/>
      <c r="O1016" s="683"/>
      <c r="P1016" s="683"/>
      <c r="Q1016" s="686"/>
      <c r="R1016" s="686"/>
      <c r="S1016" s="686"/>
      <c r="T1016" s="686"/>
      <c r="U1016" s="686"/>
      <c r="V1016" s="686"/>
      <c r="W1016" s="686"/>
      <c r="X1016" s="686"/>
      <c r="Y1016" s="686"/>
      <c r="Z1016" s="686"/>
      <c r="AA1016" s="686"/>
      <c r="AB1016" s="686"/>
      <c r="AC1016" s="686"/>
      <c r="AD1016" s="686"/>
      <c r="AE1016" s="686"/>
      <c r="AF1016" s="686"/>
    </row>
    <row r="1017" ht="15.75" customHeight="1">
      <c r="A1017" s="683"/>
      <c r="B1017" s="683"/>
      <c r="C1017" s="684"/>
      <c r="D1017" s="684"/>
      <c r="E1017" s="684"/>
      <c r="F1017" s="683"/>
      <c r="G1017" s="683"/>
      <c r="H1017" s="683"/>
      <c r="I1017" s="683"/>
      <c r="J1017" s="683"/>
      <c r="K1017" s="683"/>
      <c r="L1017" s="685"/>
      <c r="M1017" s="685"/>
      <c r="N1017" s="687"/>
      <c r="O1017" s="683"/>
      <c r="P1017" s="683"/>
      <c r="Q1017" s="686"/>
      <c r="R1017" s="686"/>
      <c r="S1017" s="686"/>
      <c r="T1017" s="686"/>
      <c r="U1017" s="686"/>
      <c r="V1017" s="686"/>
      <c r="W1017" s="686"/>
      <c r="X1017" s="686"/>
      <c r="Y1017" s="686"/>
      <c r="Z1017" s="686"/>
      <c r="AA1017" s="686"/>
      <c r="AB1017" s="686"/>
      <c r="AC1017" s="686"/>
      <c r="AD1017" s="686"/>
      <c r="AE1017" s="686"/>
      <c r="AF1017" s="686"/>
    </row>
    <row r="1018" ht="15.75" customHeight="1">
      <c r="A1018" s="683"/>
      <c r="B1018" s="683"/>
      <c r="C1018" s="684"/>
      <c r="D1018" s="684"/>
      <c r="E1018" s="684"/>
      <c r="F1018" s="683"/>
      <c r="G1018" s="683"/>
      <c r="H1018" s="683"/>
      <c r="I1018" s="683"/>
      <c r="J1018" s="683"/>
      <c r="K1018" s="683"/>
      <c r="L1018" s="685"/>
      <c r="M1018" s="685"/>
      <c r="N1018" s="687"/>
      <c r="O1018" s="683"/>
      <c r="P1018" s="683"/>
      <c r="Q1018" s="686"/>
      <c r="R1018" s="686"/>
      <c r="S1018" s="686"/>
      <c r="T1018" s="686"/>
      <c r="U1018" s="686"/>
      <c r="V1018" s="686"/>
      <c r="W1018" s="686"/>
      <c r="X1018" s="686"/>
      <c r="Y1018" s="686"/>
      <c r="Z1018" s="686"/>
      <c r="AA1018" s="686"/>
      <c r="AB1018" s="686"/>
      <c r="AC1018" s="686"/>
      <c r="AD1018" s="686"/>
      <c r="AE1018" s="686"/>
      <c r="AF1018" s="686"/>
    </row>
    <row r="1019" ht="15.75" customHeight="1">
      <c r="A1019" s="683"/>
      <c r="B1019" s="683"/>
      <c r="C1019" s="684"/>
      <c r="D1019" s="684"/>
      <c r="E1019" s="684"/>
      <c r="F1019" s="683"/>
      <c r="G1019" s="683"/>
      <c r="H1019" s="683"/>
      <c r="I1019" s="683"/>
      <c r="J1019" s="683"/>
      <c r="K1019" s="683"/>
      <c r="L1019" s="685"/>
      <c r="M1019" s="685"/>
      <c r="N1019" s="687"/>
      <c r="O1019" s="683"/>
      <c r="P1019" s="683"/>
      <c r="Q1019" s="686"/>
      <c r="R1019" s="686"/>
      <c r="S1019" s="686"/>
      <c r="T1019" s="686"/>
      <c r="U1019" s="686"/>
      <c r="V1019" s="686"/>
      <c r="W1019" s="686"/>
      <c r="X1019" s="686"/>
      <c r="Y1019" s="686"/>
      <c r="Z1019" s="686"/>
      <c r="AA1019" s="686"/>
      <c r="AB1019" s="686"/>
      <c r="AC1019" s="686"/>
      <c r="AD1019" s="686"/>
      <c r="AE1019" s="686"/>
      <c r="AF1019" s="686"/>
    </row>
    <row r="1020" ht="15.75" customHeight="1">
      <c r="A1020" s="683"/>
      <c r="B1020" s="683"/>
      <c r="C1020" s="684"/>
      <c r="D1020" s="684"/>
      <c r="E1020" s="684"/>
      <c r="F1020" s="683"/>
      <c r="G1020" s="683"/>
      <c r="H1020" s="683"/>
      <c r="I1020" s="683"/>
      <c r="J1020" s="683"/>
      <c r="K1020" s="683"/>
      <c r="L1020" s="685"/>
      <c r="M1020" s="685"/>
      <c r="N1020" s="687"/>
      <c r="O1020" s="683"/>
      <c r="P1020" s="683"/>
      <c r="Q1020" s="686"/>
      <c r="R1020" s="686"/>
      <c r="S1020" s="686"/>
      <c r="T1020" s="686"/>
      <c r="U1020" s="686"/>
      <c r="V1020" s="686"/>
      <c r="W1020" s="686"/>
      <c r="X1020" s="686"/>
      <c r="Y1020" s="686"/>
      <c r="Z1020" s="686"/>
      <c r="AA1020" s="686"/>
      <c r="AB1020" s="686"/>
      <c r="AC1020" s="686"/>
      <c r="AD1020" s="686"/>
      <c r="AE1020" s="686"/>
      <c r="AF1020" s="686"/>
    </row>
    <row r="1021" ht="15.75" customHeight="1">
      <c r="A1021" s="683"/>
      <c r="B1021" s="683"/>
      <c r="C1021" s="684"/>
      <c r="D1021" s="684"/>
      <c r="E1021" s="684"/>
      <c r="F1021" s="683"/>
      <c r="G1021" s="683"/>
      <c r="H1021" s="683"/>
      <c r="I1021" s="683"/>
      <c r="J1021" s="683"/>
      <c r="K1021" s="683"/>
      <c r="L1021" s="685"/>
      <c r="M1021" s="685"/>
      <c r="N1021" s="687"/>
      <c r="O1021" s="683"/>
      <c r="P1021" s="683"/>
      <c r="Q1021" s="686"/>
      <c r="R1021" s="686"/>
      <c r="S1021" s="686"/>
      <c r="T1021" s="686"/>
      <c r="U1021" s="686"/>
      <c r="V1021" s="686"/>
      <c r="W1021" s="686"/>
      <c r="X1021" s="686"/>
      <c r="Y1021" s="686"/>
      <c r="Z1021" s="686"/>
      <c r="AA1021" s="686"/>
      <c r="AB1021" s="686"/>
      <c r="AC1021" s="686"/>
      <c r="AD1021" s="686"/>
      <c r="AE1021" s="686"/>
      <c r="AF1021" s="686"/>
    </row>
    <row r="1022" ht="15.75" customHeight="1">
      <c r="A1022" s="683"/>
      <c r="B1022" s="683"/>
      <c r="C1022" s="684"/>
      <c r="D1022" s="684"/>
      <c r="E1022" s="684"/>
      <c r="F1022" s="683"/>
      <c r="G1022" s="683"/>
      <c r="H1022" s="683"/>
      <c r="I1022" s="683"/>
      <c r="J1022" s="683"/>
      <c r="K1022" s="683"/>
      <c r="L1022" s="685"/>
      <c r="M1022" s="685"/>
      <c r="N1022" s="687"/>
      <c r="O1022" s="683"/>
      <c r="P1022" s="683"/>
      <c r="Q1022" s="686"/>
      <c r="R1022" s="686"/>
      <c r="S1022" s="686"/>
      <c r="T1022" s="686"/>
      <c r="U1022" s="686"/>
      <c r="V1022" s="686"/>
      <c r="W1022" s="686"/>
      <c r="X1022" s="686"/>
      <c r="Y1022" s="686"/>
      <c r="Z1022" s="686"/>
      <c r="AA1022" s="686"/>
      <c r="AB1022" s="686"/>
      <c r="AC1022" s="686"/>
      <c r="AD1022" s="686"/>
      <c r="AE1022" s="686"/>
      <c r="AF1022" s="686"/>
    </row>
    <row r="1023" ht="15.75" customHeight="1">
      <c r="A1023" s="683"/>
      <c r="B1023" s="683"/>
      <c r="C1023" s="684"/>
      <c r="D1023" s="684"/>
      <c r="E1023" s="684"/>
      <c r="F1023" s="683"/>
      <c r="G1023" s="683"/>
      <c r="H1023" s="683"/>
      <c r="I1023" s="683"/>
      <c r="J1023" s="683"/>
      <c r="K1023" s="683"/>
      <c r="L1023" s="685"/>
      <c r="M1023" s="685"/>
      <c r="N1023" s="687"/>
      <c r="O1023" s="683"/>
      <c r="P1023" s="683"/>
      <c r="Q1023" s="686"/>
      <c r="R1023" s="686"/>
      <c r="S1023" s="686"/>
      <c r="T1023" s="686"/>
      <c r="U1023" s="686"/>
      <c r="V1023" s="686"/>
      <c r="W1023" s="686"/>
      <c r="X1023" s="686"/>
      <c r="Y1023" s="686"/>
      <c r="Z1023" s="686"/>
      <c r="AA1023" s="686"/>
      <c r="AB1023" s="686"/>
      <c r="AC1023" s="686"/>
      <c r="AD1023" s="686"/>
      <c r="AE1023" s="686"/>
      <c r="AF1023" s="686"/>
    </row>
    <row r="1024" ht="15.75" customHeight="1">
      <c r="A1024" s="683"/>
      <c r="B1024" s="683"/>
      <c r="C1024" s="684"/>
      <c r="D1024" s="684"/>
      <c r="E1024" s="684"/>
      <c r="F1024" s="683"/>
      <c r="G1024" s="683"/>
      <c r="H1024" s="683"/>
      <c r="I1024" s="683"/>
      <c r="J1024" s="683"/>
      <c r="K1024" s="683"/>
      <c r="L1024" s="685"/>
      <c r="M1024" s="685"/>
      <c r="N1024" s="687"/>
      <c r="O1024" s="683"/>
      <c r="P1024" s="683"/>
      <c r="Q1024" s="686"/>
      <c r="R1024" s="686"/>
      <c r="S1024" s="686"/>
      <c r="T1024" s="686"/>
      <c r="U1024" s="686"/>
      <c r="V1024" s="686"/>
      <c r="W1024" s="686"/>
      <c r="X1024" s="686"/>
      <c r="Y1024" s="686"/>
      <c r="Z1024" s="686"/>
      <c r="AA1024" s="686"/>
      <c r="AB1024" s="686"/>
      <c r="AC1024" s="686"/>
      <c r="AD1024" s="686"/>
      <c r="AE1024" s="686"/>
      <c r="AF1024" s="686"/>
    </row>
    <row r="1025" ht="15.75" customHeight="1">
      <c r="A1025" s="683"/>
      <c r="B1025" s="683"/>
      <c r="C1025" s="684"/>
      <c r="D1025" s="684"/>
      <c r="E1025" s="684"/>
      <c r="F1025" s="683"/>
      <c r="G1025" s="683"/>
      <c r="H1025" s="683"/>
      <c r="I1025" s="683"/>
      <c r="J1025" s="683"/>
      <c r="K1025" s="683"/>
      <c r="L1025" s="685"/>
      <c r="M1025" s="685"/>
      <c r="N1025" s="687"/>
      <c r="O1025" s="683"/>
      <c r="P1025" s="683"/>
      <c r="Q1025" s="686"/>
      <c r="R1025" s="686"/>
      <c r="S1025" s="686"/>
      <c r="T1025" s="686"/>
      <c r="U1025" s="686"/>
      <c r="V1025" s="686"/>
      <c r="W1025" s="686"/>
      <c r="X1025" s="686"/>
      <c r="Y1025" s="686"/>
      <c r="Z1025" s="686"/>
      <c r="AA1025" s="686"/>
      <c r="AB1025" s="686"/>
      <c r="AC1025" s="686"/>
      <c r="AD1025" s="686"/>
      <c r="AE1025" s="686"/>
      <c r="AF1025" s="686"/>
    </row>
    <row r="1026" ht="15.75" customHeight="1">
      <c r="A1026" s="683"/>
      <c r="B1026" s="683"/>
      <c r="C1026" s="684"/>
      <c r="D1026" s="684"/>
      <c r="E1026" s="684"/>
      <c r="F1026" s="683"/>
      <c r="G1026" s="683"/>
      <c r="H1026" s="683"/>
      <c r="I1026" s="683"/>
      <c r="J1026" s="683"/>
      <c r="K1026" s="683"/>
      <c r="L1026" s="685"/>
      <c r="M1026" s="685"/>
      <c r="N1026" s="687"/>
      <c r="O1026" s="683"/>
      <c r="P1026" s="683"/>
      <c r="Q1026" s="686"/>
      <c r="R1026" s="686"/>
      <c r="S1026" s="686"/>
      <c r="T1026" s="686"/>
      <c r="U1026" s="686"/>
      <c r="V1026" s="686"/>
      <c r="W1026" s="686"/>
      <c r="X1026" s="686"/>
      <c r="Y1026" s="686"/>
      <c r="Z1026" s="686"/>
      <c r="AA1026" s="686"/>
      <c r="AB1026" s="686"/>
      <c r="AC1026" s="686"/>
      <c r="AD1026" s="686"/>
      <c r="AE1026" s="686"/>
      <c r="AF1026" s="686"/>
    </row>
    <row r="1027" ht="15.75" customHeight="1">
      <c r="A1027" s="683"/>
      <c r="B1027" s="683"/>
      <c r="C1027" s="684"/>
      <c r="D1027" s="684"/>
      <c r="E1027" s="684"/>
      <c r="F1027" s="683"/>
      <c r="G1027" s="683"/>
      <c r="H1027" s="683"/>
      <c r="I1027" s="683"/>
      <c r="J1027" s="683"/>
      <c r="K1027" s="683"/>
      <c r="L1027" s="685"/>
      <c r="M1027" s="685"/>
      <c r="N1027" s="687"/>
      <c r="O1027" s="683"/>
      <c r="P1027" s="683"/>
      <c r="Q1027" s="686"/>
      <c r="R1027" s="686"/>
      <c r="S1027" s="686"/>
      <c r="T1027" s="686"/>
      <c r="U1027" s="686"/>
      <c r="V1027" s="686"/>
      <c r="W1027" s="686"/>
      <c r="X1027" s="686"/>
      <c r="Y1027" s="686"/>
      <c r="Z1027" s="686"/>
      <c r="AA1027" s="686"/>
      <c r="AB1027" s="686"/>
      <c r="AC1027" s="686"/>
      <c r="AD1027" s="686"/>
      <c r="AE1027" s="686"/>
      <c r="AF1027" s="686"/>
    </row>
    <row r="1028" ht="15.75" customHeight="1">
      <c r="A1028" s="683"/>
      <c r="B1028" s="683"/>
      <c r="C1028" s="684"/>
      <c r="D1028" s="684"/>
      <c r="E1028" s="684"/>
      <c r="F1028" s="683"/>
      <c r="G1028" s="683"/>
      <c r="H1028" s="683"/>
      <c r="I1028" s="683"/>
      <c r="J1028" s="683"/>
      <c r="K1028" s="683"/>
      <c r="L1028" s="685"/>
      <c r="M1028" s="685"/>
      <c r="N1028" s="687"/>
      <c r="O1028" s="683"/>
      <c r="P1028" s="683"/>
      <c r="Q1028" s="686"/>
      <c r="R1028" s="686"/>
      <c r="S1028" s="686"/>
      <c r="T1028" s="686"/>
      <c r="U1028" s="686"/>
      <c r="V1028" s="686"/>
      <c r="W1028" s="686"/>
      <c r="X1028" s="686"/>
      <c r="Y1028" s="686"/>
      <c r="Z1028" s="686"/>
      <c r="AA1028" s="686"/>
      <c r="AB1028" s="686"/>
      <c r="AC1028" s="686"/>
      <c r="AD1028" s="686"/>
      <c r="AE1028" s="686"/>
      <c r="AF1028" s="686"/>
    </row>
    <row r="1029" ht="15.75" customHeight="1">
      <c r="A1029" s="683"/>
      <c r="B1029" s="683"/>
      <c r="C1029" s="684"/>
      <c r="D1029" s="684"/>
      <c r="E1029" s="684"/>
      <c r="F1029" s="683"/>
      <c r="G1029" s="683"/>
      <c r="H1029" s="683"/>
      <c r="I1029" s="683"/>
      <c r="J1029" s="683"/>
      <c r="K1029" s="683"/>
      <c r="L1029" s="685"/>
      <c r="M1029" s="685"/>
      <c r="N1029" s="687"/>
      <c r="O1029" s="683"/>
      <c r="P1029" s="683"/>
      <c r="Q1029" s="686"/>
      <c r="R1029" s="686"/>
      <c r="S1029" s="686"/>
      <c r="T1029" s="686"/>
      <c r="U1029" s="686"/>
      <c r="V1029" s="686"/>
      <c r="W1029" s="686"/>
      <c r="X1029" s="686"/>
      <c r="Y1029" s="686"/>
      <c r="Z1029" s="686"/>
      <c r="AA1029" s="686"/>
      <c r="AB1029" s="686"/>
      <c r="AC1029" s="686"/>
      <c r="AD1029" s="686"/>
      <c r="AE1029" s="686"/>
      <c r="AF1029" s="686"/>
    </row>
    <row r="1030" ht="15.75" customHeight="1">
      <c r="A1030" s="683"/>
      <c r="B1030" s="683"/>
      <c r="C1030" s="684"/>
      <c r="D1030" s="684"/>
      <c r="E1030" s="684"/>
      <c r="F1030" s="683"/>
      <c r="G1030" s="683"/>
      <c r="H1030" s="683"/>
      <c r="I1030" s="683"/>
      <c r="J1030" s="683"/>
      <c r="K1030" s="683"/>
      <c r="L1030" s="685"/>
      <c r="M1030" s="685"/>
      <c r="N1030" s="687"/>
      <c r="O1030" s="683"/>
      <c r="P1030" s="683"/>
      <c r="Q1030" s="686"/>
      <c r="R1030" s="686"/>
      <c r="S1030" s="686"/>
      <c r="T1030" s="686"/>
      <c r="U1030" s="686"/>
      <c r="V1030" s="686"/>
      <c r="W1030" s="686"/>
      <c r="X1030" s="686"/>
      <c r="Y1030" s="686"/>
      <c r="Z1030" s="686"/>
      <c r="AA1030" s="686"/>
      <c r="AB1030" s="686"/>
      <c r="AC1030" s="686"/>
      <c r="AD1030" s="686"/>
      <c r="AE1030" s="686"/>
      <c r="AF1030" s="686"/>
    </row>
    <row r="1031" ht="15.75" customHeight="1">
      <c r="A1031" s="683"/>
      <c r="B1031" s="683"/>
      <c r="C1031" s="684"/>
      <c r="D1031" s="684"/>
      <c r="E1031" s="684"/>
      <c r="F1031" s="683"/>
      <c r="G1031" s="683"/>
      <c r="H1031" s="683"/>
      <c r="I1031" s="683"/>
      <c r="J1031" s="683"/>
      <c r="K1031" s="683"/>
      <c r="L1031" s="685"/>
      <c r="M1031" s="685"/>
      <c r="N1031" s="687"/>
      <c r="O1031" s="683"/>
      <c r="P1031" s="683"/>
      <c r="Q1031" s="686"/>
      <c r="R1031" s="686"/>
      <c r="S1031" s="686"/>
      <c r="T1031" s="686"/>
      <c r="U1031" s="686"/>
      <c r="V1031" s="686"/>
      <c r="W1031" s="686"/>
      <c r="X1031" s="686"/>
      <c r="Y1031" s="686"/>
      <c r="Z1031" s="686"/>
      <c r="AA1031" s="686"/>
      <c r="AB1031" s="686"/>
      <c r="AC1031" s="686"/>
      <c r="AD1031" s="686"/>
      <c r="AE1031" s="686"/>
      <c r="AF1031" s="686"/>
    </row>
    <row r="1032" ht="15.75" customHeight="1">
      <c r="A1032" s="683"/>
      <c r="B1032" s="683"/>
      <c r="C1032" s="684"/>
      <c r="D1032" s="684"/>
      <c r="E1032" s="684"/>
      <c r="F1032" s="683"/>
      <c r="G1032" s="683"/>
      <c r="H1032" s="683"/>
      <c r="I1032" s="683"/>
      <c r="J1032" s="683"/>
      <c r="K1032" s="683"/>
      <c r="L1032" s="685"/>
      <c r="M1032" s="685"/>
      <c r="N1032" s="687"/>
      <c r="O1032" s="683"/>
      <c r="P1032" s="683"/>
      <c r="Q1032" s="686"/>
      <c r="R1032" s="686"/>
      <c r="S1032" s="686"/>
      <c r="T1032" s="686"/>
      <c r="U1032" s="686"/>
      <c r="V1032" s="686"/>
      <c r="W1032" s="686"/>
      <c r="X1032" s="686"/>
      <c r="Y1032" s="686"/>
      <c r="Z1032" s="686"/>
      <c r="AA1032" s="686"/>
      <c r="AB1032" s="686"/>
      <c r="AC1032" s="686"/>
      <c r="AD1032" s="686"/>
      <c r="AE1032" s="686"/>
      <c r="AF1032" s="686"/>
    </row>
    <row r="1033" ht="15.75" customHeight="1">
      <c r="A1033" s="683"/>
      <c r="B1033" s="683"/>
      <c r="C1033" s="684"/>
      <c r="D1033" s="684"/>
      <c r="E1033" s="684"/>
      <c r="F1033" s="683"/>
      <c r="G1033" s="683"/>
      <c r="H1033" s="683"/>
      <c r="I1033" s="683"/>
      <c r="J1033" s="683"/>
      <c r="K1033" s="683"/>
      <c r="L1033" s="685"/>
      <c r="M1033" s="685"/>
      <c r="N1033" s="687"/>
      <c r="O1033" s="683"/>
      <c r="P1033" s="683"/>
      <c r="Q1033" s="686"/>
      <c r="R1033" s="686"/>
      <c r="S1033" s="686"/>
      <c r="T1033" s="686"/>
      <c r="U1033" s="686"/>
      <c r="V1033" s="686"/>
      <c r="W1033" s="686"/>
      <c r="X1033" s="686"/>
      <c r="Y1033" s="686"/>
      <c r="Z1033" s="686"/>
      <c r="AA1033" s="686"/>
      <c r="AB1033" s="686"/>
      <c r="AC1033" s="686"/>
      <c r="AD1033" s="686"/>
      <c r="AE1033" s="686"/>
      <c r="AF1033" s="686"/>
    </row>
    <row r="1034" ht="15.75" customHeight="1">
      <c r="A1034" s="683"/>
      <c r="B1034" s="683"/>
      <c r="C1034" s="684"/>
      <c r="D1034" s="684"/>
      <c r="E1034" s="684"/>
      <c r="F1034" s="683"/>
      <c r="G1034" s="683"/>
      <c r="H1034" s="683"/>
      <c r="I1034" s="683"/>
      <c r="J1034" s="683"/>
      <c r="K1034" s="683"/>
      <c r="L1034" s="685"/>
      <c r="M1034" s="685"/>
      <c r="N1034" s="687"/>
      <c r="O1034" s="683"/>
      <c r="P1034" s="683"/>
      <c r="Q1034" s="686"/>
      <c r="R1034" s="686"/>
      <c r="S1034" s="686"/>
      <c r="T1034" s="686"/>
      <c r="U1034" s="686"/>
      <c r="V1034" s="686"/>
      <c r="W1034" s="686"/>
      <c r="X1034" s="686"/>
      <c r="Y1034" s="686"/>
      <c r="Z1034" s="686"/>
      <c r="AA1034" s="686"/>
      <c r="AB1034" s="686"/>
      <c r="AC1034" s="686"/>
      <c r="AD1034" s="686"/>
      <c r="AE1034" s="686"/>
      <c r="AF1034" s="686"/>
    </row>
    <row r="1035" ht="15.75" customHeight="1">
      <c r="A1035" s="683"/>
      <c r="B1035" s="683"/>
      <c r="C1035" s="684"/>
      <c r="D1035" s="684"/>
      <c r="E1035" s="684"/>
      <c r="F1035" s="683"/>
      <c r="G1035" s="683"/>
      <c r="H1035" s="683"/>
      <c r="I1035" s="683"/>
      <c r="J1035" s="683"/>
      <c r="K1035" s="683"/>
      <c r="L1035" s="685"/>
      <c r="M1035" s="685"/>
      <c r="N1035" s="687"/>
      <c r="O1035" s="683"/>
      <c r="P1035" s="683"/>
      <c r="Q1035" s="686"/>
      <c r="R1035" s="686"/>
      <c r="S1035" s="686"/>
      <c r="T1035" s="686"/>
      <c r="U1035" s="686"/>
      <c r="V1035" s="686"/>
      <c r="W1035" s="686"/>
      <c r="X1035" s="686"/>
      <c r="Y1035" s="686"/>
      <c r="Z1035" s="686"/>
      <c r="AA1035" s="686"/>
      <c r="AB1035" s="686"/>
      <c r="AC1035" s="686"/>
      <c r="AD1035" s="686"/>
      <c r="AE1035" s="686"/>
      <c r="AF1035" s="686"/>
    </row>
    <row r="1036" ht="15.75" customHeight="1">
      <c r="A1036" s="683"/>
      <c r="B1036" s="683"/>
      <c r="C1036" s="684"/>
      <c r="D1036" s="684"/>
      <c r="E1036" s="684"/>
      <c r="F1036" s="683"/>
      <c r="G1036" s="683"/>
      <c r="H1036" s="683"/>
      <c r="I1036" s="683"/>
      <c r="J1036" s="683"/>
      <c r="K1036" s="683"/>
      <c r="L1036" s="685"/>
      <c r="M1036" s="685"/>
      <c r="N1036" s="687"/>
      <c r="O1036" s="683"/>
      <c r="P1036" s="683"/>
      <c r="Q1036" s="686"/>
      <c r="R1036" s="686"/>
      <c r="S1036" s="686"/>
      <c r="T1036" s="686"/>
      <c r="U1036" s="686"/>
      <c r="V1036" s="686"/>
      <c r="W1036" s="686"/>
      <c r="X1036" s="686"/>
      <c r="Y1036" s="686"/>
      <c r="Z1036" s="686"/>
      <c r="AA1036" s="686"/>
      <c r="AB1036" s="686"/>
      <c r="AC1036" s="686"/>
      <c r="AD1036" s="686"/>
      <c r="AE1036" s="686"/>
      <c r="AF1036" s="686"/>
    </row>
    <row r="1037" ht="15.75" customHeight="1">
      <c r="A1037" s="683"/>
      <c r="B1037" s="683"/>
      <c r="C1037" s="684"/>
      <c r="D1037" s="684"/>
      <c r="E1037" s="684"/>
      <c r="F1037" s="683"/>
      <c r="G1037" s="683"/>
      <c r="H1037" s="683"/>
      <c r="I1037" s="683"/>
      <c r="J1037" s="683"/>
      <c r="K1037" s="683"/>
      <c r="L1037" s="685"/>
      <c r="M1037" s="685"/>
      <c r="N1037" s="687"/>
      <c r="O1037" s="683"/>
      <c r="P1037" s="683"/>
      <c r="Q1037" s="686"/>
      <c r="R1037" s="686"/>
      <c r="S1037" s="686"/>
      <c r="T1037" s="686"/>
      <c r="U1037" s="686"/>
      <c r="V1037" s="686"/>
      <c r="W1037" s="686"/>
      <c r="X1037" s="686"/>
      <c r="Y1037" s="686"/>
      <c r="Z1037" s="686"/>
      <c r="AA1037" s="686"/>
      <c r="AB1037" s="686"/>
      <c r="AC1037" s="686"/>
      <c r="AD1037" s="686"/>
      <c r="AE1037" s="686"/>
      <c r="AF1037" s="686"/>
    </row>
    <row r="1038" ht="15.75" customHeight="1">
      <c r="A1038" s="683"/>
      <c r="B1038" s="683"/>
      <c r="C1038" s="684"/>
      <c r="D1038" s="684"/>
      <c r="E1038" s="684"/>
      <c r="F1038" s="683"/>
      <c r="G1038" s="683"/>
      <c r="H1038" s="683"/>
      <c r="I1038" s="683"/>
      <c r="J1038" s="683"/>
      <c r="K1038" s="683"/>
      <c r="L1038" s="685"/>
      <c r="M1038" s="685"/>
      <c r="N1038" s="687"/>
      <c r="O1038" s="683"/>
      <c r="P1038" s="683"/>
      <c r="Q1038" s="686"/>
      <c r="R1038" s="686"/>
      <c r="S1038" s="686"/>
      <c r="T1038" s="686"/>
      <c r="U1038" s="686"/>
      <c r="V1038" s="686"/>
      <c r="W1038" s="686"/>
      <c r="X1038" s="686"/>
      <c r="Y1038" s="686"/>
      <c r="Z1038" s="686"/>
      <c r="AA1038" s="686"/>
      <c r="AB1038" s="686"/>
      <c r="AC1038" s="686"/>
      <c r="AD1038" s="686"/>
      <c r="AE1038" s="686"/>
      <c r="AF1038" s="686"/>
    </row>
    <row r="1039" ht="15.75" customHeight="1">
      <c r="A1039" s="683"/>
      <c r="B1039" s="683"/>
      <c r="C1039" s="684"/>
      <c r="D1039" s="684"/>
      <c r="E1039" s="684"/>
      <c r="F1039" s="683"/>
      <c r="G1039" s="683"/>
      <c r="H1039" s="683"/>
      <c r="I1039" s="683"/>
      <c r="J1039" s="683"/>
      <c r="K1039" s="683"/>
      <c r="L1039" s="685"/>
      <c r="M1039" s="685"/>
      <c r="N1039" s="687"/>
      <c r="O1039" s="683"/>
      <c r="P1039" s="683"/>
      <c r="Q1039" s="686"/>
      <c r="R1039" s="686"/>
      <c r="S1039" s="686"/>
      <c r="T1039" s="686"/>
      <c r="U1039" s="686"/>
      <c r="V1039" s="686"/>
      <c r="W1039" s="686"/>
      <c r="X1039" s="686"/>
      <c r="Y1039" s="686"/>
      <c r="Z1039" s="686"/>
      <c r="AA1039" s="686"/>
      <c r="AB1039" s="686"/>
      <c r="AC1039" s="686"/>
      <c r="AD1039" s="686"/>
      <c r="AE1039" s="686"/>
      <c r="AF1039" s="686"/>
    </row>
    <row r="1040" ht="15.75" customHeight="1">
      <c r="A1040" s="683"/>
      <c r="B1040" s="683"/>
      <c r="C1040" s="684"/>
      <c r="D1040" s="684"/>
      <c r="E1040" s="684"/>
      <c r="F1040" s="683"/>
      <c r="G1040" s="683"/>
      <c r="H1040" s="683"/>
      <c r="I1040" s="683"/>
      <c r="J1040" s="683"/>
      <c r="K1040" s="683"/>
      <c r="L1040" s="685"/>
      <c r="M1040" s="685"/>
      <c r="N1040" s="687"/>
      <c r="O1040" s="683"/>
      <c r="P1040" s="683"/>
      <c r="Q1040" s="686"/>
      <c r="R1040" s="686"/>
      <c r="S1040" s="686"/>
      <c r="T1040" s="686"/>
      <c r="U1040" s="686"/>
      <c r="V1040" s="686"/>
      <c r="W1040" s="686"/>
      <c r="X1040" s="686"/>
      <c r="Y1040" s="686"/>
      <c r="Z1040" s="686"/>
      <c r="AA1040" s="686"/>
      <c r="AB1040" s="686"/>
      <c r="AC1040" s="686"/>
      <c r="AD1040" s="686"/>
      <c r="AE1040" s="686"/>
      <c r="AF1040" s="686"/>
    </row>
    <row r="1041" ht="15.75" customHeight="1">
      <c r="A1041" s="683"/>
      <c r="B1041" s="683"/>
      <c r="C1041" s="684"/>
      <c r="D1041" s="684"/>
      <c r="E1041" s="684"/>
      <c r="F1041" s="683"/>
      <c r="G1041" s="683"/>
      <c r="H1041" s="683"/>
      <c r="I1041" s="683"/>
      <c r="J1041" s="683"/>
      <c r="K1041" s="683"/>
      <c r="L1041" s="685"/>
      <c r="M1041" s="685"/>
      <c r="N1041" s="687"/>
      <c r="O1041" s="683"/>
      <c r="P1041" s="683"/>
      <c r="Q1041" s="686"/>
      <c r="R1041" s="686"/>
      <c r="S1041" s="686"/>
      <c r="T1041" s="686"/>
      <c r="U1041" s="686"/>
      <c r="V1041" s="686"/>
      <c r="W1041" s="686"/>
      <c r="X1041" s="686"/>
      <c r="Y1041" s="686"/>
      <c r="Z1041" s="686"/>
      <c r="AA1041" s="686"/>
      <c r="AB1041" s="686"/>
      <c r="AC1041" s="686"/>
      <c r="AD1041" s="686"/>
      <c r="AE1041" s="686"/>
      <c r="AF1041" s="686"/>
    </row>
    <row r="1042" ht="15.75" customHeight="1">
      <c r="A1042" s="683"/>
      <c r="B1042" s="683"/>
      <c r="C1042" s="684"/>
      <c r="D1042" s="684"/>
      <c r="E1042" s="684"/>
      <c r="F1042" s="683"/>
      <c r="G1042" s="683"/>
      <c r="H1042" s="683"/>
      <c r="I1042" s="683"/>
      <c r="J1042" s="683"/>
      <c r="K1042" s="683"/>
      <c r="L1042" s="685"/>
      <c r="M1042" s="685"/>
      <c r="N1042" s="687"/>
      <c r="O1042" s="683"/>
      <c r="P1042" s="683"/>
      <c r="Q1042" s="686"/>
      <c r="R1042" s="686"/>
      <c r="S1042" s="686"/>
      <c r="T1042" s="686"/>
      <c r="U1042" s="686"/>
      <c r="V1042" s="686"/>
      <c r="W1042" s="686"/>
      <c r="X1042" s="686"/>
      <c r="Y1042" s="686"/>
      <c r="Z1042" s="686"/>
      <c r="AA1042" s="686"/>
      <c r="AB1042" s="686"/>
      <c r="AC1042" s="686"/>
      <c r="AD1042" s="686"/>
      <c r="AE1042" s="686"/>
      <c r="AF1042" s="686"/>
    </row>
    <row r="1043" ht="15.75" customHeight="1">
      <c r="A1043" s="683"/>
      <c r="B1043" s="683"/>
      <c r="C1043" s="684"/>
      <c r="D1043" s="684"/>
      <c r="E1043" s="684"/>
      <c r="F1043" s="683"/>
      <c r="G1043" s="683"/>
      <c r="H1043" s="683"/>
      <c r="I1043" s="683"/>
      <c r="J1043" s="683"/>
      <c r="K1043" s="683"/>
      <c r="L1043" s="685"/>
      <c r="M1043" s="685"/>
      <c r="N1043" s="687"/>
      <c r="O1043" s="683"/>
      <c r="P1043" s="683"/>
      <c r="Q1043" s="686"/>
      <c r="R1043" s="686"/>
      <c r="S1043" s="686"/>
      <c r="T1043" s="686"/>
      <c r="U1043" s="686"/>
      <c r="V1043" s="686"/>
      <c r="W1043" s="686"/>
      <c r="X1043" s="686"/>
      <c r="Y1043" s="686"/>
      <c r="Z1043" s="686"/>
      <c r="AA1043" s="686"/>
      <c r="AB1043" s="686"/>
      <c r="AC1043" s="686"/>
      <c r="AD1043" s="686"/>
      <c r="AE1043" s="686"/>
      <c r="AF1043" s="686"/>
    </row>
    <row r="1044" ht="15.75" customHeight="1">
      <c r="A1044" s="683"/>
      <c r="B1044" s="683"/>
      <c r="C1044" s="684"/>
      <c r="D1044" s="684"/>
      <c r="E1044" s="684"/>
      <c r="F1044" s="683"/>
      <c r="G1044" s="683"/>
      <c r="H1044" s="683"/>
      <c r="I1044" s="683"/>
      <c r="J1044" s="683"/>
      <c r="K1044" s="683"/>
      <c r="L1044" s="685"/>
      <c r="M1044" s="685"/>
      <c r="N1044" s="687"/>
      <c r="O1044" s="683"/>
      <c r="P1044" s="683"/>
      <c r="Q1044" s="686"/>
      <c r="R1044" s="686"/>
      <c r="S1044" s="686"/>
      <c r="T1044" s="686"/>
      <c r="U1044" s="686"/>
      <c r="V1044" s="686"/>
      <c r="W1044" s="686"/>
      <c r="X1044" s="686"/>
      <c r="Y1044" s="686"/>
      <c r="Z1044" s="686"/>
      <c r="AA1044" s="686"/>
      <c r="AB1044" s="686"/>
      <c r="AC1044" s="686"/>
      <c r="AD1044" s="686"/>
      <c r="AE1044" s="686"/>
      <c r="AF1044" s="686"/>
    </row>
    <row r="1045" ht="15.75" customHeight="1">
      <c r="A1045" s="683"/>
      <c r="B1045" s="683"/>
      <c r="C1045" s="684"/>
      <c r="D1045" s="684"/>
      <c r="E1045" s="684"/>
      <c r="F1045" s="683"/>
      <c r="G1045" s="683"/>
      <c r="H1045" s="683"/>
      <c r="I1045" s="683"/>
      <c r="J1045" s="683"/>
      <c r="K1045" s="683"/>
      <c r="L1045" s="685"/>
      <c r="M1045" s="685"/>
      <c r="N1045" s="687"/>
      <c r="O1045" s="683"/>
      <c r="P1045" s="683"/>
      <c r="Q1045" s="686"/>
      <c r="R1045" s="686"/>
      <c r="S1045" s="686"/>
      <c r="T1045" s="686"/>
      <c r="U1045" s="686"/>
      <c r="V1045" s="686"/>
      <c r="W1045" s="686"/>
      <c r="X1045" s="686"/>
      <c r="Y1045" s="686"/>
      <c r="Z1045" s="686"/>
      <c r="AA1045" s="686"/>
      <c r="AB1045" s="686"/>
      <c r="AC1045" s="686"/>
      <c r="AD1045" s="686"/>
      <c r="AE1045" s="686"/>
      <c r="AF1045" s="686"/>
    </row>
    <row r="1046" ht="15.75" customHeight="1">
      <c r="A1046" s="683"/>
      <c r="B1046" s="683"/>
      <c r="C1046" s="684"/>
      <c r="D1046" s="684"/>
      <c r="E1046" s="684"/>
      <c r="F1046" s="683"/>
      <c r="G1046" s="683"/>
      <c r="H1046" s="683"/>
      <c r="I1046" s="683"/>
      <c r="J1046" s="683"/>
      <c r="K1046" s="683"/>
      <c r="L1046" s="685"/>
      <c r="M1046" s="685"/>
      <c r="N1046" s="687"/>
      <c r="O1046" s="683"/>
      <c r="P1046" s="683"/>
      <c r="Q1046" s="686"/>
      <c r="R1046" s="686"/>
      <c r="S1046" s="686"/>
      <c r="T1046" s="686"/>
      <c r="U1046" s="686"/>
      <c r="V1046" s="686"/>
      <c r="W1046" s="686"/>
      <c r="X1046" s="686"/>
      <c r="Y1046" s="686"/>
      <c r="Z1046" s="686"/>
      <c r="AA1046" s="686"/>
      <c r="AB1046" s="686"/>
      <c r="AC1046" s="686"/>
      <c r="AD1046" s="686"/>
      <c r="AE1046" s="686"/>
      <c r="AF1046" s="686"/>
    </row>
    <row r="1047" ht="15.75" customHeight="1">
      <c r="A1047" s="683"/>
      <c r="B1047" s="683"/>
      <c r="C1047" s="684"/>
      <c r="D1047" s="684"/>
      <c r="E1047" s="684"/>
      <c r="F1047" s="683"/>
      <c r="G1047" s="683"/>
      <c r="H1047" s="683"/>
      <c r="I1047" s="683"/>
      <c r="J1047" s="683"/>
      <c r="K1047" s="683"/>
      <c r="L1047" s="685"/>
      <c r="M1047" s="685"/>
      <c r="N1047" s="687"/>
      <c r="O1047" s="683"/>
      <c r="P1047" s="683"/>
      <c r="Q1047" s="686"/>
      <c r="R1047" s="686"/>
      <c r="S1047" s="686"/>
      <c r="T1047" s="686"/>
      <c r="U1047" s="686"/>
      <c r="V1047" s="686"/>
      <c r="W1047" s="686"/>
      <c r="X1047" s="686"/>
      <c r="Y1047" s="686"/>
      <c r="Z1047" s="686"/>
      <c r="AA1047" s="686"/>
      <c r="AB1047" s="686"/>
      <c r="AC1047" s="686"/>
      <c r="AD1047" s="686"/>
      <c r="AE1047" s="686"/>
      <c r="AF1047" s="686"/>
    </row>
    <row r="1048" ht="15.75" customHeight="1">
      <c r="A1048" s="683"/>
      <c r="B1048" s="683"/>
      <c r="C1048" s="684"/>
      <c r="D1048" s="684"/>
      <c r="E1048" s="684"/>
      <c r="F1048" s="683"/>
      <c r="G1048" s="683"/>
      <c r="H1048" s="683"/>
      <c r="I1048" s="683"/>
      <c r="J1048" s="683"/>
      <c r="K1048" s="683"/>
      <c r="L1048" s="685"/>
      <c r="M1048" s="685"/>
      <c r="N1048" s="687"/>
      <c r="O1048" s="683"/>
      <c r="P1048" s="683"/>
      <c r="Q1048" s="686"/>
      <c r="R1048" s="686"/>
      <c r="S1048" s="686"/>
      <c r="T1048" s="686"/>
      <c r="U1048" s="686"/>
      <c r="V1048" s="686"/>
      <c r="W1048" s="686"/>
      <c r="X1048" s="686"/>
      <c r="Y1048" s="686"/>
      <c r="Z1048" s="686"/>
      <c r="AA1048" s="686"/>
      <c r="AB1048" s="686"/>
      <c r="AC1048" s="686"/>
      <c r="AD1048" s="686"/>
      <c r="AE1048" s="686"/>
      <c r="AF1048" s="686"/>
    </row>
    <row r="1049" ht="15.75" customHeight="1">
      <c r="A1049" s="683"/>
      <c r="B1049" s="683"/>
      <c r="C1049" s="684"/>
      <c r="D1049" s="684"/>
      <c r="E1049" s="684"/>
      <c r="F1049" s="683"/>
      <c r="G1049" s="683"/>
      <c r="H1049" s="683"/>
      <c r="I1049" s="683"/>
      <c r="J1049" s="683"/>
      <c r="K1049" s="683"/>
      <c r="L1049" s="685"/>
      <c r="M1049" s="685"/>
      <c r="N1049" s="687"/>
      <c r="O1049" s="683"/>
      <c r="P1049" s="683"/>
      <c r="Q1049" s="686"/>
      <c r="R1049" s="686"/>
      <c r="S1049" s="686"/>
      <c r="T1049" s="686"/>
      <c r="U1049" s="686"/>
      <c r="V1049" s="686"/>
      <c r="W1049" s="686"/>
      <c r="X1049" s="686"/>
      <c r="Y1049" s="686"/>
      <c r="Z1049" s="686"/>
      <c r="AA1049" s="686"/>
      <c r="AB1049" s="686"/>
      <c r="AC1049" s="686"/>
      <c r="AD1049" s="686"/>
      <c r="AE1049" s="686"/>
      <c r="AF1049" s="686"/>
    </row>
    <row r="1050" ht="15.75" customHeight="1">
      <c r="A1050" s="683"/>
      <c r="B1050" s="683"/>
      <c r="C1050" s="684"/>
      <c r="D1050" s="684"/>
      <c r="E1050" s="684"/>
      <c r="F1050" s="683"/>
      <c r="G1050" s="683"/>
      <c r="H1050" s="683"/>
      <c r="I1050" s="683"/>
      <c r="J1050" s="683"/>
      <c r="K1050" s="683"/>
      <c r="L1050" s="685"/>
      <c r="M1050" s="685"/>
      <c r="N1050" s="687"/>
      <c r="O1050" s="683"/>
      <c r="P1050" s="683"/>
      <c r="Q1050" s="686"/>
      <c r="R1050" s="686"/>
      <c r="S1050" s="686"/>
      <c r="T1050" s="686"/>
      <c r="U1050" s="686"/>
      <c r="V1050" s="686"/>
      <c r="W1050" s="686"/>
      <c r="X1050" s="686"/>
      <c r="Y1050" s="686"/>
      <c r="Z1050" s="686"/>
      <c r="AA1050" s="686"/>
      <c r="AB1050" s="686"/>
      <c r="AC1050" s="686"/>
      <c r="AD1050" s="686"/>
      <c r="AE1050" s="686"/>
      <c r="AF1050" s="686"/>
    </row>
    <row r="1051" ht="15.75" customHeight="1">
      <c r="A1051" s="683"/>
      <c r="B1051" s="683"/>
      <c r="C1051" s="684"/>
      <c r="D1051" s="684"/>
      <c r="E1051" s="684"/>
      <c r="F1051" s="683"/>
      <c r="G1051" s="683"/>
      <c r="H1051" s="683"/>
      <c r="I1051" s="683"/>
      <c r="J1051" s="683"/>
      <c r="K1051" s="683"/>
      <c r="L1051" s="685"/>
      <c r="M1051" s="685"/>
      <c r="N1051" s="687"/>
      <c r="O1051" s="683"/>
      <c r="P1051" s="683"/>
      <c r="Q1051" s="686"/>
      <c r="R1051" s="686"/>
      <c r="S1051" s="686"/>
      <c r="T1051" s="686"/>
      <c r="U1051" s="686"/>
      <c r="V1051" s="686"/>
      <c r="W1051" s="686"/>
      <c r="X1051" s="686"/>
      <c r="Y1051" s="686"/>
      <c r="Z1051" s="686"/>
      <c r="AA1051" s="686"/>
      <c r="AB1051" s="686"/>
      <c r="AC1051" s="686"/>
      <c r="AD1051" s="686"/>
      <c r="AE1051" s="686"/>
      <c r="AF1051" s="686"/>
    </row>
    <row r="1052" ht="15.75" customHeight="1">
      <c r="A1052" s="683"/>
      <c r="B1052" s="683"/>
      <c r="C1052" s="684"/>
      <c r="D1052" s="684"/>
      <c r="E1052" s="684"/>
      <c r="F1052" s="683"/>
      <c r="G1052" s="683"/>
      <c r="H1052" s="683"/>
      <c r="I1052" s="683"/>
      <c r="J1052" s="683"/>
      <c r="K1052" s="683"/>
      <c r="L1052" s="685"/>
      <c r="M1052" s="685"/>
      <c r="N1052" s="687"/>
      <c r="O1052" s="683"/>
      <c r="P1052" s="683"/>
      <c r="Q1052" s="686"/>
      <c r="R1052" s="686"/>
      <c r="S1052" s="686"/>
      <c r="T1052" s="686"/>
      <c r="U1052" s="686"/>
      <c r="V1052" s="686"/>
      <c r="W1052" s="686"/>
      <c r="X1052" s="686"/>
      <c r="Y1052" s="686"/>
      <c r="Z1052" s="686"/>
      <c r="AA1052" s="686"/>
      <c r="AB1052" s="686"/>
      <c r="AC1052" s="686"/>
      <c r="AD1052" s="686"/>
      <c r="AE1052" s="686"/>
      <c r="AF1052" s="686"/>
    </row>
    <row r="1053" ht="15.75" customHeight="1">
      <c r="A1053" s="683"/>
      <c r="B1053" s="683"/>
      <c r="C1053" s="684"/>
      <c r="D1053" s="684"/>
      <c r="E1053" s="684"/>
      <c r="F1053" s="683"/>
      <c r="G1053" s="683"/>
      <c r="H1053" s="683"/>
      <c r="I1053" s="683"/>
      <c r="J1053" s="683"/>
      <c r="K1053" s="683"/>
      <c r="L1053" s="685"/>
      <c r="M1053" s="685"/>
      <c r="N1053" s="687"/>
      <c r="O1053" s="683"/>
      <c r="P1053" s="683"/>
      <c r="Q1053" s="686"/>
      <c r="R1053" s="686"/>
      <c r="S1053" s="686"/>
      <c r="T1053" s="686"/>
      <c r="U1053" s="686"/>
      <c r="V1053" s="686"/>
      <c r="W1053" s="686"/>
      <c r="X1053" s="686"/>
      <c r="Y1053" s="686"/>
      <c r="Z1053" s="686"/>
      <c r="AA1053" s="686"/>
      <c r="AB1053" s="686"/>
      <c r="AC1053" s="686"/>
      <c r="AD1053" s="686"/>
      <c r="AE1053" s="686"/>
      <c r="AF1053" s="686"/>
    </row>
    <row r="1054" ht="15.75" customHeight="1">
      <c r="A1054" s="683"/>
      <c r="B1054" s="683"/>
      <c r="C1054" s="684"/>
      <c r="D1054" s="684"/>
      <c r="E1054" s="684"/>
      <c r="F1054" s="683"/>
      <c r="G1054" s="683"/>
      <c r="H1054" s="683"/>
      <c r="I1054" s="683"/>
      <c r="J1054" s="683"/>
      <c r="K1054" s="683"/>
      <c r="L1054" s="685"/>
      <c r="M1054" s="685"/>
      <c r="N1054" s="687"/>
      <c r="O1054" s="683"/>
      <c r="P1054" s="683"/>
      <c r="Q1054" s="686"/>
      <c r="R1054" s="686"/>
      <c r="S1054" s="686"/>
      <c r="T1054" s="686"/>
      <c r="U1054" s="686"/>
      <c r="V1054" s="686"/>
      <c r="W1054" s="686"/>
      <c r="X1054" s="686"/>
      <c r="Y1054" s="686"/>
      <c r="Z1054" s="686"/>
      <c r="AA1054" s="686"/>
      <c r="AB1054" s="686"/>
      <c r="AC1054" s="686"/>
      <c r="AD1054" s="686"/>
      <c r="AE1054" s="686"/>
      <c r="AF1054" s="686"/>
    </row>
    <row r="1055" ht="15.75" customHeight="1">
      <c r="A1055" s="683"/>
      <c r="B1055" s="683"/>
      <c r="C1055" s="684"/>
      <c r="D1055" s="684"/>
      <c r="E1055" s="684"/>
      <c r="F1055" s="683"/>
      <c r="G1055" s="683"/>
      <c r="H1055" s="683"/>
      <c r="I1055" s="683"/>
      <c r="J1055" s="683"/>
      <c r="K1055" s="683"/>
      <c r="L1055" s="685"/>
      <c r="M1055" s="685"/>
      <c r="N1055" s="687"/>
      <c r="O1055" s="683"/>
      <c r="P1055" s="683"/>
      <c r="Q1055" s="686"/>
      <c r="R1055" s="686"/>
      <c r="S1055" s="686"/>
      <c r="T1055" s="686"/>
      <c r="U1055" s="686"/>
      <c r="V1055" s="686"/>
      <c r="W1055" s="686"/>
      <c r="X1055" s="686"/>
      <c r="Y1055" s="686"/>
      <c r="Z1055" s="686"/>
      <c r="AA1055" s="686"/>
      <c r="AB1055" s="686"/>
      <c r="AC1055" s="686"/>
      <c r="AD1055" s="686"/>
      <c r="AE1055" s="686"/>
      <c r="AF1055" s="686"/>
    </row>
    <row r="1056" ht="15.75" customHeight="1">
      <c r="A1056" s="683"/>
      <c r="B1056" s="683"/>
      <c r="C1056" s="684"/>
      <c r="D1056" s="684"/>
      <c r="E1056" s="684"/>
      <c r="F1056" s="683"/>
      <c r="G1056" s="683"/>
      <c r="H1056" s="683"/>
      <c r="I1056" s="683"/>
      <c r="J1056" s="683"/>
      <c r="K1056" s="683"/>
      <c r="L1056" s="685"/>
      <c r="M1056" s="685"/>
      <c r="N1056" s="687"/>
      <c r="O1056" s="683"/>
      <c r="P1056" s="683"/>
      <c r="Q1056" s="686"/>
      <c r="R1056" s="686"/>
      <c r="S1056" s="686"/>
      <c r="T1056" s="686"/>
      <c r="U1056" s="686"/>
      <c r="V1056" s="686"/>
      <c r="W1056" s="686"/>
      <c r="X1056" s="686"/>
      <c r="Y1056" s="686"/>
      <c r="Z1056" s="686"/>
      <c r="AA1056" s="686"/>
      <c r="AB1056" s="686"/>
      <c r="AC1056" s="686"/>
      <c r="AD1056" s="686"/>
      <c r="AE1056" s="686"/>
      <c r="AF1056" s="686"/>
    </row>
    <row r="1057" ht="15.75" customHeight="1">
      <c r="A1057" s="683"/>
      <c r="B1057" s="683"/>
      <c r="C1057" s="684"/>
      <c r="D1057" s="684"/>
      <c r="E1057" s="684"/>
      <c r="F1057" s="683"/>
      <c r="G1057" s="683"/>
      <c r="H1057" s="683"/>
      <c r="I1057" s="683"/>
      <c r="J1057" s="683"/>
      <c r="K1057" s="683"/>
      <c r="L1057" s="685"/>
      <c r="M1057" s="685"/>
      <c r="N1057" s="687"/>
      <c r="O1057" s="683"/>
      <c r="P1057" s="683"/>
      <c r="Q1057" s="686"/>
      <c r="R1057" s="686"/>
      <c r="S1057" s="686"/>
      <c r="T1057" s="686"/>
      <c r="U1057" s="686"/>
      <c r="V1057" s="686"/>
      <c r="W1057" s="686"/>
      <c r="X1057" s="686"/>
      <c r="Y1057" s="686"/>
      <c r="Z1057" s="686"/>
      <c r="AA1057" s="686"/>
      <c r="AB1057" s="686"/>
      <c r="AC1057" s="686"/>
      <c r="AD1057" s="686"/>
      <c r="AE1057" s="686"/>
      <c r="AF1057" s="686"/>
    </row>
    <row r="1058" ht="15.75" customHeight="1">
      <c r="A1058" s="683"/>
      <c r="B1058" s="683"/>
      <c r="C1058" s="684"/>
      <c r="D1058" s="684"/>
      <c r="E1058" s="684"/>
      <c r="F1058" s="683"/>
      <c r="G1058" s="683"/>
      <c r="H1058" s="683"/>
      <c r="I1058" s="683"/>
      <c r="J1058" s="683"/>
      <c r="K1058" s="683"/>
      <c r="L1058" s="685"/>
      <c r="M1058" s="685"/>
      <c r="N1058" s="687"/>
      <c r="O1058" s="683"/>
      <c r="P1058" s="683"/>
      <c r="Q1058" s="686"/>
      <c r="R1058" s="686"/>
      <c r="S1058" s="686"/>
      <c r="T1058" s="686"/>
      <c r="U1058" s="686"/>
      <c r="V1058" s="686"/>
      <c r="W1058" s="686"/>
      <c r="X1058" s="686"/>
      <c r="Y1058" s="686"/>
      <c r="Z1058" s="686"/>
      <c r="AA1058" s="686"/>
      <c r="AB1058" s="686"/>
      <c r="AC1058" s="686"/>
      <c r="AD1058" s="686"/>
      <c r="AE1058" s="686"/>
      <c r="AF1058" s="686"/>
    </row>
    <row r="1059" ht="15.75" customHeight="1">
      <c r="A1059" s="683"/>
      <c r="B1059" s="683"/>
      <c r="C1059" s="684"/>
      <c r="D1059" s="684"/>
      <c r="E1059" s="684"/>
      <c r="F1059" s="683"/>
      <c r="G1059" s="683"/>
      <c r="H1059" s="683"/>
      <c r="I1059" s="683"/>
      <c r="J1059" s="683"/>
      <c r="K1059" s="683"/>
      <c r="L1059" s="685"/>
      <c r="M1059" s="685"/>
      <c r="N1059" s="687"/>
      <c r="O1059" s="683"/>
      <c r="P1059" s="683"/>
      <c r="Q1059" s="686"/>
      <c r="R1059" s="686"/>
      <c r="S1059" s="686"/>
      <c r="T1059" s="686"/>
      <c r="U1059" s="686"/>
      <c r="V1059" s="686"/>
      <c r="W1059" s="686"/>
      <c r="X1059" s="686"/>
      <c r="Y1059" s="686"/>
      <c r="Z1059" s="686"/>
      <c r="AA1059" s="686"/>
      <c r="AB1059" s="686"/>
      <c r="AC1059" s="686"/>
      <c r="AD1059" s="686"/>
      <c r="AE1059" s="686"/>
      <c r="AF1059" s="686"/>
    </row>
    <row r="1060" ht="15.75" customHeight="1">
      <c r="A1060" s="683"/>
      <c r="B1060" s="683"/>
      <c r="C1060" s="684"/>
      <c r="D1060" s="684"/>
      <c r="E1060" s="684"/>
      <c r="F1060" s="683"/>
      <c r="G1060" s="683"/>
      <c r="H1060" s="683"/>
      <c r="I1060" s="683"/>
      <c r="J1060" s="683"/>
      <c r="K1060" s="683"/>
      <c r="L1060" s="685"/>
      <c r="M1060" s="685"/>
      <c r="N1060" s="687"/>
      <c r="O1060" s="683"/>
      <c r="P1060" s="683"/>
      <c r="Q1060" s="686"/>
      <c r="R1060" s="686"/>
      <c r="S1060" s="686"/>
      <c r="T1060" s="686"/>
      <c r="U1060" s="686"/>
      <c r="V1060" s="686"/>
      <c r="W1060" s="686"/>
      <c r="X1060" s="686"/>
      <c r="Y1060" s="686"/>
      <c r="Z1060" s="686"/>
      <c r="AA1060" s="686"/>
      <c r="AB1060" s="686"/>
      <c r="AC1060" s="686"/>
      <c r="AD1060" s="686"/>
      <c r="AE1060" s="686"/>
      <c r="AF1060" s="686"/>
    </row>
    <row r="1061" ht="15.75" customHeight="1">
      <c r="A1061" s="683"/>
      <c r="B1061" s="683"/>
      <c r="C1061" s="684"/>
      <c r="D1061" s="684"/>
      <c r="E1061" s="684"/>
      <c r="F1061" s="683"/>
      <c r="G1061" s="683"/>
      <c r="H1061" s="683"/>
      <c r="I1061" s="683"/>
      <c r="J1061" s="683"/>
      <c r="K1061" s="683"/>
      <c r="L1061" s="685"/>
      <c r="M1061" s="685"/>
      <c r="N1061" s="687"/>
      <c r="O1061" s="683"/>
      <c r="P1061" s="683"/>
      <c r="Q1061" s="686"/>
      <c r="R1061" s="686"/>
      <c r="S1061" s="686"/>
      <c r="T1061" s="686"/>
      <c r="U1061" s="686"/>
      <c r="V1061" s="686"/>
      <c r="W1061" s="686"/>
      <c r="X1061" s="686"/>
      <c r="Y1061" s="686"/>
      <c r="Z1061" s="686"/>
      <c r="AA1061" s="686"/>
      <c r="AB1061" s="686"/>
      <c r="AC1061" s="686"/>
      <c r="AD1061" s="686"/>
      <c r="AE1061" s="686"/>
      <c r="AF1061" s="686"/>
    </row>
    <row r="1062" ht="15.75" customHeight="1">
      <c r="A1062" s="683"/>
      <c r="B1062" s="683"/>
      <c r="C1062" s="684"/>
      <c r="D1062" s="684"/>
      <c r="E1062" s="684"/>
      <c r="F1062" s="683"/>
      <c r="G1062" s="683"/>
      <c r="H1062" s="683"/>
      <c r="I1062" s="683"/>
      <c r="J1062" s="683"/>
      <c r="K1062" s="683"/>
      <c r="L1062" s="685"/>
      <c r="M1062" s="685"/>
      <c r="N1062" s="687"/>
      <c r="O1062" s="683"/>
      <c r="P1062" s="683"/>
      <c r="Q1062" s="686"/>
      <c r="R1062" s="686"/>
      <c r="S1062" s="686"/>
      <c r="T1062" s="686"/>
      <c r="U1062" s="686"/>
      <c r="V1062" s="686"/>
      <c r="W1062" s="686"/>
      <c r="X1062" s="686"/>
      <c r="Y1062" s="686"/>
      <c r="Z1062" s="686"/>
      <c r="AA1062" s="686"/>
      <c r="AB1062" s="686"/>
      <c r="AC1062" s="686"/>
      <c r="AD1062" s="686"/>
      <c r="AE1062" s="686"/>
      <c r="AF1062" s="686"/>
    </row>
    <row r="1063" ht="15.75" customHeight="1">
      <c r="A1063" s="683"/>
      <c r="B1063" s="683"/>
      <c r="C1063" s="684"/>
      <c r="D1063" s="684"/>
      <c r="E1063" s="684"/>
      <c r="F1063" s="683"/>
      <c r="G1063" s="683"/>
      <c r="H1063" s="683"/>
      <c r="I1063" s="683"/>
      <c r="J1063" s="683"/>
      <c r="K1063" s="683"/>
      <c r="L1063" s="685"/>
      <c r="M1063" s="685"/>
      <c r="N1063" s="687"/>
      <c r="O1063" s="683"/>
      <c r="P1063" s="683"/>
      <c r="Q1063" s="686"/>
      <c r="R1063" s="686"/>
      <c r="S1063" s="686"/>
      <c r="T1063" s="686"/>
      <c r="U1063" s="686"/>
      <c r="V1063" s="686"/>
      <c r="W1063" s="686"/>
      <c r="X1063" s="686"/>
      <c r="Y1063" s="686"/>
      <c r="Z1063" s="686"/>
      <c r="AA1063" s="686"/>
      <c r="AB1063" s="686"/>
      <c r="AC1063" s="686"/>
      <c r="AD1063" s="686"/>
      <c r="AE1063" s="686"/>
      <c r="AF1063" s="686"/>
    </row>
    <row r="1064" ht="15.75" customHeight="1">
      <c r="A1064" s="683"/>
      <c r="B1064" s="683"/>
      <c r="C1064" s="684"/>
      <c r="D1064" s="684"/>
      <c r="E1064" s="684"/>
      <c r="F1064" s="683"/>
      <c r="G1064" s="683"/>
      <c r="H1064" s="683"/>
      <c r="I1064" s="683"/>
      <c r="J1064" s="683"/>
      <c r="K1064" s="683"/>
      <c r="L1064" s="685"/>
      <c r="M1064" s="685"/>
      <c r="N1064" s="687"/>
      <c r="O1064" s="683"/>
      <c r="P1064" s="683"/>
      <c r="Q1064" s="686"/>
      <c r="R1064" s="686"/>
      <c r="S1064" s="686"/>
      <c r="T1064" s="686"/>
      <c r="U1064" s="686"/>
      <c r="V1064" s="686"/>
      <c r="W1064" s="686"/>
      <c r="X1064" s="686"/>
      <c r="Y1064" s="686"/>
      <c r="Z1064" s="686"/>
      <c r="AA1064" s="686"/>
      <c r="AB1064" s="686"/>
      <c r="AC1064" s="686"/>
      <c r="AD1064" s="686"/>
      <c r="AE1064" s="686"/>
      <c r="AF1064" s="686"/>
    </row>
    <row r="1065" ht="15.75" customHeight="1">
      <c r="A1065" s="683"/>
      <c r="B1065" s="683"/>
      <c r="C1065" s="684"/>
      <c r="D1065" s="684"/>
      <c r="E1065" s="684"/>
      <c r="F1065" s="683"/>
      <c r="G1065" s="683"/>
      <c r="H1065" s="683"/>
      <c r="I1065" s="683"/>
      <c r="J1065" s="683"/>
      <c r="K1065" s="683"/>
      <c r="L1065" s="685"/>
      <c r="M1065" s="685"/>
      <c r="N1065" s="687"/>
      <c r="O1065" s="683"/>
      <c r="P1065" s="683"/>
      <c r="Q1065" s="686"/>
      <c r="R1065" s="686"/>
      <c r="S1065" s="686"/>
      <c r="T1065" s="686"/>
      <c r="U1065" s="686"/>
      <c r="V1065" s="686"/>
      <c r="W1065" s="686"/>
      <c r="X1065" s="686"/>
      <c r="Y1065" s="686"/>
      <c r="Z1065" s="686"/>
      <c r="AA1065" s="686"/>
      <c r="AB1065" s="686"/>
      <c r="AC1065" s="686"/>
      <c r="AD1065" s="686"/>
      <c r="AE1065" s="686"/>
      <c r="AF1065" s="686"/>
    </row>
    <row r="1066" ht="15.75" customHeight="1">
      <c r="A1066" s="683"/>
      <c r="B1066" s="683"/>
      <c r="C1066" s="684"/>
      <c r="D1066" s="684"/>
      <c r="E1066" s="684"/>
      <c r="F1066" s="683"/>
      <c r="G1066" s="683"/>
      <c r="H1066" s="683"/>
      <c r="I1066" s="683"/>
      <c r="J1066" s="683"/>
      <c r="K1066" s="683"/>
      <c r="L1066" s="685"/>
      <c r="M1066" s="685"/>
      <c r="N1066" s="687"/>
      <c r="O1066" s="683"/>
      <c r="P1066" s="683"/>
      <c r="Q1066" s="686"/>
      <c r="R1066" s="686"/>
      <c r="S1066" s="686"/>
      <c r="T1066" s="686"/>
      <c r="U1066" s="686"/>
      <c r="V1066" s="686"/>
      <c r="W1066" s="686"/>
      <c r="X1066" s="686"/>
      <c r="Y1066" s="686"/>
      <c r="Z1066" s="686"/>
      <c r="AA1066" s="686"/>
      <c r="AB1066" s="686"/>
      <c r="AC1066" s="686"/>
      <c r="AD1066" s="686"/>
      <c r="AE1066" s="686"/>
      <c r="AF1066" s="686"/>
    </row>
    <row r="1067" ht="15.75" customHeight="1">
      <c r="A1067" s="683"/>
      <c r="B1067" s="683"/>
      <c r="C1067" s="684"/>
      <c r="D1067" s="684"/>
      <c r="E1067" s="684"/>
      <c r="F1067" s="683"/>
      <c r="G1067" s="683"/>
      <c r="H1067" s="683"/>
      <c r="I1067" s="683"/>
      <c r="J1067" s="683"/>
      <c r="K1067" s="683"/>
      <c r="L1067" s="685"/>
      <c r="M1067" s="685"/>
      <c r="N1067" s="687"/>
      <c r="O1067" s="683"/>
      <c r="P1067" s="683"/>
      <c r="Q1067" s="686"/>
      <c r="R1067" s="686"/>
      <c r="S1067" s="686"/>
      <c r="T1067" s="686"/>
      <c r="U1067" s="686"/>
      <c r="V1067" s="686"/>
      <c r="W1067" s="686"/>
      <c r="X1067" s="686"/>
      <c r="Y1067" s="686"/>
      <c r="Z1067" s="686"/>
      <c r="AA1067" s="686"/>
      <c r="AB1067" s="686"/>
      <c r="AC1067" s="686"/>
      <c r="AD1067" s="686"/>
      <c r="AE1067" s="686"/>
      <c r="AF1067" s="686"/>
    </row>
    <row r="1068" ht="15.75" customHeight="1">
      <c r="A1068" s="683"/>
      <c r="B1068" s="683"/>
      <c r="C1068" s="684"/>
      <c r="D1068" s="684"/>
      <c r="E1068" s="684"/>
      <c r="F1068" s="683"/>
      <c r="G1068" s="683"/>
      <c r="H1068" s="683"/>
      <c r="I1068" s="683"/>
      <c r="J1068" s="683"/>
      <c r="K1068" s="683"/>
      <c r="L1068" s="685"/>
      <c r="M1068" s="685"/>
      <c r="N1068" s="687"/>
      <c r="O1068" s="683"/>
      <c r="P1068" s="683"/>
      <c r="Q1068" s="686"/>
      <c r="R1068" s="686"/>
      <c r="S1068" s="686"/>
      <c r="T1068" s="686"/>
      <c r="U1068" s="686"/>
      <c r="V1068" s="686"/>
      <c r="W1068" s="686"/>
      <c r="X1068" s="686"/>
      <c r="Y1068" s="686"/>
      <c r="Z1068" s="686"/>
      <c r="AA1068" s="686"/>
      <c r="AB1068" s="686"/>
      <c r="AC1068" s="686"/>
      <c r="AD1068" s="686"/>
      <c r="AE1068" s="686"/>
      <c r="AF1068" s="686"/>
    </row>
    <row r="1069" ht="15.75" customHeight="1">
      <c r="A1069" s="683"/>
      <c r="B1069" s="683"/>
      <c r="C1069" s="684"/>
      <c r="D1069" s="684"/>
      <c r="E1069" s="684"/>
      <c r="F1069" s="683"/>
      <c r="G1069" s="683"/>
      <c r="H1069" s="683"/>
      <c r="I1069" s="683"/>
      <c r="J1069" s="683"/>
      <c r="K1069" s="683"/>
      <c r="L1069" s="685"/>
      <c r="M1069" s="685"/>
      <c r="N1069" s="687"/>
      <c r="O1069" s="683"/>
      <c r="P1069" s="683"/>
      <c r="Q1069" s="686"/>
      <c r="R1069" s="686"/>
      <c r="S1069" s="686"/>
      <c r="T1069" s="686"/>
      <c r="U1069" s="686"/>
      <c r="V1069" s="686"/>
      <c r="W1069" s="686"/>
      <c r="X1069" s="686"/>
      <c r="Y1069" s="686"/>
      <c r="Z1069" s="686"/>
      <c r="AA1069" s="686"/>
      <c r="AB1069" s="686"/>
      <c r="AC1069" s="686"/>
      <c r="AD1069" s="686"/>
      <c r="AE1069" s="686"/>
      <c r="AF1069" s="686"/>
    </row>
    <row r="1070" ht="15.75" customHeight="1">
      <c r="A1070" s="683"/>
      <c r="B1070" s="683"/>
      <c r="C1070" s="684"/>
      <c r="D1070" s="684"/>
      <c r="E1070" s="684"/>
      <c r="F1070" s="683"/>
      <c r="G1070" s="683"/>
      <c r="H1070" s="683"/>
      <c r="I1070" s="683"/>
      <c r="J1070" s="683"/>
      <c r="K1070" s="683"/>
      <c r="L1070" s="685"/>
      <c r="M1070" s="685"/>
      <c r="N1070" s="687"/>
      <c r="O1070" s="683"/>
      <c r="P1070" s="683"/>
      <c r="Q1070" s="686"/>
      <c r="R1070" s="686"/>
      <c r="S1070" s="686"/>
      <c r="T1070" s="686"/>
      <c r="U1070" s="686"/>
      <c r="V1070" s="686"/>
      <c r="W1070" s="686"/>
      <c r="X1070" s="686"/>
      <c r="Y1070" s="686"/>
      <c r="Z1070" s="686"/>
      <c r="AA1070" s="686"/>
      <c r="AB1070" s="686"/>
      <c r="AC1070" s="686"/>
      <c r="AD1070" s="686"/>
      <c r="AE1070" s="686"/>
      <c r="AF1070" s="686"/>
    </row>
    <row r="1071" ht="15.75" customHeight="1">
      <c r="A1071" s="683"/>
      <c r="B1071" s="683"/>
      <c r="C1071" s="684"/>
      <c r="D1071" s="684"/>
      <c r="E1071" s="684"/>
      <c r="F1071" s="683"/>
      <c r="G1071" s="683"/>
      <c r="H1071" s="683"/>
      <c r="I1071" s="683"/>
      <c r="J1071" s="683"/>
      <c r="K1071" s="683"/>
      <c r="L1071" s="685"/>
      <c r="M1071" s="685"/>
      <c r="N1071" s="687"/>
      <c r="O1071" s="683"/>
      <c r="P1071" s="683"/>
      <c r="Q1071" s="686"/>
      <c r="R1071" s="686"/>
      <c r="S1071" s="686"/>
      <c r="T1071" s="686"/>
      <c r="U1071" s="686"/>
      <c r="V1071" s="686"/>
      <c r="W1071" s="686"/>
      <c r="X1071" s="686"/>
      <c r="Y1071" s="686"/>
      <c r="Z1071" s="686"/>
      <c r="AA1071" s="686"/>
      <c r="AB1071" s="686"/>
      <c r="AC1071" s="686"/>
      <c r="AD1071" s="686"/>
      <c r="AE1071" s="686"/>
      <c r="AF1071" s="686"/>
    </row>
    <row r="1072" ht="15.75" customHeight="1">
      <c r="A1072" s="683"/>
      <c r="B1072" s="683"/>
      <c r="C1072" s="684"/>
      <c r="D1072" s="684"/>
      <c r="E1072" s="684"/>
      <c r="F1072" s="683"/>
      <c r="G1072" s="683"/>
      <c r="H1072" s="683"/>
      <c r="I1072" s="683"/>
      <c r="J1072" s="683"/>
      <c r="K1072" s="683"/>
      <c r="L1072" s="685"/>
      <c r="M1072" s="685"/>
      <c r="N1072" s="687"/>
      <c r="O1072" s="683"/>
      <c r="P1072" s="683"/>
      <c r="Q1072" s="686"/>
      <c r="R1072" s="686"/>
      <c r="S1072" s="686"/>
      <c r="T1072" s="686"/>
      <c r="U1072" s="686"/>
      <c r="V1072" s="686"/>
      <c r="W1072" s="686"/>
      <c r="X1072" s="686"/>
      <c r="Y1072" s="686"/>
      <c r="Z1072" s="686"/>
      <c r="AA1072" s="686"/>
      <c r="AB1072" s="686"/>
      <c r="AC1072" s="686"/>
      <c r="AD1072" s="686"/>
      <c r="AE1072" s="686"/>
      <c r="AF1072" s="686"/>
    </row>
    <row r="1073" ht="15.75" customHeight="1">
      <c r="A1073" s="683"/>
      <c r="B1073" s="683"/>
      <c r="C1073" s="684"/>
      <c r="D1073" s="684"/>
      <c r="E1073" s="684"/>
      <c r="F1073" s="683"/>
      <c r="G1073" s="683"/>
      <c r="H1073" s="683"/>
      <c r="I1073" s="683"/>
      <c r="J1073" s="683"/>
      <c r="K1073" s="683"/>
      <c r="L1073" s="685"/>
      <c r="M1073" s="685"/>
      <c r="N1073" s="687"/>
      <c r="O1073" s="683"/>
      <c r="P1073" s="683"/>
      <c r="Q1073" s="686"/>
      <c r="R1073" s="686"/>
      <c r="S1073" s="686"/>
      <c r="T1073" s="686"/>
      <c r="U1073" s="686"/>
      <c r="V1073" s="686"/>
      <c r="W1073" s="686"/>
      <c r="X1073" s="686"/>
      <c r="Y1073" s="686"/>
      <c r="Z1073" s="686"/>
      <c r="AA1073" s="686"/>
      <c r="AB1073" s="686"/>
      <c r="AC1073" s="686"/>
      <c r="AD1073" s="686"/>
      <c r="AE1073" s="686"/>
      <c r="AF1073" s="686"/>
    </row>
    <row r="1074" ht="15.75" customHeight="1">
      <c r="A1074" s="683"/>
      <c r="B1074" s="683"/>
      <c r="C1074" s="684"/>
      <c r="D1074" s="684"/>
      <c r="E1074" s="684"/>
      <c r="F1074" s="683"/>
      <c r="G1074" s="683"/>
      <c r="H1074" s="683"/>
      <c r="I1074" s="683"/>
      <c r="J1074" s="683"/>
      <c r="K1074" s="683"/>
      <c r="L1074" s="685"/>
      <c r="M1074" s="685"/>
      <c r="N1074" s="687"/>
      <c r="O1074" s="683"/>
      <c r="P1074" s="683"/>
      <c r="Q1074" s="686"/>
      <c r="R1074" s="686"/>
      <c r="S1074" s="686"/>
      <c r="T1074" s="686"/>
      <c r="U1074" s="686"/>
      <c r="V1074" s="686"/>
      <c r="W1074" s="686"/>
      <c r="X1074" s="686"/>
      <c r="Y1074" s="686"/>
      <c r="Z1074" s="686"/>
      <c r="AA1074" s="686"/>
      <c r="AB1074" s="686"/>
      <c r="AC1074" s="686"/>
      <c r="AD1074" s="686"/>
      <c r="AE1074" s="686"/>
      <c r="AF1074" s="686"/>
    </row>
    <row r="1075" ht="15.75" customHeight="1">
      <c r="A1075" s="683"/>
      <c r="B1075" s="683"/>
      <c r="C1075" s="684"/>
      <c r="D1075" s="684"/>
      <c r="E1075" s="684"/>
      <c r="F1075" s="683"/>
      <c r="G1075" s="683"/>
      <c r="H1075" s="683"/>
      <c r="I1075" s="683"/>
      <c r="J1075" s="683"/>
      <c r="K1075" s="683"/>
      <c r="L1075" s="685"/>
      <c r="M1075" s="685"/>
      <c r="N1075" s="687"/>
      <c r="O1075" s="683"/>
      <c r="P1075" s="683"/>
      <c r="Q1075" s="686"/>
      <c r="R1075" s="686"/>
      <c r="S1075" s="686"/>
      <c r="T1075" s="686"/>
      <c r="U1075" s="686"/>
      <c r="V1075" s="686"/>
      <c r="W1075" s="686"/>
      <c r="X1075" s="686"/>
      <c r="Y1075" s="686"/>
      <c r="Z1075" s="686"/>
      <c r="AA1075" s="686"/>
      <c r="AB1075" s="686"/>
      <c r="AC1075" s="686"/>
      <c r="AD1075" s="686"/>
      <c r="AE1075" s="686"/>
      <c r="AF1075" s="686"/>
    </row>
    <row r="1076" ht="15.75" customHeight="1">
      <c r="A1076" s="683"/>
      <c r="B1076" s="683"/>
      <c r="C1076" s="684"/>
      <c r="D1076" s="684"/>
      <c r="E1076" s="684"/>
      <c r="F1076" s="683"/>
      <c r="G1076" s="683"/>
      <c r="H1076" s="683"/>
      <c r="I1076" s="683"/>
      <c r="J1076" s="683"/>
      <c r="K1076" s="683"/>
      <c r="L1076" s="685"/>
      <c r="M1076" s="685"/>
      <c r="N1076" s="687"/>
      <c r="O1076" s="683"/>
      <c r="P1076" s="683"/>
      <c r="Q1076" s="686"/>
      <c r="R1076" s="686"/>
      <c r="S1076" s="686"/>
      <c r="T1076" s="686"/>
      <c r="U1076" s="686"/>
      <c r="V1076" s="686"/>
      <c r="W1076" s="686"/>
      <c r="X1076" s="686"/>
      <c r="Y1076" s="686"/>
      <c r="Z1076" s="686"/>
      <c r="AA1076" s="686"/>
      <c r="AB1076" s="686"/>
      <c r="AC1076" s="686"/>
      <c r="AD1076" s="686"/>
      <c r="AE1076" s="686"/>
      <c r="AF1076" s="686"/>
    </row>
    <row r="1077" ht="15.75" customHeight="1">
      <c r="A1077" s="683"/>
      <c r="B1077" s="683"/>
      <c r="C1077" s="684"/>
      <c r="D1077" s="684"/>
      <c r="E1077" s="684"/>
      <c r="F1077" s="683"/>
      <c r="G1077" s="683"/>
      <c r="H1077" s="683"/>
      <c r="I1077" s="683"/>
      <c r="J1077" s="683"/>
      <c r="K1077" s="683"/>
      <c r="L1077" s="685"/>
      <c r="M1077" s="685"/>
      <c r="N1077" s="687"/>
      <c r="O1077" s="683"/>
      <c r="P1077" s="683"/>
      <c r="Q1077" s="686"/>
      <c r="R1077" s="686"/>
      <c r="S1077" s="686"/>
      <c r="T1077" s="686"/>
      <c r="U1077" s="686"/>
      <c r="V1077" s="686"/>
      <c r="W1077" s="686"/>
      <c r="X1077" s="686"/>
      <c r="Y1077" s="686"/>
      <c r="Z1077" s="686"/>
      <c r="AA1077" s="686"/>
      <c r="AB1077" s="686"/>
      <c r="AC1077" s="686"/>
      <c r="AD1077" s="686"/>
      <c r="AE1077" s="686"/>
      <c r="AF1077" s="686"/>
    </row>
    <row r="1078" ht="15.75" customHeight="1">
      <c r="A1078" s="683"/>
      <c r="B1078" s="683"/>
      <c r="C1078" s="684"/>
      <c r="D1078" s="684"/>
      <c r="E1078" s="684"/>
      <c r="F1078" s="683"/>
      <c r="G1078" s="683"/>
      <c r="H1078" s="683"/>
      <c r="I1078" s="683"/>
      <c r="J1078" s="683"/>
      <c r="K1078" s="683"/>
      <c r="L1078" s="685"/>
      <c r="M1078" s="685"/>
      <c r="N1078" s="687"/>
      <c r="O1078" s="683"/>
      <c r="P1078" s="683"/>
      <c r="Q1078" s="686"/>
      <c r="R1078" s="686"/>
      <c r="S1078" s="686"/>
      <c r="T1078" s="686"/>
      <c r="U1078" s="686"/>
      <c r="V1078" s="686"/>
      <c r="W1078" s="686"/>
      <c r="X1078" s="686"/>
      <c r="Y1078" s="686"/>
      <c r="Z1078" s="686"/>
      <c r="AA1078" s="686"/>
      <c r="AB1078" s="686"/>
      <c r="AC1078" s="686"/>
      <c r="AD1078" s="686"/>
      <c r="AE1078" s="686"/>
      <c r="AF1078" s="686"/>
    </row>
    <row r="1079" ht="15.75" customHeight="1">
      <c r="A1079" s="683"/>
      <c r="B1079" s="683"/>
      <c r="C1079" s="684"/>
      <c r="D1079" s="684"/>
      <c r="E1079" s="684"/>
      <c r="F1079" s="683"/>
      <c r="G1079" s="683"/>
      <c r="H1079" s="683"/>
      <c r="I1079" s="683"/>
      <c r="J1079" s="683"/>
      <c r="K1079" s="683"/>
      <c r="L1079" s="685"/>
      <c r="M1079" s="685"/>
      <c r="N1079" s="687"/>
      <c r="O1079" s="683"/>
      <c r="P1079" s="683"/>
      <c r="Q1079" s="686"/>
      <c r="R1079" s="686"/>
      <c r="S1079" s="686"/>
      <c r="T1079" s="686"/>
      <c r="U1079" s="686"/>
      <c r="V1079" s="686"/>
      <c r="W1079" s="686"/>
      <c r="X1079" s="686"/>
      <c r="Y1079" s="686"/>
      <c r="Z1079" s="686"/>
      <c r="AA1079" s="686"/>
      <c r="AB1079" s="686"/>
      <c r="AC1079" s="686"/>
      <c r="AD1079" s="686"/>
      <c r="AE1079" s="686"/>
      <c r="AF1079" s="686"/>
    </row>
    <row r="1080" ht="15.75" customHeight="1">
      <c r="A1080" s="683"/>
      <c r="B1080" s="683"/>
      <c r="C1080" s="684"/>
      <c r="D1080" s="684"/>
      <c r="E1080" s="684"/>
      <c r="F1080" s="683"/>
      <c r="G1080" s="683"/>
      <c r="H1080" s="683"/>
      <c r="I1080" s="683"/>
      <c r="J1080" s="683"/>
      <c r="K1080" s="683"/>
      <c r="L1080" s="685"/>
      <c r="M1080" s="685"/>
      <c r="N1080" s="687"/>
      <c r="O1080" s="683"/>
      <c r="P1080" s="683"/>
      <c r="Q1080" s="686"/>
      <c r="R1080" s="686"/>
      <c r="S1080" s="686"/>
      <c r="T1080" s="686"/>
      <c r="U1080" s="686"/>
      <c r="V1080" s="686"/>
      <c r="W1080" s="686"/>
      <c r="X1080" s="686"/>
      <c r="Y1080" s="686"/>
      <c r="Z1080" s="686"/>
      <c r="AA1080" s="686"/>
      <c r="AB1080" s="686"/>
      <c r="AC1080" s="686"/>
      <c r="AD1080" s="686"/>
      <c r="AE1080" s="686"/>
      <c r="AF1080" s="686"/>
    </row>
    <row r="1081" ht="15.75" customHeight="1">
      <c r="A1081" s="683"/>
      <c r="B1081" s="683"/>
      <c r="C1081" s="684"/>
      <c r="D1081" s="684"/>
      <c r="E1081" s="684"/>
      <c r="F1081" s="683"/>
      <c r="G1081" s="683"/>
      <c r="H1081" s="683"/>
      <c r="I1081" s="683"/>
      <c r="J1081" s="683"/>
      <c r="K1081" s="683"/>
      <c r="L1081" s="685"/>
      <c r="M1081" s="685"/>
      <c r="N1081" s="687"/>
      <c r="O1081" s="683"/>
      <c r="P1081" s="683"/>
      <c r="Q1081" s="686"/>
      <c r="R1081" s="686"/>
      <c r="S1081" s="686"/>
      <c r="T1081" s="686"/>
      <c r="U1081" s="686"/>
      <c r="V1081" s="686"/>
      <c r="W1081" s="686"/>
      <c r="X1081" s="686"/>
      <c r="Y1081" s="686"/>
      <c r="Z1081" s="686"/>
      <c r="AA1081" s="686"/>
      <c r="AB1081" s="686"/>
      <c r="AC1081" s="686"/>
      <c r="AD1081" s="686"/>
      <c r="AE1081" s="686"/>
      <c r="AF1081" s="686"/>
    </row>
    <row r="1082" ht="15.75" customHeight="1">
      <c r="A1082" s="683"/>
      <c r="B1082" s="683"/>
      <c r="C1082" s="684"/>
      <c r="D1082" s="684"/>
      <c r="E1082" s="684"/>
      <c r="F1082" s="683"/>
      <c r="G1082" s="683"/>
      <c r="H1082" s="683"/>
      <c r="I1082" s="683"/>
      <c r="J1082" s="683"/>
      <c r="K1082" s="683"/>
      <c r="L1082" s="685"/>
      <c r="M1082" s="685"/>
      <c r="N1082" s="687"/>
      <c r="O1082" s="683"/>
      <c r="P1082" s="683"/>
      <c r="Q1082" s="686"/>
      <c r="R1082" s="686"/>
      <c r="S1082" s="686"/>
      <c r="T1082" s="686"/>
      <c r="U1082" s="686"/>
      <c r="V1082" s="686"/>
      <c r="W1082" s="686"/>
      <c r="X1082" s="686"/>
      <c r="Y1082" s="686"/>
      <c r="Z1082" s="686"/>
      <c r="AA1082" s="686"/>
      <c r="AB1082" s="686"/>
      <c r="AC1082" s="686"/>
      <c r="AD1082" s="686"/>
      <c r="AE1082" s="686"/>
      <c r="AF1082" s="686"/>
    </row>
    <row r="1083" ht="15.75" customHeight="1">
      <c r="A1083" s="683"/>
      <c r="B1083" s="683"/>
      <c r="C1083" s="684"/>
      <c r="D1083" s="684"/>
      <c r="E1083" s="684"/>
      <c r="F1083" s="683"/>
      <c r="G1083" s="683"/>
      <c r="H1083" s="683"/>
      <c r="I1083" s="683"/>
      <c r="J1083" s="683"/>
      <c r="K1083" s="683"/>
      <c r="L1083" s="685"/>
      <c r="M1083" s="685"/>
      <c r="N1083" s="687"/>
      <c r="O1083" s="683"/>
      <c r="P1083" s="683"/>
      <c r="Q1083" s="686"/>
      <c r="R1083" s="686"/>
      <c r="S1083" s="686"/>
      <c r="T1083" s="686"/>
      <c r="U1083" s="686"/>
      <c r="V1083" s="686"/>
      <c r="W1083" s="686"/>
      <c r="X1083" s="686"/>
      <c r="Y1083" s="686"/>
      <c r="Z1083" s="686"/>
      <c r="AA1083" s="686"/>
      <c r="AB1083" s="686"/>
      <c r="AC1083" s="686"/>
      <c r="AD1083" s="686"/>
      <c r="AE1083" s="686"/>
      <c r="AF1083" s="686"/>
    </row>
    <row r="1084" ht="15.75" customHeight="1">
      <c r="A1084" s="683"/>
      <c r="B1084" s="683"/>
      <c r="C1084" s="684"/>
      <c r="D1084" s="684"/>
      <c r="E1084" s="684"/>
      <c r="F1084" s="683"/>
      <c r="G1084" s="683"/>
      <c r="H1084" s="683"/>
      <c r="I1084" s="683"/>
      <c r="J1084" s="683"/>
      <c r="K1084" s="683"/>
      <c r="L1084" s="685"/>
      <c r="M1084" s="685"/>
      <c r="N1084" s="687"/>
      <c r="O1084" s="683"/>
      <c r="P1084" s="683"/>
      <c r="Q1084" s="686"/>
      <c r="R1084" s="686"/>
      <c r="S1084" s="686"/>
      <c r="T1084" s="686"/>
      <c r="U1084" s="686"/>
      <c r="V1084" s="686"/>
      <c r="W1084" s="686"/>
      <c r="X1084" s="686"/>
      <c r="Y1084" s="686"/>
      <c r="Z1084" s="686"/>
      <c r="AA1084" s="686"/>
      <c r="AB1084" s="686"/>
      <c r="AC1084" s="686"/>
      <c r="AD1084" s="686"/>
      <c r="AE1084" s="686"/>
      <c r="AF1084" s="686"/>
    </row>
    <row r="1085" ht="15.75" customHeight="1">
      <c r="A1085" s="683"/>
      <c r="B1085" s="683"/>
      <c r="C1085" s="684"/>
      <c r="D1085" s="684"/>
      <c r="E1085" s="684"/>
      <c r="F1085" s="683"/>
      <c r="G1085" s="683"/>
      <c r="H1085" s="683"/>
      <c r="I1085" s="683"/>
      <c r="J1085" s="683"/>
      <c r="K1085" s="683"/>
      <c r="L1085" s="685"/>
      <c r="M1085" s="685"/>
      <c r="N1085" s="687"/>
      <c r="O1085" s="683"/>
      <c r="P1085" s="683"/>
      <c r="Q1085" s="686"/>
      <c r="R1085" s="686"/>
      <c r="S1085" s="686"/>
      <c r="T1085" s="686"/>
      <c r="U1085" s="686"/>
      <c r="V1085" s="686"/>
      <c r="W1085" s="686"/>
      <c r="X1085" s="686"/>
      <c r="Y1085" s="686"/>
      <c r="Z1085" s="686"/>
      <c r="AA1085" s="686"/>
      <c r="AB1085" s="686"/>
      <c r="AC1085" s="686"/>
      <c r="AD1085" s="686"/>
      <c r="AE1085" s="686"/>
      <c r="AF1085" s="686"/>
    </row>
    <row r="1086" ht="15.75" customHeight="1">
      <c r="A1086" s="683"/>
      <c r="B1086" s="683"/>
      <c r="C1086" s="684"/>
      <c r="D1086" s="684"/>
      <c r="E1086" s="684"/>
      <c r="F1086" s="683"/>
      <c r="G1086" s="683"/>
      <c r="H1086" s="683"/>
      <c r="I1086" s="683"/>
      <c r="J1086" s="683"/>
      <c r="K1086" s="683"/>
      <c r="L1086" s="685"/>
      <c r="M1086" s="685"/>
      <c r="N1086" s="687"/>
      <c r="O1086" s="683"/>
      <c r="P1086" s="683"/>
      <c r="Q1086" s="686"/>
      <c r="R1086" s="686"/>
      <c r="S1086" s="686"/>
      <c r="T1086" s="686"/>
      <c r="U1086" s="686"/>
      <c r="V1086" s="686"/>
      <c r="W1086" s="686"/>
      <c r="X1086" s="686"/>
      <c r="Y1086" s="686"/>
      <c r="Z1086" s="686"/>
      <c r="AA1086" s="686"/>
      <c r="AB1086" s="686"/>
      <c r="AC1086" s="686"/>
      <c r="AD1086" s="686"/>
      <c r="AE1086" s="686"/>
      <c r="AF1086" s="686"/>
    </row>
    <row r="1087" ht="15.75" customHeight="1">
      <c r="A1087" s="683"/>
      <c r="B1087" s="683"/>
      <c r="C1087" s="684"/>
      <c r="D1087" s="684"/>
      <c r="E1087" s="684"/>
      <c r="F1087" s="683"/>
      <c r="G1087" s="683"/>
      <c r="H1087" s="683"/>
      <c r="I1087" s="683"/>
      <c r="J1087" s="683"/>
      <c r="K1087" s="683"/>
      <c r="L1087" s="685"/>
      <c r="M1087" s="685"/>
      <c r="N1087" s="687"/>
      <c r="O1087" s="683"/>
      <c r="P1087" s="683"/>
      <c r="Q1087" s="686"/>
      <c r="R1087" s="686"/>
      <c r="S1087" s="686"/>
      <c r="T1087" s="686"/>
      <c r="U1087" s="686"/>
      <c r="V1087" s="686"/>
      <c r="W1087" s="686"/>
      <c r="X1087" s="686"/>
      <c r="Y1087" s="686"/>
      <c r="Z1087" s="686"/>
      <c r="AA1087" s="686"/>
      <c r="AB1087" s="686"/>
      <c r="AC1087" s="686"/>
      <c r="AD1087" s="686"/>
      <c r="AE1087" s="686"/>
      <c r="AF1087" s="686"/>
    </row>
    <row r="1088" ht="15.75" customHeight="1">
      <c r="A1088" s="683"/>
      <c r="B1088" s="683"/>
      <c r="C1088" s="684"/>
      <c r="D1088" s="684"/>
      <c r="E1088" s="684"/>
      <c r="F1088" s="683"/>
      <c r="G1088" s="683"/>
      <c r="H1088" s="683"/>
      <c r="I1088" s="683"/>
      <c r="J1088" s="683"/>
      <c r="K1088" s="683"/>
      <c r="L1088" s="685"/>
      <c r="M1088" s="685"/>
      <c r="N1088" s="687"/>
      <c r="O1088" s="683"/>
      <c r="P1088" s="683"/>
      <c r="Q1088" s="686"/>
      <c r="R1088" s="686"/>
      <c r="S1088" s="686"/>
      <c r="T1088" s="686"/>
      <c r="U1088" s="686"/>
      <c r="V1088" s="686"/>
      <c r="W1088" s="686"/>
      <c r="X1088" s="686"/>
      <c r="Y1088" s="686"/>
      <c r="Z1088" s="686"/>
      <c r="AA1088" s="686"/>
      <c r="AB1088" s="686"/>
      <c r="AC1088" s="686"/>
      <c r="AD1088" s="686"/>
      <c r="AE1088" s="686"/>
      <c r="AF1088" s="686"/>
    </row>
    <row r="1089" ht="15.75" customHeight="1">
      <c r="A1089" s="683"/>
      <c r="B1089" s="683"/>
      <c r="C1089" s="684"/>
      <c r="D1089" s="684"/>
      <c r="E1089" s="684"/>
      <c r="F1089" s="683"/>
      <c r="G1089" s="683"/>
      <c r="H1089" s="683"/>
      <c r="I1089" s="683"/>
      <c r="J1089" s="683"/>
      <c r="K1089" s="683"/>
      <c r="L1089" s="685"/>
      <c r="M1089" s="685"/>
      <c r="N1089" s="687"/>
      <c r="O1089" s="683"/>
      <c r="P1089" s="683"/>
      <c r="Q1089" s="686"/>
      <c r="R1089" s="686"/>
      <c r="S1089" s="686"/>
      <c r="T1089" s="686"/>
      <c r="U1089" s="686"/>
      <c r="V1089" s="686"/>
      <c r="W1089" s="686"/>
      <c r="X1089" s="686"/>
      <c r="Y1089" s="686"/>
      <c r="Z1089" s="686"/>
      <c r="AA1089" s="686"/>
      <c r="AB1089" s="686"/>
      <c r="AC1089" s="686"/>
      <c r="AD1089" s="686"/>
      <c r="AE1089" s="686"/>
      <c r="AF1089" s="686"/>
    </row>
    <row r="1090" ht="15.75" customHeight="1">
      <c r="A1090" s="683"/>
      <c r="B1090" s="683"/>
      <c r="C1090" s="684"/>
      <c r="D1090" s="684"/>
      <c r="E1090" s="684"/>
      <c r="F1090" s="683"/>
      <c r="G1090" s="683"/>
      <c r="H1090" s="683"/>
      <c r="I1090" s="683"/>
      <c r="J1090" s="683"/>
      <c r="K1090" s="683"/>
      <c r="L1090" s="685"/>
      <c r="M1090" s="685"/>
      <c r="N1090" s="687"/>
      <c r="O1090" s="683"/>
      <c r="P1090" s="683"/>
      <c r="Q1090" s="686"/>
      <c r="R1090" s="686"/>
      <c r="S1090" s="686"/>
      <c r="T1090" s="686"/>
      <c r="U1090" s="686"/>
      <c r="V1090" s="686"/>
      <c r="W1090" s="686"/>
      <c r="X1090" s="686"/>
      <c r="Y1090" s="686"/>
      <c r="Z1090" s="686"/>
      <c r="AA1090" s="686"/>
      <c r="AB1090" s="686"/>
      <c r="AC1090" s="686"/>
      <c r="AD1090" s="686"/>
      <c r="AE1090" s="686"/>
      <c r="AF1090" s="686"/>
    </row>
    <row r="1091" ht="15.75" customHeight="1">
      <c r="A1091" s="683"/>
      <c r="B1091" s="683"/>
      <c r="C1091" s="684"/>
      <c r="D1091" s="684"/>
      <c r="E1091" s="684"/>
      <c r="F1091" s="683"/>
      <c r="G1091" s="683"/>
      <c r="H1091" s="683"/>
      <c r="I1091" s="683"/>
      <c r="J1091" s="683"/>
      <c r="K1091" s="683"/>
      <c r="L1091" s="685"/>
      <c r="M1091" s="685"/>
      <c r="N1091" s="687"/>
      <c r="O1091" s="683"/>
      <c r="P1091" s="683"/>
      <c r="Q1091" s="686"/>
      <c r="R1091" s="686"/>
      <c r="S1091" s="686"/>
      <c r="T1091" s="686"/>
      <c r="U1091" s="686"/>
      <c r="V1091" s="686"/>
      <c r="W1091" s="686"/>
      <c r="X1091" s="686"/>
      <c r="Y1091" s="686"/>
      <c r="Z1091" s="686"/>
      <c r="AA1091" s="686"/>
      <c r="AB1091" s="686"/>
      <c r="AC1091" s="686"/>
      <c r="AD1091" s="686"/>
      <c r="AE1091" s="686"/>
      <c r="AF1091" s="686"/>
    </row>
    <row r="1092" ht="15.75" customHeight="1">
      <c r="A1092" s="683"/>
      <c r="B1092" s="683"/>
      <c r="C1092" s="684"/>
      <c r="D1092" s="684"/>
      <c r="E1092" s="684"/>
      <c r="F1092" s="683"/>
      <c r="G1092" s="683"/>
      <c r="H1092" s="683"/>
      <c r="I1092" s="683"/>
      <c r="J1092" s="683"/>
      <c r="K1092" s="683"/>
      <c r="L1092" s="685"/>
      <c r="M1092" s="685"/>
      <c r="N1092" s="687"/>
      <c r="O1092" s="683"/>
      <c r="P1092" s="683"/>
      <c r="Q1092" s="686"/>
      <c r="R1092" s="686"/>
      <c r="S1092" s="686"/>
      <c r="T1092" s="686"/>
      <c r="U1092" s="686"/>
      <c r="V1092" s="686"/>
      <c r="W1092" s="686"/>
      <c r="X1092" s="686"/>
      <c r="Y1092" s="686"/>
      <c r="Z1092" s="686"/>
      <c r="AA1092" s="686"/>
      <c r="AB1092" s="686"/>
      <c r="AC1092" s="686"/>
      <c r="AD1092" s="686"/>
      <c r="AE1092" s="686"/>
      <c r="AF1092" s="686"/>
    </row>
    <row r="1093" ht="15.75" customHeight="1">
      <c r="A1093" s="683"/>
      <c r="B1093" s="683"/>
      <c r="C1093" s="684"/>
      <c r="D1093" s="684"/>
      <c r="E1093" s="684"/>
      <c r="F1093" s="683"/>
      <c r="G1093" s="683"/>
      <c r="H1093" s="683"/>
      <c r="I1093" s="683"/>
      <c r="J1093" s="683"/>
      <c r="K1093" s="683"/>
      <c r="L1093" s="685"/>
      <c r="M1093" s="685"/>
      <c r="N1093" s="687"/>
      <c r="O1093" s="683"/>
      <c r="P1093" s="683"/>
      <c r="Q1093" s="686"/>
      <c r="R1093" s="686"/>
      <c r="S1093" s="686"/>
      <c r="T1093" s="686"/>
      <c r="U1093" s="686"/>
      <c r="V1093" s="686"/>
      <c r="W1093" s="686"/>
      <c r="X1093" s="686"/>
      <c r="Y1093" s="686"/>
      <c r="Z1093" s="686"/>
      <c r="AA1093" s="686"/>
      <c r="AB1093" s="686"/>
      <c r="AC1093" s="686"/>
      <c r="AD1093" s="686"/>
      <c r="AE1093" s="686"/>
      <c r="AF1093" s="686"/>
    </row>
    <row r="1094" ht="15.75" customHeight="1">
      <c r="A1094" s="683"/>
      <c r="B1094" s="683"/>
      <c r="C1094" s="684"/>
      <c r="D1094" s="684"/>
      <c r="E1094" s="684"/>
      <c r="F1094" s="683"/>
      <c r="G1094" s="683"/>
      <c r="H1094" s="683"/>
      <c r="I1094" s="683"/>
      <c r="J1094" s="683"/>
      <c r="K1094" s="683"/>
      <c r="L1094" s="685"/>
      <c r="M1094" s="685"/>
      <c r="N1094" s="687"/>
      <c r="O1094" s="683"/>
      <c r="P1094" s="683"/>
      <c r="Q1094" s="686"/>
      <c r="R1094" s="686"/>
      <c r="S1094" s="686"/>
      <c r="T1094" s="686"/>
      <c r="U1094" s="686"/>
      <c r="V1094" s="686"/>
      <c r="W1094" s="686"/>
      <c r="X1094" s="686"/>
      <c r="Y1094" s="686"/>
      <c r="Z1094" s="686"/>
      <c r="AA1094" s="686"/>
      <c r="AB1094" s="686"/>
      <c r="AC1094" s="686"/>
      <c r="AD1094" s="686"/>
      <c r="AE1094" s="686"/>
      <c r="AF1094" s="686"/>
    </row>
    <row r="1095" ht="15.75" customHeight="1">
      <c r="A1095" s="683"/>
      <c r="B1095" s="683"/>
      <c r="C1095" s="684"/>
      <c r="D1095" s="684"/>
      <c r="E1095" s="684"/>
      <c r="F1095" s="683"/>
      <c r="G1095" s="683"/>
      <c r="H1095" s="683"/>
      <c r="I1095" s="683"/>
      <c r="J1095" s="683"/>
      <c r="K1095" s="683"/>
      <c r="L1095" s="685"/>
      <c r="M1095" s="685"/>
      <c r="N1095" s="687"/>
      <c r="O1095" s="683"/>
      <c r="P1095" s="683"/>
      <c r="Q1095" s="686"/>
      <c r="R1095" s="686"/>
      <c r="S1095" s="686"/>
      <c r="T1095" s="686"/>
      <c r="U1095" s="686"/>
      <c r="V1095" s="686"/>
      <c r="W1095" s="686"/>
      <c r="X1095" s="686"/>
      <c r="Y1095" s="686"/>
      <c r="Z1095" s="686"/>
      <c r="AA1095" s="686"/>
      <c r="AB1095" s="686"/>
      <c r="AC1095" s="686"/>
      <c r="AD1095" s="686"/>
      <c r="AE1095" s="686"/>
      <c r="AF1095" s="686"/>
    </row>
    <row r="1096" ht="15.75" customHeight="1">
      <c r="A1096" s="683"/>
      <c r="B1096" s="683"/>
      <c r="C1096" s="684"/>
      <c r="D1096" s="684"/>
      <c r="E1096" s="684"/>
      <c r="F1096" s="683"/>
      <c r="G1096" s="683"/>
      <c r="H1096" s="683"/>
      <c r="I1096" s="683"/>
      <c r="J1096" s="683"/>
      <c r="K1096" s="683"/>
      <c r="L1096" s="685"/>
      <c r="M1096" s="685"/>
      <c r="N1096" s="687"/>
      <c r="O1096" s="683"/>
      <c r="P1096" s="683"/>
      <c r="Q1096" s="686"/>
      <c r="R1096" s="686"/>
      <c r="S1096" s="686"/>
      <c r="T1096" s="686"/>
      <c r="U1096" s="686"/>
      <c r="V1096" s="686"/>
      <c r="W1096" s="686"/>
      <c r="X1096" s="686"/>
      <c r="Y1096" s="686"/>
      <c r="Z1096" s="686"/>
      <c r="AA1096" s="686"/>
      <c r="AB1096" s="686"/>
      <c r="AC1096" s="686"/>
      <c r="AD1096" s="686"/>
      <c r="AE1096" s="686"/>
      <c r="AF1096" s="686"/>
    </row>
    <row r="1097" ht="15.75" customHeight="1">
      <c r="A1097" s="683"/>
      <c r="B1097" s="683"/>
      <c r="C1097" s="684"/>
      <c r="D1097" s="684"/>
      <c r="E1097" s="684"/>
      <c r="F1097" s="683"/>
      <c r="G1097" s="683"/>
      <c r="H1097" s="683"/>
      <c r="I1097" s="683"/>
      <c r="J1097" s="683"/>
      <c r="K1097" s="683"/>
      <c r="L1097" s="685"/>
      <c r="M1097" s="685"/>
      <c r="N1097" s="687"/>
      <c r="O1097" s="683"/>
      <c r="P1097" s="683"/>
      <c r="Q1097" s="686"/>
      <c r="R1097" s="686"/>
      <c r="S1097" s="686"/>
      <c r="T1097" s="686"/>
      <c r="U1097" s="686"/>
      <c r="V1097" s="686"/>
      <c r="W1097" s="686"/>
      <c r="X1097" s="686"/>
      <c r="Y1097" s="686"/>
      <c r="Z1097" s="686"/>
      <c r="AA1097" s="686"/>
      <c r="AB1097" s="686"/>
      <c r="AC1097" s="686"/>
      <c r="AD1097" s="686"/>
      <c r="AE1097" s="686"/>
      <c r="AF1097" s="686"/>
    </row>
    <row r="1098" ht="15.75" customHeight="1">
      <c r="A1098" s="683"/>
      <c r="B1098" s="683"/>
      <c r="C1098" s="684"/>
      <c r="D1098" s="684"/>
      <c r="E1098" s="684"/>
      <c r="F1098" s="683"/>
      <c r="G1098" s="683"/>
      <c r="H1098" s="683"/>
      <c r="I1098" s="683"/>
      <c r="J1098" s="683"/>
      <c r="K1098" s="683"/>
      <c r="L1098" s="685"/>
      <c r="M1098" s="685"/>
      <c r="N1098" s="687"/>
      <c r="O1098" s="683"/>
      <c r="P1098" s="683"/>
      <c r="Q1098" s="686"/>
      <c r="R1098" s="686"/>
      <c r="S1098" s="686"/>
      <c r="T1098" s="686"/>
      <c r="U1098" s="686"/>
      <c r="V1098" s="686"/>
      <c r="W1098" s="686"/>
      <c r="X1098" s="686"/>
      <c r="Y1098" s="686"/>
      <c r="Z1098" s="686"/>
      <c r="AA1098" s="686"/>
      <c r="AB1098" s="686"/>
      <c r="AC1098" s="686"/>
      <c r="AD1098" s="686"/>
      <c r="AE1098" s="686"/>
      <c r="AF1098" s="686"/>
    </row>
    <row r="1099" ht="15.75" customHeight="1">
      <c r="A1099" s="683"/>
      <c r="B1099" s="683"/>
      <c r="C1099" s="684"/>
      <c r="D1099" s="684"/>
      <c r="E1099" s="684"/>
      <c r="F1099" s="683"/>
      <c r="G1099" s="683"/>
      <c r="H1099" s="683"/>
      <c r="I1099" s="683"/>
      <c r="J1099" s="683"/>
      <c r="K1099" s="683"/>
      <c r="L1099" s="685"/>
      <c r="M1099" s="685"/>
      <c r="N1099" s="687"/>
      <c r="O1099" s="683"/>
      <c r="P1099" s="683"/>
      <c r="Q1099" s="686"/>
      <c r="R1099" s="686"/>
      <c r="S1099" s="686"/>
      <c r="T1099" s="686"/>
      <c r="U1099" s="686"/>
      <c r="V1099" s="686"/>
      <c r="W1099" s="686"/>
      <c r="X1099" s="686"/>
      <c r="Y1099" s="686"/>
      <c r="Z1099" s="686"/>
      <c r="AA1099" s="686"/>
      <c r="AB1099" s="686"/>
      <c r="AC1099" s="686"/>
      <c r="AD1099" s="686"/>
      <c r="AE1099" s="686"/>
      <c r="AF1099" s="686"/>
    </row>
    <row r="1100" ht="15.75" customHeight="1">
      <c r="A1100" s="683"/>
      <c r="B1100" s="683"/>
      <c r="C1100" s="684"/>
      <c r="D1100" s="684"/>
      <c r="E1100" s="684"/>
      <c r="F1100" s="683"/>
      <c r="G1100" s="683"/>
      <c r="H1100" s="683"/>
      <c r="I1100" s="683"/>
      <c r="J1100" s="683"/>
      <c r="K1100" s="683"/>
      <c r="L1100" s="685"/>
      <c r="M1100" s="685"/>
      <c r="N1100" s="687"/>
      <c r="O1100" s="683"/>
      <c r="P1100" s="683"/>
      <c r="Q1100" s="686"/>
      <c r="R1100" s="686"/>
      <c r="S1100" s="686"/>
      <c r="T1100" s="686"/>
      <c r="U1100" s="686"/>
      <c r="V1100" s="686"/>
      <c r="W1100" s="686"/>
      <c r="X1100" s="686"/>
      <c r="Y1100" s="686"/>
      <c r="Z1100" s="686"/>
      <c r="AA1100" s="686"/>
      <c r="AB1100" s="686"/>
      <c r="AC1100" s="686"/>
      <c r="AD1100" s="686"/>
      <c r="AE1100" s="686"/>
      <c r="AF1100" s="686"/>
    </row>
    <row r="1101" ht="15.75" customHeight="1">
      <c r="A1101" s="683"/>
      <c r="B1101" s="683"/>
      <c r="C1101" s="684"/>
      <c r="D1101" s="684"/>
      <c r="E1101" s="684"/>
      <c r="F1101" s="683"/>
      <c r="G1101" s="683"/>
      <c r="H1101" s="683"/>
      <c r="I1101" s="683"/>
      <c r="J1101" s="683"/>
      <c r="K1101" s="683"/>
      <c r="L1101" s="685"/>
      <c r="M1101" s="685"/>
      <c r="N1101" s="687"/>
      <c r="O1101" s="683"/>
      <c r="P1101" s="683"/>
      <c r="Q1101" s="686"/>
      <c r="R1101" s="686"/>
      <c r="S1101" s="686"/>
      <c r="T1101" s="686"/>
      <c r="U1101" s="686"/>
      <c r="V1101" s="686"/>
      <c r="W1101" s="686"/>
      <c r="X1101" s="686"/>
      <c r="Y1101" s="686"/>
      <c r="Z1101" s="686"/>
      <c r="AA1101" s="686"/>
      <c r="AB1101" s="686"/>
      <c r="AC1101" s="686"/>
      <c r="AD1101" s="686"/>
      <c r="AE1101" s="686"/>
      <c r="AF1101" s="686"/>
    </row>
    <row r="1102" ht="15.75" customHeight="1">
      <c r="A1102" s="683"/>
      <c r="B1102" s="683"/>
      <c r="C1102" s="684"/>
      <c r="D1102" s="684"/>
      <c r="E1102" s="684"/>
      <c r="F1102" s="683"/>
      <c r="G1102" s="683"/>
      <c r="H1102" s="683"/>
      <c r="I1102" s="683"/>
      <c r="J1102" s="683"/>
      <c r="K1102" s="683"/>
      <c r="L1102" s="685"/>
      <c r="M1102" s="685"/>
      <c r="N1102" s="687"/>
      <c r="O1102" s="683"/>
      <c r="P1102" s="683"/>
      <c r="Q1102" s="686"/>
      <c r="R1102" s="686"/>
      <c r="S1102" s="686"/>
      <c r="T1102" s="686"/>
      <c r="U1102" s="686"/>
      <c r="V1102" s="686"/>
      <c r="W1102" s="686"/>
      <c r="X1102" s="686"/>
      <c r="Y1102" s="686"/>
      <c r="Z1102" s="686"/>
      <c r="AA1102" s="686"/>
      <c r="AB1102" s="686"/>
      <c r="AC1102" s="686"/>
      <c r="AD1102" s="686"/>
      <c r="AE1102" s="686"/>
      <c r="AF1102" s="686"/>
    </row>
    <row r="1103" ht="15.75" customHeight="1">
      <c r="A1103" s="683"/>
      <c r="B1103" s="683"/>
      <c r="C1103" s="684"/>
      <c r="D1103" s="684"/>
      <c r="E1103" s="684"/>
      <c r="F1103" s="683"/>
      <c r="G1103" s="683"/>
      <c r="H1103" s="683"/>
      <c r="I1103" s="683"/>
      <c r="J1103" s="683"/>
      <c r="K1103" s="683"/>
      <c r="L1103" s="685"/>
      <c r="M1103" s="685"/>
      <c r="N1103" s="687"/>
      <c r="O1103" s="683"/>
      <c r="P1103" s="683"/>
      <c r="Q1103" s="686"/>
      <c r="R1103" s="686"/>
      <c r="S1103" s="686"/>
      <c r="T1103" s="686"/>
      <c r="U1103" s="686"/>
      <c r="V1103" s="686"/>
      <c r="W1103" s="686"/>
      <c r="X1103" s="686"/>
      <c r="Y1103" s="686"/>
      <c r="Z1103" s="686"/>
      <c r="AA1103" s="686"/>
      <c r="AB1103" s="686"/>
      <c r="AC1103" s="686"/>
      <c r="AD1103" s="686"/>
      <c r="AE1103" s="686"/>
      <c r="AF1103" s="686"/>
    </row>
    <row r="1104" ht="15.75" customHeight="1">
      <c r="A1104" s="683"/>
      <c r="B1104" s="683"/>
      <c r="C1104" s="684"/>
      <c r="D1104" s="684"/>
      <c r="E1104" s="684"/>
      <c r="F1104" s="683"/>
      <c r="G1104" s="683"/>
      <c r="H1104" s="683"/>
      <c r="I1104" s="683"/>
      <c r="J1104" s="683"/>
      <c r="K1104" s="683"/>
      <c r="L1104" s="685"/>
      <c r="M1104" s="685"/>
      <c r="N1104" s="687"/>
      <c r="O1104" s="683"/>
      <c r="P1104" s="683"/>
      <c r="Q1104" s="686"/>
      <c r="R1104" s="686"/>
      <c r="S1104" s="686"/>
      <c r="T1104" s="686"/>
      <c r="U1104" s="686"/>
      <c r="V1104" s="686"/>
      <c r="W1104" s="686"/>
      <c r="X1104" s="686"/>
      <c r="Y1104" s="686"/>
      <c r="Z1104" s="686"/>
      <c r="AA1104" s="686"/>
      <c r="AB1104" s="686"/>
      <c r="AC1104" s="686"/>
      <c r="AD1104" s="686"/>
      <c r="AE1104" s="686"/>
      <c r="AF1104" s="686"/>
    </row>
    <row r="1105" ht="15.75" customHeight="1">
      <c r="A1105" s="683"/>
      <c r="B1105" s="683"/>
      <c r="C1105" s="684"/>
      <c r="D1105" s="684"/>
      <c r="E1105" s="684"/>
      <c r="F1105" s="683"/>
      <c r="G1105" s="683"/>
      <c r="H1105" s="683"/>
      <c r="I1105" s="683"/>
      <c r="J1105" s="683"/>
      <c r="K1105" s="683"/>
      <c r="L1105" s="685"/>
      <c r="M1105" s="685"/>
      <c r="N1105" s="687"/>
      <c r="O1105" s="683"/>
      <c r="P1105" s="683"/>
      <c r="Q1105" s="686"/>
      <c r="R1105" s="686"/>
      <c r="S1105" s="686"/>
      <c r="T1105" s="686"/>
      <c r="U1105" s="686"/>
      <c r="V1105" s="686"/>
      <c r="W1105" s="686"/>
      <c r="X1105" s="686"/>
      <c r="Y1105" s="686"/>
      <c r="Z1105" s="686"/>
      <c r="AA1105" s="686"/>
      <c r="AB1105" s="686"/>
      <c r="AC1105" s="686"/>
      <c r="AD1105" s="686"/>
      <c r="AE1105" s="686"/>
      <c r="AF1105" s="686"/>
    </row>
    <row r="1106" ht="15.75" customHeight="1">
      <c r="A1106" s="683"/>
      <c r="B1106" s="683"/>
      <c r="C1106" s="684"/>
      <c r="D1106" s="684"/>
      <c r="E1106" s="684"/>
      <c r="F1106" s="683"/>
      <c r="G1106" s="683"/>
      <c r="H1106" s="683"/>
      <c r="I1106" s="683"/>
      <c r="J1106" s="683"/>
      <c r="K1106" s="683"/>
      <c r="L1106" s="685"/>
      <c r="M1106" s="685"/>
      <c r="N1106" s="687"/>
      <c r="O1106" s="683"/>
      <c r="P1106" s="683"/>
      <c r="Q1106" s="686"/>
      <c r="R1106" s="686"/>
      <c r="S1106" s="686"/>
      <c r="T1106" s="686"/>
      <c r="U1106" s="686"/>
      <c r="V1106" s="686"/>
      <c r="W1106" s="686"/>
      <c r="X1106" s="686"/>
      <c r="Y1106" s="686"/>
      <c r="Z1106" s="686"/>
      <c r="AA1106" s="686"/>
      <c r="AB1106" s="686"/>
      <c r="AC1106" s="686"/>
      <c r="AD1106" s="686"/>
      <c r="AE1106" s="686"/>
      <c r="AF1106" s="686"/>
    </row>
    <row r="1107" ht="15.75" customHeight="1">
      <c r="A1107" s="683"/>
      <c r="B1107" s="683"/>
      <c r="C1107" s="684"/>
      <c r="D1107" s="684"/>
      <c r="E1107" s="684"/>
      <c r="F1107" s="683"/>
      <c r="G1107" s="683"/>
      <c r="H1107" s="683"/>
      <c r="I1107" s="683"/>
      <c r="J1107" s="683"/>
      <c r="K1107" s="683"/>
      <c r="L1107" s="685"/>
      <c r="M1107" s="685"/>
      <c r="N1107" s="687"/>
      <c r="O1107" s="683"/>
      <c r="P1107" s="683"/>
      <c r="Q1107" s="686"/>
      <c r="R1107" s="686"/>
      <c r="S1107" s="686"/>
      <c r="T1107" s="686"/>
      <c r="U1107" s="686"/>
      <c r="V1107" s="686"/>
      <c r="W1107" s="686"/>
      <c r="X1107" s="686"/>
      <c r="Y1107" s="686"/>
      <c r="Z1107" s="686"/>
      <c r="AA1107" s="686"/>
      <c r="AB1107" s="686"/>
      <c r="AC1107" s="686"/>
      <c r="AD1107" s="686"/>
      <c r="AE1107" s="686"/>
      <c r="AF1107" s="686"/>
    </row>
    <row r="1108" ht="15.75" customHeight="1">
      <c r="A1108" s="683"/>
      <c r="B1108" s="683"/>
      <c r="C1108" s="684"/>
      <c r="D1108" s="684"/>
      <c r="E1108" s="684"/>
      <c r="F1108" s="683"/>
      <c r="G1108" s="683"/>
      <c r="H1108" s="683"/>
      <c r="I1108" s="683"/>
      <c r="J1108" s="683"/>
      <c r="K1108" s="683"/>
      <c r="L1108" s="685"/>
      <c r="M1108" s="685"/>
      <c r="N1108" s="687"/>
      <c r="O1108" s="683"/>
      <c r="P1108" s="683"/>
      <c r="Q1108" s="686"/>
      <c r="R1108" s="686"/>
      <c r="S1108" s="686"/>
      <c r="T1108" s="686"/>
      <c r="U1108" s="686"/>
      <c r="V1108" s="686"/>
      <c r="W1108" s="686"/>
      <c r="X1108" s="686"/>
      <c r="Y1108" s="686"/>
      <c r="Z1108" s="686"/>
      <c r="AA1108" s="686"/>
      <c r="AB1108" s="686"/>
      <c r="AC1108" s="686"/>
      <c r="AD1108" s="686"/>
      <c r="AE1108" s="686"/>
      <c r="AF1108" s="686"/>
    </row>
    <row r="1109" ht="15.75" customHeight="1">
      <c r="A1109" s="683"/>
      <c r="B1109" s="683"/>
      <c r="C1109" s="684"/>
      <c r="D1109" s="684"/>
      <c r="E1109" s="684"/>
      <c r="F1109" s="683"/>
      <c r="G1109" s="683"/>
      <c r="H1109" s="683"/>
      <c r="I1109" s="683"/>
      <c r="J1109" s="683"/>
      <c r="K1109" s="683"/>
      <c r="L1109" s="685"/>
      <c r="M1109" s="685"/>
      <c r="N1109" s="687"/>
      <c r="O1109" s="683"/>
      <c r="P1109" s="683"/>
      <c r="Q1109" s="686"/>
      <c r="R1109" s="686"/>
      <c r="S1109" s="686"/>
      <c r="T1109" s="686"/>
      <c r="U1109" s="686"/>
      <c r="V1109" s="686"/>
      <c r="W1109" s="686"/>
      <c r="X1109" s="686"/>
      <c r="Y1109" s="686"/>
      <c r="Z1109" s="686"/>
      <c r="AA1109" s="686"/>
      <c r="AB1109" s="686"/>
      <c r="AC1109" s="686"/>
      <c r="AD1109" s="686"/>
      <c r="AE1109" s="686"/>
      <c r="AF1109" s="686"/>
    </row>
    <row r="1110" ht="15.75" customHeight="1">
      <c r="A1110" s="683"/>
      <c r="B1110" s="683"/>
      <c r="C1110" s="684"/>
      <c r="D1110" s="684"/>
      <c r="E1110" s="684"/>
      <c r="F1110" s="683"/>
      <c r="G1110" s="683"/>
      <c r="H1110" s="683"/>
      <c r="I1110" s="683"/>
      <c r="J1110" s="683"/>
      <c r="K1110" s="683"/>
      <c r="L1110" s="685"/>
      <c r="M1110" s="685"/>
      <c r="N1110" s="687"/>
      <c r="O1110" s="683"/>
      <c r="P1110" s="683"/>
      <c r="Q1110" s="686"/>
      <c r="R1110" s="686"/>
      <c r="S1110" s="686"/>
      <c r="T1110" s="686"/>
      <c r="U1110" s="686"/>
      <c r="V1110" s="686"/>
      <c r="W1110" s="686"/>
      <c r="X1110" s="686"/>
      <c r="Y1110" s="686"/>
      <c r="Z1110" s="686"/>
      <c r="AA1110" s="686"/>
      <c r="AB1110" s="686"/>
      <c r="AC1110" s="686"/>
      <c r="AD1110" s="686"/>
      <c r="AE1110" s="686"/>
      <c r="AF1110" s="686"/>
    </row>
    <row r="1111" ht="15.75" customHeight="1">
      <c r="A1111" s="683"/>
      <c r="B1111" s="683"/>
      <c r="C1111" s="684"/>
      <c r="D1111" s="684"/>
      <c r="E1111" s="684"/>
      <c r="F1111" s="683"/>
      <c r="G1111" s="683"/>
      <c r="H1111" s="683"/>
      <c r="I1111" s="683"/>
      <c r="J1111" s="683"/>
      <c r="K1111" s="683"/>
      <c r="L1111" s="685"/>
      <c r="M1111" s="685"/>
      <c r="N1111" s="687"/>
      <c r="O1111" s="683"/>
      <c r="P1111" s="683"/>
      <c r="Q1111" s="686"/>
      <c r="R1111" s="686"/>
      <c r="S1111" s="686"/>
      <c r="T1111" s="686"/>
      <c r="U1111" s="686"/>
      <c r="V1111" s="686"/>
      <c r="W1111" s="686"/>
      <c r="X1111" s="686"/>
      <c r="Y1111" s="686"/>
      <c r="Z1111" s="686"/>
      <c r="AA1111" s="686"/>
      <c r="AB1111" s="686"/>
      <c r="AC1111" s="686"/>
      <c r="AD1111" s="686"/>
      <c r="AE1111" s="686"/>
      <c r="AF1111" s="686"/>
    </row>
    <row r="1112" ht="15.75" customHeight="1">
      <c r="A1112" s="683"/>
      <c r="B1112" s="683"/>
      <c r="C1112" s="684"/>
      <c r="D1112" s="684"/>
      <c r="E1112" s="684"/>
      <c r="F1112" s="683"/>
      <c r="G1112" s="683"/>
      <c r="H1112" s="683"/>
      <c r="I1112" s="683"/>
      <c r="J1112" s="683"/>
      <c r="K1112" s="683"/>
      <c r="L1112" s="685"/>
      <c r="M1112" s="685"/>
      <c r="N1112" s="687"/>
      <c r="O1112" s="683"/>
      <c r="P1112" s="683"/>
      <c r="Q1112" s="686"/>
      <c r="R1112" s="686"/>
      <c r="S1112" s="686"/>
      <c r="T1112" s="686"/>
      <c r="U1112" s="686"/>
      <c r="V1112" s="686"/>
      <c r="W1112" s="686"/>
      <c r="X1112" s="686"/>
      <c r="Y1112" s="686"/>
      <c r="Z1112" s="686"/>
      <c r="AA1112" s="686"/>
      <c r="AB1112" s="686"/>
      <c r="AC1112" s="686"/>
      <c r="AD1112" s="686"/>
      <c r="AE1112" s="686"/>
      <c r="AF1112" s="686"/>
    </row>
    <row r="1113" ht="15.75" customHeight="1">
      <c r="A1113" s="683"/>
      <c r="B1113" s="683"/>
      <c r="C1113" s="684"/>
      <c r="D1113" s="684"/>
      <c r="E1113" s="684"/>
      <c r="F1113" s="683"/>
      <c r="G1113" s="683"/>
      <c r="H1113" s="683"/>
      <c r="I1113" s="683"/>
      <c r="J1113" s="683"/>
      <c r="K1113" s="683"/>
      <c r="L1113" s="685"/>
      <c r="M1113" s="685"/>
      <c r="N1113" s="687"/>
      <c r="O1113" s="683"/>
      <c r="P1113" s="683"/>
      <c r="Q1113" s="686"/>
      <c r="R1113" s="686"/>
      <c r="S1113" s="686"/>
      <c r="T1113" s="686"/>
      <c r="U1113" s="686"/>
      <c r="V1113" s="686"/>
      <c r="W1113" s="686"/>
      <c r="X1113" s="686"/>
      <c r="Y1113" s="686"/>
      <c r="Z1113" s="686"/>
      <c r="AA1113" s="686"/>
      <c r="AB1113" s="686"/>
      <c r="AC1113" s="686"/>
      <c r="AD1113" s="686"/>
      <c r="AE1113" s="686"/>
      <c r="AF1113" s="686"/>
    </row>
    <row r="1114" ht="15.75" customHeight="1">
      <c r="A1114" s="683"/>
      <c r="B1114" s="683"/>
      <c r="C1114" s="684"/>
      <c r="D1114" s="684"/>
      <c r="E1114" s="684"/>
      <c r="F1114" s="683"/>
      <c r="G1114" s="683"/>
      <c r="H1114" s="683"/>
      <c r="I1114" s="683"/>
      <c r="J1114" s="683"/>
      <c r="K1114" s="683"/>
      <c r="L1114" s="685"/>
      <c r="M1114" s="685"/>
      <c r="N1114" s="687"/>
      <c r="O1114" s="683"/>
      <c r="P1114" s="683"/>
      <c r="Q1114" s="686"/>
      <c r="R1114" s="686"/>
      <c r="S1114" s="686"/>
      <c r="T1114" s="686"/>
      <c r="U1114" s="686"/>
      <c r="V1114" s="686"/>
      <c r="W1114" s="686"/>
      <c r="X1114" s="686"/>
      <c r="Y1114" s="686"/>
      <c r="Z1114" s="686"/>
      <c r="AA1114" s="686"/>
      <c r="AB1114" s="686"/>
      <c r="AC1114" s="686"/>
      <c r="AD1114" s="686"/>
      <c r="AE1114" s="686"/>
      <c r="AF1114" s="686"/>
    </row>
    <row r="1115" ht="15.75" customHeight="1">
      <c r="A1115" s="683"/>
      <c r="B1115" s="683"/>
      <c r="C1115" s="684"/>
      <c r="D1115" s="684"/>
      <c r="E1115" s="684"/>
      <c r="F1115" s="683"/>
      <c r="G1115" s="683"/>
      <c r="H1115" s="683"/>
      <c r="I1115" s="683"/>
      <c r="J1115" s="683"/>
      <c r="K1115" s="683"/>
      <c r="L1115" s="685"/>
      <c r="M1115" s="685"/>
      <c r="N1115" s="687"/>
      <c r="O1115" s="683"/>
      <c r="P1115" s="683"/>
      <c r="Q1115" s="686"/>
      <c r="R1115" s="686"/>
      <c r="S1115" s="686"/>
      <c r="T1115" s="686"/>
      <c r="U1115" s="686"/>
      <c r="V1115" s="686"/>
      <c r="W1115" s="686"/>
      <c r="X1115" s="686"/>
      <c r="Y1115" s="686"/>
      <c r="Z1115" s="686"/>
      <c r="AA1115" s="686"/>
      <c r="AB1115" s="686"/>
      <c r="AC1115" s="686"/>
      <c r="AD1115" s="686"/>
      <c r="AE1115" s="686"/>
      <c r="AF1115" s="686"/>
    </row>
    <row r="1116" ht="15.75" customHeight="1">
      <c r="A1116" s="683"/>
      <c r="B1116" s="683"/>
      <c r="C1116" s="684"/>
      <c r="D1116" s="684"/>
      <c r="E1116" s="684"/>
      <c r="F1116" s="683"/>
      <c r="G1116" s="683"/>
      <c r="H1116" s="683"/>
      <c r="I1116" s="683"/>
      <c r="J1116" s="683"/>
      <c r="K1116" s="683"/>
      <c r="L1116" s="685"/>
      <c r="M1116" s="685"/>
      <c r="N1116" s="687"/>
      <c r="O1116" s="683"/>
      <c r="P1116" s="683"/>
      <c r="Q1116" s="686"/>
      <c r="R1116" s="686"/>
      <c r="S1116" s="686"/>
      <c r="T1116" s="686"/>
      <c r="U1116" s="686"/>
      <c r="V1116" s="686"/>
      <c r="W1116" s="686"/>
      <c r="X1116" s="686"/>
      <c r="Y1116" s="686"/>
      <c r="Z1116" s="686"/>
      <c r="AA1116" s="686"/>
      <c r="AB1116" s="686"/>
      <c r="AC1116" s="686"/>
      <c r="AD1116" s="686"/>
      <c r="AE1116" s="686"/>
      <c r="AF1116" s="686"/>
    </row>
    <row r="1117" ht="15.75" customHeight="1">
      <c r="A1117" s="683"/>
      <c r="B1117" s="683"/>
      <c r="C1117" s="684"/>
      <c r="D1117" s="684"/>
      <c r="E1117" s="684"/>
      <c r="F1117" s="683"/>
      <c r="G1117" s="683"/>
      <c r="H1117" s="683"/>
      <c r="I1117" s="683"/>
      <c r="J1117" s="683"/>
      <c r="K1117" s="683"/>
      <c r="L1117" s="685"/>
      <c r="M1117" s="685"/>
      <c r="N1117" s="687"/>
      <c r="O1117" s="683"/>
      <c r="P1117" s="683"/>
      <c r="Q1117" s="686"/>
      <c r="R1117" s="686"/>
      <c r="S1117" s="686"/>
      <c r="T1117" s="686"/>
      <c r="U1117" s="686"/>
      <c r="V1117" s="686"/>
      <c r="W1117" s="686"/>
      <c r="X1117" s="686"/>
      <c r="Y1117" s="686"/>
      <c r="Z1117" s="686"/>
      <c r="AA1117" s="686"/>
      <c r="AB1117" s="686"/>
      <c r="AC1117" s="686"/>
      <c r="AD1117" s="686"/>
      <c r="AE1117" s="686"/>
      <c r="AF1117" s="686"/>
    </row>
    <row r="1118" ht="15.75" customHeight="1">
      <c r="A1118" s="683"/>
      <c r="B1118" s="683"/>
      <c r="C1118" s="684"/>
      <c r="D1118" s="684"/>
      <c r="E1118" s="684"/>
      <c r="F1118" s="683"/>
      <c r="G1118" s="683"/>
      <c r="H1118" s="683"/>
      <c r="I1118" s="683"/>
      <c r="J1118" s="683"/>
      <c r="K1118" s="683"/>
      <c r="L1118" s="685"/>
      <c r="M1118" s="685"/>
      <c r="N1118" s="687"/>
      <c r="O1118" s="683"/>
      <c r="P1118" s="683"/>
      <c r="Q1118" s="686"/>
      <c r="R1118" s="686"/>
      <c r="S1118" s="686"/>
      <c r="T1118" s="686"/>
      <c r="U1118" s="686"/>
      <c r="V1118" s="686"/>
      <c r="W1118" s="686"/>
      <c r="X1118" s="686"/>
      <c r="Y1118" s="686"/>
      <c r="Z1118" s="686"/>
      <c r="AA1118" s="686"/>
      <c r="AB1118" s="686"/>
      <c r="AC1118" s="686"/>
      <c r="AD1118" s="686"/>
      <c r="AE1118" s="686"/>
      <c r="AF1118" s="686"/>
    </row>
    <row r="1119" ht="15.75" customHeight="1">
      <c r="A1119" s="683"/>
      <c r="B1119" s="683"/>
      <c r="C1119" s="684"/>
      <c r="D1119" s="684"/>
      <c r="E1119" s="684"/>
      <c r="F1119" s="683"/>
      <c r="G1119" s="683"/>
      <c r="H1119" s="683"/>
      <c r="I1119" s="683"/>
      <c r="J1119" s="683"/>
      <c r="K1119" s="683"/>
      <c r="L1119" s="685"/>
      <c r="M1119" s="685"/>
      <c r="N1119" s="687"/>
      <c r="O1119" s="683"/>
      <c r="P1119" s="683"/>
      <c r="Q1119" s="686"/>
      <c r="R1119" s="686"/>
      <c r="S1119" s="686"/>
      <c r="T1119" s="686"/>
      <c r="U1119" s="686"/>
      <c r="V1119" s="686"/>
      <c r="W1119" s="686"/>
      <c r="X1119" s="686"/>
      <c r="Y1119" s="686"/>
      <c r="Z1119" s="686"/>
      <c r="AA1119" s="686"/>
      <c r="AB1119" s="686"/>
      <c r="AC1119" s="686"/>
      <c r="AD1119" s="686"/>
      <c r="AE1119" s="686"/>
      <c r="AF1119" s="686"/>
    </row>
    <row r="1120" ht="15.75" customHeight="1">
      <c r="A1120" s="683"/>
      <c r="B1120" s="683"/>
      <c r="C1120" s="684"/>
      <c r="D1120" s="684"/>
      <c r="E1120" s="684"/>
      <c r="F1120" s="683"/>
      <c r="G1120" s="683"/>
      <c r="H1120" s="683"/>
      <c r="I1120" s="683"/>
      <c r="J1120" s="683"/>
      <c r="K1120" s="683"/>
      <c r="L1120" s="685"/>
      <c r="M1120" s="685"/>
      <c r="N1120" s="687"/>
      <c r="O1120" s="683"/>
      <c r="P1120" s="683"/>
      <c r="Q1120" s="686"/>
      <c r="R1120" s="686"/>
      <c r="S1120" s="686"/>
      <c r="T1120" s="686"/>
      <c r="U1120" s="686"/>
      <c r="V1120" s="686"/>
      <c r="W1120" s="686"/>
      <c r="X1120" s="686"/>
      <c r="Y1120" s="686"/>
      <c r="Z1120" s="686"/>
      <c r="AA1120" s="686"/>
      <c r="AB1120" s="686"/>
      <c r="AC1120" s="686"/>
      <c r="AD1120" s="686"/>
      <c r="AE1120" s="686"/>
      <c r="AF1120" s="686"/>
    </row>
    <row r="1121" ht="15.75" customHeight="1">
      <c r="A1121" s="683"/>
      <c r="B1121" s="683"/>
      <c r="C1121" s="684"/>
      <c r="D1121" s="684"/>
      <c r="E1121" s="684"/>
      <c r="F1121" s="683"/>
      <c r="G1121" s="683"/>
      <c r="H1121" s="683"/>
      <c r="I1121" s="683"/>
      <c r="J1121" s="683"/>
      <c r="K1121" s="683"/>
      <c r="L1121" s="685"/>
      <c r="M1121" s="685"/>
      <c r="N1121" s="687"/>
      <c r="O1121" s="683"/>
      <c r="P1121" s="683"/>
      <c r="Q1121" s="686"/>
      <c r="R1121" s="686"/>
      <c r="S1121" s="686"/>
      <c r="T1121" s="686"/>
      <c r="U1121" s="686"/>
      <c r="V1121" s="686"/>
      <c r="W1121" s="686"/>
      <c r="X1121" s="686"/>
      <c r="Y1121" s="686"/>
      <c r="Z1121" s="686"/>
      <c r="AA1121" s="686"/>
      <c r="AB1121" s="686"/>
      <c r="AC1121" s="686"/>
      <c r="AD1121" s="686"/>
      <c r="AE1121" s="686"/>
      <c r="AF1121" s="686"/>
    </row>
    <row r="1122" ht="15.75" customHeight="1">
      <c r="A1122" s="683"/>
      <c r="B1122" s="683"/>
      <c r="C1122" s="684"/>
      <c r="D1122" s="684"/>
      <c r="E1122" s="684"/>
      <c r="F1122" s="683"/>
      <c r="G1122" s="683"/>
      <c r="H1122" s="683"/>
      <c r="I1122" s="683"/>
      <c r="J1122" s="683"/>
      <c r="K1122" s="683"/>
      <c r="L1122" s="685"/>
      <c r="M1122" s="685"/>
      <c r="N1122" s="687"/>
      <c r="O1122" s="683"/>
      <c r="P1122" s="683"/>
      <c r="Q1122" s="686"/>
      <c r="R1122" s="686"/>
      <c r="S1122" s="686"/>
      <c r="T1122" s="686"/>
      <c r="U1122" s="686"/>
      <c r="V1122" s="686"/>
      <c r="W1122" s="686"/>
      <c r="X1122" s="686"/>
      <c r="Y1122" s="686"/>
      <c r="Z1122" s="686"/>
      <c r="AA1122" s="686"/>
      <c r="AB1122" s="686"/>
      <c r="AC1122" s="686"/>
      <c r="AD1122" s="686"/>
      <c r="AE1122" s="686"/>
      <c r="AF1122" s="686"/>
    </row>
    <row r="1123" ht="15.75" customHeight="1">
      <c r="A1123" s="683"/>
      <c r="B1123" s="683"/>
      <c r="C1123" s="684"/>
      <c r="D1123" s="684"/>
      <c r="E1123" s="684"/>
      <c r="F1123" s="683"/>
      <c r="G1123" s="683"/>
      <c r="H1123" s="683"/>
      <c r="I1123" s="683"/>
      <c r="J1123" s="683"/>
      <c r="K1123" s="683"/>
      <c r="L1123" s="685"/>
      <c r="M1123" s="685"/>
      <c r="N1123" s="687"/>
      <c r="O1123" s="683"/>
      <c r="P1123" s="683"/>
      <c r="Q1123" s="686"/>
      <c r="R1123" s="686"/>
      <c r="S1123" s="686"/>
      <c r="T1123" s="686"/>
      <c r="U1123" s="686"/>
      <c r="V1123" s="686"/>
      <c r="W1123" s="686"/>
      <c r="X1123" s="686"/>
      <c r="Y1123" s="686"/>
      <c r="Z1123" s="686"/>
      <c r="AA1123" s="686"/>
      <c r="AB1123" s="686"/>
      <c r="AC1123" s="686"/>
      <c r="AD1123" s="686"/>
      <c r="AE1123" s="686"/>
      <c r="AF1123" s="686"/>
    </row>
    <row r="1124" ht="15.75" customHeight="1">
      <c r="A1124" s="683"/>
      <c r="B1124" s="683"/>
      <c r="C1124" s="684"/>
      <c r="D1124" s="684"/>
      <c r="E1124" s="684"/>
      <c r="F1124" s="683"/>
      <c r="G1124" s="683"/>
      <c r="H1124" s="683"/>
      <c r="I1124" s="683"/>
      <c r="J1124" s="683"/>
      <c r="K1124" s="683"/>
      <c r="L1124" s="685"/>
      <c r="M1124" s="685"/>
      <c r="N1124" s="687"/>
      <c r="O1124" s="683"/>
      <c r="P1124" s="683"/>
      <c r="Q1124" s="686"/>
      <c r="R1124" s="686"/>
      <c r="S1124" s="686"/>
      <c r="T1124" s="686"/>
      <c r="U1124" s="686"/>
      <c r="V1124" s="686"/>
      <c r="W1124" s="686"/>
      <c r="X1124" s="686"/>
      <c r="Y1124" s="686"/>
      <c r="Z1124" s="686"/>
      <c r="AA1124" s="686"/>
      <c r="AB1124" s="686"/>
      <c r="AC1124" s="686"/>
      <c r="AD1124" s="686"/>
      <c r="AE1124" s="686"/>
      <c r="AF1124" s="686"/>
    </row>
    <row r="1125" ht="15.75" customHeight="1">
      <c r="A1125" s="683"/>
      <c r="B1125" s="683"/>
      <c r="C1125" s="684"/>
      <c r="D1125" s="684"/>
      <c r="E1125" s="684"/>
      <c r="F1125" s="683"/>
      <c r="G1125" s="683"/>
      <c r="H1125" s="683"/>
      <c r="I1125" s="683"/>
      <c r="J1125" s="683"/>
      <c r="K1125" s="683"/>
      <c r="L1125" s="685"/>
      <c r="M1125" s="685"/>
      <c r="N1125" s="687"/>
      <c r="O1125" s="683"/>
      <c r="P1125" s="683"/>
      <c r="Q1125" s="686"/>
      <c r="R1125" s="686"/>
      <c r="S1125" s="686"/>
      <c r="T1125" s="686"/>
      <c r="U1125" s="686"/>
      <c r="V1125" s="686"/>
      <c r="W1125" s="686"/>
      <c r="X1125" s="686"/>
      <c r="Y1125" s="686"/>
      <c r="Z1125" s="686"/>
      <c r="AA1125" s="686"/>
      <c r="AB1125" s="686"/>
      <c r="AC1125" s="686"/>
      <c r="AD1125" s="686"/>
      <c r="AE1125" s="686"/>
      <c r="AF1125" s="686"/>
    </row>
    <row r="1126" ht="15.75" customHeight="1">
      <c r="A1126" s="683"/>
      <c r="B1126" s="683"/>
      <c r="C1126" s="684"/>
      <c r="D1126" s="684"/>
      <c r="E1126" s="684"/>
      <c r="F1126" s="683"/>
      <c r="G1126" s="683"/>
      <c r="H1126" s="683"/>
      <c r="I1126" s="683"/>
      <c r="J1126" s="683"/>
      <c r="K1126" s="683"/>
      <c r="L1126" s="685"/>
      <c r="M1126" s="685"/>
      <c r="N1126" s="687"/>
      <c r="O1126" s="683"/>
      <c r="P1126" s="683"/>
      <c r="Q1126" s="686"/>
      <c r="R1126" s="686"/>
      <c r="S1126" s="686"/>
      <c r="T1126" s="686"/>
      <c r="U1126" s="686"/>
      <c r="V1126" s="686"/>
      <c r="W1126" s="686"/>
      <c r="X1126" s="686"/>
      <c r="Y1126" s="686"/>
      <c r="Z1126" s="686"/>
      <c r="AA1126" s="686"/>
      <c r="AB1126" s="686"/>
      <c r="AC1126" s="686"/>
      <c r="AD1126" s="686"/>
      <c r="AE1126" s="686"/>
      <c r="AF1126" s="686"/>
    </row>
    <row r="1127" ht="15.75" customHeight="1">
      <c r="A1127" s="683"/>
      <c r="B1127" s="683"/>
      <c r="C1127" s="684"/>
      <c r="D1127" s="684"/>
      <c r="E1127" s="684"/>
      <c r="F1127" s="683"/>
      <c r="G1127" s="683"/>
      <c r="H1127" s="683"/>
      <c r="I1127" s="683"/>
      <c r="J1127" s="683"/>
      <c r="K1127" s="683"/>
      <c r="L1127" s="685"/>
      <c r="M1127" s="685"/>
      <c r="N1127" s="687"/>
      <c r="O1127" s="683"/>
      <c r="P1127" s="683"/>
      <c r="Q1127" s="686"/>
      <c r="R1127" s="686"/>
      <c r="S1127" s="686"/>
      <c r="T1127" s="686"/>
      <c r="U1127" s="686"/>
      <c r="V1127" s="686"/>
      <c r="W1127" s="686"/>
      <c r="X1127" s="686"/>
      <c r="Y1127" s="686"/>
      <c r="Z1127" s="686"/>
      <c r="AA1127" s="686"/>
      <c r="AB1127" s="686"/>
      <c r="AC1127" s="686"/>
      <c r="AD1127" s="686"/>
      <c r="AE1127" s="686"/>
      <c r="AF1127" s="686"/>
    </row>
    <row r="1128" ht="15.75" customHeight="1">
      <c r="A1128" s="683"/>
      <c r="B1128" s="683"/>
      <c r="C1128" s="684"/>
      <c r="D1128" s="684"/>
      <c r="E1128" s="684"/>
      <c r="F1128" s="683"/>
      <c r="G1128" s="683"/>
      <c r="H1128" s="683"/>
      <c r="I1128" s="683"/>
      <c r="J1128" s="683"/>
      <c r="K1128" s="683"/>
      <c r="L1128" s="685"/>
      <c r="M1128" s="685"/>
      <c r="N1128" s="687"/>
      <c r="O1128" s="683"/>
      <c r="P1128" s="683"/>
      <c r="Q1128" s="686"/>
      <c r="R1128" s="686"/>
      <c r="S1128" s="686"/>
      <c r="T1128" s="686"/>
      <c r="U1128" s="686"/>
      <c r="V1128" s="686"/>
      <c r="W1128" s="686"/>
      <c r="X1128" s="686"/>
      <c r="Y1128" s="686"/>
      <c r="Z1128" s="686"/>
      <c r="AA1128" s="686"/>
      <c r="AB1128" s="686"/>
      <c r="AC1128" s="686"/>
      <c r="AD1128" s="686"/>
      <c r="AE1128" s="686"/>
      <c r="AF1128" s="686"/>
    </row>
    <row r="1129" ht="15.75" customHeight="1">
      <c r="A1129" s="683"/>
      <c r="B1129" s="683"/>
      <c r="C1129" s="684"/>
      <c r="D1129" s="684"/>
      <c r="E1129" s="684"/>
      <c r="F1129" s="683"/>
      <c r="G1129" s="683"/>
      <c r="H1129" s="683"/>
      <c r="I1129" s="683"/>
      <c r="J1129" s="683"/>
      <c r="K1129" s="683"/>
      <c r="L1129" s="685"/>
      <c r="M1129" s="685"/>
      <c r="N1129" s="687"/>
      <c r="O1129" s="683"/>
      <c r="P1129" s="683"/>
      <c r="Q1129" s="686"/>
      <c r="R1129" s="686"/>
      <c r="S1129" s="686"/>
      <c r="T1129" s="686"/>
      <c r="U1129" s="686"/>
      <c r="V1129" s="686"/>
      <c r="W1129" s="686"/>
      <c r="X1129" s="686"/>
      <c r="Y1129" s="686"/>
      <c r="Z1129" s="686"/>
      <c r="AA1129" s="686"/>
      <c r="AB1129" s="686"/>
      <c r="AC1129" s="686"/>
      <c r="AD1129" s="686"/>
      <c r="AE1129" s="686"/>
      <c r="AF1129" s="686"/>
    </row>
    <row r="1130" ht="15.75" customHeight="1">
      <c r="A1130" s="683"/>
      <c r="B1130" s="683"/>
      <c r="C1130" s="684"/>
      <c r="D1130" s="684"/>
      <c r="E1130" s="684"/>
      <c r="F1130" s="683"/>
      <c r="G1130" s="683"/>
      <c r="H1130" s="683"/>
      <c r="I1130" s="683"/>
      <c r="J1130" s="683"/>
      <c r="K1130" s="683"/>
      <c r="L1130" s="685"/>
      <c r="M1130" s="685"/>
      <c r="N1130" s="687"/>
      <c r="O1130" s="683"/>
      <c r="P1130" s="683"/>
      <c r="Q1130" s="686"/>
      <c r="R1130" s="686"/>
      <c r="S1130" s="686"/>
      <c r="T1130" s="686"/>
      <c r="U1130" s="686"/>
      <c r="V1130" s="686"/>
      <c r="W1130" s="686"/>
      <c r="X1130" s="686"/>
      <c r="Y1130" s="686"/>
      <c r="Z1130" s="686"/>
      <c r="AA1130" s="686"/>
      <c r="AB1130" s="686"/>
      <c r="AC1130" s="686"/>
      <c r="AD1130" s="686"/>
      <c r="AE1130" s="686"/>
      <c r="AF1130" s="686"/>
    </row>
    <row r="1131" ht="15.75" customHeight="1">
      <c r="A1131" s="683"/>
      <c r="B1131" s="683"/>
      <c r="C1131" s="684"/>
      <c r="D1131" s="684"/>
      <c r="E1131" s="684"/>
      <c r="F1131" s="683"/>
      <c r="G1131" s="683"/>
      <c r="H1131" s="683"/>
      <c r="I1131" s="683"/>
      <c r="J1131" s="683"/>
      <c r="K1131" s="683"/>
      <c r="L1131" s="685"/>
      <c r="M1131" s="685"/>
      <c r="N1131" s="687"/>
      <c r="O1131" s="683"/>
      <c r="P1131" s="683"/>
      <c r="Q1131" s="686"/>
      <c r="R1131" s="686"/>
      <c r="S1131" s="686"/>
      <c r="T1131" s="686"/>
      <c r="U1131" s="686"/>
      <c r="V1131" s="686"/>
      <c r="W1131" s="686"/>
      <c r="X1131" s="686"/>
      <c r="Y1131" s="686"/>
      <c r="Z1131" s="686"/>
      <c r="AA1131" s="686"/>
      <c r="AB1131" s="686"/>
      <c r="AC1131" s="686"/>
      <c r="AD1131" s="686"/>
      <c r="AE1131" s="686"/>
      <c r="AF1131" s="686"/>
    </row>
    <row r="1132" ht="15.75" customHeight="1">
      <c r="A1132" s="683"/>
      <c r="B1132" s="683"/>
      <c r="C1132" s="684"/>
      <c r="D1132" s="684"/>
      <c r="E1132" s="684"/>
      <c r="F1132" s="683"/>
      <c r="G1132" s="683"/>
      <c r="H1132" s="683"/>
      <c r="I1132" s="683"/>
      <c r="J1132" s="683"/>
      <c r="K1132" s="683"/>
      <c r="L1132" s="685"/>
      <c r="M1132" s="685"/>
      <c r="N1132" s="687"/>
      <c r="O1132" s="683"/>
      <c r="P1132" s="683"/>
      <c r="Q1132" s="686"/>
      <c r="R1132" s="686"/>
      <c r="S1132" s="686"/>
      <c r="T1132" s="686"/>
      <c r="U1132" s="686"/>
      <c r="V1132" s="686"/>
      <c r="W1132" s="686"/>
      <c r="X1132" s="686"/>
      <c r="Y1132" s="686"/>
      <c r="Z1132" s="686"/>
      <c r="AA1132" s="686"/>
      <c r="AB1132" s="686"/>
      <c r="AC1132" s="686"/>
      <c r="AD1132" s="686"/>
      <c r="AE1132" s="686"/>
      <c r="AF1132" s="686"/>
    </row>
    <row r="1133" ht="15.75" customHeight="1">
      <c r="A1133" s="683"/>
      <c r="B1133" s="683"/>
      <c r="C1133" s="684"/>
      <c r="D1133" s="684"/>
      <c r="E1133" s="684"/>
      <c r="F1133" s="683"/>
      <c r="G1133" s="683"/>
      <c r="H1133" s="683"/>
      <c r="I1133" s="683"/>
      <c r="J1133" s="683"/>
      <c r="K1133" s="683"/>
      <c r="L1133" s="685"/>
      <c r="M1133" s="685"/>
      <c r="N1133" s="687"/>
      <c r="O1133" s="683"/>
      <c r="P1133" s="683"/>
      <c r="Q1133" s="686"/>
      <c r="R1133" s="686"/>
      <c r="S1133" s="686"/>
      <c r="T1133" s="686"/>
      <c r="U1133" s="686"/>
      <c r="V1133" s="686"/>
      <c r="W1133" s="686"/>
      <c r="X1133" s="686"/>
      <c r="Y1133" s="686"/>
      <c r="Z1133" s="686"/>
      <c r="AA1133" s="686"/>
      <c r="AB1133" s="686"/>
      <c r="AC1133" s="686"/>
      <c r="AD1133" s="686"/>
      <c r="AE1133" s="686"/>
      <c r="AF1133" s="686"/>
    </row>
    <row r="1134" ht="15.75" customHeight="1">
      <c r="A1134" s="683"/>
      <c r="B1134" s="683"/>
      <c r="C1134" s="684"/>
      <c r="D1134" s="684"/>
      <c r="E1134" s="684"/>
      <c r="F1134" s="683"/>
      <c r="G1134" s="683"/>
      <c r="H1134" s="683"/>
      <c r="I1134" s="683"/>
      <c r="J1134" s="683"/>
      <c r="K1134" s="683"/>
      <c r="L1134" s="685"/>
      <c r="M1134" s="685"/>
      <c r="N1134" s="687"/>
      <c r="O1134" s="683"/>
      <c r="P1134" s="683"/>
      <c r="Q1134" s="686"/>
      <c r="R1134" s="686"/>
      <c r="S1134" s="686"/>
      <c r="T1134" s="686"/>
      <c r="U1134" s="686"/>
      <c r="V1134" s="686"/>
      <c r="W1134" s="686"/>
      <c r="X1134" s="686"/>
      <c r="Y1134" s="686"/>
      <c r="Z1134" s="686"/>
      <c r="AA1134" s="686"/>
      <c r="AB1134" s="686"/>
      <c r="AC1134" s="686"/>
      <c r="AD1134" s="686"/>
      <c r="AE1134" s="686"/>
      <c r="AF1134" s="686"/>
    </row>
    <row r="1135" ht="15.75" customHeight="1">
      <c r="A1135" s="683"/>
      <c r="B1135" s="683"/>
      <c r="C1135" s="684"/>
      <c r="D1135" s="684"/>
      <c r="E1135" s="684"/>
      <c r="F1135" s="683"/>
      <c r="G1135" s="683"/>
      <c r="H1135" s="683"/>
      <c r="I1135" s="683"/>
      <c r="J1135" s="683"/>
      <c r="K1135" s="683"/>
      <c r="L1135" s="685"/>
      <c r="M1135" s="685"/>
      <c r="N1135" s="687"/>
      <c r="O1135" s="683"/>
      <c r="P1135" s="683"/>
      <c r="Q1135" s="686"/>
      <c r="R1135" s="686"/>
      <c r="S1135" s="686"/>
      <c r="T1135" s="686"/>
      <c r="U1135" s="686"/>
      <c r="V1135" s="686"/>
      <c r="W1135" s="686"/>
      <c r="X1135" s="686"/>
      <c r="Y1135" s="686"/>
      <c r="Z1135" s="686"/>
      <c r="AA1135" s="686"/>
      <c r="AB1135" s="686"/>
      <c r="AC1135" s="686"/>
      <c r="AD1135" s="686"/>
      <c r="AE1135" s="686"/>
      <c r="AF1135" s="686"/>
    </row>
    <row r="1136" ht="15.75" customHeight="1">
      <c r="A1136" s="683"/>
      <c r="B1136" s="683"/>
      <c r="C1136" s="684"/>
      <c r="D1136" s="684"/>
      <c r="E1136" s="684"/>
      <c r="F1136" s="683"/>
      <c r="G1136" s="683"/>
      <c r="H1136" s="683"/>
      <c r="I1136" s="683"/>
      <c r="J1136" s="683"/>
      <c r="K1136" s="683"/>
      <c r="L1136" s="685"/>
      <c r="M1136" s="685"/>
      <c r="N1136" s="687"/>
      <c r="O1136" s="683"/>
      <c r="P1136" s="683"/>
      <c r="Q1136" s="686"/>
      <c r="R1136" s="686"/>
      <c r="S1136" s="686"/>
      <c r="T1136" s="686"/>
      <c r="U1136" s="686"/>
      <c r="V1136" s="686"/>
      <c r="W1136" s="686"/>
      <c r="X1136" s="686"/>
      <c r="Y1136" s="686"/>
      <c r="Z1136" s="686"/>
      <c r="AA1136" s="686"/>
      <c r="AB1136" s="686"/>
      <c r="AC1136" s="686"/>
      <c r="AD1136" s="686"/>
      <c r="AE1136" s="686"/>
      <c r="AF1136" s="686"/>
    </row>
    <row r="1137" ht="15.75" customHeight="1">
      <c r="A1137" s="683"/>
      <c r="B1137" s="683"/>
      <c r="C1137" s="684"/>
      <c r="D1137" s="684"/>
      <c r="E1137" s="684"/>
      <c r="F1137" s="683"/>
      <c r="G1137" s="683"/>
      <c r="H1137" s="683"/>
      <c r="I1137" s="683"/>
      <c r="J1137" s="683"/>
      <c r="K1137" s="683"/>
      <c r="L1137" s="685"/>
      <c r="M1137" s="685"/>
      <c r="N1137" s="687"/>
      <c r="O1137" s="683"/>
      <c r="P1137" s="683"/>
      <c r="Q1137" s="686"/>
      <c r="R1137" s="686"/>
      <c r="S1137" s="686"/>
      <c r="T1137" s="686"/>
      <c r="U1137" s="686"/>
      <c r="V1137" s="686"/>
      <c r="W1137" s="686"/>
      <c r="X1137" s="686"/>
      <c r="Y1137" s="686"/>
      <c r="Z1137" s="686"/>
      <c r="AA1137" s="686"/>
      <c r="AB1137" s="686"/>
      <c r="AC1137" s="686"/>
      <c r="AD1137" s="686"/>
      <c r="AE1137" s="686"/>
      <c r="AF1137" s="686"/>
    </row>
    <row r="1138" ht="15.75" customHeight="1">
      <c r="A1138" s="683"/>
      <c r="B1138" s="683"/>
      <c r="C1138" s="684"/>
      <c r="D1138" s="684"/>
      <c r="E1138" s="684"/>
      <c r="F1138" s="683"/>
      <c r="G1138" s="683"/>
      <c r="H1138" s="683"/>
      <c r="I1138" s="683"/>
      <c r="J1138" s="683"/>
      <c r="K1138" s="683"/>
      <c r="L1138" s="685"/>
      <c r="M1138" s="685"/>
      <c r="N1138" s="687"/>
      <c r="O1138" s="683"/>
      <c r="P1138" s="683"/>
      <c r="Q1138" s="686"/>
      <c r="R1138" s="686"/>
      <c r="S1138" s="686"/>
      <c r="T1138" s="686"/>
      <c r="U1138" s="686"/>
      <c r="V1138" s="686"/>
      <c r="W1138" s="686"/>
      <c r="X1138" s="686"/>
      <c r="Y1138" s="686"/>
      <c r="Z1138" s="686"/>
      <c r="AA1138" s="686"/>
      <c r="AB1138" s="686"/>
      <c r="AC1138" s="686"/>
      <c r="AD1138" s="686"/>
      <c r="AE1138" s="686"/>
      <c r="AF1138" s="686"/>
    </row>
    <row r="1139" ht="15.75" customHeight="1">
      <c r="A1139" s="683"/>
      <c r="B1139" s="683"/>
      <c r="C1139" s="684"/>
      <c r="D1139" s="684"/>
      <c r="E1139" s="684"/>
      <c r="F1139" s="683"/>
      <c r="G1139" s="683"/>
      <c r="H1139" s="683"/>
      <c r="I1139" s="683"/>
      <c r="J1139" s="683"/>
      <c r="K1139" s="683"/>
      <c r="L1139" s="685"/>
      <c r="M1139" s="685"/>
      <c r="N1139" s="687"/>
      <c r="O1139" s="683"/>
      <c r="P1139" s="683"/>
      <c r="Q1139" s="686"/>
      <c r="R1139" s="686"/>
      <c r="S1139" s="686"/>
      <c r="T1139" s="686"/>
      <c r="U1139" s="686"/>
      <c r="V1139" s="686"/>
      <c r="W1139" s="686"/>
      <c r="X1139" s="686"/>
      <c r="Y1139" s="686"/>
      <c r="Z1139" s="686"/>
      <c r="AA1139" s="686"/>
      <c r="AB1139" s="686"/>
      <c r="AC1139" s="686"/>
      <c r="AD1139" s="686"/>
      <c r="AE1139" s="686"/>
      <c r="AF1139" s="686"/>
    </row>
    <row r="1140" ht="15.75" customHeight="1">
      <c r="A1140" s="683"/>
      <c r="B1140" s="683"/>
      <c r="C1140" s="684"/>
      <c r="D1140" s="684"/>
      <c r="E1140" s="684"/>
      <c r="F1140" s="683"/>
      <c r="G1140" s="683"/>
      <c r="H1140" s="683"/>
      <c r="I1140" s="683"/>
      <c r="J1140" s="683"/>
      <c r="K1140" s="683"/>
      <c r="L1140" s="685"/>
      <c r="M1140" s="685"/>
      <c r="N1140" s="687"/>
      <c r="O1140" s="683"/>
      <c r="P1140" s="683"/>
      <c r="Q1140" s="686"/>
      <c r="R1140" s="686"/>
      <c r="S1140" s="686"/>
      <c r="T1140" s="686"/>
      <c r="U1140" s="686"/>
      <c r="V1140" s="686"/>
      <c r="W1140" s="686"/>
      <c r="X1140" s="686"/>
      <c r="Y1140" s="686"/>
      <c r="Z1140" s="686"/>
      <c r="AA1140" s="686"/>
      <c r="AB1140" s="686"/>
      <c r="AC1140" s="686"/>
      <c r="AD1140" s="686"/>
      <c r="AE1140" s="686"/>
      <c r="AF1140" s="686"/>
    </row>
    <row r="1141" ht="15.75" customHeight="1">
      <c r="A1141" s="683"/>
      <c r="B1141" s="683"/>
      <c r="C1141" s="684"/>
      <c r="D1141" s="684"/>
      <c r="E1141" s="684"/>
      <c r="F1141" s="683"/>
      <c r="G1141" s="683"/>
      <c r="H1141" s="683"/>
      <c r="I1141" s="683"/>
      <c r="J1141" s="683"/>
      <c r="K1141" s="683"/>
      <c r="L1141" s="685"/>
      <c r="M1141" s="685"/>
      <c r="N1141" s="687"/>
      <c r="O1141" s="683"/>
      <c r="P1141" s="683"/>
      <c r="Q1141" s="686"/>
      <c r="R1141" s="686"/>
      <c r="S1141" s="686"/>
      <c r="T1141" s="686"/>
      <c r="U1141" s="686"/>
      <c r="V1141" s="686"/>
      <c r="W1141" s="686"/>
      <c r="X1141" s="686"/>
      <c r="Y1141" s="686"/>
      <c r="Z1141" s="686"/>
      <c r="AA1141" s="686"/>
      <c r="AB1141" s="686"/>
      <c r="AC1141" s="686"/>
      <c r="AD1141" s="686"/>
      <c r="AE1141" s="686"/>
      <c r="AF1141" s="686"/>
    </row>
    <row r="1142" ht="15.75" customHeight="1">
      <c r="A1142" s="683"/>
      <c r="B1142" s="683"/>
      <c r="C1142" s="684"/>
      <c r="D1142" s="684"/>
      <c r="E1142" s="684"/>
      <c r="F1142" s="683"/>
      <c r="G1142" s="683"/>
      <c r="H1142" s="683"/>
      <c r="I1142" s="683"/>
      <c r="J1142" s="683"/>
      <c r="K1142" s="683"/>
      <c r="L1142" s="685"/>
      <c r="M1142" s="685"/>
      <c r="N1142" s="687"/>
      <c r="O1142" s="683"/>
      <c r="P1142" s="683"/>
      <c r="Q1142" s="686"/>
      <c r="R1142" s="686"/>
      <c r="S1142" s="686"/>
      <c r="T1142" s="686"/>
      <c r="U1142" s="686"/>
      <c r="V1142" s="686"/>
      <c r="W1142" s="686"/>
      <c r="X1142" s="686"/>
      <c r="Y1142" s="686"/>
      <c r="Z1142" s="686"/>
      <c r="AA1142" s="686"/>
      <c r="AB1142" s="686"/>
      <c r="AC1142" s="686"/>
      <c r="AD1142" s="686"/>
      <c r="AE1142" s="686"/>
      <c r="AF1142" s="686"/>
    </row>
    <row r="1143" ht="15.75" customHeight="1">
      <c r="A1143" s="683"/>
      <c r="B1143" s="683"/>
      <c r="C1143" s="684"/>
      <c r="D1143" s="684"/>
      <c r="E1143" s="684"/>
      <c r="F1143" s="683"/>
      <c r="G1143" s="683"/>
      <c r="H1143" s="683"/>
      <c r="I1143" s="683"/>
      <c r="J1143" s="683"/>
      <c r="K1143" s="683"/>
      <c r="L1143" s="685"/>
      <c r="M1143" s="685"/>
      <c r="N1143" s="687"/>
      <c r="O1143" s="683"/>
      <c r="P1143" s="683"/>
      <c r="Q1143" s="686"/>
      <c r="R1143" s="686"/>
      <c r="S1143" s="686"/>
      <c r="T1143" s="686"/>
      <c r="U1143" s="686"/>
      <c r="V1143" s="686"/>
      <c r="W1143" s="686"/>
      <c r="X1143" s="686"/>
      <c r="Y1143" s="686"/>
      <c r="Z1143" s="686"/>
      <c r="AA1143" s="686"/>
      <c r="AB1143" s="686"/>
      <c r="AC1143" s="686"/>
      <c r="AD1143" s="686"/>
      <c r="AE1143" s="686"/>
      <c r="AF1143" s="686"/>
    </row>
    <row r="1144" ht="15.75" customHeight="1">
      <c r="A1144" s="683"/>
      <c r="B1144" s="683"/>
      <c r="C1144" s="684"/>
      <c r="D1144" s="684"/>
      <c r="E1144" s="684"/>
      <c r="F1144" s="683"/>
      <c r="G1144" s="683"/>
      <c r="H1144" s="683"/>
      <c r="I1144" s="683"/>
      <c r="J1144" s="683"/>
      <c r="K1144" s="683"/>
      <c r="L1144" s="685"/>
      <c r="M1144" s="685"/>
      <c r="N1144" s="687"/>
      <c r="O1144" s="683"/>
      <c r="P1144" s="683"/>
      <c r="Q1144" s="686"/>
      <c r="R1144" s="686"/>
      <c r="S1144" s="686"/>
      <c r="T1144" s="686"/>
      <c r="U1144" s="686"/>
      <c r="V1144" s="686"/>
      <c r="W1144" s="686"/>
      <c r="X1144" s="686"/>
      <c r="Y1144" s="686"/>
      <c r="Z1144" s="686"/>
      <c r="AA1144" s="686"/>
      <c r="AB1144" s="686"/>
      <c r="AC1144" s="686"/>
      <c r="AD1144" s="686"/>
      <c r="AE1144" s="686"/>
      <c r="AF1144" s="686"/>
    </row>
    <row r="1145" ht="15.75" customHeight="1">
      <c r="A1145" s="683"/>
      <c r="B1145" s="683"/>
      <c r="C1145" s="684"/>
      <c r="D1145" s="684"/>
      <c r="E1145" s="684"/>
      <c r="F1145" s="683"/>
      <c r="G1145" s="683"/>
      <c r="H1145" s="683"/>
      <c r="I1145" s="683"/>
      <c r="J1145" s="683"/>
      <c r="K1145" s="683"/>
      <c r="L1145" s="685"/>
      <c r="M1145" s="685"/>
      <c r="N1145" s="687"/>
      <c r="O1145" s="683"/>
      <c r="P1145" s="683"/>
      <c r="Q1145" s="686"/>
      <c r="R1145" s="686"/>
      <c r="S1145" s="686"/>
      <c r="T1145" s="686"/>
      <c r="U1145" s="686"/>
      <c r="V1145" s="686"/>
      <c r="W1145" s="686"/>
      <c r="X1145" s="686"/>
      <c r="Y1145" s="686"/>
      <c r="Z1145" s="686"/>
      <c r="AA1145" s="686"/>
      <c r="AB1145" s="686"/>
      <c r="AC1145" s="686"/>
      <c r="AD1145" s="686"/>
      <c r="AE1145" s="686"/>
      <c r="AF1145" s="686"/>
    </row>
    <row r="1146" ht="15.75" customHeight="1">
      <c r="A1146" s="683"/>
      <c r="B1146" s="683"/>
      <c r="C1146" s="684"/>
      <c r="D1146" s="684"/>
      <c r="E1146" s="684"/>
      <c r="F1146" s="683"/>
      <c r="G1146" s="683"/>
      <c r="H1146" s="683"/>
      <c r="I1146" s="683"/>
      <c r="J1146" s="683"/>
      <c r="K1146" s="683"/>
      <c r="L1146" s="685"/>
      <c r="M1146" s="685"/>
      <c r="N1146" s="687"/>
      <c r="O1146" s="683"/>
      <c r="P1146" s="683"/>
      <c r="Q1146" s="686"/>
      <c r="R1146" s="686"/>
      <c r="S1146" s="686"/>
      <c r="T1146" s="686"/>
      <c r="U1146" s="686"/>
      <c r="V1146" s="686"/>
      <c r="W1146" s="686"/>
      <c r="X1146" s="686"/>
      <c r="Y1146" s="686"/>
      <c r="Z1146" s="686"/>
      <c r="AA1146" s="686"/>
      <c r="AB1146" s="686"/>
      <c r="AC1146" s="686"/>
      <c r="AD1146" s="686"/>
      <c r="AE1146" s="686"/>
      <c r="AF1146" s="686"/>
    </row>
    <row r="1147" ht="15.75" customHeight="1">
      <c r="A1147" s="683"/>
      <c r="B1147" s="683"/>
      <c r="C1147" s="684"/>
      <c r="D1147" s="684"/>
      <c r="E1147" s="684"/>
      <c r="F1147" s="683"/>
      <c r="G1147" s="683"/>
      <c r="H1147" s="683"/>
      <c r="I1147" s="683"/>
      <c r="J1147" s="683"/>
      <c r="K1147" s="683"/>
      <c r="L1147" s="685"/>
      <c r="M1147" s="685"/>
      <c r="N1147" s="687"/>
      <c r="O1147" s="683"/>
      <c r="P1147" s="683"/>
      <c r="Q1147" s="686"/>
      <c r="R1147" s="686"/>
      <c r="S1147" s="686"/>
      <c r="T1147" s="686"/>
      <c r="U1147" s="686"/>
      <c r="V1147" s="686"/>
      <c r="W1147" s="686"/>
      <c r="X1147" s="686"/>
      <c r="Y1147" s="686"/>
      <c r="Z1147" s="686"/>
      <c r="AA1147" s="686"/>
      <c r="AB1147" s="686"/>
      <c r="AC1147" s="686"/>
      <c r="AD1147" s="686"/>
      <c r="AE1147" s="686"/>
      <c r="AF1147" s="686"/>
    </row>
    <row r="1148" ht="15.75" customHeight="1">
      <c r="A1148" s="683"/>
      <c r="B1148" s="683"/>
      <c r="C1148" s="684"/>
      <c r="D1148" s="684"/>
      <c r="E1148" s="684"/>
      <c r="F1148" s="683"/>
      <c r="G1148" s="683"/>
      <c r="H1148" s="683"/>
      <c r="I1148" s="683"/>
      <c r="J1148" s="683"/>
      <c r="K1148" s="683"/>
      <c r="L1148" s="685"/>
      <c r="M1148" s="685"/>
      <c r="N1148" s="687"/>
      <c r="O1148" s="683"/>
      <c r="P1148" s="683"/>
      <c r="Q1148" s="686"/>
      <c r="R1148" s="686"/>
      <c r="S1148" s="686"/>
      <c r="T1148" s="686"/>
      <c r="U1148" s="686"/>
      <c r="V1148" s="686"/>
      <c r="W1148" s="686"/>
      <c r="X1148" s="686"/>
      <c r="Y1148" s="686"/>
      <c r="Z1148" s="686"/>
      <c r="AA1148" s="686"/>
      <c r="AB1148" s="686"/>
      <c r="AC1148" s="686"/>
      <c r="AD1148" s="686"/>
      <c r="AE1148" s="686"/>
      <c r="AF1148" s="686"/>
    </row>
    <row r="1149" ht="15.75" customHeight="1">
      <c r="A1149" s="683"/>
      <c r="B1149" s="683"/>
      <c r="C1149" s="684"/>
      <c r="D1149" s="684"/>
      <c r="E1149" s="684"/>
      <c r="F1149" s="683"/>
      <c r="G1149" s="683"/>
      <c r="H1149" s="683"/>
      <c r="I1149" s="683"/>
      <c r="J1149" s="683"/>
      <c r="K1149" s="683"/>
      <c r="L1149" s="685"/>
      <c r="M1149" s="685"/>
      <c r="N1149" s="687"/>
      <c r="O1149" s="683"/>
      <c r="P1149" s="683"/>
      <c r="Q1149" s="686"/>
      <c r="R1149" s="686"/>
      <c r="S1149" s="686"/>
      <c r="T1149" s="686"/>
      <c r="U1149" s="686"/>
      <c r="V1149" s="686"/>
      <c r="W1149" s="686"/>
      <c r="X1149" s="686"/>
      <c r="Y1149" s="686"/>
      <c r="Z1149" s="686"/>
      <c r="AA1149" s="686"/>
      <c r="AB1149" s="686"/>
      <c r="AC1149" s="686"/>
      <c r="AD1149" s="686"/>
      <c r="AE1149" s="686"/>
      <c r="AF1149" s="686"/>
    </row>
    <row r="1150" ht="15.75" customHeight="1">
      <c r="A1150" s="683"/>
      <c r="B1150" s="683"/>
      <c r="C1150" s="684"/>
      <c r="D1150" s="684"/>
      <c r="E1150" s="684"/>
      <c r="F1150" s="683"/>
      <c r="G1150" s="683"/>
      <c r="H1150" s="683"/>
      <c r="I1150" s="683"/>
      <c r="J1150" s="683"/>
      <c r="K1150" s="683"/>
      <c r="L1150" s="685"/>
      <c r="M1150" s="685"/>
      <c r="N1150" s="687"/>
      <c r="O1150" s="683"/>
      <c r="P1150" s="683"/>
      <c r="Q1150" s="686"/>
      <c r="R1150" s="686"/>
      <c r="S1150" s="686"/>
      <c r="T1150" s="686"/>
      <c r="U1150" s="686"/>
      <c r="V1150" s="686"/>
      <c r="W1150" s="686"/>
      <c r="X1150" s="686"/>
      <c r="Y1150" s="686"/>
      <c r="Z1150" s="686"/>
      <c r="AA1150" s="686"/>
      <c r="AB1150" s="686"/>
      <c r="AC1150" s="686"/>
      <c r="AD1150" s="686"/>
      <c r="AE1150" s="686"/>
      <c r="AF1150" s="686"/>
    </row>
    <row r="1151" ht="15.75" customHeight="1">
      <c r="A1151" s="683"/>
      <c r="B1151" s="683"/>
      <c r="C1151" s="684"/>
      <c r="D1151" s="684"/>
      <c r="E1151" s="684"/>
      <c r="F1151" s="683"/>
      <c r="G1151" s="683"/>
      <c r="H1151" s="683"/>
      <c r="I1151" s="683"/>
      <c r="J1151" s="683"/>
      <c r="K1151" s="683"/>
      <c r="L1151" s="685"/>
      <c r="M1151" s="685"/>
      <c r="N1151" s="687"/>
      <c r="O1151" s="683"/>
      <c r="P1151" s="683"/>
      <c r="Q1151" s="686"/>
      <c r="R1151" s="686"/>
      <c r="S1151" s="686"/>
      <c r="T1151" s="686"/>
      <c r="U1151" s="686"/>
      <c r="V1151" s="686"/>
      <c r="W1151" s="686"/>
      <c r="X1151" s="686"/>
      <c r="Y1151" s="686"/>
      <c r="Z1151" s="686"/>
      <c r="AA1151" s="686"/>
      <c r="AB1151" s="686"/>
      <c r="AC1151" s="686"/>
      <c r="AD1151" s="686"/>
      <c r="AE1151" s="686"/>
      <c r="AF1151" s="686"/>
    </row>
    <row r="1152" ht="15.75" customHeight="1">
      <c r="A1152" s="683"/>
      <c r="B1152" s="683"/>
      <c r="C1152" s="684"/>
      <c r="D1152" s="684"/>
      <c r="E1152" s="684"/>
      <c r="F1152" s="683"/>
      <c r="G1152" s="683"/>
      <c r="H1152" s="683"/>
      <c r="I1152" s="683"/>
      <c r="J1152" s="683"/>
      <c r="K1152" s="683"/>
      <c r="L1152" s="685"/>
      <c r="M1152" s="685"/>
      <c r="N1152" s="687"/>
      <c r="O1152" s="683"/>
      <c r="P1152" s="683"/>
      <c r="Q1152" s="686"/>
      <c r="R1152" s="686"/>
      <c r="S1152" s="686"/>
      <c r="T1152" s="686"/>
      <c r="U1152" s="686"/>
      <c r="V1152" s="686"/>
      <c r="W1152" s="686"/>
      <c r="X1152" s="686"/>
      <c r="Y1152" s="686"/>
      <c r="Z1152" s="686"/>
      <c r="AA1152" s="686"/>
      <c r="AB1152" s="686"/>
      <c r="AC1152" s="686"/>
      <c r="AD1152" s="686"/>
      <c r="AE1152" s="686"/>
      <c r="AF1152" s="686"/>
    </row>
    <row r="1153" ht="15.75" customHeight="1">
      <c r="A1153" s="683"/>
      <c r="B1153" s="683"/>
      <c r="C1153" s="684"/>
      <c r="D1153" s="684"/>
      <c r="E1153" s="684"/>
      <c r="F1153" s="683"/>
      <c r="G1153" s="683"/>
      <c r="H1153" s="683"/>
      <c r="I1153" s="683"/>
      <c r="J1153" s="683"/>
      <c r="K1153" s="683"/>
      <c r="L1153" s="685"/>
      <c r="M1153" s="685"/>
      <c r="N1153" s="687"/>
      <c r="O1153" s="683"/>
      <c r="P1153" s="683"/>
      <c r="Q1153" s="686"/>
      <c r="R1153" s="686"/>
      <c r="S1153" s="686"/>
      <c r="T1153" s="686"/>
      <c r="U1153" s="686"/>
      <c r="V1153" s="686"/>
      <c r="W1153" s="686"/>
      <c r="X1153" s="686"/>
      <c r="Y1153" s="686"/>
      <c r="Z1153" s="686"/>
      <c r="AA1153" s="686"/>
      <c r="AB1153" s="686"/>
      <c r="AC1153" s="686"/>
      <c r="AD1153" s="686"/>
      <c r="AE1153" s="686"/>
      <c r="AF1153" s="686"/>
    </row>
    <row r="1154" ht="15.75" customHeight="1">
      <c r="A1154" s="683"/>
      <c r="B1154" s="683"/>
      <c r="C1154" s="684"/>
      <c r="D1154" s="684"/>
      <c r="E1154" s="684"/>
      <c r="F1154" s="683"/>
      <c r="G1154" s="683"/>
      <c r="H1154" s="683"/>
      <c r="I1154" s="683"/>
      <c r="J1154" s="683"/>
      <c r="K1154" s="683"/>
      <c r="L1154" s="685"/>
      <c r="M1154" s="685"/>
      <c r="N1154" s="687"/>
      <c r="O1154" s="683"/>
      <c r="P1154" s="683"/>
      <c r="Q1154" s="686"/>
      <c r="R1154" s="686"/>
      <c r="S1154" s="686"/>
      <c r="T1154" s="686"/>
      <c r="U1154" s="686"/>
      <c r="V1154" s="686"/>
      <c r="W1154" s="686"/>
      <c r="X1154" s="686"/>
      <c r="Y1154" s="686"/>
      <c r="Z1154" s="686"/>
      <c r="AA1154" s="686"/>
      <c r="AB1154" s="686"/>
      <c r="AC1154" s="686"/>
      <c r="AD1154" s="686"/>
      <c r="AE1154" s="686"/>
      <c r="AF1154" s="686"/>
    </row>
    <row r="1155" ht="15.75" customHeight="1">
      <c r="A1155" s="683"/>
      <c r="B1155" s="683"/>
      <c r="C1155" s="684"/>
      <c r="D1155" s="684"/>
      <c r="E1155" s="684"/>
      <c r="F1155" s="683"/>
      <c r="G1155" s="683"/>
      <c r="H1155" s="683"/>
      <c r="I1155" s="683"/>
      <c r="J1155" s="683"/>
      <c r="K1155" s="683"/>
      <c r="L1155" s="685"/>
      <c r="M1155" s="685"/>
      <c r="N1155" s="687"/>
      <c r="O1155" s="683"/>
      <c r="P1155" s="683"/>
      <c r="Q1155" s="686"/>
      <c r="R1155" s="686"/>
      <c r="S1155" s="686"/>
      <c r="T1155" s="686"/>
      <c r="U1155" s="686"/>
      <c r="V1155" s="686"/>
      <c r="W1155" s="686"/>
      <c r="X1155" s="686"/>
      <c r="Y1155" s="686"/>
      <c r="Z1155" s="686"/>
      <c r="AA1155" s="686"/>
      <c r="AB1155" s="686"/>
      <c r="AC1155" s="686"/>
      <c r="AD1155" s="686"/>
      <c r="AE1155" s="686"/>
      <c r="AF1155" s="686"/>
    </row>
    <row r="1156" ht="15.75" customHeight="1">
      <c r="A1156" s="683"/>
      <c r="B1156" s="683"/>
      <c r="C1156" s="684"/>
      <c r="D1156" s="684"/>
      <c r="E1156" s="684"/>
      <c r="F1156" s="683"/>
      <c r="G1156" s="683"/>
      <c r="H1156" s="683"/>
      <c r="I1156" s="683"/>
      <c r="J1156" s="683"/>
      <c r="K1156" s="683"/>
      <c r="L1156" s="685"/>
      <c r="M1156" s="685"/>
      <c r="N1156" s="687"/>
      <c r="O1156" s="683"/>
      <c r="P1156" s="683"/>
      <c r="Q1156" s="686"/>
      <c r="R1156" s="686"/>
      <c r="S1156" s="686"/>
      <c r="T1156" s="686"/>
      <c r="U1156" s="686"/>
      <c r="V1156" s="686"/>
      <c r="W1156" s="686"/>
      <c r="X1156" s="686"/>
      <c r="Y1156" s="686"/>
      <c r="Z1156" s="686"/>
      <c r="AA1156" s="686"/>
      <c r="AB1156" s="686"/>
      <c r="AC1156" s="686"/>
      <c r="AD1156" s="686"/>
      <c r="AE1156" s="686"/>
      <c r="AF1156" s="686"/>
    </row>
    <row r="1157" ht="15.75" customHeight="1">
      <c r="A1157" s="683"/>
      <c r="B1157" s="683"/>
      <c r="C1157" s="684"/>
      <c r="D1157" s="684"/>
      <c r="E1157" s="684"/>
      <c r="F1157" s="683"/>
      <c r="G1157" s="683"/>
      <c r="H1157" s="683"/>
      <c r="I1157" s="683"/>
      <c r="J1157" s="683"/>
      <c r="K1157" s="683"/>
      <c r="L1157" s="685"/>
      <c r="M1157" s="685"/>
      <c r="N1157" s="687"/>
      <c r="O1157" s="683"/>
      <c r="P1157" s="683"/>
      <c r="Q1157" s="686"/>
      <c r="R1157" s="686"/>
      <c r="S1157" s="686"/>
      <c r="T1157" s="686"/>
      <c r="U1157" s="686"/>
      <c r="V1157" s="686"/>
      <c r="W1157" s="686"/>
      <c r="X1157" s="686"/>
      <c r="Y1157" s="686"/>
      <c r="Z1157" s="686"/>
      <c r="AA1157" s="686"/>
      <c r="AB1157" s="686"/>
      <c r="AC1157" s="686"/>
      <c r="AD1157" s="686"/>
      <c r="AE1157" s="686"/>
      <c r="AF1157" s="686"/>
    </row>
    <row r="1158" ht="15.75" customHeight="1">
      <c r="A1158" s="683"/>
      <c r="B1158" s="683"/>
      <c r="C1158" s="684"/>
      <c r="D1158" s="684"/>
      <c r="E1158" s="684"/>
      <c r="F1158" s="683"/>
      <c r="G1158" s="683"/>
      <c r="H1158" s="683"/>
      <c r="I1158" s="683"/>
      <c r="J1158" s="683"/>
      <c r="K1158" s="683"/>
      <c r="L1158" s="685"/>
      <c r="M1158" s="685"/>
      <c r="N1158" s="687"/>
      <c r="O1158" s="683"/>
      <c r="P1158" s="683"/>
      <c r="Q1158" s="686"/>
      <c r="R1158" s="686"/>
      <c r="S1158" s="686"/>
      <c r="T1158" s="686"/>
      <c r="U1158" s="686"/>
      <c r="V1158" s="686"/>
      <c r="W1158" s="686"/>
      <c r="X1158" s="686"/>
      <c r="Y1158" s="686"/>
      <c r="Z1158" s="686"/>
      <c r="AA1158" s="686"/>
      <c r="AB1158" s="686"/>
      <c r="AC1158" s="686"/>
      <c r="AD1158" s="686"/>
      <c r="AE1158" s="686"/>
      <c r="AF1158" s="686"/>
    </row>
    <row r="1159" ht="15.75" customHeight="1">
      <c r="A1159" s="683"/>
      <c r="B1159" s="683"/>
      <c r="C1159" s="684"/>
      <c r="D1159" s="684"/>
      <c r="E1159" s="684"/>
      <c r="F1159" s="683"/>
      <c r="G1159" s="683"/>
      <c r="H1159" s="683"/>
      <c r="I1159" s="683"/>
      <c r="J1159" s="683"/>
      <c r="K1159" s="683"/>
      <c r="L1159" s="685"/>
      <c r="M1159" s="685"/>
      <c r="N1159" s="687"/>
      <c r="O1159" s="683"/>
      <c r="P1159" s="683"/>
      <c r="Q1159" s="686"/>
      <c r="R1159" s="686"/>
      <c r="S1159" s="686"/>
      <c r="T1159" s="686"/>
      <c r="U1159" s="686"/>
      <c r="V1159" s="686"/>
      <c r="W1159" s="686"/>
      <c r="X1159" s="686"/>
      <c r="Y1159" s="686"/>
      <c r="Z1159" s="686"/>
      <c r="AA1159" s="686"/>
      <c r="AB1159" s="686"/>
      <c r="AC1159" s="686"/>
      <c r="AD1159" s="686"/>
      <c r="AE1159" s="686"/>
      <c r="AF1159" s="686"/>
    </row>
    <row r="1160" ht="15.75" customHeight="1">
      <c r="A1160" s="683"/>
      <c r="B1160" s="683"/>
      <c r="C1160" s="684"/>
      <c r="D1160" s="684"/>
      <c r="E1160" s="684"/>
      <c r="F1160" s="683"/>
      <c r="G1160" s="683"/>
      <c r="H1160" s="683"/>
      <c r="I1160" s="683"/>
      <c r="J1160" s="683"/>
      <c r="K1160" s="683"/>
      <c r="L1160" s="685"/>
      <c r="M1160" s="685"/>
      <c r="N1160" s="687"/>
      <c r="O1160" s="683"/>
      <c r="P1160" s="683"/>
      <c r="Q1160" s="686"/>
      <c r="R1160" s="686"/>
      <c r="S1160" s="686"/>
      <c r="T1160" s="686"/>
      <c r="U1160" s="686"/>
      <c r="V1160" s="686"/>
      <c r="W1160" s="686"/>
      <c r="X1160" s="686"/>
      <c r="Y1160" s="686"/>
      <c r="Z1160" s="686"/>
      <c r="AA1160" s="686"/>
      <c r="AB1160" s="686"/>
      <c r="AC1160" s="686"/>
      <c r="AD1160" s="686"/>
      <c r="AE1160" s="686"/>
      <c r="AF1160" s="686"/>
    </row>
    <row r="1161" ht="15.75" customHeight="1">
      <c r="A1161" s="683"/>
      <c r="B1161" s="683"/>
      <c r="C1161" s="684"/>
      <c r="D1161" s="684"/>
      <c r="E1161" s="684"/>
      <c r="F1161" s="683"/>
      <c r="G1161" s="683"/>
      <c r="H1161" s="683"/>
      <c r="I1161" s="683"/>
      <c r="J1161" s="683"/>
      <c r="K1161" s="683"/>
      <c r="L1161" s="685"/>
      <c r="M1161" s="685"/>
      <c r="N1161" s="687"/>
      <c r="O1161" s="683"/>
      <c r="P1161" s="683"/>
      <c r="Q1161" s="686"/>
      <c r="R1161" s="686"/>
      <c r="S1161" s="686"/>
      <c r="T1161" s="686"/>
      <c r="U1161" s="686"/>
      <c r="V1161" s="686"/>
      <c r="W1161" s="686"/>
      <c r="X1161" s="686"/>
      <c r="Y1161" s="686"/>
      <c r="Z1161" s="686"/>
      <c r="AA1161" s="686"/>
      <c r="AB1161" s="686"/>
      <c r="AC1161" s="686"/>
      <c r="AD1161" s="686"/>
      <c r="AE1161" s="686"/>
      <c r="AF1161" s="686"/>
    </row>
    <row r="1162" ht="15.75" customHeight="1">
      <c r="A1162" s="683"/>
      <c r="B1162" s="683"/>
      <c r="C1162" s="684"/>
      <c r="D1162" s="684"/>
      <c r="E1162" s="684"/>
      <c r="F1162" s="683"/>
      <c r="G1162" s="683"/>
      <c r="H1162" s="683"/>
      <c r="I1162" s="683"/>
      <c r="J1162" s="683"/>
      <c r="K1162" s="683"/>
      <c r="L1162" s="685"/>
      <c r="M1162" s="685"/>
      <c r="N1162" s="687"/>
      <c r="O1162" s="683"/>
      <c r="P1162" s="683"/>
      <c r="Q1162" s="686"/>
      <c r="R1162" s="686"/>
      <c r="S1162" s="686"/>
      <c r="T1162" s="686"/>
      <c r="U1162" s="686"/>
      <c r="V1162" s="686"/>
      <c r="W1162" s="686"/>
      <c r="X1162" s="686"/>
      <c r="Y1162" s="686"/>
      <c r="Z1162" s="686"/>
      <c r="AA1162" s="686"/>
      <c r="AB1162" s="686"/>
      <c r="AC1162" s="686"/>
      <c r="AD1162" s="686"/>
      <c r="AE1162" s="686"/>
      <c r="AF1162" s="686"/>
    </row>
    <row r="1163" ht="15.75" customHeight="1">
      <c r="A1163" s="683"/>
      <c r="B1163" s="683"/>
      <c r="C1163" s="684"/>
      <c r="D1163" s="684"/>
      <c r="E1163" s="684"/>
      <c r="F1163" s="683"/>
      <c r="G1163" s="683"/>
      <c r="H1163" s="683"/>
      <c r="I1163" s="683"/>
      <c r="J1163" s="683"/>
      <c r="K1163" s="683"/>
      <c r="L1163" s="685"/>
      <c r="M1163" s="685"/>
      <c r="N1163" s="687"/>
      <c r="O1163" s="683"/>
      <c r="P1163" s="683"/>
      <c r="Q1163" s="686"/>
      <c r="R1163" s="686"/>
      <c r="S1163" s="686"/>
      <c r="T1163" s="686"/>
      <c r="U1163" s="686"/>
      <c r="V1163" s="686"/>
      <c r="W1163" s="686"/>
      <c r="X1163" s="686"/>
      <c r="Y1163" s="686"/>
      <c r="Z1163" s="686"/>
      <c r="AA1163" s="686"/>
      <c r="AB1163" s="686"/>
      <c r="AC1163" s="686"/>
      <c r="AD1163" s="686"/>
      <c r="AE1163" s="686"/>
      <c r="AF1163" s="686"/>
    </row>
    <row r="1164" ht="15.75" customHeight="1">
      <c r="A1164" s="683"/>
      <c r="B1164" s="683"/>
      <c r="C1164" s="684"/>
      <c r="D1164" s="684"/>
      <c r="E1164" s="684"/>
      <c r="F1164" s="683"/>
      <c r="G1164" s="683"/>
      <c r="H1164" s="683"/>
      <c r="I1164" s="683"/>
      <c r="J1164" s="683"/>
      <c r="K1164" s="683"/>
      <c r="L1164" s="685"/>
      <c r="M1164" s="685"/>
      <c r="N1164" s="687"/>
      <c r="O1164" s="683"/>
      <c r="P1164" s="683"/>
      <c r="Q1164" s="686"/>
      <c r="R1164" s="686"/>
      <c r="S1164" s="686"/>
      <c r="T1164" s="686"/>
      <c r="U1164" s="686"/>
      <c r="V1164" s="686"/>
      <c r="W1164" s="686"/>
      <c r="X1164" s="686"/>
      <c r="Y1164" s="686"/>
      <c r="Z1164" s="686"/>
      <c r="AA1164" s="686"/>
      <c r="AB1164" s="686"/>
      <c r="AC1164" s="686"/>
      <c r="AD1164" s="686"/>
      <c r="AE1164" s="686"/>
      <c r="AF1164" s="686"/>
    </row>
    <row r="1165" ht="15.75" customHeight="1">
      <c r="A1165" s="683"/>
      <c r="B1165" s="683"/>
      <c r="C1165" s="684"/>
      <c r="D1165" s="684"/>
      <c r="E1165" s="684"/>
      <c r="F1165" s="683"/>
      <c r="G1165" s="683"/>
      <c r="H1165" s="683"/>
      <c r="I1165" s="683"/>
      <c r="J1165" s="683"/>
      <c r="K1165" s="683"/>
      <c r="L1165" s="685"/>
      <c r="M1165" s="685"/>
      <c r="N1165" s="687"/>
      <c r="O1165" s="683"/>
      <c r="P1165" s="683"/>
      <c r="Q1165" s="686"/>
      <c r="R1165" s="686"/>
      <c r="S1165" s="686"/>
      <c r="T1165" s="686"/>
      <c r="U1165" s="686"/>
      <c r="V1165" s="686"/>
      <c r="W1165" s="686"/>
      <c r="X1165" s="686"/>
      <c r="Y1165" s="686"/>
      <c r="Z1165" s="686"/>
      <c r="AA1165" s="686"/>
      <c r="AB1165" s="686"/>
      <c r="AC1165" s="686"/>
      <c r="AD1165" s="686"/>
      <c r="AE1165" s="686"/>
      <c r="AF1165" s="686"/>
    </row>
    <row r="1166" ht="15.75" customHeight="1">
      <c r="A1166" s="683"/>
      <c r="B1166" s="683"/>
      <c r="C1166" s="684"/>
      <c r="D1166" s="684"/>
      <c r="E1166" s="684"/>
      <c r="F1166" s="683"/>
      <c r="G1166" s="683"/>
      <c r="H1166" s="683"/>
      <c r="I1166" s="683"/>
      <c r="J1166" s="683"/>
      <c r="K1166" s="683"/>
      <c r="L1166" s="685"/>
      <c r="M1166" s="685"/>
      <c r="N1166" s="687"/>
      <c r="O1166" s="683"/>
      <c r="P1166" s="683"/>
      <c r="Q1166" s="686"/>
      <c r="R1166" s="686"/>
      <c r="S1166" s="686"/>
      <c r="T1166" s="686"/>
      <c r="U1166" s="686"/>
      <c r="V1166" s="686"/>
      <c r="W1166" s="686"/>
      <c r="X1166" s="686"/>
      <c r="Y1166" s="686"/>
      <c r="Z1166" s="686"/>
      <c r="AA1166" s="686"/>
      <c r="AB1166" s="686"/>
      <c r="AC1166" s="686"/>
      <c r="AD1166" s="686"/>
      <c r="AE1166" s="686"/>
      <c r="AF1166" s="686"/>
    </row>
    <row r="1167" ht="15.75" customHeight="1">
      <c r="A1167" s="683"/>
      <c r="B1167" s="683"/>
      <c r="C1167" s="684"/>
      <c r="D1167" s="684"/>
      <c r="E1167" s="684"/>
      <c r="F1167" s="683"/>
      <c r="G1167" s="683"/>
      <c r="H1167" s="683"/>
      <c r="I1167" s="683"/>
      <c r="J1167" s="683"/>
      <c r="K1167" s="683"/>
      <c r="L1167" s="685"/>
      <c r="M1167" s="685"/>
      <c r="N1167" s="687"/>
      <c r="O1167" s="683"/>
      <c r="P1167" s="683"/>
      <c r="Q1167" s="686"/>
      <c r="R1167" s="686"/>
      <c r="S1167" s="686"/>
      <c r="T1167" s="686"/>
      <c r="U1167" s="686"/>
      <c r="V1167" s="686"/>
      <c r="W1167" s="686"/>
      <c r="X1167" s="686"/>
      <c r="Y1167" s="686"/>
      <c r="Z1167" s="686"/>
      <c r="AA1167" s="686"/>
      <c r="AB1167" s="686"/>
      <c r="AC1167" s="686"/>
      <c r="AD1167" s="686"/>
      <c r="AE1167" s="686"/>
      <c r="AF1167" s="686"/>
    </row>
    <row r="1168" ht="15.75" customHeight="1">
      <c r="A1168" s="683"/>
      <c r="B1168" s="683"/>
      <c r="C1168" s="684"/>
      <c r="D1168" s="684"/>
      <c r="E1168" s="684"/>
      <c r="F1168" s="683"/>
      <c r="G1168" s="683"/>
      <c r="H1168" s="683"/>
      <c r="I1168" s="683"/>
      <c r="J1168" s="683"/>
      <c r="K1168" s="683"/>
      <c r="L1168" s="685"/>
      <c r="M1168" s="685"/>
      <c r="N1168" s="687"/>
      <c r="O1168" s="683"/>
      <c r="P1168" s="683"/>
      <c r="Q1168" s="686"/>
      <c r="R1168" s="686"/>
      <c r="S1168" s="686"/>
      <c r="T1168" s="686"/>
      <c r="U1168" s="686"/>
      <c r="V1168" s="686"/>
      <c r="W1168" s="686"/>
      <c r="X1168" s="686"/>
      <c r="Y1168" s="686"/>
      <c r="Z1168" s="686"/>
      <c r="AA1168" s="686"/>
      <c r="AB1168" s="686"/>
      <c r="AC1168" s="686"/>
      <c r="AD1168" s="686"/>
      <c r="AE1168" s="686"/>
      <c r="AF1168" s="686"/>
    </row>
    <row r="1169" ht="15.75" customHeight="1">
      <c r="A1169" s="683"/>
      <c r="B1169" s="683"/>
      <c r="C1169" s="684"/>
      <c r="D1169" s="684"/>
      <c r="E1169" s="684"/>
      <c r="F1169" s="683"/>
      <c r="G1169" s="683"/>
      <c r="H1169" s="683"/>
      <c r="I1169" s="683"/>
      <c r="J1169" s="683"/>
      <c r="K1169" s="683"/>
      <c r="L1169" s="685"/>
      <c r="M1169" s="685"/>
      <c r="N1169" s="687"/>
      <c r="O1169" s="683"/>
      <c r="P1169" s="683"/>
      <c r="Q1169" s="686"/>
      <c r="R1169" s="686"/>
      <c r="S1169" s="686"/>
      <c r="T1169" s="686"/>
      <c r="U1169" s="686"/>
      <c r="V1169" s="686"/>
      <c r="W1169" s="686"/>
      <c r="X1169" s="686"/>
      <c r="Y1169" s="686"/>
      <c r="Z1169" s="686"/>
      <c r="AA1169" s="686"/>
      <c r="AB1169" s="686"/>
      <c r="AC1169" s="686"/>
      <c r="AD1169" s="686"/>
      <c r="AE1169" s="686"/>
      <c r="AF1169" s="686"/>
    </row>
    <row r="1170" ht="15.75" customHeight="1">
      <c r="A1170" s="683"/>
      <c r="B1170" s="683"/>
      <c r="C1170" s="684"/>
      <c r="D1170" s="684"/>
      <c r="E1170" s="684"/>
      <c r="F1170" s="683"/>
      <c r="G1170" s="683"/>
      <c r="H1170" s="683"/>
      <c r="I1170" s="683"/>
      <c r="J1170" s="683"/>
      <c r="K1170" s="683"/>
      <c r="L1170" s="685"/>
      <c r="M1170" s="685"/>
      <c r="N1170" s="687"/>
      <c r="O1170" s="683"/>
      <c r="P1170" s="683"/>
      <c r="Q1170" s="686"/>
      <c r="R1170" s="686"/>
      <c r="S1170" s="686"/>
      <c r="T1170" s="686"/>
      <c r="U1170" s="686"/>
      <c r="V1170" s="686"/>
      <c r="W1170" s="686"/>
      <c r="X1170" s="686"/>
      <c r="Y1170" s="686"/>
      <c r="Z1170" s="686"/>
      <c r="AA1170" s="686"/>
      <c r="AB1170" s="686"/>
      <c r="AC1170" s="686"/>
      <c r="AD1170" s="686"/>
      <c r="AE1170" s="686"/>
      <c r="AF1170" s="686"/>
    </row>
    <row r="1171" ht="15.75" customHeight="1">
      <c r="A1171" s="683"/>
      <c r="B1171" s="683"/>
      <c r="C1171" s="684"/>
      <c r="D1171" s="684"/>
      <c r="E1171" s="684"/>
      <c r="F1171" s="683"/>
      <c r="G1171" s="683"/>
      <c r="H1171" s="683"/>
      <c r="I1171" s="683"/>
      <c r="J1171" s="683"/>
      <c r="K1171" s="683"/>
      <c r="L1171" s="685"/>
      <c r="M1171" s="685"/>
      <c r="N1171" s="687"/>
      <c r="O1171" s="683"/>
      <c r="P1171" s="683"/>
      <c r="Q1171" s="686"/>
      <c r="R1171" s="686"/>
      <c r="S1171" s="686"/>
      <c r="T1171" s="686"/>
      <c r="U1171" s="686"/>
      <c r="V1171" s="686"/>
      <c r="W1171" s="686"/>
      <c r="X1171" s="686"/>
      <c r="Y1171" s="686"/>
      <c r="Z1171" s="686"/>
      <c r="AA1171" s="686"/>
      <c r="AB1171" s="686"/>
      <c r="AC1171" s="686"/>
      <c r="AD1171" s="686"/>
      <c r="AE1171" s="686"/>
      <c r="AF1171" s="686"/>
    </row>
    <row r="1172" ht="15.75" customHeight="1">
      <c r="A1172" s="683"/>
      <c r="B1172" s="683"/>
      <c r="C1172" s="684"/>
      <c r="D1172" s="684"/>
      <c r="E1172" s="684"/>
      <c r="F1172" s="683"/>
      <c r="G1172" s="683"/>
      <c r="H1172" s="683"/>
      <c r="I1172" s="683"/>
      <c r="J1172" s="683"/>
      <c r="K1172" s="683"/>
      <c r="L1172" s="685"/>
      <c r="M1172" s="685"/>
      <c r="N1172" s="687"/>
      <c r="O1172" s="683"/>
      <c r="P1172" s="683"/>
      <c r="Q1172" s="686"/>
      <c r="R1172" s="686"/>
      <c r="S1172" s="686"/>
      <c r="T1172" s="686"/>
      <c r="U1172" s="686"/>
      <c r="V1172" s="686"/>
      <c r="W1172" s="686"/>
      <c r="X1172" s="686"/>
      <c r="Y1172" s="686"/>
      <c r="Z1172" s="686"/>
      <c r="AA1172" s="686"/>
      <c r="AB1172" s="686"/>
      <c r="AC1172" s="686"/>
      <c r="AD1172" s="686"/>
      <c r="AE1172" s="686"/>
      <c r="AF1172" s="686"/>
    </row>
    <row r="1173" ht="15.75" customHeight="1">
      <c r="A1173" s="683"/>
      <c r="B1173" s="683"/>
      <c r="C1173" s="684"/>
      <c r="D1173" s="684"/>
      <c r="E1173" s="684"/>
      <c r="F1173" s="683"/>
      <c r="G1173" s="683"/>
      <c r="H1173" s="683"/>
      <c r="I1173" s="683"/>
      <c r="J1173" s="683"/>
      <c r="K1173" s="683"/>
      <c r="L1173" s="685"/>
      <c r="M1173" s="685"/>
      <c r="N1173" s="687"/>
      <c r="O1173" s="683"/>
      <c r="P1173" s="683"/>
      <c r="Q1173" s="686"/>
      <c r="R1173" s="686"/>
      <c r="S1173" s="686"/>
      <c r="T1173" s="686"/>
      <c r="U1173" s="686"/>
      <c r="V1173" s="686"/>
      <c r="W1173" s="686"/>
      <c r="X1173" s="686"/>
      <c r="Y1173" s="686"/>
      <c r="Z1173" s="686"/>
      <c r="AA1173" s="686"/>
      <c r="AB1173" s="686"/>
      <c r="AC1173" s="686"/>
      <c r="AD1173" s="686"/>
      <c r="AE1173" s="686"/>
      <c r="AF1173" s="686"/>
    </row>
    <row r="1174" ht="15.75" customHeight="1">
      <c r="A1174" s="683"/>
      <c r="B1174" s="683"/>
      <c r="C1174" s="684"/>
      <c r="D1174" s="684"/>
      <c r="E1174" s="684"/>
      <c r="F1174" s="683"/>
      <c r="G1174" s="683"/>
      <c r="H1174" s="683"/>
      <c r="I1174" s="683"/>
      <c r="J1174" s="683"/>
      <c r="K1174" s="683"/>
      <c r="L1174" s="685"/>
      <c r="M1174" s="685"/>
      <c r="N1174" s="687"/>
      <c r="O1174" s="683"/>
      <c r="P1174" s="683"/>
      <c r="Q1174" s="686"/>
      <c r="R1174" s="686"/>
      <c r="S1174" s="686"/>
      <c r="T1174" s="686"/>
      <c r="U1174" s="686"/>
      <c r="V1174" s="686"/>
      <c r="W1174" s="686"/>
      <c r="X1174" s="686"/>
      <c r="Y1174" s="686"/>
      <c r="Z1174" s="686"/>
      <c r="AA1174" s="686"/>
      <c r="AB1174" s="686"/>
      <c r="AC1174" s="686"/>
      <c r="AD1174" s="686"/>
      <c r="AE1174" s="686"/>
      <c r="AF1174" s="686"/>
    </row>
    <row r="1175" ht="15.75" customHeight="1">
      <c r="A1175" s="683"/>
      <c r="B1175" s="683"/>
      <c r="C1175" s="684"/>
      <c r="D1175" s="684"/>
      <c r="E1175" s="684"/>
      <c r="F1175" s="683"/>
      <c r="G1175" s="683"/>
      <c r="H1175" s="683"/>
      <c r="I1175" s="683"/>
      <c r="J1175" s="683"/>
      <c r="K1175" s="683"/>
      <c r="L1175" s="685"/>
      <c r="M1175" s="685"/>
      <c r="N1175" s="687"/>
      <c r="O1175" s="683"/>
      <c r="P1175" s="683"/>
      <c r="Q1175" s="686"/>
      <c r="R1175" s="686"/>
      <c r="S1175" s="686"/>
      <c r="T1175" s="686"/>
      <c r="U1175" s="686"/>
      <c r="V1175" s="686"/>
      <c r="W1175" s="686"/>
      <c r="X1175" s="686"/>
      <c r="Y1175" s="686"/>
      <c r="Z1175" s="686"/>
      <c r="AA1175" s="686"/>
      <c r="AB1175" s="686"/>
      <c r="AC1175" s="686"/>
      <c r="AD1175" s="686"/>
      <c r="AE1175" s="686"/>
      <c r="AF1175" s="686"/>
    </row>
    <row r="1176" ht="15.75" customHeight="1">
      <c r="A1176" s="683"/>
      <c r="B1176" s="683"/>
      <c r="C1176" s="684"/>
      <c r="D1176" s="684"/>
      <c r="E1176" s="684"/>
      <c r="F1176" s="683"/>
      <c r="G1176" s="683"/>
      <c r="H1176" s="683"/>
      <c r="I1176" s="683"/>
      <c r="J1176" s="683"/>
      <c r="K1176" s="683"/>
      <c r="L1176" s="685"/>
      <c r="M1176" s="685"/>
      <c r="N1176" s="687"/>
      <c r="O1176" s="683"/>
      <c r="P1176" s="683"/>
      <c r="Q1176" s="686"/>
      <c r="R1176" s="686"/>
      <c r="S1176" s="686"/>
      <c r="T1176" s="686"/>
      <c r="U1176" s="686"/>
      <c r="V1176" s="686"/>
      <c r="W1176" s="686"/>
      <c r="X1176" s="686"/>
      <c r="Y1176" s="686"/>
      <c r="Z1176" s="686"/>
      <c r="AA1176" s="686"/>
      <c r="AB1176" s="686"/>
      <c r="AC1176" s="686"/>
      <c r="AD1176" s="686"/>
      <c r="AE1176" s="686"/>
      <c r="AF1176" s="686"/>
    </row>
    <row r="1177" ht="15.75" customHeight="1">
      <c r="A1177" s="683"/>
      <c r="B1177" s="683"/>
      <c r="C1177" s="684"/>
      <c r="D1177" s="684"/>
      <c r="E1177" s="684"/>
      <c r="F1177" s="683"/>
      <c r="G1177" s="683"/>
      <c r="H1177" s="683"/>
      <c r="I1177" s="683"/>
      <c r="J1177" s="683"/>
      <c r="K1177" s="683"/>
      <c r="L1177" s="685"/>
      <c r="M1177" s="685"/>
      <c r="N1177" s="687"/>
      <c r="O1177" s="683"/>
      <c r="P1177" s="683"/>
      <c r="Q1177" s="686"/>
      <c r="R1177" s="686"/>
      <c r="S1177" s="686"/>
      <c r="T1177" s="686"/>
      <c r="U1177" s="686"/>
      <c r="V1177" s="686"/>
      <c r="W1177" s="686"/>
      <c r="X1177" s="686"/>
      <c r="Y1177" s="686"/>
      <c r="Z1177" s="686"/>
      <c r="AA1177" s="686"/>
      <c r="AB1177" s="686"/>
      <c r="AC1177" s="686"/>
      <c r="AD1177" s="686"/>
      <c r="AE1177" s="686"/>
      <c r="AF1177" s="686"/>
    </row>
    <row r="1178" ht="15.75" customHeight="1">
      <c r="A1178" s="683"/>
      <c r="B1178" s="683"/>
      <c r="C1178" s="684"/>
      <c r="D1178" s="684"/>
      <c r="E1178" s="684"/>
      <c r="F1178" s="683"/>
      <c r="G1178" s="683"/>
      <c r="H1178" s="683"/>
      <c r="I1178" s="683"/>
      <c r="J1178" s="683"/>
      <c r="K1178" s="683"/>
      <c r="L1178" s="685"/>
      <c r="M1178" s="685"/>
      <c r="N1178" s="687"/>
      <c r="O1178" s="683"/>
      <c r="P1178" s="683"/>
      <c r="Q1178" s="686"/>
      <c r="R1178" s="686"/>
      <c r="S1178" s="686"/>
      <c r="T1178" s="686"/>
      <c r="U1178" s="686"/>
      <c r="V1178" s="686"/>
      <c r="W1178" s="686"/>
      <c r="X1178" s="686"/>
      <c r="Y1178" s="686"/>
      <c r="Z1178" s="686"/>
      <c r="AA1178" s="686"/>
      <c r="AB1178" s="686"/>
      <c r="AC1178" s="686"/>
      <c r="AD1178" s="686"/>
      <c r="AE1178" s="686"/>
      <c r="AF1178" s="686"/>
    </row>
    <row r="1179" ht="15.75" customHeight="1">
      <c r="A1179" s="683"/>
      <c r="B1179" s="683"/>
      <c r="C1179" s="684"/>
      <c r="D1179" s="684"/>
      <c r="E1179" s="684"/>
      <c r="F1179" s="683"/>
      <c r="G1179" s="683"/>
      <c r="H1179" s="683"/>
      <c r="I1179" s="683"/>
      <c r="J1179" s="683"/>
      <c r="K1179" s="683"/>
      <c r="L1179" s="685"/>
      <c r="M1179" s="685"/>
      <c r="N1179" s="687"/>
      <c r="O1179" s="683"/>
      <c r="P1179" s="683"/>
      <c r="Q1179" s="686"/>
      <c r="R1179" s="686"/>
      <c r="S1179" s="686"/>
      <c r="T1179" s="686"/>
      <c r="U1179" s="686"/>
      <c r="V1179" s="686"/>
      <c r="W1179" s="686"/>
      <c r="X1179" s="686"/>
      <c r="Y1179" s="686"/>
      <c r="Z1179" s="686"/>
      <c r="AA1179" s="686"/>
      <c r="AB1179" s="686"/>
      <c r="AC1179" s="686"/>
      <c r="AD1179" s="686"/>
      <c r="AE1179" s="686"/>
      <c r="AF1179" s="686"/>
    </row>
    <row r="1180" ht="15.75" customHeight="1">
      <c r="A1180" s="683"/>
      <c r="B1180" s="683"/>
      <c r="C1180" s="684"/>
      <c r="D1180" s="684"/>
      <c r="E1180" s="684"/>
      <c r="F1180" s="683"/>
      <c r="G1180" s="683"/>
      <c r="H1180" s="683"/>
      <c r="I1180" s="683"/>
      <c r="J1180" s="683"/>
      <c r="K1180" s="683"/>
      <c r="L1180" s="685"/>
      <c r="M1180" s="685"/>
      <c r="N1180" s="687"/>
      <c r="O1180" s="683"/>
      <c r="P1180" s="683"/>
      <c r="Q1180" s="686"/>
      <c r="R1180" s="686"/>
      <c r="S1180" s="686"/>
      <c r="T1180" s="686"/>
      <c r="U1180" s="686"/>
      <c r="V1180" s="686"/>
      <c r="W1180" s="686"/>
      <c r="X1180" s="686"/>
      <c r="Y1180" s="686"/>
      <c r="Z1180" s="686"/>
      <c r="AA1180" s="686"/>
      <c r="AB1180" s="686"/>
      <c r="AC1180" s="686"/>
      <c r="AD1180" s="686"/>
      <c r="AE1180" s="686"/>
      <c r="AF1180" s="686"/>
    </row>
    <row r="1181" ht="15.75" customHeight="1">
      <c r="A1181" s="683"/>
      <c r="B1181" s="683"/>
      <c r="C1181" s="684"/>
      <c r="D1181" s="684"/>
      <c r="E1181" s="684"/>
      <c r="F1181" s="683"/>
      <c r="G1181" s="683"/>
      <c r="H1181" s="683"/>
      <c r="I1181" s="683"/>
      <c r="J1181" s="683"/>
      <c r="K1181" s="683"/>
      <c r="L1181" s="685"/>
      <c r="M1181" s="685"/>
      <c r="N1181" s="687"/>
      <c r="O1181" s="683"/>
      <c r="P1181" s="683"/>
      <c r="Q1181" s="686"/>
      <c r="R1181" s="686"/>
      <c r="S1181" s="686"/>
      <c r="T1181" s="686"/>
      <c r="U1181" s="686"/>
      <c r="V1181" s="686"/>
      <c r="W1181" s="686"/>
      <c r="X1181" s="686"/>
      <c r="Y1181" s="686"/>
      <c r="Z1181" s="686"/>
      <c r="AA1181" s="686"/>
      <c r="AB1181" s="686"/>
      <c r="AC1181" s="686"/>
      <c r="AD1181" s="686"/>
      <c r="AE1181" s="686"/>
      <c r="AF1181" s="686"/>
    </row>
    <row r="1182" ht="15.75" customHeight="1">
      <c r="A1182" s="683"/>
      <c r="B1182" s="683"/>
      <c r="C1182" s="684"/>
      <c r="D1182" s="684"/>
      <c r="E1182" s="684"/>
      <c r="F1182" s="683"/>
      <c r="G1182" s="683"/>
      <c r="H1182" s="683"/>
      <c r="I1182" s="683"/>
      <c r="J1182" s="683"/>
      <c r="K1182" s="683"/>
      <c r="L1182" s="685"/>
      <c r="M1182" s="685"/>
      <c r="N1182" s="687"/>
      <c r="O1182" s="683"/>
      <c r="P1182" s="683"/>
      <c r="Q1182" s="686"/>
      <c r="R1182" s="686"/>
      <c r="S1182" s="686"/>
      <c r="T1182" s="686"/>
      <c r="U1182" s="686"/>
      <c r="V1182" s="686"/>
      <c r="W1182" s="686"/>
      <c r="X1182" s="686"/>
      <c r="Y1182" s="686"/>
      <c r="Z1182" s="686"/>
      <c r="AA1182" s="686"/>
      <c r="AB1182" s="686"/>
      <c r="AC1182" s="686"/>
      <c r="AD1182" s="686"/>
      <c r="AE1182" s="686"/>
      <c r="AF1182" s="686"/>
    </row>
    <row r="1183" ht="15.75" customHeight="1">
      <c r="A1183" s="683"/>
      <c r="B1183" s="683"/>
      <c r="C1183" s="684"/>
      <c r="D1183" s="684"/>
      <c r="E1183" s="684"/>
      <c r="F1183" s="683"/>
      <c r="G1183" s="683"/>
      <c r="H1183" s="683"/>
      <c r="I1183" s="683"/>
      <c r="J1183" s="683"/>
      <c r="K1183" s="683"/>
      <c r="L1183" s="685"/>
      <c r="M1183" s="685"/>
      <c r="N1183" s="687"/>
      <c r="O1183" s="683"/>
      <c r="P1183" s="683"/>
      <c r="Q1183" s="686"/>
      <c r="R1183" s="686"/>
      <c r="S1183" s="686"/>
      <c r="T1183" s="686"/>
      <c r="U1183" s="686"/>
      <c r="V1183" s="686"/>
      <c r="W1183" s="686"/>
      <c r="X1183" s="686"/>
      <c r="Y1183" s="686"/>
      <c r="Z1183" s="686"/>
      <c r="AA1183" s="686"/>
      <c r="AB1183" s="686"/>
      <c r="AC1183" s="686"/>
      <c r="AD1183" s="686"/>
      <c r="AE1183" s="686"/>
      <c r="AF1183" s="686"/>
    </row>
    <row r="1184" ht="15.75" customHeight="1">
      <c r="A1184" s="683"/>
      <c r="B1184" s="683"/>
      <c r="C1184" s="684"/>
      <c r="D1184" s="684"/>
      <c r="E1184" s="684"/>
      <c r="F1184" s="683"/>
      <c r="G1184" s="683"/>
      <c r="H1184" s="683"/>
      <c r="I1184" s="683"/>
      <c r="J1184" s="683"/>
      <c r="K1184" s="683"/>
      <c r="L1184" s="685"/>
      <c r="M1184" s="685"/>
      <c r="N1184" s="687"/>
      <c r="O1184" s="683"/>
      <c r="P1184" s="683"/>
      <c r="Q1184" s="686"/>
      <c r="R1184" s="686"/>
      <c r="S1184" s="686"/>
      <c r="T1184" s="686"/>
      <c r="U1184" s="686"/>
      <c r="V1184" s="686"/>
      <c r="W1184" s="686"/>
      <c r="X1184" s="686"/>
      <c r="Y1184" s="686"/>
      <c r="Z1184" s="686"/>
      <c r="AA1184" s="686"/>
      <c r="AB1184" s="686"/>
      <c r="AC1184" s="686"/>
      <c r="AD1184" s="686"/>
      <c r="AE1184" s="686"/>
      <c r="AF1184" s="686"/>
    </row>
    <row r="1185" ht="15.75" customHeight="1">
      <c r="A1185" s="683"/>
      <c r="B1185" s="683"/>
      <c r="C1185" s="684"/>
      <c r="D1185" s="684"/>
      <c r="E1185" s="684"/>
      <c r="F1185" s="683"/>
      <c r="G1185" s="683"/>
      <c r="H1185" s="683"/>
      <c r="I1185" s="683"/>
      <c r="J1185" s="683"/>
      <c r="K1185" s="683"/>
      <c r="L1185" s="685"/>
      <c r="M1185" s="685"/>
      <c r="N1185" s="687"/>
      <c r="O1185" s="683"/>
      <c r="P1185" s="683"/>
      <c r="Q1185" s="686"/>
      <c r="R1185" s="686"/>
      <c r="S1185" s="686"/>
      <c r="T1185" s="686"/>
      <c r="U1185" s="686"/>
      <c r="V1185" s="686"/>
      <c r="W1185" s="686"/>
      <c r="X1185" s="686"/>
      <c r="Y1185" s="686"/>
      <c r="Z1185" s="686"/>
      <c r="AA1185" s="686"/>
      <c r="AB1185" s="686"/>
      <c r="AC1185" s="686"/>
      <c r="AD1185" s="686"/>
      <c r="AE1185" s="686"/>
      <c r="AF1185" s="686"/>
    </row>
    <row r="1186" ht="15.75" customHeight="1">
      <c r="A1186" s="683"/>
      <c r="B1186" s="683"/>
      <c r="C1186" s="684"/>
      <c r="D1186" s="684"/>
      <c r="E1186" s="684"/>
      <c r="F1186" s="683"/>
      <c r="G1186" s="683"/>
      <c r="H1186" s="683"/>
      <c r="I1186" s="683"/>
      <c r="J1186" s="683"/>
      <c r="K1186" s="683"/>
      <c r="L1186" s="685"/>
      <c r="M1186" s="685"/>
      <c r="N1186" s="687"/>
      <c r="O1186" s="683"/>
      <c r="P1186" s="683"/>
      <c r="Q1186" s="686"/>
      <c r="R1186" s="686"/>
      <c r="S1186" s="686"/>
      <c r="T1186" s="686"/>
      <c r="U1186" s="686"/>
      <c r="V1186" s="686"/>
      <c r="W1186" s="686"/>
      <c r="X1186" s="686"/>
      <c r="Y1186" s="686"/>
      <c r="Z1186" s="686"/>
      <c r="AA1186" s="686"/>
      <c r="AB1186" s="686"/>
      <c r="AC1186" s="686"/>
      <c r="AD1186" s="686"/>
      <c r="AE1186" s="686"/>
      <c r="AF1186" s="686"/>
    </row>
    <row r="1187" ht="15.75" customHeight="1">
      <c r="A1187" s="683"/>
      <c r="B1187" s="683"/>
      <c r="C1187" s="684"/>
      <c r="D1187" s="684"/>
      <c r="E1187" s="684"/>
      <c r="F1187" s="683"/>
      <c r="G1187" s="683"/>
      <c r="H1187" s="683"/>
      <c r="I1187" s="683"/>
      <c r="J1187" s="683"/>
      <c r="K1187" s="683"/>
      <c r="L1187" s="685"/>
      <c r="M1187" s="685"/>
      <c r="N1187" s="687"/>
      <c r="O1187" s="683"/>
      <c r="P1187" s="683"/>
      <c r="Q1187" s="686"/>
      <c r="R1187" s="686"/>
      <c r="S1187" s="686"/>
      <c r="T1187" s="686"/>
      <c r="U1187" s="686"/>
      <c r="V1187" s="686"/>
      <c r="W1187" s="686"/>
      <c r="X1187" s="686"/>
      <c r="Y1187" s="686"/>
      <c r="Z1187" s="686"/>
      <c r="AA1187" s="686"/>
      <c r="AB1187" s="686"/>
      <c r="AC1187" s="686"/>
      <c r="AD1187" s="686"/>
      <c r="AE1187" s="686"/>
      <c r="AF1187" s="686"/>
    </row>
    <row r="1188" ht="15.75" customHeight="1">
      <c r="A1188" s="683"/>
      <c r="B1188" s="683"/>
      <c r="C1188" s="684"/>
      <c r="D1188" s="684"/>
      <c r="E1188" s="684"/>
      <c r="F1188" s="683"/>
      <c r="G1188" s="683"/>
      <c r="H1188" s="683"/>
      <c r="I1188" s="683"/>
      <c r="J1188" s="683"/>
      <c r="K1188" s="683"/>
      <c r="L1188" s="685"/>
      <c r="M1188" s="685"/>
      <c r="N1188" s="687"/>
      <c r="O1188" s="683"/>
      <c r="P1188" s="683"/>
      <c r="Q1188" s="686"/>
      <c r="R1188" s="686"/>
      <c r="S1188" s="686"/>
      <c r="T1188" s="686"/>
      <c r="U1188" s="686"/>
      <c r="V1188" s="686"/>
      <c r="W1188" s="686"/>
      <c r="X1188" s="686"/>
      <c r="Y1188" s="686"/>
      <c r="Z1188" s="686"/>
      <c r="AA1188" s="686"/>
      <c r="AB1188" s="686"/>
      <c r="AC1188" s="686"/>
      <c r="AD1188" s="686"/>
      <c r="AE1188" s="686"/>
      <c r="AF1188" s="686"/>
    </row>
    <row r="1189" ht="15.75" customHeight="1">
      <c r="A1189" s="683"/>
      <c r="B1189" s="683"/>
      <c r="C1189" s="684"/>
      <c r="D1189" s="684"/>
      <c r="E1189" s="684"/>
      <c r="F1189" s="683"/>
      <c r="G1189" s="683"/>
      <c r="H1189" s="683"/>
      <c r="I1189" s="683"/>
      <c r="J1189" s="683"/>
      <c r="K1189" s="683"/>
      <c r="L1189" s="685"/>
      <c r="M1189" s="685"/>
      <c r="N1189" s="687"/>
      <c r="O1189" s="683"/>
      <c r="P1189" s="683"/>
      <c r="Q1189" s="686"/>
      <c r="R1189" s="686"/>
      <c r="S1189" s="686"/>
      <c r="T1189" s="686"/>
      <c r="U1189" s="686"/>
      <c r="V1189" s="686"/>
      <c r="W1189" s="686"/>
      <c r="X1189" s="686"/>
      <c r="Y1189" s="686"/>
      <c r="Z1189" s="686"/>
      <c r="AA1189" s="686"/>
      <c r="AB1189" s="686"/>
      <c r="AC1189" s="686"/>
      <c r="AD1189" s="686"/>
      <c r="AE1189" s="686"/>
      <c r="AF1189" s="686"/>
    </row>
    <row r="1190" ht="15.75" customHeight="1">
      <c r="A1190" s="683"/>
      <c r="B1190" s="683"/>
      <c r="C1190" s="684"/>
      <c r="D1190" s="684"/>
      <c r="E1190" s="684"/>
      <c r="F1190" s="683"/>
      <c r="G1190" s="683"/>
      <c r="H1190" s="683"/>
      <c r="I1190" s="683"/>
      <c r="J1190" s="683"/>
      <c r="K1190" s="683"/>
      <c r="L1190" s="685"/>
      <c r="M1190" s="685"/>
      <c r="N1190" s="687"/>
      <c r="O1190" s="683"/>
      <c r="P1190" s="683"/>
      <c r="Q1190" s="686"/>
      <c r="R1190" s="686"/>
      <c r="S1190" s="686"/>
      <c r="T1190" s="686"/>
      <c r="U1190" s="686"/>
      <c r="V1190" s="686"/>
      <c r="W1190" s="686"/>
      <c r="X1190" s="686"/>
      <c r="Y1190" s="686"/>
      <c r="Z1190" s="686"/>
      <c r="AA1190" s="686"/>
      <c r="AB1190" s="686"/>
      <c r="AC1190" s="686"/>
      <c r="AD1190" s="686"/>
      <c r="AE1190" s="686"/>
      <c r="AF1190" s="686"/>
    </row>
    <row r="1191" ht="15.75" customHeight="1">
      <c r="A1191" s="683"/>
      <c r="B1191" s="683"/>
      <c r="C1191" s="684"/>
      <c r="D1191" s="684"/>
      <c r="E1191" s="684"/>
      <c r="F1191" s="683"/>
      <c r="G1191" s="683"/>
      <c r="H1191" s="683"/>
      <c r="I1191" s="683"/>
      <c r="J1191" s="683"/>
      <c r="K1191" s="683"/>
      <c r="L1191" s="685"/>
      <c r="M1191" s="685"/>
      <c r="N1191" s="687"/>
      <c r="O1191" s="683"/>
      <c r="P1191" s="683"/>
      <c r="Q1191" s="686"/>
      <c r="R1191" s="686"/>
      <c r="S1191" s="686"/>
      <c r="T1191" s="686"/>
      <c r="U1191" s="686"/>
      <c r="V1191" s="686"/>
      <c r="W1191" s="686"/>
      <c r="X1191" s="686"/>
      <c r="Y1191" s="686"/>
      <c r="Z1191" s="686"/>
      <c r="AA1191" s="686"/>
      <c r="AB1191" s="686"/>
      <c r="AC1191" s="686"/>
      <c r="AD1191" s="686"/>
      <c r="AE1191" s="686"/>
      <c r="AF1191" s="686"/>
    </row>
    <row r="1192" ht="15.75" customHeight="1">
      <c r="A1192" s="683"/>
      <c r="B1192" s="683"/>
      <c r="C1192" s="684"/>
      <c r="D1192" s="684"/>
      <c r="E1192" s="684"/>
      <c r="F1192" s="683"/>
      <c r="G1192" s="683"/>
      <c r="H1192" s="683"/>
      <c r="I1192" s="683"/>
      <c r="J1192" s="683"/>
      <c r="K1192" s="683"/>
      <c r="L1192" s="685"/>
      <c r="M1192" s="685"/>
      <c r="N1192" s="687"/>
      <c r="O1192" s="683"/>
      <c r="P1192" s="683"/>
      <c r="Q1192" s="686"/>
      <c r="R1192" s="686"/>
      <c r="S1192" s="686"/>
      <c r="T1192" s="686"/>
      <c r="U1192" s="686"/>
      <c r="V1192" s="686"/>
      <c r="W1192" s="686"/>
      <c r="X1192" s="686"/>
      <c r="Y1192" s="686"/>
      <c r="Z1192" s="686"/>
      <c r="AA1192" s="686"/>
      <c r="AB1192" s="686"/>
      <c r="AC1192" s="686"/>
      <c r="AD1192" s="686"/>
      <c r="AE1192" s="686"/>
      <c r="AF1192" s="686"/>
    </row>
    <row r="1193" ht="15.75" customHeight="1">
      <c r="A1193" s="683"/>
      <c r="B1193" s="683"/>
      <c r="C1193" s="684"/>
      <c r="D1193" s="684"/>
      <c r="E1193" s="684"/>
      <c r="F1193" s="683"/>
      <c r="G1193" s="683"/>
      <c r="H1193" s="683"/>
      <c r="I1193" s="683"/>
      <c r="J1193" s="683"/>
      <c r="K1193" s="683"/>
      <c r="L1193" s="685"/>
      <c r="M1193" s="685"/>
      <c r="N1193" s="687"/>
      <c r="O1193" s="683"/>
      <c r="P1193" s="683"/>
      <c r="Q1193" s="686"/>
      <c r="R1193" s="686"/>
      <c r="S1193" s="686"/>
      <c r="T1193" s="686"/>
      <c r="U1193" s="686"/>
      <c r="V1193" s="686"/>
      <c r="W1193" s="686"/>
      <c r="X1193" s="686"/>
      <c r="Y1193" s="686"/>
      <c r="Z1193" s="686"/>
      <c r="AA1193" s="686"/>
      <c r="AB1193" s="686"/>
      <c r="AC1193" s="686"/>
      <c r="AD1193" s="686"/>
      <c r="AE1193" s="686"/>
      <c r="AF1193" s="686"/>
    </row>
    <row r="1194" ht="15.75" customHeight="1">
      <c r="A1194" s="683"/>
      <c r="B1194" s="683"/>
      <c r="C1194" s="684"/>
      <c r="D1194" s="684"/>
      <c r="E1194" s="684"/>
      <c r="F1194" s="683"/>
      <c r="G1194" s="683"/>
      <c r="H1194" s="683"/>
      <c r="I1194" s="683"/>
      <c r="J1194" s="683"/>
      <c r="K1194" s="683"/>
      <c r="L1194" s="685"/>
      <c r="M1194" s="685"/>
      <c r="N1194" s="687"/>
      <c r="O1194" s="683"/>
      <c r="P1194" s="683"/>
      <c r="Q1194" s="686"/>
      <c r="R1194" s="686"/>
      <c r="S1194" s="686"/>
      <c r="T1194" s="686"/>
      <c r="U1194" s="686"/>
      <c r="V1194" s="686"/>
      <c r="W1194" s="686"/>
      <c r="X1194" s="686"/>
      <c r="Y1194" s="686"/>
      <c r="Z1194" s="686"/>
      <c r="AA1194" s="686"/>
      <c r="AB1194" s="686"/>
      <c r="AC1194" s="686"/>
      <c r="AD1194" s="686"/>
      <c r="AE1194" s="686"/>
      <c r="AF1194" s="686"/>
    </row>
    <row r="1195" ht="15.75" customHeight="1">
      <c r="A1195" s="683"/>
      <c r="B1195" s="683"/>
      <c r="C1195" s="684"/>
      <c r="D1195" s="684"/>
      <c r="E1195" s="684"/>
      <c r="F1195" s="683"/>
      <c r="G1195" s="683"/>
      <c r="H1195" s="683"/>
      <c r="I1195" s="683"/>
      <c r="J1195" s="683"/>
      <c r="K1195" s="683"/>
      <c r="L1195" s="685"/>
      <c r="M1195" s="685"/>
      <c r="N1195" s="687"/>
      <c r="O1195" s="683"/>
      <c r="P1195" s="683"/>
      <c r="Q1195" s="686"/>
      <c r="R1195" s="686"/>
      <c r="S1195" s="686"/>
      <c r="T1195" s="686"/>
      <c r="U1195" s="686"/>
      <c r="V1195" s="686"/>
      <c r="W1195" s="686"/>
      <c r="X1195" s="686"/>
      <c r="Y1195" s="686"/>
      <c r="Z1195" s="686"/>
      <c r="AA1195" s="686"/>
      <c r="AB1195" s="686"/>
      <c r="AC1195" s="686"/>
      <c r="AD1195" s="686"/>
      <c r="AE1195" s="686"/>
      <c r="AF1195" s="686"/>
    </row>
    <row r="1196" ht="15.75" customHeight="1">
      <c r="A1196" s="683"/>
      <c r="B1196" s="683"/>
      <c r="C1196" s="684"/>
      <c r="D1196" s="684"/>
      <c r="E1196" s="684"/>
      <c r="F1196" s="683"/>
      <c r="G1196" s="683"/>
      <c r="H1196" s="683"/>
      <c r="I1196" s="683"/>
      <c r="J1196" s="683"/>
      <c r="K1196" s="683"/>
      <c r="L1196" s="685"/>
      <c r="M1196" s="685"/>
      <c r="N1196" s="687"/>
      <c r="O1196" s="683"/>
      <c r="P1196" s="683"/>
      <c r="Q1196" s="686"/>
      <c r="R1196" s="686"/>
      <c r="S1196" s="686"/>
      <c r="T1196" s="686"/>
      <c r="U1196" s="686"/>
      <c r="V1196" s="686"/>
      <c r="W1196" s="686"/>
      <c r="X1196" s="686"/>
      <c r="Y1196" s="686"/>
      <c r="Z1196" s="686"/>
      <c r="AA1196" s="686"/>
      <c r="AB1196" s="686"/>
      <c r="AC1196" s="686"/>
      <c r="AD1196" s="686"/>
      <c r="AE1196" s="686"/>
      <c r="AF1196" s="686"/>
    </row>
    <row r="1197" ht="15.75" customHeight="1">
      <c r="A1197" s="683"/>
      <c r="B1197" s="683"/>
      <c r="C1197" s="684"/>
      <c r="D1197" s="684"/>
      <c r="E1197" s="684"/>
      <c r="F1197" s="683"/>
      <c r="G1197" s="683"/>
      <c r="H1197" s="683"/>
      <c r="I1197" s="683"/>
      <c r="J1197" s="683"/>
      <c r="K1197" s="683"/>
      <c r="L1197" s="685"/>
      <c r="M1197" s="685"/>
      <c r="N1197" s="687"/>
      <c r="O1197" s="683"/>
      <c r="P1197" s="683"/>
      <c r="Q1197" s="686"/>
      <c r="R1197" s="686"/>
      <c r="S1197" s="686"/>
      <c r="T1197" s="686"/>
      <c r="U1197" s="686"/>
      <c r="V1197" s="686"/>
      <c r="W1197" s="686"/>
      <c r="X1197" s="686"/>
      <c r="Y1197" s="686"/>
      <c r="Z1197" s="686"/>
      <c r="AA1197" s="686"/>
      <c r="AB1197" s="686"/>
      <c r="AC1197" s="686"/>
      <c r="AD1197" s="686"/>
      <c r="AE1197" s="686"/>
      <c r="AF1197" s="686"/>
    </row>
    <row r="1198" ht="15.75" customHeight="1">
      <c r="A1198" s="683"/>
      <c r="B1198" s="683"/>
      <c r="C1198" s="684"/>
      <c r="D1198" s="684"/>
      <c r="E1198" s="684"/>
      <c r="F1198" s="683"/>
      <c r="G1198" s="683"/>
      <c r="H1198" s="683"/>
      <c r="I1198" s="683"/>
      <c r="J1198" s="683"/>
      <c r="K1198" s="683"/>
      <c r="L1198" s="685"/>
      <c r="M1198" s="685"/>
      <c r="N1198" s="687"/>
      <c r="O1198" s="683"/>
      <c r="P1198" s="683"/>
      <c r="Q1198" s="686"/>
      <c r="R1198" s="686"/>
      <c r="S1198" s="686"/>
      <c r="T1198" s="686"/>
      <c r="U1198" s="686"/>
      <c r="V1198" s="686"/>
      <c r="W1198" s="686"/>
      <c r="X1198" s="686"/>
      <c r="Y1198" s="686"/>
      <c r="Z1198" s="686"/>
      <c r="AA1198" s="686"/>
      <c r="AB1198" s="686"/>
      <c r="AC1198" s="686"/>
      <c r="AD1198" s="686"/>
      <c r="AE1198" s="686"/>
      <c r="AF1198" s="686"/>
    </row>
    <row r="1199" ht="15.75" customHeight="1">
      <c r="A1199" s="683"/>
      <c r="B1199" s="683"/>
      <c r="C1199" s="684"/>
      <c r="D1199" s="684"/>
      <c r="E1199" s="684"/>
      <c r="F1199" s="683"/>
      <c r="G1199" s="683"/>
      <c r="H1199" s="683"/>
      <c r="I1199" s="683"/>
      <c r="J1199" s="683"/>
      <c r="K1199" s="683"/>
      <c r="L1199" s="685"/>
      <c r="M1199" s="685"/>
      <c r="N1199" s="687"/>
      <c r="O1199" s="683"/>
      <c r="P1199" s="683"/>
      <c r="Q1199" s="686"/>
      <c r="R1199" s="686"/>
      <c r="S1199" s="686"/>
      <c r="T1199" s="686"/>
      <c r="U1199" s="686"/>
      <c r="V1199" s="686"/>
      <c r="W1199" s="686"/>
      <c r="X1199" s="686"/>
      <c r="Y1199" s="686"/>
      <c r="Z1199" s="686"/>
      <c r="AA1199" s="686"/>
      <c r="AB1199" s="686"/>
      <c r="AC1199" s="686"/>
      <c r="AD1199" s="686"/>
      <c r="AE1199" s="686"/>
      <c r="AF1199" s="686"/>
    </row>
    <row r="1200" ht="15.75" customHeight="1">
      <c r="A1200" s="683"/>
      <c r="B1200" s="683"/>
      <c r="C1200" s="684"/>
      <c r="D1200" s="684"/>
      <c r="E1200" s="684"/>
      <c r="F1200" s="683"/>
      <c r="G1200" s="683"/>
      <c r="H1200" s="683"/>
      <c r="I1200" s="683"/>
      <c r="J1200" s="683"/>
      <c r="K1200" s="683"/>
      <c r="L1200" s="685"/>
      <c r="M1200" s="685"/>
      <c r="N1200" s="687"/>
      <c r="O1200" s="683"/>
      <c r="P1200" s="683"/>
      <c r="Q1200" s="686"/>
      <c r="R1200" s="686"/>
      <c r="S1200" s="686"/>
      <c r="T1200" s="686"/>
      <c r="U1200" s="686"/>
      <c r="V1200" s="686"/>
      <c r="W1200" s="686"/>
      <c r="X1200" s="686"/>
      <c r="Y1200" s="686"/>
      <c r="Z1200" s="686"/>
      <c r="AA1200" s="686"/>
      <c r="AB1200" s="686"/>
      <c r="AC1200" s="686"/>
      <c r="AD1200" s="686"/>
      <c r="AE1200" s="686"/>
      <c r="AF1200" s="686"/>
    </row>
    <row r="1201" ht="15.75" customHeight="1">
      <c r="A1201" s="683"/>
      <c r="B1201" s="683"/>
      <c r="C1201" s="684"/>
      <c r="D1201" s="684"/>
      <c r="E1201" s="684"/>
      <c r="F1201" s="683"/>
      <c r="G1201" s="683"/>
      <c r="H1201" s="683"/>
      <c r="I1201" s="683"/>
      <c r="J1201" s="683"/>
      <c r="K1201" s="683"/>
      <c r="L1201" s="685"/>
      <c r="M1201" s="685"/>
      <c r="N1201" s="687"/>
      <c r="O1201" s="683"/>
      <c r="P1201" s="683"/>
      <c r="Q1201" s="686"/>
      <c r="R1201" s="686"/>
      <c r="S1201" s="686"/>
      <c r="T1201" s="686"/>
      <c r="U1201" s="686"/>
      <c r="V1201" s="686"/>
      <c r="W1201" s="686"/>
      <c r="X1201" s="686"/>
      <c r="Y1201" s="686"/>
      <c r="Z1201" s="686"/>
      <c r="AA1201" s="686"/>
      <c r="AB1201" s="686"/>
      <c r="AC1201" s="686"/>
      <c r="AD1201" s="686"/>
      <c r="AE1201" s="686"/>
      <c r="AF1201" s="686"/>
    </row>
    <row r="1202" ht="15.75" customHeight="1">
      <c r="A1202" s="683"/>
      <c r="B1202" s="683"/>
      <c r="C1202" s="684"/>
      <c r="D1202" s="684"/>
      <c r="E1202" s="684"/>
      <c r="F1202" s="683"/>
      <c r="G1202" s="683"/>
      <c r="H1202" s="683"/>
      <c r="I1202" s="683"/>
      <c r="J1202" s="683"/>
      <c r="K1202" s="683"/>
      <c r="L1202" s="685"/>
      <c r="M1202" s="685"/>
      <c r="N1202" s="687"/>
      <c r="O1202" s="683"/>
      <c r="P1202" s="683"/>
      <c r="Q1202" s="686"/>
      <c r="R1202" s="686"/>
      <c r="S1202" s="686"/>
      <c r="T1202" s="686"/>
      <c r="U1202" s="686"/>
      <c r="V1202" s="686"/>
      <c r="W1202" s="686"/>
      <c r="X1202" s="686"/>
      <c r="Y1202" s="686"/>
      <c r="Z1202" s="686"/>
      <c r="AA1202" s="686"/>
      <c r="AB1202" s="686"/>
      <c r="AC1202" s="686"/>
      <c r="AD1202" s="686"/>
      <c r="AE1202" s="686"/>
      <c r="AF1202" s="686"/>
    </row>
    <row r="1203" ht="15.75" customHeight="1">
      <c r="A1203" s="683"/>
      <c r="B1203" s="683"/>
      <c r="C1203" s="684"/>
      <c r="D1203" s="684"/>
      <c r="E1203" s="684"/>
      <c r="F1203" s="683"/>
      <c r="G1203" s="683"/>
      <c r="H1203" s="683"/>
      <c r="I1203" s="683"/>
      <c r="J1203" s="683"/>
      <c r="K1203" s="683"/>
      <c r="L1203" s="685"/>
      <c r="M1203" s="685"/>
      <c r="N1203" s="687"/>
      <c r="O1203" s="683"/>
      <c r="P1203" s="683"/>
      <c r="Q1203" s="686"/>
      <c r="R1203" s="686"/>
      <c r="S1203" s="686"/>
      <c r="T1203" s="686"/>
      <c r="U1203" s="686"/>
      <c r="V1203" s="686"/>
      <c r="W1203" s="686"/>
      <c r="X1203" s="686"/>
      <c r="Y1203" s="686"/>
      <c r="Z1203" s="686"/>
      <c r="AA1203" s="686"/>
      <c r="AB1203" s="686"/>
      <c r="AC1203" s="686"/>
      <c r="AD1203" s="686"/>
      <c r="AE1203" s="686"/>
      <c r="AF1203" s="686"/>
    </row>
    <row r="1204" ht="15.75" customHeight="1">
      <c r="A1204" s="683"/>
      <c r="B1204" s="683"/>
      <c r="C1204" s="684"/>
      <c r="D1204" s="684"/>
      <c r="E1204" s="684"/>
      <c r="F1204" s="683"/>
      <c r="G1204" s="683"/>
      <c r="H1204" s="683"/>
      <c r="I1204" s="683"/>
      <c r="J1204" s="683"/>
      <c r="K1204" s="683"/>
      <c r="L1204" s="685"/>
      <c r="M1204" s="685"/>
      <c r="N1204" s="687"/>
      <c r="O1204" s="683"/>
      <c r="P1204" s="683"/>
      <c r="Q1204" s="686"/>
      <c r="R1204" s="686"/>
      <c r="S1204" s="686"/>
      <c r="T1204" s="686"/>
      <c r="U1204" s="686"/>
      <c r="V1204" s="686"/>
      <c r="W1204" s="686"/>
      <c r="X1204" s="686"/>
      <c r="Y1204" s="686"/>
      <c r="Z1204" s="686"/>
      <c r="AA1204" s="686"/>
      <c r="AB1204" s="686"/>
      <c r="AC1204" s="686"/>
      <c r="AD1204" s="686"/>
      <c r="AE1204" s="686"/>
      <c r="AF1204" s="686"/>
    </row>
    <row r="1205" ht="15.75" customHeight="1">
      <c r="A1205" s="683"/>
      <c r="B1205" s="683"/>
      <c r="C1205" s="684"/>
      <c r="D1205" s="684"/>
      <c r="E1205" s="684"/>
      <c r="F1205" s="683"/>
      <c r="G1205" s="683"/>
      <c r="H1205" s="683"/>
      <c r="I1205" s="683"/>
      <c r="J1205" s="683"/>
      <c r="K1205" s="683"/>
      <c r="L1205" s="685"/>
      <c r="M1205" s="685"/>
      <c r="N1205" s="687"/>
      <c r="O1205" s="683"/>
      <c r="P1205" s="683"/>
      <c r="Q1205" s="686"/>
      <c r="R1205" s="686"/>
      <c r="S1205" s="686"/>
      <c r="T1205" s="686"/>
      <c r="U1205" s="686"/>
      <c r="V1205" s="686"/>
      <c r="W1205" s="686"/>
      <c r="X1205" s="686"/>
      <c r="Y1205" s="686"/>
      <c r="Z1205" s="686"/>
      <c r="AA1205" s="686"/>
      <c r="AB1205" s="686"/>
      <c r="AC1205" s="686"/>
      <c r="AD1205" s="686"/>
      <c r="AE1205" s="686"/>
      <c r="AF1205" s="686"/>
    </row>
    <row r="1206" ht="15.75" customHeight="1">
      <c r="A1206" s="683"/>
      <c r="B1206" s="683"/>
      <c r="C1206" s="684"/>
      <c r="D1206" s="684"/>
      <c r="E1206" s="684"/>
      <c r="F1206" s="683"/>
      <c r="G1206" s="683"/>
      <c r="H1206" s="683"/>
      <c r="I1206" s="683"/>
      <c r="J1206" s="683"/>
      <c r="K1206" s="683"/>
      <c r="L1206" s="685"/>
      <c r="M1206" s="685"/>
      <c r="N1206" s="687"/>
      <c r="O1206" s="683"/>
      <c r="P1206" s="683"/>
      <c r="Q1206" s="686"/>
      <c r="R1206" s="686"/>
      <c r="S1206" s="686"/>
      <c r="T1206" s="686"/>
      <c r="U1206" s="686"/>
      <c r="V1206" s="686"/>
      <c r="W1206" s="686"/>
      <c r="X1206" s="686"/>
      <c r="Y1206" s="686"/>
      <c r="Z1206" s="686"/>
      <c r="AA1206" s="686"/>
      <c r="AB1206" s="686"/>
      <c r="AC1206" s="686"/>
      <c r="AD1206" s="686"/>
      <c r="AE1206" s="686"/>
      <c r="AF1206" s="686"/>
    </row>
    <row r="1207" ht="15.75" customHeight="1">
      <c r="A1207" s="683"/>
      <c r="B1207" s="683"/>
      <c r="C1207" s="684"/>
      <c r="D1207" s="684"/>
      <c r="E1207" s="684"/>
      <c r="F1207" s="683"/>
      <c r="G1207" s="683"/>
      <c r="H1207" s="683"/>
      <c r="I1207" s="683"/>
      <c r="J1207" s="683"/>
      <c r="K1207" s="683"/>
      <c r="L1207" s="685"/>
      <c r="M1207" s="685"/>
      <c r="N1207" s="687"/>
      <c r="O1207" s="683"/>
      <c r="P1207" s="683"/>
      <c r="Q1207" s="686"/>
      <c r="R1207" s="686"/>
      <c r="S1207" s="686"/>
      <c r="T1207" s="686"/>
      <c r="U1207" s="686"/>
      <c r="V1207" s="686"/>
      <c r="W1207" s="686"/>
      <c r="X1207" s="686"/>
      <c r="Y1207" s="686"/>
      <c r="Z1207" s="686"/>
      <c r="AA1207" s="686"/>
      <c r="AB1207" s="686"/>
      <c r="AC1207" s="686"/>
      <c r="AD1207" s="686"/>
      <c r="AE1207" s="686"/>
      <c r="AF1207" s="686"/>
    </row>
    <row r="1208" ht="15.75" customHeight="1">
      <c r="A1208" s="683"/>
      <c r="B1208" s="683"/>
      <c r="C1208" s="684"/>
      <c r="D1208" s="684"/>
      <c r="E1208" s="684"/>
      <c r="F1208" s="683"/>
      <c r="G1208" s="683"/>
      <c r="H1208" s="683"/>
      <c r="I1208" s="683"/>
      <c r="J1208" s="683"/>
      <c r="K1208" s="683"/>
      <c r="L1208" s="685"/>
      <c r="M1208" s="685"/>
      <c r="N1208" s="687"/>
      <c r="O1208" s="683"/>
      <c r="P1208" s="683"/>
      <c r="Q1208" s="686"/>
      <c r="R1208" s="686"/>
      <c r="S1208" s="686"/>
      <c r="T1208" s="686"/>
      <c r="U1208" s="686"/>
      <c r="V1208" s="686"/>
      <c r="W1208" s="686"/>
      <c r="X1208" s="686"/>
      <c r="Y1208" s="686"/>
      <c r="Z1208" s="686"/>
      <c r="AA1208" s="686"/>
      <c r="AB1208" s="686"/>
      <c r="AC1208" s="686"/>
      <c r="AD1208" s="686"/>
      <c r="AE1208" s="686"/>
      <c r="AF1208" s="686"/>
    </row>
    <row r="1209" ht="15.75" customHeight="1">
      <c r="A1209" s="683"/>
      <c r="B1209" s="683"/>
      <c r="C1209" s="684"/>
      <c r="D1209" s="684"/>
      <c r="E1209" s="684"/>
      <c r="F1209" s="683"/>
      <c r="G1209" s="683"/>
      <c r="H1209" s="683"/>
      <c r="I1209" s="683"/>
      <c r="J1209" s="683"/>
      <c r="K1209" s="683"/>
      <c r="L1209" s="685"/>
      <c r="M1209" s="685"/>
      <c r="N1209" s="687"/>
      <c r="O1209" s="683"/>
      <c r="P1209" s="683"/>
      <c r="Q1209" s="686"/>
      <c r="R1209" s="686"/>
      <c r="S1209" s="686"/>
      <c r="T1209" s="686"/>
      <c r="U1209" s="686"/>
      <c r="V1209" s="686"/>
      <c r="W1209" s="686"/>
      <c r="X1209" s="686"/>
      <c r="Y1209" s="686"/>
      <c r="Z1209" s="686"/>
      <c r="AA1209" s="686"/>
      <c r="AB1209" s="686"/>
      <c r="AC1209" s="686"/>
      <c r="AD1209" s="686"/>
      <c r="AE1209" s="686"/>
      <c r="AF1209" s="686"/>
    </row>
    <row r="1210" ht="15.75" customHeight="1">
      <c r="A1210" s="683"/>
      <c r="B1210" s="683"/>
      <c r="C1210" s="684"/>
      <c r="D1210" s="684"/>
      <c r="E1210" s="684"/>
      <c r="F1210" s="683"/>
      <c r="G1210" s="683"/>
      <c r="H1210" s="683"/>
      <c r="I1210" s="683"/>
      <c r="J1210" s="683"/>
      <c r="K1210" s="683"/>
      <c r="L1210" s="685"/>
      <c r="M1210" s="685"/>
      <c r="N1210" s="687"/>
      <c r="O1210" s="683"/>
      <c r="P1210" s="683"/>
      <c r="Q1210" s="686"/>
      <c r="R1210" s="686"/>
      <c r="S1210" s="686"/>
      <c r="T1210" s="686"/>
      <c r="U1210" s="686"/>
      <c r="V1210" s="686"/>
      <c r="W1210" s="686"/>
      <c r="X1210" s="686"/>
      <c r="Y1210" s="686"/>
      <c r="Z1210" s="686"/>
      <c r="AA1210" s="686"/>
      <c r="AB1210" s="686"/>
      <c r="AC1210" s="686"/>
      <c r="AD1210" s="686"/>
      <c r="AE1210" s="686"/>
      <c r="AF1210" s="686"/>
    </row>
    <row r="1211" ht="15.75" customHeight="1">
      <c r="A1211" s="683"/>
      <c r="B1211" s="683"/>
      <c r="C1211" s="684"/>
      <c r="D1211" s="684"/>
      <c r="E1211" s="684"/>
      <c r="F1211" s="683"/>
      <c r="G1211" s="683"/>
      <c r="H1211" s="683"/>
      <c r="I1211" s="683"/>
      <c r="J1211" s="683"/>
      <c r="K1211" s="683"/>
      <c r="L1211" s="685"/>
      <c r="M1211" s="685"/>
      <c r="N1211" s="687"/>
      <c r="O1211" s="683"/>
      <c r="P1211" s="683"/>
      <c r="Q1211" s="686"/>
      <c r="R1211" s="686"/>
      <c r="S1211" s="686"/>
      <c r="T1211" s="686"/>
      <c r="U1211" s="686"/>
      <c r="V1211" s="686"/>
      <c r="W1211" s="686"/>
      <c r="X1211" s="686"/>
      <c r="Y1211" s="686"/>
      <c r="Z1211" s="686"/>
      <c r="AA1211" s="686"/>
      <c r="AB1211" s="686"/>
      <c r="AC1211" s="686"/>
      <c r="AD1211" s="686"/>
      <c r="AE1211" s="686"/>
      <c r="AF1211" s="686"/>
    </row>
    <row r="1212" ht="15.75" customHeight="1">
      <c r="A1212" s="683"/>
      <c r="B1212" s="683"/>
      <c r="C1212" s="684"/>
      <c r="D1212" s="684"/>
      <c r="E1212" s="684"/>
      <c r="F1212" s="683"/>
      <c r="G1212" s="683"/>
      <c r="H1212" s="683"/>
      <c r="I1212" s="683"/>
      <c r="J1212" s="683"/>
      <c r="K1212" s="683"/>
      <c r="L1212" s="685"/>
      <c r="M1212" s="685"/>
      <c r="N1212" s="687"/>
      <c r="O1212" s="683"/>
      <c r="P1212" s="683"/>
      <c r="Q1212" s="686"/>
      <c r="R1212" s="686"/>
      <c r="S1212" s="686"/>
      <c r="T1212" s="686"/>
      <c r="U1212" s="686"/>
      <c r="V1212" s="686"/>
      <c r="W1212" s="686"/>
      <c r="X1212" s="686"/>
      <c r="Y1212" s="686"/>
      <c r="Z1212" s="686"/>
      <c r="AA1212" s="686"/>
      <c r="AB1212" s="686"/>
      <c r="AC1212" s="686"/>
      <c r="AD1212" s="686"/>
      <c r="AE1212" s="686"/>
      <c r="AF1212" s="686"/>
    </row>
    <row r="1213" ht="15.75" customHeight="1">
      <c r="A1213" s="683"/>
      <c r="B1213" s="683"/>
      <c r="C1213" s="684"/>
      <c r="D1213" s="684"/>
      <c r="E1213" s="684"/>
      <c r="F1213" s="683"/>
      <c r="G1213" s="683"/>
      <c r="H1213" s="683"/>
      <c r="I1213" s="683"/>
      <c r="J1213" s="683"/>
      <c r="K1213" s="683"/>
      <c r="L1213" s="685"/>
      <c r="M1213" s="685"/>
      <c r="N1213" s="687"/>
      <c r="O1213" s="683"/>
      <c r="P1213" s="683"/>
      <c r="Q1213" s="686"/>
      <c r="R1213" s="686"/>
      <c r="S1213" s="686"/>
      <c r="T1213" s="686"/>
      <c r="U1213" s="686"/>
      <c r="V1213" s="686"/>
      <c r="W1213" s="686"/>
      <c r="X1213" s="686"/>
      <c r="Y1213" s="686"/>
      <c r="Z1213" s="686"/>
      <c r="AA1213" s="686"/>
      <c r="AB1213" s="686"/>
      <c r="AC1213" s="686"/>
      <c r="AD1213" s="686"/>
      <c r="AE1213" s="686"/>
      <c r="AF1213" s="686"/>
    </row>
    <row r="1214" ht="15.75" customHeight="1">
      <c r="A1214" s="683"/>
      <c r="B1214" s="683"/>
      <c r="C1214" s="684"/>
      <c r="D1214" s="684"/>
      <c r="E1214" s="684"/>
      <c r="F1214" s="683"/>
      <c r="G1214" s="683"/>
      <c r="H1214" s="683"/>
      <c r="I1214" s="683"/>
      <c r="J1214" s="683"/>
      <c r="K1214" s="683"/>
      <c r="L1214" s="685"/>
      <c r="M1214" s="685"/>
      <c r="N1214" s="687"/>
      <c r="O1214" s="683"/>
      <c r="P1214" s="683"/>
      <c r="Q1214" s="686"/>
      <c r="R1214" s="686"/>
      <c r="S1214" s="686"/>
      <c r="T1214" s="686"/>
      <c r="U1214" s="686"/>
      <c r="V1214" s="686"/>
      <c r="W1214" s="686"/>
      <c r="X1214" s="686"/>
      <c r="Y1214" s="686"/>
      <c r="Z1214" s="686"/>
      <c r="AA1214" s="686"/>
      <c r="AB1214" s="686"/>
      <c r="AC1214" s="686"/>
      <c r="AD1214" s="686"/>
      <c r="AE1214" s="686"/>
      <c r="AF1214" s="686"/>
    </row>
    <row r="1215" ht="15.75" customHeight="1">
      <c r="A1215" s="683"/>
      <c r="B1215" s="683"/>
      <c r="C1215" s="684"/>
      <c r="D1215" s="684"/>
      <c r="E1215" s="684"/>
      <c r="F1215" s="683"/>
      <c r="G1215" s="683"/>
      <c r="H1215" s="683"/>
      <c r="I1215" s="683"/>
      <c r="J1215" s="683"/>
      <c r="K1215" s="683"/>
      <c r="L1215" s="685"/>
      <c r="M1215" s="685"/>
      <c r="N1215" s="687"/>
      <c r="O1215" s="683"/>
      <c r="P1215" s="683"/>
      <c r="Q1215" s="686"/>
      <c r="R1215" s="686"/>
      <c r="S1215" s="686"/>
      <c r="T1215" s="686"/>
      <c r="U1215" s="686"/>
      <c r="V1215" s="686"/>
      <c r="W1215" s="686"/>
      <c r="X1215" s="686"/>
      <c r="Y1215" s="686"/>
      <c r="Z1215" s="686"/>
      <c r="AA1215" s="686"/>
      <c r="AB1215" s="686"/>
      <c r="AC1215" s="686"/>
      <c r="AD1215" s="686"/>
      <c r="AE1215" s="686"/>
      <c r="AF1215" s="686"/>
    </row>
    <row r="1216" ht="15.75" customHeight="1">
      <c r="A1216" s="683"/>
      <c r="B1216" s="683"/>
      <c r="C1216" s="684"/>
      <c r="D1216" s="684"/>
      <c r="E1216" s="684"/>
      <c r="F1216" s="683"/>
      <c r="G1216" s="683"/>
      <c r="H1216" s="683"/>
      <c r="I1216" s="683"/>
      <c r="J1216" s="683"/>
      <c r="K1216" s="683"/>
      <c r="L1216" s="685"/>
      <c r="M1216" s="685"/>
      <c r="N1216" s="687"/>
      <c r="O1216" s="683"/>
      <c r="P1216" s="683"/>
      <c r="Q1216" s="686"/>
      <c r="R1216" s="686"/>
      <c r="S1216" s="686"/>
      <c r="T1216" s="686"/>
      <c r="U1216" s="686"/>
      <c r="V1216" s="686"/>
      <c r="W1216" s="686"/>
      <c r="X1216" s="686"/>
      <c r="Y1216" s="686"/>
      <c r="Z1216" s="686"/>
      <c r="AA1216" s="686"/>
      <c r="AB1216" s="686"/>
      <c r="AC1216" s="686"/>
      <c r="AD1216" s="686"/>
      <c r="AE1216" s="686"/>
      <c r="AF1216" s="686"/>
    </row>
    <row r="1217" ht="15.75" customHeight="1">
      <c r="A1217" s="683"/>
      <c r="B1217" s="683"/>
      <c r="C1217" s="684"/>
      <c r="D1217" s="684"/>
      <c r="E1217" s="684"/>
      <c r="F1217" s="683"/>
      <c r="G1217" s="683"/>
      <c r="H1217" s="683"/>
      <c r="I1217" s="683"/>
      <c r="J1217" s="683"/>
      <c r="K1217" s="683"/>
      <c r="L1217" s="685"/>
      <c r="M1217" s="685"/>
      <c r="N1217" s="687"/>
      <c r="O1217" s="683"/>
      <c r="P1217" s="683"/>
      <c r="Q1217" s="686"/>
      <c r="R1217" s="686"/>
      <c r="S1217" s="686"/>
      <c r="T1217" s="686"/>
      <c r="U1217" s="686"/>
      <c r="V1217" s="686"/>
      <c r="W1217" s="686"/>
      <c r="X1217" s="686"/>
      <c r="Y1217" s="686"/>
      <c r="Z1217" s="686"/>
      <c r="AA1217" s="686"/>
      <c r="AB1217" s="686"/>
      <c r="AC1217" s="686"/>
      <c r="AD1217" s="686"/>
      <c r="AE1217" s="686"/>
      <c r="AF1217" s="686"/>
    </row>
    <row r="1218" ht="15.75" customHeight="1">
      <c r="A1218" s="683"/>
      <c r="B1218" s="683"/>
      <c r="C1218" s="684"/>
      <c r="D1218" s="684"/>
      <c r="E1218" s="684"/>
      <c r="F1218" s="683"/>
      <c r="G1218" s="683"/>
      <c r="H1218" s="683"/>
      <c r="I1218" s="683"/>
      <c r="J1218" s="683"/>
      <c r="K1218" s="683"/>
      <c r="L1218" s="685"/>
      <c r="M1218" s="685"/>
      <c r="N1218" s="687"/>
      <c r="O1218" s="683"/>
      <c r="P1218" s="683"/>
      <c r="Q1218" s="686"/>
      <c r="R1218" s="686"/>
      <c r="S1218" s="686"/>
      <c r="T1218" s="686"/>
      <c r="U1218" s="686"/>
      <c r="V1218" s="686"/>
      <c r="W1218" s="686"/>
      <c r="X1218" s="686"/>
      <c r="Y1218" s="686"/>
      <c r="Z1218" s="686"/>
      <c r="AA1218" s="686"/>
      <c r="AB1218" s="686"/>
      <c r="AC1218" s="686"/>
      <c r="AD1218" s="686"/>
      <c r="AE1218" s="686"/>
      <c r="AF1218" s="686"/>
    </row>
    <row r="1219" ht="15.75" customHeight="1">
      <c r="A1219" s="683"/>
      <c r="B1219" s="683"/>
      <c r="C1219" s="684"/>
      <c r="D1219" s="684"/>
      <c r="E1219" s="684"/>
      <c r="F1219" s="683"/>
      <c r="G1219" s="683"/>
      <c r="H1219" s="683"/>
      <c r="I1219" s="683"/>
      <c r="J1219" s="683"/>
      <c r="K1219" s="683"/>
      <c r="L1219" s="685"/>
      <c r="M1219" s="685"/>
      <c r="N1219" s="687"/>
      <c r="O1219" s="683"/>
      <c r="P1219" s="683"/>
      <c r="Q1219" s="686"/>
      <c r="R1219" s="686"/>
      <c r="S1219" s="686"/>
      <c r="T1219" s="686"/>
      <c r="U1219" s="686"/>
      <c r="V1219" s="686"/>
      <c r="W1219" s="686"/>
      <c r="X1219" s="686"/>
      <c r="Y1219" s="686"/>
      <c r="Z1219" s="686"/>
      <c r="AA1219" s="686"/>
      <c r="AB1219" s="686"/>
      <c r="AC1219" s="686"/>
      <c r="AD1219" s="686"/>
      <c r="AE1219" s="686"/>
      <c r="AF1219" s="686"/>
    </row>
    <row r="1220" ht="15.75" customHeight="1">
      <c r="A1220" s="683"/>
      <c r="B1220" s="683"/>
      <c r="C1220" s="684"/>
      <c r="D1220" s="684"/>
      <c r="E1220" s="684"/>
      <c r="F1220" s="683"/>
      <c r="G1220" s="683"/>
      <c r="H1220" s="683"/>
      <c r="I1220" s="683"/>
      <c r="J1220" s="683"/>
      <c r="K1220" s="683"/>
      <c r="L1220" s="685"/>
      <c r="M1220" s="685"/>
      <c r="N1220" s="687"/>
      <c r="O1220" s="683"/>
      <c r="P1220" s="683"/>
      <c r="Q1220" s="686"/>
      <c r="R1220" s="686"/>
      <c r="S1220" s="686"/>
      <c r="T1220" s="686"/>
      <c r="U1220" s="686"/>
      <c r="V1220" s="686"/>
      <c r="W1220" s="686"/>
      <c r="X1220" s="686"/>
      <c r="Y1220" s="686"/>
      <c r="Z1220" s="686"/>
      <c r="AA1220" s="686"/>
      <c r="AB1220" s="686"/>
      <c r="AC1220" s="686"/>
      <c r="AD1220" s="686"/>
      <c r="AE1220" s="686"/>
      <c r="AF1220" s="686"/>
    </row>
    <row r="1221" ht="15.75" customHeight="1">
      <c r="A1221" s="683"/>
      <c r="B1221" s="683"/>
      <c r="C1221" s="684"/>
      <c r="D1221" s="684"/>
      <c r="E1221" s="684"/>
      <c r="F1221" s="683"/>
      <c r="G1221" s="683"/>
      <c r="H1221" s="683"/>
      <c r="I1221" s="683"/>
      <c r="J1221" s="683"/>
      <c r="K1221" s="683"/>
      <c r="L1221" s="685"/>
      <c r="M1221" s="685"/>
      <c r="N1221" s="687"/>
      <c r="O1221" s="683"/>
      <c r="P1221" s="683"/>
      <c r="Q1221" s="686"/>
      <c r="R1221" s="686"/>
      <c r="S1221" s="686"/>
      <c r="T1221" s="686"/>
      <c r="U1221" s="686"/>
      <c r="V1221" s="686"/>
      <c r="W1221" s="686"/>
      <c r="X1221" s="686"/>
      <c r="Y1221" s="686"/>
      <c r="Z1221" s="686"/>
      <c r="AA1221" s="686"/>
      <c r="AB1221" s="686"/>
      <c r="AC1221" s="686"/>
      <c r="AD1221" s="686"/>
      <c r="AE1221" s="686"/>
      <c r="AF1221" s="686"/>
    </row>
    <row r="1222" ht="15.75" customHeight="1">
      <c r="A1222" s="683"/>
      <c r="B1222" s="683"/>
      <c r="C1222" s="684"/>
      <c r="D1222" s="684"/>
      <c r="E1222" s="684"/>
      <c r="F1222" s="683"/>
      <c r="G1222" s="683"/>
      <c r="H1222" s="683"/>
      <c r="I1222" s="683"/>
      <c r="J1222" s="683"/>
      <c r="K1222" s="683"/>
      <c r="L1222" s="685"/>
      <c r="M1222" s="685"/>
      <c r="N1222" s="687"/>
      <c r="O1222" s="683"/>
      <c r="P1222" s="683"/>
      <c r="Q1222" s="686"/>
      <c r="R1222" s="686"/>
      <c r="S1222" s="686"/>
      <c r="T1222" s="686"/>
      <c r="U1222" s="686"/>
      <c r="V1222" s="686"/>
      <c r="W1222" s="686"/>
      <c r="X1222" s="686"/>
      <c r="Y1222" s="686"/>
      <c r="Z1222" s="686"/>
      <c r="AA1222" s="686"/>
      <c r="AB1222" s="686"/>
      <c r="AC1222" s="686"/>
      <c r="AD1222" s="686"/>
      <c r="AE1222" s="686"/>
      <c r="AF1222" s="686"/>
    </row>
    <row r="1223" ht="15.75" customHeight="1">
      <c r="A1223" s="683"/>
      <c r="B1223" s="683"/>
      <c r="C1223" s="684"/>
      <c r="D1223" s="684"/>
      <c r="E1223" s="684"/>
      <c r="F1223" s="683"/>
      <c r="G1223" s="683"/>
      <c r="H1223" s="683"/>
      <c r="I1223" s="683"/>
      <c r="J1223" s="683"/>
      <c r="K1223" s="683"/>
      <c r="L1223" s="685"/>
      <c r="M1223" s="685"/>
      <c r="N1223" s="687"/>
      <c r="O1223" s="683"/>
      <c r="P1223" s="683"/>
      <c r="Q1223" s="686"/>
      <c r="R1223" s="686"/>
      <c r="S1223" s="686"/>
      <c r="T1223" s="686"/>
      <c r="U1223" s="686"/>
      <c r="V1223" s="686"/>
      <c r="W1223" s="686"/>
      <c r="X1223" s="686"/>
      <c r="Y1223" s="686"/>
      <c r="Z1223" s="686"/>
      <c r="AA1223" s="686"/>
      <c r="AB1223" s="686"/>
      <c r="AC1223" s="686"/>
      <c r="AD1223" s="686"/>
      <c r="AE1223" s="686"/>
      <c r="AF1223" s="686"/>
    </row>
    <row r="1224" ht="15.75" customHeight="1">
      <c r="A1224" s="683"/>
      <c r="B1224" s="683"/>
      <c r="C1224" s="684"/>
      <c r="D1224" s="684"/>
      <c r="E1224" s="684"/>
      <c r="F1224" s="683"/>
      <c r="G1224" s="683"/>
      <c r="H1224" s="683"/>
      <c r="I1224" s="683"/>
      <c r="J1224" s="683"/>
      <c r="K1224" s="683"/>
      <c r="L1224" s="685"/>
      <c r="M1224" s="685"/>
      <c r="N1224" s="687"/>
      <c r="O1224" s="683"/>
      <c r="P1224" s="683"/>
      <c r="Q1224" s="686"/>
      <c r="R1224" s="686"/>
      <c r="S1224" s="686"/>
      <c r="T1224" s="686"/>
      <c r="U1224" s="686"/>
      <c r="V1224" s="686"/>
      <c r="W1224" s="686"/>
      <c r="X1224" s="686"/>
      <c r="Y1224" s="686"/>
      <c r="Z1224" s="686"/>
      <c r="AA1224" s="686"/>
      <c r="AB1224" s="686"/>
      <c r="AC1224" s="686"/>
      <c r="AD1224" s="686"/>
      <c r="AE1224" s="686"/>
      <c r="AF1224" s="686"/>
    </row>
    <row r="1225" ht="15.75" customHeight="1">
      <c r="A1225" s="683"/>
      <c r="B1225" s="683"/>
      <c r="C1225" s="684"/>
      <c r="D1225" s="684"/>
      <c r="E1225" s="684"/>
      <c r="F1225" s="683"/>
      <c r="G1225" s="683"/>
      <c r="H1225" s="683"/>
      <c r="I1225" s="683"/>
      <c r="J1225" s="683"/>
      <c r="K1225" s="683"/>
      <c r="L1225" s="685"/>
      <c r="M1225" s="685"/>
      <c r="N1225" s="687"/>
      <c r="O1225" s="683"/>
      <c r="P1225" s="683"/>
      <c r="Q1225" s="686"/>
      <c r="R1225" s="686"/>
      <c r="S1225" s="686"/>
      <c r="T1225" s="686"/>
      <c r="U1225" s="686"/>
      <c r="V1225" s="686"/>
      <c r="W1225" s="686"/>
      <c r="X1225" s="686"/>
      <c r="Y1225" s="686"/>
      <c r="Z1225" s="686"/>
      <c r="AA1225" s="686"/>
      <c r="AB1225" s="686"/>
      <c r="AC1225" s="686"/>
      <c r="AD1225" s="686"/>
      <c r="AE1225" s="686"/>
      <c r="AF1225" s="686"/>
    </row>
    <row r="1226" ht="15.75" customHeight="1">
      <c r="A1226" s="683"/>
      <c r="B1226" s="683"/>
      <c r="C1226" s="684"/>
      <c r="D1226" s="684"/>
      <c r="E1226" s="684"/>
      <c r="F1226" s="683"/>
      <c r="G1226" s="683"/>
      <c r="H1226" s="683"/>
      <c r="I1226" s="683"/>
      <c r="J1226" s="683"/>
      <c r="K1226" s="683"/>
      <c r="L1226" s="685"/>
      <c r="M1226" s="685"/>
      <c r="N1226" s="687"/>
      <c r="O1226" s="683"/>
      <c r="P1226" s="683"/>
      <c r="Q1226" s="686"/>
      <c r="R1226" s="686"/>
      <c r="S1226" s="686"/>
      <c r="T1226" s="686"/>
      <c r="U1226" s="686"/>
      <c r="V1226" s="686"/>
      <c r="W1226" s="686"/>
      <c r="X1226" s="686"/>
      <c r="Y1226" s="686"/>
      <c r="Z1226" s="686"/>
      <c r="AA1226" s="686"/>
      <c r="AB1226" s="686"/>
      <c r="AC1226" s="686"/>
      <c r="AD1226" s="686"/>
      <c r="AE1226" s="686"/>
      <c r="AF1226" s="686"/>
    </row>
    <row r="1227" ht="15.75" customHeight="1">
      <c r="A1227" s="683"/>
      <c r="B1227" s="683"/>
      <c r="C1227" s="684"/>
      <c r="D1227" s="684"/>
      <c r="E1227" s="684"/>
      <c r="F1227" s="683"/>
      <c r="G1227" s="683"/>
      <c r="H1227" s="683"/>
      <c r="I1227" s="683"/>
      <c r="J1227" s="683"/>
      <c r="K1227" s="683"/>
      <c r="L1227" s="685"/>
      <c r="M1227" s="685"/>
      <c r="N1227" s="687"/>
      <c r="O1227" s="683"/>
      <c r="P1227" s="683"/>
      <c r="Q1227" s="686"/>
      <c r="R1227" s="686"/>
      <c r="S1227" s="686"/>
      <c r="T1227" s="686"/>
      <c r="U1227" s="686"/>
      <c r="V1227" s="686"/>
      <c r="W1227" s="686"/>
      <c r="X1227" s="686"/>
      <c r="Y1227" s="686"/>
      <c r="Z1227" s="686"/>
      <c r="AA1227" s="686"/>
      <c r="AB1227" s="686"/>
      <c r="AC1227" s="686"/>
      <c r="AD1227" s="686"/>
      <c r="AE1227" s="686"/>
      <c r="AF1227" s="686"/>
    </row>
    <row r="1228" ht="15.75" customHeight="1">
      <c r="A1228" s="683"/>
      <c r="B1228" s="683"/>
      <c r="C1228" s="684"/>
      <c r="D1228" s="684"/>
      <c r="E1228" s="684"/>
      <c r="F1228" s="683"/>
      <c r="G1228" s="683"/>
      <c r="H1228" s="683"/>
      <c r="I1228" s="683"/>
      <c r="J1228" s="683"/>
      <c r="K1228" s="683"/>
      <c r="L1228" s="685"/>
      <c r="M1228" s="685"/>
      <c r="N1228" s="687"/>
      <c r="O1228" s="683"/>
      <c r="P1228" s="683"/>
      <c r="Q1228" s="686"/>
      <c r="R1228" s="686"/>
      <c r="S1228" s="686"/>
      <c r="T1228" s="686"/>
      <c r="U1228" s="686"/>
      <c r="V1228" s="686"/>
      <c r="W1228" s="686"/>
      <c r="X1228" s="686"/>
      <c r="Y1228" s="686"/>
      <c r="Z1228" s="686"/>
      <c r="AA1228" s="686"/>
      <c r="AB1228" s="686"/>
      <c r="AC1228" s="686"/>
      <c r="AD1228" s="686"/>
      <c r="AE1228" s="686"/>
      <c r="AF1228" s="686"/>
    </row>
    <row r="1229" ht="15.75" customHeight="1">
      <c r="A1229" s="683"/>
      <c r="B1229" s="683"/>
      <c r="C1229" s="684"/>
      <c r="D1229" s="684"/>
      <c r="E1229" s="684"/>
      <c r="F1229" s="683"/>
      <c r="G1229" s="683"/>
      <c r="H1229" s="683"/>
      <c r="I1229" s="683"/>
      <c r="J1229" s="683"/>
      <c r="K1229" s="683"/>
      <c r="L1229" s="685"/>
      <c r="M1229" s="685"/>
      <c r="N1229" s="687"/>
      <c r="O1229" s="683"/>
      <c r="P1229" s="683"/>
      <c r="Q1229" s="686"/>
      <c r="R1229" s="686"/>
      <c r="S1229" s="686"/>
      <c r="T1229" s="686"/>
      <c r="U1229" s="686"/>
      <c r="V1229" s="686"/>
      <c r="W1229" s="686"/>
      <c r="X1229" s="686"/>
      <c r="Y1229" s="686"/>
      <c r="Z1229" s="686"/>
      <c r="AA1229" s="686"/>
      <c r="AB1229" s="686"/>
      <c r="AC1229" s="686"/>
      <c r="AD1229" s="686"/>
      <c r="AE1229" s="686"/>
      <c r="AF1229" s="686"/>
    </row>
    <row r="1230" ht="15.75" customHeight="1">
      <c r="A1230" s="683"/>
      <c r="B1230" s="683"/>
      <c r="C1230" s="684"/>
      <c r="D1230" s="684"/>
      <c r="E1230" s="684"/>
      <c r="F1230" s="683"/>
      <c r="G1230" s="683"/>
      <c r="H1230" s="683"/>
      <c r="I1230" s="683"/>
      <c r="J1230" s="683"/>
      <c r="K1230" s="683"/>
      <c r="L1230" s="685"/>
      <c r="M1230" s="685"/>
      <c r="N1230" s="687"/>
      <c r="O1230" s="683"/>
      <c r="P1230" s="683"/>
      <c r="Q1230" s="686"/>
      <c r="R1230" s="686"/>
      <c r="S1230" s="686"/>
      <c r="T1230" s="686"/>
      <c r="U1230" s="686"/>
      <c r="V1230" s="686"/>
      <c r="W1230" s="686"/>
      <c r="X1230" s="686"/>
      <c r="Y1230" s="686"/>
      <c r="Z1230" s="686"/>
      <c r="AA1230" s="686"/>
      <c r="AB1230" s="686"/>
      <c r="AC1230" s="686"/>
      <c r="AD1230" s="686"/>
      <c r="AE1230" s="686"/>
      <c r="AF1230" s="686"/>
    </row>
    <row r="1231" ht="15.75" customHeight="1">
      <c r="A1231" s="683"/>
      <c r="B1231" s="683"/>
      <c r="C1231" s="684"/>
      <c r="D1231" s="684"/>
      <c r="E1231" s="684"/>
      <c r="F1231" s="683"/>
      <c r="G1231" s="683"/>
      <c r="H1231" s="683"/>
      <c r="I1231" s="683"/>
      <c r="J1231" s="683"/>
      <c r="K1231" s="683"/>
      <c r="L1231" s="685"/>
      <c r="M1231" s="685"/>
      <c r="N1231" s="687"/>
      <c r="O1231" s="683"/>
      <c r="P1231" s="683"/>
      <c r="Q1231" s="686"/>
      <c r="R1231" s="686"/>
      <c r="S1231" s="686"/>
      <c r="T1231" s="686"/>
      <c r="U1231" s="686"/>
      <c r="V1231" s="686"/>
      <c r="W1231" s="686"/>
      <c r="X1231" s="686"/>
      <c r="Y1231" s="686"/>
      <c r="Z1231" s="686"/>
      <c r="AA1231" s="686"/>
      <c r="AB1231" s="686"/>
      <c r="AC1231" s="686"/>
      <c r="AD1231" s="686"/>
      <c r="AE1231" s="686"/>
      <c r="AF1231" s="686"/>
    </row>
    <row r="1232" ht="15.75" customHeight="1">
      <c r="A1232" s="683"/>
      <c r="B1232" s="683"/>
      <c r="C1232" s="684"/>
      <c r="D1232" s="684"/>
      <c r="E1232" s="684"/>
      <c r="F1232" s="683"/>
      <c r="G1232" s="683"/>
      <c r="H1232" s="683"/>
      <c r="I1232" s="683"/>
      <c r="J1232" s="683"/>
      <c r="K1232" s="683"/>
      <c r="L1232" s="685"/>
      <c r="M1232" s="685"/>
      <c r="N1232" s="687"/>
      <c r="O1232" s="683"/>
      <c r="P1232" s="683"/>
      <c r="Q1232" s="686"/>
      <c r="R1232" s="686"/>
      <c r="S1232" s="686"/>
      <c r="T1232" s="686"/>
      <c r="U1232" s="686"/>
      <c r="V1232" s="686"/>
      <c r="W1232" s="686"/>
      <c r="X1232" s="686"/>
      <c r="Y1232" s="686"/>
      <c r="Z1232" s="686"/>
      <c r="AA1232" s="686"/>
      <c r="AB1232" s="686"/>
      <c r="AC1232" s="686"/>
      <c r="AD1232" s="686"/>
      <c r="AE1232" s="686"/>
      <c r="AF1232" s="686"/>
    </row>
    <row r="1233" ht="15.75" customHeight="1">
      <c r="A1233" s="683"/>
      <c r="B1233" s="683"/>
      <c r="C1233" s="684"/>
      <c r="D1233" s="684"/>
      <c r="E1233" s="684"/>
      <c r="F1233" s="683"/>
      <c r="G1233" s="683"/>
      <c r="H1233" s="683"/>
      <c r="I1233" s="683"/>
      <c r="J1233" s="683"/>
      <c r="K1233" s="683"/>
      <c r="L1233" s="685"/>
      <c r="M1233" s="685"/>
      <c r="N1233" s="687"/>
      <c r="O1233" s="683"/>
      <c r="P1233" s="683"/>
      <c r="Q1233" s="686"/>
      <c r="R1233" s="686"/>
      <c r="S1233" s="686"/>
      <c r="T1233" s="686"/>
      <c r="U1233" s="686"/>
      <c r="V1233" s="686"/>
      <c r="W1233" s="686"/>
      <c r="X1233" s="686"/>
      <c r="Y1233" s="686"/>
      <c r="Z1233" s="686"/>
      <c r="AA1233" s="686"/>
      <c r="AB1233" s="686"/>
      <c r="AC1233" s="686"/>
      <c r="AD1233" s="686"/>
      <c r="AE1233" s="686"/>
      <c r="AF1233" s="686"/>
    </row>
    <row r="1234" ht="15.75" customHeight="1">
      <c r="A1234" s="683"/>
      <c r="B1234" s="683"/>
      <c r="C1234" s="684"/>
      <c r="D1234" s="684"/>
      <c r="E1234" s="684"/>
      <c r="F1234" s="683"/>
      <c r="G1234" s="683"/>
      <c r="H1234" s="683"/>
      <c r="I1234" s="683"/>
      <c r="J1234" s="683"/>
      <c r="K1234" s="683"/>
      <c r="L1234" s="685"/>
      <c r="M1234" s="685"/>
      <c r="N1234" s="687"/>
      <c r="O1234" s="683"/>
      <c r="P1234" s="683"/>
      <c r="Q1234" s="686"/>
      <c r="R1234" s="686"/>
      <c r="S1234" s="686"/>
      <c r="T1234" s="686"/>
      <c r="U1234" s="686"/>
      <c r="V1234" s="686"/>
      <c r="W1234" s="686"/>
      <c r="X1234" s="686"/>
      <c r="Y1234" s="686"/>
      <c r="Z1234" s="686"/>
      <c r="AA1234" s="686"/>
      <c r="AB1234" s="686"/>
      <c r="AC1234" s="686"/>
      <c r="AD1234" s="686"/>
      <c r="AE1234" s="686"/>
      <c r="AF1234" s="686"/>
    </row>
    <row r="1235" ht="15.75" customHeight="1">
      <c r="A1235" s="683"/>
      <c r="B1235" s="683"/>
      <c r="C1235" s="684"/>
      <c r="D1235" s="684"/>
      <c r="E1235" s="684"/>
      <c r="F1235" s="683"/>
      <c r="G1235" s="683"/>
      <c r="H1235" s="683"/>
      <c r="I1235" s="683"/>
      <c r="J1235" s="683"/>
      <c r="K1235" s="683"/>
      <c r="L1235" s="685"/>
      <c r="M1235" s="685"/>
      <c r="N1235" s="687"/>
      <c r="O1235" s="683"/>
      <c r="P1235" s="683"/>
      <c r="Q1235" s="686"/>
      <c r="R1235" s="686"/>
      <c r="S1235" s="686"/>
      <c r="T1235" s="686"/>
      <c r="U1235" s="686"/>
      <c r="V1235" s="686"/>
      <c r="W1235" s="686"/>
      <c r="X1235" s="686"/>
      <c r="Y1235" s="686"/>
      <c r="Z1235" s="686"/>
      <c r="AA1235" s="686"/>
      <c r="AB1235" s="686"/>
      <c r="AC1235" s="686"/>
      <c r="AD1235" s="686"/>
      <c r="AE1235" s="686"/>
      <c r="AF1235" s="686"/>
    </row>
    <row r="1236" ht="15.75" customHeight="1">
      <c r="A1236" s="683"/>
      <c r="B1236" s="683"/>
      <c r="C1236" s="684"/>
      <c r="D1236" s="684"/>
      <c r="E1236" s="684"/>
      <c r="F1236" s="683"/>
      <c r="G1236" s="683"/>
      <c r="H1236" s="683"/>
      <c r="I1236" s="683"/>
      <c r="J1236" s="683"/>
      <c r="K1236" s="683"/>
      <c r="L1236" s="685"/>
      <c r="M1236" s="685"/>
      <c r="N1236" s="687"/>
      <c r="O1236" s="683"/>
      <c r="P1236" s="683"/>
      <c r="Q1236" s="686"/>
      <c r="R1236" s="686"/>
      <c r="S1236" s="686"/>
      <c r="T1236" s="686"/>
      <c r="U1236" s="686"/>
      <c r="V1236" s="686"/>
      <c r="W1236" s="686"/>
      <c r="X1236" s="686"/>
      <c r="Y1236" s="686"/>
      <c r="Z1236" s="686"/>
      <c r="AA1236" s="686"/>
      <c r="AB1236" s="686"/>
      <c r="AC1236" s="686"/>
      <c r="AD1236" s="686"/>
      <c r="AE1236" s="686"/>
      <c r="AF1236" s="686"/>
    </row>
    <row r="1237" ht="15.75" customHeight="1">
      <c r="A1237" s="683"/>
      <c r="B1237" s="683"/>
      <c r="C1237" s="684"/>
      <c r="D1237" s="684"/>
      <c r="E1237" s="684"/>
      <c r="F1237" s="683"/>
      <c r="G1237" s="683"/>
      <c r="H1237" s="683"/>
      <c r="I1237" s="683"/>
      <c r="J1237" s="683"/>
      <c r="K1237" s="683"/>
      <c r="L1237" s="685"/>
      <c r="M1237" s="685"/>
      <c r="N1237" s="687"/>
      <c r="O1237" s="683"/>
      <c r="P1237" s="683"/>
      <c r="Q1237" s="686"/>
      <c r="R1237" s="686"/>
      <c r="S1237" s="686"/>
      <c r="T1237" s="686"/>
      <c r="U1237" s="686"/>
      <c r="V1237" s="686"/>
      <c r="W1237" s="686"/>
      <c r="X1237" s="686"/>
      <c r="Y1237" s="686"/>
      <c r="Z1237" s="686"/>
      <c r="AA1237" s="686"/>
      <c r="AB1237" s="686"/>
      <c r="AC1237" s="686"/>
      <c r="AD1237" s="686"/>
      <c r="AE1237" s="686"/>
      <c r="AF1237" s="686"/>
    </row>
    <row r="1238" ht="15.75" customHeight="1">
      <c r="A1238" s="683"/>
      <c r="B1238" s="683"/>
      <c r="C1238" s="684"/>
      <c r="D1238" s="684"/>
      <c r="E1238" s="684"/>
      <c r="F1238" s="683"/>
      <c r="G1238" s="683"/>
      <c r="H1238" s="683"/>
      <c r="I1238" s="683"/>
      <c r="J1238" s="683"/>
      <c r="K1238" s="683"/>
      <c r="L1238" s="685"/>
      <c r="M1238" s="685"/>
      <c r="N1238" s="687"/>
      <c r="O1238" s="683"/>
      <c r="P1238" s="683"/>
      <c r="Q1238" s="686"/>
      <c r="R1238" s="686"/>
      <c r="S1238" s="686"/>
      <c r="T1238" s="686"/>
      <c r="U1238" s="686"/>
      <c r="V1238" s="686"/>
      <c r="W1238" s="686"/>
      <c r="X1238" s="686"/>
      <c r="Y1238" s="686"/>
      <c r="Z1238" s="686"/>
      <c r="AA1238" s="686"/>
      <c r="AB1238" s="686"/>
      <c r="AC1238" s="686"/>
      <c r="AD1238" s="686"/>
      <c r="AE1238" s="686"/>
      <c r="AF1238" s="686"/>
    </row>
    <row r="1239" ht="15.75" customHeight="1">
      <c r="A1239" s="683"/>
      <c r="B1239" s="683"/>
      <c r="C1239" s="684"/>
      <c r="D1239" s="684"/>
      <c r="E1239" s="684"/>
      <c r="F1239" s="683"/>
      <c r="G1239" s="683"/>
      <c r="H1239" s="683"/>
      <c r="I1239" s="683"/>
      <c r="J1239" s="683"/>
      <c r="K1239" s="683"/>
      <c r="L1239" s="685"/>
      <c r="M1239" s="685"/>
      <c r="N1239" s="687"/>
      <c r="O1239" s="683"/>
      <c r="P1239" s="683"/>
      <c r="Q1239" s="686"/>
      <c r="R1239" s="686"/>
      <c r="S1239" s="686"/>
      <c r="T1239" s="686"/>
      <c r="U1239" s="686"/>
      <c r="V1239" s="686"/>
      <c r="W1239" s="686"/>
      <c r="X1239" s="686"/>
      <c r="Y1239" s="686"/>
      <c r="Z1239" s="686"/>
      <c r="AA1239" s="686"/>
      <c r="AB1239" s="686"/>
      <c r="AC1239" s="686"/>
      <c r="AD1239" s="686"/>
      <c r="AE1239" s="686"/>
      <c r="AF1239" s="686"/>
    </row>
    <row r="1240" ht="15.75" customHeight="1">
      <c r="A1240" s="683"/>
      <c r="B1240" s="683"/>
      <c r="C1240" s="684"/>
      <c r="D1240" s="684"/>
      <c r="E1240" s="684"/>
      <c r="F1240" s="683"/>
      <c r="G1240" s="683"/>
      <c r="H1240" s="683"/>
      <c r="I1240" s="683"/>
      <c r="J1240" s="683"/>
      <c r="K1240" s="683"/>
      <c r="L1240" s="685"/>
      <c r="M1240" s="685"/>
      <c r="N1240" s="687"/>
      <c r="O1240" s="683"/>
      <c r="P1240" s="683"/>
      <c r="Q1240" s="686"/>
      <c r="R1240" s="686"/>
      <c r="S1240" s="686"/>
      <c r="T1240" s="686"/>
      <c r="U1240" s="686"/>
      <c r="V1240" s="686"/>
      <c r="W1240" s="686"/>
      <c r="X1240" s="686"/>
      <c r="Y1240" s="686"/>
      <c r="Z1240" s="686"/>
      <c r="AA1240" s="686"/>
      <c r="AB1240" s="686"/>
      <c r="AC1240" s="686"/>
      <c r="AD1240" s="686"/>
      <c r="AE1240" s="686"/>
      <c r="AF1240" s="686"/>
    </row>
    <row r="1241" ht="15.75" customHeight="1">
      <c r="A1241" s="683"/>
      <c r="B1241" s="683"/>
      <c r="C1241" s="684"/>
      <c r="D1241" s="684"/>
      <c r="E1241" s="684"/>
      <c r="F1241" s="683"/>
      <c r="G1241" s="683"/>
      <c r="H1241" s="683"/>
      <c r="I1241" s="683"/>
      <c r="J1241" s="683"/>
      <c r="K1241" s="683"/>
      <c r="L1241" s="685"/>
      <c r="M1241" s="685"/>
      <c r="N1241" s="687"/>
      <c r="O1241" s="683"/>
      <c r="P1241" s="683"/>
      <c r="Q1241" s="686"/>
      <c r="R1241" s="686"/>
      <c r="S1241" s="686"/>
      <c r="T1241" s="686"/>
      <c r="U1241" s="686"/>
      <c r="V1241" s="686"/>
      <c r="W1241" s="686"/>
      <c r="X1241" s="686"/>
      <c r="Y1241" s="686"/>
      <c r="Z1241" s="686"/>
      <c r="AA1241" s="686"/>
      <c r="AB1241" s="686"/>
      <c r="AC1241" s="686"/>
      <c r="AD1241" s="686"/>
      <c r="AE1241" s="686"/>
      <c r="AF1241" s="686"/>
    </row>
    <row r="1242" ht="15.75" customHeight="1">
      <c r="A1242" s="683"/>
      <c r="B1242" s="683"/>
      <c r="C1242" s="684"/>
      <c r="D1242" s="684"/>
      <c r="E1242" s="684"/>
      <c r="F1242" s="683"/>
      <c r="G1242" s="683"/>
      <c r="H1242" s="683"/>
      <c r="I1242" s="683"/>
      <c r="J1242" s="683"/>
      <c r="K1242" s="683"/>
      <c r="L1242" s="685"/>
      <c r="M1242" s="685"/>
      <c r="N1242" s="687"/>
      <c r="O1242" s="683"/>
      <c r="P1242" s="683"/>
      <c r="Q1242" s="686"/>
      <c r="R1242" s="686"/>
      <c r="S1242" s="686"/>
      <c r="T1242" s="686"/>
      <c r="U1242" s="686"/>
      <c r="V1242" s="686"/>
      <c r="W1242" s="686"/>
      <c r="X1242" s="686"/>
      <c r="Y1242" s="686"/>
      <c r="Z1242" s="686"/>
      <c r="AA1242" s="686"/>
      <c r="AB1242" s="686"/>
      <c r="AC1242" s="686"/>
      <c r="AD1242" s="686"/>
      <c r="AE1242" s="686"/>
      <c r="AF1242" s="686"/>
    </row>
    <row r="1243" ht="15.75" customHeight="1">
      <c r="A1243" s="683"/>
      <c r="B1243" s="683"/>
      <c r="C1243" s="684"/>
      <c r="D1243" s="684"/>
      <c r="E1243" s="684"/>
      <c r="F1243" s="683"/>
      <c r="G1243" s="683"/>
      <c r="H1243" s="683"/>
      <c r="I1243" s="683"/>
      <c r="J1243" s="683"/>
      <c r="K1243" s="683"/>
      <c r="L1243" s="685"/>
      <c r="M1243" s="685"/>
      <c r="N1243" s="687"/>
      <c r="O1243" s="683"/>
      <c r="P1243" s="683"/>
      <c r="Q1243" s="686"/>
      <c r="R1243" s="686"/>
      <c r="S1243" s="686"/>
      <c r="T1243" s="686"/>
      <c r="U1243" s="686"/>
      <c r="V1243" s="686"/>
      <c r="W1243" s="686"/>
      <c r="X1243" s="686"/>
      <c r="Y1243" s="686"/>
      <c r="Z1243" s="686"/>
      <c r="AA1243" s="686"/>
      <c r="AB1243" s="686"/>
      <c r="AC1243" s="686"/>
      <c r="AD1243" s="686"/>
      <c r="AE1243" s="686"/>
      <c r="AF1243" s="686"/>
    </row>
    <row r="1244" ht="15.75" customHeight="1">
      <c r="A1244" s="683"/>
      <c r="B1244" s="683"/>
      <c r="C1244" s="684"/>
      <c r="D1244" s="684"/>
      <c r="E1244" s="684"/>
      <c r="F1244" s="683"/>
      <c r="G1244" s="683"/>
      <c r="H1244" s="683"/>
      <c r="I1244" s="683"/>
      <c r="J1244" s="683"/>
      <c r="K1244" s="683"/>
      <c r="L1244" s="685"/>
      <c r="M1244" s="685"/>
      <c r="N1244" s="687"/>
      <c r="O1244" s="683"/>
      <c r="P1244" s="683"/>
      <c r="Q1244" s="686"/>
      <c r="R1244" s="686"/>
      <c r="S1244" s="686"/>
      <c r="T1244" s="686"/>
      <c r="U1244" s="686"/>
      <c r="V1244" s="686"/>
      <c r="W1244" s="686"/>
      <c r="X1244" s="686"/>
      <c r="Y1244" s="686"/>
      <c r="Z1244" s="686"/>
      <c r="AA1244" s="686"/>
      <c r="AB1244" s="686"/>
      <c r="AC1244" s="686"/>
      <c r="AD1244" s="686"/>
      <c r="AE1244" s="686"/>
      <c r="AF1244" s="686"/>
    </row>
    <row r="1245" ht="15.75" customHeight="1">
      <c r="A1245" s="683"/>
      <c r="B1245" s="683"/>
      <c r="C1245" s="684"/>
      <c r="D1245" s="684"/>
      <c r="E1245" s="684"/>
      <c r="F1245" s="683"/>
      <c r="G1245" s="683"/>
      <c r="H1245" s="683"/>
      <c r="I1245" s="683"/>
      <c r="J1245" s="683"/>
      <c r="K1245" s="683"/>
      <c r="L1245" s="685"/>
      <c r="M1245" s="685"/>
      <c r="N1245" s="687"/>
      <c r="O1245" s="683"/>
      <c r="P1245" s="683"/>
      <c r="Q1245" s="686"/>
      <c r="R1245" s="686"/>
      <c r="S1245" s="686"/>
      <c r="T1245" s="686"/>
      <c r="U1245" s="686"/>
      <c r="V1245" s="686"/>
      <c r="W1245" s="686"/>
      <c r="X1245" s="686"/>
      <c r="Y1245" s="686"/>
      <c r="Z1245" s="686"/>
      <c r="AA1245" s="686"/>
      <c r="AB1245" s="686"/>
      <c r="AC1245" s="686"/>
      <c r="AD1245" s="686"/>
      <c r="AE1245" s="686"/>
      <c r="AF1245" s="686"/>
    </row>
    <row r="1246" ht="15.75" customHeight="1">
      <c r="A1246" s="683"/>
      <c r="B1246" s="683"/>
      <c r="C1246" s="684"/>
      <c r="D1246" s="684"/>
      <c r="E1246" s="684"/>
      <c r="F1246" s="683"/>
      <c r="G1246" s="683"/>
      <c r="H1246" s="683"/>
      <c r="I1246" s="683"/>
      <c r="J1246" s="683"/>
      <c r="K1246" s="683"/>
      <c r="L1246" s="685"/>
      <c r="M1246" s="685"/>
      <c r="N1246" s="687"/>
      <c r="O1246" s="683"/>
      <c r="P1246" s="683"/>
      <c r="Q1246" s="686"/>
      <c r="R1246" s="686"/>
      <c r="S1246" s="686"/>
      <c r="T1246" s="686"/>
      <c r="U1246" s="686"/>
      <c r="V1246" s="686"/>
      <c r="W1246" s="686"/>
      <c r="X1246" s="686"/>
      <c r="Y1246" s="686"/>
      <c r="Z1246" s="686"/>
      <c r="AA1246" s="686"/>
      <c r="AB1246" s="686"/>
      <c r="AC1246" s="686"/>
      <c r="AD1246" s="686"/>
      <c r="AE1246" s="686"/>
      <c r="AF1246" s="686"/>
    </row>
    <row r="1247" ht="15.75" customHeight="1">
      <c r="A1247" s="683"/>
      <c r="B1247" s="683"/>
      <c r="C1247" s="684"/>
      <c r="D1247" s="684"/>
      <c r="E1247" s="684"/>
      <c r="F1247" s="683"/>
      <c r="G1247" s="683"/>
      <c r="H1247" s="683"/>
      <c r="I1247" s="683"/>
      <c r="J1247" s="683"/>
      <c r="K1247" s="683"/>
      <c r="L1247" s="685"/>
      <c r="M1247" s="685"/>
      <c r="N1247" s="687"/>
      <c r="O1247" s="683"/>
      <c r="P1247" s="683"/>
      <c r="Q1247" s="686"/>
      <c r="R1247" s="686"/>
      <c r="S1247" s="686"/>
      <c r="T1247" s="686"/>
      <c r="U1247" s="686"/>
      <c r="V1247" s="686"/>
      <c r="W1247" s="686"/>
      <c r="X1247" s="686"/>
      <c r="Y1247" s="686"/>
      <c r="Z1247" s="686"/>
      <c r="AA1247" s="686"/>
      <c r="AB1247" s="686"/>
      <c r="AC1247" s="686"/>
      <c r="AD1247" s="686"/>
      <c r="AE1247" s="686"/>
      <c r="AF1247" s="686"/>
    </row>
    <row r="1248" ht="15.75" customHeight="1">
      <c r="A1248" s="683"/>
      <c r="B1248" s="683"/>
      <c r="C1248" s="684"/>
      <c r="D1248" s="684"/>
      <c r="E1248" s="684"/>
      <c r="F1248" s="683"/>
      <c r="G1248" s="683"/>
      <c r="H1248" s="683"/>
      <c r="I1248" s="683"/>
      <c r="J1248" s="683"/>
      <c r="K1248" s="683"/>
      <c r="L1248" s="685"/>
      <c r="M1248" s="685"/>
      <c r="N1248" s="687"/>
      <c r="O1248" s="683"/>
      <c r="P1248" s="683"/>
      <c r="Q1248" s="686"/>
      <c r="R1248" s="686"/>
      <c r="S1248" s="686"/>
      <c r="T1248" s="686"/>
      <c r="U1248" s="686"/>
      <c r="V1248" s="686"/>
      <c r="W1248" s="686"/>
      <c r="X1248" s="686"/>
      <c r="Y1248" s="686"/>
      <c r="Z1248" s="686"/>
      <c r="AA1248" s="686"/>
      <c r="AB1248" s="686"/>
      <c r="AC1248" s="686"/>
      <c r="AD1248" s="686"/>
      <c r="AE1248" s="686"/>
      <c r="AF1248" s="686"/>
    </row>
    <row r="1249" ht="15.75" customHeight="1">
      <c r="A1249" s="683"/>
      <c r="B1249" s="683"/>
      <c r="C1249" s="684"/>
      <c r="D1249" s="684"/>
      <c r="E1249" s="684"/>
      <c r="F1249" s="683"/>
      <c r="G1249" s="683"/>
      <c r="H1249" s="683"/>
      <c r="I1249" s="683"/>
      <c r="J1249" s="683"/>
      <c r="K1249" s="683"/>
      <c r="L1249" s="685"/>
      <c r="M1249" s="685"/>
      <c r="N1249" s="687"/>
      <c r="O1249" s="683"/>
      <c r="P1249" s="683"/>
      <c r="Q1249" s="686"/>
      <c r="R1249" s="686"/>
      <c r="S1249" s="686"/>
      <c r="T1249" s="686"/>
      <c r="U1249" s="686"/>
      <c r="V1249" s="686"/>
      <c r="W1249" s="686"/>
      <c r="X1249" s="686"/>
      <c r="Y1249" s="686"/>
      <c r="Z1249" s="686"/>
      <c r="AA1249" s="686"/>
      <c r="AB1249" s="686"/>
      <c r="AC1249" s="686"/>
      <c r="AD1249" s="686"/>
      <c r="AE1249" s="686"/>
      <c r="AF1249" s="686"/>
    </row>
    <row r="1250" ht="15.75" customHeight="1">
      <c r="A1250" s="683"/>
      <c r="B1250" s="683"/>
      <c r="C1250" s="684"/>
      <c r="D1250" s="684"/>
      <c r="E1250" s="684"/>
      <c r="F1250" s="683"/>
      <c r="G1250" s="683"/>
      <c r="H1250" s="683"/>
      <c r="I1250" s="683"/>
      <c r="J1250" s="683"/>
      <c r="K1250" s="683"/>
      <c r="L1250" s="685"/>
      <c r="M1250" s="685"/>
      <c r="N1250" s="687"/>
      <c r="O1250" s="683"/>
      <c r="P1250" s="683"/>
      <c r="Q1250" s="686"/>
      <c r="R1250" s="686"/>
      <c r="S1250" s="686"/>
      <c r="T1250" s="686"/>
      <c r="U1250" s="686"/>
      <c r="V1250" s="686"/>
      <c r="W1250" s="686"/>
      <c r="X1250" s="686"/>
      <c r="Y1250" s="686"/>
      <c r="Z1250" s="686"/>
      <c r="AA1250" s="686"/>
      <c r="AB1250" s="686"/>
      <c r="AC1250" s="686"/>
      <c r="AD1250" s="686"/>
      <c r="AE1250" s="686"/>
      <c r="AF1250" s="686"/>
    </row>
    <row r="1251" ht="15.75" customHeight="1">
      <c r="A1251" s="683"/>
      <c r="B1251" s="683"/>
      <c r="C1251" s="684"/>
      <c r="D1251" s="684"/>
      <c r="E1251" s="684"/>
      <c r="F1251" s="683"/>
      <c r="G1251" s="683"/>
      <c r="H1251" s="683"/>
      <c r="I1251" s="683"/>
      <c r="J1251" s="683"/>
      <c r="K1251" s="683"/>
      <c r="L1251" s="685"/>
      <c r="M1251" s="685"/>
      <c r="N1251" s="687"/>
      <c r="O1251" s="683"/>
      <c r="P1251" s="683"/>
      <c r="Q1251" s="686"/>
      <c r="R1251" s="686"/>
      <c r="S1251" s="686"/>
      <c r="T1251" s="686"/>
      <c r="U1251" s="686"/>
      <c r="V1251" s="686"/>
      <c r="W1251" s="686"/>
      <c r="X1251" s="686"/>
      <c r="Y1251" s="686"/>
      <c r="Z1251" s="686"/>
      <c r="AA1251" s="686"/>
      <c r="AB1251" s="686"/>
      <c r="AC1251" s="686"/>
      <c r="AD1251" s="686"/>
      <c r="AE1251" s="686"/>
      <c r="AF1251" s="686"/>
    </row>
    <row r="1252" ht="15.75" customHeight="1">
      <c r="A1252" s="683"/>
      <c r="B1252" s="683"/>
      <c r="C1252" s="684"/>
      <c r="D1252" s="684"/>
      <c r="E1252" s="684"/>
      <c r="F1252" s="683"/>
      <c r="G1252" s="683"/>
      <c r="H1252" s="683"/>
      <c r="I1252" s="683"/>
      <c r="J1252" s="683"/>
      <c r="K1252" s="683"/>
      <c r="L1252" s="685"/>
      <c r="M1252" s="685"/>
      <c r="N1252" s="687"/>
      <c r="O1252" s="683"/>
      <c r="P1252" s="683"/>
      <c r="Q1252" s="686"/>
      <c r="R1252" s="686"/>
      <c r="S1252" s="686"/>
      <c r="T1252" s="686"/>
      <c r="U1252" s="686"/>
      <c r="V1252" s="686"/>
      <c r="W1252" s="686"/>
      <c r="X1252" s="686"/>
      <c r="Y1252" s="686"/>
      <c r="Z1252" s="686"/>
      <c r="AA1252" s="686"/>
      <c r="AB1252" s="686"/>
      <c r="AC1252" s="686"/>
      <c r="AD1252" s="686"/>
      <c r="AE1252" s="686"/>
      <c r="AF1252" s="686"/>
    </row>
    <row r="1253" ht="15.75" customHeight="1">
      <c r="A1253" s="683"/>
      <c r="B1253" s="683"/>
      <c r="C1253" s="684"/>
      <c r="D1253" s="684"/>
      <c r="E1253" s="684"/>
      <c r="F1253" s="683"/>
      <c r="G1253" s="683"/>
      <c r="H1253" s="683"/>
      <c r="I1253" s="683"/>
      <c r="J1253" s="683"/>
      <c r="K1253" s="683"/>
      <c r="L1253" s="685"/>
      <c r="M1253" s="685"/>
      <c r="N1253" s="687"/>
      <c r="O1253" s="683"/>
      <c r="P1253" s="683"/>
      <c r="Q1253" s="686"/>
      <c r="R1253" s="686"/>
      <c r="S1253" s="686"/>
      <c r="T1253" s="686"/>
      <c r="U1253" s="686"/>
      <c r="V1253" s="686"/>
      <c r="W1253" s="686"/>
      <c r="X1253" s="686"/>
      <c r="Y1253" s="686"/>
      <c r="Z1253" s="686"/>
      <c r="AA1253" s="686"/>
      <c r="AB1253" s="686"/>
      <c r="AC1253" s="686"/>
      <c r="AD1253" s="686"/>
      <c r="AE1253" s="686"/>
      <c r="AF1253" s="686"/>
    </row>
    <row r="1254" ht="15.75" customHeight="1">
      <c r="A1254" s="683"/>
      <c r="B1254" s="683"/>
      <c r="C1254" s="684"/>
      <c r="D1254" s="684"/>
      <c r="E1254" s="684"/>
      <c r="F1254" s="683"/>
      <c r="G1254" s="683"/>
      <c r="H1254" s="683"/>
      <c r="I1254" s="683"/>
      <c r="J1254" s="683"/>
      <c r="K1254" s="683"/>
      <c r="L1254" s="685"/>
      <c r="M1254" s="685"/>
      <c r="N1254" s="687"/>
      <c r="O1254" s="683"/>
      <c r="P1254" s="683"/>
      <c r="Q1254" s="686"/>
      <c r="R1254" s="686"/>
      <c r="S1254" s="686"/>
      <c r="T1254" s="686"/>
      <c r="U1254" s="686"/>
      <c r="V1254" s="686"/>
      <c r="W1254" s="686"/>
      <c r="X1254" s="686"/>
      <c r="Y1254" s="686"/>
      <c r="Z1254" s="686"/>
      <c r="AA1254" s="686"/>
      <c r="AB1254" s="686"/>
      <c r="AC1254" s="686"/>
      <c r="AD1254" s="686"/>
      <c r="AE1254" s="686"/>
      <c r="AF1254" s="686"/>
    </row>
    <row r="1255" ht="15.75" customHeight="1">
      <c r="A1255" s="683"/>
      <c r="B1255" s="683"/>
      <c r="C1255" s="684"/>
      <c r="D1255" s="684"/>
      <c r="E1255" s="684"/>
      <c r="F1255" s="683"/>
      <c r="G1255" s="683"/>
      <c r="H1255" s="683"/>
      <c r="I1255" s="683"/>
      <c r="J1255" s="683"/>
      <c r="K1255" s="683"/>
      <c r="L1255" s="685"/>
      <c r="M1255" s="685"/>
      <c r="N1255" s="687"/>
      <c r="O1255" s="683"/>
      <c r="P1255" s="683"/>
      <c r="Q1255" s="686"/>
      <c r="R1255" s="686"/>
      <c r="S1255" s="686"/>
      <c r="T1255" s="686"/>
      <c r="U1255" s="686"/>
      <c r="V1255" s="686"/>
      <c r="W1255" s="686"/>
      <c r="X1255" s="686"/>
      <c r="Y1255" s="686"/>
      <c r="Z1255" s="686"/>
      <c r="AA1255" s="686"/>
      <c r="AB1255" s="686"/>
      <c r="AC1255" s="686"/>
      <c r="AD1255" s="686"/>
      <c r="AE1255" s="686"/>
      <c r="AF1255" s="686"/>
    </row>
    <row r="1256" ht="15.75" customHeight="1">
      <c r="A1256" s="683"/>
      <c r="B1256" s="683"/>
      <c r="C1256" s="684"/>
      <c r="D1256" s="684"/>
      <c r="E1256" s="684"/>
      <c r="F1256" s="683"/>
      <c r="G1256" s="683"/>
      <c r="H1256" s="683"/>
      <c r="I1256" s="683"/>
      <c r="J1256" s="683"/>
      <c r="K1256" s="683"/>
      <c r="L1256" s="685"/>
      <c r="M1256" s="685"/>
      <c r="N1256" s="687"/>
      <c r="O1256" s="683"/>
      <c r="P1256" s="683"/>
      <c r="Q1256" s="686"/>
      <c r="R1256" s="686"/>
      <c r="S1256" s="686"/>
      <c r="T1256" s="686"/>
      <c r="U1256" s="686"/>
      <c r="V1256" s="686"/>
      <c r="W1256" s="686"/>
      <c r="X1256" s="686"/>
      <c r="Y1256" s="686"/>
      <c r="Z1256" s="686"/>
      <c r="AA1256" s="686"/>
      <c r="AB1256" s="686"/>
      <c r="AC1256" s="686"/>
      <c r="AD1256" s="686"/>
      <c r="AE1256" s="686"/>
      <c r="AF1256" s="686"/>
    </row>
    <row r="1257" ht="15.75" customHeight="1">
      <c r="A1257" s="683"/>
      <c r="B1257" s="683"/>
      <c r="C1257" s="684"/>
      <c r="D1257" s="684"/>
      <c r="E1257" s="684"/>
      <c r="F1257" s="683"/>
      <c r="G1257" s="683"/>
      <c r="H1257" s="683"/>
      <c r="I1257" s="683"/>
      <c r="J1257" s="683"/>
      <c r="K1257" s="683"/>
      <c r="L1257" s="685"/>
      <c r="M1257" s="685"/>
      <c r="N1257" s="687"/>
      <c r="O1257" s="683"/>
      <c r="P1257" s="683"/>
      <c r="Q1257" s="686"/>
      <c r="R1257" s="686"/>
      <c r="S1257" s="686"/>
      <c r="T1257" s="686"/>
      <c r="U1257" s="686"/>
      <c r="V1257" s="686"/>
      <c r="W1257" s="686"/>
      <c r="X1257" s="686"/>
      <c r="Y1257" s="686"/>
      <c r="Z1257" s="686"/>
      <c r="AA1257" s="686"/>
      <c r="AB1257" s="686"/>
      <c r="AC1257" s="686"/>
      <c r="AD1257" s="686"/>
      <c r="AE1257" s="686"/>
      <c r="AF1257" s="686"/>
    </row>
    <row r="1258" ht="15.75" customHeight="1">
      <c r="A1258" s="683"/>
      <c r="B1258" s="683"/>
      <c r="C1258" s="684"/>
      <c r="D1258" s="684"/>
      <c r="E1258" s="684"/>
      <c r="F1258" s="683"/>
      <c r="G1258" s="683"/>
      <c r="H1258" s="683"/>
      <c r="I1258" s="683"/>
      <c r="J1258" s="683"/>
      <c r="K1258" s="683"/>
      <c r="L1258" s="685"/>
      <c r="M1258" s="685"/>
      <c r="N1258" s="687"/>
      <c r="O1258" s="683"/>
      <c r="P1258" s="683"/>
      <c r="Q1258" s="686"/>
      <c r="R1258" s="686"/>
      <c r="S1258" s="686"/>
      <c r="T1258" s="686"/>
      <c r="U1258" s="686"/>
      <c r="V1258" s="686"/>
      <c r="W1258" s="686"/>
      <c r="X1258" s="686"/>
      <c r="Y1258" s="686"/>
      <c r="Z1258" s="686"/>
      <c r="AA1258" s="686"/>
      <c r="AB1258" s="686"/>
      <c r="AC1258" s="686"/>
      <c r="AD1258" s="686"/>
      <c r="AE1258" s="686"/>
      <c r="AF1258" s="686"/>
    </row>
    <row r="1259" ht="15.75" customHeight="1">
      <c r="A1259" s="683"/>
      <c r="B1259" s="683"/>
      <c r="C1259" s="684"/>
      <c r="D1259" s="684"/>
      <c r="E1259" s="684"/>
      <c r="F1259" s="683"/>
      <c r="G1259" s="683"/>
      <c r="H1259" s="683"/>
      <c r="I1259" s="683"/>
      <c r="J1259" s="683"/>
      <c r="K1259" s="683"/>
      <c r="L1259" s="685"/>
      <c r="M1259" s="685"/>
      <c r="N1259" s="687"/>
      <c r="O1259" s="683"/>
      <c r="P1259" s="683"/>
      <c r="Q1259" s="686"/>
      <c r="R1259" s="686"/>
      <c r="S1259" s="686"/>
      <c r="T1259" s="686"/>
      <c r="U1259" s="686"/>
      <c r="V1259" s="686"/>
      <c r="W1259" s="686"/>
      <c r="X1259" s="686"/>
      <c r="Y1259" s="686"/>
      <c r="Z1259" s="686"/>
      <c r="AA1259" s="686"/>
      <c r="AB1259" s="686"/>
      <c r="AC1259" s="686"/>
      <c r="AD1259" s="686"/>
      <c r="AE1259" s="686"/>
      <c r="AF1259" s="686"/>
    </row>
    <row r="1260" ht="15.75" customHeight="1">
      <c r="A1260" s="683"/>
      <c r="B1260" s="683"/>
      <c r="C1260" s="684"/>
      <c r="D1260" s="684"/>
      <c r="E1260" s="684"/>
      <c r="F1260" s="683"/>
      <c r="G1260" s="683"/>
      <c r="H1260" s="683"/>
      <c r="I1260" s="683"/>
      <c r="J1260" s="683"/>
      <c r="K1260" s="683"/>
      <c r="L1260" s="685"/>
      <c r="M1260" s="685"/>
      <c r="N1260" s="687"/>
      <c r="O1260" s="683"/>
      <c r="P1260" s="685"/>
      <c r="Q1260" s="686"/>
      <c r="R1260" s="686"/>
      <c r="S1260" s="686"/>
      <c r="T1260" s="686"/>
      <c r="U1260" s="686"/>
      <c r="V1260" s="686"/>
      <c r="W1260" s="686"/>
      <c r="X1260" s="686"/>
      <c r="Y1260" s="686"/>
      <c r="Z1260" s="686"/>
      <c r="AA1260" s="686"/>
      <c r="AB1260" s="686"/>
      <c r="AC1260" s="686"/>
      <c r="AD1260" s="686"/>
      <c r="AE1260" s="686"/>
      <c r="AF1260" s="686"/>
    </row>
    <row r="1261" ht="15.75" customHeight="1">
      <c r="A1261" s="683"/>
      <c r="B1261" s="683"/>
      <c r="C1261" s="684"/>
      <c r="D1261" s="684"/>
      <c r="E1261" s="684"/>
      <c r="F1261" s="683"/>
      <c r="G1261" s="683"/>
      <c r="H1261" s="683"/>
      <c r="I1261" s="683"/>
      <c r="J1261" s="683"/>
      <c r="K1261" s="683"/>
      <c r="L1261" s="685"/>
      <c r="M1261" s="685"/>
      <c r="N1261" s="687"/>
      <c r="O1261" s="683"/>
      <c r="P1261" s="683"/>
      <c r="Q1261" s="686"/>
      <c r="R1261" s="686"/>
      <c r="S1261" s="686"/>
      <c r="T1261" s="686"/>
      <c r="U1261" s="686"/>
      <c r="V1261" s="686"/>
      <c r="W1261" s="686"/>
      <c r="X1261" s="686"/>
      <c r="Y1261" s="686"/>
      <c r="Z1261" s="686"/>
      <c r="AA1261" s="686"/>
      <c r="AB1261" s="686"/>
      <c r="AC1261" s="686"/>
      <c r="AD1261" s="686"/>
      <c r="AE1261" s="686"/>
      <c r="AF1261" s="686"/>
    </row>
    <row r="1262" ht="15.75" customHeight="1">
      <c r="A1262" s="683"/>
      <c r="B1262" s="683"/>
      <c r="C1262" s="684"/>
      <c r="D1262" s="684"/>
      <c r="E1262" s="684"/>
      <c r="F1262" s="683"/>
      <c r="G1262" s="683"/>
      <c r="H1262" s="683"/>
      <c r="I1262" s="683"/>
      <c r="J1262" s="683"/>
      <c r="K1262" s="683"/>
      <c r="L1262" s="685"/>
      <c r="M1262" s="685"/>
      <c r="N1262" s="687"/>
      <c r="O1262" s="683"/>
      <c r="P1262" s="683"/>
      <c r="Q1262" s="686"/>
      <c r="R1262" s="686"/>
      <c r="S1262" s="686"/>
      <c r="T1262" s="686"/>
      <c r="U1262" s="686"/>
      <c r="V1262" s="686"/>
      <c r="W1262" s="686"/>
      <c r="X1262" s="686"/>
      <c r="Y1262" s="686"/>
      <c r="Z1262" s="686"/>
      <c r="AA1262" s="686"/>
      <c r="AB1262" s="686"/>
      <c r="AC1262" s="686"/>
      <c r="AD1262" s="686"/>
      <c r="AE1262" s="686"/>
      <c r="AF1262" s="686"/>
    </row>
    <row r="1263" ht="15.75" customHeight="1">
      <c r="A1263" s="683"/>
      <c r="B1263" s="683"/>
      <c r="C1263" s="684"/>
      <c r="D1263" s="684"/>
      <c r="E1263" s="684"/>
      <c r="F1263" s="683"/>
      <c r="G1263" s="683"/>
      <c r="H1263" s="683"/>
      <c r="I1263" s="683"/>
      <c r="J1263" s="683"/>
      <c r="K1263" s="683"/>
      <c r="L1263" s="685"/>
      <c r="M1263" s="685"/>
      <c r="N1263" s="687"/>
      <c r="O1263" s="683"/>
      <c r="P1263" s="683"/>
      <c r="Q1263" s="686"/>
      <c r="R1263" s="686"/>
      <c r="S1263" s="686"/>
      <c r="T1263" s="686"/>
      <c r="U1263" s="686"/>
      <c r="V1263" s="686"/>
      <c r="W1263" s="686"/>
      <c r="X1263" s="686"/>
      <c r="Y1263" s="686"/>
      <c r="Z1263" s="686"/>
      <c r="AA1263" s="686"/>
      <c r="AB1263" s="686"/>
      <c r="AC1263" s="686"/>
      <c r="AD1263" s="686"/>
      <c r="AE1263" s="686"/>
      <c r="AF1263" s="686"/>
    </row>
    <row r="1264" ht="15.75" customHeight="1">
      <c r="A1264" s="683"/>
      <c r="B1264" s="683"/>
      <c r="C1264" s="684"/>
      <c r="D1264" s="684"/>
      <c r="E1264" s="684"/>
      <c r="F1264" s="683"/>
      <c r="G1264" s="683"/>
      <c r="H1264" s="683"/>
      <c r="I1264" s="683"/>
      <c r="J1264" s="683"/>
      <c r="K1264" s="683"/>
      <c r="L1264" s="685"/>
      <c r="M1264" s="685"/>
      <c r="N1264" s="687"/>
      <c r="O1264" s="683"/>
      <c r="P1264" s="683"/>
      <c r="Q1264" s="686"/>
      <c r="R1264" s="686"/>
      <c r="S1264" s="686"/>
      <c r="T1264" s="686"/>
      <c r="U1264" s="686"/>
      <c r="V1264" s="686"/>
      <c r="W1264" s="686"/>
      <c r="X1264" s="686"/>
      <c r="Y1264" s="686"/>
      <c r="Z1264" s="686"/>
      <c r="AA1264" s="686"/>
      <c r="AB1264" s="686"/>
      <c r="AC1264" s="686"/>
      <c r="AD1264" s="686"/>
      <c r="AE1264" s="686"/>
      <c r="AF1264" s="686"/>
    </row>
    <row r="1265" ht="15.75" customHeight="1">
      <c r="A1265" s="683"/>
      <c r="B1265" s="683"/>
      <c r="C1265" s="684"/>
      <c r="D1265" s="684"/>
      <c r="E1265" s="684"/>
      <c r="F1265" s="683"/>
      <c r="G1265" s="683"/>
      <c r="H1265" s="683"/>
      <c r="I1265" s="683"/>
      <c r="J1265" s="683"/>
      <c r="K1265" s="683"/>
      <c r="L1265" s="685"/>
      <c r="M1265" s="685"/>
      <c r="N1265" s="687"/>
      <c r="O1265" s="683"/>
      <c r="P1265" s="685"/>
      <c r="Q1265" s="686"/>
      <c r="R1265" s="686"/>
      <c r="S1265" s="686"/>
      <c r="T1265" s="686"/>
      <c r="U1265" s="686"/>
      <c r="V1265" s="686"/>
      <c r="W1265" s="686"/>
      <c r="X1265" s="686"/>
      <c r="Y1265" s="686"/>
      <c r="Z1265" s="686"/>
      <c r="AA1265" s="686"/>
      <c r="AB1265" s="686"/>
      <c r="AC1265" s="686"/>
      <c r="AD1265" s="686"/>
      <c r="AE1265" s="686"/>
      <c r="AF1265" s="686"/>
    </row>
    <row r="1266" ht="15.75" customHeight="1">
      <c r="A1266" s="683"/>
      <c r="B1266" s="683"/>
      <c r="C1266" s="684"/>
      <c r="D1266" s="684"/>
      <c r="E1266" s="684"/>
      <c r="F1266" s="683"/>
      <c r="G1266" s="683"/>
      <c r="H1266" s="683"/>
      <c r="I1266" s="683"/>
      <c r="J1266" s="683"/>
      <c r="K1266" s="683"/>
      <c r="L1266" s="685"/>
      <c r="M1266" s="685"/>
      <c r="N1266" s="687"/>
      <c r="O1266" s="683"/>
      <c r="P1266" s="683"/>
      <c r="Q1266" s="686"/>
      <c r="R1266" s="686"/>
      <c r="S1266" s="686"/>
      <c r="T1266" s="686"/>
      <c r="U1266" s="686"/>
      <c r="V1266" s="686"/>
      <c r="W1266" s="686"/>
      <c r="X1266" s="686"/>
      <c r="Y1266" s="686"/>
      <c r="Z1266" s="686"/>
      <c r="AA1266" s="686"/>
      <c r="AB1266" s="686"/>
      <c r="AC1266" s="686"/>
      <c r="AD1266" s="686"/>
      <c r="AE1266" s="686"/>
      <c r="AF1266" s="686"/>
    </row>
    <row r="1267" ht="15.75" customHeight="1">
      <c r="A1267" s="683"/>
      <c r="B1267" s="683"/>
      <c r="C1267" s="684"/>
      <c r="D1267" s="684"/>
      <c r="E1267" s="684"/>
      <c r="F1267" s="683"/>
      <c r="G1267" s="683"/>
      <c r="H1267" s="683"/>
      <c r="I1267" s="683"/>
      <c r="J1267" s="683"/>
      <c r="K1267" s="683"/>
      <c r="L1267" s="685"/>
      <c r="M1267" s="685"/>
      <c r="N1267" s="687"/>
      <c r="O1267" s="683"/>
      <c r="P1267" s="683"/>
      <c r="Q1267" s="686"/>
      <c r="R1267" s="686"/>
      <c r="S1267" s="686"/>
      <c r="T1267" s="686"/>
      <c r="U1267" s="686"/>
      <c r="V1267" s="686"/>
      <c r="W1267" s="686"/>
      <c r="X1267" s="686"/>
      <c r="Y1267" s="686"/>
      <c r="Z1267" s="686"/>
      <c r="AA1267" s="686"/>
      <c r="AB1267" s="686"/>
      <c r="AC1267" s="686"/>
      <c r="AD1267" s="686"/>
      <c r="AE1267" s="686"/>
      <c r="AF1267" s="686"/>
    </row>
    <row r="1268" ht="15.75" customHeight="1">
      <c r="A1268" s="683"/>
      <c r="B1268" s="683"/>
      <c r="C1268" s="684"/>
      <c r="D1268" s="684"/>
      <c r="E1268" s="684"/>
      <c r="F1268" s="683"/>
      <c r="G1268" s="683"/>
      <c r="H1268" s="683"/>
      <c r="I1268" s="683"/>
      <c r="J1268" s="683"/>
      <c r="K1268" s="683"/>
      <c r="L1268" s="685"/>
      <c r="M1268" s="685"/>
      <c r="N1268" s="687"/>
      <c r="O1268" s="683"/>
      <c r="P1268" s="683"/>
      <c r="Q1268" s="686"/>
      <c r="R1268" s="686"/>
      <c r="S1268" s="686"/>
      <c r="T1268" s="686"/>
      <c r="U1268" s="686"/>
      <c r="V1268" s="686"/>
      <c r="W1268" s="686"/>
      <c r="X1268" s="686"/>
      <c r="Y1268" s="686"/>
      <c r="Z1268" s="686"/>
      <c r="AA1268" s="686"/>
      <c r="AB1268" s="686"/>
      <c r="AC1268" s="686"/>
      <c r="AD1268" s="686"/>
      <c r="AE1268" s="686"/>
      <c r="AF1268" s="686"/>
    </row>
    <row r="1269" ht="15.75" customHeight="1">
      <c r="A1269" s="683"/>
      <c r="B1269" s="683"/>
      <c r="C1269" s="684"/>
      <c r="D1269" s="684"/>
      <c r="E1269" s="684"/>
      <c r="F1269" s="683"/>
      <c r="G1269" s="683"/>
      <c r="H1269" s="683"/>
      <c r="I1269" s="683"/>
      <c r="J1269" s="683"/>
      <c r="K1269" s="683"/>
      <c r="L1269" s="685"/>
      <c r="M1269" s="685"/>
      <c r="N1269" s="687"/>
      <c r="O1269" s="683"/>
      <c r="P1269" s="683"/>
      <c r="Q1269" s="686"/>
      <c r="R1269" s="686"/>
      <c r="S1269" s="686"/>
      <c r="T1269" s="686"/>
      <c r="U1269" s="686"/>
      <c r="V1269" s="686"/>
      <c r="W1269" s="686"/>
      <c r="X1269" s="686"/>
      <c r="Y1269" s="686"/>
      <c r="Z1269" s="686"/>
      <c r="AA1269" s="686"/>
      <c r="AB1269" s="686"/>
      <c r="AC1269" s="686"/>
      <c r="AD1269" s="686"/>
      <c r="AE1269" s="686"/>
      <c r="AF1269" s="686"/>
    </row>
    <row r="1270" ht="15.75" customHeight="1">
      <c r="A1270" s="683"/>
      <c r="B1270" s="683"/>
      <c r="C1270" s="684"/>
      <c r="D1270" s="684"/>
      <c r="E1270" s="684"/>
      <c r="F1270" s="683"/>
      <c r="G1270" s="683"/>
      <c r="H1270" s="683"/>
      <c r="I1270" s="683"/>
      <c r="J1270" s="683"/>
      <c r="K1270" s="683"/>
      <c r="L1270" s="685"/>
      <c r="M1270" s="685"/>
      <c r="N1270" s="687"/>
      <c r="O1270" s="683"/>
      <c r="P1270" s="683"/>
      <c r="Q1270" s="686"/>
      <c r="R1270" s="686"/>
      <c r="S1270" s="686"/>
      <c r="T1270" s="686"/>
      <c r="U1270" s="686"/>
      <c r="V1270" s="686"/>
      <c r="W1270" s="686"/>
      <c r="X1270" s="686"/>
      <c r="Y1270" s="686"/>
      <c r="Z1270" s="686"/>
      <c r="AA1270" s="686"/>
      <c r="AB1270" s="686"/>
      <c r="AC1270" s="686"/>
      <c r="AD1270" s="686"/>
      <c r="AE1270" s="686"/>
      <c r="AF1270" s="686"/>
    </row>
    <row r="1271" ht="15.75" customHeight="1">
      <c r="A1271" s="683"/>
      <c r="B1271" s="683"/>
      <c r="C1271" s="684"/>
      <c r="D1271" s="684"/>
      <c r="E1271" s="684"/>
      <c r="F1271" s="683"/>
      <c r="G1271" s="683"/>
      <c r="H1271" s="683"/>
      <c r="I1271" s="683"/>
      <c r="J1271" s="683"/>
      <c r="K1271" s="683"/>
      <c r="L1271" s="685"/>
      <c r="M1271" s="685"/>
      <c r="N1271" s="687"/>
      <c r="O1271" s="683"/>
      <c r="P1271" s="683"/>
      <c r="Q1271" s="686"/>
      <c r="R1271" s="686"/>
      <c r="S1271" s="686"/>
      <c r="T1271" s="686"/>
      <c r="U1271" s="686"/>
      <c r="V1271" s="686"/>
      <c r="W1271" s="686"/>
      <c r="X1271" s="686"/>
      <c r="Y1271" s="686"/>
      <c r="Z1271" s="686"/>
      <c r="AA1271" s="686"/>
      <c r="AB1271" s="686"/>
      <c r="AC1271" s="686"/>
      <c r="AD1271" s="686"/>
      <c r="AE1271" s="686"/>
      <c r="AF1271" s="686"/>
    </row>
    <row r="1272" ht="15.75" customHeight="1">
      <c r="A1272" s="683"/>
      <c r="B1272" s="683"/>
      <c r="C1272" s="684"/>
      <c r="D1272" s="684"/>
      <c r="E1272" s="684"/>
      <c r="F1272" s="683"/>
      <c r="G1272" s="683"/>
      <c r="H1272" s="683"/>
      <c r="I1272" s="683"/>
      <c r="J1272" s="683"/>
      <c r="K1272" s="683"/>
      <c r="L1272" s="685"/>
      <c r="M1272" s="685"/>
      <c r="N1272" s="687"/>
      <c r="O1272" s="683"/>
      <c r="P1272" s="683"/>
      <c r="Q1272" s="686"/>
      <c r="R1272" s="686"/>
      <c r="S1272" s="686"/>
      <c r="T1272" s="686"/>
      <c r="U1272" s="686"/>
      <c r="V1272" s="686"/>
      <c r="W1272" s="686"/>
      <c r="X1272" s="686"/>
      <c r="Y1272" s="686"/>
      <c r="Z1272" s="686"/>
      <c r="AA1272" s="686"/>
      <c r="AB1272" s="686"/>
      <c r="AC1272" s="686"/>
      <c r="AD1272" s="686"/>
      <c r="AE1272" s="686"/>
      <c r="AF1272" s="686"/>
    </row>
    <row r="1273" ht="15.75" customHeight="1">
      <c r="A1273" s="683"/>
      <c r="B1273" s="683"/>
      <c r="C1273" s="684"/>
      <c r="D1273" s="684"/>
      <c r="E1273" s="684"/>
      <c r="F1273" s="683"/>
      <c r="G1273" s="683"/>
      <c r="H1273" s="683"/>
      <c r="I1273" s="683"/>
      <c r="J1273" s="683"/>
      <c r="K1273" s="683"/>
      <c r="L1273" s="685"/>
      <c r="M1273" s="685"/>
      <c r="N1273" s="687"/>
      <c r="O1273" s="683"/>
      <c r="P1273" s="683"/>
      <c r="Q1273" s="686"/>
      <c r="R1273" s="686"/>
      <c r="S1273" s="686"/>
      <c r="T1273" s="686"/>
      <c r="U1273" s="686"/>
      <c r="V1273" s="686"/>
      <c r="W1273" s="686"/>
      <c r="X1273" s="686"/>
      <c r="Y1273" s="686"/>
      <c r="Z1273" s="686"/>
      <c r="AA1273" s="686"/>
      <c r="AB1273" s="686"/>
      <c r="AC1273" s="686"/>
      <c r="AD1273" s="686"/>
      <c r="AE1273" s="686"/>
      <c r="AF1273" s="686"/>
    </row>
    <row r="1274" ht="15.75" customHeight="1">
      <c r="A1274" s="683"/>
      <c r="B1274" s="683"/>
      <c r="C1274" s="684"/>
      <c r="D1274" s="684"/>
      <c r="E1274" s="684"/>
      <c r="F1274" s="683"/>
      <c r="G1274" s="683"/>
      <c r="H1274" s="683"/>
      <c r="I1274" s="683"/>
      <c r="J1274" s="683"/>
      <c r="K1274" s="683"/>
      <c r="L1274" s="685"/>
      <c r="M1274" s="685"/>
      <c r="N1274" s="687"/>
      <c r="O1274" s="683"/>
      <c r="P1274" s="683"/>
      <c r="Q1274" s="686"/>
      <c r="R1274" s="686"/>
      <c r="S1274" s="686"/>
      <c r="T1274" s="686"/>
      <c r="U1274" s="686"/>
      <c r="V1274" s="686"/>
      <c r="W1274" s="686"/>
      <c r="X1274" s="686"/>
      <c r="Y1274" s="686"/>
      <c r="Z1274" s="686"/>
      <c r="AA1274" s="686"/>
      <c r="AB1274" s="686"/>
      <c r="AC1274" s="686"/>
      <c r="AD1274" s="686"/>
      <c r="AE1274" s="686"/>
      <c r="AF1274" s="686"/>
    </row>
    <row r="1275" ht="15.75" customHeight="1">
      <c r="A1275" s="683"/>
      <c r="B1275" s="683"/>
      <c r="C1275" s="684"/>
      <c r="D1275" s="684"/>
      <c r="E1275" s="684"/>
      <c r="F1275" s="683"/>
      <c r="G1275" s="683"/>
      <c r="H1275" s="683"/>
      <c r="I1275" s="683"/>
      <c r="J1275" s="683"/>
      <c r="K1275" s="683"/>
      <c r="L1275" s="685"/>
      <c r="M1275" s="685"/>
      <c r="N1275" s="687"/>
      <c r="O1275" s="683"/>
      <c r="P1275" s="683"/>
      <c r="Q1275" s="686"/>
      <c r="R1275" s="686"/>
      <c r="S1275" s="686"/>
      <c r="T1275" s="686"/>
      <c r="U1275" s="686"/>
      <c r="V1275" s="686"/>
      <c r="W1275" s="686"/>
      <c r="X1275" s="686"/>
      <c r="Y1275" s="686"/>
      <c r="Z1275" s="686"/>
      <c r="AA1275" s="686"/>
      <c r="AB1275" s="686"/>
      <c r="AC1275" s="686"/>
      <c r="AD1275" s="686"/>
      <c r="AE1275" s="686"/>
      <c r="AF1275" s="686"/>
    </row>
    <row r="1276" ht="15.75" customHeight="1">
      <c r="A1276" s="683"/>
      <c r="B1276" s="683"/>
      <c r="C1276" s="684"/>
      <c r="D1276" s="684"/>
      <c r="E1276" s="684"/>
      <c r="F1276" s="683"/>
      <c r="G1276" s="683"/>
      <c r="H1276" s="683"/>
      <c r="I1276" s="683"/>
      <c r="J1276" s="683"/>
      <c r="K1276" s="683"/>
      <c r="L1276" s="685"/>
      <c r="M1276" s="685"/>
      <c r="N1276" s="687"/>
      <c r="O1276" s="683"/>
      <c r="P1276" s="683"/>
      <c r="Q1276" s="686"/>
      <c r="R1276" s="686"/>
      <c r="S1276" s="686"/>
      <c r="T1276" s="686"/>
      <c r="U1276" s="686"/>
      <c r="V1276" s="686"/>
      <c r="W1276" s="686"/>
      <c r="X1276" s="686"/>
      <c r="Y1276" s="686"/>
      <c r="Z1276" s="686"/>
      <c r="AA1276" s="686"/>
      <c r="AB1276" s="686"/>
      <c r="AC1276" s="686"/>
      <c r="AD1276" s="686"/>
      <c r="AE1276" s="686"/>
      <c r="AF1276" s="686"/>
    </row>
    <row r="1277" ht="15.75" customHeight="1">
      <c r="A1277" s="683"/>
      <c r="B1277" s="683"/>
      <c r="C1277" s="684"/>
      <c r="D1277" s="684"/>
      <c r="E1277" s="684"/>
      <c r="F1277" s="683"/>
      <c r="G1277" s="683"/>
      <c r="H1277" s="683"/>
      <c r="I1277" s="683"/>
      <c r="J1277" s="683"/>
      <c r="K1277" s="683"/>
      <c r="L1277" s="685"/>
      <c r="M1277" s="685"/>
      <c r="N1277" s="687"/>
      <c r="O1277" s="683"/>
      <c r="P1277" s="683"/>
      <c r="Q1277" s="686"/>
      <c r="R1277" s="686"/>
      <c r="S1277" s="686"/>
      <c r="T1277" s="686"/>
      <c r="U1277" s="686"/>
      <c r="V1277" s="686"/>
      <c r="W1277" s="686"/>
      <c r="X1277" s="686"/>
      <c r="Y1277" s="686"/>
      <c r="Z1277" s="686"/>
      <c r="AA1277" s="686"/>
      <c r="AB1277" s="686"/>
      <c r="AC1277" s="686"/>
      <c r="AD1277" s="686"/>
      <c r="AE1277" s="686"/>
      <c r="AF1277" s="686"/>
    </row>
    <row r="1278" ht="15.75" customHeight="1">
      <c r="A1278" s="683"/>
      <c r="B1278" s="683"/>
      <c r="C1278" s="684"/>
      <c r="D1278" s="684"/>
      <c r="E1278" s="684"/>
      <c r="F1278" s="683"/>
      <c r="G1278" s="683"/>
      <c r="H1278" s="683"/>
      <c r="I1278" s="683"/>
      <c r="J1278" s="683"/>
      <c r="K1278" s="683"/>
      <c r="L1278" s="685"/>
      <c r="M1278" s="685"/>
      <c r="N1278" s="687"/>
      <c r="O1278" s="683"/>
      <c r="P1278" s="683"/>
      <c r="Q1278" s="686"/>
      <c r="R1278" s="686"/>
      <c r="S1278" s="686"/>
      <c r="T1278" s="686"/>
      <c r="U1278" s="686"/>
      <c r="V1278" s="686"/>
      <c r="W1278" s="686"/>
      <c r="X1278" s="686"/>
      <c r="Y1278" s="686"/>
      <c r="Z1278" s="686"/>
      <c r="AA1278" s="686"/>
      <c r="AB1278" s="686"/>
      <c r="AC1278" s="686"/>
      <c r="AD1278" s="686"/>
      <c r="AE1278" s="686"/>
      <c r="AF1278" s="686"/>
    </row>
    <row r="1279" ht="15.75" customHeight="1">
      <c r="A1279" s="683"/>
      <c r="B1279" s="683"/>
      <c r="C1279" s="684"/>
      <c r="D1279" s="684"/>
      <c r="E1279" s="684"/>
      <c r="F1279" s="683"/>
      <c r="G1279" s="683"/>
      <c r="H1279" s="683"/>
      <c r="I1279" s="683"/>
      <c r="J1279" s="683"/>
      <c r="K1279" s="683"/>
      <c r="L1279" s="685"/>
      <c r="M1279" s="685"/>
      <c r="N1279" s="687"/>
      <c r="O1279" s="683"/>
      <c r="P1279" s="683"/>
      <c r="Q1279" s="686"/>
      <c r="R1279" s="686"/>
      <c r="S1279" s="686"/>
      <c r="T1279" s="686"/>
      <c r="U1279" s="686"/>
      <c r="V1279" s="686"/>
      <c r="W1279" s="686"/>
      <c r="X1279" s="686"/>
      <c r="Y1279" s="686"/>
      <c r="Z1279" s="686"/>
      <c r="AA1279" s="686"/>
      <c r="AB1279" s="686"/>
      <c r="AC1279" s="686"/>
      <c r="AD1279" s="686"/>
      <c r="AE1279" s="686"/>
      <c r="AF1279" s="686"/>
    </row>
    <row r="1280" ht="15.75" customHeight="1">
      <c r="A1280" s="683"/>
      <c r="B1280" s="683"/>
      <c r="C1280" s="684"/>
      <c r="D1280" s="684"/>
      <c r="E1280" s="684"/>
      <c r="F1280" s="683"/>
      <c r="G1280" s="683"/>
      <c r="H1280" s="683"/>
      <c r="I1280" s="683"/>
      <c r="J1280" s="683"/>
      <c r="K1280" s="683"/>
      <c r="L1280" s="685"/>
      <c r="M1280" s="685"/>
      <c r="N1280" s="687"/>
      <c r="O1280" s="683"/>
      <c r="P1280" s="683"/>
      <c r="Q1280" s="686"/>
      <c r="R1280" s="686"/>
      <c r="S1280" s="686"/>
      <c r="T1280" s="686"/>
      <c r="U1280" s="686"/>
      <c r="V1280" s="686"/>
      <c r="W1280" s="686"/>
      <c r="X1280" s="686"/>
      <c r="Y1280" s="686"/>
      <c r="Z1280" s="686"/>
      <c r="AA1280" s="686"/>
      <c r="AB1280" s="686"/>
      <c r="AC1280" s="686"/>
      <c r="AD1280" s="686"/>
      <c r="AE1280" s="686"/>
      <c r="AF1280" s="686"/>
    </row>
    <row r="1281" ht="15.75" customHeight="1">
      <c r="A1281" s="683"/>
      <c r="B1281" s="683"/>
      <c r="C1281" s="684"/>
      <c r="D1281" s="684"/>
      <c r="E1281" s="684"/>
      <c r="F1281" s="683"/>
      <c r="G1281" s="683"/>
      <c r="H1281" s="683"/>
      <c r="I1281" s="683"/>
      <c r="J1281" s="683"/>
      <c r="K1281" s="683"/>
      <c r="L1281" s="685"/>
      <c r="M1281" s="685"/>
      <c r="N1281" s="687"/>
      <c r="O1281" s="683"/>
      <c r="P1281" s="683"/>
      <c r="Q1281" s="686"/>
      <c r="R1281" s="686"/>
      <c r="S1281" s="686"/>
      <c r="T1281" s="686"/>
      <c r="U1281" s="686"/>
      <c r="V1281" s="686"/>
      <c r="W1281" s="686"/>
      <c r="X1281" s="686"/>
      <c r="Y1281" s="686"/>
      <c r="Z1281" s="686"/>
      <c r="AA1281" s="686"/>
      <c r="AB1281" s="686"/>
      <c r="AC1281" s="686"/>
      <c r="AD1281" s="686"/>
      <c r="AE1281" s="686"/>
      <c r="AF1281" s="686"/>
    </row>
    <row r="1282" ht="15.75" customHeight="1">
      <c r="A1282" s="683"/>
      <c r="B1282" s="683"/>
      <c r="C1282" s="684"/>
      <c r="D1282" s="684"/>
      <c r="E1282" s="684"/>
      <c r="F1282" s="683"/>
      <c r="G1282" s="683"/>
      <c r="H1282" s="683"/>
      <c r="I1282" s="683"/>
      <c r="J1282" s="683"/>
      <c r="K1282" s="683"/>
      <c r="L1282" s="685"/>
      <c r="M1282" s="685"/>
      <c r="N1282" s="687"/>
      <c r="O1282" s="683"/>
      <c r="P1282" s="683"/>
      <c r="Q1282" s="686"/>
      <c r="R1282" s="686"/>
      <c r="S1282" s="686"/>
      <c r="T1282" s="686"/>
      <c r="U1282" s="686"/>
      <c r="V1282" s="686"/>
      <c r="W1282" s="686"/>
      <c r="X1282" s="686"/>
      <c r="Y1282" s="686"/>
      <c r="Z1282" s="686"/>
      <c r="AA1282" s="686"/>
      <c r="AB1282" s="686"/>
      <c r="AC1282" s="686"/>
      <c r="AD1282" s="686"/>
      <c r="AE1282" s="686"/>
      <c r="AF1282" s="686"/>
    </row>
    <row r="1283" ht="15.75" customHeight="1">
      <c r="A1283" s="683"/>
      <c r="B1283" s="683"/>
      <c r="C1283" s="684"/>
      <c r="D1283" s="684"/>
      <c r="E1283" s="684"/>
      <c r="F1283" s="683"/>
      <c r="G1283" s="683"/>
      <c r="H1283" s="683"/>
      <c r="I1283" s="683"/>
      <c r="J1283" s="683"/>
      <c r="K1283" s="683"/>
      <c r="L1283" s="685"/>
      <c r="M1283" s="685"/>
      <c r="N1283" s="687"/>
      <c r="O1283" s="683"/>
      <c r="P1283" s="683"/>
      <c r="Q1283" s="686"/>
      <c r="R1283" s="686"/>
      <c r="S1283" s="686"/>
      <c r="T1283" s="686"/>
      <c r="U1283" s="686"/>
      <c r="V1283" s="686"/>
      <c r="W1283" s="686"/>
      <c r="X1283" s="686"/>
      <c r="Y1283" s="686"/>
      <c r="Z1283" s="686"/>
      <c r="AA1283" s="686"/>
      <c r="AB1283" s="686"/>
      <c r="AC1283" s="686"/>
      <c r="AD1283" s="686"/>
      <c r="AE1283" s="686"/>
      <c r="AF1283" s="686"/>
    </row>
    <row r="1284" ht="15.75" customHeight="1">
      <c r="A1284" s="683"/>
      <c r="B1284" s="683"/>
      <c r="C1284" s="684"/>
      <c r="D1284" s="684"/>
      <c r="E1284" s="684"/>
      <c r="F1284" s="683"/>
      <c r="G1284" s="683"/>
      <c r="H1284" s="683"/>
      <c r="I1284" s="683"/>
      <c r="J1284" s="683"/>
      <c r="K1284" s="683"/>
      <c r="L1284" s="685"/>
      <c r="M1284" s="685"/>
      <c r="N1284" s="687"/>
      <c r="O1284" s="683"/>
      <c r="P1284" s="683"/>
      <c r="Q1284" s="686"/>
      <c r="R1284" s="686"/>
      <c r="S1284" s="686"/>
      <c r="T1284" s="686"/>
      <c r="U1284" s="686"/>
      <c r="V1284" s="686"/>
      <c r="W1284" s="686"/>
      <c r="X1284" s="686"/>
      <c r="Y1284" s="686"/>
      <c r="Z1284" s="686"/>
      <c r="AA1284" s="686"/>
      <c r="AB1284" s="686"/>
      <c r="AC1284" s="686"/>
      <c r="AD1284" s="686"/>
      <c r="AE1284" s="686"/>
      <c r="AF1284" s="686"/>
    </row>
    <row r="1285" ht="15.75" customHeight="1">
      <c r="A1285" s="683"/>
      <c r="B1285" s="683"/>
      <c r="C1285" s="684"/>
      <c r="D1285" s="684"/>
      <c r="E1285" s="684"/>
      <c r="F1285" s="683"/>
      <c r="G1285" s="683"/>
      <c r="H1285" s="683"/>
      <c r="I1285" s="683"/>
      <c r="J1285" s="683"/>
      <c r="K1285" s="683"/>
      <c r="L1285" s="685"/>
      <c r="M1285" s="685"/>
      <c r="N1285" s="687"/>
      <c r="O1285" s="683"/>
      <c r="P1285" s="683"/>
      <c r="Q1285" s="686"/>
      <c r="R1285" s="686"/>
      <c r="S1285" s="686"/>
      <c r="T1285" s="686"/>
      <c r="U1285" s="686"/>
      <c r="V1285" s="686"/>
      <c r="W1285" s="686"/>
      <c r="X1285" s="686"/>
      <c r="Y1285" s="686"/>
      <c r="Z1285" s="686"/>
      <c r="AA1285" s="686"/>
      <c r="AB1285" s="686"/>
      <c r="AC1285" s="686"/>
      <c r="AD1285" s="686"/>
      <c r="AE1285" s="686"/>
      <c r="AF1285" s="686"/>
    </row>
    <row r="1286" ht="15.75" customHeight="1">
      <c r="A1286" s="683"/>
      <c r="B1286" s="683"/>
      <c r="C1286" s="684"/>
      <c r="D1286" s="684"/>
      <c r="E1286" s="684"/>
      <c r="F1286" s="683"/>
      <c r="G1286" s="683"/>
      <c r="H1286" s="683"/>
      <c r="I1286" s="683"/>
      <c r="J1286" s="683"/>
      <c r="K1286" s="683"/>
      <c r="L1286" s="685"/>
      <c r="M1286" s="685"/>
      <c r="N1286" s="687"/>
      <c r="O1286" s="683"/>
      <c r="P1286" s="683"/>
      <c r="Q1286" s="686"/>
      <c r="R1286" s="686"/>
      <c r="S1286" s="686"/>
      <c r="T1286" s="686"/>
      <c r="U1286" s="686"/>
      <c r="V1286" s="686"/>
      <c r="W1286" s="686"/>
      <c r="X1286" s="686"/>
      <c r="Y1286" s="686"/>
      <c r="Z1286" s="686"/>
      <c r="AA1286" s="686"/>
      <c r="AB1286" s="686"/>
      <c r="AC1286" s="686"/>
      <c r="AD1286" s="686"/>
      <c r="AE1286" s="686"/>
      <c r="AF1286" s="686"/>
    </row>
    <row r="1287" ht="15.75" customHeight="1">
      <c r="A1287" s="683"/>
      <c r="B1287" s="683"/>
      <c r="C1287" s="684"/>
      <c r="D1287" s="684"/>
      <c r="E1287" s="684"/>
      <c r="F1287" s="683"/>
      <c r="G1287" s="683"/>
      <c r="H1287" s="683"/>
      <c r="I1287" s="683"/>
      <c r="J1287" s="683"/>
      <c r="K1287" s="683"/>
      <c r="L1287" s="685"/>
      <c r="M1287" s="685"/>
      <c r="N1287" s="687"/>
      <c r="O1287" s="683"/>
      <c r="P1287" s="683"/>
      <c r="Q1287" s="686"/>
      <c r="R1287" s="686"/>
      <c r="S1287" s="686"/>
      <c r="T1287" s="686"/>
      <c r="U1287" s="686"/>
      <c r="V1287" s="686"/>
      <c r="W1287" s="686"/>
      <c r="X1287" s="686"/>
      <c r="Y1287" s="686"/>
      <c r="Z1287" s="686"/>
      <c r="AA1287" s="686"/>
      <c r="AB1287" s="686"/>
      <c r="AC1287" s="686"/>
      <c r="AD1287" s="686"/>
      <c r="AE1287" s="686"/>
      <c r="AF1287" s="686"/>
    </row>
    <row r="1288" ht="15.75" customHeight="1">
      <c r="A1288" s="683"/>
      <c r="B1288" s="683"/>
      <c r="C1288" s="684"/>
      <c r="D1288" s="684"/>
      <c r="E1288" s="684"/>
      <c r="F1288" s="683"/>
      <c r="G1288" s="683"/>
      <c r="H1288" s="683"/>
      <c r="I1288" s="683"/>
      <c r="J1288" s="683"/>
      <c r="K1288" s="683"/>
      <c r="L1288" s="685"/>
      <c r="M1288" s="685"/>
      <c r="N1288" s="687"/>
      <c r="O1288" s="683"/>
      <c r="P1288" s="683"/>
      <c r="Q1288" s="686"/>
      <c r="R1288" s="686"/>
      <c r="S1288" s="686"/>
      <c r="T1288" s="686"/>
      <c r="U1288" s="686"/>
      <c r="V1288" s="686"/>
      <c r="W1288" s="686"/>
      <c r="X1288" s="686"/>
      <c r="Y1288" s="686"/>
      <c r="Z1288" s="686"/>
      <c r="AA1288" s="686"/>
      <c r="AB1288" s="686"/>
      <c r="AC1288" s="686"/>
      <c r="AD1288" s="686"/>
      <c r="AE1288" s="686"/>
      <c r="AF1288" s="686"/>
    </row>
    <row r="1289" ht="15.75" customHeight="1">
      <c r="A1289" s="683"/>
      <c r="B1289" s="683"/>
      <c r="C1289" s="684"/>
      <c r="D1289" s="684"/>
      <c r="E1289" s="684"/>
      <c r="F1289" s="683"/>
      <c r="G1289" s="683"/>
      <c r="H1289" s="683"/>
      <c r="I1289" s="683"/>
      <c r="J1289" s="683"/>
      <c r="K1289" s="683"/>
      <c r="L1289" s="685"/>
      <c r="M1289" s="685"/>
      <c r="N1289" s="687"/>
      <c r="O1289" s="683"/>
      <c r="P1289" s="683"/>
      <c r="Q1289" s="686"/>
      <c r="R1289" s="686"/>
      <c r="S1289" s="686"/>
      <c r="T1289" s="686"/>
      <c r="U1289" s="686"/>
      <c r="V1289" s="686"/>
      <c r="W1289" s="686"/>
      <c r="X1289" s="686"/>
      <c r="Y1289" s="686"/>
      <c r="Z1289" s="686"/>
      <c r="AA1289" s="686"/>
      <c r="AB1289" s="686"/>
      <c r="AC1289" s="686"/>
      <c r="AD1289" s="686"/>
      <c r="AE1289" s="686"/>
      <c r="AF1289" s="686"/>
    </row>
    <row r="1290" ht="15.75" customHeight="1">
      <c r="A1290" s="683"/>
      <c r="B1290" s="683"/>
      <c r="C1290" s="684"/>
      <c r="D1290" s="684"/>
      <c r="E1290" s="684"/>
      <c r="F1290" s="683"/>
      <c r="G1290" s="683"/>
      <c r="H1290" s="683"/>
      <c r="I1290" s="683"/>
      <c r="J1290" s="683"/>
      <c r="K1290" s="683"/>
      <c r="L1290" s="685"/>
      <c r="M1290" s="685"/>
      <c r="N1290" s="687"/>
      <c r="O1290" s="683"/>
      <c r="P1290" s="683"/>
      <c r="Q1290" s="686"/>
      <c r="R1290" s="686"/>
      <c r="S1290" s="686"/>
      <c r="T1290" s="686"/>
      <c r="U1290" s="686"/>
      <c r="V1290" s="686"/>
      <c r="W1290" s="686"/>
      <c r="X1290" s="686"/>
      <c r="Y1290" s="686"/>
      <c r="Z1290" s="686"/>
      <c r="AA1290" s="686"/>
      <c r="AB1290" s="686"/>
      <c r="AC1290" s="686"/>
      <c r="AD1290" s="686"/>
      <c r="AE1290" s="686"/>
      <c r="AF1290" s="686"/>
    </row>
    <row r="1291" ht="15.75" customHeight="1">
      <c r="A1291" s="683"/>
      <c r="B1291" s="683"/>
      <c r="C1291" s="684"/>
      <c r="D1291" s="684"/>
      <c r="E1291" s="684"/>
      <c r="F1291" s="683"/>
      <c r="G1291" s="683"/>
      <c r="H1291" s="683"/>
      <c r="I1291" s="683"/>
      <c r="J1291" s="683"/>
      <c r="K1291" s="683"/>
      <c r="L1291" s="685"/>
      <c r="M1291" s="685"/>
      <c r="N1291" s="687"/>
      <c r="O1291" s="683"/>
      <c r="P1291" s="683"/>
      <c r="Q1291" s="686"/>
      <c r="R1291" s="686"/>
      <c r="S1291" s="686"/>
      <c r="T1291" s="686"/>
      <c r="U1291" s="686"/>
      <c r="V1291" s="686"/>
      <c r="W1291" s="686"/>
      <c r="X1291" s="686"/>
      <c r="Y1291" s="686"/>
      <c r="Z1291" s="686"/>
      <c r="AA1291" s="686"/>
      <c r="AB1291" s="686"/>
      <c r="AC1291" s="686"/>
      <c r="AD1291" s="686"/>
      <c r="AE1291" s="686"/>
      <c r="AF1291" s="686"/>
    </row>
    <row r="1292" ht="15.75" customHeight="1">
      <c r="A1292" s="683"/>
      <c r="B1292" s="683"/>
      <c r="C1292" s="684"/>
      <c r="D1292" s="684"/>
      <c r="E1292" s="684"/>
      <c r="F1292" s="683"/>
      <c r="G1292" s="683"/>
      <c r="H1292" s="683"/>
      <c r="I1292" s="683"/>
      <c r="J1292" s="683"/>
      <c r="K1292" s="683"/>
      <c r="L1292" s="685"/>
      <c r="M1292" s="685"/>
      <c r="N1292" s="687"/>
      <c r="O1292" s="683"/>
      <c r="P1292" s="683"/>
      <c r="Q1292" s="686"/>
      <c r="R1292" s="686"/>
      <c r="S1292" s="686"/>
      <c r="T1292" s="686"/>
      <c r="U1292" s="686"/>
      <c r="V1292" s="686"/>
      <c r="W1292" s="686"/>
      <c r="X1292" s="686"/>
      <c r="Y1292" s="686"/>
      <c r="Z1292" s="686"/>
      <c r="AA1292" s="686"/>
      <c r="AB1292" s="686"/>
      <c r="AC1292" s="686"/>
      <c r="AD1292" s="686"/>
      <c r="AE1292" s="686"/>
      <c r="AF1292" s="686"/>
    </row>
    <row r="1293" ht="15.75" customHeight="1">
      <c r="A1293" s="683"/>
      <c r="B1293" s="683"/>
      <c r="C1293" s="684"/>
      <c r="D1293" s="684"/>
      <c r="E1293" s="684"/>
      <c r="F1293" s="683"/>
      <c r="G1293" s="683"/>
      <c r="H1293" s="683"/>
      <c r="I1293" s="683"/>
      <c r="J1293" s="683"/>
      <c r="K1293" s="683"/>
      <c r="L1293" s="685"/>
      <c r="M1293" s="685"/>
      <c r="N1293" s="687"/>
      <c r="O1293" s="683"/>
      <c r="P1293" s="683"/>
      <c r="Q1293" s="686"/>
      <c r="R1293" s="686"/>
      <c r="S1293" s="686"/>
      <c r="T1293" s="686"/>
      <c r="U1293" s="686"/>
      <c r="V1293" s="686"/>
      <c r="W1293" s="686"/>
      <c r="X1293" s="686"/>
      <c r="Y1293" s="686"/>
      <c r="Z1293" s="686"/>
      <c r="AA1293" s="686"/>
      <c r="AB1293" s="686"/>
      <c r="AC1293" s="686"/>
      <c r="AD1293" s="686"/>
      <c r="AE1293" s="686"/>
      <c r="AF1293" s="686"/>
    </row>
    <row r="1294" ht="15.75" customHeight="1">
      <c r="A1294" s="683"/>
      <c r="B1294" s="683"/>
      <c r="C1294" s="684"/>
      <c r="D1294" s="684"/>
      <c r="E1294" s="684"/>
      <c r="F1294" s="683"/>
      <c r="G1294" s="683"/>
      <c r="H1294" s="683"/>
      <c r="I1294" s="683"/>
      <c r="J1294" s="683"/>
      <c r="K1294" s="683"/>
      <c r="L1294" s="685"/>
      <c r="M1294" s="685"/>
      <c r="N1294" s="687"/>
      <c r="O1294" s="683"/>
      <c r="P1294" s="683"/>
      <c r="Q1294" s="686"/>
      <c r="R1294" s="686"/>
      <c r="S1294" s="686"/>
      <c r="T1294" s="686"/>
      <c r="U1294" s="686"/>
      <c r="V1294" s="686"/>
      <c r="W1294" s="686"/>
      <c r="X1294" s="686"/>
      <c r="Y1294" s="686"/>
      <c r="Z1294" s="686"/>
      <c r="AA1294" s="686"/>
      <c r="AB1294" s="686"/>
      <c r="AC1294" s="686"/>
      <c r="AD1294" s="686"/>
      <c r="AE1294" s="686"/>
      <c r="AF1294" s="686"/>
    </row>
    <row r="1295" ht="15.75" customHeight="1">
      <c r="A1295" s="683"/>
      <c r="B1295" s="683"/>
      <c r="C1295" s="684"/>
      <c r="D1295" s="684"/>
      <c r="E1295" s="684"/>
      <c r="F1295" s="683"/>
      <c r="G1295" s="683"/>
      <c r="H1295" s="683"/>
      <c r="I1295" s="683"/>
      <c r="J1295" s="683"/>
      <c r="K1295" s="683"/>
      <c r="L1295" s="685"/>
      <c r="M1295" s="685"/>
      <c r="N1295" s="687"/>
      <c r="O1295" s="683"/>
      <c r="P1295" s="683"/>
      <c r="Q1295" s="686"/>
      <c r="R1295" s="686"/>
      <c r="S1295" s="686"/>
      <c r="T1295" s="686"/>
      <c r="U1295" s="686"/>
      <c r="V1295" s="686"/>
      <c r="W1295" s="686"/>
      <c r="X1295" s="686"/>
      <c r="Y1295" s="686"/>
      <c r="Z1295" s="686"/>
      <c r="AA1295" s="686"/>
      <c r="AB1295" s="686"/>
      <c r="AC1295" s="686"/>
      <c r="AD1295" s="686"/>
      <c r="AE1295" s="686"/>
      <c r="AF1295" s="686"/>
    </row>
    <row r="1296" ht="15.75" customHeight="1">
      <c r="A1296" s="683"/>
      <c r="B1296" s="683"/>
      <c r="C1296" s="684"/>
      <c r="D1296" s="684"/>
      <c r="E1296" s="684"/>
      <c r="F1296" s="683"/>
      <c r="G1296" s="683"/>
      <c r="H1296" s="683"/>
      <c r="I1296" s="683"/>
      <c r="J1296" s="683"/>
      <c r="K1296" s="683"/>
      <c r="L1296" s="685"/>
      <c r="M1296" s="685"/>
      <c r="N1296" s="687"/>
      <c r="O1296" s="683"/>
      <c r="P1296" s="683"/>
      <c r="Q1296" s="686"/>
      <c r="R1296" s="686"/>
      <c r="S1296" s="686"/>
      <c r="T1296" s="686"/>
      <c r="U1296" s="686"/>
      <c r="V1296" s="686"/>
      <c r="W1296" s="686"/>
      <c r="X1296" s="686"/>
      <c r="Y1296" s="686"/>
      <c r="Z1296" s="686"/>
      <c r="AA1296" s="686"/>
      <c r="AB1296" s="686"/>
      <c r="AC1296" s="686"/>
      <c r="AD1296" s="686"/>
      <c r="AE1296" s="686"/>
      <c r="AF1296" s="686"/>
    </row>
    <row r="1297" ht="15.75" customHeight="1">
      <c r="A1297" s="683"/>
      <c r="B1297" s="683"/>
      <c r="C1297" s="684"/>
      <c r="D1297" s="684"/>
      <c r="E1297" s="684"/>
      <c r="F1297" s="683"/>
      <c r="G1297" s="683"/>
      <c r="H1297" s="683"/>
      <c r="I1297" s="683"/>
      <c r="J1297" s="683"/>
      <c r="K1297" s="683"/>
      <c r="L1297" s="685"/>
      <c r="M1297" s="685"/>
      <c r="N1297" s="687"/>
      <c r="O1297" s="683"/>
      <c r="P1297" s="683"/>
      <c r="Q1297" s="686"/>
      <c r="R1297" s="686"/>
      <c r="S1297" s="686"/>
      <c r="T1297" s="686"/>
      <c r="U1297" s="686"/>
      <c r="V1297" s="686"/>
      <c r="W1297" s="686"/>
      <c r="X1297" s="686"/>
      <c r="Y1297" s="686"/>
      <c r="Z1297" s="686"/>
      <c r="AA1297" s="686"/>
      <c r="AB1297" s="686"/>
      <c r="AC1297" s="686"/>
      <c r="AD1297" s="686"/>
      <c r="AE1297" s="686"/>
      <c r="AF1297" s="686"/>
    </row>
    <row r="1298" ht="15.75" customHeight="1">
      <c r="A1298" s="683"/>
      <c r="B1298" s="683"/>
      <c r="C1298" s="684"/>
      <c r="D1298" s="684"/>
      <c r="E1298" s="684"/>
      <c r="F1298" s="683"/>
      <c r="G1298" s="683"/>
      <c r="H1298" s="683"/>
      <c r="I1298" s="683"/>
      <c r="J1298" s="683"/>
      <c r="K1298" s="683"/>
      <c r="L1298" s="685"/>
      <c r="M1298" s="685"/>
      <c r="N1298" s="687"/>
      <c r="O1298" s="683"/>
      <c r="P1298" s="683"/>
      <c r="Q1298" s="686"/>
      <c r="R1298" s="686"/>
      <c r="S1298" s="686"/>
      <c r="T1298" s="686"/>
      <c r="U1298" s="686"/>
      <c r="V1298" s="686"/>
      <c r="W1298" s="686"/>
      <c r="X1298" s="686"/>
      <c r="Y1298" s="686"/>
      <c r="Z1298" s="686"/>
      <c r="AA1298" s="686"/>
      <c r="AB1298" s="686"/>
      <c r="AC1298" s="686"/>
      <c r="AD1298" s="686"/>
      <c r="AE1298" s="686"/>
      <c r="AF1298" s="686"/>
    </row>
    <row r="1299" ht="15.75" customHeight="1">
      <c r="A1299" s="683"/>
      <c r="B1299" s="683"/>
      <c r="C1299" s="684"/>
      <c r="D1299" s="684"/>
      <c r="E1299" s="684"/>
      <c r="F1299" s="683"/>
      <c r="G1299" s="683"/>
      <c r="H1299" s="683"/>
      <c r="I1299" s="683"/>
      <c r="J1299" s="683"/>
      <c r="K1299" s="683"/>
      <c r="L1299" s="685"/>
      <c r="M1299" s="685"/>
      <c r="N1299" s="687"/>
      <c r="O1299" s="683"/>
      <c r="P1299" s="683"/>
      <c r="Q1299" s="686"/>
      <c r="R1299" s="686"/>
      <c r="S1299" s="686"/>
      <c r="T1299" s="686"/>
      <c r="U1299" s="686"/>
      <c r="V1299" s="686"/>
      <c r="W1299" s="686"/>
      <c r="X1299" s="686"/>
      <c r="Y1299" s="686"/>
      <c r="Z1299" s="686"/>
      <c r="AA1299" s="686"/>
      <c r="AB1299" s="686"/>
      <c r="AC1299" s="686"/>
      <c r="AD1299" s="686"/>
      <c r="AE1299" s="686"/>
      <c r="AF1299" s="686"/>
    </row>
    <row r="1300" ht="15.75" customHeight="1">
      <c r="A1300" s="683"/>
      <c r="B1300" s="683"/>
      <c r="C1300" s="684"/>
      <c r="D1300" s="684"/>
      <c r="E1300" s="684"/>
      <c r="F1300" s="683"/>
      <c r="G1300" s="683"/>
      <c r="H1300" s="683"/>
      <c r="I1300" s="683"/>
      <c r="J1300" s="683"/>
      <c r="K1300" s="683"/>
      <c r="L1300" s="685"/>
      <c r="M1300" s="685"/>
      <c r="N1300" s="687"/>
      <c r="O1300" s="683"/>
      <c r="P1300" s="683"/>
      <c r="Q1300" s="686"/>
      <c r="R1300" s="686"/>
      <c r="S1300" s="686"/>
      <c r="T1300" s="686"/>
      <c r="U1300" s="686"/>
      <c r="V1300" s="686"/>
      <c r="W1300" s="686"/>
      <c r="X1300" s="686"/>
      <c r="Y1300" s="686"/>
      <c r="Z1300" s="686"/>
      <c r="AA1300" s="686"/>
      <c r="AB1300" s="686"/>
      <c r="AC1300" s="686"/>
      <c r="AD1300" s="686"/>
      <c r="AE1300" s="686"/>
      <c r="AF1300" s="686"/>
    </row>
    <row r="1301" ht="15.75" customHeight="1">
      <c r="A1301" s="683"/>
      <c r="B1301" s="683"/>
      <c r="C1301" s="684"/>
      <c r="D1301" s="684"/>
      <c r="E1301" s="684"/>
      <c r="F1301" s="683"/>
      <c r="G1301" s="683"/>
      <c r="H1301" s="683"/>
      <c r="I1301" s="683"/>
      <c r="J1301" s="683"/>
      <c r="K1301" s="683"/>
      <c r="L1301" s="685"/>
      <c r="M1301" s="685"/>
      <c r="N1301" s="687"/>
      <c r="O1301" s="683"/>
      <c r="P1301" s="683"/>
      <c r="Q1301" s="686"/>
      <c r="R1301" s="686"/>
      <c r="S1301" s="686"/>
      <c r="T1301" s="686"/>
      <c r="U1301" s="686"/>
      <c r="V1301" s="686"/>
      <c r="W1301" s="686"/>
      <c r="X1301" s="686"/>
      <c r="Y1301" s="686"/>
      <c r="Z1301" s="686"/>
      <c r="AA1301" s="686"/>
      <c r="AB1301" s="686"/>
      <c r="AC1301" s="686"/>
      <c r="AD1301" s="686"/>
      <c r="AE1301" s="686"/>
      <c r="AF1301" s="686"/>
    </row>
    <row r="1302" ht="15.75" customHeight="1">
      <c r="A1302" s="683"/>
      <c r="B1302" s="683"/>
      <c r="C1302" s="684"/>
      <c r="D1302" s="684"/>
      <c r="E1302" s="684"/>
      <c r="F1302" s="683"/>
      <c r="G1302" s="683"/>
      <c r="H1302" s="683"/>
      <c r="I1302" s="683"/>
      <c r="J1302" s="683"/>
      <c r="K1302" s="683"/>
      <c r="L1302" s="685"/>
      <c r="M1302" s="685"/>
      <c r="N1302" s="687"/>
      <c r="O1302" s="683"/>
      <c r="P1302" s="683"/>
      <c r="Q1302" s="686"/>
      <c r="R1302" s="686"/>
      <c r="S1302" s="686"/>
      <c r="T1302" s="686"/>
      <c r="U1302" s="686"/>
      <c r="V1302" s="686"/>
      <c r="W1302" s="686"/>
      <c r="X1302" s="686"/>
      <c r="Y1302" s="686"/>
      <c r="Z1302" s="686"/>
      <c r="AA1302" s="686"/>
      <c r="AB1302" s="686"/>
      <c r="AC1302" s="686"/>
      <c r="AD1302" s="686"/>
      <c r="AE1302" s="686"/>
      <c r="AF1302" s="686"/>
    </row>
    <row r="1303" ht="15.75" customHeight="1">
      <c r="A1303" s="683"/>
      <c r="B1303" s="683"/>
      <c r="C1303" s="684"/>
      <c r="D1303" s="684"/>
      <c r="E1303" s="684"/>
      <c r="F1303" s="683"/>
      <c r="G1303" s="683"/>
      <c r="H1303" s="683"/>
      <c r="I1303" s="683"/>
      <c r="J1303" s="683"/>
      <c r="K1303" s="683"/>
      <c r="L1303" s="685"/>
      <c r="M1303" s="685"/>
      <c r="N1303" s="687"/>
      <c r="O1303" s="683"/>
      <c r="P1303" s="683"/>
      <c r="Q1303" s="686"/>
      <c r="R1303" s="686"/>
      <c r="S1303" s="686"/>
      <c r="T1303" s="686"/>
      <c r="U1303" s="686"/>
      <c r="V1303" s="686"/>
      <c r="W1303" s="686"/>
      <c r="X1303" s="686"/>
      <c r="Y1303" s="686"/>
      <c r="Z1303" s="686"/>
      <c r="AA1303" s="686"/>
      <c r="AB1303" s="686"/>
      <c r="AC1303" s="686"/>
      <c r="AD1303" s="686"/>
      <c r="AE1303" s="686"/>
      <c r="AF1303" s="686"/>
    </row>
    <row r="1304" ht="15.75" customHeight="1">
      <c r="A1304" s="683"/>
      <c r="B1304" s="683"/>
      <c r="C1304" s="684"/>
      <c r="D1304" s="684"/>
      <c r="E1304" s="684"/>
      <c r="F1304" s="683"/>
      <c r="G1304" s="683"/>
      <c r="H1304" s="683"/>
      <c r="I1304" s="683"/>
      <c r="J1304" s="683"/>
      <c r="K1304" s="683"/>
      <c r="L1304" s="685"/>
      <c r="M1304" s="685"/>
      <c r="N1304" s="687"/>
      <c r="O1304" s="683"/>
      <c r="P1304" s="683"/>
      <c r="Q1304" s="686"/>
      <c r="R1304" s="686"/>
      <c r="S1304" s="686"/>
      <c r="T1304" s="686"/>
      <c r="U1304" s="686"/>
      <c r="V1304" s="686"/>
      <c r="W1304" s="686"/>
      <c r="X1304" s="686"/>
      <c r="Y1304" s="686"/>
      <c r="Z1304" s="686"/>
      <c r="AA1304" s="686"/>
      <c r="AB1304" s="686"/>
      <c r="AC1304" s="686"/>
      <c r="AD1304" s="686"/>
      <c r="AE1304" s="686"/>
      <c r="AF1304" s="686"/>
    </row>
    <row r="1305" ht="15.75" customHeight="1">
      <c r="A1305" s="683"/>
      <c r="B1305" s="683"/>
      <c r="C1305" s="684"/>
      <c r="D1305" s="684"/>
      <c r="E1305" s="684"/>
      <c r="F1305" s="683"/>
      <c r="G1305" s="683"/>
      <c r="H1305" s="683"/>
      <c r="I1305" s="683"/>
      <c r="J1305" s="683"/>
      <c r="K1305" s="683"/>
      <c r="L1305" s="685"/>
      <c r="M1305" s="685"/>
      <c r="N1305" s="687"/>
      <c r="O1305" s="683"/>
      <c r="P1305" s="683"/>
      <c r="Q1305" s="686"/>
      <c r="R1305" s="686"/>
      <c r="S1305" s="686"/>
      <c r="T1305" s="686"/>
      <c r="U1305" s="686"/>
      <c r="V1305" s="686"/>
      <c r="W1305" s="686"/>
      <c r="X1305" s="686"/>
      <c r="Y1305" s="686"/>
      <c r="Z1305" s="686"/>
      <c r="AA1305" s="686"/>
      <c r="AB1305" s="686"/>
      <c r="AC1305" s="686"/>
      <c r="AD1305" s="686"/>
      <c r="AE1305" s="686"/>
      <c r="AF1305" s="686"/>
    </row>
    <row r="1306" ht="15.75" customHeight="1">
      <c r="A1306" s="683"/>
      <c r="B1306" s="683"/>
      <c r="C1306" s="684"/>
      <c r="D1306" s="684"/>
      <c r="E1306" s="684"/>
      <c r="F1306" s="683"/>
      <c r="G1306" s="683"/>
      <c r="H1306" s="683"/>
      <c r="I1306" s="683"/>
      <c r="J1306" s="683"/>
      <c r="K1306" s="683"/>
      <c r="L1306" s="685"/>
      <c r="M1306" s="685"/>
      <c r="N1306" s="687"/>
      <c r="O1306" s="683"/>
      <c r="P1306" s="683"/>
      <c r="Q1306" s="686"/>
      <c r="R1306" s="686"/>
      <c r="S1306" s="686"/>
      <c r="T1306" s="686"/>
      <c r="U1306" s="686"/>
      <c r="V1306" s="686"/>
      <c r="W1306" s="686"/>
      <c r="X1306" s="686"/>
      <c r="Y1306" s="686"/>
      <c r="Z1306" s="686"/>
      <c r="AA1306" s="686"/>
      <c r="AB1306" s="686"/>
      <c r="AC1306" s="686"/>
      <c r="AD1306" s="686"/>
      <c r="AE1306" s="686"/>
      <c r="AF1306" s="686"/>
    </row>
    <row r="1307" ht="15.75" customHeight="1">
      <c r="A1307" s="683"/>
      <c r="B1307" s="683"/>
      <c r="C1307" s="684"/>
      <c r="D1307" s="684"/>
      <c r="E1307" s="684"/>
      <c r="F1307" s="683"/>
      <c r="G1307" s="683"/>
      <c r="H1307" s="683"/>
      <c r="I1307" s="683"/>
      <c r="J1307" s="683"/>
      <c r="K1307" s="683"/>
      <c r="L1307" s="685"/>
      <c r="M1307" s="685"/>
      <c r="N1307" s="687"/>
      <c r="O1307" s="683"/>
      <c r="P1307" s="683"/>
      <c r="Q1307" s="686"/>
      <c r="R1307" s="686"/>
      <c r="S1307" s="686"/>
      <c r="T1307" s="686"/>
      <c r="U1307" s="686"/>
      <c r="V1307" s="686"/>
      <c r="W1307" s="686"/>
      <c r="X1307" s="686"/>
      <c r="Y1307" s="686"/>
      <c r="Z1307" s="686"/>
      <c r="AA1307" s="686"/>
      <c r="AB1307" s="686"/>
      <c r="AC1307" s="686"/>
      <c r="AD1307" s="686"/>
      <c r="AE1307" s="686"/>
      <c r="AF1307" s="686"/>
    </row>
    <row r="1308" ht="15.75" customHeight="1">
      <c r="A1308" s="683"/>
      <c r="B1308" s="683"/>
      <c r="C1308" s="684"/>
      <c r="D1308" s="684"/>
      <c r="E1308" s="684"/>
      <c r="F1308" s="683"/>
      <c r="G1308" s="683"/>
      <c r="H1308" s="683"/>
      <c r="I1308" s="683"/>
      <c r="J1308" s="683"/>
      <c r="K1308" s="683"/>
      <c r="L1308" s="685"/>
      <c r="M1308" s="685"/>
      <c r="N1308" s="687"/>
      <c r="O1308" s="683"/>
      <c r="P1308" s="683"/>
      <c r="Q1308" s="686"/>
      <c r="R1308" s="686"/>
      <c r="S1308" s="686"/>
      <c r="T1308" s="686"/>
      <c r="U1308" s="686"/>
      <c r="V1308" s="686"/>
      <c r="W1308" s="686"/>
      <c r="X1308" s="686"/>
      <c r="Y1308" s="686"/>
      <c r="Z1308" s="686"/>
      <c r="AA1308" s="686"/>
      <c r="AB1308" s="686"/>
      <c r="AC1308" s="686"/>
      <c r="AD1308" s="686"/>
      <c r="AE1308" s="686"/>
      <c r="AF1308" s="686"/>
    </row>
    <row r="1309" ht="15.75" customHeight="1">
      <c r="A1309" s="683"/>
      <c r="B1309" s="683"/>
      <c r="C1309" s="684"/>
      <c r="D1309" s="684"/>
      <c r="E1309" s="684"/>
      <c r="F1309" s="683"/>
      <c r="G1309" s="683"/>
      <c r="H1309" s="683"/>
      <c r="I1309" s="683"/>
      <c r="J1309" s="683"/>
      <c r="K1309" s="683"/>
      <c r="L1309" s="685"/>
      <c r="M1309" s="685"/>
      <c r="N1309" s="687"/>
      <c r="O1309" s="683"/>
      <c r="P1309" s="683"/>
      <c r="Q1309" s="686"/>
      <c r="R1309" s="686"/>
      <c r="S1309" s="686"/>
      <c r="T1309" s="686"/>
      <c r="U1309" s="686"/>
      <c r="V1309" s="686"/>
      <c r="W1309" s="686"/>
      <c r="X1309" s="686"/>
      <c r="Y1309" s="686"/>
      <c r="Z1309" s="686"/>
      <c r="AA1309" s="686"/>
      <c r="AB1309" s="686"/>
      <c r="AC1309" s="686"/>
      <c r="AD1309" s="686"/>
      <c r="AE1309" s="686"/>
      <c r="AF1309" s="686"/>
    </row>
    <row r="1310" ht="15.75" customHeight="1">
      <c r="A1310" s="683"/>
      <c r="B1310" s="683"/>
      <c r="C1310" s="684"/>
      <c r="D1310" s="684"/>
      <c r="E1310" s="684"/>
      <c r="F1310" s="683"/>
      <c r="G1310" s="683"/>
      <c r="H1310" s="683"/>
      <c r="I1310" s="683"/>
      <c r="J1310" s="683"/>
      <c r="K1310" s="683"/>
      <c r="L1310" s="685"/>
      <c r="M1310" s="685"/>
      <c r="N1310" s="687"/>
      <c r="O1310" s="683"/>
      <c r="P1310" s="683"/>
      <c r="Q1310" s="686"/>
      <c r="R1310" s="686"/>
      <c r="S1310" s="686"/>
      <c r="T1310" s="686"/>
      <c r="U1310" s="686"/>
      <c r="V1310" s="686"/>
      <c r="W1310" s="686"/>
      <c r="X1310" s="686"/>
      <c r="Y1310" s="686"/>
      <c r="Z1310" s="686"/>
      <c r="AA1310" s="686"/>
      <c r="AB1310" s="686"/>
      <c r="AC1310" s="686"/>
      <c r="AD1310" s="686"/>
      <c r="AE1310" s="686"/>
      <c r="AF1310" s="686"/>
    </row>
    <row r="1311" ht="15.75" customHeight="1">
      <c r="A1311" s="683"/>
      <c r="B1311" s="683"/>
      <c r="C1311" s="684"/>
      <c r="D1311" s="684"/>
      <c r="E1311" s="684"/>
      <c r="F1311" s="683"/>
      <c r="G1311" s="683"/>
      <c r="H1311" s="683"/>
      <c r="I1311" s="683"/>
      <c r="J1311" s="683"/>
      <c r="K1311" s="683"/>
      <c r="L1311" s="685"/>
      <c r="M1311" s="685"/>
      <c r="N1311" s="687"/>
      <c r="O1311" s="683"/>
      <c r="P1311" s="683"/>
      <c r="Q1311" s="686"/>
      <c r="R1311" s="686"/>
      <c r="S1311" s="686"/>
      <c r="T1311" s="686"/>
      <c r="U1311" s="686"/>
      <c r="V1311" s="686"/>
      <c r="W1311" s="686"/>
      <c r="X1311" s="686"/>
      <c r="Y1311" s="686"/>
      <c r="Z1311" s="686"/>
      <c r="AA1311" s="686"/>
      <c r="AB1311" s="686"/>
      <c r="AC1311" s="686"/>
      <c r="AD1311" s="686"/>
      <c r="AE1311" s="686"/>
      <c r="AF1311" s="686"/>
    </row>
    <row r="1312" ht="15.75" customHeight="1">
      <c r="A1312" s="683"/>
      <c r="B1312" s="683"/>
      <c r="C1312" s="684"/>
      <c r="D1312" s="684"/>
      <c r="E1312" s="684"/>
      <c r="F1312" s="683"/>
      <c r="G1312" s="683"/>
      <c r="H1312" s="683"/>
      <c r="I1312" s="683"/>
      <c r="J1312" s="683"/>
      <c r="K1312" s="683"/>
      <c r="L1312" s="685"/>
      <c r="M1312" s="685"/>
      <c r="N1312" s="687"/>
      <c r="O1312" s="683"/>
      <c r="P1312" s="683"/>
      <c r="Q1312" s="686"/>
      <c r="R1312" s="686"/>
      <c r="S1312" s="686"/>
      <c r="T1312" s="686"/>
      <c r="U1312" s="686"/>
      <c r="V1312" s="686"/>
      <c r="W1312" s="686"/>
      <c r="X1312" s="686"/>
      <c r="Y1312" s="686"/>
      <c r="Z1312" s="686"/>
      <c r="AA1312" s="686"/>
      <c r="AB1312" s="686"/>
      <c r="AC1312" s="686"/>
      <c r="AD1312" s="686"/>
      <c r="AE1312" s="686"/>
      <c r="AF1312" s="686"/>
    </row>
    <row r="1313" ht="15.75" customHeight="1">
      <c r="A1313" s="683"/>
      <c r="B1313" s="683"/>
      <c r="C1313" s="684"/>
      <c r="D1313" s="684"/>
      <c r="E1313" s="684"/>
      <c r="F1313" s="683"/>
      <c r="G1313" s="683"/>
      <c r="H1313" s="683"/>
      <c r="I1313" s="683"/>
      <c r="J1313" s="683"/>
      <c r="K1313" s="683"/>
      <c r="L1313" s="685"/>
      <c r="M1313" s="685"/>
      <c r="N1313" s="687"/>
      <c r="O1313" s="683"/>
      <c r="P1313" s="683"/>
      <c r="Q1313" s="686"/>
      <c r="R1313" s="686"/>
      <c r="S1313" s="686"/>
      <c r="T1313" s="686"/>
      <c r="U1313" s="686"/>
      <c r="V1313" s="686"/>
      <c r="W1313" s="686"/>
      <c r="X1313" s="686"/>
      <c r="Y1313" s="686"/>
      <c r="Z1313" s="686"/>
      <c r="AA1313" s="686"/>
      <c r="AB1313" s="686"/>
      <c r="AC1313" s="686"/>
      <c r="AD1313" s="686"/>
      <c r="AE1313" s="686"/>
      <c r="AF1313" s="686"/>
    </row>
    <row r="1314" ht="15.75" customHeight="1">
      <c r="A1314" s="683"/>
      <c r="B1314" s="683"/>
      <c r="C1314" s="684"/>
      <c r="D1314" s="684"/>
      <c r="E1314" s="684"/>
      <c r="F1314" s="683"/>
      <c r="G1314" s="683"/>
      <c r="H1314" s="683"/>
      <c r="I1314" s="683"/>
      <c r="J1314" s="683"/>
      <c r="K1314" s="683"/>
      <c r="L1314" s="685"/>
      <c r="M1314" s="685"/>
      <c r="N1314" s="687"/>
      <c r="O1314" s="683"/>
      <c r="P1314" s="683"/>
      <c r="Q1314" s="686"/>
      <c r="R1314" s="686"/>
      <c r="S1314" s="686"/>
      <c r="T1314" s="686"/>
      <c r="U1314" s="686"/>
      <c r="V1314" s="686"/>
      <c r="W1314" s="686"/>
      <c r="X1314" s="686"/>
      <c r="Y1314" s="686"/>
      <c r="Z1314" s="686"/>
      <c r="AA1314" s="686"/>
      <c r="AB1314" s="686"/>
      <c r="AC1314" s="686"/>
      <c r="AD1314" s="686"/>
      <c r="AE1314" s="686"/>
      <c r="AF1314" s="686"/>
    </row>
    <row r="1315" ht="15.75" customHeight="1">
      <c r="A1315" s="683"/>
      <c r="B1315" s="683"/>
      <c r="C1315" s="684"/>
      <c r="D1315" s="684"/>
      <c r="E1315" s="684"/>
      <c r="F1315" s="683"/>
      <c r="G1315" s="683"/>
      <c r="H1315" s="683"/>
      <c r="I1315" s="683"/>
      <c r="J1315" s="683"/>
      <c r="K1315" s="683"/>
      <c r="L1315" s="685"/>
      <c r="M1315" s="685"/>
      <c r="N1315" s="687"/>
      <c r="O1315" s="683"/>
      <c r="P1315" s="683"/>
      <c r="Q1315" s="686"/>
      <c r="R1315" s="686"/>
      <c r="S1315" s="686"/>
      <c r="T1315" s="686"/>
      <c r="U1315" s="686"/>
      <c r="V1315" s="686"/>
      <c r="W1315" s="686"/>
      <c r="X1315" s="686"/>
      <c r="Y1315" s="686"/>
      <c r="Z1315" s="686"/>
      <c r="AA1315" s="686"/>
      <c r="AB1315" s="686"/>
      <c r="AC1315" s="686"/>
      <c r="AD1315" s="686"/>
      <c r="AE1315" s="686"/>
      <c r="AF1315" s="686"/>
    </row>
    <row r="1316" ht="15.75" customHeight="1">
      <c r="A1316" s="683"/>
      <c r="B1316" s="683"/>
      <c r="C1316" s="684"/>
      <c r="D1316" s="684"/>
      <c r="E1316" s="684"/>
      <c r="F1316" s="683"/>
      <c r="G1316" s="683"/>
      <c r="H1316" s="683"/>
      <c r="I1316" s="683"/>
      <c r="J1316" s="683"/>
      <c r="K1316" s="683"/>
      <c r="L1316" s="685"/>
      <c r="M1316" s="685"/>
      <c r="N1316" s="687"/>
      <c r="O1316" s="683"/>
      <c r="P1316" s="683"/>
      <c r="Q1316" s="686"/>
      <c r="R1316" s="686"/>
      <c r="S1316" s="686"/>
      <c r="T1316" s="686"/>
      <c r="U1316" s="686"/>
      <c r="V1316" s="686"/>
      <c r="W1316" s="686"/>
      <c r="X1316" s="686"/>
      <c r="Y1316" s="686"/>
      <c r="Z1316" s="686"/>
      <c r="AA1316" s="686"/>
      <c r="AB1316" s="686"/>
      <c r="AC1316" s="686"/>
      <c r="AD1316" s="686"/>
      <c r="AE1316" s="686"/>
      <c r="AF1316" s="686"/>
    </row>
    <row r="1317" ht="15.75" customHeight="1">
      <c r="A1317" s="683"/>
      <c r="B1317" s="683"/>
      <c r="C1317" s="684"/>
      <c r="D1317" s="684"/>
      <c r="E1317" s="684"/>
      <c r="F1317" s="683"/>
      <c r="G1317" s="683"/>
      <c r="H1317" s="683"/>
      <c r="I1317" s="683"/>
      <c r="J1317" s="683"/>
      <c r="K1317" s="683"/>
      <c r="L1317" s="685"/>
      <c r="M1317" s="685"/>
      <c r="N1317" s="687"/>
      <c r="O1317" s="683"/>
      <c r="P1317" s="683"/>
      <c r="Q1317" s="686"/>
      <c r="R1317" s="686"/>
      <c r="S1317" s="686"/>
      <c r="T1317" s="686"/>
      <c r="U1317" s="686"/>
      <c r="V1317" s="686"/>
      <c r="W1317" s="686"/>
      <c r="X1317" s="686"/>
      <c r="Y1317" s="686"/>
      <c r="Z1317" s="686"/>
      <c r="AA1317" s="686"/>
      <c r="AB1317" s="686"/>
      <c r="AC1317" s="686"/>
      <c r="AD1317" s="686"/>
      <c r="AE1317" s="686"/>
      <c r="AF1317" s="686"/>
    </row>
    <row r="1318" ht="15.75" customHeight="1">
      <c r="A1318" s="683"/>
      <c r="B1318" s="683"/>
      <c r="C1318" s="684"/>
      <c r="D1318" s="684"/>
      <c r="E1318" s="684"/>
      <c r="F1318" s="683"/>
      <c r="G1318" s="683"/>
      <c r="H1318" s="683"/>
      <c r="I1318" s="683"/>
      <c r="J1318" s="683"/>
      <c r="K1318" s="683"/>
      <c r="L1318" s="685"/>
      <c r="M1318" s="685"/>
      <c r="N1318" s="687"/>
      <c r="O1318" s="683"/>
      <c r="P1318" s="683"/>
      <c r="Q1318" s="686"/>
      <c r="R1318" s="686"/>
      <c r="S1318" s="686"/>
      <c r="T1318" s="686"/>
      <c r="U1318" s="686"/>
      <c r="V1318" s="686"/>
      <c r="W1318" s="686"/>
      <c r="X1318" s="686"/>
      <c r="Y1318" s="686"/>
      <c r="Z1318" s="686"/>
      <c r="AA1318" s="686"/>
      <c r="AB1318" s="686"/>
      <c r="AC1318" s="686"/>
      <c r="AD1318" s="686"/>
      <c r="AE1318" s="686"/>
      <c r="AF1318" s="686"/>
    </row>
    <row r="1319" ht="15.75" customHeight="1">
      <c r="A1319" s="683"/>
      <c r="B1319" s="683"/>
      <c r="C1319" s="684"/>
      <c r="D1319" s="684"/>
      <c r="E1319" s="684"/>
      <c r="F1319" s="683"/>
      <c r="G1319" s="683"/>
      <c r="H1319" s="683"/>
      <c r="I1319" s="683"/>
      <c r="J1319" s="683"/>
      <c r="K1319" s="683"/>
      <c r="L1319" s="685"/>
      <c r="M1319" s="685"/>
      <c r="N1319" s="687"/>
      <c r="O1319" s="683"/>
      <c r="P1319" s="683"/>
      <c r="Q1319" s="686"/>
      <c r="R1319" s="686"/>
      <c r="S1319" s="686"/>
      <c r="T1319" s="686"/>
      <c r="U1319" s="686"/>
      <c r="V1319" s="686"/>
      <c r="W1319" s="686"/>
      <c r="X1319" s="686"/>
      <c r="Y1319" s="686"/>
      <c r="Z1319" s="686"/>
      <c r="AA1319" s="686"/>
      <c r="AB1319" s="686"/>
      <c r="AC1319" s="686"/>
      <c r="AD1319" s="686"/>
      <c r="AE1319" s="686"/>
      <c r="AF1319" s="686"/>
    </row>
    <row r="1320" ht="15.75" customHeight="1">
      <c r="A1320" s="683"/>
      <c r="B1320" s="683"/>
      <c r="C1320" s="684"/>
      <c r="D1320" s="684"/>
      <c r="E1320" s="684"/>
      <c r="F1320" s="683"/>
      <c r="G1320" s="683"/>
      <c r="H1320" s="683"/>
      <c r="I1320" s="683"/>
      <c r="J1320" s="683"/>
      <c r="K1320" s="683"/>
      <c r="L1320" s="685"/>
      <c r="M1320" s="685"/>
      <c r="N1320" s="687"/>
      <c r="O1320" s="683"/>
      <c r="P1320" s="683"/>
      <c r="Q1320" s="686"/>
      <c r="R1320" s="686"/>
      <c r="S1320" s="686"/>
      <c r="T1320" s="686"/>
      <c r="U1320" s="686"/>
      <c r="V1320" s="686"/>
      <c r="W1320" s="686"/>
      <c r="X1320" s="686"/>
      <c r="Y1320" s="686"/>
      <c r="Z1320" s="686"/>
      <c r="AA1320" s="686"/>
      <c r="AB1320" s="686"/>
      <c r="AC1320" s="686"/>
      <c r="AD1320" s="686"/>
      <c r="AE1320" s="686"/>
      <c r="AF1320" s="686"/>
    </row>
    <row r="1321" ht="15.75" customHeight="1">
      <c r="A1321" s="683"/>
      <c r="B1321" s="683"/>
      <c r="C1321" s="684"/>
      <c r="D1321" s="684"/>
      <c r="E1321" s="684"/>
      <c r="F1321" s="683"/>
      <c r="G1321" s="683"/>
      <c r="H1321" s="683"/>
      <c r="I1321" s="683"/>
      <c r="J1321" s="683"/>
      <c r="K1321" s="683"/>
      <c r="L1321" s="685"/>
      <c r="M1321" s="685"/>
      <c r="N1321" s="687"/>
      <c r="O1321" s="683"/>
      <c r="P1321" s="683"/>
      <c r="Q1321" s="686"/>
      <c r="R1321" s="686"/>
      <c r="S1321" s="686"/>
      <c r="T1321" s="686"/>
      <c r="U1321" s="686"/>
      <c r="V1321" s="686"/>
      <c r="W1321" s="686"/>
      <c r="X1321" s="686"/>
      <c r="Y1321" s="686"/>
      <c r="Z1321" s="686"/>
      <c r="AA1321" s="686"/>
      <c r="AB1321" s="686"/>
      <c r="AC1321" s="686"/>
      <c r="AD1321" s="686"/>
      <c r="AE1321" s="686"/>
      <c r="AF1321" s="686"/>
    </row>
    <row r="1322" ht="15.75" customHeight="1">
      <c r="A1322" s="683"/>
      <c r="B1322" s="683"/>
      <c r="C1322" s="684"/>
      <c r="D1322" s="684"/>
      <c r="E1322" s="684"/>
      <c r="F1322" s="683"/>
      <c r="G1322" s="683"/>
      <c r="H1322" s="683"/>
      <c r="I1322" s="683"/>
      <c r="J1322" s="683"/>
      <c r="K1322" s="683"/>
      <c r="L1322" s="685"/>
      <c r="M1322" s="685"/>
      <c r="N1322" s="687"/>
      <c r="O1322" s="683"/>
      <c r="P1322" s="683"/>
      <c r="Q1322" s="686"/>
      <c r="R1322" s="686"/>
      <c r="S1322" s="686"/>
      <c r="T1322" s="686"/>
      <c r="U1322" s="686"/>
      <c r="V1322" s="686"/>
      <c r="W1322" s="686"/>
      <c r="X1322" s="686"/>
      <c r="Y1322" s="686"/>
      <c r="Z1322" s="686"/>
      <c r="AA1322" s="686"/>
      <c r="AB1322" s="686"/>
      <c r="AC1322" s="686"/>
      <c r="AD1322" s="686"/>
      <c r="AE1322" s="686"/>
      <c r="AF1322" s="686"/>
    </row>
    <row r="1323" ht="15.75" customHeight="1">
      <c r="A1323" s="683"/>
      <c r="B1323" s="683"/>
      <c r="C1323" s="684"/>
      <c r="D1323" s="684"/>
      <c r="E1323" s="684"/>
      <c r="F1323" s="683"/>
      <c r="G1323" s="683"/>
      <c r="H1323" s="683"/>
      <c r="I1323" s="683"/>
      <c r="J1323" s="683"/>
      <c r="K1323" s="683"/>
      <c r="L1323" s="685"/>
      <c r="M1323" s="685"/>
      <c r="N1323" s="687"/>
      <c r="O1323" s="683"/>
      <c r="P1323" s="683"/>
      <c r="Q1323" s="686"/>
      <c r="R1323" s="686"/>
      <c r="S1323" s="686"/>
      <c r="T1323" s="686"/>
      <c r="U1323" s="686"/>
      <c r="V1323" s="686"/>
      <c r="W1323" s="686"/>
      <c r="X1323" s="686"/>
      <c r="Y1323" s="686"/>
      <c r="Z1323" s="686"/>
      <c r="AA1323" s="686"/>
      <c r="AB1323" s="686"/>
      <c r="AC1323" s="686"/>
      <c r="AD1323" s="686"/>
      <c r="AE1323" s="686"/>
      <c r="AF1323" s="686"/>
    </row>
    <row r="1324" ht="15.75" customHeight="1">
      <c r="A1324" s="683"/>
      <c r="B1324" s="683"/>
      <c r="C1324" s="684"/>
      <c r="D1324" s="684"/>
      <c r="E1324" s="684"/>
      <c r="F1324" s="683"/>
      <c r="G1324" s="683"/>
      <c r="H1324" s="683"/>
      <c r="I1324" s="683"/>
      <c r="J1324" s="683"/>
      <c r="K1324" s="683"/>
      <c r="L1324" s="685"/>
      <c r="M1324" s="685"/>
      <c r="N1324" s="687"/>
      <c r="O1324" s="683"/>
      <c r="P1324" s="683"/>
      <c r="Q1324" s="686"/>
      <c r="R1324" s="686"/>
      <c r="S1324" s="686"/>
      <c r="T1324" s="686"/>
      <c r="U1324" s="686"/>
      <c r="V1324" s="686"/>
      <c r="W1324" s="686"/>
      <c r="X1324" s="686"/>
      <c r="Y1324" s="686"/>
      <c r="Z1324" s="686"/>
      <c r="AA1324" s="686"/>
      <c r="AB1324" s="686"/>
      <c r="AC1324" s="686"/>
      <c r="AD1324" s="686"/>
      <c r="AE1324" s="686"/>
      <c r="AF1324" s="686"/>
    </row>
    <row r="1325" ht="15.75" customHeight="1">
      <c r="A1325" s="683"/>
      <c r="B1325" s="683"/>
      <c r="C1325" s="684"/>
      <c r="D1325" s="684"/>
      <c r="E1325" s="684"/>
      <c r="F1325" s="683"/>
      <c r="G1325" s="683"/>
      <c r="H1325" s="683"/>
      <c r="I1325" s="683"/>
      <c r="J1325" s="683"/>
      <c r="K1325" s="683"/>
      <c r="L1325" s="685"/>
      <c r="M1325" s="685"/>
      <c r="N1325" s="687"/>
      <c r="O1325" s="683"/>
      <c r="P1325" s="683"/>
      <c r="Q1325" s="686"/>
      <c r="R1325" s="686"/>
      <c r="S1325" s="686"/>
      <c r="T1325" s="686"/>
      <c r="U1325" s="686"/>
      <c r="V1325" s="686"/>
      <c r="W1325" s="686"/>
      <c r="X1325" s="686"/>
      <c r="Y1325" s="686"/>
      <c r="Z1325" s="686"/>
      <c r="AA1325" s="686"/>
      <c r="AB1325" s="686"/>
      <c r="AC1325" s="686"/>
      <c r="AD1325" s="686"/>
      <c r="AE1325" s="686"/>
      <c r="AF1325" s="686"/>
    </row>
    <row r="1326" ht="15.75" customHeight="1">
      <c r="A1326" s="683"/>
      <c r="B1326" s="683"/>
      <c r="C1326" s="684"/>
      <c r="D1326" s="684"/>
      <c r="E1326" s="684"/>
      <c r="F1326" s="683"/>
      <c r="G1326" s="683"/>
      <c r="H1326" s="683"/>
      <c r="I1326" s="683"/>
      <c r="J1326" s="683"/>
      <c r="K1326" s="683"/>
      <c r="L1326" s="685"/>
      <c r="M1326" s="685"/>
      <c r="N1326" s="687"/>
      <c r="O1326" s="683"/>
      <c r="P1326" s="683"/>
      <c r="Q1326" s="686"/>
      <c r="R1326" s="686"/>
      <c r="S1326" s="686"/>
      <c r="T1326" s="686"/>
      <c r="U1326" s="686"/>
      <c r="V1326" s="686"/>
      <c r="W1326" s="686"/>
      <c r="X1326" s="686"/>
      <c r="Y1326" s="686"/>
      <c r="Z1326" s="686"/>
      <c r="AA1326" s="686"/>
      <c r="AB1326" s="686"/>
      <c r="AC1326" s="686"/>
      <c r="AD1326" s="686"/>
      <c r="AE1326" s="686"/>
      <c r="AF1326" s="686"/>
    </row>
    <row r="1327" ht="15.75" customHeight="1">
      <c r="A1327" s="683"/>
      <c r="B1327" s="683"/>
      <c r="C1327" s="684"/>
      <c r="D1327" s="684"/>
      <c r="E1327" s="684"/>
      <c r="F1327" s="683"/>
      <c r="G1327" s="683"/>
      <c r="H1327" s="683"/>
      <c r="I1327" s="683"/>
      <c r="J1327" s="683"/>
      <c r="K1327" s="683"/>
      <c r="L1327" s="685"/>
      <c r="M1327" s="685"/>
      <c r="N1327" s="687"/>
      <c r="O1327" s="683"/>
      <c r="P1327" s="683"/>
      <c r="Q1327" s="686"/>
      <c r="R1327" s="686"/>
      <c r="S1327" s="686"/>
      <c r="T1327" s="686"/>
      <c r="U1327" s="686"/>
      <c r="V1327" s="686"/>
      <c r="W1327" s="686"/>
      <c r="X1327" s="686"/>
      <c r="Y1327" s="686"/>
      <c r="Z1327" s="686"/>
      <c r="AA1327" s="686"/>
      <c r="AB1327" s="686"/>
      <c r="AC1327" s="686"/>
      <c r="AD1327" s="686"/>
      <c r="AE1327" s="686"/>
      <c r="AF1327" s="686"/>
    </row>
    <row r="1328" ht="15.75" customHeight="1">
      <c r="A1328" s="683"/>
      <c r="B1328" s="683"/>
      <c r="C1328" s="684"/>
      <c r="D1328" s="684"/>
      <c r="E1328" s="684"/>
      <c r="F1328" s="683"/>
      <c r="G1328" s="683"/>
      <c r="H1328" s="683"/>
      <c r="I1328" s="683"/>
      <c r="J1328" s="683"/>
      <c r="K1328" s="683"/>
      <c r="L1328" s="685"/>
      <c r="M1328" s="685"/>
      <c r="N1328" s="687"/>
      <c r="O1328" s="683"/>
      <c r="P1328" s="683"/>
      <c r="Q1328" s="686"/>
      <c r="R1328" s="686"/>
      <c r="S1328" s="686"/>
      <c r="T1328" s="686"/>
      <c r="U1328" s="686"/>
      <c r="V1328" s="686"/>
      <c r="W1328" s="686"/>
      <c r="X1328" s="686"/>
      <c r="Y1328" s="686"/>
      <c r="Z1328" s="686"/>
      <c r="AA1328" s="686"/>
      <c r="AB1328" s="686"/>
      <c r="AC1328" s="686"/>
      <c r="AD1328" s="686"/>
      <c r="AE1328" s="686"/>
      <c r="AF1328" s="686"/>
    </row>
    <row r="1329" ht="15.75" customHeight="1">
      <c r="A1329" s="683"/>
      <c r="B1329" s="683"/>
      <c r="C1329" s="684"/>
      <c r="D1329" s="684"/>
      <c r="E1329" s="684"/>
      <c r="F1329" s="683"/>
      <c r="G1329" s="683"/>
      <c r="H1329" s="683"/>
      <c r="I1329" s="683"/>
      <c r="J1329" s="683"/>
      <c r="K1329" s="683"/>
      <c r="L1329" s="685"/>
      <c r="M1329" s="685"/>
      <c r="N1329" s="687"/>
      <c r="O1329" s="683"/>
      <c r="P1329" s="683"/>
      <c r="Q1329" s="686"/>
      <c r="R1329" s="686"/>
      <c r="S1329" s="686"/>
      <c r="T1329" s="686"/>
      <c r="U1329" s="686"/>
      <c r="V1329" s="686"/>
      <c r="W1329" s="686"/>
      <c r="X1329" s="686"/>
      <c r="Y1329" s="686"/>
      <c r="Z1329" s="686"/>
      <c r="AA1329" s="686"/>
      <c r="AB1329" s="686"/>
      <c r="AC1329" s="686"/>
      <c r="AD1329" s="686"/>
      <c r="AE1329" s="686"/>
      <c r="AF1329" s="686"/>
    </row>
    <row r="1330" ht="15.75" customHeight="1">
      <c r="A1330" s="683"/>
      <c r="B1330" s="683"/>
      <c r="C1330" s="684"/>
      <c r="D1330" s="684"/>
      <c r="E1330" s="684"/>
      <c r="F1330" s="683"/>
      <c r="G1330" s="683"/>
      <c r="H1330" s="683"/>
      <c r="I1330" s="683"/>
      <c r="J1330" s="683"/>
      <c r="K1330" s="683"/>
      <c r="L1330" s="685"/>
      <c r="M1330" s="685"/>
      <c r="N1330" s="687"/>
      <c r="O1330" s="683"/>
      <c r="P1330" s="683"/>
      <c r="Q1330" s="686"/>
      <c r="R1330" s="686"/>
      <c r="S1330" s="686"/>
      <c r="T1330" s="686"/>
      <c r="U1330" s="686"/>
      <c r="V1330" s="686"/>
      <c r="W1330" s="686"/>
      <c r="X1330" s="686"/>
      <c r="Y1330" s="686"/>
      <c r="Z1330" s="686"/>
      <c r="AA1330" s="686"/>
      <c r="AB1330" s="686"/>
      <c r="AC1330" s="686"/>
      <c r="AD1330" s="686"/>
      <c r="AE1330" s="686"/>
      <c r="AF1330" s="686"/>
    </row>
    <row r="1331" ht="15.75" customHeight="1">
      <c r="A1331" s="683"/>
      <c r="B1331" s="683"/>
      <c r="C1331" s="684"/>
      <c r="D1331" s="684"/>
      <c r="E1331" s="684"/>
      <c r="F1331" s="683"/>
      <c r="G1331" s="683"/>
      <c r="H1331" s="683"/>
      <c r="I1331" s="683"/>
      <c r="J1331" s="683"/>
      <c r="K1331" s="683"/>
      <c r="L1331" s="685"/>
      <c r="M1331" s="685"/>
      <c r="N1331" s="687"/>
      <c r="O1331" s="683"/>
      <c r="P1331" s="683"/>
      <c r="Q1331" s="686"/>
      <c r="R1331" s="686"/>
      <c r="S1331" s="686"/>
      <c r="T1331" s="686"/>
      <c r="U1331" s="686"/>
      <c r="V1331" s="686"/>
      <c r="W1331" s="686"/>
      <c r="X1331" s="686"/>
      <c r="Y1331" s="686"/>
      <c r="Z1331" s="686"/>
      <c r="AA1331" s="686"/>
      <c r="AB1331" s="686"/>
      <c r="AC1331" s="686"/>
      <c r="AD1331" s="686"/>
      <c r="AE1331" s="686"/>
      <c r="AF1331" s="686"/>
    </row>
    <row r="1332" ht="15.75" customHeight="1">
      <c r="A1332" s="683"/>
      <c r="B1332" s="683"/>
      <c r="C1332" s="684"/>
      <c r="D1332" s="684"/>
      <c r="E1332" s="684"/>
      <c r="F1332" s="683"/>
      <c r="G1332" s="683"/>
      <c r="H1332" s="683"/>
      <c r="I1332" s="683"/>
      <c r="J1332" s="683"/>
      <c r="K1332" s="683"/>
      <c r="L1332" s="685"/>
      <c r="M1332" s="685"/>
      <c r="N1332" s="687"/>
      <c r="O1332" s="683"/>
      <c r="P1332" s="683"/>
      <c r="Q1332" s="686"/>
      <c r="R1332" s="686"/>
      <c r="S1332" s="686"/>
      <c r="T1332" s="686"/>
      <c r="U1332" s="686"/>
      <c r="V1332" s="686"/>
      <c r="W1332" s="686"/>
      <c r="X1332" s="686"/>
      <c r="Y1332" s="686"/>
      <c r="Z1332" s="686"/>
      <c r="AA1332" s="686"/>
      <c r="AB1332" s="686"/>
      <c r="AC1332" s="686"/>
      <c r="AD1332" s="686"/>
      <c r="AE1332" s="686"/>
      <c r="AF1332" s="686"/>
    </row>
    <row r="1333" ht="15.75" customHeight="1">
      <c r="A1333" s="683"/>
      <c r="B1333" s="683"/>
      <c r="C1333" s="684"/>
      <c r="D1333" s="684"/>
      <c r="E1333" s="684"/>
      <c r="F1333" s="683"/>
      <c r="G1333" s="683"/>
      <c r="H1333" s="683"/>
      <c r="I1333" s="683"/>
      <c r="J1333" s="683"/>
      <c r="K1333" s="683"/>
      <c r="L1333" s="685"/>
      <c r="M1333" s="685"/>
      <c r="N1333" s="687"/>
      <c r="O1333" s="683"/>
      <c r="P1333" s="683"/>
      <c r="Q1333" s="686"/>
      <c r="R1333" s="686"/>
      <c r="S1333" s="686"/>
      <c r="T1333" s="686"/>
      <c r="U1333" s="686"/>
      <c r="V1333" s="686"/>
      <c r="W1333" s="686"/>
      <c r="X1333" s="686"/>
      <c r="Y1333" s="686"/>
      <c r="Z1333" s="686"/>
      <c r="AA1333" s="686"/>
      <c r="AB1333" s="686"/>
      <c r="AC1333" s="686"/>
      <c r="AD1333" s="686"/>
      <c r="AE1333" s="686"/>
      <c r="AF1333" s="686"/>
    </row>
    <row r="1334" ht="15.75" customHeight="1">
      <c r="A1334" s="683"/>
      <c r="B1334" s="683"/>
      <c r="C1334" s="684"/>
      <c r="D1334" s="684"/>
      <c r="E1334" s="684"/>
      <c r="F1334" s="683"/>
      <c r="G1334" s="683"/>
      <c r="H1334" s="683"/>
      <c r="I1334" s="683"/>
      <c r="J1334" s="683"/>
      <c r="K1334" s="683"/>
      <c r="L1334" s="685"/>
      <c r="M1334" s="685"/>
      <c r="N1334" s="687"/>
      <c r="O1334" s="683"/>
      <c r="P1334" s="683"/>
      <c r="Q1334" s="686"/>
      <c r="R1334" s="686"/>
      <c r="S1334" s="686"/>
      <c r="T1334" s="686"/>
      <c r="U1334" s="686"/>
      <c r="V1334" s="686"/>
      <c r="W1334" s="686"/>
      <c r="X1334" s="686"/>
      <c r="Y1334" s="686"/>
      <c r="Z1334" s="686"/>
      <c r="AA1334" s="686"/>
      <c r="AB1334" s="686"/>
      <c r="AC1334" s="686"/>
      <c r="AD1334" s="686"/>
      <c r="AE1334" s="686"/>
      <c r="AF1334" s="686"/>
    </row>
    <row r="1335" ht="15.75" customHeight="1">
      <c r="A1335" s="683"/>
      <c r="B1335" s="683"/>
      <c r="C1335" s="684"/>
      <c r="D1335" s="684"/>
      <c r="E1335" s="684"/>
      <c r="F1335" s="683"/>
      <c r="G1335" s="683"/>
      <c r="H1335" s="683"/>
      <c r="I1335" s="683"/>
      <c r="J1335" s="683"/>
      <c r="K1335" s="683"/>
      <c r="L1335" s="685"/>
      <c r="M1335" s="685"/>
      <c r="N1335" s="687"/>
      <c r="O1335" s="683"/>
      <c r="P1335" s="683"/>
      <c r="Q1335" s="686"/>
      <c r="R1335" s="686"/>
      <c r="S1335" s="686"/>
      <c r="T1335" s="686"/>
      <c r="U1335" s="686"/>
      <c r="V1335" s="686"/>
      <c r="W1335" s="686"/>
      <c r="X1335" s="686"/>
      <c r="Y1335" s="686"/>
      <c r="Z1335" s="686"/>
      <c r="AA1335" s="686"/>
      <c r="AB1335" s="686"/>
      <c r="AC1335" s="686"/>
      <c r="AD1335" s="686"/>
      <c r="AE1335" s="686"/>
      <c r="AF1335" s="686"/>
    </row>
    <row r="1336" ht="15.75" customHeight="1">
      <c r="A1336" s="683"/>
      <c r="B1336" s="683"/>
      <c r="C1336" s="684"/>
      <c r="D1336" s="684"/>
      <c r="E1336" s="684"/>
      <c r="F1336" s="683"/>
      <c r="G1336" s="683"/>
      <c r="H1336" s="683"/>
      <c r="I1336" s="683"/>
      <c r="J1336" s="683"/>
      <c r="K1336" s="683"/>
      <c r="L1336" s="685"/>
      <c r="M1336" s="685"/>
      <c r="N1336" s="687"/>
      <c r="O1336" s="683"/>
      <c r="P1336" s="683"/>
      <c r="Q1336" s="686"/>
      <c r="R1336" s="686"/>
      <c r="S1336" s="686"/>
      <c r="T1336" s="686"/>
      <c r="U1336" s="686"/>
      <c r="V1336" s="686"/>
      <c r="W1336" s="686"/>
      <c r="X1336" s="686"/>
      <c r="Y1336" s="686"/>
      <c r="Z1336" s="686"/>
      <c r="AA1336" s="686"/>
      <c r="AB1336" s="686"/>
      <c r="AC1336" s="686"/>
      <c r="AD1336" s="686"/>
      <c r="AE1336" s="686"/>
      <c r="AF1336" s="686"/>
    </row>
    <row r="1337" ht="15.75" customHeight="1">
      <c r="A1337" s="683"/>
      <c r="B1337" s="683"/>
      <c r="C1337" s="684"/>
      <c r="D1337" s="684"/>
      <c r="E1337" s="684"/>
      <c r="F1337" s="683"/>
      <c r="G1337" s="683"/>
      <c r="H1337" s="683"/>
      <c r="I1337" s="683"/>
      <c r="J1337" s="683"/>
      <c r="K1337" s="683"/>
      <c r="L1337" s="685"/>
      <c r="M1337" s="685"/>
      <c r="N1337" s="687"/>
      <c r="O1337" s="683"/>
      <c r="P1337" s="683"/>
      <c r="Q1337" s="686"/>
      <c r="R1337" s="686"/>
      <c r="S1337" s="686"/>
      <c r="T1337" s="686"/>
      <c r="U1337" s="686"/>
      <c r="V1337" s="686"/>
      <c r="W1337" s="686"/>
      <c r="X1337" s="686"/>
      <c r="Y1337" s="686"/>
      <c r="Z1337" s="686"/>
      <c r="AA1337" s="686"/>
      <c r="AB1337" s="686"/>
      <c r="AC1337" s="686"/>
      <c r="AD1337" s="686"/>
      <c r="AE1337" s="686"/>
      <c r="AF1337" s="686"/>
    </row>
    <row r="1338" ht="15.75" customHeight="1">
      <c r="A1338" s="683"/>
      <c r="B1338" s="683"/>
      <c r="C1338" s="684"/>
      <c r="D1338" s="684"/>
      <c r="E1338" s="684"/>
      <c r="F1338" s="683"/>
      <c r="G1338" s="683"/>
      <c r="H1338" s="683"/>
      <c r="I1338" s="683"/>
      <c r="J1338" s="683"/>
      <c r="K1338" s="683"/>
      <c r="L1338" s="685"/>
      <c r="M1338" s="685"/>
      <c r="N1338" s="687"/>
      <c r="O1338" s="683"/>
      <c r="P1338" s="683"/>
      <c r="Q1338" s="686"/>
      <c r="R1338" s="686"/>
      <c r="S1338" s="686"/>
      <c r="T1338" s="686"/>
      <c r="U1338" s="686"/>
      <c r="V1338" s="686"/>
      <c r="W1338" s="686"/>
      <c r="X1338" s="686"/>
      <c r="Y1338" s="686"/>
      <c r="Z1338" s="686"/>
      <c r="AA1338" s="686"/>
      <c r="AB1338" s="686"/>
      <c r="AC1338" s="686"/>
      <c r="AD1338" s="686"/>
      <c r="AE1338" s="686"/>
      <c r="AF1338" s="686"/>
    </row>
    <row r="1339" ht="15.75" customHeight="1">
      <c r="A1339" s="683"/>
      <c r="B1339" s="683"/>
      <c r="C1339" s="684"/>
      <c r="D1339" s="684"/>
      <c r="E1339" s="684"/>
      <c r="F1339" s="683"/>
      <c r="G1339" s="683"/>
      <c r="H1339" s="683"/>
      <c r="I1339" s="683"/>
      <c r="J1339" s="683"/>
      <c r="K1339" s="683"/>
      <c r="L1339" s="685"/>
      <c r="M1339" s="685"/>
      <c r="N1339" s="687"/>
      <c r="O1339" s="683"/>
      <c r="P1339" s="683"/>
      <c r="Q1339" s="686"/>
      <c r="R1339" s="686"/>
      <c r="S1339" s="686"/>
      <c r="T1339" s="686"/>
      <c r="U1339" s="686"/>
      <c r="V1339" s="686"/>
      <c r="W1339" s="686"/>
      <c r="X1339" s="686"/>
      <c r="Y1339" s="686"/>
      <c r="Z1339" s="686"/>
      <c r="AA1339" s="686"/>
      <c r="AB1339" s="686"/>
      <c r="AC1339" s="686"/>
      <c r="AD1339" s="686"/>
      <c r="AE1339" s="686"/>
      <c r="AF1339" s="686"/>
    </row>
    <row r="1340" ht="15.75" customHeight="1">
      <c r="A1340" s="683"/>
      <c r="B1340" s="683"/>
      <c r="C1340" s="684"/>
      <c r="D1340" s="684"/>
      <c r="E1340" s="684"/>
      <c r="F1340" s="683"/>
      <c r="G1340" s="689"/>
      <c r="H1340" s="683"/>
      <c r="I1340" s="683"/>
      <c r="J1340" s="683"/>
      <c r="K1340" s="683"/>
      <c r="L1340" s="685"/>
      <c r="M1340" s="685"/>
      <c r="N1340" s="687"/>
      <c r="O1340" s="683"/>
      <c r="P1340" s="683"/>
      <c r="Q1340" s="686"/>
      <c r="R1340" s="686"/>
      <c r="S1340" s="686"/>
      <c r="T1340" s="686"/>
      <c r="U1340" s="686"/>
      <c r="V1340" s="686"/>
      <c r="W1340" s="686"/>
      <c r="X1340" s="686"/>
      <c r="Y1340" s="686"/>
      <c r="Z1340" s="686"/>
      <c r="AA1340" s="686"/>
      <c r="AB1340" s="686"/>
      <c r="AC1340" s="686"/>
      <c r="AD1340" s="686"/>
      <c r="AE1340" s="686"/>
      <c r="AF1340" s="686"/>
    </row>
    <row r="1341" ht="15.75" customHeight="1">
      <c r="A1341" s="683"/>
      <c r="B1341" s="683"/>
      <c r="C1341" s="684"/>
      <c r="D1341" s="684"/>
      <c r="E1341" s="684"/>
      <c r="F1341" s="683"/>
      <c r="G1341" s="683"/>
      <c r="H1341" s="683"/>
      <c r="I1341" s="683"/>
      <c r="J1341" s="683"/>
      <c r="K1341" s="683"/>
      <c r="L1341" s="685"/>
      <c r="M1341" s="685"/>
      <c r="N1341" s="687"/>
      <c r="O1341" s="683"/>
      <c r="P1341" s="683"/>
      <c r="Q1341" s="686"/>
      <c r="R1341" s="686"/>
      <c r="S1341" s="686"/>
      <c r="T1341" s="686"/>
      <c r="U1341" s="686"/>
      <c r="V1341" s="686"/>
      <c r="W1341" s="686"/>
      <c r="X1341" s="686"/>
      <c r="Y1341" s="686"/>
      <c r="Z1341" s="686"/>
      <c r="AA1341" s="686"/>
      <c r="AB1341" s="686"/>
      <c r="AC1341" s="686"/>
      <c r="AD1341" s="686"/>
      <c r="AE1341" s="686"/>
      <c r="AF1341" s="686"/>
    </row>
    <row r="1342" ht="15.75" customHeight="1">
      <c r="A1342" s="683"/>
      <c r="B1342" s="683"/>
      <c r="C1342" s="684"/>
      <c r="D1342" s="684"/>
      <c r="E1342" s="684"/>
      <c r="F1342" s="683"/>
      <c r="G1342" s="683"/>
      <c r="H1342" s="683"/>
      <c r="I1342" s="683"/>
      <c r="J1342" s="683"/>
      <c r="K1342" s="683"/>
      <c r="L1342" s="685"/>
      <c r="M1342" s="685"/>
      <c r="N1342" s="687"/>
      <c r="O1342" s="683"/>
      <c r="P1342" s="683"/>
      <c r="Q1342" s="686"/>
      <c r="R1342" s="686"/>
      <c r="S1342" s="686"/>
      <c r="T1342" s="686"/>
      <c r="U1342" s="686"/>
      <c r="V1342" s="686"/>
      <c r="W1342" s="686"/>
      <c r="X1342" s="686"/>
      <c r="Y1342" s="686"/>
      <c r="Z1342" s="686"/>
      <c r="AA1342" s="686"/>
      <c r="AB1342" s="686"/>
      <c r="AC1342" s="686"/>
      <c r="AD1342" s="686"/>
      <c r="AE1342" s="686"/>
      <c r="AF1342" s="686"/>
    </row>
    <row r="1343" ht="15.75" customHeight="1">
      <c r="A1343" s="683"/>
      <c r="B1343" s="683"/>
      <c r="C1343" s="684"/>
      <c r="D1343" s="684"/>
      <c r="E1343" s="684"/>
      <c r="F1343" s="683"/>
      <c r="G1343" s="683"/>
      <c r="H1343" s="683"/>
      <c r="I1343" s="683"/>
      <c r="J1343" s="683"/>
      <c r="K1343" s="683"/>
      <c r="L1343" s="685"/>
      <c r="M1343" s="685"/>
      <c r="N1343" s="687"/>
      <c r="O1343" s="683"/>
      <c r="P1343" s="683"/>
      <c r="Q1343" s="686"/>
      <c r="R1343" s="686"/>
      <c r="S1343" s="686"/>
      <c r="T1343" s="686"/>
      <c r="U1343" s="686"/>
      <c r="V1343" s="686"/>
      <c r="W1343" s="686"/>
      <c r="X1343" s="686"/>
      <c r="Y1343" s="686"/>
      <c r="Z1343" s="686"/>
      <c r="AA1343" s="686"/>
      <c r="AB1343" s="686"/>
      <c r="AC1343" s="686"/>
      <c r="AD1343" s="686"/>
      <c r="AE1343" s="686"/>
      <c r="AF1343" s="686"/>
    </row>
    <row r="1344" ht="15.75" customHeight="1">
      <c r="A1344" s="683"/>
      <c r="B1344" s="683"/>
      <c r="C1344" s="684"/>
      <c r="D1344" s="684"/>
      <c r="E1344" s="684"/>
      <c r="F1344" s="683"/>
      <c r="G1344" s="683"/>
      <c r="H1344" s="683"/>
      <c r="I1344" s="683"/>
      <c r="J1344" s="683"/>
      <c r="K1344" s="683"/>
      <c r="L1344" s="685"/>
      <c r="M1344" s="685"/>
      <c r="N1344" s="687"/>
      <c r="O1344" s="683"/>
      <c r="P1344" s="690"/>
      <c r="Q1344" s="686"/>
      <c r="R1344" s="686"/>
      <c r="S1344" s="686"/>
      <c r="T1344" s="686"/>
      <c r="U1344" s="686"/>
      <c r="V1344" s="686"/>
      <c r="W1344" s="686"/>
      <c r="X1344" s="686"/>
      <c r="Y1344" s="686"/>
      <c r="Z1344" s="686"/>
      <c r="AA1344" s="686"/>
      <c r="AB1344" s="686"/>
      <c r="AC1344" s="686"/>
      <c r="AD1344" s="686"/>
      <c r="AE1344" s="686"/>
      <c r="AF1344" s="686"/>
    </row>
    <row r="1345" ht="15.75" customHeight="1">
      <c r="A1345" s="683"/>
      <c r="B1345" s="683"/>
      <c r="C1345" s="684"/>
      <c r="D1345" s="684"/>
      <c r="E1345" s="684"/>
      <c r="F1345" s="683"/>
      <c r="G1345" s="683"/>
      <c r="H1345" s="683"/>
      <c r="I1345" s="683"/>
      <c r="J1345" s="683"/>
      <c r="K1345" s="683"/>
      <c r="L1345" s="685"/>
      <c r="M1345" s="685"/>
      <c r="N1345" s="687"/>
      <c r="O1345" s="683"/>
      <c r="P1345" s="683"/>
      <c r="Q1345" s="686"/>
      <c r="R1345" s="686"/>
      <c r="S1345" s="686"/>
      <c r="T1345" s="686"/>
      <c r="U1345" s="686"/>
      <c r="V1345" s="686"/>
      <c r="W1345" s="686"/>
      <c r="X1345" s="686"/>
      <c r="Y1345" s="686"/>
      <c r="Z1345" s="686"/>
      <c r="AA1345" s="686"/>
      <c r="AB1345" s="686"/>
      <c r="AC1345" s="686"/>
      <c r="AD1345" s="686"/>
      <c r="AE1345" s="686"/>
      <c r="AF1345" s="686"/>
    </row>
    <row r="1346" ht="15.75" customHeight="1">
      <c r="A1346" s="683"/>
      <c r="B1346" s="683"/>
      <c r="C1346" s="684"/>
      <c r="D1346" s="684"/>
      <c r="E1346" s="684"/>
      <c r="F1346" s="683"/>
      <c r="G1346" s="683"/>
      <c r="H1346" s="683"/>
      <c r="I1346" s="683"/>
      <c r="J1346" s="683"/>
      <c r="K1346" s="683"/>
      <c r="L1346" s="685"/>
      <c r="M1346" s="685"/>
      <c r="N1346" s="687"/>
      <c r="O1346" s="683"/>
      <c r="P1346" s="683"/>
      <c r="Q1346" s="686"/>
      <c r="R1346" s="686"/>
      <c r="S1346" s="686"/>
      <c r="T1346" s="686"/>
      <c r="U1346" s="686"/>
      <c r="V1346" s="686"/>
      <c r="W1346" s="686"/>
      <c r="X1346" s="686"/>
      <c r="Y1346" s="686"/>
      <c r="Z1346" s="686"/>
      <c r="AA1346" s="686"/>
      <c r="AB1346" s="686"/>
      <c r="AC1346" s="686"/>
      <c r="AD1346" s="686"/>
      <c r="AE1346" s="686"/>
      <c r="AF1346" s="686"/>
    </row>
    <row r="1347" ht="15.75" customHeight="1">
      <c r="A1347" s="683"/>
      <c r="B1347" s="683"/>
      <c r="C1347" s="684"/>
      <c r="D1347" s="684"/>
      <c r="E1347" s="684"/>
      <c r="F1347" s="683"/>
      <c r="G1347" s="683"/>
      <c r="H1347" s="683"/>
      <c r="I1347" s="683"/>
      <c r="J1347" s="683"/>
      <c r="K1347" s="683"/>
      <c r="L1347" s="685"/>
      <c r="M1347" s="685"/>
      <c r="N1347" s="687"/>
      <c r="O1347" s="683"/>
      <c r="P1347" s="683"/>
      <c r="Q1347" s="686"/>
      <c r="R1347" s="686"/>
      <c r="S1347" s="686"/>
      <c r="T1347" s="686"/>
      <c r="U1347" s="686"/>
      <c r="V1347" s="686"/>
      <c r="W1347" s="686"/>
      <c r="X1347" s="686"/>
      <c r="Y1347" s="686"/>
      <c r="Z1347" s="686"/>
      <c r="AA1347" s="686"/>
      <c r="AB1347" s="686"/>
      <c r="AC1347" s="686"/>
      <c r="AD1347" s="686"/>
      <c r="AE1347" s="686"/>
      <c r="AF1347" s="686"/>
    </row>
    <row r="1348" ht="15.75" customHeight="1">
      <c r="A1348" s="683"/>
      <c r="B1348" s="683"/>
      <c r="C1348" s="684"/>
      <c r="D1348" s="684"/>
      <c r="E1348" s="684"/>
      <c r="F1348" s="683"/>
      <c r="G1348" s="683"/>
      <c r="H1348" s="683"/>
      <c r="I1348" s="683"/>
      <c r="J1348" s="683"/>
      <c r="K1348" s="683"/>
      <c r="L1348" s="685"/>
      <c r="M1348" s="685"/>
      <c r="N1348" s="687"/>
      <c r="O1348" s="683"/>
      <c r="P1348" s="683"/>
      <c r="Q1348" s="686"/>
      <c r="R1348" s="686"/>
      <c r="S1348" s="686"/>
      <c r="T1348" s="686"/>
      <c r="U1348" s="686"/>
      <c r="V1348" s="686"/>
      <c r="W1348" s="686"/>
      <c r="X1348" s="686"/>
      <c r="Y1348" s="686"/>
      <c r="Z1348" s="686"/>
      <c r="AA1348" s="686"/>
      <c r="AB1348" s="686"/>
      <c r="AC1348" s="686"/>
      <c r="AD1348" s="686"/>
      <c r="AE1348" s="686"/>
      <c r="AF1348" s="686"/>
    </row>
    <row r="1349" ht="15.75" customHeight="1">
      <c r="A1349" s="683"/>
      <c r="B1349" s="683"/>
      <c r="C1349" s="684"/>
      <c r="D1349" s="684"/>
      <c r="E1349" s="684"/>
      <c r="F1349" s="683"/>
      <c r="G1349" s="683"/>
      <c r="H1349" s="683"/>
      <c r="I1349" s="683"/>
      <c r="J1349" s="683"/>
      <c r="K1349" s="683"/>
      <c r="L1349" s="685"/>
      <c r="M1349" s="685"/>
      <c r="N1349" s="687"/>
      <c r="O1349" s="683"/>
      <c r="P1349" s="683"/>
      <c r="Q1349" s="686"/>
      <c r="R1349" s="686"/>
      <c r="S1349" s="686"/>
      <c r="T1349" s="686"/>
      <c r="U1349" s="686"/>
      <c r="V1349" s="686"/>
      <c r="W1349" s="686"/>
      <c r="X1349" s="686"/>
      <c r="Y1349" s="686"/>
      <c r="Z1349" s="686"/>
      <c r="AA1349" s="686"/>
      <c r="AB1349" s="686"/>
      <c r="AC1349" s="686"/>
      <c r="AD1349" s="686"/>
      <c r="AE1349" s="686"/>
      <c r="AF1349" s="686"/>
    </row>
    <row r="1350" ht="15.75" customHeight="1">
      <c r="A1350" s="683"/>
      <c r="B1350" s="683"/>
      <c r="C1350" s="684"/>
      <c r="D1350" s="684"/>
      <c r="E1350" s="684"/>
      <c r="F1350" s="683"/>
      <c r="G1350" s="683"/>
      <c r="H1350" s="683"/>
      <c r="I1350" s="683"/>
      <c r="J1350" s="683"/>
      <c r="K1350" s="683"/>
      <c r="L1350" s="685"/>
      <c r="M1350" s="685"/>
      <c r="N1350" s="687"/>
      <c r="O1350" s="683"/>
      <c r="P1350" s="683"/>
      <c r="Q1350" s="686"/>
      <c r="R1350" s="686"/>
      <c r="S1350" s="686"/>
      <c r="T1350" s="686"/>
      <c r="U1350" s="686"/>
      <c r="V1350" s="686"/>
      <c r="W1350" s="686"/>
      <c r="X1350" s="686"/>
      <c r="Y1350" s="686"/>
      <c r="Z1350" s="686"/>
      <c r="AA1350" s="686"/>
      <c r="AB1350" s="686"/>
      <c r="AC1350" s="686"/>
      <c r="AD1350" s="686"/>
      <c r="AE1350" s="686"/>
      <c r="AF1350" s="686"/>
    </row>
    <row r="1351" ht="15.75" customHeight="1">
      <c r="A1351" s="683"/>
      <c r="B1351" s="683"/>
      <c r="C1351" s="684"/>
      <c r="D1351" s="684"/>
      <c r="E1351" s="684"/>
      <c r="F1351" s="683"/>
      <c r="G1351" s="683"/>
      <c r="H1351" s="683"/>
      <c r="I1351" s="683"/>
      <c r="J1351" s="683"/>
      <c r="K1351" s="683"/>
      <c r="L1351" s="685"/>
      <c r="M1351" s="685"/>
      <c r="N1351" s="687"/>
      <c r="O1351" s="683"/>
      <c r="P1351" s="683"/>
      <c r="Q1351" s="686"/>
      <c r="R1351" s="686"/>
      <c r="S1351" s="686"/>
      <c r="T1351" s="686"/>
      <c r="U1351" s="686"/>
      <c r="V1351" s="686"/>
      <c r="W1351" s="686"/>
      <c r="X1351" s="686"/>
      <c r="Y1351" s="686"/>
      <c r="Z1351" s="686"/>
      <c r="AA1351" s="686"/>
      <c r="AB1351" s="686"/>
      <c r="AC1351" s="686"/>
      <c r="AD1351" s="686"/>
      <c r="AE1351" s="686"/>
      <c r="AF1351" s="686"/>
    </row>
    <row r="1352" ht="15.75" customHeight="1">
      <c r="A1352" s="683"/>
      <c r="B1352" s="683"/>
      <c r="C1352" s="684"/>
      <c r="D1352" s="684"/>
      <c r="E1352" s="684"/>
      <c r="F1352" s="683"/>
      <c r="G1352" s="683"/>
      <c r="H1352" s="683"/>
      <c r="I1352" s="683"/>
      <c r="J1352" s="683"/>
      <c r="K1352" s="683"/>
      <c r="L1352" s="685"/>
      <c r="M1352" s="685"/>
      <c r="N1352" s="687"/>
      <c r="O1352" s="683"/>
      <c r="P1352" s="683"/>
      <c r="Q1352" s="686"/>
      <c r="R1352" s="686"/>
      <c r="S1352" s="686"/>
      <c r="T1352" s="686"/>
      <c r="U1352" s="686"/>
      <c r="V1352" s="686"/>
      <c r="W1352" s="686"/>
      <c r="X1352" s="686"/>
      <c r="Y1352" s="686"/>
      <c r="Z1352" s="686"/>
      <c r="AA1352" s="686"/>
      <c r="AB1352" s="686"/>
      <c r="AC1352" s="686"/>
      <c r="AD1352" s="686"/>
      <c r="AE1352" s="686"/>
      <c r="AF1352" s="686"/>
    </row>
    <row r="1353" ht="15.75" customHeight="1">
      <c r="A1353" s="683"/>
      <c r="B1353" s="683"/>
      <c r="C1353" s="684"/>
      <c r="D1353" s="684"/>
      <c r="E1353" s="684"/>
      <c r="F1353" s="683"/>
      <c r="G1353" s="683"/>
      <c r="H1353" s="683"/>
      <c r="I1353" s="683"/>
      <c r="J1353" s="683"/>
      <c r="K1353" s="683"/>
      <c r="L1353" s="685"/>
      <c r="M1353" s="685"/>
      <c r="N1353" s="687"/>
      <c r="O1353" s="683"/>
      <c r="P1353" s="690"/>
      <c r="Q1353" s="686"/>
      <c r="R1353" s="686"/>
      <c r="S1353" s="686"/>
      <c r="T1353" s="686"/>
      <c r="U1353" s="686"/>
      <c r="V1353" s="686"/>
      <c r="W1353" s="686"/>
      <c r="X1353" s="686"/>
      <c r="Y1353" s="686"/>
      <c r="Z1353" s="686"/>
      <c r="AA1353" s="686"/>
      <c r="AB1353" s="686"/>
      <c r="AC1353" s="686"/>
      <c r="AD1353" s="686"/>
      <c r="AE1353" s="686"/>
      <c r="AF1353" s="686"/>
    </row>
    <row r="1354" ht="15.75" customHeight="1">
      <c r="A1354" s="683"/>
      <c r="B1354" s="683"/>
      <c r="C1354" s="684"/>
      <c r="D1354" s="684"/>
      <c r="E1354" s="684"/>
      <c r="F1354" s="683"/>
      <c r="G1354" s="683"/>
      <c r="H1354" s="683"/>
      <c r="I1354" s="683"/>
      <c r="J1354" s="683"/>
      <c r="K1354" s="683"/>
      <c r="L1354" s="685"/>
      <c r="M1354" s="685"/>
      <c r="N1354" s="687"/>
      <c r="O1354" s="683"/>
      <c r="P1354" s="683"/>
      <c r="Q1354" s="686"/>
      <c r="R1354" s="686"/>
      <c r="S1354" s="686"/>
      <c r="T1354" s="686"/>
      <c r="U1354" s="686"/>
      <c r="V1354" s="686"/>
      <c r="W1354" s="686"/>
      <c r="X1354" s="686"/>
      <c r="Y1354" s="686"/>
      <c r="Z1354" s="686"/>
      <c r="AA1354" s="686"/>
      <c r="AB1354" s="686"/>
      <c r="AC1354" s="686"/>
      <c r="AD1354" s="686"/>
      <c r="AE1354" s="686"/>
      <c r="AF1354" s="686"/>
    </row>
    <row r="1355" ht="15.75" customHeight="1">
      <c r="A1355" s="683"/>
      <c r="B1355" s="683"/>
      <c r="C1355" s="684"/>
      <c r="D1355" s="684"/>
      <c r="E1355" s="684"/>
      <c r="F1355" s="683"/>
      <c r="G1355" s="683"/>
      <c r="H1355" s="683"/>
      <c r="I1355" s="683"/>
      <c r="J1355" s="683"/>
      <c r="K1355" s="683"/>
      <c r="L1355" s="685"/>
      <c r="M1355" s="685"/>
      <c r="N1355" s="687"/>
      <c r="O1355" s="683"/>
      <c r="P1355" s="683"/>
      <c r="Q1355" s="686"/>
      <c r="R1355" s="686"/>
      <c r="S1355" s="686"/>
      <c r="T1355" s="686"/>
      <c r="U1355" s="686"/>
      <c r="V1355" s="686"/>
      <c r="W1355" s="686"/>
      <c r="X1355" s="686"/>
      <c r="Y1355" s="686"/>
      <c r="Z1355" s="686"/>
      <c r="AA1355" s="686"/>
      <c r="AB1355" s="686"/>
      <c r="AC1355" s="686"/>
      <c r="AD1355" s="686"/>
      <c r="AE1355" s="686"/>
      <c r="AF1355" s="686"/>
    </row>
    <row r="1356" ht="15.75" customHeight="1">
      <c r="A1356" s="683"/>
      <c r="B1356" s="683"/>
      <c r="C1356" s="684"/>
      <c r="D1356" s="684"/>
      <c r="E1356" s="684"/>
      <c r="F1356" s="683"/>
      <c r="G1356" s="683"/>
      <c r="H1356" s="683"/>
      <c r="I1356" s="683"/>
      <c r="J1356" s="683"/>
      <c r="K1356" s="683"/>
      <c r="L1356" s="685"/>
      <c r="M1356" s="685"/>
      <c r="N1356" s="687"/>
      <c r="O1356" s="683"/>
      <c r="P1356" s="683"/>
      <c r="Q1356" s="686"/>
      <c r="R1356" s="686"/>
      <c r="S1356" s="686"/>
      <c r="T1356" s="686"/>
      <c r="U1356" s="686"/>
      <c r="V1356" s="686"/>
      <c r="W1356" s="686"/>
      <c r="X1356" s="686"/>
      <c r="Y1356" s="686"/>
      <c r="Z1356" s="686"/>
      <c r="AA1356" s="686"/>
      <c r="AB1356" s="686"/>
      <c r="AC1356" s="686"/>
      <c r="AD1356" s="686"/>
      <c r="AE1356" s="686"/>
      <c r="AF1356" s="686"/>
    </row>
    <row r="1357" ht="15.75" customHeight="1">
      <c r="A1357" s="683"/>
      <c r="B1357" s="683"/>
      <c r="C1357" s="684"/>
      <c r="D1357" s="684"/>
      <c r="E1357" s="684"/>
      <c r="F1357" s="683"/>
      <c r="G1357" s="683"/>
      <c r="H1357" s="683"/>
      <c r="I1357" s="683"/>
      <c r="J1357" s="683"/>
      <c r="K1357" s="683"/>
      <c r="L1357" s="685"/>
      <c r="M1357" s="685"/>
      <c r="N1357" s="687"/>
      <c r="O1357" s="683"/>
      <c r="P1357" s="683"/>
      <c r="Q1357" s="686"/>
      <c r="R1357" s="686"/>
      <c r="S1357" s="686"/>
      <c r="T1357" s="686"/>
      <c r="U1357" s="686"/>
      <c r="V1357" s="686"/>
      <c r="W1357" s="686"/>
      <c r="X1357" s="686"/>
      <c r="Y1357" s="686"/>
      <c r="Z1357" s="686"/>
      <c r="AA1357" s="686"/>
      <c r="AB1357" s="686"/>
      <c r="AC1357" s="686"/>
      <c r="AD1357" s="686"/>
      <c r="AE1357" s="686"/>
      <c r="AF1357" s="686"/>
    </row>
    <row r="1358" ht="15.75" customHeight="1">
      <c r="A1358" s="683"/>
      <c r="B1358" s="683"/>
      <c r="C1358" s="684"/>
      <c r="D1358" s="684"/>
      <c r="E1358" s="684"/>
      <c r="F1358" s="683"/>
      <c r="G1358" s="683"/>
      <c r="H1358" s="683"/>
      <c r="I1358" s="683"/>
      <c r="J1358" s="683"/>
      <c r="K1358" s="683"/>
      <c r="L1358" s="685"/>
      <c r="M1358" s="685"/>
      <c r="N1358" s="687"/>
      <c r="O1358" s="683"/>
      <c r="P1358" s="683"/>
      <c r="Q1358" s="686"/>
      <c r="R1358" s="686"/>
      <c r="S1358" s="686"/>
      <c r="T1358" s="686"/>
      <c r="U1358" s="686"/>
      <c r="V1358" s="686"/>
      <c r="W1358" s="686"/>
      <c r="X1358" s="686"/>
      <c r="Y1358" s="686"/>
      <c r="Z1358" s="686"/>
      <c r="AA1358" s="686"/>
      <c r="AB1358" s="686"/>
      <c r="AC1358" s="686"/>
      <c r="AD1358" s="686"/>
      <c r="AE1358" s="686"/>
      <c r="AF1358" s="686"/>
    </row>
    <row r="1359" ht="15.75" customHeight="1">
      <c r="A1359" s="683"/>
      <c r="B1359" s="683"/>
      <c r="C1359" s="684"/>
      <c r="D1359" s="684"/>
      <c r="E1359" s="684"/>
      <c r="F1359" s="683"/>
      <c r="G1359" s="683"/>
      <c r="H1359" s="683"/>
      <c r="I1359" s="683"/>
      <c r="J1359" s="683"/>
      <c r="K1359" s="683"/>
      <c r="L1359" s="685"/>
      <c r="M1359" s="685"/>
      <c r="N1359" s="687"/>
      <c r="O1359" s="683"/>
      <c r="P1359" s="683"/>
      <c r="Q1359" s="686"/>
      <c r="R1359" s="686"/>
      <c r="S1359" s="686"/>
      <c r="T1359" s="686"/>
      <c r="U1359" s="686"/>
      <c r="V1359" s="686"/>
      <c r="W1359" s="686"/>
      <c r="X1359" s="686"/>
      <c r="Y1359" s="686"/>
      <c r="Z1359" s="686"/>
      <c r="AA1359" s="686"/>
      <c r="AB1359" s="686"/>
      <c r="AC1359" s="686"/>
      <c r="AD1359" s="686"/>
      <c r="AE1359" s="686"/>
      <c r="AF1359" s="686"/>
    </row>
    <row r="1360" ht="15.75" customHeight="1">
      <c r="A1360" s="683"/>
      <c r="B1360" s="683"/>
      <c r="C1360" s="684"/>
      <c r="D1360" s="684"/>
      <c r="E1360" s="684"/>
      <c r="F1360" s="683"/>
      <c r="G1360" s="683"/>
      <c r="H1360" s="683"/>
      <c r="I1360" s="683"/>
      <c r="J1360" s="683"/>
      <c r="K1360" s="683"/>
      <c r="L1360" s="685"/>
      <c r="M1360" s="685"/>
      <c r="N1360" s="687"/>
      <c r="O1360" s="683"/>
      <c r="P1360" s="683"/>
      <c r="Q1360" s="686"/>
      <c r="R1360" s="686"/>
      <c r="S1360" s="686"/>
      <c r="T1360" s="686"/>
      <c r="U1360" s="686"/>
      <c r="V1360" s="686"/>
      <c r="W1360" s="686"/>
      <c r="X1360" s="686"/>
      <c r="Y1360" s="686"/>
      <c r="Z1360" s="686"/>
      <c r="AA1360" s="686"/>
      <c r="AB1360" s="686"/>
      <c r="AC1360" s="686"/>
      <c r="AD1360" s="686"/>
      <c r="AE1360" s="686"/>
      <c r="AF1360" s="686"/>
    </row>
    <row r="1361" ht="15.75" customHeight="1">
      <c r="A1361" s="683"/>
      <c r="B1361" s="683"/>
      <c r="C1361" s="684"/>
      <c r="D1361" s="684"/>
      <c r="E1361" s="684"/>
      <c r="F1361" s="683"/>
      <c r="G1361" s="683"/>
      <c r="H1361" s="683"/>
      <c r="I1361" s="683"/>
      <c r="J1361" s="683"/>
      <c r="K1361" s="683"/>
      <c r="L1361" s="685"/>
      <c r="M1361" s="685"/>
      <c r="N1361" s="687"/>
      <c r="O1361" s="683"/>
      <c r="P1361" s="683"/>
      <c r="Q1361" s="686"/>
      <c r="R1361" s="686"/>
      <c r="S1361" s="686"/>
      <c r="T1361" s="686"/>
      <c r="U1361" s="686"/>
      <c r="V1361" s="686"/>
      <c r="W1361" s="686"/>
      <c r="X1361" s="686"/>
      <c r="Y1361" s="686"/>
      <c r="Z1361" s="686"/>
      <c r="AA1361" s="686"/>
      <c r="AB1361" s="686"/>
      <c r="AC1361" s="686"/>
      <c r="AD1361" s="686"/>
      <c r="AE1361" s="686"/>
      <c r="AF1361" s="686"/>
    </row>
    <row r="1362" ht="15.75" customHeight="1">
      <c r="A1362" s="683"/>
      <c r="B1362" s="683"/>
      <c r="C1362" s="684"/>
      <c r="D1362" s="684"/>
      <c r="E1362" s="684"/>
      <c r="F1362" s="683"/>
      <c r="G1362" s="683"/>
      <c r="H1362" s="683"/>
      <c r="I1362" s="683"/>
      <c r="J1362" s="683"/>
      <c r="K1362" s="683"/>
      <c r="L1362" s="685"/>
      <c r="M1362" s="685"/>
      <c r="N1362" s="687"/>
      <c r="O1362" s="683"/>
      <c r="P1362" s="683"/>
      <c r="Q1362" s="686"/>
      <c r="R1362" s="686"/>
      <c r="S1362" s="686"/>
      <c r="T1362" s="686"/>
      <c r="U1362" s="686"/>
      <c r="V1362" s="686"/>
      <c r="W1362" s="686"/>
      <c r="X1362" s="686"/>
      <c r="Y1362" s="686"/>
      <c r="Z1362" s="686"/>
      <c r="AA1362" s="686"/>
      <c r="AB1362" s="686"/>
      <c r="AC1362" s="686"/>
      <c r="AD1362" s="686"/>
      <c r="AE1362" s="686"/>
      <c r="AF1362" s="686"/>
    </row>
    <row r="1363" ht="15.75" customHeight="1">
      <c r="A1363" s="683"/>
      <c r="B1363" s="683"/>
      <c r="C1363" s="684"/>
      <c r="D1363" s="684"/>
      <c r="E1363" s="684"/>
      <c r="F1363" s="683"/>
      <c r="G1363" s="683"/>
      <c r="H1363" s="683"/>
      <c r="I1363" s="683"/>
      <c r="J1363" s="683"/>
      <c r="K1363" s="683"/>
      <c r="L1363" s="685"/>
      <c r="M1363" s="685"/>
      <c r="N1363" s="687"/>
      <c r="O1363" s="683"/>
      <c r="P1363" s="683"/>
      <c r="Q1363" s="686"/>
      <c r="R1363" s="686"/>
      <c r="S1363" s="686"/>
      <c r="T1363" s="686"/>
      <c r="U1363" s="686"/>
      <c r="V1363" s="686"/>
      <c r="W1363" s="686"/>
      <c r="X1363" s="686"/>
      <c r="Y1363" s="686"/>
      <c r="Z1363" s="686"/>
      <c r="AA1363" s="686"/>
      <c r="AB1363" s="686"/>
      <c r="AC1363" s="686"/>
      <c r="AD1363" s="686"/>
      <c r="AE1363" s="686"/>
      <c r="AF1363" s="686"/>
    </row>
    <row r="1364" ht="15.75" customHeight="1">
      <c r="A1364" s="683"/>
      <c r="B1364" s="683"/>
      <c r="C1364" s="684"/>
      <c r="D1364" s="684"/>
      <c r="E1364" s="684"/>
      <c r="F1364" s="683"/>
      <c r="G1364" s="683"/>
      <c r="H1364" s="683"/>
      <c r="I1364" s="683"/>
      <c r="J1364" s="683"/>
      <c r="K1364" s="683"/>
      <c r="L1364" s="685"/>
      <c r="M1364" s="685"/>
      <c r="N1364" s="687"/>
      <c r="O1364" s="683"/>
      <c r="P1364" s="683"/>
      <c r="Q1364" s="686"/>
      <c r="R1364" s="686"/>
      <c r="S1364" s="686"/>
      <c r="T1364" s="686"/>
      <c r="U1364" s="686"/>
      <c r="V1364" s="686"/>
      <c r="W1364" s="686"/>
      <c r="X1364" s="686"/>
      <c r="Y1364" s="686"/>
      <c r="Z1364" s="686"/>
      <c r="AA1364" s="686"/>
      <c r="AB1364" s="686"/>
      <c r="AC1364" s="686"/>
      <c r="AD1364" s="686"/>
      <c r="AE1364" s="686"/>
      <c r="AF1364" s="686"/>
    </row>
    <row r="1365" ht="15.75" customHeight="1">
      <c r="A1365" s="683"/>
      <c r="B1365" s="683"/>
      <c r="C1365" s="684"/>
      <c r="D1365" s="684"/>
      <c r="E1365" s="684"/>
      <c r="F1365" s="683"/>
      <c r="G1365" s="683"/>
      <c r="H1365" s="683"/>
      <c r="I1365" s="683"/>
      <c r="J1365" s="683"/>
      <c r="K1365" s="683"/>
      <c r="L1365" s="685"/>
      <c r="M1365" s="685"/>
      <c r="N1365" s="687"/>
      <c r="O1365" s="683"/>
      <c r="P1365" s="683"/>
      <c r="Q1365" s="686"/>
      <c r="R1365" s="686"/>
      <c r="S1365" s="686"/>
      <c r="T1365" s="686"/>
      <c r="U1365" s="686"/>
      <c r="V1365" s="686"/>
      <c r="W1365" s="686"/>
      <c r="X1365" s="686"/>
      <c r="Y1365" s="686"/>
      <c r="Z1365" s="686"/>
      <c r="AA1365" s="686"/>
      <c r="AB1365" s="686"/>
      <c r="AC1365" s="686"/>
      <c r="AD1365" s="686"/>
      <c r="AE1365" s="686"/>
      <c r="AF1365" s="686"/>
    </row>
    <row r="1366" ht="15.75" customHeight="1">
      <c r="A1366" s="683"/>
      <c r="B1366" s="683"/>
      <c r="C1366" s="684"/>
      <c r="D1366" s="684"/>
      <c r="E1366" s="684"/>
      <c r="F1366" s="683"/>
      <c r="G1366" s="683"/>
      <c r="H1366" s="683"/>
      <c r="I1366" s="683"/>
      <c r="J1366" s="683"/>
      <c r="K1366" s="683"/>
      <c r="L1366" s="685"/>
      <c r="M1366" s="685"/>
      <c r="N1366" s="687"/>
      <c r="O1366" s="683"/>
      <c r="P1366" s="683"/>
      <c r="Q1366" s="686"/>
      <c r="R1366" s="686"/>
      <c r="S1366" s="686"/>
      <c r="T1366" s="686"/>
      <c r="U1366" s="686"/>
      <c r="V1366" s="686"/>
      <c r="W1366" s="686"/>
      <c r="X1366" s="686"/>
      <c r="Y1366" s="686"/>
      <c r="Z1366" s="686"/>
      <c r="AA1366" s="686"/>
      <c r="AB1366" s="686"/>
      <c r="AC1366" s="686"/>
      <c r="AD1366" s="686"/>
      <c r="AE1366" s="686"/>
      <c r="AF1366" s="686"/>
    </row>
    <row r="1367" ht="15.75" customHeight="1">
      <c r="A1367" s="683"/>
      <c r="B1367" s="683"/>
      <c r="C1367" s="684"/>
      <c r="D1367" s="684"/>
      <c r="E1367" s="684"/>
      <c r="F1367" s="683"/>
      <c r="G1367" s="683"/>
      <c r="H1367" s="683"/>
      <c r="I1367" s="683"/>
      <c r="J1367" s="683"/>
      <c r="K1367" s="683"/>
      <c r="L1367" s="685"/>
      <c r="M1367" s="685"/>
      <c r="N1367" s="687"/>
      <c r="O1367" s="683"/>
      <c r="P1367" s="683"/>
      <c r="Q1367" s="686"/>
      <c r="R1367" s="686"/>
      <c r="S1367" s="686"/>
      <c r="T1367" s="686"/>
      <c r="U1367" s="686"/>
      <c r="V1367" s="686"/>
      <c r="W1367" s="686"/>
      <c r="X1367" s="686"/>
      <c r="Y1367" s="686"/>
      <c r="Z1367" s="686"/>
      <c r="AA1367" s="686"/>
      <c r="AB1367" s="686"/>
      <c r="AC1367" s="686"/>
      <c r="AD1367" s="686"/>
      <c r="AE1367" s="686"/>
      <c r="AF1367" s="686"/>
    </row>
    <row r="1368" ht="15.75" customHeight="1">
      <c r="A1368" s="683"/>
      <c r="B1368" s="683"/>
      <c r="C1368" s="684"/>
      <c r="D1368" s="684"/>
      <c r="E1368" s="684"/>
      <c r="F1368" s="683"/>
      <c r="G1368" s="683"/>
      <c r="H1368" s="683"/>
      <c r="I1368" s="683"/>
      <c r="J1368" s="683"/>
      <c r="K1368" s="683"/>
      <c r="L1368" s="685"/>
      <c r="M1368" s="685"/>
      <c r="N1368" s="687"/>
      <c r="O1368" s="683"/>
      <c r="P1368" s="683"/>
      <c r="Q1368" s="686"/>
      <c r="R1368" s="686"/>
      <c r="S1368" s="686"/>
      <c r="T1368" s="686"/>
      <c r="U1368" s="686"/>
      <c r="V1368" s="686"/>
      <c r="W1368" s="686"/>
      <c r="X1368" s="686"/>
      <c r="Y1368" s="686"/>
      <c r="Z1368" s="686"/>
      <c r="AA1368" s="686"/>
      <c r="AB1368" s="686"/>
      <c r="AC1368" s="686"/>
      <c r="AD1368" s="686"/>
      <c r="AE1368" s="686"/>
      <c r="AF1368" s="686"/>
    </row>
    <row r="1369" ht="15.75" customHeight="1">
      <c r="A1369" s="683"/>
      <c r="B1369" s="683"/>
      <c r="C1369" s="684"/>
      <c r="D1369" s="684"/>
      <c r="E1369" s="684"/>
      <c r="F1369" s="683"/>
      <c r="G1369" s="683"/>
      <c r="H1369" s="683"/>
      <c r="I1369" s="683"/>
      <c r="J1369" s="683"/>
      <c r="K1369" s="683"/>
      <c r="L1369" s="685"/>
      <c r="M1369" s="685"/>
      <c r="N1369" s="687"/>
      <c r="O1369" s="683"/>
      <c r="P1369" s="683"/>
      <c r="Q1369" s="686"/>
      <c r="R1369" s="686"/>
      <c r="S1369" s="686"/>
      <c r="T1369" s="686"/>
      <c r="U1369" s="686"/>
      <c r="V1369" s="686"/>
      <c r="W1369" s="686"/>
      <c r="X1369" s="686"/>
      <c r="Y1369" s="686"/>
      <c r="Z1369" s="686"/>
      <c r="AA1369" s="686"/>
      <c r="AB1369" s="686"/>
      <c r="AC1369" s="686"/>
      <c r="AD1369" s="686"/>
      <c r="AE1369" s="686"/>
      <c r="AF1369" s="686"/>
    </row>
    <row r="1370" ht="15.75" customHeight="1">
      <c r="A1370" s="683"/>
      <c r="B1370" s="683"/>
      <c r="C1370" s="684"/>
      <c r="D1370" s="684"/>
      <c r="E1370" s="684"/>
      <c r="F1370" s="683"/>
      <c r="G1370" s="683"/>
      <c r="H1370" s="683"/>
      <c r="I1370" s="683"/>
      <c r="J1370" s="683"/>
      <c r="K1370" s="683"/>
      <c r="L1370" s="685"/>
      <c r="M1370" s="685"/>
      <c r="N1370" s="687"/>
      <c r="O1370" s="683"/>
      <c r="P1370" s="683"/>
      <c r="Q1370" s="686"/>
      <c r="R1370" s="686"/>
      <c r="S1370" s="686"/>
      <c r="T1370" s="686"/>
      <c r="U1370" s="686"/>
      <c r="V1370" s="686"/>
      <c r="W1370" s="686"/>
      <c r="X1370" s="686"/>
      <c r="Y1370" s="686"/>
      <c r="Z1370" s="686"/>
      <c r="AA1370" s="686"/>
      <c r="AB1370" s="686"/>
      <c r="AC1370" s="686"/>
      <c r="AD1370" s="686"/>
      <c r="AE1370" s="686"/>
      <c r="AF1370" s="686"/>
    </row>
    <row r="1371" ht="15.75" customHeight="1">
      <c r="A1371" s="683"/>
      <c r="B1371" s="683"/>
      <c r="C1371" s="684"/>
      <c r="D1371" s="684"/>
      <c r="E1371" s="684"/>
      <c r="F1371" s="683"/>
      <c r="G1371" s="683"/>
      <c r="H1371" s="683"/>
      <c r="I1371" s="683"/>
      <c r="J1371" s="683"/>
      <c r="K1371" s="683"/>
      <c r="L1371" s="685"/>
      <c r="M1371" s="685"/>
      <c r="N1371" s="687"/>
      <c r="O1371" s="683"/>
      <c r="P1371" s="683"/>
      <c r="Q1371" s="686"/>
      <c r="R1371" s="686"/>
      <c r="S1371" s="686"/>
      <c r="T1371" s="686"/>
      <c r="U1371" s="686"/>
      <c r="V1371" s="686"/>
      <c r="W1371" s="686"/>
      <c r="X1371" s="686"/>
      <c r="Y1371" s="686"/>
      <c r="Z1371" s="686"/>
      <c r="AA1371" s="686"/>
      <c r="AB1371" s="686"/>
      <c r="AC1371" s="686"/>
      <c r="AD1371" s="686"/>
      <c r="AE1371" s="686"/>
      <c r="AF1371" s="686"/>
    </row>
    <row r="1372" ht="15.75" customHeight="1">
      <c r="A1372" s="683"/>
      <c r="B1372" s="683"/>
      <c r="C1372" s="684"/>
      <c r="D1372" s="684"/>
      <c r="E1372" s="684"/>
      <c r="F1372" s="683"/>
      <c r="G1372" s="683"/>
      <c r="H1372" s="683"/>
      <c r="I1372" s="683"/>
      <c r="J1372" s="683"/>
      <c r="K1372" s="683"/>
      <c r="L1372" s="685"/>
      <c r="M1372" s="685"/>
      <c r="N1372" s="687"/>
      <c r="O1372" s="683"/>
      <c r="P1372" s="683"/>
      <c r="Q1372" s="686"/>
      <c r="R1372" s="686"/>
      <c r="S1372" s="686"/>
      <c r="T1372" s="686"/>
      <c r="U1372" s="686"/>
      <c r="V1372" s="686"/>
      <c r="W1372" s="686"/>
      <c r="X1372" s="686"/>
      <c r="Y1372" s="686"/>
      <c r="Z1372" s="686"/>
      <c r="AA1372" s="686"/>
      <c r="AB1372" s="686"/>
      <c r="AC1372" s="686"/>
      <c r="AD1372" s="686"/>
      <c r="AE1372" s="686"/>
      <c r="AF1372" s="686"/>
    </row>
    <row r="1373" ht="15.75" customHeight="1">
      <c r="A1373" s="683"/>
      <c r="B1373" s="683"/>
      <c r="C1373" s="684"/>
      <c r="D1373" s="684"/>
      <c r="E1373" s="684"/>
      <c r="F1373" s="683"/>
      <c r="G1373" s="683"/>
      <c r="H1373" s="683"/>
      <c r="I1373" s="683"/>
      <c r="J1373" s="683"/>
      <c r="K1373" s="683"/>
      <c r="L1373" s="685"/>
      <c r="M1373" s="685"/>
      <c r="N1373" s="687"/>
      <c r="O1373" s="683"/>
      <c r="P1373" s="683"/>
      <c r="Q1373" s="686"/>
      <c r="R1373" s="686"/>
      <c r="S1373" s="686"/>
      <c r="T1373" s="686"/>
      <c r="U1373" s="686"/>
      <c r="V1373" s="686"/>
      <c r="W1373" s="686"/>
      <c r="X1373" s="686"/>
      <c r="Y1373" s="686"/>
      <c r="Z1373" s="686"/>
      <c r="AA1373" s="686"/>
      <c r="AB1373" s="686"/>
      <c r="AC1373" s="686"/>
      <c r="AD1373" s="686"/>
      <c r="AE1373" s="686"/>
      <c r="AF1373" s="686"/>
    </row>
    <row r="1374" ht="15.75" customHeight="1">
      <c r="A1374" s="683"/>
      <c r="B1374" s="683"/>
      <c r="C1374" s="684"/>
      <c r="D1374" s="684"/>
      <c r="E1374" s="684"/>
      <c r="F1374" s="683"/>
      <c r="G1374" s="683"/>
      <c r="H1374" s="683"/>
      <c r="I1374" s="683"/>
      <c r="J1374" s="683"/>
      <c r="K1374" s="683"/>
      <c r="L1374" s="685"/>
      <c r="M1374" s="685"/>
      <c r="N1374" s="687"/>
      <c r="O1374" s="683"/>
      <c r="P1374" s="683"/>
      <c r="Q1374" s="686"/>
      <c r="R1374" s="686"/>
      <c r="S1374" s="686"/>
      <c r="T1374" s="686"/>
      <c r="U1374" s="686"/>
      <c r="V1374" s="686"/>
      <c r="W1374" s="686"/>
      <c r="X1374" s="686"/>
      <c r="Y1374" s="686"/>
      <c r="Z1374" s="686"/>
      <c r="AA1374" s="686"/>
      <c r="AB1374" s="686"/>
      <c r="AC1374" s="686"/>
      <c r="AD1374" s="686"/>
      <c r="AE1374" s="686"/>
      <c r="AF1374" s="686"/>
    </row>
    <row r="1375" ht="15.75" customHeight="1">
      <c r="A1375" s="683"/>
      <c r="B1375" s="683"/>
      <c r="C1375" s="684"/>
      <c r="D1375" s="684"/>
      <c r="E1375" s="684"/>
      <c r="F1375" s="683"/>
      <c r="G1375" s="683"/>
      <c r="H1375" s="683"/>
      <c r="I1375" s="683"/>
      <c r="J1375" s="683"/>
      <c r="K1375" s="683"/>
      <c r="L1375" s="685"/>
      <c r="M1375" s="685"/>
      <c r="N1375" s="687"/>
      <c r="O1375" s="683"/>
      <c r="P1375" s="683"/>
      <c r="Q1375" s="686"/>
      <c r="R1375" s="686"/>
      <c r="S1375" s="686"/>
      <c r="T1375" s="686"/>
      <c r="U1375" s="686"/>
      <c r="V1375" s="686"/>
      <c r="W1375" s="686"/>
      <c r="X1375" s="686"/>
      <c r="Y1375" s="686"/>
      <c r="Z1375" s="686"/>
      <c r="AA1375" s="686"/>
      <c r="AB1375" s="686"/>
      <c r="AC1375" s="686"/>
      <c r="AD1375" s="686"/>
      <c r="AE1375" s="686"/>
      <c r="AF1375" s="686"/>
    </row>
    <row r="1376" ht="15.75" customHeight="1">
      <c r="A1376" s="683"/>
      <c r="B1376" s="683"/>
      <c r="C1376" s="684"/>
      <c r="D1376" s="684"/>
      <c r="E1376" s="684"/>
      <c r="F1376" s="683"/>
      <c r="G1376" s="683"/>
      <c r="H1376" s="683"/>
      <c r="I1376" s="683"/>
      <c r="J1376" s="683"/>
      <c r="K1376" s="683"/>
      <c r="L1376" s="685"/>
      <c r="M1376" s="685"/>
      <c r="N1376" s="687"/>
      <c r="O1376" s="683"/>
      <c r="P1376" s="683"/>
      <c r="Q1376" s="686"/>
      <c r="R1376" s="686"/>
      <c r="S1376" s="686"/>
      <c r="T1376" s="686"/>
      <c r="U1376" s="686"/>
      <c r="V1376" s="686"/>
      <c r="W1376" s="686"/>
      <c r="X1376" s="686"/>
      <c r="Y1376" s="686"/>
      <c r="Z1376" s="686"/>
      <c r="AA1376" s="686"/>
      <c r="AB1376" s="686"/>
      <c r="AC1376" s="686"/>
      <c r="AD1376" s="686"/>
      <c r="AE1376" s="686"/>
      <c r="AF1376" s="686"/>
    </row>
    <row r="1377" ht="15.75" customHeight="1">
      <c r="A1377" s="683"/>
      <c r="B1377" s="683"/>
      <c r="C1377" s="684"/>
      <c r="D1377" s="684"/>
      <c r="E1377" s="684"/>
      <c r="F1377" s="683"/>
      <c r="G1377" s="683"/>
      <c r="H1377" s="683"/>
      <c r="I1377" s="683"/>
      <c r="J1377" s="683"/>
      <c r="K1377" s="683"/>
      <c r="L1377" s="685"/>
      <c r="M1377" s="685"/>
      <c r="N1377" s="687"/>
      <c r="O1377" s="683"/>
      <c r="P1377" s="683"/>
      <c r="Q1377" s="686"/>
      <c r="R1377" s="686"/>
      <c r="S1377" s="686"/>
      <c r="T1377" s="686"/>
      <c r="U1377" s="686"/>
      <c r="V1377" s="686"/>
      <c r="W1377" s="686"/>
      <c r="X1377" s="686"/>
      <c r="Y1377" s="686"/>
      <c r="Z1377" s="686"/>
      <c r="AA1377" s="686"/>
      <c r="AB1377" s="686"/>
      <c r="AC1377" s="686"/>
      <c r="AD1377" s="686"/>
      <c r="AE1377" s="686"/>
      <c r="AF1377" s="686"/>
    </row>
    <row r="1378" ht="15.75" customHeight="1">
      <c r="A1378" s="683"/>
      <c r="B1378" s="683"/>
      <c r="C1378" s="684"/>
      <c r="D1378" s="684"/>
      <c r="E1378" s="684"/>
      <c r="F1378" s="683"/>
      <c r="G1378" s="683"/>
      <c r="H1378" s="683"/>
      <c r="I1378" s="683"/>
      <c r="J1378" s="683"/>
      <c r="K1378" s="683"/>
      <c r="L1378" s="685"/>
      <c r="M1378" s="685"/>
      <c r="N1378" s="687"/>
      <c r="O1378" s="683"/>
      <c r="P1378" s="683"/>
      <c r="Q1378" s="686"/>
      <c r="R1378" s="686"/>
      <c r="S1378" s="686"/>
      <c r="T1378" s="686"/>
      <c r="U1378" s="686"/>
      <c r="V1378" s="686"/>
      <c r="W1378" s="686"/>
      <c r="X1378" s="686"/>
      <c r="Y1378" s="686"/>
      <c r="Z1378" s="686"/>
      <c r="AA1378" s="686"/>
      <c r="AB1378" s="686"/>
      <c r="AC1378" s="686"/>
      <c r="AD1378" s="686"/>
      <c r="AE1378" s="686"/>
      <c r="AF1378" s="686"/>
    </row>
    <row r="1379" ht="15.75" customHeight="1">
      <c r="A1379" s="683"/>
      <c r="B1379" s="683"/>
      <c r="C1379" s="684"/>
      <c r="D1379" s="684"/>
      <c r="E1379" s="684"/>
      <c r="F1379" s="683"/>
      <c r="G1379" s="683"/>
      <c r="H1379" s="683"/>
      <c r="I1379" s="683"/>
      <c r="J1379" s="683"/>
      <c r="K1379" s="683"/>
      <c r="L1379" s="685"/>
      <c r="M1379" s="685"/>
      <c r="N1379" s="687"/>
      <c r="O1379" s="683"/>
      <c r="P1379" s="683"/>
      <c r="Q1379" s="686"/>
      <c r="R1379" s="686"/>
      <c r="S1379" s="686"/>
      <c r="T1379" s="686"/>
      <c r="U1379" s="686"/>
      <c r="V1379" s="686"/>
      <c r="W1379" s="686"/>
      <c r="X1379" s="686"/>
      <c r="Y1379" s="686"/>
      <c r="Z1379" s="686"/>
      <c r="AA1379" s="686"/>
      <c r="AB1379" s="686"/>
      <c r="AC1379" s="686"/>
      <c r="AD1379" s="686"/>
      <c r="AE1379" s="686"/>
      <c r="AF1379" s="686"/>
    </row>
    <row r="1380" ht="15.75" customHeight="1">
      <c r="A1380" s="683"/>
      <c r="B1380" s="683"/>
      <c r="C1380" s="684"/>
      <c r="D1380" s="684"/>
      <c r="E1380" s="684"/>
      <c r="F1380" s="683"/>
      <c r="G1380" s="683"/>
      <c r="H1380" s="683"/>
      <c r="I1380" s="683"/>
      <c r="J1380" s="683"/>
      <c r="K1380" s="683"/>
      <c r="L1380" s="685"/>
      <c r="M1380" s="685"/>
      <c r="N1380" s="687"/>
      <c r="O1380" s="683"/>
      <c r="P1380" s="683"/>
      <c r="Q1380" s="686"/>
      <c r="R1380" s="686"/>
      <c r="S1380" s="686"/>
      <c r="T1380" s="686"/>
      <c r="U1380" s="686"/>
      <c r="V1380" s="686"/>
      <c r="W1380" s="686"/>
      <c r="X1380" s="686"/>
      <c r="Y1380" s="686"/>
      <c r="Z1380" s="686"/>
      <c r="AA1380" s="686"/>
      <c r="AB1380" s="686"/>
      <c r="AC1380" s="686"/>
      <c r="AD1380" s="686"/>
      <c r="AE1380" s="686"/>
      <c r="AF1380" s="686"/>
    </row>
    <row r="1381" ht="15.75" customHeight="1">
      <c r="A1381" s="683"/>
      <c r="B1381" s="683"/>
      <c r="C1381" s="684"/>
      <c r="D1381" s="684"/>
      <c r="E1381" s="684"/>
      <c r="F1381" s="683"/>
      <c r="G1381" s="683"/>
      <c r="H1381" s="683"/>
      <c r="I1381" s="683"/>
      <c r="J1381" s="683"/>
      <c r="K1381" s="683"/>
      <c r="L1381" s="685"/>
      <c r="M1381" s="685"/>
      <c r="N1381" s="687"/>
      <c r="O1381" s="683"/>
      <c r="P1381" s="683"/>
      <c r="Q1381" s="686"/>
      <c r="R1381" s="686"/>
      <c r="S1381" s="686"/>
      <c r="T1381" s="686"/>
      <c r="U1381" s="686"/>
      <c r="V1381" s="686"/>
      <c r="W1381" s="686"/>
      <c r="X1381" s="686"/>
      <c r="Y1381" s="686"/>
      <c r="Z1381" s="686"/>
      <c r="AA1381" s="686"/>
      <c r="AB1381" s="686"/>
      <c r="AC1381" s="686"/>
      <c r="AD1381" s="686"/>
      <c r="AE1381" s="686"/>
      <c r="AF1381" s="686"/>
    </row>
    <row r="1382" ht="15.75" customHeight="1">
      <c r="A1382" s="683"/>
      <c r="B1382" s="683"/>
      <c r="C1382" s="684"/>
      <c r="D1382" s="684"/>
      <c r="E1382" s="684"/>
      <c r="F1382" s="683"/>
      <c r="G1382" s="683"/>
      <c r="H1382" s="683"/>
      <c r="I1382" s="683"/>
      <c r="J1382" s="683"/>
      <c r="K1382" s="683"/>
      <c r="L1382" s="685"/>
      <c r="M1382" s="685"/>
      <c r="N1382" s="687"/>
      <c r="O1382" s="683"/>
      <c r="P1382" s="683"/>
      <c r="Q1382" s="686"/>
      <c r="R1382" s="686"/>
      <c r="S1382" s="686"/>
      <c r="T1382" s="686"/>
      <c r="U1382" s="686"/>
      <c r="V1382" s="686"/>
      <c r="W1382" s="686"/>
      <c r="X1382" s="686"/>
      <c r="Y1382" s="686"/>
      <c r="Z1382" s="686"/>
      <c r="AA1382" s="686"/>
      <c r="AB1382" s="686"/>
      <c r="AC1382" s="686"/>
      <c r="AD1382" s="686"/>
      <c r="AE1382" s="686"/>
      <c r="AF1382" s="686"/>
    </row>
    <row r="1383" ht="15.75" customHeight="1">
      <c r="A1383" s="683"/>
      <c r="B1383" s="683"/>
      <c r="C1383" s="684"/>
      <c r="D1383" s="684"/>
      <c r="E1383" s="684"/>
      <c r="F1383" s="683"/>
      <c r="G1383" s="683"/>
      <c r="H1383" s="683"/>
      <c r="I1383" s="683"/>
      <c r="J1383" s="683"/>
      <c r="K1383" s="683"/>
      <c r="L1383" s="685"/>
      <c r="M1383" s="685"/>
      <c r="N1383" s="687"/>
      <c r="O1383" s="683"/>
      <c r="P1383" s="683"/>
      <c r="Q1383" s="686"/>
      <c r="R1383" s="686"/>
      <c r="S1383" s="686"/>
      <c r="T1383" s="686"/>
      <c r="U1383" s="686"/>
      <c r="V1383" s="686"/>
      <c r="W1383" s="686"/>
      <c r="X1383" s="686"/>
      <c r="Y1383" s="686"/>
      <c r="Z1383" s="686"/>
      <c r="AA1383" s="686"/>
      <c r="AB1383" s="686"/>
      <c r="AC1383" s="686"/>
      <c r="AD1383" s="686"/>
      <c r="AE1383" s="686"/>
      <c r="AF1383" s="686"/>
    </row>
    <row r="1384" ht="15.75" customHeight="1">
      <c r="A1384" s="683"/>
      <c r="B1384" s="683"/>
      <c r="C1384" s="684"/>
      <c r="D1384" s="684"/>
      <c r="E1384" s="684"/>
      <c r="F1384" s="683"/>
      <c r="G1384" s="683"/>
      <c r="H1384" s="683"/>
      <c r="I1384" s="683"/>
      <c r="J1384" s="683"/>
      <c r="K1384" s="683"/>
      <c r="L1384" s="685"/>
      <c r="M1384" s="685"/>
      <c r="N1384" s="687"/>
      <c r="O1384" s="683"/>
      <c r="P1384" s="683"/>
      <c r="Q1384" s="686"/>
      <c r="R1384" s="686"/>
      <c r="S1384" s="686"/>
      <c r="T1384" s="686"/>
      <c r="U1384" s="686"/>
      <c r="V1384" s="686"/>
      <c r="W1384" s="686"/>
      <c r="X1384" s="686"/>
      <c r="Y1384" s="686"/>
      <c r="Z1384" s="686"/>
      <c r="AA1384" s="686"/>
      <c r="AB1384" s="686"/>
      <c r="AC1384" s="686"/>
      <c r="AD1384" s="686"/>
      <c r="AE1384" s="686"/>
      <c r="AF1384" s="686"/>
    </row>
    <row r="1385" ht="15.75" customHeight="1">
      <c r="A1385" s="683"/>
      <c r="B1385" s="683"/>
      <c r="C1385" s="684"/>
      <c r="D1385" s="684"/>
      <c r="E1385" s="684"/>
      <c r="F1385" s="683"/>
      <c r="G1385" s="683"/>
      <c r="H1385" s="683"/>
      <c r="I1385" s="683"/>
      <c r="J1385" s="683"/>
      <c r="K1385" s="683"/>
      <c r="L1385" s="685"/>
      <c r="M1385" s="685"/>
      <c r="N1385" s="687"/>
      <c r="O1385" s="683"/>
      <c r="P1385" s="683"/>
      <c r="Q1385" s="686"/>
      <c r="R1385" s="686"/>
      <c r="S1385" s="686"/>
      <c r="T1385" s="686"/>
      <c r="U1385" s="686"/>
      <c r="V1385" s="686"/>
      <c r="W1385" s="686"/>
      <c r="X1385" s="686"/>
      <c r="Y1385" s="686"/>
      <c r="Z1385" s="686"/>
      <c r="AA1385" s="686"/>
      <c r="AB1385" s="686"/>
      <c r="AC1385" s="686"/>
      <c r="AD1385" s="686"/>
      <c r="AE1385" s="686"/>
      <c r="AF1385" s="686"/>
    </row>
    <row r="1386" ht="15.75" customHeight="1">
      <c r="A1386" s="683"/>
      <c r="B1386" s="683"/>
      <c r="C1386" s="684"/>
      <c r="D1386" s="684"/>
      <c r="E1386" s="684"/>
      <c r="F1386" s="683"/>
      <c r="G1386" s="683"/>
      <c r="H1386" s="683"/>
      <c r="I1386" s="683"/>
      <c r="J1386" s="683"/>
      <c r="K1386" s="683"/>
      <c r="L1386" s="685"/>
      <c r="M1386" s="685"/>
      <c r="N1386" s="687"/>
      <c r="O1386" s="683"/>
      <c r="P1386" s="683"/>
      <c r="Q1386" s="686"/>
      <c r="R1386" s="686"/>
      <c r="S1386" s="686"/>
      <c r="T1386" s="686"/>
      <c r="U1386" s="686"/>
      <c r="V1386" s="686"/>
      <c r="W1386" s="686"/>
      <c r="X1386" s="686"/>
      <c r="Y1386" s="686"/>
      <c r="Z1386" s="686"/>
      <c r="AA1386" s="686"/>
      <c r="AB1386" s="686"/>
      <c r="AC1386" s="686"/>
      <c r="AD1386" s="686"/>
      <c r="AE1386" s="686"/>
      <c r="AF1386" s="686"/>
    </row>
    <row r="1387" ht="15.75" customHeight="1">
      <c r="A1387" s="683"/>
      <c r="B1387" s="683"/>
      <c r="C1387" s="684"/>
      <c r="D1387" s="684"/>
      <c r="E1387" s="684"/>
      <c r="F1387" s="683"/>
      <c r="G1387" s="683"/>
      <c r="H1387" s="683"/>
      <c r="I1387" s="683"/>
      <c r="J1387" s="683"/>
      <c r="K1387" s="683"/>
      <c r="L1387" s="685"/>
      <c r="M1387" s="685"/>
      <c r="N1387" s="687"/>
      <c r="O1387" s="683"/>
      <c r="P1387" s="683"/>
      <c r="Q1387" s="686"/>
      <c r="R1387" s="686"/>
      <c r="S1387" s="686"/>
      <c r="T1387" s="686"/>
      <c r="U1387" s="686"/>
      <c r="V1387" s="686"/>
      <c r="W1387" s="686"/>
      <c r="X1387" s="686"/>
      <c r="Y1387" s="686"/>
      <c r="Z1387" s="686"/>
      <c r="AA1387" s="686"/>
      <c r="AB1387" s="686"/>
      <c r="AC1387" s="686"/>
      <c r="AD1387" s="686"/>
      <c r="AE1387" s="686"/>
      <c r="AF1387" s="686"/>
    </row>
    <row r="1388" ht="15.75" customHeight="1">
      <c r="A1388" s="683"/>
      <c r="B1388" s="683"/>
      <c r="C1388" s="684"/>
      <c r="D1388" s="684"/>
      <c r="E1388" s="684"/>
      <c r="F1388" s="683"/>
      <c r="G1388" s="683"/>
      <c r="H1388" s="683"/>
      <c r="I1388" s="683"/>
      <c r="J1388" s="683"/>
      <c r="K1388" s="683"/>
      <c r="L1388" s="685"/>
      <c r="M1388" s="685"/>
      <c r="N1388" s="687"/>
      <c r="O1388" s="683"/>
      <c r="P1388" s="683"/>
      <c r="Q1388" s="686"/>
      <c r="R1388" s="686"/>
      <c r="S1388" s="686"/>
      <c r="T1388" s="686"/>
      <c r="U1388" s="686"/>
      <c r="V1388" s="686"/>
      <c r="W1388" s="686"/>
      <c r="X1388" s="686"/>
      <c r="Y1388" s="686"/>
      <c r="Z1388" s="686"/>
      <c r="AA1388" s="686"/>
      <c r="AB1388" s="686"/>
      <c r="AC1388" s="686"/>
      <c r="AD1388" s="686"/>
      <c r="AE1388" s="686"/>
      <c r="AF1388" s="686"/>
    </row>
    <row r="1389" ht="15.75" customHeight="1">
      <c r="A1389" s="683"/>
      <c r="B1389" s="683"/>
      <c r="C1389" s="684"/>
      <c r="D1389" s="684"/>
      <c r="E1389" s="684"/>
      <c r="F1389" s="683"/>
      <c r="G1389" s="683"/>
      <c r="H1389" s="683"/>
      <c r="I1389" s="683"/>
      <c r="J1389" s="683"/>
      <c r="K1389" s="683"/>
      <c r="L1389" s="685"/>
      <c r="M1389" s="685"/>
      <c r="N1389" s="687"/>
      <c r="O1389" s="683"/>
      <c r="P1389" s="683"/>
      <c r="Q1389" s="686"/>
      <c r="R1389" s="686"/>
      <c r="S1389" s="686"/>
      <c r="T1389" s="686"/>
      <c r="U1389" s="686"/>
      <c r="V1389" s="686"/>
      <c r="W1389" s="686"/>
      <c r="X1389" s="686"/>
      <c r="Y1389" s="686"/>
      <c r="Z1389" s="686"/>
      <c r="AA1389" s="686"/>
      <c r="AB1389" s="686"/>
      <c r="AC1389" s="686"/>
      <c r="AD1389" s="686"/>
      <c r="AE1389" s="686"/>
      <c r="AF1389" s="686"/>
    </row>
    <row r="1390" ht="15.75" customHeight="1">
      <c r="A1390" s="683"/>
      <c r="B1390" s="683"/>
      <c r="C1390" s="684"/>
      <c r="D1390" s="684"/>
      <c r="E1390" s="684"/>
      <c r="F1390" s="683"/>
      <c r="G1390" s="683"/>
      <c r="H1390" s="683"/>
      <c r="I1390" s="683"/>
      <c r="J1390" s="683"/>
      <c r="K1390" s="683"/>
      <c r="L1390" s="685"/>
      <c r="M1390" s="685"/>
      <c r="N1390" s="687"/>
      <c r="O1390" s="683"/>
      <c r="P1390" s="683"/>
      <c r="Q1390" s="686"/>
      <c r="R1390" s="686"/>
      <c r="S1390" s="686"/>
      <c r="T1390" s="686"/>
      <c r="U1390" s="686"/>
      <c r="V1390" s="686"/>
      <c r="W1390" s="686"/>
      <c r="X1390" s="686"/>
      <c r="Y1390" s="686"/>
      <c r="Z1390" s="686"/>
      <c r="AA1390" s="686"/>
      <c r="AB1390" s="686"/>
      <c r="AC1390" s="686"/>
      <c r="AD1390" s="686"/>
      <c r="AE1390" s="686"/>
      <c r="AF1390" s="686"/>
    </row>
    <row r="1391" ht="15.75" customHeight="1">
      <c r="A1391" s="683"/>
      <c r="B1391" s="683"/>
      <c r="C1391" s="684"/>
      <c r="D1391" s="684"/>
      <c r="E1391" s="684"/>
      <c r="F1391" s="683"/>
      <c r="G1391" s="683"/>
      <c r="H1391" s="683"/>
      <c r="I1391" s="683"/>
      <c r="J1391" s="683"/>
      <c r="K1391" s="683"/>
      <c r="L1391" s="685"/>
      <c r="M1391" s="685"/>
      <c r="N1391" s="687"/>
      <c r="O1391" s="683"/>
      <c r="P1391" s="683"/>
      <c r="Q1391" s="686"/>
      <c r="R1391" s="686"/>
      <c r="S1391" s="686"/>
      <c r="T1391" s="686"/>
      <c r="U1391" s="686"/>
      <c r="V1391" s="686"/>
      <c r="W1391" s="686"/>
      <c r="X1391" s="686"/>
      <c r="Y1391" s="686"/>
      <c r="Z1391" s="686"/>
      <c r="AA1391" s="686"/>
      <c r="AB1391" s="686"/>
      <c r="AC1391" s="686"/>
      <c r="AD1391" s="686"/>
      <c r="AE1391" s="686"/>
      <c r="AF1391" s="686"/>
    </row>
    <row r="1392" ht="15.75" customHeight="1">
      <c r="A1392" s="683"/>
      <c r="B1392" s="683"/>
      <c r="C1392" s="684"/>
      <c r="D1392" s="684"/>
      <c r="E1392" s="684"/>
      <c r="F1392" s="683"/>
      <c r="G1392" s="683"/>
      <c r="H1392" s="683"/>
      <c r="I1392" s="683"/>
      <c r="J1392" s="683"/>
      <c r="K1392" s="683"/>
      <c r="L1392" s="685"/>
      <c r="M1392" s="685"/>
      <c r="N1392" s="687"/>
      <c r="O1392" s="683"/>
      <c r="P1392" s="683"/>
      <c r="Q1392" s="686"/>
      <c r="R1392" s="686"/>
      <c r="S1392" s="686"/>
      <c r="T1392" s="686"/>
      <c r="U1392" s="686"/>
      <c r="V1392" s="686"/>
      <c r="W1392" s="686"/>
      <c r="X1392" s="686"/>
      <c r="Y1392" s="686"/>
      <c r="Z1392" s="686"/>
      <c r="AA1392" s="686"/>
      <c r="AB1392" s="686"/>
      <c r="AC1392" s="686"/>
      <c r="AD1392" s="686"/>
      <c r="AE1392" s="686"/>
      <c r="AF1392" s="686"/>
    </row>
    <row r="1393" ht="15.75" customHeight="1">
      <c r="A1393" s="683"/>
      <c r="B1393" s="683"/>
      <c r="C1393" s="684"/>
      <c r="D1393" s="684"/>
      <c r="E1393" s="684"/>
      <c r="F1393" s="683"/>
      <c r="G1393" s="683"/>
      <c r="H1393" s="683"/>
      <c r="I1393" s="683"/>
      <c r="J1393" s="683"/>
      <c r="K1393" s="683"/>
      <c r="L1393" s="685"/>
      <c r="M1393" s="685"/>
      <c r="N1393" s="687"/>
      <c r="O1393" s="683"/>
      <c r="P1393" s="683"/>
      <c r="Q1393" s="686"/>
      <c r="R1393" s="686"/>
      <c r="S1393" s="686"/>
      <c r="T1393" s="686"/>
      <c r="U1393" s="686"/>
      <c r="V1393" s="686"/>
      <c r="W1393" s="686"/>
      <c r="X1393" s="686"/>
      <c r="Y1393" s="686"/>
      <c r="Z1393" s="686"/>
      <c r="AA1393" s="686"/>
      <c r="AB1393" s="686"/>
      <c r="AC1393" s="686"/>
      <c r="AD1393" s="686"/>
      <c r="AE1393" s="686"/>
      <c r="AF1393" s="686"/>
    </row>
    <row r="1394" ht="15.75" customHeight="1">
      <c r="A1394" s="683"/>
      <c r="B1394" s="683"/>
      <c r="C1394" s="684"/>
      <c r="D1394" s="684"/>
      <c r="E1394" s="684"/>
      <c r="F1394" s="683"/>
      <c r="G1394" s="683"/>
      <c r="H1394" s="683"/>
      <c r="I1394" s="683"/>
      <c r="J1394" s="683"/>
      <c r="K1394" s="683"/>
      <c r="L1394" s="685"/>
      <c r="M1394" s="685"/>
      <c r="N1394" s="687"/>
      <c r="O1394" s="683"/>
      <c r="P1394" s="683"/>
      <c r="Q1394" s="686"/>
      <c r="R1394" s="686"/>
      <c r="S1394" s="686"/>
      <c r="T1394" s="686"/>
      <c r="U1394" s="686"/>
      <c r="V1394" s="686"/>
      <c r="W1394" s="686"/>
      <c r="X1394" s="686"/>
      <c r="Y1394" s="686"/>
      <c r="Z1394" s="686"/>
      <c r="AA1394" s="686"/>
      <c r="AB1394" s="686"/>
      <c r="AC1394" s="686"/>
      <c r="AD1394" s="686"/>
      <c r="AE1394" s="686"/>
      <c r="AF1394" s="686"/>
    </row>
    <row r="1395" ht="15.75" customHeight="1">
      <c r="A1395" s="683"/>
      <c r="B1395" s="683"/>
      <c r="C1395" s="684"/>
      <c r="D1395" s="684"/>
      <c r="E1395" s="684"/>
      <c r="F1395" s="683"/>
      <c r="G1395" s="683"/>
      <c r="H1395" s="683"/>
      <c r="I1395" s="683"/>
      <c r="J1395" s="683"/>
      <c r="K1395" s="683"/>
      <c r="L1395" s="685"/>
      <c r="M1395" s="685"/>
      <c r="N1395" s="687"/>
      <c r="O1395" s="683"/>
      <c r="P1395" s="683"/>
      <c r="Q1395" s="686"/>
      <c r="R1395" s="686"/>
      <c r="S1395" s="686"/>
      <c r="T1395" s="686"/>
      <c r="U1395" s="686"/>
      <c r="V1395" s="686"/>
      <c r="W1395" s="686"/>
      <c r="X1395" s="686"/>
      <c r="Y1395" s="686"/>
      <c r="Z1395" s="686"/>
      <c r="AA1395" s="686"/>
      <c r="AB1395" s="686"/>
      <c r="AC1395" s="686"/>
      <c r="AD1395" s="686"/>
      <c r="AE1395" s="686"/>
      <c r="AF1395" s="686"/>
    </row>
    <row r="1396" ht="15.75" customHeight="1">
      <c r="A1396" s="683"/>
      <c r="B1396" s="683"/>
      <c r="C1396" s="684"/>
      <c r="D1396" s="684"/>
      <c r="E1396" s="684"/>
      <c r="F1396" s="683"/>
      <c r="G1396" s="683"/>
      <c r="H1396" s="683"/>
      <c r="I1396" s="683"/>
      <c r="J1396" s="683"/>
      <c r="K1396" s="683"/>
      <c r="L1396" s="685"/>
      <c r="M1396" s="685"/>
      <c r="N1396" s="687"/>
      <c r="O1396" s="683"/>
      <c r="P1396" s="683"/>
      <c r="Q1396" s="686"/>
      <c r="R1396" s="686"/>
      <c r="S1396" s="686"/>
      <c r="T1396" s="686"/>
      <c r="U1396" s="686"/>
      <c r="V1396" s="686"/>
      <c r="W1396" s="686"/>
      <c r="X1396" s="686"/>
      <c r="Y1396" s="686"/>
      <c r="Z1396" s="686"/>
      <c r="AA1396" s="686"/>
      <c r="AB1396" s="686"/>
      <c r="AC1396" s="686"/>
      <c r="AD1396" s="686"/>
      <c r="AE1396" s="686"/>
      <c r="AF1396" s="686"/>
    </row>
    <row r="1397" ht="15.75" customHeight="1">
      <c r="A1397" s="683"/>
      <c r="B1397" s="683"/>
      <c r="C1397" s="684"/>
      <c r="D1397" s="684"/>
      <c r="E1397" s="684"/>
      <c r="F1397" s="683"/>
      <c r="G1397" s="683"/>
      <c r="H1397" s="683"/>
      <c r="I1397" s="683"/>
      <c r="J1397" s="683"/>
      <c r="K1397" s="683"/>
      <c r="L1397" s="685"/>
      <c r="M1397" s="685"/>
      <c r="N1397" s="687"/>
      <c r="O1397" s="683"/>
      <c r="P1397" s="683"/>
      <c r="Q1397" s="686"/>
      <c r="R1397" s="686"/>
      <c r="S1397" s="686"/>
      <c r="T1397" s="686"/>
      <c r="U1397" s="686"/>
      <c r="V1397" s="686"/>
      <c r="W1397" s="686"/>
      <c r="X1397" s="686"/>
      <c r="Y1397" s="686"/>
      <c r="Z1397" s="686"/>
      <c r="AA1397" s="686"/>
      <c r="AB1397" s="686"/>
      <c r="AC1397" s="686"/>
      <c r="AD1397" s="686"/>
      <c r="AE1397" s="686"/>
      <c r="AF1397" s="686"/>
    </row>
    <row r="1398" ht="15.75" customHeight="1">
      <c r="A1398" s="683"/>
      <c r="B1398" s="683"/>
      <c r="C1398" s="684"/>
      <c r="D1398" s="684"/>
      <c r="E1398" s="684"/>
      <c r="F1398" s="683"/>
      <c r="G1398" s="683"/>
      <c r="H1398" s="683"/>
      <c r="I1398" s="683"/>
      <c r="J1398" s="683"/>
      <c r="K1398" s="683"/>
      <c r="L1398" s="685"/>
      <c r="M1398" s="685"/>
      <c r="N1398" s="687"/>
      <c r="O1398" s="683"/>
      <c r="P1398" s="683"/>
      <c r="Q1398" s="686"/>
      <c r="R1398" s="686"/>
      <c r="S1398" s="686"/>
      <c r="T1398" s="686"/>
      <c r="U1398" s="686"/>
      <c r="V1398" s="686"/>
      <c r="W1398" s="686"/>
      <c r="X1398" s="686"/>
      <c r="Y1398" s="686"/>
      <c r="Z1398" s="686"/>
      <c r="AA1398" s="686"/>
      <c r="AB1398" s="686"/>
      <c r="AC1398" s="686"/>
      <c r="AD1398" s="686"/>
      <c r="AE1398" s="686"/>
      <c r="AF1398" s="686"/>
    </row>
    <row r="1399" ht="15.75" customHeight="1">
      <c r="A1399" s="683"/>
      <c r="B1399" s="683"/>
      <c r="C1399" s="684"/>
      <c r="D1399" s="684"/>
      <c r="E1399" s="684"/>
      <c r="F1399" s="683"/>
      <c r="G1399" s="683"/>
      <c r="H1399" s="683"/>
      <c r="I1399" s="683"/>
      <c r="J1399" s="683"/>
      <c r="K1399" s="683"/>
      <c r="L1399" s="685"/>
      <c r="M1399" s="685"/>
      <c r="N1399" s="687"/>
      <c r="O1399" s="683"/>
      <c r="P1399" s="683"/>
      <c r="Q1399" s="686"/>
      <c r="R1399" s="686"/>
      <c r="S1399" s="686"/>
      <c r="T1399" s="686"/>
      <c r="U1399" s="686"/>
      <c r="V1399" s="686"/>
      <c r="W1399" s="686"/>
      <c r="X1399" s="686"/>
      <c r="Y1399" s="686"/>
      <c r="Z1399" s="686"/>
      <c r="AA1399" s="686"/>
      <c r="AB1399" s="686"/>
      <c r="AC1399" s="686"/>
      <c r="AD1399" s="686"/>
      <c r="AE1399" s="686"/>
      <c r="AF1399" s="686"/>
    </row>
    <row r="1400" ht="15.75" customHeight="1">
      <c r="A1400" s="683"/>
      <c r="B1400" s="683"/>
      <c r="C1400" s="684"/>
      <c r="D1400" s="684"/>
      <c r="E1400" s="684"/>
      <c r="F1400" s="683"/>
      <c r="G1400" s="683"/>
      <c r="H1400" s="683"/>
      <c r="I1400" s="683"/>
      <c r="J1400" s="683"/>
      <c r="K1400" s="683"/>
      <c r="L1400" s="685"/>
      <c r="M1400" s="685"/>
      <c r="N1400" s="687"/>
      <c r="O1400" s="683"/>
      <c r="P1400" s="683"/>
      <c r="Q1400" s="686"/>
      <c r="R1400" s="686"/>
      <c r="S1400" s="686"/>
      <c r="T1400" s="686"/>
      <c r="U1400" s="686"/>
      <c r="V1400" s="686"/>
      <c r="W1400" s="686"/>
      <c r="X1400" s="686"/>
      <c r="Y1400" s="686"/>
      <c r="Z1400" s="686"/>
      <c r="AA1400" s="686"/>
      <c r="AB1400" s="686"/>
      <c r="AC1400" s="686"/>
      <c r="AD1400" s="686"/>
      <c r="AE1400" s="686"/>
      <c r="AF1400" s="686"/>
    </row>
    <row r="1401" ht="15.75" customHeight="1">
      <c r="A1401" s="683"/>
      <c r="B1401" s="683"/>
      <c r="C1401" s="684"/>
      <c r="D1401" s="684"/>
      <c r="E1401" s="684"/>
      <c r="F1401" s="683"/>
      <c r="G1401" s="683"/>
      <c r="H1401" s="683"/>
      <c r="I1401" s="683"/>
      <c r="J1401" s="683"/>
      <c r="K1401" s="683"/>
      <c r="L1401" s="685"/>
      <c r="M1401" s="685"/>
      <c r="N1401" s="687"/>
      <c r="O1401" s="683"/>
      <c r="P1401" s="683"/>
      <c r="Q1401" s="686"/>
      <c r="R1401" s="686"/>
      <c r="S1401" s="686"/>
      <c r="T1401" s="686"/>
      <c r="U1401" s="686"/>
      <c r="V1401" s="686"/>
      <c r="W1401" s="686"/>
      <c r="X1401" s="686"/>
      <c r="Y1401" s="686"/>
      <c r="Z1401" s="686"/>
      <c r="AA1401" s="686"/>
      <c r="AB1401" s="686"/>
      <c r="AC1401" s="686"/>
      <c r="AD1401" s="686"/>
      <c r="AE1401" s="686"/>
      <c r="AF1401" s="686"/>
    </row>
    <row r="1402" ht="15.75" customHeight="1">
      <c r="A1402" s="683"/>
      <c r="B1402" s="683"/>
      <c r="C1402" s="684"/>
      <c r="D1402" s="684"/>
      <c r="E1402" s="684"/>
      <c r="F1402" s="683"/>
      <c r="G1402" s="683"/>
      <c r="H1402" s="683"/>
      <c r="I1402" s="683"/>
      <c r="J1402" s="683"/>
      <c r="K1402" s="683"/>
      <c r="L1402" s="685"/>
      <c r="M1402" s="685"/>
      <c r="N1402" s="687"/>
      <c r="O1402" s="683"/>
      <c r="P1402" s="683"/>
      <c r="Q1402" s="686"/>
      <c r="R1402" s="686"/>
      <c r="S1402" s="686"/>
      <c r="T1402" s="686"/>
      <c r="U1402" s="686"/>
      <c r="V1402" s="686"/>
      <c r="W1402" s="686"/>
      <c r="X1402" s="686"/>
      <c r="Y1402" s="686"/>
      <c r="Z1402" s="686"/>
      <c r="AA1402" s="686"/>
      <c r="AB1402" s="686"/>
      <c r="AC1402" s="686"/>
      <c r="AD1402" s="686"/>
      <c r="AE1402" s="686"/>
      <c r="AF1402" s="686"/>
    </row>
    <row r="1403" ht="15.75" customHeight="1">
      <c r="A1403" s="683"/>
      <c r="B1403" s="683"/>
      <c r="C1403" s="684"/>
      <c r="D1403" s="684"/>
      <c r="E1403" s="684"/>
      <c r="F1403" s="683"/>
      <c r="G1403" s="683"/>
      <c r="H1403" s="683"/>
      <c r="I1403" s="683"/>
      <c r="J1403" s="683"/>
      <c r="K1403" s="683"/>
      <c r="L1403" s="685"/>
      <c r="M1403" s="685"/>
      <c r="N1403" s="687"/>
      <c r="O1403" s="683"/>
      <c r="P1403" s="683"/>
      <c r="Q1403" s="686"/>
      <c r="R1403" s="686"/>
      <c r="S1403" s="686"/>
      <c r="T1403" s="686"/>
      <c r="U1403" s="686"/>
      <c r="V1403" s="686"/>
      <c r="W1403" s="686"/>
      <c r="X1403" s="686"/>
      <c r="Y1403" s="686"/>
      <c r="Z1403" s="686"/>
      <c r="AA1403" s="686"/>
      <c r="AB1403" s="686"/>
      <c r="AC1403" s="686"/>
      <c r="AD1403" s="686"/>
      <c r="AE1403" s="686"/>
      <c r="AF1403" s="686"/>
    </row>
    <row r="1404" ht="15.75" customHeight="1">
      <c r="A1404" s="683"/>
      <c r="B1404" s="683"/>
      <c r="C1404" s="684"/>
      <c r="D1404" s="684"/>
      <c r="E1404" s="684"/>
      <c r="F1404" s="683"/>
      <c r="G1404" s="683"/>
      <c r="H1404" s="683"/>
      <c r="I1404" s="683"/>
      <c r="J1404" s="683"/>
      <c r="K1404" s="683"/>
      <c r="L1404" s="685"/>
      <c r="M1404" s="685"/>
      <c r="N1404" s="687"/>
      <c r="O1404" s="683"/>
      <c r="P1404" s="683"/>
      <c r="Q1404" s="686"/>
      <c r="R1404" s="686"/>
      <c r="S1404" s="686"/>
      <c r="T1404" s="686"/>
      <c r="U1404" s="686"/>
      <c r="V1404" s="686"/>
      <c r="W1404" s="686"/>
      <c r="X1404" s="686"/>
      <c r="Y1404" s="686"/>
      <c r="Z1404" s="686"/>
      <c r="AA1404" s="686"/>
      <c r="AB1404" s="686"/>
      <c r="AC1404" s="686"/>
      <c r="AD1404" s="686"/>
      <c r="AE1404" s="686"/>
      <c r="AF1404" s="686"/>
    </row>
    <row r="1405" ht="15.75" customHeight="1">
      <c r="A1405" s="683"/>
      <c r="B1405" s="683"/>
      <c r="C1405" s="684"/>
      <c r="D1405" s="684"/>
      <c r="E1405" s="684"/>
      <c r="F1405" s="683"/>
      <c r="G1405" s="683"/>
      <c r="H1405" s="683"/>
      <c r="I1405" s="683"/>
      <c r="J1405" s="683"/>
      <c r="K1405" s="683"/>
      <c r="L1405" s="685"/>
      <c r="M1405" s="685"/>
      <c r="N1405" s="687"/>
      <c r="O1405" s="683"/>
      <c r="P1405" s="683"/>
      <c r="Q1405" s="686"/>
      <c r="R1405" s="686"/>
      <c r="S1405" s="686"/>
      <c r="T1405" s="686"/>
      <c r="U1405" s="686"/>
      <c r="V1405" s="686"/>
      <c r="W1405" s="686"/>
      <c r="X1405" s="686"/>
      <c r="Y1405" s="686"/>
      <c r="Z1405" s="686"/>
      <c r="AA1405" s="686"/>
      <c r="AB1405" s="686"/>
      <c r="AC1405" s="686"/>
      <c r="AD1405" s="686"/>
      <c r="AE1405" s="686"/>
      <c r="AF1405" s="686"/>
    </row>
    <row r="1406" ht="15.75" customHeight="1">
      <c r="A1406" s="683"/>
      <c r="B1406" s="683"/>
      <c r="C1406" s="684"/>
      <c r="D1406" s="684"/>
      <c r="E1406" s="684"/>
      <c r="F1406" s="683"/>
      <c r="G1406" s="683"/>
      <c r="H1406" s="683"/>
      <c r="I1406" s="683"/>
      <c r="J1406" s="683"/>
      <c r="K1406" s="683"/>
      <c r="L1406" s="685"/>
      <c r="M1406" s="685"/>
      <c r="N1406" s="687"/>
      <c r="O1406" s="683"/>
      <c r="P1406" s="683"/>
      <c r="Q1406" s="686"/>
      <c r="R1406" s="686"/>
      <c r="S1406" s="686"/>
      <c r="T1406" s="686"/>
      <c r="U1406" s="686"/>
      <c r="V1406" s="686"/>
      <c r="W1406" s="686"/>
      <c r="X1406" s="686"/>
      <c r="Y1406" s="686"/>
      <c r="Z1406" s="686"/>
      <c r="AA1406" s="686"/>
      <c r="AB1406" s="686"/>
      <c r="AC1406" s="686"/>
      <c r="AD1406" s="686"/>
      <c r="AE1406" s="686"/>
      <c r="AF1406" s="686"/>
    </row>
    <row r="1407" ht="15.75" customHeight="1">
      <c r="A1407" s="683"/>
      <c r="B1407" s="683"/>
      <c r="C1407" s="684"/>
      <c r="D1407" s="684"/>
      <c r="E1407" s="684"/>
      <c r="F1407" s="683"/>
      <c r="G1407" s="683"/>
      <c r="H1407" s="683"/>
      <c r="I1407" s="683"/>
      <c r="J1407" s="683"/>
      <c r="K1407" s="683"/>
      <c r="L1407" s="685"/>
      <c r="M1407" s="685"/>
      <c r="N1407" s="687"/>
      <c r="O1407" s="683"/>
      <c r="P1407" s="683"/>
      <c r="Q1407" s="686"/>
      <c r="R1407" s="686"/>
      <c r="S1407" s="686"/>
      <c r="T1407" s="686"/>
      <c r="U1407" s="686"/>
      <c r="V1407" s="686"/>
      <c r="W1407" s="686"/>
      <c r="X1407" s="686"/>
      <c r="Y1407" s="686"/>
      <c r="Z1407" s="686"/>
      <c r="AA1407" s="686"/>
      <c r="AB1407" s="686"/>
      <c r="AC1407" s="686"/>
      <c r="AD1407" s="686"/>
      <c r="AE1407" s="686"/>
      <c r="AF1407" s="686"/>
    </row>
    <row r="1408" ht="15.75" customHeight="1">
      <c r="A1408" s="683"/>
      <c r="B1408" s="683"/>
      <c r="C1408" s="684"/>
      <c r="D1408" s="684"/>
      <c r="E1408" s="684"/>
      <c r="F1408" s="683"/>
      <c r="G1408" s="683"/>
      <c r="H1408" s="683"/>
      <c r="I1408" s="683"/>
      <c r="J1408" s="683"/>
      <c r="K1408" s="683"/>
      <c r="L1408" s="685"/>
      <c r="M1408" s="685"/>
      <c r="N1408" s="687"/>
      <c r="O1408" s="683"/>
      <c r="P1408" s="683"/>
      <c r="Q1408" s="686"/>
      <c r="R1408" s="686"/>
      <c r="S1408" s="686"/>
      <c r="T1408" s="686"/>
      <c r="U1408" s="686"/>
      <c r="V1408" s="686"/>
      <c r="W1408" s="686"/>
      <c r="X1408" s="686"/>
      <c r="Y1408" s="686"/>
      <c r="Z1408" s="686"/>
      <c r="AA1408" s="686"/>
      <c r="AB1408" s="686"/>
      <c r="AC1408" s="686"/>
      <c r="AD1408" s="686"/>
      <c r="AE1408" s="686"/>
      <c r="AF1408" s="686"/>
    </row>
    <row r="1409" ht="15.75" customHeight="1">
      <c r="A1409" s="683"/>
      <c r="B1409" s="683"/>
      <c r="C1409" s="684"/>
      <c r="D1409" s="684"/>
      <c r="E1409" s="684"/>
      <c r="F1409" s="683"/>
      <c r="G1409" s="683"/>
      <c r="H1409" s="683"/>
      <c r="I1409" s="683"/>
      <c r="J1409" s="683"/>
      <c r="K1409" s="683"/>
      <c r="L1409" s="685"/>
      <c r="M1409" s="685"/>
      <c r="N1409" s="687"/>
      <c r="O1409" s="683"/>
      <c r="P1409" s="683"/>
      <c r="Q1409" s="686"/>
      <c r="R1409" s="686"/>
      <c r="S1409" s="686"/>
      <c r="T1409" s="686"/>
      <c r="U1409" s="686"/>
      <c r="V1409" s="686"/>
      <c r="W1409" s="686"/>
      <c r="X1409" s="686"/>
      <c r="Y1409" s="686"/>
      <c r="Z1409" s="686"/>
      <c r="AA1409" s="686"/>
      <c r="AB1409" s="686"/>
      <c r="AC1409" s="686"/>
      <c r="AD1409" s="686"/>
      <c r="AE1409" s="686"/>
      <c r="AF1409" s="686"/>
    </row>
    <row r="1410" ht="15.75" customHeight="1">
      <c r="A1410" s="683"/>
      <c r="B1410" s="683"/>
      <c r="C1410" s="684"/>
      <c r="D1410" s="684"/>
      <c r="E1410" s="684"/>
      <c r="F1410" s="683"/>
      <c r="G1410" s="683"/>
      <c r="H1410" s="683"/>
      <c r="I1410" s="683"/>
      <c r="J1410" s="683"/>
      <c r="K1410" s="683"/>
      <c r="L1410" s="685"/>
      <c r="M1410" s="685"/>
      <c r="N1410" s="687"/>
      <c r="O1410" s="683"/>
      <c r="P1410" s="683"/>
      <c r="Q1410" s="686"/>
      <c r="R1410" s="686"/>
      <c r="S1410" s="686"/>
      <c r="T1410" s="686"/>
      <c r="U1410" s="686"/>
      <c r="V1410" s="686"/>
      <c r="W1410" s="686"/>
      <c r="X1410" s="686"/>
      <c r="Y1410" s="686"/>
      <c r="Z1410" s="686"/>
      <c r="AA1410" s="686"/>
      <c r="AB1410" s="686"/>
      <c r="AC1410" s="686"/>
      <c r="AD1410" s="686"/>
      <c r="AE1410" s="686"/>
      <c r="AF1410" s="686"/>
    </row>
    <row r="1411" ht="15.75" customHeight="1">
      <c r="A1411" s="683"/>
      <c r="B1411" s="683"/>
      <c r="C1411" s="684"/>
      <c r="D1411" s="684"/>
      <c r="E1411" s="684"/>
      <c r="F1411" s="683"/>
      <c r="G1411" s="683"/>
      <c r="H1411" s="683"/>
      <c r="I1411" s="683"/>
      <c r="J1411" s="683"/>
      <c r="K1411" s="683"/>
      <c r="L1411" s="685"/>
      <c r="M1411" s="685"/>
      <c r="N1411" s="687"/>
      <c r="O1411" s="683"/>
      <c r="P1411" s="683"/>
      <c r="Q1411" s="686"/>
      <c r="R1411" s="686"/>
      <c r="S1411" s="686"/>
      <c r="T1411" s="686"/>
      <c r="U1411" s="686"/>
      <c r="V1411" s="686"/>
      <c r="W1411" s="686"/>
      <c r="X1411" s="686"/>
      <c r="Y1411" s="686"/>
      <c r="Z1411" s="686"/>
      <c r="AA1411" s="686"/>
      <c r="AB1411" s="686"/>
      <c r="AC1411" s="686"/>
      <c r="AD1411" s="686"/>
      <c r="AE1411" s="686"/>
      <c r="AF1411" s="686"/>
    </row>
    <row r="1412" ht="15.75" customHeight="1">
      <c r="A1412" s="683"/>
      <c r="B1412" s="683"/>
      <c r="C1412" s="684"/>
      <c r="D1412" s="684"/>
      <c r="E1412" s="684"/>
      <c r="F1412" s="683"/>
      <c r="G1412" s="683"/>
      <c r="H1412" s="683"/>
      <c r="I1412" s="683"/>
      <c r="J1412" s="683"/>
      <c r="K1412" s="683"/>
      <c r="L1412" s="685"/>
      <c r="M1412" s="685"/>
      <c r="N1412" s="687"/>
      <c r="O1412" s="683"/>
      <c r="P1412" s="683"/>
      <c r="Q1412" s="686"/>
      <c r="R1412" s="686"/>
      <c r="S1412" s="686"/>
      <c r="T1412" s="686"/>
      <c r="U1412" s="686"/>
      <c r="V1412" s="686"/>
      <c r="W1412" s="686"/>
      <c r="X1412" s="686"/>
      <c r="Y1412" s="686"/>
      <c r="Z1412" s="686"/>
      <c r="AA1412" s="686"/>
      <c r="AB1412" s="686"/>
      <c r="AC1412" s="686"/>
      <c r="AD1412" s="686"/>
      <c r="AE1412" s="686"/>
      <c r="AF1412" s="686"/>
    </row>
    <row r="1413" ht="15.75" customHeight="1">
      <c r="A1413" s="683"/>
      <c r="B1413" s="683"/>
      <c r="C1413" s="684"/>
      <c r="D1413" s="684"/>
      <c r="E1413" s="684"/>
      <c r="F1413" s="683"/>
      <c r="G1413" s="683"/>
      <c r="H1413" s="683"/>
      <c r="I1413" s="683"/>
      <c r="J1413" s="683"/>
      <c r="K1413" s="683"/>
      <c r="L1413" s="685"/>
      <c r="M1413" s="685"/>
      <c r="N1413" s="687"/>
      <c r="O1413" s="683"/>
      <c r="P1413" s="683"/>
      <c r="Q1413" s="686"/>
      <c r="R1413" s="686"/>
      <c r="S1413" s="686"/>
      <c r="T1413" s="686"/>
      <c r="U1413" s="686"/>
      <c r="V1413" s="686"/>
      <c r="W1413" s="686"/>
      <c r="X1413" s="686"/>
      <c r="Y1413" s="686"/>
      <c r="Z1413" s="686"/>
      <c r="AA1413" s="686"/>
      <c r="AB1413" s="686"/>
      <c r="AC1413" s="686"/>
      <c r="AD1413" s="686"/>
      <c r="AE1413" s="686"/>
      <c r="AF1413" s="686"/>
    </row>
    <row r="1414" ht="15.75" customHeight="1">
      <c r="A1414" s="683"/>
      <c r="B1414" s="683"/>
      <c r="C1414" s="684"/>
      <c r="D1414" s="684"/>
      <c r="E1414" s="684"/>
      <c r="F1414" s="683"/>
      <c r="G1414" s="683"/>
      <c r="H1414" s="683"/>
      <c r="I1414" s="683"/>
      <c r="J1414" s="683"/>
      <c r="K1414" s="683"/>
      <c r="L1414" s="685"/>
      <c r="M1414" s="685"/>
      <c r="N1414" s="687"/>
      <c r="O1414" s="683"/>
      <c r="P1414" s="683"/>
      <c r="Q1414" s="686"/>
      <c r="R1414" s="686"/>
      <c r="S1414" s="686"/>
      <c r="T1414" s="686"/>
      <c r="U1414" s="686"/>
      <c r="V1414" s="686"/>
      <c r="W1414" s="686"/>
      <c r="X1414" s="686"/>
      <c r="Y1414" s="686"/>
      <c r="Z1414" s="686"/>
      <c r="AA1414" s="686"/>
      <c r="AB1414" s="686"/>
      <c r="AC1414" s="686"/>
      <c r="AD1414" s="686"/>
      <c r="AE1414" s="686"/>
      <c r="AF1414" s="686"/>
    </row>
    <row r="1415" ht="15.75" customHeight="1">
      <c r="A1415" s="683"/>
      <c r="B1415" s="683"/>
      <c r="C1415" s="684"/>
      <c r="D1415" s="684"/>
      <c r="E1415" s="684"/>
      <c r="F1415" s="683"/>
      <c r="G1415" s="683"/>
      <c r="H1415" s="683"/>
      <c r="I1415" s="683"/>
      <c r="J1415" s="683"/>
      <c r="K1415" s="683"/>
      <c r="L1415" s="685"/>
      <c r="M1415" s="685"/>
      <c r="N1415" s="687"/>
      <c r="O1415" s="683"/>
      <c r="P1415" s="683"/>
      <c r="Q1415" s="686"/>
      <c r="R1415" s="686"/>
      <c r="S1415" s="686"/>
      <c r="T1415" s="686"/>
      <c r="U1415" s="686"/>
      <c r="V1415" s="686"/>
      <c r="W1415" s="686"/>
      <c r="X1415" s="686"/>
      <c r="Y1415" s="686"/>
      <c r="Z1415" s="686"/>
      <c r="AA1415" s="686"/>
      <c r="AB1415" s="686"/>
      <c r="AC1415" s="686"/>
      <c r="AD1415" s="686"/>
      <c r="AE1415" s="686"/>
      <c r="AF1415" s="686"/>
    </row>
    <row r="1416" ht="15.75" customHeight="1">
      <c r="A1416" s="683"/>
      <c r="B1416" s="683"/>
      <c r="C1416" s="684"/>
      <c r="D1416" s="684"/>
      <c r="E1416" s="684"/>
      <c r="F1416" s="683"/>
      <c r="G1416" s="683"/>
      <c r="H1416" s="683"/>
      <c r="I1416" s="683"/>
      <c r="J1416" s="683"/>
      <c r="K1416" s="683"/>
      <c r="L1416" s="685"/>
      <c r="M1416" s="685"/>
      <c r="N1416" s="687"/>
      <c r="O1416" s="683"/>
      <c r="P1416" s="683"/>
      <c r="Q1416" s="686"/>
      <c r="R1416" s="686"/>
      <c r="S1416" s="686"/>
      <c r="T1416" s="686"/>
      <c r="U1416" s="686"/>
      <c r="V1416" s="686"/>
      <c r="W1416" s="686"/>
      <c r="X1416" s="686"/>
      <c r="Y1416" s="686"/>
      <c r="Z1416" s="686"/>
      <c r="AA1416" s="686"/>
      <c r="AB1416" s="686"/>
      <c r="AC1416" s="686"/>
      <c r="AD1416" s="686"/>
      <c r="AE1416" s="686"/>
      <c r="AF1416" s="686"/>
    </row>
    <row r="1417" ht="15.75" customHeight="1">
      <c r="A1417" s="683"/>
      <c r="B1417" s="683"/>
      <c r="C1417" s="684"/>
      <c r="D1417" s="684"/>
      <c r="E1417" s="684"/>
      <c r="F1417" s="683"/>
      <c r="G1417" s="683"/>
      <c r="H1417" s="683"/>
      <c r="I1417" s="683"/>
      <c r="J1417" s="683"/>
      <c r="K1417" s="683"/>
      <c r="L1417" s="685"/>
      <c r="M1417" s="685"/>
      <c r="N1417" s="687"/>
      <c r="O1417" s="683"/>
      <c r="P1417" s="683"/>
      <c r="Q1417" s="686"/>
      <c r="R1417" s="686"/>
      <c r="S1417" s="686"/>
      <c r="T1417" s="686"/>
      <c r="U1417" s="686"/>
      <c r="V1417" s="686"/>
      <c r="W1417" s="686"/>
      <c r="X1417" s="686"/>
      <c r="Y1417" s="686"/>
      <c r="Z1417" s="686"/>
      <c r="AA1417" s="686"/>
      <c r="AB1417" s="686"/>
      <c r="AC1417" s="686"/>
      <c r="AD1417" s="686"/>
      <c r="AE1417" s="686"/>
      <c r="AF1417" s="686"/>
    </row>
    <row r="1418" ht="15.75" customHeight="1">
      <c r="A1418" s="683"/>
      <c r="B1418" s="683"/>
      <c r="C1418" s="684"/>
      <c r="D1418" s="684"/>
      <c r="E1418" s="684"/>
      <c r="F1418" s="683"/>
      <c r="G1418" s="683"/>
      <c r="H1418" s="683"/>
      <c r="I1418" s="683"/>
      <c r="J1418" s="683"/>
      <c r="K1418" s="683"/>
      <c r="L1418" s="685"/>
      <c r="M1418" s="685"/>
      <c r="N1418" s="687"/>
      <c r="O1418" s="683"/>
      <c r="P1418" s="683"/>
      <c r="Q1418" s="686"/>
      <c r="R1418" s="686"/>
      <c r="S1418" s="686"/>
      <c r="T1418" s="686"/>
      <c r="U1418" s="686"/>
      <c r="V1418" s="686"/>
      <c r="W1418" s="686"/>
      <c r="X1418" s="686"/>
      <c r="Y1418" s="686"/>
      <c r="Z1418" s="686"/>
      <c r="AA1418" s="686"/>
      <c r="AB1418" s="686"/>
      <c r="AC1418" s="686"/>
      <c r="AD1418" s="686"/>
      <c r="AE1418" s="686"/>
      <c r="AF1418" s="686"/>
    </row>
    <row r="1419" ht="15.75" customHeight="1">
      <c r="A1419" s="683"/>
      <c r="B1419" s="683"/>
      <c r="C1419" s="684"/>
      <c r="D1419" s="684"/>
      <c r="E1419" s="684"/>
      <c r="F1419" s="683"/>
      <c r="G1419" s="683"/>
      <c r="H1419" s="683"/>
      <c r="I1419" s="683"/>
      <c r="J1419" s="683"/>
      <c r="K1419" s="683"/>
      <c r="L1419" s="685"/>
      <c r="M1419" s="685"/>
      <c r="N1419" s="687"/>
      <c r="O1419" s="683"/>
      <c r="P1419" s="683"/>
      <c r="Q1419" s="686"/>
      <c r="R1419" s="686"/>
      <c r="S1419" s="686"/>
      <c r="T1419" s="686"/>
      <c r="U1419" s="686"/>
      <c r="V1419" s="686"/>
      <c r="W1419" s="686"/>
      <c r="X1419" s="686"/>
      <c r="Y1419" s="686"/>
      <c r="Z1419" s="686"/>
      <c r="AA1419" s="686"/>
      <c r="AB1419" s="686"/>
      <c r="AC1419" s="686"/>
      <c r="AD1419" s="686"/>
      <c r="AE1419" s="686"/>
      <c r="AF1419" s="686"/>
    </row>
    <row r="1420" ht="15.75" customHeight="1">
      <c r="A1420" s="683"/>
      <c r="B1420" s="683"/>
      <c r="C1420" s="684"/>
      <c r="D1420" s="684"/>
      <c r="E1420" s="684"/>
      <c r="F1420" s="683"/>
      <c r="G1420" s="683"/>
      <c r="H1420" s="683"/>
      <c r="I1420" s="683"/>
      <c r="J1420" s="683"/>
      <c r="K1420" s="683"/>
      <c r="L1420" s="685"/>
      <c r="M1420" s="685"/>
      <c r="N1420" s="687"/>
      <c r="O1420" s="683"/>
      <c r="P1420" s="683"/>
      <c r="Q1420" s="686"/>
      <c r="R1420" s="686"/>
      <c r="S1420" s="686"/>
      <c r="T1420" s="686"/>
      <c r="U1420" s="686"/>
      <c r="V1420" s="686"/>
      <c r="W1420" s="686"/>
      <c r="X1420" s="686"/>
      <c r="Y1420" s="686"/>
      <c r="Z1420" s="686"/>
      <c r="AA1420" s="686"/>
      <c r="AB1420" s="686"/>
      <c r="AC1420" s="686"/>
      <c r="AD1420" s="686"/>
      <c r="AE1420" s="686"/>
      <c r="AF1420" s="686"/>
    </row>
    <row r="1421" ht="15.75" customHeight="1">
      <c r="A1421" s="683"/>
      <c r="B1421" s="683"/>
      <c r="C1421" s="684"/>
      <c r="D1421" s="684"/>
      <c r="E1421" s="684"/>
      <c r="F1421" s="683"/>
      <c r="G1421" s="683"/>
      <c r="H1421" s="683"/>
      <c r="I1421" s="683"/>
      <c r="J1421" s="683"/>
      <c r="K1421" s="683"/>
      <c r="L1421" s="685"/>
      <c r="M1421" s="685"/>
      <c r="N1421" s="687"/>
      <c r="O1421" s="683"/>
      <c r="P1421" s="683"/>
      <c r="Q1421" s="686"/>
      <c r="R1421" s="686"/>
      <c r="S1421" s="686"/>
      <c r="T1421" s="686"/>
      <c r="U1421" s="686"/>
      <c r="V1421" s="686"/>
      <c r="W1421" s="686"/>
      <c r="X1421" s="686"/>
      <c r="Y1421" s="686"/>
      <c r="Z1421" s="686"/>
      <c r="AA1421" s="686"/>
      <c r="AB1421" s="686"/>
      <c r="AC1421" s="686"/>
      <c r="AD1421" s="686"/>
      <c r="AE1421" s="686"/>
      <c r="AF1421" s="686"/>
    </row>
    <row r="1422" ht="15.75" customHeight="1">
      <c r="A1422" s="683"/>
      <c r="B1422" s="683"/>
      <c r="C1422" s="684"/>
      <c r="D1422" s="684"/>
      <c r="E1422" s="684"/>
      <c r="F1422" s="683"/>
      <c r="G1422" s="683"/>
      <c r="H1422" s="683"/>
      <c r="I1422" s="683"/>
      <c r="J1422" s="683"/>
      <c r="K1422" s="683"/>
      <c r="L1422" s="685"/>
      <c r="M1422" s="685"/>
      <c r="N1422" s="687"/>
      <c r="O1422" s="683"/>
      <c r="P1422" s="683"/>
      <c r="Q1422" s="686"/>
      <c r="R1422" s="686"/>
      <c r="S1422" s="686"/>
      <c r="T1422" s="686"/>
      <c r="U1422" s="686"/>
      <c r="V1422" s="686"/>
      <c r="W1422" s="686"/>
      <c r="X1422" s="686"/>
      <c r="Y1422" s="686"/>
      <c r="Z1422" s="686"/>
      <c r="AA1422" s="686"/>
      <c r="AB1422" s="686"/>
      <c r="AC1422" s="686"/>
      <c r="AD1422" s="686"/>
      <c r="AE1422" s="686"/>
      <c r="AF1422" s="686"/>
    </row>
    <row r="1423" ht="15.75" customHeight="1">
      <c r="A1423" s="683"/>
      <c r="B1423" s="683"/>
      <c r="C1423" s="684"/>
      <c r="D1423" s="684"/>
      <c r="E1423" s="684"/>
      <c r="F1423" s="683"/>
      <c r="G1423" s="683"/>
      <c r="H1423" s="683"/>
      <c r="I1423" s="683"/>
      <c r="J1423" s="683"/>
      <c r="K1423" s="683"/>
      <c r="L1423" s="685"/>
      <c r="M1423" s="685"/>
      <c r="N1423" s="687"/>
      <c r="O1423" s="683"/>
      <c r="P1423" s="685"/>
      <c r="Q1423" s="686"/>
      <c r="R1423" s="686"/>
      <c r="S1423" s="686"/>
      <c r="T1423" s="686"/>
      <c r="U1423" s="686"/>
      <c r="V1423" s="686"/>
      <c r="W1423" s="686"/>
      <c r="X1423" s="686"/>
      <c r="Y1423" s="686"/>
      <c r="Z1423" s="686"/>
      <c r="AA1423" s="686"/>
      <c r="AB1423" s="686"/>
      <c r="AC1423" s="686"/>
      <c r="AD1423" s="686"/>
      <c r="AE1423" s="686"/>
      <c r="AF1423" s="686"/>
    </row>
    <row r="1424" ht="15.75" customHeight="1">
      <c r="A1424" s="683"/>
      <c r="B1424" s="683"/>
      <c r="C1424" s="684"/>
      <c r="D1424" s="684"/>
      <c r="E1424" s="684"/>
      <c r="F1424" s="683"/>
      <c r="G1424" s="683"/>
      <c r="H1424" s="683"/>
      <c r="I1424" s="683"/>
      <c r="J1424" s="683"/>
      <c r="K1424" s="683"/>
      <c r="L1424" s="685"/>
      <c r="M1424" s="685"/>
      <c r="N1424" s="687"/>
      <c r="O1424" s="683"/>
      <c r="P1424" s="683"/>
      <c r="Q1424" s="686"/>
      <c r="R1424" s="686"/>
      <c r="S1424" s="686"/>
      <c r="T1424" s="686"/>
      <c r="U1424" s="686"/>
      <c r="V1424" s="686"/>
      <c r="W1424" s="686"/>
      <c r="X1424" s="686"/>
      <c r="Y1424" s="686"/>
      <c r="Z1424" s="686"/>
      <c r="AA1424" s="686"/>
      <c r="AB1424" s="686"/>
      <c r="AC1424" s="686"/>
      <c r="AD1424" s="686"/>
      <c r="AE1424" s="686"/>
      <c r="AF1424" s="686"/>
    </row>
    <row r="1425" ht="15.75" customHeight="1">
      <c r="A1425" s="683"/>
      <c r="B1425" s="683"/>
      <c r="C1425" s="684"/>
      <c r="D1425" s="684"/>
      <c r="E1425" s="684"/>
      <c r="F1425" s="683"/>
      <c r="G1425" s="683"/>
      <c r="H1425" s="683"/>
      <c r="I1425" s="683"/>
      <c r="J1425" s="683"/>
      <c r="K1425" s="683"/>
      <c r="L1425" s="685"/>
      <c r="M1425" s="685"/>
      <c r="N1425" s="687"/>
      <c r="O1425" s="683"/>
      <c r="P1425" s="683"/>
      <c r="Q1425" s="686"/>
      <c r="R1425" s="686"/>
      <c r="S1425" s="686"/>
      <c r="T1425" s="686"/>
      <c r="U1425" s="686"/>
      <c r="V1425" s="686"/>
      <c r="W1425" s="686"/>
      <c r="X1425" s="686"/>
      <c r="Y1425" s="686"/>
      <c r="Z1425" s="686"/>
      <c r="AA1425" s="686"/>
      <c r="AB1425" s="686"/>
      <c r="AC1425" s="686"/>
      <c r="AD1425" s="686"/>
      <c r="AE1425" s="686"/>
      <c r="AF1425" s="686"/>
    </row>
    <row r="1426" ht="15.75" customHeight="1">
      <c r="A1426" s="683"/>
      <c r="B1426" s="683"/>
      <c r="C1426" s="684"/>
      <c r="D1426" s="684"/>
      <c r="E1426" s="684"/>
      <c r="F1426" s="683"/>
      <c r="G1426" s="683"/>
      <c r="H1426" s="683"/>
      <c r="I1426" s="683"/>
      <c r="J1426" s="683"/>
      <c r="K1426" s="683"/>
      <c r="L1426" s="685"/>
      <c r="M1426" s="685"/>
      <c r="N1426" s="687"/>
      <c r="O1426" s="683"/>
      <c r="P1426" s="685"/>
      <c r="Q1426" s="686"/>
      <c r="R1426" s="686"/>
      <c r="S1426" s="686"/>
      <c r="T1426" s="686"/>
      <c r="U1426" s="686"/>
      <c r="V1426" s="686"/>
      <c r="W1426" s="686"/>
      <c r="X1426" s="686"/>
      <c r="Y1426" s="686"/>
      <c r="Z1426" s="686"/>
      <c r="AA1426" s="686"/>
      <c r="AB1426" s="686"/>
      <c r="AC1426" s="686"/>
      <c r="AD1426" s="686"/>
      <c r="AE1426" s="686"/>
      <c r="AF1426" s="686"/>
    </row>
    <row r="1427" ht="15.75" customHeight="1">
      <c r="A1427" s="683"/>
      <c r="B1427" s="683"/>
      <c r="C1427" s="684"/>
      <c r="D1427" s="684"/>
      <c r="E1427" s="684"/>
      <c r="F1427" s="683"/>
      <c r="G1427" s="683"/>
      <c r="H1427" s="683"/>
      <c r="I1427" s="683"/>
      <c r="J1427" s="683"/>
      <c r="K1427" s="683"/>
      <c r="L1427" s="685"/>
      <c r="M1427" s="685"/>
      <c r="N1427" s="687"/>
      <c r="O1427" s="683"/>
      <c r="P1427" s="683"/>
      <c r="Q1427" s="686"/>
      <c r="R1427" s="686"/>
      <c r="S1427" s="686"/>
      <c r="T1427" s="686"/>
      <c r="U1427" s="686"/>
      <c r="V1427" s="686"/>
      <c r="W1427" s="686"/>
      <c r="X1427" s="686"/>
      <c r="Y1427" s="686"/>
      <c r="Z1427" s="686"/>
      <c r="AA1427" s="686"/>
      <c r="AB1427" s="686"/>
      <c r="AC1427" s="686"/>
      <c r="AD1427" s="686"/>
      <c r="AE1427" s="686"/>
      <c r="AF1427" s="686"/>
    </row>
    <row r="1428" ht="15.75" customHeight="1">
      <c r="A1428" s="683"/>
      <c r="B1428" s="683"/>
      <c r="C1428" s="684"/>
      <c r="D1428" s="684"/>
      <c r="E1428" s="684"/>
      <c r="F1428" s="683"/>
      <c r="G1428" s="683"/>
      <c r="H1428" s="683"/>
      <c r="I1428" s="683"/>
      <c r="J1428" s="683"/>
      <c r="K1428" s="683"/>
      <c r="L1428" s="685"/>
      <c r="M1428" s="685"/>
      <c r="N1428" s="687"/>
      <c r="O1428" s="683"/>
      <c r="P1428" s="683"/>
      <c r="Q1428" s="686"/>
      <c r="R1428" s="686"/>
      <c r="S1428" s="686"/>
      <c r="T1428" s="686"/>
      <c r="U1428" s="686"/>
      <c r="V1428" s="686"/>
      <c r="W1428" s="686"/>
      <c r="X1428" s="686"/>
      <c r="Y1428" s="686"/>
      <c r="Z1428" s="686"/>
      <c r="AA1428" s="686"/>
      <c r="AB1428" s="686"/>
      <c r="AC1428" s="686"/>
      <c r="AD1428" s="686"/>
      <c r="AE1428" s="686"/>
      <c r="AF1428" s="686"/>
    </row>
    <row r="1429" ht="15.75" customHeight="1">
      <c r="A1429" s="683"/>
      <c r="B1429" s="683"/>
      <c r="C1429" s="684"/>
      <c r="D1429" s="684"/>
      <c r="E1429" s="684"/>
      <c r="F1429" s="683"/>
      <c r="G1429" s="683"/>
      <c r="H1429" s="683"/>
      <c r="I1429" s="683"/>
      <c r="J1429" s="683"/>
      <c r="K1429" s="683"/>
      <c r="L1429" s="685"/>
      <c r="M1429" s="685"/>
      <c r="N1429" s="687"/>
      <c r="O1429" s="683"/>
      <c r="P1429" s="683"/>
      <c r="Q1429" s="686"/>
      <c r="R1429" s="686"/>
      <c r="S1429" s="686"/>
      <c r="T1429" s="686"/>
      <c r="U1429" s="686"/>
      <c r="V1429" s="686"/>
      <c r="W1429" s="686"/>
      <c r="X1429" s="686"/>
      <c r="Y1429" s="686"/>
      <c r="Z1429" s="686"/>
      <c r="AA1429" s="686"/>
      <c r="AB1429" s="686"/>
      <c r="AC1429" s="686"/>
      <c r="AD1429" s="686"/>
      <c r="AE1429" s="686"/>
      <c r="AF1429" s="686"/>
    </row>
    <row r="1430" ht="15.75" customHeight="1">
      <c r="A1430" s="683"/>
      <c r="B1430" s="683"/>
      <c r="C1430" s="684"/>
      <c r="D1430" s="684"/>
      <c r="E1430" s="684"/>
      <c r="F1430" s="683"/>
      <c r="G1430" s="683"/>
      <c r="H1430" s="683"/>
      <c r="I1430" s="683"/>
      <c r="J1430" s="683"/>
      <c r="K1430" s="683"/>
      <c r="L1430" s="685"/>
      <c r="M1430" s="685"/>
      <c r="N1430" s="687"/>
      <c r="O1430" s="683"/>
      <c r="P1430" s="683"/>
      <c r="Q1430" s="686"/>
      <c r="R1430" s="686"/>
      <c r="S1430" s="686"/>
      <c r="T1430" s="686"/>
      <c r="U1430" s="686"/>
      <c r="V1430" s="686"/>
      <c r="W1430" s="686"/>
      <c r="X1430" s="686"/>
      <c r="Y1430" s="686"/>
      <c r="Z1430" s="686"/>
      <c r="AA1430" s="686"/>
      <c r="AB1430" s="686"/>
      <c r="AC1430" s="686"/>
      <c r="AD1430" s="686"/>
      <c r="AE1430" s="686"/>
      <c r="AF1430" s="686"/>
    </row>
    <row r="1431" ht="15.75" customHeight="1">
      <c r="A1431" s="683"/>
      <c r="B1431" s="683"/>
      <c r="C1431" s="684"/>
      <c r="D1431" s="684"/>
      <c r="E1431" s="684"/>
      <c r="F1431" s="683"/>
      <c r="G1431" s="683"/>
      <c r="H1431" s="683"/>
      <c r="I1431" s="683"/>
      <c r="J1431" s="683"/>
      <c r="K1431" s="683"/>
      <c r="L1431" s="685"/>
      <c r="M1431" s="685"/>
      <c r="N1431" s="687"/>
      <c r="O1431" s="683"/>
      <c r="P1431" s="683"/>
      <c r="Q1431" s="686"/>
      <c r="R1431" s="686"/>
      <c r="S1431" s="686"/>
      <c r="T1431" s="686"/>
      <c r="U1431" s="686"/>
      <c r="V1431" s="686"/>
      <c r="W1431" s="686"/>
      <c r="X1431" s="686"/>
      <c r="Y1431" s="686"/>
      <c r="Z1431" s="686"/>
      <c r="AA1431" s="686"/>
      <c r="AB1431" s="686"/>
      <c r="AC1431" s="686"/>
      <c r="AD1431" s="686"/>
      <c r="AE1431" s="686"/>
      <c r="AF1431" s="686"/>
    </row>
    <row r="1432" ht="15.75" customHeight="1">
      <c r="A1432" s="683"/>
      <c r="B1432" s="683"/>
      <c r="C1432" s="684"/>
      <c r="D1432" s="684"/>
      <c r="E1432" s="684"/>
      <c r="F1432" s="683"/>
      <c r="G1432" s="683"/>
      <c r="H1432" s="683"/>
      <c r="I1432" s="683"/>
      <c r="J1432" s="683"/>
      <c r="K1432" s="683"/>
      <c r="L1432" s="685"/>
      <c r="M1432" s="685"/>
      <c r="N1432" s="687"/>
      <c r="O1432" s="683"/>
      <c r="P1432" s="683"/>
      <c r="Q1432" s="686"/>
      <c r="R1432" s="686"/>
      <c r="S1432" s="686"/>
      <c r="T1432" s="686"/>
      <c r="U1432" s="686"/>
      <c r="V1432" s="686"/>
      <c r="W1432" s="686"/>
      <c r="X1432" s="686"/>
      <c r="Y1432" s="686"/>
      <c r="Z1432" s="686"/>
      <c r="AA1432" s="686"/>
      <c r="AB1432" s="686"/>
      <c r="AC1432" s="686"/>
      <c r="AD1432" s="686"/>
      <c r="AE1432" s="686"/>
      <c r="AF1432" s="686"/>
    </row>
    <row r="1433" ht="15.75" customHeight="1">
      <c r="A1433" s="683"/>
      <c r="B1433" s="683"/>
      <c r="C1433" s="684"/>
      <c r="D1433" s="684"/>
      <c r="E1433" s="684"/>
      <c r="F1433" s="683"/>
      <c r="G1433" s="683"/>
      <c r="H1433" s="683"/>
      <c r="I1433" s="683"/>
      <c r="J1433" s="683"/>
      <c r="K1433" s="683"/>
      <c r="L1433" s="685"/>
      <c r="M1433" s="685"/>
      <c r="N1433" s="687"/>
      <c r="O1433" s="683"/>
      <c r="P1433" s="683"/>
      <c r="Q1433" s="686"/>
      <c r="R1433" s="686"/>
      <c r="S1433" s="686"/>
      <c r="T1433" s="686"/>
      <c r="U1433" s="686"/>
      <c r="V1433" s="686"/>
      <c r="W1433" s="686"/>
      <c r="X1433" s="686"/>
      <c r="Y1433" s="686"/>
      <c r="Z1433" s="686"/>
      <c r="AA1433" s="686"/>
      <c r="AB1433" s="686"/>
      <c r="AC1433" s="686"/>
      <c r="AD1433" s="686"/>
      <c r="AE1433" s="686"/>
      <c r="AF1433" s="686"/>
    </row>
    <row r="1434" ht="15.75" customHeight="1">
      <c r="A1434" s="683"/>
      <c r="B1434" s="683"/>
      <c r="C1434" s="684"/>
      <c r="D1434" s="684"/>
      <c r="E1434" s="684"/>
      <c r="F1434" s="683"/>
      <c r="G1434" s="683"/>
      <c r="H1434" s="683"/>
      <c r="I1434" s="683"/>
      <c r="J1434" s="683"/>
      <c r="K1434" s="683"/>
      <c r="L1434" s="685"/>
      <c r="M1434" s="685"/>
      <c r="N1434" s="687"/>
      <c r="O1434" s="683"/>
      <c r="P1434" s="683"/>
      <c r="Q1434" s="686"/>
      <c r="R1434" s="686"/>
      <c r="S1434" s="686"/>
      <c r="T1434" s="686"/>
      <c r="U1434" s="686"/>
      <c r="V1434" s="686"/>
      <c r="W1434" s="686"/>
      <c r="X1434" s="686"/>
      <c r="Y1434" s="686"/>
      <c r="Z1434" s="686"/>
      <c r="AA1434" s="686"/>
      <c r="AB1434" s="686"/>
      <c r="AC1434" s="686"/>
      <c r="AD1434" s="686"/>
      <c r="AE1434" s="686"/>
      <c r="AF1434" s="686"/>
    </row>
    <row r="1435" ht="15.75" customHeight="1">
      <c r="A1435" s="683"/>
      <c r="B1435" s="683"/>
      <c r="C1435" s="684"/>
      <c r="D1435" s="684"/>
      <c r="E1435" s="684"/>
      <c r="F1435" s="683"/>
      <c r="G1435" s="683"/>
      <c r="H1435" s="683"/>
      <c r="I1435" s="683"/>
      <c r="J1435" s="683"/>
      <c r="K1435" s="683"/>
      <c r="L1435" s="685"/>
      <c r="M1435" s="685"/>
      <c r="N1435" s="687"/>
      <c r="O1435" s="683"/>
      <c r="P1435" s="683"/>
      <c r="Q1435" s="686"/>
      <c r="R1435" s="686"/>
      <c r="S1435" s="686"/>
      <c r="T1435" s="686"/>
      <c r="U1435" s="686"/>
      <c r="V1435" s="686"/>
      <c r="W1435" s="686"/>
      <c r="X1435" s="686"/>
      <c r="Y1435" s="686"/>
      <c r="Z1435" s="686"/>
      <c r="AA1435" s="686"/>
      <c r="AB1435" s="686"/>
      <c r="AC1435" s="686"/>
      <c r="AD1435" s="686"/>
      <c r="AE1435" s="686"/>
      <c r="AF1435" s="686"/>
    </row>
    <row r="1436" ht="15.75" customHeight="1">
      <c r="A1436" s="683"/>
      <c r="B1436" s="683"/>
      <c r="C1436" s="684"/>
      <c r="D1436" s="684"/>
      <c r="E1436" s="684"/>
      <c r="F1436" s="683"/>
      <c r="G1436" s="683"/>
      <c r="H1436" s="683"/>
      <c r="I1436" s="683"/>
      <c r="J1436" s="683"/>
      <c r="K1436" s="683"/>
      <c r="L1436" s="685"/>
      <c r="M1436" s="685"/>
      <c r="N1436" s="687"/>
      <c r="O1436" s="683"/>
      <c r="P1436" s="683"/>
      <c r="Q1436" s="686"/>
      <c r="R1436" s="686"/>
      <c r="S1436" s="686"/>
      <c r="T1436" s="686"/>
      <c r="U1436" s="686"/>
      <c r="V1436" s="686"/>
      <c r="W1436" s="686"/>
      <c r="X1436" s="686"/>
      <c r="Y1436" s="686"/>
      <c r="Z1436" s="686"/>
      <c r="AA1436" s="686"/>
      <c r="AB1436" s="686"/>
      <c r="AC1436" s="686"/>
      <c r="AD1436" s="686"/>
      <c r="AE1436" s="686"/>
      <c r="AF1436" s="686"/>
    </row>
    <row r="1437" ht="15.75" customHeight="1">
      <c r="A1437" s="683"/>
      <c r="B1437" s="683"/>
      <c r="C1437" s="684"/>
      <c r="D1437" s="684"/>
      <c r="E1437" s="684"/>
      <c r="F1437" s="683"/>
      <c r="G1437" s="683"/>
      <c r="H1437" s="683"/>
      <c r="I1437" s="683"/>
      <c r="J1437" s="683"/>
      <c r="K1437" s="683"/>
      <c r="L1437" s="685"/>
      <c r="M1437" s="685"/>
      <c r="N1437" s="687"/>
      <c r="O1437" s="683"/>
      <c r="P1437" s="683"/>
      <c r="Q1437" s="686"/>
      <c r="R1437" s="686"/>
      <c r="S1437" s="686"/>
      <c r="T1437" s="686"/>
      <c r="U1437" s="686"/>
      <c r="V1437" s="686"/>
      <c r="W1437" s="686"/>
      <c r="X1437" s="686"/>
      <c r="Y1437" s="686"/>
      <c r="Z1437" s="686"/>
      <c r="AA1437" s="686"/>
      <c r="AB1437" s="686"/>
      <c r="AC1437" s="686"/>
      <c r="AD1437" s="686"/>
      <c r="AE1437" s="686"/>
      <c r="AF1437" s="686"/>
    </row>
    <row r="1438" ht="15.75" customHeight="1">
      <c r="A1438" s="683"/>
      <c r="B1438" s="683"/>
      <c r="C1438" s="684"/>
      <c r="D1438" s="684"/>
      <c r="E1438" s="684"/>
      <c r="F1438" s="683"/>
      <c r="G1438" s="683"/>
      <c r="H1438" s="683"/>
      <c r="I1438" s="683"/>
      <c r="J1438" s="683"/>
      <c r="K1438" s="683"/>
      <c r="L1438" s="685"/>
      <c r="M1438" s="685"/>
      <c r="N1438" s="687"/>
      <c r="O1438" s="683"/>
      <c r="P1438" s="683"/>
      <c r="Q1438" s="686"/>
      <c r="R1438" s="686"/>
      <c r="S1438" s="686"/>
      <c r="T1438" s="686"/>
      <c r="U1438" s="686"/>
      <c r="V1438" s="686"/>
      <c r="W1438" s="686"/>
      <c r="X1438" s="686"/>
      <c r="Y1438" s="686"/>
      <c r="Z1438" s="686"/>
      <c r="AA1438" s="686"/>
      <c r="AB1438" s="686"/>
      <c r="AC1438" s="686"/>
      <c r="AD1438" s="686"/>
      <c r="AE1438" s="686"/>
      <c r="AF1438" s="686"/>
    </row>
    <row r="1439" ht="15.75" customHeight="1">
      <c r="A1439" s="683"/>
      <c r="B1439" s="683"/>
      <c r="C1439" s="684"/>
      <c r="D1439" s="684"/>
      <c r="E1439" s="684"/>
      <c r="F1439" s="683"/>
      <c r="G1439" s="683"/>
      <c r="H1439" s="683"/>
      <c r="I1439" s="683"/>
      <c r="J1439" s="683"/>
      <c r="K1439" s="683"/>
      <c r="L1439" s="685"/>
      <c r="M1439" s="685"/>
      <c r="N1439" s="687"/>
      <c r="O1439" s="683"/>
      <c r="P1439" s="683"/>
      <c r="Q1439" s="686"/>
      <c r="R1439" s="686"/>
      <c r="S1439" s="686"/>
      <c r="T1439" s="686"/>
      <c r="U1439" s="686"/>
      <c r="V1439" s="686"/>
      <c r="W1439" s="686"/>
      <c r="X1439" s="686"/>
      <c r="Y1439" s="686"/>
      <c r="Z1439" s="686"/>
      <c r="AA1439" s="686"/>
      <c r="AB1439" s="686"/>
      <c r="AC1439" s="686"/>
      <c r="AD1439" s="686"/>
      <c r="AE1439" s="686"/>
      <c r="AF1439" s="686"/>
    </row>
    <row r="1440" ht="15.75" customHeight="1">
      <c r="A1440" s="683"/>
      <c r="B1440" s="683"/>
      <c r="C1440" s="684"/>
      <c r="D1440" s="684"/>
      <c r="E1440" s="684"/>
      <c r="F1440" s="683"/>
      <c r="G1440" s="683"/>
      <c r="H1440" s="683"/>
      <c r="I1440" s="683"/>
      <c r="J1440" s="683"/>
      <c r="K1440" s="683"/>
      <c r="L1440" s="685"/>
      <c r="M1440" s="685"/>
      <c r="N1440" s="687"/>
      <c r="O1440" s="683"/>
      <c r="P1440" s="683"/>
      <c r="Q1440" s="686"/>
      <c r="R1440" s="686"/>
      <c r="S1440" s="686"/>
      <c r="T1440" s="686"/>
      <c r="U1440" s="686"/>
      <c r="V1440" s="686"/>
      <c r="W1440" s="686"/>
      <c r="X1440" s="686"/>
      <c r="Y1440" s="686"/>
      <c r="Z1440" s="686"/>
      <c r="AA1440" s="686"/>
      <c r="AB1440" s="686"/>
      <c r="AC1440" s="686"/>
      <c r="AD1440" s="686"/>
      <c r="AE1440" s="686"/>
      <c r="AF1440" s="686"/>
    </row>
    <row r="1441" ht="15.75" customHeight="1">
      <c r="A1441" s="683"/>
      <c r="B1441" s="683"/>
      <c r="C1441" s="684"/>
      <c r="D1441" s="684"/>
      <c r="E1441" s="684"/>
      <c r="F1441" s="683"/>
      <c r="G1441" s="683"/>
      <c r="H1441" s="683"/>
      <c r="I1441" s="683"/>
      <c r="J1441" s="683"/>
      <c r="K1441" s="683"/>
      <c r="L1441" s="685"/>
      <c r="M1441" s="685"/>
      <c r="N1441" s="687"/>
      <c r="O1441" s="683"/>
      <c r="P1441" s="683"/>
      <c r="Q1441" s="686"/>
      <c r="R1441" s="686"/>
      <c r="S1441" s="686"/>
      <c r="T1441" s="686"/>
      <c r="U1441" s="686"/>
      <c r="V1441" s="686"/>
      <c r="W1441" s="686"/>
      <c r="X1441" s="686"/>
      <c r="Y1441" s="686"/>
      <c r="Z1441" s="686"/>
      <c r="AA1441" s="686"/>
      <c r="AB1441" s="686"/>
      <c r="AC1441" s="686"/>
      <c r="AD1441" s="686"/>
      <c r="AE1441" s="686"/>
      <c r="AF1441" s="686"/>
    </row>
    <row r="1442" ht="15.75" customHeight="1">
      <c r="A1442" s="683"/>
      <c r="B1442" s="683"/>
      <c r="C1442" s="684"/>
      <c r="D1442" s="684"/>
      <c r="E1442" s="684"/>
      <c r="F1442" s="683"/>
      <c r="G1442" s="683"/>
      <c r="H1442" s="683"/>
      <c r="I1442" s="683"/>
      <c r="J1442" s="683"/>
      <c r="K1442" s="683"/>
      <c r="L1442" s="685"/>
      <c r="M1442" s="685"/>
      <c r="N1442" s="687"/>
      <c r="O1442" s="683"/>
      <c r="P1442" s="683"/>
      <c r="Q1442" s="686"/>
      <c r="R1442" s="686"/>
      <c r="S1442" s="686"/>
      <c r="T1442" s="686"/>
      <c r="U1442" s="686"/>
      <c r="V1442" s="686"/>
      <c r="W1442" s="686"/>
      <c r="X1442" s="686"/>
      <c r="Y1442" s="686"/>
      <c r="Z1442" s="686"/>
      <c r="AA1442" s="686"/>
      <c r="AB1442" s="686"/>
      <c r="AC1442" s="686"/>
      <c r="AD1442" s="686"/>
      <c r="AE1442" s="686"/>
      <c r="AF1442" s="686"/>
    </row>
    <row r="1443" ht="15.75" customHeight="1">
      <c r="A1443" s="683"/>
      <c r="B1443" s="683"/>
      <c r="C1443" s="684"/>
      <c r="D1443" s="684"/>
      <c r="E1443" s="684"/>
      <c r="F1443" s="683"/>
      <c r="G1443" s="683"/>
      <c r="H1443" s="683"/>
      <c r="I1443" s="683"/>
      <c r="J1443" s="683"/>
      <c r="K1443" s="683"/>
      <c r="L1443" s="685"/>
      <c r="M1443" s="685"/>
      <c r="N1443" s="687"/>
      <c r="O1443" s="683"/>
      <c r="P1443" s="683"/>
      <c r="Q1443" s="686"/>
      <c r="R1443" s="686"/>
      <c r="S1443" s="686"/>
      <c r="T1443" s="686"/>
      <c r="U1443" s="686"/>
      <c r="V1443" s="686"/>
      <c r="W1443" s="686"/>
      <c r="X1443" s="686"/>
      <c r="Y1443" s="686"/>
      <c r="Z1443" s="686"/>
      <c r="AA1443" s="686"/>
      <c r="AB1443" s="686"/>
      <c r="AC1443" s="686"/>
      <c r="AD1443" s="686"/>
      <c r="AE1443" s="686"/>
      <c r="AF1443" s="686"/>
    </row>
    <row r="1444" ht="15.75" customHeight="1">
      <c r="A1444" s="683"/>
      <c r="B1444" s="683"/>
      <c r="C1444" s="684"/>
      <c r="D1444" s="684"/>
      <c r="E1444" s="684"/>
      <c r="F1444" s="683"/>
      <c r="G1444" s="683"/>
      <c r="H1444" s="683"/>
      <c r="I1444" s="683"/>
      <c r="J1444" s="683"/>
      <c r="K1444" s="683"/>
      <c r="L1444" s="685"/>
      <c r="M1444" s="685"/>
      <c r="N1444" s="687"/>
      <c r="O1444" s="683"/>
      <c r="P1444" s="683"/>
      <c r="Q1444" s="686"/>
      <c r="R1444" s="686"/>
      <c r="S1444" s="686"/>
      <c r="T1444" s="686"/>
      <c r="U1444" s="686"/>
      <c r="V1444" s="686"/>
      <c r="W1444" s="686"/>
      <c r="X1444" s="686"/>
      <c r="Y1444" s="686"/>
      <c r="Z1444" s="686"/>
      <c r="AA1444" s="686"/>
      <c r="AB1444" s="686"/>
      <c r="AC1444" s="686"/>
      <c r="AD1444" s="686"/>
      <c r="AE1444" s="686"/>
      <c r="AF1444" s="686"/>
    </row>
    <row r="1445" ht="15.75" customHeight="1">
      <c r="A1445" s="683"/>
      <c r="B1445" s="683"/>
      <c r="C1445" s="684"/>
      <c r="D1445" s="684"/>
      <c r="E1445" s="684"/>
      <c r="F1445" s="683"/>
      <c r="G1445" s="683"/>
      <c r="H1445" s="683"/>
      <c r="I1445" s="683"/>
      <c r="J1445" s="683"/>
      <c r="K1445" s="683"/>
      <c r="L1445" s="685"/>
      <c r="M1445" s="685"/>
      <c r="N1445" s="687"/>
      <c r="O1445" s="683"/>
      <c r="P1445" s="683"/>
      <c r="Q1445" s="686"/>
      <c r="R1445" s="686"/>
      <c r="S1445" s="686"/>
      <c r="T1445" s="686"/>
      <c r="U1445" s="686"/>
      <c r="V1445" s="686"/>
      <c r="W1445" s="686"/>
      <c r="X1445" s="686"/>
      <c r="Y1445" s="686"/>
      <c r="Z1445" s="686"/>
      <c r="AA1445" s="686"/>
      <c r="AB1445" s="686"/>
      <c r="AC1445" s="686"/>
      <c r="AD1445" s="686"/>
      <c r="AE1445" s="686"/>
      <c r="AF1445" s="686"/>
    </row>
    <row r="1446" ht="15.75" customHeight="1">
      <c r="A1446" s="683"/>
      <c r="B1446" s="683"/>
      <c r="C1446" s="684"/>
      <c r="D1446" s="684"/>
      <c r="E1446" s="684"/>
      <c r="F1446" s="683"/>
      <c r="G1446" s="683"/>
      <c r="H1446" s="683"/>
      <c r="I1446" s="683"/>
      <c r="J1446" s="683"/>
      <c r="K1446" s="683"/>
      <c r="L1446" s="685"/>
      <c r="M1446" s="685"/>
      <c r="N1446" s="687"/>
      <c r="O1446" s="683"/>
      <c r="P1446" s="683"/>
      <c r="Q1446" s="686"/>
      <c r="R1446" s="686"/>
      <c r="S1446" s="686"/>
      <c r="T1446" s="686"/>
      <c r="U1446" s="686"/>
      <c r="V1446" s="686"/>
      <c r="W1446" s="686"/>
      <c r="X1446" s="686"/>
      <c r="Y1446" s="686"/>
      <c r="Z1446" s="686"/>
      <c r="AA1446" s="686"/>
      <c r="AB1446" s="686"/>
      <c r="AC1446" s="686"/>
      <c r="AD1446" s="686"/>
      <c r="AE1446" s="686"/>
      <c r="AF1446" s="686"/>
    </row>
    <row r="1447" ht="15.75" customHeight="1">
      <c r="A1447" s="683"/>
      <c r="B1447" s="683"/>
      <c r="C1447" s="684"/>
      <c r="D1447" s="684"/>
      <c r="E1447" s="684"/>
      <c r="F1447" s="683"/>
      <c r="G1447" s="683"/>
      <c r="H1447" s="683"/>
      <c r="I1447" s="683"/>
      <c r="J1447" s="683"/>
      <c r="K1447" s="683"/>
      <c r="L1447" s="685"/>
      <c r="M1447" s="685"/>
      <c r="N1447" s="687"/>
      <c r="O1447" s="683"/>
      <c r="P1447" s="683"/>
      <c r="Q1447" s="686"/>
      <c r="R1447" s="686"/>
      <c r="S1447" s="686"/>
      <c r="T1447" s="686"/>
      <c r="U1447" s="686"/>
      <c r="V1447" s="686"/>
      <c r="W1447" s="686"/>
      <c r="X1447" s="686"/>
      <c r="Y1447" s="686"/>
      <c r="Z1447" s="686"/>
      <c r="AA1447" s="686"/>
      <c r="AB1447" s="686"/>
      <c r="AC1447" s="686"/>
      <c r="AD1447" s="686"/>
      <c r="AE1447" s="686"/>
      <c r="AF1447" s="686"/>
    </row>
    <row r="1448" ht="15.75" customHeight="1">
      <c r="A1448" s="683"/>
      <c r="B1448" s="683"/>
      <c r="C1448" s="684"/>
      <c r="D1448" s="684"/>
      <c r="E1448" s="684"/>
      <c r="F1448" s="683"/>
      <c r="G1448" s="683"/>
      <c r="H1448" s="683"/>
      <c r="I1448" s="683"/>
      <c r="J1448" s="683"/>
      <c r="K1448" s="683"/>
      <c r="L1448" s="685"/>
      <c r="M1448" s="685"/>
      <c r="N1448" s="687"/>
      <c r="O1448" s="683"/>
      <c r="P1448" s="683"/>
      <c r="Q1448" s="686"/>
      <c r="R1448" s="686"/>
      <c r="S1448" s="686"/>
      <c r="T1448" s="686"/>
      <c r="U1448" s="686"/>
      <c r="V1448" s="686"/>
      <c r="W1448" s="686"/>
      <c r="X1448" s="686"/>
      <c r="Y1448" s="686"/>
      <c r="Z1448" s="686"/>
      <c r="AA1448" s="686"/>
      <c r="AB1448" s="686"/>
      <c r="AC1448" s="686"/>
      <c r="AD1448" s="686"/>
      <c r="AE1448" s="686"/>
      <c r="AF1448" s="686"/>
    </row>
    <row r="1449" ht="15.75" customHeight="1">
      <c r="A1449" s="683"/>
      <c r="B1449" s="683"/>
      <c r="C1449" s="684"/>
      <c r="D1449" s="684"/>
      <c r="E1449" s="684"/>
      <c r="F1449" s="683"/>
      <c r="G1449" s="683"/>
      <c r="H1449" s="683"/>
      <c r="I1449" s="683"/>
      <c r="J1449" s="683"/>
      <c r="K1449" s="683"/>
      <c r="L1449" s="685"/>
      <c r="M1449" s="685"/>
      <c r="N1449" s="687"/>
      <c r="O1449" s="683"/>
      <c r="P1449" s="683"/>
      <c r="Q1449" s="686"/>
      <c r="R1449" s="686"/>
      <c r="S1449" s="686"/>
      <c r="T1449" s="686"/>
      <c r="U1449" s="686"/>
      <c r="V1449" s="686"/>
      <c r="W1449" s="686"/>
      <c r="X1449" s="686"/>
      <c r="Y1449" s="686"/>
      <c r="Z1449" s="686"/>
      <c r="AA1449" s="686"/>
      <c r="AB1449" s="686"/>
      <c r="AC1449" s="686"/>
      <c r="AD1449" s="686"/>
      <c r="AE1449" s="686"/>
      <c r="AF1449" s="686"/>
    </row>
    <row r="1450" ht="15.75" customHeight="1">
      <c r="A1450" s="683"/>
      <c r="B1450" s="683"/>
      <c r="C1450" s="684"/>
      <c r="D1450" s="684"/>
      <c r="E1450" s="684"/>
      <c r="F1450" s="683"/>
      <c r="G1450" s="683"/>
      <c r="H1450" s="683"/>
      <c r="I1450" s="683"/>
      <c r="J1450" s="683"/>
      <c r="K1450" s="683"/>
      <c r="L1450" s="685"/>
      <c r="M1450" s="685"/>
      <c r="N1450" s="687"/>
      <c r="O1450" s="683"/>
      <c r="P1450" s="683"/>
      <c r="Q1450" s="686"/>
      <c r="R1450" s="686"/>
      <c r="S1450" s="686"/>
      <c r="T1450" s="686"/>
      <c r="U1450" s="686"/>
      <c r="V1450" s="686"/>
      <c r="W1450" s="686"/>
      <c r="X1450" s="686"/>
      <c r="Y1450" s="686"/>
      <c r="Z1450" s="686"/>
      <c r="AA1450" s="686"/>
      <c r="AB1450" s="686"/>
      <c r="AC1450" s="686"/>
      <c r="AD1450" s="686"/>
      <c r="AE1450" s="686"/>
      <c r="AF1450" s="686"/>
    </row>
    <row r="1451" ht="15.75" customHeight="1">
      <c r="A1451" s="683"/>
      <c r="B1451" s="683"/>
      <c r="C1451" s="684"/>
      <c r="D1451" s="684"/>
      <c r="E1451" s="684"/>
      <c r="F1451" s="683"/>
      <c r="G1451" s="683"/>
      <c r="H1451" s="683"/>
      <c r="I1451" s="683"/>
      <c r="J1451" s="683"/>
      <c r="K1451" s="683"/>
      <c r="L1451" s="685"/>
      <c r="M1451" s="685"/>
      <c r="N1451" s="687"/>
      <c r="O1451" s="683"/>
      <c r="P1451" s="683"/>
      <c r="Q1451" s="686"/>
      <c r="R1451" s="686"/>
      <c r="S1451" s="686"/>
      <c r="T1451" s="686"/>
      <c r="U1451" s="686"/>
      <c r="V1451" s="686"/>
      <c r="W1451" s="686"/>
      <c r="X1451" s="686"/>
      <c r="Y1451" s="686"/>
      <c r="Z1451" s="686"/>
      <c r="AA1451" s="686"/>
      <c r="AB1451" s="686"/>
      <c r="AC1451" s="686"/>
      <c r="AD1451" s="686"/>
      <c r="AE1451" s="686"/>
      <c r="AF1451" s="686"/>
    </row>
    <row r="1452" ht="15.75" customHeight="1">
      <c r="A1452" s="683"/>
      <c r="B1452" s="683"/>
      <c r="C1452" s="684"/>
      <c r="D1452" s="684"/>
      <c r="E1452" s="684"/>
      <c r="F1452" s="683"/>
      <c r="G1452" s="683"/>
      <c r="H1452" s="683"/>
      <c r="I1452" s="683"/>
      <c r="J1452" s="683"/>
      <c r="K1452" s="683"/>
      <c r="L1452" s="685"/>
      <c r="M1452" s="685"/>
      <c r="N1452" s="687"/>
      <c r="O1452" s="683"/>
      <c r="P1452" s="683"/>
      <c r="Q1452" s="686"/>
      <c r="R1452" s="686"/>
      <c r="S1452" s="686"/>
      <c r="T1452" s="686"/>
      <c r="U1452" s="686"/>
      <c r="V1452" s="686"/>
      <c r="W1452" s="686"/>
      <c r="X1452" s="686"/>
      <c r="Y1452" s="686"/>
      <c r="Z1452" s="686"/>
      <c r="AA1452" s="686"/>
      <c r="AB1452" s="686"/>
      <c r="AC1452" s="686"/>
      <c r="AD1452" s="686"/>
      <c r="AE1452" s="686"/>
      <c r="AF1452" s="686"/>
    </row>
    <row r="1453" ht="15.75" customHeight="1">
      <c r="A1453" s="683"/>
      <c r="B1453" s="683"/>
      <c r="C1453" s="684"/>
      <c r="D1453" s="684"/>
      <c r="E1453" s="684"/>
      <c r="F1453" s="683"/>
      <c r="G1453" s="683"/>
      <c r="H1453" s="683"/>
      <c r="I1453" s="683"/>
      <c r="J1453" s="683"/>
      <c r="K1453" s="683"/>
      <c r="L1453" s="685"/>
      <c r="M1453" s="685"/>
      <c r="N1453" s="687"/>
      <c r="O1453" s="683"/>
      <c r="P1453" s="683"/>
      <c r="Q1453" s="686"/>
      <c r="R1453" s="686"/>
      <c r="S1453" s="686"/>
      <c r="T1453" s="686"/>
      <c r="U1453" s="686"/>
      <c r="V1453" s="686"/>
      <c r="W1453" s="686"/>
      <c r="X1453" s="686"/>
      <c r="Y1453" s="686"/>
      <c r="Z1453" s="686"/>
      <c r="AA1453" s="686"/>
      <c r="AB1453" s="686"/>
      <c r="AC1453" s="686"/>
      <c r="AD1453" s="686"/>
      <c r="AE1453" s="686"/>
      <c r="AF1453" s="686"/>
    </row>
    <row r="1454" ht="15.75" customHeight="1">
      <c r="A1454" s="683"/>
      <c r="B1454" s="683"/>
      <c r="C1454" s="684"/>
      <c r="D1454" s="684"/>
      <c r="E1454" s="684"/>
      <c r="F1454" s="683"/>
      <c r="G1454" s="683"/>
      <c r="H1454" s="683"/>
      <c r="I1454" s="683"/>
      <c r="J1454" s="683"/>
      <c r="K1454" s="683"/>
      <c r="L1454" s="685"/>
      <c r="M1454" s="685"/>
      <c r="N1454" s="687"/>
      <c r="O1454" s="683"/>
      <c r="P1454" s="683"/>
      <c r="Q1454" s="686"/>
      <c r="R1454" s="686"/>
      <c r="S1454" s="686"/>
      <c r="T1454" s="686"/>
      <c r="U1454" s="686"/>
      <c r="V1454" s="686"/>
      <c r="W1454" s="686"/>
      <c r="X1454" s="686"/>
      <c r="Y1454" s="686"/>
      <c r="Z1454" s="686"/>
      <c r="AA1454" s="686"/>
      <c r="AB1454" s="686"/>
      <c r="AC1454" s="686"/>
      <c r="AD1454" s="686"/>
      <c r="AE1454" s="686"/>
      <c r="AF1454" s="686"/>
    </row>
    <row r="1455" ht="15.75" customHeight="1">
      <c r="A1455" s="683"/>
      <c r="B1455" s="683"/>
      <c r="C1455" s="684"/>
      <c r="D1455" s="684"/>
      <c r="E1455" s="684"/>
      <c r="F1455" s="683"/>
      <c r="G1455" s="683"/>
      <c r="H1455" s="683"/>
      <c r="I1455" s="683"/>
      <c r="J1455" s="683"/>
      <c r="K1455" s="683"/>
      <c r="L1455" s="685"/>
      <c r="M1455" s="685"/>
      <c r="N1455" s="687"/>
      <c r="O1455" s="683"/>
      <c r="P1455" s="683"/>
      <c r="Q1455" s="686"/>
      <c r="R1455" s="686"/>
      <c r="S1455" s="686"/>
      <c r="T1455" s="686"/>
      <c r="U1455" s="686"/>
      <c r="V1455" s="686"/>
      <c r="W1455" s="686"/>
      <c r="X1455" s="686"/>
      <c r="Y1455" s="686"/>
      <c r="Z1455" s="686"/>
      <c r="AA1455" s="686"/>
      <c r="AB1455" s="686"/>
      <c r="AC1455" s="686"/>
      <c r="AD1455" s="686"/>
      <c r="AE1455" s="686"/>
      <c r="AF1455" s="686"/>
    </row>
    <row r="1456" ht="15.75" customHeight="1">
      <c r="A1456" s="683"/>
      <c r="B1456" s="683"/>
      <c r="C1456" s="684"/>
      <c r="D1456" s="684"/>
      <c r="E1456" s="684"/>
      <c r="F1456" s="683"/>
      <c r="G1456" s="689"/>
      <c r="H1456" s="689"/>
      <c r="I1456" s="683"/>
      <c r="J1456" s="683"/>
      <c r="K1456" s="683"/>
      <c r="L1456" s="685"/>
      <c r="M1456" s="685"/>
      <c r="N1456" s="687"/>
      <c r="O1456" s="683"/>
      <c r="P1456" s="683"/>
      <c r="Q1456" s="686"/>
      <c r="R1456" s="686"/>
      <c r="S1456" s="686"/>
      <c r="T1456" s="686"/>
      <c r="U1456" s="686"/>
      <c r="V1456" s="686"/>
      <c r="W1456" s="686"/>
      <c r="X1456" s="686"/>
      <c r="Y1456" s="686"/>
      <c r="Z1456" s="686"/>
      <c r="AA1456" s="686"/>
      <c r="AB1456" s="686"/>
      <c r="AC1456" s="686"/>
      <c r="AD1456" s="686"/>
      <c r="AE1456" s="686"/>
      <c r="AF1456" s="686"/>
    </row>
    <row r="1457" ht="15.75" customHeight="1">
      <c r="A1457" s="683"/>
      <c r="B1457" s="683"/>
      <c r="C1457" s="684"/>
      <c r="D1457" s="684"/>
      <c r="E1457" s="684"/>
      <c r="F1457" s="683"/>
      <c r="G1457" s="683"/>
      <c r="H1457" s="683"/>
      <c r="I1457" s="683"/>
      <c r="J1457" s="683"/>
      <c r="K1457" s="683"/>
      <c r="L1457" s="685"/>
      <c r="M1457" s="685"/>
      <c r="N1457" s="687"/>
      <c r="O1457" s="683"/>
      <c r="P1457" s="683"/>
      <c r="Q1457" s="686"/>
      <c r="R1457" s="686"/>
      <c r="S1457" s="686"/>
      <c r="T1457" s="686"/>
      <c r="U1457" s="686"/>
      <c r="V1457" s="686"/>
      <c r="W1457" s="686"/>
      <c r="X1457" s="686"/>
      <c r="Y1457" s="686"/>
      <c r="Z1457" s="686"/>
      <c r="AA1457" s="686"/>
      <c r="AB1457" s="686"/>
      <c r="AC1457" s="686"/>
      <c r="AD1457" s="686"/>
      <c r="AE1457" s="686"/>
      <c r="AF1457" s="686"/>
    </row>
    <row r="1458" ht="15.75" customHeight="1">
      <c r="A1458" s="683"/>
      <c r="B1458" s="683"/>
      <c r="C1458" s="684"/>
      <c r="D1458" s="684"/>
      <c r="E1458" s="684"/>
      <c r="F1458" s="683"/>
      <c r="G1458" s="683"/>
      <c r="H1458" s="683"/>
      <c r="I1458" s="683"/>
      <c r="J1458" s="683"/>
      <c r="K1458" s="683"/>
      <c r="L1458" s="685"/>
      <c r="M1458" s="685"/>
      <c r="N1458" s="687"/>
      <c r="O1458" s="683"/>
      <c r="P1458" s="683"/>
      <c r="Q1458" s="686"/>
      <c r="R1458" s="686"/>
      <c r="S1458" s="686"/>
      <c r="T1458" s="686"/>
      <c r="U1458" s="686"/>
      <c r="V1458" s="686"/>
      <c r="W1458" s="686"/>
      <c r="X1458" s="686"/>
      <c r="Y1458" s="686"/>
      <c r="Z1458" s="686"/>
      <c r="AA1458" s="686"/>
      <c r="AB1458" s="686"/>
      <c r="AC1458" s="686"/>
      <c r="AD1458" s="686"/>
      <c r="AE1458" s="686"/>
      <c r="AF1458" s="686"/>
    </row>
    <row r="1459" ht="15.75" customHeight="1">
      <c r="A1459" s="683"/>
      <c r="B1459" s="683"/>
      <c r="C1459" s="684"/>
      <c r="D1459" s="684"/>
      <c r="E1459" s="684"/>
      <c r="F1459" s="683"/>
      <c r="G1459" s="683"/>
      <c r="H1459" s="683"/>
      <c r="I1459" s="683"/>
      <c r="J1459" s="683"/>
      <c r="K1459" s="683"/>
      <c r="L1459" s="685"/>
      <c r="M1459" s="685"/>
      <c r="N1459" s="687"/>
      <c r="O1459" s="683"/>
      <c r="P1459" s="683"/>
      <c r="Q1459" s="686"/>
      <c r="R1459" s="686"/>
      <c r="S1459" s="686"/>
      <c r="T1459" s="686"/>
      <c r="U1459" s="686"/>
      <c r="V1459" s="686"/>
      <c r="W1459" s="686"/>
      <c r="X1459" s="686"/>
      <c r="Y1459" s="686"/>
      <c r="Z1459" s="686"/>
      <c r="AA1459" s="686"/>
      <c r="AB1459" s="686"/>
      <c r="AC1459" s="686"/>
      <c r="AD1459" s="686"/>
      <c r="AE1459" s="686"/>
      <c r="AF1459" s="686"/>
    </row>
    <row r="1460" ht="15.75" customHeight="1">
      <c r="A1460" s="683"/>
      <c r="B1460" s="683"/>
      <c r="C1460" s="684"/>
      <c r="D1460" s="684"/>
      <c r="E1460" s="684"/>
      <c r="F1460" s="683"/>
      <c r="G1460" s="683"/>
      <c r="H1460" s="683"/>
      <c r="I1460" s="683"/>
      <c r="J1460" s="683"/>
      <c r="K1460" s="683"/>
      <c r="L1460" s="685"/>
      <c r="M1460" s="685"/>
      <c r="N1460" s="687"/>
      <c r="O1460" s="683"/>
      <c r="P1460" s="683"/>
      <c r="Q1460" s="686"/>
      <c r="R1460" s="686"/>
      <c r="S1460" s="686"/>
      <c r="T1460" s="686"/>
      <c r="U1460" s="686"/>
      <c r="V1460" s="686"/>
      <c r="W1460" s="686"/>
      <c r="X1460" s="686"/>
      <c r="Y1460" s="686"/>
      <c r="Z1460" s="686"/>
      <c r="AA1460" s="686"/>
      <c r="AB1460" s="686"/>
      <c r="AC1460" s="686"/>
      <c r="AD1460" s="686"/>
      <c r="AE1460" s="686"/>
      <c r="AF1460" s="686"/>
    </row>
    <row r="1461" ht="15.75" customHeight="1">
      <c r="A1461" s="683"/>
      <c r="B1461" s="683"/>
      <c r="C1461" s="684"/>
      <c r="D1461" s="684"/>
      <c r="E1461" s="684"/>
      <c r="F1461" s="683"/>
      <c r="G1461" s="683"/>
      <c r="H1461" s="683"/>
      <c r="I1461" s="683"/>
      <c r="J1461" s="683"/>
      <c r="K1461" s="683"/>
      <c r="L1461" s="685"/>
      <c r="M1461" s="685"/>
      <c r="N1461" s="687"/>
      <c r="O1461" s="683"/>
      <c r="P1461" s="683"/>
      <c r="Q1461" s="686"/>
      <c r="R1461" s="686"/>
      <c r="S1461" s="686"/>
      <c r="T1461" s="686"/>
      <c r="U1461" s="686"/>
      <c r="V1461" s="686"/>
      <c r="W1461" s="686"/>
      <c r="X1461" s="686"/>
      <c r="Y1461" s="686"/>
      <c r="Z1461" s="686"/>
      <c r="AA1461" s="686"/>
      <c r="AB1461" s="686"/>
      <c r="AC1461" s="686"/>
      <c r="AD1461" s="686"/>
      <c r="AE1461" s="686"/>
      <c r="AF1461" s="686"/>
    </row>
    <row r="1462" ht="15.75" customHeight="1">
      <c r="A1462" s="683"/>
      <c r="B1462" s="683"/>
      <c r="C1462" s="684"/>
      <c r="D1462" s="684"/>
      <c r="E1462" s="684"/>
      <c r="F1462" s="683"/>
      <c r="G1462" s="683"/>
      <c r="H1462" s="683"/>
      <c r="I1462" s="683"/>
      <c r="J1462" s="683"/>
      <c r="K1462" s="683"/>
      <c r="L1462" s="685"/>
      <c r="M1462" s="685"/>
      <c r="N1462" s="687"/>
      <c r="O1462" s="683"/>
      <c r="P1462" s="683"/>
      <c r="Q1462" s="686"/>
      <c r="R1462" s="686"/>
      <c r="S1462" s="686"/>
      <c r="T1462" s="686"/>
      <c r="U1462" s="686"/>
      <c r="V1462" s="686"/>
      <c r="W1462" s="686"/>
      <c r="X1462" s="686"/>
      <c r="Y1462" s="686"/>
      <c r="Z1462" s="686"/>
      <c r="AA1462" s="686"/>
      <c r="AB1462" s="686"/>
      <c r="AC1462" s="686"/>
      <c r="AD1462" s="686"/>
      <c r="AE1462" s="686"/>
      <c r="AF1462" s="686"/>
    </row>
    <row r="1463" ht="15.75" customHeight="1">
      <c r="A1463" s="683"/>
      <c r="B1463" s="683"/>
      <c r="C1463" s="684"/>
      <c r="D1463" s="684"/>
      <c r="E1463" s="684"/>
      <c r="F1463" s="683"/>
      <c r="G1463" s="683"/>
      <c r="H1463" s="683"/>
      <c r="I1463" s="683"/>
      <c r="J1463" s="683"/>
      <c r="K1463" s="683"/>
      <c r="L1463" s="685"/>
      <c r="M1463" s="685"/>
      <c r="N1463" s="687"/>
      <c r="O1463" s="683"/>
      <c r="P1463" s="683"/>
      <c r="Q1463" s="686"/>
      <c r="R1463" s="686"/>
      <c r="S1463" s="686"/>
      <c r="T1463" s="686"/>
      <c r="U1463" s="686"/>
      <c r="V1463" s="686"/>
      <c r="W1463" s="686"/>
      <c r="X1463" s="686"/>
      <c r="Y1463" s="686"/>
      <c r="Z1463" s="686"/>
      <c r="AA1463" s="686"/>
      <c r="AB1463" s="686"/>
      <c r="AC1463" s="686"/>
      <c r="AD1463" s="686"/>
      <c r="AE1463" s="686"/>
      <c r="AF1463" s="686"/>
    </row>
    <row r="1464" ht="15.75" customHeight="1">
      <c r="A1464" s="683"/>
      <c r="B1464" s="683"/>
      <c r="C1464" s="684"/>
      <c r="D1464" s="684"/>
      <c r="E1464" s="684"/>
      <c r="F1464" s="683"/>
      <c r="G1464" s="683"/>
      <c r="H1464" s="683"/>
      <c r="I1464" s="683"/>
      <c r="J1464" s="683"/>
      <c r="K1464" s="683"/>
      <c r="L1464" s="685"/>
      <c r="M1464" s="685"/>
      <c r="N1464" s="687"/>
      <c r="O1464" s="683"/>
      <c r="P1464" s="683"/>
      <c r="Q1464" s="686"/>
      <c r="R1464" s="686"/>
      <c r="S1464" s="686"/>
      <c r="T1464" s="686"/>
      <c r="U1464" s="686"/>
      <c r="V1464" s="686"/>
      <c r="W1464" s="686"/>
      <c r="X1464" s="686"/>
      <c r="Y1464" s="686"/>
      <c r="Z1464" s="686"/>
      <c r="AA1464" s="686"/>
      <c r="AB1464" s="686"/>
      <c r="AC1464" s="686"/>
      <c r="AD1464" s="686"/>
      <c r="AE1464" s="686"/>
      <c r="AF1464" s="686"/>
    </row>
    <row r="1465" ht="15.75" customHeight="1">
      <c r="A1465" s="683"/>
      <c r="B1465" s="683"/>
      <c r="C1465" s="684"/>
      <c r="D1465" s="684"/>
      <c r="E1465" s="684"/>
      <c r="F1465" s="683"/>
      <c r="G1465" s="683"/>
      <c r="H1465" s="683"/>
      <c r="I1465" s="683"/>
      <c r="J1465" s="683"/>
      <c r="K1465" s="683"/>
      <c r="L1465" s="685"/>
      <c r="M1465" s="685"/>
      <c r="N1465" s="687"/>
      <c r="O1465" s="683"/>
      <c r="P1465" s="683"/>
      <c r="Q1465" s="686"/>
      <c r="R1465" s="686"/>
      <c r="S1465" s="686"/>
      <c r="T1465" s="686"/>
      <c r="U1465" s="686"/>
      <c r="V1465" s="686"/>
      <c r="W1465" s="686"/>
      <c r="X1465" s="686"/>
      <c r="Y1465" s="686"/>
      <c r="Z1465" s="686"/>
      <c r="AA1465" s="686"/>
      <c r="AB1465" s="686"/>
      <c r="AC1465" s="686"/>
      <c r="AD1465" s="686"/>
      <c r="AE1465" s="686"/>
      <c r="AF1465" s="686"/>
    </row>
    <row r="1466" ht="15.75" customHeight="1">
      <c r="A1466" s="683"/>
      <c r="B1466" s="683"/>
      <c r="C1466" s="684"/>
      <c r="D1466" s="684"/>
      <c r="E1466" s="684"/>
      <c r="F1466" s="683"/>
      <c r="G1466" s="683"/>
      <c r="H1466" s="683"/>
      <c r="I1466" s="683"/>
      <c r="J1466" s="683"/>
      <c r="K1466" s="683"/>
      <c r="L1466" s="685"/>
      <c r="M1466" s="685"/>
      <c r="N1466" s="687"/>
      <c r="O1466" s="683"/>
      <c r="P1466" s="683"/>
      <c r="Q1466" s="686"/>
      <c r="R1466" s="686"/>
      <c r="S1466" s="686"/>
      <c r="T1466" s="686"/>
      <c r="U1466" s="686"/>
      <c r="V1466" s="686"/>
      <c r="W1466" s="686"/>
      <c r="X1466" s="686"/>
      <c r="Y1466" s="686"/>
      <c r="Z1466" s="686"/>
      <c r="AA1466" s="686"/>
      <c r="AB1466" s="686"/>
      <c r="AC1466" s="686"/>
      <c r="AD1466" s="686"/>
      <c r="AE1466" s="686"/>
      <c r="AF1466" s="686"/>
    </row>
    <row r="1467" ht="15.75" customHeight="1">
      <c r="A1467" s="683"/>
      <c r="B1467" s="683"/>
      <c r="C1467" s="684"/>
      <c r="D1467" s="684"/>
      <c r="E1467" s="684"/>
      <c r="F1467" s="683"/>
      <c r="G1467" s="683"/>
      <c r="H1467" s="683"/>
      <c r="I1467" s="683"/>
      <c r="J1467" s="683"/>
      <c r="K1467" s="683"/>
      <c r="L1467" s="685"/>
      <c r="M1467" s="685"/>
      <c r="N1467" s="687"/>
      <c r="O1467" s="683"/>
      <c r="P1467" s="683"/>
      <c r="Q1467" s="686"/>
      <c r="R1467" s="686"/>
      <c r="S1467" s="686"/>
      <c r="T1467" s="686"/>
      <c r="U1467" s="686"/>
      <c r="V1467" s="686"/>
      <c r="W1467" s="686"/>
      <c r="X1467" s="686"/>
      <c r="Y1467" s="686"/>
      <c r="Z1467" s="686"/>
      <c r="AA1467" s="686"/>
      <c r="AB1467" s="686"/>
      <c r="AC1467" s="686"/>
      <c r="AD1467" s="686"/>
      <c r="AE1467" s="686"/>
      <c r="AF1467" s="686"/>
    </row>
    <row r="1468" ht="15.75" customHeight="1">
      <c r="A1468" s="683"/>
      <c r="B1468" s="683"/>
      <c r="C1468" s="684"/>
      <c r="D1468" s="684"/>
      <c r="E1468" s="684"/>
      <c r="F1468" s="683"/>
      <c r="G1468" s="683"/>
      <c r="H1468" s="683"/>
      <c r="I1468" s="683"/>
      <c r="J1468" s="683"/>
      <c r="K1468" s="683"/>
      <c r="L1468" s="685"/>
      <c r="M1468" s="685"/>
      <c r="N1468" s="687"/>
      <c r="O1468" s="683"/>
      <c r="P1468" s="683"/>
      <c r="Q1468" s="686"/>
      <c r="R1468" s="686"/>
      <c r="S1468" s="686"/>
      <c r="T1468" s="686"/>
      <c r="U1468" s="686"/>
      <c r="V1468" s="686"/>
      <c r="W1468" s="686"/>
      <c r="X1468" s="686"/>
      <c r="Y1468" s="686"/>
      <c r="Z1468" s="686"/>
      <c r="AA1468" s="686"/>
      <c r="AB1468" s="686"/>
      <c r="AC1468" s="686"/>
      <c r="AD1468" s="686"/>
      <c r="AE1468" s="686"/>
      <c r="AF1468" s="686"/>
    </row>
    <row r="1469" ht="15.75" customHeight="1">
      <c r="A1469" s="683"/>
      <c r="B1469" s="683"/>
      <c r="C1469" s="684"/>
      <c r="D1469" s="684"/>
      <c r="E1469" s="684"/>
      <c r="F1469" s="683"/>
      <c r="G1469" s="683"/>
      <c r="H1469" s="683"/>
      <c r="I1469" s="683"/>
      <c r="J1469" s="683"/>
      <c r="K1469" s="683"/>
      <c r="L1469" s="685"/>
      <c r="M1469" s="685"/>
      <c r="N1469" s="687"/>
      <c r="O1469" s="683"/>
      <c r="P1469" s="683"/>
      <c r="Q1469" s="686"/>
      <c r="R1469" s="686"/>
      <c r="S1469" s="686"/>
      <c r="T1469" s="686"/>
      <c r="U1469" s="686"/>
      <c r="V1469" s="686"/>
      <c r="W1469" s="686"/>
      <c r="X1469" s="686"/>
      <c r="Y1469" s="686"/>
      <c r="Z1469" s="686"/>
      <c r="AA1469" s="686"/>
      <c r="AB1469" s="686"/>
      <c r="AC1469" s="686"/>
      <c r="AD1469" s="686"/>
      <c r="AE1469" s="686"/>
      <c r="AF1469" s="686"/>
    </row>
    <row r="1470" ht="15.75" customHeight="1">
      <c r="A1470" s="683"/>
      <c r="B1470" s="683"/>
      <c r="C1470" s="684"/>
      <c r="D1470" s="684"/>
      <c r="E1470" s="684"/>
      <c r="F1470" s="683"/>
      <c r="G1470" s="683"/>
      <c r="H1470" s="683"/>
      <c r="I1470" s="683"/>
      <c r="J1470" s="683"/>
      <c r="K1470" s="683"/>
      <c r="L1470" s="685"/>
      <c r="M1470" s="685"/>
      <c r="N1470" s="687"/>
      <c r="O1470" s="683"/>
      <c r="P1470" s="683"/>
      <c r="Q1470" s="686"/>
      <c r="R1470" s="686"/>
      <c r="S1470" s="686"/>
      <c r="T1470" s="686"/>
      <c r="U1470" s="686"/>
      <c r="V1470" s="686"/>
      <c r="W1470" s="686"/>
      <c r="X1470" s="686"/>
      <c r="Y1470" s="686"/>
      <c r="Z1470" s="686"/>
      <c r="AA1470" s="686"/>
      <c r="AB1470" s="686"/>
      <c r="AC1470" s="686"/>
      <c r="AD1470" s="686"/>
      <c r="AE1470" s="686"/>
      <c r="AF1470" s="686"/>
    </row>
    <row r="1471" ht="15.75" customHeight="1">
      <c r="A1471" s="683"/>
      <c r="B1471" s="683"/>
      <c r="C1471" s="684"/>
      <c r="D1471" s="684"/>
      <c r="E1471" s="684"/>
      <c r="F1471" s="683"/>
      <c r="G1471" s="683"/>
      <c r="H1471" s="683"/>
      <c r="I1471" s="683"/>
      <c r="J1471" s="683"/>
      <c r="K1471" s="683"/>
      <c r="L1471" s="685"/>
      <c r="M1471" s="685"/>
      <c r="N1471" s="687"/>
      <c r="O1471" s="683"/>
      <c r="P1471" s="683"/>
      <c r="Q1471" s="686"/>
      <c r="R1471" s="686"/>
      <c r="S1471" s="686"/>
      <c r="T1471" s="686"/>
      <c r="U1471" s="686"/>
      <c r="V1471" s="686"/>
      <c r="W1471" s="686"/>
      <c r="X1471" s="686"/>
      <c r="Y1471" s="686"/>
      <c r="Z1471" s="686"/>
      <c r="AA1471" s="686"/>
      <c r="AB1471" s="686"/>
      <c r="AC1471" s="686"/>
      <c r="AD1471" s="686"/>
      <c r="AE1471" s="686"/>
      <c r="AF1471" s="686"/>
    </row>
    <row r="1472" ht="15.75" customHeight="1">
      <c r="A1472" s="683"/>
      <c r="B1472" s="683"/>
      <c r="C1472" s="684"/>
      <c r="D1472" s="684"/>
      <c r="E1472" s="684"/>
      <c r="F1472" s="683"/>
      <c r="G1472" s="683"/>
      <c r="H1472" s="683"/>
      <c r="I1472" s="683"/>
      <c r="J1472" s="683"/>
      <c r="K1472" s="683"/>
      <c r="L1472" s="685"/>
      <c r="M1472" s="685"/>
      <c r="N1472" s="687"/>
      <c r="O1472" s="683"/>
      <c r="P1472" s="683"/>
      <c r="Q1472" s="686"/>
      <c r="R1472" s="686"/>
      <c r="S1472" s="686"/>
      <c r="T1472" s="686"/>
      <c r="U1472" s="686"/>
      <c r="V1472" s="686"/>
      <c r="W1472" s="686"/>
      <c r="X1472" s="686"/>
      <c r="Y1472" s="686"/>
      <c r="Z1472" s="686"/>
      <c r="AA1472" s="686"/>
      <c r="AB1472" s="686"/>
      <c r="AC1472" s="686"/>
      <c r="AD1472" s="686"/>
      <c r="AE1472" s="686"/>
      <c r="AF1472" s="686"/>
    </row>
    <row r="1473" ht="15.75" customHeight="1">
      <c r="A1473" s="683"/>
      <c r="B1473" s="683"/>
      <c r="C1473" s="684"/>
      <c r="D1473" s="684"/>
      <c r="E1473" s="684"/>
      <c r="F1473" s="683"/>
      <c r="G1473" s="683"/>
      <c r="H1473" s="683"/>
      <c r="I1473" s="683"/>
      <c r="J1473" s="683"/>
      <c r="K1473" s="683"/>
      <c r="L1473" s="685"/>
      <c r="M1473" s="685"/>
      <c r="N1473" s="687"/>
      <c r="O1473" s="683"/>
      <c r="P1473" s="683"/>
      <c r="Q1473" s="686"/>
      <c r="R1473" s="686"/>
      <c r="S1473" s="686"/>
      <c r="T1473" s="686"/>
      <c r="U1473" s="686"/>
      <c r="V1473" s="686"/>
      <c r="W1473" s="686"/>
      <c r="X1473" s="686"/>
      <c r="Y1473" s="686"/>
      <c r="Z1473" s="686"/>
      <c r="AA1473" s="686"/>
      <c r="AB1473" s="686"/>
      <c r="AC1473" s="686"/>
      <c r="AD1473" s="686"/>
      <c r="AE1473" s="686"/>
      <c r="AF1473" s="686"/>
    </row>
    <row r="1474" ht="15.75" customHeight="1">
      <c r="A1474" s="683"/>
      <c r="B1474" s="683"/>
      <c r="C1474" s="684"/>
      <c r="D1474" s="684"/>
      <c r="E1474" s="684"/>
      <c r="F1474" s="683"/>
      <c r="G1474" s="683"/>
      <c r="H1474" s="683"/>
      <c r="I1474" s="683"/>
      <c r="J1474" s="683"/>
      <c r="K1474" s="683"/>
      <c r="L1474" s="685"/>
      <c r="M1474" s="685"/>
      <c r="N1474" s="687"/>
      <c r="O1474" s="683"/>
      <c r="P1474" s="683"/>
      <c r="Q1474" s="686"/>
      <c r="R1474" s="686"/>
      <c r="S1474" s="686"/>
      <c r="T1474" s="686"/>
      <c r="U1474" s="686"/>
      <c r="V1474" s="686"/>
      <c r="W1474" s="686"/>
      <c r="X1474" s="686"/>
      <c r="Y1474" s="686"/>
      <c r="Z1474" s="686"/>
      <c r="AA1474" s="686"/>
      <c r="AB1474" s="686"/>
      <c r="AC1474" s="686"/>
      <c r="AD1474" s="686"/>
      <c r="AE1474" s="686"/>
      <c r="AF1474" s="686"/>
    </row>
    <row r="1475" ht="15.75" customHeight="1">
      <c r="A1475" s="683"/>
      <c r="B1475" s="683"/>
      <c r="C1475" s="684"/>
      <c r="D1475" s="684"/>
      <c r="E1475" s="684"/>
      <c r="F1475" s="683"/>
      <c r="G1475" s="683"/>
      <c r="H1475" s="683"/>
      <c r="I1475" s="683"/>
      <c r="J1475" s="683"/>
      <c r="K1475" s="683"/>
      <c r="L1475" s="685"/>
      <c r="M1475" s="685"/>
      <c r="N1475" s="687"/>
      <c r="O1475" s="683"/>
      <c r="P1475" s="683"/>
      <c r="Q1475" s="686"/>
      <c r="R1475" s="686"/>
      <c r="S1475" s="686"/>
      <c r="T1475" s="686"/>
      <c r="U1475" s="686"/>
      <c r="V1475" s="686"/>
      <c r="W1475" s="686"/>
      <c r="X1475" s="686"/>
      <c r="Y1475" s="686"/>
      <c r="Z1475" s="686"/>
      <c r="AA1475" s="686"/>
      <c r="AB1475" s="686"/>
      <c r="AC1475" s="686"/>
      <c r="AD1475" s="686"/>
      <c r="AE1475" s="686"/>
      <c r="AF1475" s="686"/>
    </row>
    <row r="1476" ht="15.75" customHeight="1">
      <c r="A1476" s="683"/>
      <c r="B1476" s="683"/>
      <c r="C1476" s="684"/>
      <c r="D1476" s="684"/>
      <c r="E1476" s="684"/>
      <c r="F1476" s="683"/>
      <c r="G1476" s="683"/>
      <c r="H1476" s="683"/>
      <c r="I1476" s="683"/>
      <c r="J1476" s="683"/>
      <c r="K1476" s="683"/>
      <c r="L1476" s="685"/>
      <c r="M1476" s="685"/>
      <c r="N1476" s="687"/>
      <c r="O1476" s="683"/>
      <c r="P1476" s="683"/>
      <c r="Q1476" s="686"/>
      <c r="R1476" s="686"/>
      <c r="S1476" s="686"/>
      <c r="T1476" s="686"/>
      <c r="U1476" s="686"/>
      <c r="V1476" s="686"/>
      <c r="W1476" s="686"/>
      <c r="X1476" s="686"/>
      <c r="Y1476" s="686"/>
      <c r="Z1476" s="686"/>
      <c r="AA1476" s="686"/>
      <c r="AB1476" s="686"/>
      <c r="AC1476" s="686"/>
      <c r="AD1476" s="686"/>
      <c r="AE1476" s="686"/>
      <c r="AF1476" s="686"/>
    </row>
    <row r="1477" ht="15.75" customHeight="1">
      <c r="A1477" s="683"/>
      <c r="B1477" s="683"/>
      <c r="C1477" s="684"/>
      <c r="D1477" s="684"/>
      <c r="E1477" s="684"/>
      <c r="F1477" s="683"/>
      <c r="G1477" s="683"/>
      <c r="H1477" s="683"/>
      <c r="I1477" s="683"/>
      <c r="J1477" s="683"/>
      <c r="K1477" s="683"/>
      <c r="L1477" s="685"/>
      <c r="M1477" s="685"/>
      <c r="N1477" s="687"/>
      <c r="O1477" s="683"/>
      <c r="P1477" s="683"/>
      <c r="Q1477" s="686"/>
      <c r="R1477" s="686"/>
      <c r="S1477" s="686"/>
      <c r="T1477" s="686"/>
      <c r="U1477" s="686"/>
      <c r="V1477" s="686"/>
      <c r="W1477" s="686"/>
      <c r="X1477" s="686"/>
      <c r="Y1477" s="686"/>
      <c r="Z1477" s="686"/>
      <c r="AA1477" s="686"/>
      <c r="AB1477" s="686"/>
      <c r="AC1477" s="686"/>
      <c r="AD1477" s="686"/>
      <c r="AE1477" s="686"/>
      <c r="AF1477" s="686"/>
    </row>
    <row r="1478" ht="15.75" customHeight="1">
      <c r="A1478" s="683"/>
      <c r="B1478" s="683"/>
      <c r="C1478" s="684"/>
      <c r="D1478" s="684"/>
      <c r="E1478" s="684"/>
      <c r="F1478" s="683"/>
      <c r="G1478" s="683"/>
      <c r="H1478" s="683"/>
      <c r="I1478" s="683"/>
      <c r="J1478" s="683"/>
      <c r="K1478" s="683"/>
      <c r="L1478" s="685"/>
      <c r="M1478" s="685"/>
      <c r="N1478" s="687"/>
      <c r="O1478" s="683"/>
      <c r="P1478" s="683"/>
      <c r="Q1478" s="686"/>
      <c r="R1478" s="686"/>
      <c r="S1478" s="686"/>
      <c r="T1478" s="686"/>
      <c r="U1478" s="686"/>
      <c r="V1478" s="686"/>
      <c r="W1478" s="686"/>
      <c r="X1478" s="686"/>
      <c r="Y1478" s="686"/>
      <c r="Z1478" s="686"/>
      <c r="AA1478" s="686"/>
      <c r="AB1478" s="686"/>
      <c r="AC1478" s="686"/>
      <c r="AD1478" s="686"/>
      <c r="AE1478" s="686"/>
      <c r="AF1478" s="686"/>
    </row>
    <row r="1479" ht="15.75" customHeight="1">
      <c r="A1479" s="683"/>
      <c r="B1479" s="683"/>
      <c r="C1479" s="684"/>
      <c r="D1479" s="684"/>
      <c r="E1479" s="684"/>
      <c r="F1479" s="683"/>
      <c r="G1479" s="683"/>
      <c r="H1479" s="683"/>
      <c r="I1479" s="683"/>
      <c r="J1479" s="683"/>
      <c r="K1479" s="683"/>
      <c r="L1479" s="685"/>
      <c r="M1479" s="685"/>
      <c r="N1479" s="687"/>
      <c r="O1479" s="683"/>
      <c r="P1479" s="683"/>
      <c r="Q1479" s="686"/>
      <c r="R1479" s="686"/>
      <c r="S1479" s="686"/>
      <c r="T1479" s="686"/>
      <c r="U1479" s="686"/>
      <c r="V1479" s="686"/>
      <c r="W1479" s="686"/>
      <c r="X1479" s="686"/>
      <c r="Y1479" s="686"/>
      <c r="Z1479" s="686"/>
      <c r="AA1479" s="686"/>
      <c r="AB1479" s="686"/>
      <c r="AC1479" s="686"/>
      <c r="AD1479" s="686"/>
      <c r="AE1479" s="686"/>
      <c r="AF1479" s="686"/>
    </row>
    <row r="1480" ht="15.75" customHeight="1">
      <c r="A1480" s="683"/>
      <c r="B1480" s="683"/>
      <c r="C1480" s="684"/>
      <c r="D1480" s="684"/>
      <c r="E1480" s="684"/>
      <c r="F1480" s="683"/>
      <c r="G1480" s="683"/>
      <c r="H1480" s="683"/>
      <c r="I1480" s="683"/>
      <c r="J1480" s="683"/>
      <c r="K1480" s="683"/>
      <c r="L1480" s="685"/>
      <c r="M1480" s="685"/>
      <c r="N1480" s="687"/>
      <c r="O1480" s="683"/>
      <c r="P1480" s="683"/>
      <c r="Q1480" s="686"/>
      <c r="R1480" s="686"/>
      <c r="S1480" s="686"/>
      <c r="T1480" s="686"/>
      <c r="U1480" s="686"/>
      <c r="V1480" s="686"/>
      <c r="W1480" s="686"/>
      <c r="X1480" s="686"/>
      <c r="Y1480" s="686"/>
      <c r="Z1480" s="686"/>
      <c r="AA1480" s="686"/>
      <c r="AB1480" s="686"/>
      <c r="AC1480" s="686"/>
      <c r="AD1480" s="686"/>
      <c r="AE1480" s="686"/>
      <c r="AF1480" s="686"/>
    </row>
    <row r="1481" ht="15.75" customHeight="1">
      <c r="A1481" s="683"/>
      <c r="B1481" s="683"/>
      <c r="C1481" s="684"/>
      <c r="D1481" s="684"/>
      <c r="E1481" s="684"/>
      <c r="F1481" s="683"/>
      <c r="G1481" s="683"/>
      <c r="H1481" s="683"/>
      <c r="I1481" s="683"/>
      <c r="J1481" s="683"/>
      <c r="K1481" s="683"/>
      <c r="L1481" s="685"/>
      <c r="M1481" s="685"/>
      <c r="N1481" s="687"/>
      <c r="O1481" s="683"/>
      <c r="P1481" s="683"/>
      <c r="Q1481" s="686"/>
      <c r="R1481" s="686"/>
      <c r="S1481" s="686"/>
      <c r="T1481" s="686"/>
      <c r="U1481" s="686"/>
      <c r="V1481" s="686"/>
      <c r="W1481" s="686"/>
      <c r="X1481" s="686"/>
      <c r="Y1481" s="686"/>
      <c r="Z1481" s="686"/>
      <c r="AA1481" s="686"/>
      <c r="AB1481" s="686"/>
      <c r="AC1481" s="686"/>
      <c r="AD1481" s="686"/>
      <c r="AE1481" s="686"/>
      <c r="AF1481" s="686"/>
    </row>
    <row r="1482" ht="15.75" customHeight="1">
      <c r="A1482" s="683"/>
      <c r="B1482" s="683"/>
      <c r="C1482" s="684"/>
      <c r="D1482" s="684"/>
      <c r="E1482" s="684"/>
      <c r="F1482" s="683"/>
      <c r="G1482" s="683"/>
      <c r="H1482" s="683"/>
      <c r="I1482" s="683"/>
      <c r="J1482" s="683"/>
      <c r="K1482" s="683"/>
      <c r="L1482" s="685"/>
      <c r="M1482" s="685"/>
      <c r="N1482" s="687"/>
      <c r="O1482" s="683"/>
      <c r="P1482" s="683"/>
      <c r="Q1482" s="686"/>
      <c r="R1482" s="686"/>
      <c r="S1482" s="686"/>
      <c r="T1482" s="686"/>
      <c r="U1482" s="686"/>
      <c r="V1482" s="686"/>
      <c r="W1482" s="686"/>
      <c r="X1482" s="686"/>
      <c r="Y1482" s="686"/>
      <c r="Z1482" s="686"/>
      <c r="AA1482" s="686"/>
      <c r="AB1482" s="686"/>
      <c r="AC1482" s="686"/>
      <c r="AD1482" s="686"/>
      <c r="AE1482" s="686"/>
      <c r="AF1482" s="686"/>
    </row>
    <row r="1483" ht="15.75" customHeight="1">
      <c r="A1483" s="683"/>
      <c r="B1483" s="683"/>
      <c r="C1483" s="684"/>
      <c r="D1483" s="684"/>
      <c r="E1483" s="684"/>
      <c r="F1483" s="683"/>
      <c r="G1483" s="683"/>
      <c r="H1483" s="683"/>
      <c r="I1483" s="683"/>
      <c r="J1483" s="683"/>
      <c r="K1483" s="683"/>
      <c r="L1483" s="685"/>
      <c r="M1483" s="685"/>
      <c r="N1483" s="687"/>
      <c r="O1483" s="683"/>
      <c r="P1483" s="683"/>
      <c r="Q1483" s="686"/>
      <c r="R1483" s="686"/>
      <c r="S1483" s="686"/>
      <c r="T1483" s="686"/>
      <c r="U1483" s="686"/>
      <c r="V1483" s="686"/>
      <c r="W1483" s="686"/>
      <c r="X1483" s="686"/>
      <c r="Y1483" s="686"/>
      <c r="Z1483" s="686"/>
      <c r="AA1483" s="686"/>
      <c r="AB1483" s="686"/>
      <c r="AC1483" s="686"/>
      <c r="AD1483" s="686"/>
      <c r="AE1483" s="686"/>
      <c r="AF1483" s="686"/>
    </row>
    <row r="1484" ht="15.75" customHeight="1">
      <c r="A1484" s="683"/>
      <c r="B1484" s="683"/>
      <c r="C1484" s="684"/>
      <c r="D1484" s="684"/>
      <c r="E1484" s="684"/>
      <c r="F1484" s="683"/>
      <c r="G1484" s="683"/>
      <c r="H1484" s="683"/>
      <c r="I1484" s="683"/>
      <c r="J1484" s="683"/>
      <c r="K1484" s="683"/>
      <c r="L1484" s="685"/>
      <c r="M1484" s="685"/>
      <c r="N1484" s="687"/>
      <c r="O1484" s="683"/>
      <c r="P1484" s="683"/>
      <c r="Q1484" s="686"/>
      <c r="R1484" s="686"/>
      <c r="S1484" s="686"/>
      <c r="T1484" s="686"/>
      <c r="U1484" s="686"/>
      <c r="V1484" s="686"/>
      <c r="W1484" s="686"/>
      <c r="X1484" s="686"/>
      <c r="Y1484" s="686"/>
      <c r="Z1484" s="686"/>
      <c r="AA1484" s="686"/>
      <c r="AB1484" s="686"/>
      <c r="AC1484" s="686"/>
      <c r="AD1484" s="686"/>
      <c r="AE1484" s="686"/>
      <c r="AF1484" s="686"/>
    </row>
    <row r="1485" ht="15.75" customHeight="1">
      <c r="A1485" s="683"/>
      <c r="B1485" s="683"/>
      <c r="C1485" s="684"/>
      <c r="D1485" s="684"/>
      <c r="E1485" s="684"/>
      <c r="F1485" s="683"/>
      <c r="G1485" s="683"/>
      <c r="H1485" s="683"/>
      <c r="I1485" s="683"/>
      <c r="J1485" s="683"/>
      <c r="K1485" s="683"/>
      <c r="L1485" s="685"/>
      <c r="M1485" s="685"/>
      <c r="N1485" s="687"/>
      <c r="O1485" s="683"/>
      <c r="P1485" s="683"/>
      <c r="Q1485" s="686"/>
      <c r="R1485" s="686"/>
      <c r="S1485" s="686"/>
      <c r="T1485" s="686"/>
      <c r="U1485" s="686"/>
      <c r="V1485" s="686"/>
      <c r="W1485" s="686"/>
      <c r="X1485" s="686"/>
      <c r="Y1485" s="686"/>
      <c r="Z1485" s="686"/>
      <c r="AA1485" s="686"/>
      <c r="AB1485" s="686"/>
      <c r="AC1485" s="686"/>
      <c r="AD1485" s="686"/>
      <c r="AE1485" s="686"/>
      <c r="AF1485" s="686"/>
    </row>
    <row r="1486" ht="15.75" customHeight="1">
      <c r="A1486" s="683"/>
      <c r="B1486" s="683"/>
      <c r="C1486" s="684"/>
      <c r="D1486" s="684"/>
      <c r="E1486" s="684"/>
      <c r="F1486" s="683"/>
      <c r="G1486" s="683"/>
      <c r="H1486" s="683"/>
      <c r="I1486" s="683"/>
      <c r="J1486" s="683"/>
      <c r="K1486" s="683"/>
      <c r="L1486" s="685"/>
      <c r="M1486" s="685"/>
      <c r="N1486" s="687"/>
      <c r="O1486" s="683"/>
      <c r="P1486" s="683"/>
      <c r="Q1486" s="686"/>
      <c r="R1486" s="686"/>
      <c r="S1486" s="686"/>
      <c r="T1486" s="686"/>
      <c r="U1486" s="686"/>
      <c r="V1486" s="686"/>
      <c r="W1486" s="686"/>
      <c r="X1486" s="686"/>
      <c r="Y1486" s="686"/>
      <c r="Z1486" s="686"/>
      <c r="AA1486" s="686"/>
      <c r="AB1486" s="686"/>
      <c r="AC1486" s="686"/>
      <c r="AD1486" s="686"/>
      <c r="AE1486" s="686"/>
      <c r="AF1486" s="686"/>
    </row>
    <row r="1487" ht="15.75" customHeight="1">
      <c r="A1487" s="683"/>
      <c r="B1487" s="683"/>
      <c r="C1487" s="684"/>
      <c r="D1487" s="684"/>
      <c r="E1487" s="684"/>
      <c r="F1487" s="683"/>
      <c r="G1487" s="683"/>
      <c r="H1487" s="683"/>
      <c r="I1487" s="683"/>
      <c r="J1487" s="683"/>
      <c r="K1487" s="683"/>
      <c r="L1487" s="685"/>
      <c r="M1487" s="685"/>
      <c r="N1487" s="687"/>
      <c r="O1487" s="683"/>
      <c r="P1487" s="683"/>
      <c r="Q1487" s="686"/>
      <c r="R1487" s="686"/>
      <c r="S1487" s="686"/>
      <c r="T1487" s="686"/>
      <c r="U1487" s="686"/>
      <c r="V1487" s="686"/>
      <c r="W1487" s="686"/>
      <c r="X1487" s="686"/>
      <c r="Y1487" s="686"/>
      <c r="Z1487" s="686"/>
      <c r="AA1487" s="686"/>
      <c r="AB1487" s="686"/>
      <c r="AC1487" s="686"/>
      <c r="AD1487" s="686"/>
      <c r="AE1487" s="686"/>
      <c r="AF1487" s="686"/>
    </row>
    <row r="1488" ht="15.75" customHeight="1">
      <c r="A1488" s="683"/>
      <c r="B1488" s="683"/>
      <c r="C1488" s="684"/>
      <c r="D1488" s="684"/>
      <c r="E1488" s="684"/>
      <c r="F1488" s="683"/>
      <c r="G1488" s="683"/>
      <c r="H1488" s="683"/>
      <c r="I1488" s="683"/>
      <c r="J1488" s="683"/>
      <c r="K1488" s="683"/>
      <c r="L1488" s="685"/>
      <c r="M1488" s="685"/>
      <c r="N1488" s="687"/>
      <c r="O1488" s="683"/>
      <c r="P1488" s="683"/>
      <c r="Q1488" s="686"/>
      <c r="R1488" s="686"/>
      <c r="S1488" s="686"/>
      <c r="T1488" s="686"/>
      <c r="U1488" s="686"/>
      <c r="V1488" s="686"/>
      <c r="W1488" s="686"/>
      <c r="X1488" s="686"/>
      <c r="Y1488" s="686"/>
      <c r="Z1488" s="686"/>
      <c r="AA1488" s="686"/>
      <c r="AB1488" s="686"/>
      <c r="AC1488" s="686"/>
      <c r="AD1488" s="686"/>
      <c r="AE1488" s="686"/>
      <c r="AF1488" s="686"/>
    </row>
    <row r="1489" ht="15.75" customHeight="1">
      <c r="A1489" s="683"/>
      <c r="B1489" s="683"/>
      <c r="C1489" s="684"/>
      <c r="D1489" s="684"/>
      <c r="E1489" s="684"/>
      <c r="F1489" s="683"/>
      <c r="G1489" s="683"/>
      <c r="H1489" s="683"/>
      <c r="I1489" s="683"/>
      <c r="J1489" s="683"/>
      <c r="K1489" s="683"/>
      <c r="L1489" s="685"/>
      <c r="M1489" s="685"/>
      <c r="N1489" s="687"/>
      <c r="O1489" s="683"/>
      <c r="P1489" s="683"/>
      <c r="Q1489" s="686"/>
      <c r="R1489" s="686"/>
      <c r="S1489" s="686"/>
      <c r="T1489" s="686"/>
      <c r="U1489" s="686"/>
      <c r="V1489" s="686"/>
      <c r="W1489" s="686"/>
      <c r="X1489" s="686"/>
      <c r="Y1489" s="686"/>
      <c r="Z1489" s="686"/>
      <c r="AA1489" s="686"/>
      <c r="AB1489" s="686"/>
      <c r="AC1489" s="686"/>
      <c r="AD1489" s="686"/>
      <c r="AE1489" s="686"/>
      <c r="AF1489" s="686"/>
    </row>
    <row r="1490" ht="15.75" customHeight="1">
      <c r="A1490" s="683"/>
      <c r="B1490" s="683"/>
      <c r="C1490" s="684"/>
      <c r="D1490" s="684"/>
      <c r="E1490" s="684"/>
      <c r="F1490" s="683"/>
      <c r="G1490" s="683"/>
      <c r="H1490" s="683"/>
      <c r="I1490" s="683"/>
      <c r="J1490" s="683"/>
      <c r="K1490" s="683"/>
      <c r="L1490" s="685"/>
      <c r="M1490" s="685"/>
      <c r="N1490" s="687"/>
      <c r="O1490" s="683"/>
      <c r="P1490" s="683"/>
      <c r="Q1490" s="686"/>
      <c r="R1490" s="686"/>
      <c r="S1490" s="686"/>
      <c r="T1490" s="686"/>
      <c r="U1490" s="686"/>
      <c r="V1490" s="686"/>
      <c r="W1490" s="686"/>
      <c r="X1490" s="686"/>
      <c r="Y1490" s="686"/>
      <c r="Z1490" s="686"/>
      <c r="AA1490" s="686"/>
      <c r="AB1490" s="686"/>
      <c r="AC1490" s="686"/>
      <c r="AD1490" s="686"/>
      <c r="AE1490" s="686"/>
      <c r="AF1490" s="686"/>
    </row>
    <row r="1491" ht="15.75" customHeight="1">
      <c r="A1491" s="683"/>
      <c r="B1491" s="683"/>
      <c r="C1491" s="684"/>
      <c r="D1491" s="684"/>
      <c r="E1491" s="684"/>
      <c r="F1491" s="683"/>
      <c r="G1491" s="683"/>
      <c r="H1491" s="683"/>
      <c r="I1491" s="683"/>
      <c r="J1491" s="683"/>
      <c r="K1491" s="683"/>
      <c r="L1491" s="685"/>
      <c r="M1491" s="685"/>
      <c r="N1491" s="687"/>
      <c r="O1491" s="683"/>
      <c r="P1491" s="683"/>
      <c r="Q1491" s="686"/>
      <c r="R1491" s="686"/>
      <c r="S1491" s="686"/>
      <c r="T1491" s="686"/>
      <c r="U1491" s="686"/>
      <c r="V1491" s="686"/>
      <c r="W1491" s="686"/>
      <c r="X1491" s="686"/>
      <c r="Y1491" s="686"/>
      <c r="Z1491" s="686"/>
      <c r="AA1491" s="686"/>
      <c r="AB1491" s="686"/>
      <c r="AC1491" s="686"/>
      <c r="AD1491" s="686"/>
      <c r="AE1491" s="686"/>
      <c r="AF1491" s="686"/>
    </row>
    <row r="1492" ht="15.75" customHeight="1">
      <c r="A1492" s="683"/>
      <c r="B1492" s="683"/>
      <c r="C1492" s="684"/>
      <c r="D1492" s="684"/>
      <c r="E1492" s="684"/>
      <c r="F1492" s="683"/>
      <c r="G1492" s="683"/>
      <c r="H1492" s="683"/>
      <c r="I1492" s="683"/>
      <c r="J1492" s="683"/>
      <c r="K1492" s="683"/>
      <c r="L1492" s="685"/>
      <c r="M1492" s="685"/>
      <c r="N1492" s="687"/>
      <c r="O1492" s="683"/>
      <c r="P1492" s="683"/>
      <c r="Q1492" s="686"/>
      <c r="R1492" s="686"/>
      <c r="S1492" s="686"/>
      <c r="T1492" s="686"/>
      <c r="U1492" s="686"/>
      <c r="V1492" s="686"/>
      <c r="W1492" s="686"/>
      <c r="X1492" s="686"/>
      <c r="Y1492" s="686"/>
      <c r="Z1492" s="686"/>
      <c r="AA1492" s="686"/>
      <c r="AB1492" s="686"/>
      <c r="AC1492" s="686"/>
      <c r="AD1492" s="686"/>
      <c r="AE1492" s="686"/>
      <c r="AF1492" s="686"/>
    </row>
    <row r="1493" ht="15.75" customHeight="1">
      <c r="A1493" s="683"/>
      <c r="B1493" s="683"/>
      <c r="C1493" s="684"/>
      <c r="D1493" s="684"/>
      <c r="E1493" s="684"/>
      <c r="F1493" s="683"/>
      <c r="G1493" s="683"/>
      <c r="H1493" s="683"/>
      <c r="I1493" s="683"/>
      <c r="J1493" s="683"/>
      <c r="K1493" s="683"/>
      <c r="L1493" s="685"/>
      <c r="M1493" s="685"/>
      <c r="N1493" s="687"/>
      <c r="O1493" s="683"/>
      <c r="P1493" s="683"/>
      <c r="Q1493" s="686"/>
      <c r="R1493" s="686"/>
      <c r="S1493" s="686"/>
      <c r="T1493" s="686"/>
      <c r="U1493" s="686"/>
      <c r="V1493" s="686"/>
      <c r="W1493" s="686"/>
      <c r="X1493" s="686"/>
      <c r="Y1493" s="686"/>
      <c r="Z1493" s="686"/>
      <c r="AA1493" s="686"/>
      <c r="AB1493" s="686"/>
      <c r="AC1493" s="686"/>
      <c r="AD1493" s="686"/>
      <c r="AE1493" s="686"/>
      <c r="AF1493" s="686"/>
    </row>
    <row r="1494" ht="15.75" customHeight="1">
      <c r="A1494" s="683"/>
      <c r="B1494" s="683"/>
      <c r="C1494" s="684"/>
      <c r="D1494" s="684"/>
      <c r="E1494" s="684"/>
      <c r="F1494" s="683"/>
      <c r="G1494" s="683"/>
      <c r="H1494" s="683"/>
      <c r="I1494" s="683"/>
      <c r="J1494" s="683"/>
      <c r="K1494" s="683"/>
      <c r="L1494" s="685"/>
      <c r="M1494" s="685"/>
      <c r="N1494" s="687"/>
      <c r="O1494" s="683"/>
      <c r="P1494" s="683"/>
      <c r="Q1494" s="686"/>
      <c r="R1494" s="686"/>
      <c r="S1494" s="686"/>
      <c r="T1494" s="686"/>
      <c r="U1494" s="686"/>
      <c r="V1494" s="686"/>
      <c r="W1494" s="686"/>
      <c r="X1494" s="686"/>
      <c r="Y1494" s="686"/>
      <c r="Z1494" s="686"/>
      <c r="AA1494" s="686"/>
      <c r="AB1494" s="686"/>
      <c r="AC1494" s="686"/>
      <c r="AD1494" s="686"/>
      <c r="AE1494" s="686"/>
      <c r="AF1494" s="686"/>
    </row>
    <row r="1495" ht="15.75" customHeight="1">
      <c r="A1495" s="683"/>
      <c r="B1495" s="683"/>
      <c r="C1495" s="684"/>
      <c r="D1495" s="684"/>
      <c r="E1495" s="684"/>
      <c r="F1495" s="683"/>
      <c r="G1495" s="683"/>
      <c r="H1495" s="683"/>
      <c r="I1495" s="683"/>
      <c r="J1495" s="683"/>
      <c r="K1495" s="683"/>
      <c r="L1495" s="685"/>
      <c r="M1495" s="685"/>
      <c r="N1495" s="687"/>
      <c r="O1495" s="683"/>
      <c r="P1495" s="683"/>
      <c r="Q1495" s="686"/>
      <c r="R1495" s="686"/>
      <c r="S1495" s="686"/>
      <c r="T1495" s="686"/>
      <c r="U1495" s="686"/>
      <c r="V1495" s="686"/>
      <c r="W1495" s="686"/>
      <c r="X1495" s="686"/>
      <c r="Y1495" s="686"/>
      <c r="Z1495" s="686"/>
      <c r="AA1495" s="686"/>
      <c r="AB1495" s="686"/>
      <c r="AC1495" s="686"/>
      <c r="AD1495" s="686"/>
      <c r="AE1495" s="686"/>
      <c r="AF1495" s="686"/>
    </row>
    <row r="1496" ht="15.75" customHeight="1">
      <c r="A1496" s="683"/>
      <c r="B1496" s="683"/>
      <c r="C1496" s="684"/>
      <c r="D1496" s="684"/>
      <c r="E1496" s="684"/>
      <c r="F1496" s="683"/>
      <c r="G1496" s="683"/>
      <c r="H1496" s="683"/>
      <c r="I1496" s="683"/>
      <c r="J1496" s="683"/>
      <c r="K1496" s="683"/>
      <c r="L1496" s="685"/>
      <c r="M1496" s="685"/>
      <c r="N1496" s="687"/>
      <c r="O1496" s="683"/>
      <c r="P1496" s="683"/>
      <c r="Q1496" s="686"/>
      <c r="R1496" s="686"/>
      <c r="S1496" s="686"/>
      <c r="T1496" s="686"/>
      <c r="U1496" s="686"/>
      <c r="V1496" s="686"/>
      <c r="W1496" s="686"/>
      <c r="X1496" s="686"/>
      <c r="Y1496" s="686"/>
      <c r="Z1496" s="686"/>
      <c r="AA1496" s="686"/>
      <c r="AB1496" s="686"/>
      <c r="AC1496" s="686"/>
      <c r="AD1496" s="686"/>
      <c r="AE1496" s="686"/>
      <c r="AF1496" s="686"/>
    </row>
    <row r="1497" ht="15.75" customHeight="1">
      <c r="A1497" s="683"/>
      <c r="B1497" s="683"/>
      <c r="C1497" s="684"/>
      <c r="D1497" s="684"/>
      <c r="E1497" s="684"/>
      <c r="F1497" s="683"/>
      <c r="G1497" s="683"/>
      <c r="H1497" s="683"/>
      <c r="I1497" s="683"/>
      <c r="J1497" s="683"/>
      <c r="K1497" s="683"/>
      <c r="L1497" s="685"/>
      <c r="M1497" s="685"/>
      <c r="N1497" s="687"/>
      <c r="O1497" s="683"/>
      <c r="P1497" s="683"/>
      <c r="Q1497" s="686"/>
      <c r="R1497" s="686"/>
      <c r="S1497" s="686"/>
      <c r="T1497" s="686"/>
      <c r="U1497" s="686"/>
      <c r="V1497" s="686"/>
      <c r="W1497" s="686"/>
      <c r="X1497" s="686"/>
      <c r="Y1497" s="686"/>
      <c r="Z1497" s="686"/>
      <c r="AA1497" s="686"/>
      <c r="AB1497" s="686"/>
      <c r="AC1497" s="686"/>
      <c r="AD1497" s="686"/>
      <c r="AE1497" s="686"/>
      <c r="AF1497" s="686"/>
    </row>
    <row r="1498" ht="15.75" customHeight="1">
      <c r="A1498" s="683"/>
      <c r="B1498" s="683"/>
      <c r="C1498" s="684"/>
      <c r="D1498" s="684"/>
      <c r="E1498" s="684"/>
      <c r="F1498" s="683"/>
      <c r="G1498" s="683"/>
      <c r="H1498" s="683"/>
      <c r="I1498" s="683"/>
      <c r="J1498" s="683"/>
      <c r="K1498" s="683"/>
      <c r="L1498" s="685"/>
      <c r="M1498" s="685"/>
      <c r="N1498" s="687"/>
      <c r="O1498" s="683"/>
      <c r="P1498" s="683"/>
      <c r="Q1498" s="686"/>
      <c r="R1498" s="686"/>
      <c r="S1498" s="686"/>
      <c r="T1498" s="686"/>
      <c r="U1498" s="686"/>
      <c r="V1498" s="686"/>
      <c r="W1498" s="686"/>
      <c r="X1498" s="686"/>
      <c r="Y1498" s="686"/>
      <c r="Z1498" s="686"/>
      <c r="AA1498" s="686"/>
      <c r="AB1498" s="686"/>
      <c r="AC1498" s="686"/>
      <c r="AD1498" s="686"/>
      <c r="AE1498" s="686"/>
      <c r="AF1498" s="686"/>
    </row>
    <row r="1499" ht="15.75" customHeight="1">
      <c r="A1499" s="683"/>
      <c r="B1499" s="683"/>
      <c r="C1499" s="684"/>
      <c r="D1499" s="684"/>
      <c r="E1499" s="684"/>
      <c r="F1499" s="683"/>
      <c r="G1499" s="683"/>
      <c r="H1499" s="683"/>
      <c r="I1499" s="683"/>
      <c r="J1499" s="683"/>
      <c r="K1499" s="683"/>
      <c r="L1499" s="685"/>
      <c r="M1499" s="685"/>
      <c r="N1499" s="687"/>
      <c r="O1499" s="683"/>
      <c r="P1499" s="683"/>
      <c r="Q1499" s="686"/>
      <c r="R1499" s="686"/>
      <c r="S1499" s="686"/>
      <c r="T1499" s="686"/>
      <c r="U1499" s="686"/>
      <c r="V1499" s="686"/>
      <c r="W1499" s="686"/>
      <c r="X1499" s="686"/>
      <c r="Y1499" s="686"/>
      <c r="Z1499" s="686"/>
      <c r="AA1499" s="686"/>
      <c r="AB1499" s="686"/>
      <c r="AC1499" s="686"/>
      <c r="AD1499" s="686"/>
      <c r="AE1499" s="686"/>
      <c r="AF1499" s="686"/>
    </row>
    <row r="1500" ht="15.75" customHeight="1">
      <c r="A1500" s="683"/>
      <c r="B1500" s="683"/>
      <c r="C1500" s="684"/>
      <c r="D1500" s="684"/>
      <c r="E1500" s="684"/>
      <c r="F1500" s="683"/>
      <c r="G1500" s="683"/>
      <c r="H1500" s="683"/>
      <c r="I1500" s="683"/>
      <c r="J1500" s="683"/>
      <c r="K1500" s="683"/>
      <c r="L1500" s="685"/>
      <c r="M1500" s="685"/>
      <c r="N1500" s="687"/>
      <c r="O1500" s="683"/>
      <c r="P1500" s="683"/>
      <c r="Q1500" s="686"/>
      <c r="R1500" s="686"/>
      <c r="S1500" s="686"/>
      <c r="T1500" s="686"/>
      <c r="U1500" s="686"/>
      <c r="V1500" s="686"/>
      <c r="W1500" s="686"/>
      <c r="X1500" s="686"/>
      <c r="Y1500" s="686"/>
      <c r="Z1500" s="686"/>
      <c r="AA1500" s="686"/>
      <c r="AB1500" s="686"/>
      <c r="AC1500" s="686"/>
      <c r="AD1500" s="686"/>
      <c r="AE1500" s="686"/>
      <c r="AF1500" s="686"/>
    </row>
    <row r="1501" ht="15.75" customHeight="1">
      <c r="A1501" s="683"/>
      <c r="B1501" s="683"/>
      <c r="C1501" s="684"/>
      <c r="D1501" s="684"/>
      <c r="E1501" s="684"/>
      <c r="F1501" s="683"/>
      <c r="G1501" s="683"/>
      <c r="H1501" s="683"/>
      <c r="I1501" s="683"/>
      <c r="J1501" s="683"/>
      <c r="K1501" s="683"/>
      <c r="L1501" s="685"/>
      <c r="M1501" s="685"/>
      <c r="N1501" s="687"/>
      <c r="O1501" s="683"/>
      <c r="P1501" s="683"/>
      <c r="Q1501" s="686"/>
      <c r="R1501" s="686"/>
      <c r="S1501" s="686"/>
      <c r="T1501" s="686"/>
      <c r="U1501" s="686"/>
      <c r="V1501" s="686"/>
      <c r="W1501" s="686"/>
      <c r="X1501" s="686"/>
      <c r="Y1501" s="686"/>
      <c r="Z1501" s="686"/>
      <c r="AA1501" s="686"/>
      <c r="AB1501" s="686"/>
      <c r="AC1501" s="686"/>
      <c r="AD1501" s="686"/>
      <c r="AE1501" s="686"/>
      <c r="AF1501" s="686"/>
    </row>
    <row r="1502" ht="15.75" customHeight="1">
      <c r="A1502" s="683"/>
      <c r="B1502" s="683"/>
      <c r="C1502" s="684"/>
      <c r="D1502" s="684"/>
      <c r="E1502" s="684"/>
      <c r="F1502" s="683"/>
      <c r="G1502" s="683"/>
      <c r="H1502" s="683"/>
      <c r="I1502" s="683"/>
      <c r="J1502" s="683"/>
      <c r="K1502" s="683"/>
      <c r="L1502" s="685"/>
      <c r="M1502" s="685"/>
      <c r="N1502" s="687"/>
      <c r="O1502" s="683"/>
      <c r="P1502" s="683"/>
      <c r="Q1502" s="686"/>
      <c r="R1502" s="686"/>
      <c r="S1502" s="686"/>
      <c r="T1502" s="686"/>
      <c r="U1502" s="686"/>
      <c r="V1502" s="686"/>
      <c r="W1502" s="686"/>
      <c r="X1502" s="686"/>
      <c r="Y1502" s="686"/>
      <c r="Z1502" s="686"/>
      <c r="AA1502" s="686"/>
      <c r="AB1502" s="686"/>
      <c r="AC1502" s="686"/>
      <c r="AD1502" s="686"/>
      <c r="AE1502" s="686"/>
      <c r="AF1502" s="686"/>
    </row>
    <row r="1503" ht="15.75" customHeight="1">
      <c r="A1503" s="683"/>
      <c r="B1503" s="683"/>
      <c r="C1503" s="684"/>
      <c r="D1503" s="684"/>
      <c r="E1503" s="684"/>
      <c r="F1503" s="683"/>
      <c r="G1503" s="683"/>
      <c r="H1503" s="683"/>
      <c r="I1503" s="683"/>
      <c r="J1503" s="683"/>
      <c r="K1503" s="683"/>
      <c r="L1503" s="685"/>
      <c r="M1503" s="685"/>
      <c r="N1503" s="687"/>
      <c r="O1503" s="683"/>
      <c r="P1503" s="683"/>
      <c r="Q1503" s="686"/>
      <c r="R1503" s="686"/>
      <c r="S1503" s="686"/>
      <c r="T1503" s="686"/>
      <c r="U1503" s="686"/>
      <c r="V1503" s="686"/>
      <c r="W1503" s="686"/>
      <c r="X1503" s="686"/>
      <c r="Y1503" s="686"/>
      <c r="Z1503" s="686"/>
      <c r="AA1503" s="686"/>
      <c r="AB1503" s="686"/>
      <c r="AC1503" s="686"/>
      <c r="AD1503" s="686"/>
      <c r="AE1503" s="686"/>
      <c r="AF1503" s="686"/>
    </row>
    <row r="1504" ht="15.75" customHeight="1">
      <c r="A1504" s="683"/>
      <c r="B1504" s="683"/>
      <c r="C1504" s="684"/>
      <c r="D1504" s="684"/>
      <c r="E1504" s="684"/>
      <c r="F1504" s="683"/>
      <c r="G1504" s="683"/>
      <c r="H1504" s="683"/>
      <c r="I1504" s="683"/>
      <c r="J1504" s="683"/>
      <c r="K1504" s="683"/>
      <c r="L1504" s="685"/>
      <c r="M1504" s="685"/>
      <c r="N1504" s="687"/>
      <c r="O1504" s="683"/>
      <c r="P1504" s="683"/>
      <c r="Q1504" s="686"/>
      <c r="R1504" s="686"/>
      <c r="S1504" s="686"/>
      <c r="T1504" s="686"/>
      <c r="U1504" s="686"/>
      <c r="V1504" s="686"/>
      <c r="W1504" s="686"/>
      <c r="X1504" s="686"/>
      <c r="Y1504" s="686"/>
      <c r="Z1504" s="686"/>
      <c r="AA1504" s="686"/>
      <c r="AB1504" s="686"/>
      <c r="AC1504" s="686"/>
      <c r="AD1504" s="686"/>
      <c r="AE1504" s="686"/>
      <c r="AF1504" s="686"/>
    </row>
    <row r="1505" ht="15.75" customHeight="1">
      <c r="A1505" s="683"/>
      <c r="B1505" s="683"/>
      <c r="C1505" s="684"/>
      <c r="D1505" s="684"/>
      <c r="E1505" s="684"/>
      <c r="F1505" s="683"/>
      <c r="G1505" s="683"/>
      <c r="H1505" s="683"/>
      <c r="I1505" s="683"/>
      <c r="J1505" s="683"/>
      <c r="K1505" s="683"/>
      <c r="L1505" s="685"/>
      <c r="M1505" s="685"/>
      <c r="N1505" s="687"/>
      <c r="O1505" s="683"/>
      <c r="P1505" s="683"/>
      <c r="Q1505" s="686"/>
      <c r="R1505" s="686"/>
      <c r="S1505" s="686"/>
      <c r="T1505" s="686"/>
      <c r="U1505" s="686"/>
      <c r="V1505" s="686"/>
      <c r="W1505" s="686"/>
      <c r="X1505" s="686"/>
      <c r="Y1505" s="686"/>
      <c r="Z1505" s="686"/>
      <c r="AA1505" s="686"/>
      <c r="AB1505" s="686"/>
      <c r="AC1505" s="686"/>
      <c r="AD1505" s="686"/>
      <c r="AE1505" s="686"/>
      <c r="AF1505" s="686"/>
    </row>
    <row r="1506" ht="15.75" customHeight="1">
      <c r="A1506" s="683"/>
      <c r="B1506" s="683"/>
      <c r="C1506" s="684"/>
      <c r="D1506" s="684"/>
      <c r="E1506" s="684"/>
      <c r="F1506" s="683"/>
      <c r="G1506" s="683"/>
      <c r="H1506" s="683"/>
      <c r="I1506" s="683"/>
      <c r="J1506" s="683"/>
      <c r="K1506" s="683"/>
      <c r="L1506" s="685"/>
      <c r="M1506" s="685"/>
      <c r="N1506" s="687"/>
      <c r="O1506" s="683"/>
      <c r="P1506" s="683"/>
      <c r="Q1506" s="686"/>
      <c r="R1506" s="686"/>
      <c r="S1506" s="686"/>
      <c r="T1506" s="686"/>
      <c r="U1506" s="686"/>
      <c r="V1506" s="686"/>
      <c r="W1506" s="686"/>
      <c r="X1506" s="686"/>
      <c r="Y1506" s="686"/>
      <c r="Z1506" s="686"/>
      <c r="AA1506" s="686"/>
      <c r="AB1506" s="686"/>
      <c r="AC1506" s="686"/>
      <c r="AD1506" s="686"/>
      <c r="AE1506" s="686"/>
      <c r="AF1506" s="686"/>
    </row>
    <row r="1507" ht="15.75" customHeight="1">
      <c r="A1507" s="683"/>
      <c r="B1507" s="683"/>
      <c r="C1507" s="684"/>
      <c r="D1507" s="684"/>
      <c r="E1507" s="684"/>
      <c r="F1507" s="683"/>
      <c r="G1507" s="683"/>
      <c r="H1507" s="683"/>
      <c r="I1507" s="683"/>
      <c r="J1507" s="683"/>
      <c r="K1507" s="683"/>
      <c r="L1507" s="685"/>
      <c r="M1507" s="685"/>
      <c r="N1507" s="687"/>
      <c r="O1507" s="683"/>
      <c r="P1507" s="683"/>
      <c r="Q1507" s="686"/>
      <c r="R1507" s="686"/>
      <c r="S1507" s="686"/>
      <c r="T1507" s="686"/>
      <c r="U1507" s="686"/>
      <c r="V1507" s="686"/>
      <c r="W1507" s="686"/>
      <c r="X1507" s="686"/>
      <c r="Y1507" s="686"/>
      <c r="Z1507" s="686"/>
      <c r="AA1507" s="686"/>
      <c r="AB1507" s="686"/>
      <c r="AC1507" s="686"/>
      <c r="AD1507" s="686"/>
      <c r="AE1507" s="686"/>
      <c r="AF1507" s="686"/>
    </row>
    <row r="1508" ht="15.75" customHeight="1">
      <c r="A1508" s="683"/>
      <c r="B1508" s="683"/>
      <c r="C1508" s="684"/>
      <c r="D1508" s="684"/>
      <c r="E1508" s="684"/>
      <c r="F1508" s="683"/>
      <c r="G1508" s="683"/>
      <c r="H1508" s="683"/>
      <c r="I1508" s="683"/>
      <c r="J1508" s="683"/>
      <c r="K1508" s="683"/>
      <c r="L1508" s="685"/>
      <c r="M1508" s="685"/>
      <c r="N1508" s="687"/>
      <c r="O1508" s="683"/>
      <c r="P1508" s="683"/>
      <c r="Q1508" s="686"/>
      <c r="R1508" s="686"/>
      <c r="S1508" s="686"/>
      <c r="T1508" s="686"/>
      <c r="U1508" s="686"/>
      <c r="V1508" s="686"/>
      <c r="W1508" s="686"/>
      <c r="X1508" s="686"/>
      <c r="Y1508" s="686"/>
      <c r="Z1508" s="686"/>
      <c r="AA1508" s="686"/>
      <c r="AB1508" s="686"/>
      <c r="AC1508" s="686"/>
      <c r="AD1508" s="686"/>
      <c r="AE1508" s="686"/>
      <c r="AF1508" s="686"/>
    </row>
    <row r="1509" ht="15.75" customHeight="1">
      <c r="A1509" s="683"/>
      <c r="B1509" s="683"/>
      <c r="C1509" s="684"/>
      <c r="D1509" s="684"/>
      <c r="E1509" s="684"/>
      <c r="F1509" s="683"/>
      <c r="G1509" s="683"/>
      <c r="H1509" s="683"/>
      <c r="I1509" s="683"/>
      <c r="J1509" s="683"/>
      <c r="K1509" s="683"/>
      <c r="L1509" s="685"/>
      <c r="M1509" s="685"/>
      <c r="N1509" s="687"/>
      <c r="O1509" s="683"/>
      <c r="P1509" s="683"/>
      <c r="Q1509" s="686"/>
      <c r="R1509" s="686"/>
      <c r="S1509" s="686"/>
      <c r="T1509" s="686"/>
      <c r="U1509" s="686"/>
      <c r="V1509" s="686"/>
      <c r="W1509" s="686"/>
      <c r="X1509" s="686"/>
      <c r="Y1509" s="686"/>
      <c r="Z1509" s="686"/>
      <c r="AA1509" s="686"/>
      <c r="AB1509" s="686"/>
      <c r="AC1509" s="686"/>
      <c r="AD1509" s="686"/>
      <c r="AE1509" s="686"/>
      <c r="AF1509" s="686"/>
    </row>
    <row r="1510" ht="15.75" customHeight="1">
      <c r="A1510" s="683"/>
      <c r="B1510" s="683"/>
      <c r="C1510" s="684"/>
      <c r="D1510" s="684"/>
      <c r="E1510" s="684"/>
      <c r="F1510" s="683"/>
      <c r="G1510" s="683"/>
      <c r="H1510" s="683"/>
      <c r="I1510" s="683"/>
      <c r="J1510" s="683"/>
      <c r="K1510" s="683"/>
      <c r="L1510" s="685"/>
      <c r="M1510" s="685"/>
      <c r="N1510" s="687"/>
      <c r="O1510" s="683"/>
      <c r="P1510" s="683"/>
      <c r="Q1510" s="686"/>
      <c r="R1510" s="686"/>
      <c r="S1510" s="686"/>
      <c r="T1510" s="686"/>
      <c r="U1510" s="686"/>
      <c r="V1510" s="686"/>
      <c r="W1510" s="686"/>
      <c r="X1510" s="686"/>
      <c r="Y1510" s="686"/>
      <c r="Z1510" s="686"/>
      <c r="AA1510" s="686"/>
      <c r="AB1510" s="686"/>
      <c r="AC1510" s="686"/>
      <c r="AD1510" s="686"/>
      <c r="AE1510" s="686"/>
      <c r="AF1510" s="686"/>
    </row>
    <row r="1511" ht="15.75" customHeight="1">
      <c r="A1511" s="683"/>
      <c r="B1511" s="683"/>
      <c r="C1511" s="684"/>
      <c r="D1511" s="684"/>
      <c r="E1511" s="684"/>
      <c r="F1511" s="683"/>
      <c r="G1511" s="683"/>
      <c r="H1511" s="683"/>
      <c r="I1511" s="683"/>
      <c r="J1511" s="683"/>
      <c r="K1511" s="683"/>
      <c r="L1511" s="685"/>
      <c r="M1511" s="685"/>
      <c r="N1511" s="687"/>
      <c r="O1511" s="683"/>
      <c r="P1511" s="683"/>
      <c r="Q1511" s="686"/>
      <c r="R1511" s="686"/>
      <c r="S1511" s="686"/>
      <c r="T1511" s="686"/>
      <c r="U1511" s="686"/>
      <c r="V1511" s="686"/>
      <c r="W1511" s="686"/>
      <c r="X1511" s="686"/>
      <c r="Y1511" s="686"/>
      <c r="Z1511" s="686"/>
      <c r="AA1511" s="686"/>
      <c r="AB1511" s="686"/>
      <c r="AC1511" s="686"/>
      <c r="AD1511" s="686"/>
      <c r="AE1511" s="686"/>
      <c r="AF1511" s="686"/>
    </row>
    <row r="1512" ht="15.75" customHeight="1">
      <c r="A1512" s="683"/>
      <c r="B1512" s="683"/>
      <c r="C1512" s="684"/>
      <c r="D1512" s="684"/>
      <c r="E1512" s="684"/>
      <c r="F1512" s="683"/>
      <c r="G1512" s="683"/>
      <c r="H1512" s="683"/>
      <c r="I1512" s="683"/>
      <c r="J1512" s="683"/>
      <c r="K1512" s="683"/>
      <c r="L1512" s="685"/>
      <c r="M1512" s="685"/>
      <c r="N1512" s="687"/>
      <c r="O1512" s="683"/>
      <c r="P1512" s="683"/>
      <c r="Q1512" s="686"/>
      <c r="R1512" s="686"/>
      <c r="S1512" s="686"/>
      <c r="T1512" s="686"/>
      <c r="U1512" s="686"/>
      <c r="V1512" s="686"/>
      <c r="W1512" s="686"/>
      <c r="X1512" s="686"/>
      <c r="Y1512" s="686"/>
      <c r="Z1512" s="686"/>
      <c r="AA1512" s="686"/>
      <c r="AB1512" s="686"/>
      <c r="AC1512" s="686"/>
      <c r="AD1512" s="686"/>
      <c r="AE1512" s="686"/>
      <c r="AF1512" s="686"/>
    </row>
    <row r="1513" ht="15.75" customHeight="1">
      <c r="A1513" s="683"/>
      <c r="B1513" s="683"/>
      <c r="C1513" s="684"/>
      <c r="D1513" s="684"/>
      <c r="E1513" s="684"/>
      <c r="F1513" s="683"/>
      <c r="G1513" s="683"/>
      <c r="H1513" s="683"/>
      <c r="I1513" s="683"/>
      <c r="J1513" s="683"/>
      <c r="K1513" s="683"/>
      <c r="L1513" s="685"/>
      <c r="M1513" s="685"/>
      <c r="N1513" s="687"/>
      <c r="O1513" s="683"/>
      <c r="P1513" s="683"/>
      <c r="Q1513" s="686"/>
      <c r="R1513" s="686"/>
      <c r="S1513" s="686"/>
      <c r="T1513" s="686"/>
      <c r="U1513" s="686"/>
      <c r="V1513" s="686"/>
      <c r="W1513" s="686"/>
      <c r="X1513" s="686"/>
      <c r="Y1513" s="686"/>
      <c r="Z1513" s="686"/>
      <c r="AA1513" s="686"/>
      <c r="AB1513" s="686"/>
      <c r="AC1513" s="686"/>
      <c r="AD1513" s="686"/>
      <c r="AE1513" s="686"/>
      <c r="AF1513" s="686"/>
    </row>
    <row r="1514" ht="15.75" customHeight="1">
      <c r="A1514" s="683"/>
      <c r="B1514" s="683"/>
      <c r="C1514" s="684"/>
      <c r="D1514" s="684"/>
      <c r="E1514" s="684"/>
      <c r="F1514" s="683"/>
      <c r="G1514" s="683"/>
      <c r="H1514" s="683"/>
      <c r="I1514" s="683"/>
      <c r="J1514" s="683"/>
      <c r="K1514" s="683"/>
      <c r="L1514" s="685"/>
      <c r="M1514" s="685"/>
      <c r="N1514" s="687"/>
      <c r="O1514" s="683"/>
      <c r="P1514" s="683"/>
      <c r="Q1514" s="686"/>
      <c r="R1514" s="686"/>
      <c r="S1514" s="686"/>
      <c r="T1514" s="686"/>
      <c r="U1514" s="686"/>
      <c r="V1514" s="686"/>
      <c r="W1514" s="686"/>
      <c r="X1514" s="686"/>
      <c r="Y1514" s="686"/>
      <c r="Z1514" s="686"/>
      <c r="AA1514" s="686"/>
      <c r="AB1514" s="686"/>
      <c r="AC1514" s="686"/>
      <c r="AD1514" s="686"/>
      <c r="AE1514" s="686"/>
      <c r="AF1514" s="686"/>
    </row>
    <row r="1515" ht="15.75" customHeight="1">
      <c r="A1515" s="683"/>
      <c r="B1515" s="683"/>
      <c r="C1515" s="684"/>
      <c r="D1515" s="684"/>
      <c r="E1515" s="684"/>
      <c r="F1515" s="683"/>
      <c r="G1515" s="683"/>
      <c r="H1515" s="683"/>
      <c r="I1515" s="683"/>
      <c r="J1515" s="683"/>
      <c r="K1515" s="683"/>
      <c r="L1515" s="685"/>
      <c r="M1515" s="685"/>
      <c r="N1515" s="687"/>
      <c r="O1515" s="683"/>
      <c r="P1515" s="683"/>
      <c r="Q1515" s="686"/>
      <c r="R1515" s="686"/>
      <c r="S1515" s="686"/>
      <c r="T1515" s="686"/>
      <c r="U1515" s="686"/>
      <c r="V1515" s="686"/>
      <c r="W1515" s="686"/>
      <c r="X1515" s="686"/>
      <c r="Y1515" s="686"/>
      <c r="Z1515" s="686"/>
      <c r="AA1515" s="686"/>
      <c r="AB1515" s="686"/>
      <c r="AC1515" s="686"/>
      <c r="AD1515" s="686"/>
      <c r="AE1515" s="686"/>
      <c r="AF1515" s="686"/>
    </row>
    <row r="1516" ht="15.75" customHeight="1">
      <c r="A1516" s="683"/>
      <c r="B1516" s="683"/>
      <c r="C1516" s="684"/>
      <c r="D1516" s="684"/>
      <c r="E1516" s="684"/>
      <c r="F1516" s="683"/>
      <c r="G1516" s="683"/>
      <c r="H1516" s="683"/>
      <c r="I1516" s="683"/>
      <c r="J1516" s="683"/>
      <c r="K1516" s="683"/>
      <c r="L1516" s="685"/>
      <c r="M1516" s="685"/>
      <c r="N1516" s="687"/>
      <c r="O1516" s="683"/>
      <c r="P1516" s="683"/>
      <c r="Q1516" s="686"/>
      <c r="R1516" s="686"/>
      <c r="S1516" s="686"/>
      <c r="T1516" s="686"/>
      <c r="U1516" s="686"/>
      <c r="V1516" s="686"/>
      <c r="W1516" s="686"/>
      <c r="X1516" s="686"/>
      <c r="Y1516" s="686"/>
      <c r="Z1516" s="686"/>
      <c r="AA1516" s="686"/>
      <c r="AB1516" s="686"/>
      <c r="AC1516" s="686"/>
      <c r="AD1516" s="686"/>
      <c r="AE1516" s="686"/>
      <c r="AF1516" s="686"/>
    </row>
    <row r="1517" ht="15.75" customHeight="1">
      <c r="A1517" s="683"/>
      <c r="B1517" s="683"/>
      <c r="C1517" s="684"/>
      <c r="D1517" s="684"/>
      <c r="E1517" s="684"/>
      <c r="F1517" s="683"/>
      <c r="G1517" s="683"/>
      <c r="H1517" s="683"/>
      <c r="I1517" s="683"/>
      <c r="J1517" s="683"/>
      <c r="K1517" s="683"/>
      <c r="L1517" s="685"/>
      <c r="M1517" s="685"/>
      <c r="N1517" s="687"/>
      <c r="O1517" s="683"/>
      <c r="P1517" s="683"/>
      <c r="Q1517" s="686"/>
      <c r="R1517" s="686"/>
      <c r="S1517" s="686"/>
      <c r="T1517" s="686"/>
      <c r="U1517" s="686"/>
      <c r="V1517" s="686"/>
      <c r="W1517" s="686"/>
      <c r="X1517" s="686"/>
      <c r="Y1517" s="686"/>
      <c r="Z1517" s="686"/>
      <c r="AA1517" s="686"/>
      <c r="AB1517" s="686"/>
      <c r="AC1517" s="686"/>
      <c r="AD1517" s="686"/>
      <c r="AE1517" s="686"/>
      <c r="AF1517" s="686"/>
    </row>
    <row r="1518" ht="15.75" customHeight="1">
      <c r="A1518" s="683"/>
      <c r="B1518" s="683"/>
      <c r="C1518" s="684"/>
      <c r="D1518" s="684"/>
      <c r="E1518" s="684"/>
      <c r="F1518" s="683"/>
      <c r="G1518" s="683"/>
      <c r="H1518" s="683"/>
      <c r="I1518" s="683"/>
      <c r="J1518" s="683"/>
      <c r="K1518" s="683"/>
      <c r="L1518" s="685"/>
      <c r="M1518" s="685"/>
      <c r="N1518" s="687"/>
      <c r="O1518" s="683"/>
      <c r="P1518" s="683"/>
      <c r="Q1518" s="686"/>
      <c r="R1518" s="686"/>
      <c r="S1518" s="686"/>
      <c r="T1518" s="686"/>
      <c r="U1518" s="686"/>
      <c r="V1518" s="686"/>
      <c r="W1518" s="686"/>
      <c r="X1518" s="686"/>
      <c r="Y1518" s="686"/>
      <c r="Z1518" s="686"/>
      <c r="AA1518" s="686"/>
      <c r="AB1518" s="686"/>
      <c r="AC1518" s="686"/>
      <c r="AD1518" s="686"/>
      <c r="AE1518" s="686"/>
      <c r="AF1518" s="686"/>
    </row>
    <row r="1519" ht="15.75" customHeight="1">
      <c r="A1519" s="683"/>
      <c r="B1519" s="683"/>
      <c r="C1519" s="684"/>
      <c r="D1519" s="684"/>
      <c r="E1519" s="684"/>
      <c r="F1519" s="683"/>
      <c r="G1519" s="683"/>
      <c r="H1519" s="683"/>
      <c r="I1519" s="683"/>
      <c r="J1519" s="683"/>
      <c r="K1519" s="683"/>
      <c r="L1519" s="685"/>
      <c r="M1519" s="685"/>
      <c r="N1519" s="687"/>
      <c r="O1519" s="683"/>
      <c r="P1519" s="683"/>
      <c r="Q1519" s="686"/>
      <c r="R1519" s="686"/>
      <c r="S1519" s="686"/>
      <c r="T1519" s="686"/>
      <c r="U1519" s="686"/>
      <c r="V1519" s="686"/>
      <c r="W1519" s="686"/>
      <c r="X1519" s="686"/>
      <c r="Y1519" s="686"/>
      <c r="Z1519" s="686"/>
      <c r="AA1519" s="686"/>
      <c r="AB1519" s="686"/>
      <c r="AC1519" s="686"/>
      <c r="AD1519" s="686"/>
      <c r="AE1519" s="686"/>
      <c r="AF1519" s="686"/>
    </row>
    <row r="1520" ht="15.75" customHeight="1">
      <c r="A1520" s="683"/>
      <c r="B1520" s="683"/>
      <c r="C1520" s="684"/>
      <c r="D1520" s="684"/>
      <c r="E1520" s="684"/>
      <c r="F1520" s="683"/>
      <c r="G1520" s="683"/>
      <c r="H1520" s="683"/>
      <c r="I1520" s="683"/>
      <c r="J1520" s="683"/>
      <c r="K1520" s="683"/>
      <c r="L1520" s="685"/>
      <c r="M1520" s="685"/>
      <c r="N1520" s="687"/>
      <c r="O1520" s="683"/>
      <c r="P1520" s="683"/>
      <c r="Q1520" s="686"/>
      <c r="R1520" s="686"/>
      <c r="S1520" s="686"/>
      <c r="T1520" s="686"/>
      <c r="U1520" s="686"/>
      <c r="V1520" s="686"/>
      <c r="W1520" s="686"/>
      <c r="X1520" s="686"/>
      <c r="Y1520" s="686"/>
      <c r="Z1520" s="686"/>
      <c r="AA1520" s="686"/>
      <c r="AB1520" s="686"/>
      <c r="AC1520" s="686"/>
      <c r="AD1520" s="686"/>
      <c r="AE1520" s="686"/>
      <c r="AF1520" s="686"/>
    </row>
    <row r="1521" ht="15.75" customHeight="1">
      <c r="A1521" s="683"/>
      <c r="B1521" s="683"/>
      <c r="C1521" s="684"/>
      <c r="D1521" s="684"/>
      <c r="E1521" s="684"/>
      <c r="F1521" s="683"/>
      <c r="G1521" s="683"/>
      <c r="H1521" s="683"/>
      <c r="I1521" s="683"/>
      <c r="J1521" s="683"/>
      <c r="K1521" s="683"/>
      <c r="L1521" s="685"/>
      <c r="M1521" s="685"/>
      <c r="N1521" s="687"/>
      <c r="O1521" s="683"/>
      <c r="P1521" s="683"/>
      <c r="Q1521" s="686"/>
      <c r="R1521" s="686"/>
      <c r="S1521" s="686"/>
      <c r="T1521" s="686"/>
      <c r="U1521" s="686"/>
      <c r="V1521" s="686"/>
      <c r="W1521" s="686"/>
      <c r="X1521" s="686"/>
      <c r="Y1521" s="686"/>
      <c r="Z1521" s="686"/>
      <c r="AA1521" s="686"/>
      <c r="AB1521" s="686"/>
      <c r="AC1521" s="686"/>
      <c r="AD1521" s="686"/>
      <c r="AE1521" s="686"/>
      <c r="AF1521" s="686"/>
    </row>
    <row r="1522" ht="15.75" customHeight="1">
      <c r="A1522" s="683"/>
      <c r="B1522" s="683"/>
      <c r="C1522" s="684"/>
      <c r="D1522" s="684"/>
      <c r="E1522" s="684"/>
      <c r="F1522" s="683"/>
      <c r="G1522" s="683"/>
      <c r="H1522" s="683"/>
      <c r="I1522" s="683"/>
      <c r="J1522" s="683"/>
      <c r="K1522" s="683"/>
      <c r="L1522" s="685"/>
      <c r="M1522" s="685"/>
      <c r="N1522" s="687"/>
      <c r="O1522" s="683"/>
      <c r="P1522" s="683"/>
      <c r="Q1522" s="686"/>
      <c r="R1522" s="686"/>
      <c r="S1522" s="686"/>
      <c r="T1522" s="686"/>
      <c r="U1522" s="686"/>
      <c r="V1522" s="686"/>
      <c r="W1522" s="686"/>
      <c r="X1522" s="686"/>
      <c r="Y1522" s="686"/>
      <c r="Z1522" s="686"/>
      <c r="AA1522" s="686"/>
      <c r="AB1522" s="686"/>
      <c r="AC1522" s="686"/>
      <c r="AD1522" s="686"/>
      <c r="AE1522" s="686"/>
      <c r="AF1522" s="686"/>
    </row>
    <row r="1523" ht="15.75" customHeight="1">
      <c r="A1523" s="683"/>
      <c r="B1523" s="683"/>
      <c r="C1523" s="684"/>
      <c r="D1523" s="684"/>
      <c r="E1523" s="684"/>
      <c r="F1523" s="683"/>
      <c r="G1523" s="683"/>
      <c r="H1523" s="683"/>
      <c r="I1523" s="683"/>
      <c r="J1523" s="683"/>
      <c r="K1523" s="683"/>
      <c r="L1523" s="685"/>
      <c r="M1523" s="685"/>
      <c r="N1523" s="687"/>
      <c r="O1523" s="683"/>
      <c r="P1523" s="683"/>
      <c r="Q1523" s="686"/>
      <c r="R1523" s="686"/>
      <c r="S1523" s="686"/>
      <c r="T1523" s="686"/>
      <c r="U1523" s="686"/>
      <c r="V1523" s="686"/>
      <c r="W1523" s="686"/>
      <c r="X1523" s="686"/>
      <c r="Y1523" s="686"/>
      <c r="Z1523" s="686"/>
      <c r="AA1523" s="686"/>
      <c r="AB1523" s="686"/>
      <c r="AC1523" s="686"/>
      <c r="AD1523" s="686"/>
      <c r="AE1523" s="686"/>
      <c r="AF1523" s="686"/>
    </row>
    <row r="1524" ht="15.75" customHeight="1">
      <c r="A1524" s="683"/>
      <c r="B1524" s="683"/>
      <c r="C1524" s="684"/>
      <c r="D1524" s="684"/>
      <c r="E1524" s="684"/>
      <c r="F1524" s="683"/>
      <c r="G1524" s="683"/>
      <c r="H1524" s="683"/>
      <c r="I1524" s="683"/>
      <c r="J1524" s="683"/>
      <c r="K1524" s="683"/>
      <c r="L1524" s="685"/>
      <c r="M1524" s="685"/>
      <c r="N1524" s="687"/>
      <c r="O1524" s="683"/>
      <c r="P1524" s="683"/>
      <c r="Q1524" s="686"/>
      <c r="R1524" s="686"/>
      <c r="S1524" s="686"/>
      <c r="T1524" s="686"/>
      <c r="U1524" s="686"/>
      <c r="V1524" s="686"/>
      <c r="W1524" s="686"/>
      <c r="X1524" s="686"/>
      <c r="Y1524" s="686"/>
      <c r="Z1524" s="686"/>
      <c r="AA1524" s="686"/>
      <c r="AB1524" s="686"/>
      <c r="AC1524" s="686"/>
      <c r="AD1524" s="686"/>
      <c r="AE1524" s="686"/>
      <c r="AF1524" s="686"/>
    </row>
    <row r="1525" ht="15.75" customHeight="1">
      <c r="A1525" s="683"/>
      <c r="B1525" s="683"/>
      <c r="C1525" s="684"/>
      <c r="D1525" s="684"/>
      <c r="E1525" s="684"/>
      <c r="F1525" s="683"/>
      <c r="G1525" s="683"/>
      <c r="H1525" s="683"/>
      <c r="I1525" s="683"/>
      <c r="J1525" s="683"/>
      <c r="K1525" s="683"/>
      <c r="L1525" s="685"/>
      <c r="M1525" s="685"/>
      <c r="N1525" s="687"/>
      <c r="O1525" s="683"/>
      <c r="P1525" s="683"/>
      <c r="Q1525" s="686"/>
      <c r="R1525" s="686"/>
      <c r="S1525" s="686"/>
      <c r="T1525" s="686"/>
      <c r="U1525" s="686"/>
      <c r="V1525" s="686"/>
      <c r="W1525" s="686"/>
      <c r="X1525" s="686"/>
      <c r="Y1525" s="686"/>
      <c r="Z1525" s="686"/>
      <c r="AA1525" s="686"/>
      <c r="AB1525" s="686"/>
      <c r="AC1525" s="686"/>
      <c r="AD1525" s="686"/>
      <c r="AE1525" s="686"/>
      <c r="AF1525" s="686"/>
    </row>
    <row r="1526" ht="15.75" customHeight="1">
      <c r="A1526" s="683"/>
      <c r="B1526" s="683"/>
      <c r="C1526" s="684"/>
      <c r="D1526" s="684"/>
      <c r="E1526" s="684"/>
      <c r="F1526" s="683"/>
      <c r="G1526" s="683"/>
      <c r="H1526" s="683"/>
      <c r="I1526" s="683"/>
      <c r="J1526" s="683"/>
      <c r="K1526" s="683"/>
      <c r="L1526" s="685"/>
      <c r="M1526" s="685"/>
      <c r="N1526" s="687"/>
      <c r="O1526" s="683"/>
      <c r="P1526" s="683"/>
      <c r="Q1526" s="686"/>
      <c r="R1526" s="686"/>
      <c r="S1526" s="686"/>
      <c r="T1526" s="686"/>
      <c r="U1526" s="686"/>
      <c r="V1526" s="686"/>
      <c r="W1526" s="686"/>
      <c r="X1526" s="686"/>
      <c r="Y1526" s="686"/>
      <c r="Z1526" s="686"/>
      <c r="AA1526" s="686"/>
      <c r="AB1526" s="686"/>
      <c r="AC1526" s="686"/>
      <c r="AD1526" s="686"/>
      <c r="AE1526" s="686"/>
      <c r="AF1526" s="686"/>
    </row>
    <row r="1527" ht="15.75" customHeight="1">
      <c r="A1527" s="683"/>
      <c r="B1527" s="683"/>
      <c r="C1527" s="684"/>
      <c r="D1527" s="684"/>
      <c r="E1527" s="684"/>
      <c r="F1527" s="683"/>
      <c r="G1527" s="683"/>
      <c r="H1527" s="683"/>
      <c r="I1527" s="683"/>
      <c r="J1527" s="683"/>
      <c r="K1527" s="683"/>
      <c r="L1527" s="685"/>
      <c r="M1527" s="685"/>
      <c r="N1527" s="687"/>
      <c r="O1527" s="683"/>
      <c r="P1527" s="683"/>
      <c r="Q1527" s="686"/>
      <c r="R1527" s="686"/>
      <c r="S1527" s="686"/>
      <c r="T1527" s="686"/>
      <c r="U1527" s="686"/>
      <c r="V1527" s="686"/>
      <c r="W1527" s="686"/>
      <c r="X1527" s="686"/>
      <c r="Y1527" s="686"/>
      <c r="Z1527" s="686"/>
      <c r="AA1527" s="686"/>
      <c r="AB1527" s="686"/>
      <c r="AC1527" s="686"/>
      <c r="AD1527" s="686"/>
      <c r="AE1527" s="686"/>
      <c r="AF1527" s="686"/>
    </row>
    <row r="1528" ht="15.75" customHeight="1">
      <c r="A1528" s="683"/>
      <c r="B1528" s="683"/>
      <c r="C1528" s="684"/>
      <c r="D1528" s="684"/>
      <c r="E1528" s="684"/>
      <c r="F1528" s="683"/>
      <c r="G1528" s="683"/>
      <c r="H1528" s="683"/>
      <c r="I1528" s="683"/>
      <c r="J1528" s="683"/>
      <c r="K1528" s="683"/>
      <c r="L1528" s="685"/>
      <c r="M1528" s="685"/>
      <c r="N1528" s="687"/>
      <c r="O1528" s="683"/>
      <c r="P1528" s="683"/>
      <c r="Q1528" s="686"/>
      <c r="R1528" s="686"/>
      <c r="S1528" s="686"/>
      <c r="T1528" s="686"/>
      <c r="U1528" s="686"/>
      <c r="V1528" s="686"/>
      <c r="W1528" s="686"/>
      <c r="X1528" s="686"/>
      <c r="Y1528" s="686"/>
      <c r="Z1528" s="686"/>
      <c r="AA1528" s="686"/>
      <c r="AB1528" s="686"/>
      <c r="AC1528" s="686"/>
      <c r="AD1528" s="686"/>
      <c r="AE1528" s="686"/>
      <c r="AF1528" s="686"/>
    </row>
    <row r="1529" ht="15.75" customHeight="1">
      <c r="A1529" s="683"/>
      <c r="B1529" s="683"/>
      <c r="C1529" s="684"/>
      <c r="D1529" s="684"/>
      <c r="E1529" s="684"/>
      <c r="F1529" s="683"/>
      <c r="G1529" s="683"/>
      <c r="H1529" s="683"/>
      <c r="I1529" s="683"/>
      <c r="J1529" s="683"/>
      <c r="K1529" s="683"/>
      <c r="L1529" s="685"/>
      <c r="M1529" s="685"/>
      <c r="N1529" s="687"/>
      <c r="O1529" s="683"/>
      <c r="P1529" s="683"/>
      <c r="Q1529" s="686"/>
      <c r="R1529" s="686"/>
      <c r="S1529" s="686"/>
      <c r="T1529" s="686"/>
      <c r="U1529" s="686"/>
      <c r="V1529" s="686"/>
      <c r="W1529" s="686"/>
      <c r="X1529" s="686"/>
      <c r="Y1529" s="686"/>
      <c r="Z1529" s="686"/>
      <c r="AA1529" s="686"/>
      <c r="AB1529" s="686"/>
      <c r="AC1529" s="686"/>
      <c r="AD1529" s="686"/>
      <c r="AE1529" s="686"/>
      <c r="AF1529" s="686"/>
    </row>
    <row r="1530" ht="15.75" customHeight="1">
      <c r="A1530" s="683"/>
      <c r="B1530" s="683"/>
      <c r="C1530" s="684"/>
      <c r="D1530" s="684"/>
      <c r="E1530" s="684"/>
      <c r="F1530" s="683"/>
      <c r="G1530" s="683"/>
      <c r="H1530" s="683"/>
      <c r="I1530" s="683"/>
      <c r="J1530" s="683"/>
      <c r="K1530" s="683"/>
      <c r="L1530" s="685"/>
      <c r="M1530" s="685"/>
      <c r="N1530" s="687"/>
      <c r="O1530" s="683"/>
      <c r="P1530" s="683"/>
      <c r="Q1530" s="686"/>
      <c r="R1530" s="686"/>
      <c r="S1530" s="686"/>
      <c r="T1530" s="686"/>
      <c r="U1530" s="686"/>
      <c r="V1530" s="686"/>
      <c r="W1530" s="686"/>
      <c r="X1530" s="686"/>
      <c r="Y1530" s="686"/>
      <c r="Z1530" s="686"/>
      <c r="AA1530" s="686"/>
      <c r="AB1530" s="686"/>
      <c r="AC1530" s="686"/>
      <c r="AD1530" s="686"/>
      <c r="AE1530" s="686"/>
      <c r="AF1530" s="686"/>
    </row>
    <row r="1531" ht="15.75" customHeight="1">
      <c r="A1531" s="683"/>
      <c r="B1531" s="683"/>
      <c r="C1531" s="684"/>
      <c r="D1531" s="684"/>
      <c r="E1531" s="684"/>
      <c r="F1531" s="683"/>
      <c r="G1531" s="683"/>
      <c r="H1531" s="683"/>
      <c r="I1531" s="683"/>
      <c r="J1531" s="683"/>
      <c r="K1531" s="683"/>
      <c r="L1531" s="685"/>
      <c r="M1531" s="685"/>
      <c r="N1531" s="687"/>
      <c r="O1531" s="683"/>
      <c r="P1531" s="683"/>
      <c r="Q1531" s="686"/>
      <c r="R1531" s="686"/>
      <c r="S1531" s="686"/>
      <c r="T1531" s="686"/>
      <c r="U1531" s="686"/>
      <c r="V1531" s="686"/>
      <c r="W1531" s="686"/>
      <c r="X1531" s="686"/>
      <c r="Y1531" s="686"/>
      <c r="Z1531" s="686"/>
      <c r="AA1531" s="686"/>
      <c r="AB1531" s="686"/>
      <c r="AC1531" s="686"/>
      <c r="AD1531" s="686"/>
      <c r="AE1531" s="686"/>
      <c r="AF1531" s="686"/>
    </row>
    <row r="1532" ht="15.75" customHeight="1">
      <c r="A1532" s="683"/>
      <c r="B1532" s="683"/>
      <c r="C1532" s="684"/>
      <c r="D1532" s="684"/>
      <c r="E1532" s="684"/>
      <c r="F1532" s="683"/>
      <c r="G1532" s="683"/>
      <c r="H1532" s="683"/>
      <c r="I1532" s="683"/>
      <c r="J1532" s="683"/>
      <c r="K1532" s="683"/>
      <c r="L1532" s="685"/>
      <c r="M1532" s="685"/>
      <c r="N1532" s="687"/>
      <c r="O1532" s="683"/>
      <c r="P1532" s="683"/>
      <c r="Q1532" s="686"/>
      <c r="R1532" s="686"/>
      <c r="S1532" s="686"/>
      <c r="T1532" s="686"/>
      <c r="U1532" s="686"/>
      <c r="V1532" s="686"/>
      <c r="W1532" s="686"/>
      <c r="X1532" s="686"/>
      <c r="Y1532" s="686"/>
      <c r="Z1532" s="686"/>
      <c r="AA1532" s="686"/>
      <c r="AB1532" s="686"/>
      <c r="AC1532" s="686"/>
      <c r="AD1532" s="686"/>
      <c r="AE1532" s="686"/>
      <c r="AF1532" s="686"/>
    </row>
    <row r="1533" ht="15.75" customHeight="1">
      <c r="A1533" s="683"/>
      <c r="B1533" s="683"/>
      <c r="C1533" s="684"/>
      <c r="D1533" s="684"/>
      <c r="E1533" s="684"/>
      <c r="F1533" s="683"/>
      <c r="G1533" s="683"/>
      <c r="H1533" s="683"/>
      <c r="I1533" s="683"/>
      <c r="J1533" s="683"/>
      <c r="K1533" s="683"/>
      <c r="L1533" s="685"/>
      <c r="M1533" s="685"/>
      <c r="N1533" s="687"/>
      <c r="O1533" s="683"/>
      <c r="P1533" s="683"/>
      <c r="Q1533" s="686"/>
      <c r="R1533" s="686"/>
      <c r="S1533" s="686"/>
      <c r="T1533" s="686"/>
      <c r="U1533" s="686"/>
      <c r="V1533" s="686"/>
      <c r="W1533" s="686"/>
      <c r="X1533" s="686"/>
      <c r="Y1533" s="686"/>
      <c r="Z1533" s="686"/>
      <c r="AA1533" s="686"/>
      <c r="AB1533" s="686"/>
      <c r="AC1533" s="686"/>
      <c r="AD1533" s="686"/>
      <c r="AE1533" s="686"/>
      <c r="AF1533" s="686"/>
    </row>
    <row r="1534" ht="15.75" customHeight="1">
      <c r="A1534" s="683"/>
      <c r="B1534" s="683"/>
      <c r="C1534" s="684"/>
      <c r="D1534" s="684"/>
      <c r="E1534" s="684"/>
      <c r="F1534" s="683"/>
      <c r="G1534" s="683"/>
      <c r="H1534" s="683"/>
      <c r="I1534" s="683"/>
      <c r="J1534" s="683"/>
      <c r="K1534" s="683"/>
      <c r="L1534" s="685"/>
      <c r="M1534" s="685"/>
      <c r="N1534" s="687"/>
      <c r="O1534" s="683"/>
      <c r="P1534" s="683"/>
      <c r="Q1534" s="686"/>
      <c r="R1534" s="686"/>
      <c r="S1534" s="686"/>
      <c r="T1534" s="686"/>
      <c r="U1534" s="686"/>
      <c r="V1534" s="686"/>
      <c r="W1534" s="686"/>
      <c r="X1534" s="686"/>
      <c r="Y1534" s="686"/>
      <c r="Z1534" s="686"/>
      <c r="AA1534" s="686"/>
      <c r="AB1534" s="686"/>
      <c r="AC1534" s="686"/>
      <c r="AD1534" s="686"/>
      <c r="AE1534" s="686"/>
      <c r="AF1534" s="686"/>
    </row>
    <row r="1535" ht="15.75" customHeight="1">
      <c r="A1535" s="683"/>
      <c r="B1535" s="683"/>
      <c r="C1535" s="684"/>
      <c r="D1535" s="684"/>
      <c r="E1535" s="684"/>
      <c r="F1535" s="683"/>
      <c r="G1535" s="683"/>
      <c r="H1535" s="683"/>
      <c r="I1535" s="683"/>
      <c r="J1535" s="683"/>
      <c r="K1535" s="683"/>
      <c r="L1535" s="685"/>
      <c r="M1535" s="685"/>
      <c r="N1535" s="687"/>
      <c r="O1535" s="683"/>
      <c r="P1535" s="683"/>
      <c r="Q1535" s="686"/>
      <c r="R1535" s="686"/>
      <c r="S1535" s="686"/>
      <c r="T1535" s="686"/>
      <c r="U1535" s="686"/>
      <c r="V1535" s="686"/>
      <c r="W1535" s="686"/>
      <c r="X1535" s="686"/>
      <c r="Y1535" s="686"/>
      <c r="Z1535" s="686"/>
      <c r="AA1535" s="686"/>
      <c r="AB1535" s="686"/>
      <c r="AC1535" s="686"/>
      <c r="AD1535" s="686"/>
      <c r="AE1535" s="686"/>
      <c r="AF1535" s="686"/>
    </row>
    <row r="1536" ht="15.75" customHeight="1">
      <c r="A1536" s="683"/>
      <c r="B1536" s="683"/>
      <c r="C1536" s="684"/>
      <c r="D1536" s="684"/>
      <c r="E1536" s="684"/>
      <c r="F1536" s="683"/>
      <c r="G1536" s="683"/>
      <c r="H1536" s="683"/>
      <c r="I1536" s="683"/>
      <c r="J1536" s="683"/>
      <c r="K1536" s="683"/>
      <c r="L1536" s="685"/>
      <c r="M1536" s="685"/>
      <c r="N1536" s="687"/>
      <c r="O1536" s="683"/>
      <c r="P1536" s="683"/>
      <c r="Q1536" s="686"/>
      <c r="R1536" s="686"/>
      <c r="S1536" s="686"/>
      <c r="T1536" s="686"/>
      <c r="U1536" s="686"/>
      <c r="V1536" s="686"/>
      <c r="W1536" s="686"/>
      <c r="X1536" s="686"/>
      <c r="Y1536" s="686"/>
      <c r="Z1536" s="686"/>
      <c r="AA1536" s="686"/>
      <c r="AB1536" s="686"/>
      <c r="AC1536" s="686"/>
      <c r="AD1536" s="686"/>
      <c r="AE1536" s="686"/>
      <c r="AF1536" s="686"/>
    </row>
    <row r="1537" ht="15.75" customHeight="1">
      <c r="A1537" s="683"/>
      <c r="B1537" s="683"/>
      <c r="C1537" s="684"/>
      <c r="D1537" s="684"/>
      <c r="E1537" s="684"/>
      <c r="F1537" s="683"/>
      <c r="G1537" s="683"/>
      <c r="H1537" s="683"/>
      <c r="I1537" s="683"/>
      <c r="J1537" s="683"/>
      <c r="K1537" s="683"/>
      <c r="L1537" s="685"/>
      <c r="M1537" s="685"/>
      <c r="N1537" s="687"/>
      <c r="O1537" s="683"/>
      <c r="P1537" s="683"/>
      <c r="Q1537" s="686"/>
      <c r="R1537" s="686"/>
      <c r="S1537" s="686"/>
      <c r="T1537" s="686"/>
      <c r="U1537" s="686"/>
      <c r="V1537" s="686"/>
      <c r="W1537" s="686"/>
      <c r="X1537" s="686"/>
      <c r="Y1537" s="686"/>
      <c r="Z1537" s="686"/>
      <c r="AA1537" s="686"/>
      <c r="AB1537" s="686"/>
      <c r="AC1537" s="686"/>
      <c r="AD1537" s="686"/>
      <c r="AE1537" s="686"/>
      <c r="AF1537" s="686"/>
    </row>
    <row r="1538" ht="15.75" customHeight="1">
      <c r="A1538" s="683"/>
      <c r="B1538" s="683"/>
      <c r="C1538" s="684"/>
      <c r="D1538" s="684"/>
      <c r="E1538" s="684"/>
      <c r="F1538" s="683"/>
      <c r="G1538" s="683"/>
      <c r="H1538" s="683"/>
      <c r="I1538" s="683"/>
      <c r="J1538" s="683"/>
      <c r="K1538" s="683"/>
      <c r="L1538" s="685"/>
      <c r="M1538" s="685"/>
      <c r="N1538" s="687"/>
      <c r="O1538" s="683"/>
      <c r="P1538" s="683"/>
      <c r="Q1538" s="686"/>
      <c r="R1538" s="686"/>
      <c r="S1538" s="686"/>
      <c r="T1538" s="686"/>
      <c r="U1538" s="686"/>
      <c r="V1538" s="686"/>
      <c r="W1538" s="686"/>
      <c r="X1538" s="686"/>
      <c r="Y1538" s="686"/>
      <c r="Z1538" s="686"/>
      <c r="AA1538" s="686"/>
      <c r="AB1538" s="686"/>
      <c r="AC1538" s="686"/>
      <c r="AD1538" s="686"/>
      <c r="AE1538" s="686"/>
      <c r="AF1538" s="686"/>
    </row>
    <row r="1539" ht="15.75" customHeight="1">
      <c r="A1539" s="683"/>
      <c r="B1539" s="683"/>
      <c r="C1539" s="684"/>
      <c r="D1539" s="684"/>
      <c r="E1539" s="684"/>
      <c r="F1539" s="683"/>
      <c r="G1539" s="683"/>
      <c r="H1539" s="683"/>
      <c r="I1539" s="683"/>
      <c r="J1539" s="683"/>
      <c r="K1539" s="683"/>
      <c r="L1539" s="685"/>
      <c r="M1539" s="685"/>
      <c r="N1539" s="687"/>
      <c r="O1539" s="683"/>
      <c r="P1539" s="683"/>
      <c r="Q1539" s="686"/>
      <c r="R1539" s="686"/>
      <c r="S1539" s="686"/>
      <c r="T1539" s="686"/>
      <c r="U1539" s="686"/>
      <c r="V1539" s="686"/>
      <c r="W1539" s="686"/>
      <c r="X1539" s="686"/>
      <c r="Y1539" s="686"/>
      <c r="Z1539" s="686"/>
      <c r="AA1539" s="686"/>
      <c r="AB1539" s="686"/>
      <c r="AC1539" s="686"/>
      <c r="AD1539" s="686"/>
      <c r="AE1539" s="686"/>
      <c r="AF1539" s="686"/>
    </row>
    <row r="1540" ht="15.75" customHeight="1">
      <c r="A1540" s="683"/>
      <c r="B1540" s="683"/>
      <c r="C1540" s="684"/>
      <c r="D1540" s="684"/>
      <c r="E1540" s="684"/>
      <c r="F1540" s="683"/>
      <c r="G1540" s="683"/>
      <c r="H1540" s="683"/>
      <c r="I1540" s="683"/>
      <c r="J1540" s="683"/>
      <c r="K1540" s="683"/>
      <c r="L1540" s="685"/>
      <c r="M1540" s="685"/>
      <c r="N1540" s="687"/>
      <c r="O1540" s="683"/>
      <c r="P1540" s="683"/>
      <c r="Q1540" s="686"/>
      <c r="R1540" s="686"/>
      <c r="S1540" s="686"/>
      <c r="T1540" s="686"/>
      <c r="U1540" s="686"/>
      <c r="V1540" s="686"/>
      <c r="W1540" s="686"/>
      <c r="X1540" s="686"/>
      <c r="Y1540" s="686"/>
      <c r="Z1540" s="686"/>
      <c r="AA1540" s="686"/>
      <c r="AB1540" s="686"/>
      <c r="AC1540" s="686"/>
      <c r="AD1540" s="686"/>
      <c r="AE1540" s="686"/>
      <c r="AF1540" s="686"/>
    </row>
    <row r="1541" ht="15.75" customHeight="1">
      <c r="A1541" s="683"/>
      <c r="B1541" s="683"/>
      <c r="C1541" s="684"/>
      <c r="D1541" s="684"/>
      <c r="E1541" s="684"/>
      <c r="F1541" s="683"/>
      <c r="G1541" s="683"/>
      <c r="H1541" s="683"/>
      <c r="I1541" s="683"/>
      <c r="J1541" s="683"/>
      <c r="K1541" s="683"/>
      <c r="L1541" s="685"/>
      <c r="M1541" s="685"/>
      <c r="N1541" s="687"/>
      <c r="O1541" s="683"/>
      <c r="P1541" s="683"/>
      <c r="Q1541" s="686"/>
      <c r="R1541" s="686"/>
      <c r="S1541" s="686"/>
      <c r="T1541" s="686"/>
      <c r="U1541" s="686"/>
      <c r="V1541" s="686"/>
      <c r="W1541" s="686"/>
      <c r="X1541" s="686"/>
      <c r="Y1541" s="686"/>
      <c r="Z1541" s="686"/>
      <c r="AA1541" s="686"/>
      <c r="AB1541" s="686"/>
      <c r="AC1541" s="686"/>
      <c r="AD1541" s="686"/>
      <c r="AE1541" s="686"/>
      <c r="AF1541" s="686"/>
    </row>
    <row r="1542" ht="15.75" customHeight="1">
      <c r="A1542" s="683"/>
      <c r="B1542" s="683"/>
      <c r="C1542" s="684"/>
      <c r="D1542" s="684"/>
      <c r="E1542" s="684"/>
      <c r="F1542" s="683"/>
      <c r="G1542" s="683"/>
      <c r="H1542" s="683"/>
      <c r="I1542" s="683"/>
      <c r="J1542" s="683"/>
      <c r="K1542" s="683"/>
      <c r="L1542" s="685"/>
      <c r="M1542" s="685"/>
      <c r="N1542" s="687"/>
      <c r="O1542" s="683"/>
      <c r="P1542" s="683"/>
      <c r="Q1542" s="686"/>
      <c r="R1542" s="686"/>
      <c r="S1542" s="686"/>
      <c r="T1542" s="686"/>
      <c r="U1542" s="686"/>
      <c r="V1542" s="686"/>
      <c r="W1542" s="686"/>
      <c r="X1542" s="686"/>
      <c r="Y1542" s="686"/>
      <c r="Z1542" s="686"/>
      <c r="AA1542" s="686"/>
      <c r="AB1542" s="686"/>
      <c r="AC1542" s="686"/>
      <c r="AD1542" s="686"/>
      <c r="AE1542" s="686"/>
      <c r="AF1542" s="686"/>
    </row>
    <row r="1543" ht="15.75" customHeight="1">
      <c r="A1543" s="683"/>
      <c r="B1543" s="683"/>
      <c r="C1543" s="684"/>
      <c r="D1543" s="684"/>
      <c r="E1543" s="684"/>
      <c r="F1543" s="683"/>
      <c r="G1543" s="683"/>
      <c r="H1543" s="683"/>
      <c r="I1543" s="683"/>
      <c r="J1543" s="683"/>
      <c r="K1543" s="683"/>
      <c r="L1543" s="685"/>
      <c r="M1543" s="685"/>
      <c r="N1543" s="687"/>
      <c r="O1543" s="683"/>
      <c r="P1543" s="683"/>
      <c r="Q1543" s="686"/>
      <c r="R1543" s="686"/>
      <c r="S1543" s="686"/>
      <c r="T1543" s="686"/>
      <c r="U1543" s="686"/>
      <c r="V1543" s="686"/>
      <c r="W1543" s="686"/>
      <c r="X1543" s="686"/>
      <c r="Y1543" s="686"/>
      <c r="Z1543" s="686"/>
      <c r="AA1543" s="686"/>
      <c r="AB1543" s="686"/>
      <c r="AC1543" s="686"/>
      <c r="AD1543" s="686"/>
      <c r="AE1543" s="686"/>
      <c r="AF1543" s="686"/>
    </row>
    <row r="1544" ht="15.75" customHeight="1">
      <c r="A1544" s="683"/>
      <c r="B1544" s="683"/>
      <c r="C1544" s="684"/>
      <c r="D1544" s="684"/>
      <c r="E1544" s="684"/>
      <c r="F1544" s="683"/>
      <c r="G1544" s="683"/>
      <c r="H1544" s="683"/>
      <c r="I1544" s="683"/>
      <c r="J1544" s="683"/>
      <c r="K1544" s="683"/>
      <c r="L1544" s="685"/>
      <c r="M1544" s="685"/>
      <c r="N1544" s="687"/>
      <c r="O1544" s="683"/>
      <c r="P1544" s="683"/>
      <c r="Q1544" s="686"/>
      <c r="R1544" s="686"/>
      <c r="S1544" s="686"/>
      <c r="T1544" s="686"/>
      <c r="U1544" s="686"/>
      <c r="V1544" s="686"/>
      <c r="W1544" s="686"/>
      <c r="X1544" s="686"/>
      <c r="Y1544" s="686"/>
      <c r="Z1544" s="686"/>
      <c r="AA1544" s="686"/>
      <c r="AB1544" s="686"/>
      <c r="AC1544" s="686"/>
      <c r="AD1544" s="686"/>
      <c r="AE1544" s="686"/>
      <c r="AF1544" s="686"/>
    </row>
    <row r="1545" ht="15.75" customHeight="1">
      <c r="A1545" s="683"/>
      <c r="B1545" s="683"/>
      <c r="C1545" s="684"/>
      <c r="D1545" s="684"/>
      <c r="E1545" s="684"/>
      <c r="F1545" s="683"/>
      <c r="G1545" s="683"/>
      <c r="H1545" s="683"/>
      <c r="I1545" s="683"/>
      <c r="J1545" s="683"/>
      <c r="K1545" s="683"/>
      <c r="L1545" s="685"/>
      <c r="M1545" s="685"/>
      <c r="N1545" s="687"/>
      <c r="O1545" s="683"/>
      <c r="P1545" s="683"/>
      <c r="Q1545" s="686"/>
      <c r="R1545" s="686"/>
      <c r="S1545" s="686"/>
      <c r="T1545" s="686"/>
      <c r="U1545" s="686"/>
      <c r="V1545" s="686"/>
      <c r="W1545" s="686"/>
      <c r="X1545" s="686"/>
      <c r="Y1545" s="686"/>
      <c r="Z1545" s="686"/>
      <c r="AA1545" s="686"/>
      <c r="AB1545" s="686"/>
      <c r="AC1545" s="686"/>
      <c r="AD1545" s="686"/>
      <c r="AE1545" s="686"/>
      <c r="AF1545" s="686"/>
    </row>
    <row r="1546" ht="15.75" customHeight="1">
      <c r="A1546" s="683"/>
      <c r="B1546" s="683"/>
      <c r="C1546" s="684"/>
      <c r="D1546" s="684"/>
      <c r="E1546" s="684"/>
      <c r="F1546" s="683"/>
      <c r="G1546" s="683"/>
      <c r="H1546" s="683"/>
      <c r="I1546" s="683"/>
      <c r="J1546" s="683"/>
      <c r="K1546" s="683"/>
      <c r="L1546" s="685"/>
      <c r="M1546" s="685"/>
      <c r="N1546" s="687"/>
      <c r="O1546" s="683"/>
      <c r="P1546" s="683"/>
      <c r="Q1546" s="686"/>
      <c r="R1546" s="686"/>
      <c r="S1546" s="686"/>
      <c r="T1546" s="686"/>
      <c r="U1546" s="686"/>
      <c r="V1546" s="686"/>
      <c r="W1546" s="686"/>
      <c r="X1546" s="686"/>
      <c r="Y1546" s="686"/>
      <c r="Z1546" s="686"/>
      <c r="AA1546" s="686"/>
      <c r="AB1546" s="686"/>
      <c r="AC1546" s="686"/>
      <c r="AD1546" s="686"/>
      <c r="AE1546" s="686"/>
      <c r="AF1546" s="686"/>
    </row>
    <row r="1547" ht="15.75" customHeight="1">
      <c r="A1547" s="683"/>
      <c r="B1547" s="683"/>
      <c r="C1547" s="684"/>
      <c r="D1547" s="684"/>
      <c r="E1547" s="684"/>
      <c r="F1547" s="683"/>
      <c r="G1547" s="683"/>
      <c r="H1547" s="683"/>
      <c r="I1547" s="683"/>
      <c r="J1547" s="683"/>
      <c r="K1547" s="683"/>
      <c r="L1547" s="685"/>
      <c r="M1547" s="685"/>
      <c r="N1547" s="687"/>
      <c r="O1547" s="683"/>
      <c r="P1547" s="683"/>
      <c r="Q1547" s="686"/>
      <c r="R1547" s="686"/>
      <c r="S1547" s="686"/>
      <c r="T1547" s="686"/>
      <c r="U1547" s="686"/>
      <c r="V1547" s="686"/>
      <c r="W1547" s="686"/>
      <c r="X1547" s="686"/>
      <c r="Y1547" s="686"/>
      <c r="Z1547" s="686"/>
      <c r="AA1547" s="686"/>
      <c r="AB1547" s="686"/>
      <c r="AC1547" s="686"/>
      <c r="AD1547" s="686"/>
      <c r="AE1547" s="686"/>
      <c r="AF1547" s="686"/>
    </row>
    <row r="1548" ht="15.75" customHeight="1">
      <c r="A1548" s="683"/>
      <c r="B1548" s="683"/>
      <c r="C1548" s="684"/>
      <c r="D1548" s="684"/>
      <c r="E1548" s="684"/>
      <c r="F1548" s="683"/>
      <c r="G1548" s="683"/>
      <c r="H1548" s="683"/>
      <c r="I1548" s="683"/>
      <c r="J1548" s="683"/>
      <c r="K1548" s="683"/>
      <c r="L1548" s="685"/>
      <c r="M1548" s="685"/>
      <c r="N1548" s="687"/>
      <c r="O1548" s="683"/>
      <c r="P1548" s="683"/>
      <c r="Q1548" s="686"/>
      <c r="R1548" s="686"/>
      <c r="S1548" s="686"/>
      <c r="T1548" s="686"/>
      <c r="U1548" s="686"/>
      <c r="V1548" s="686"/>
      <c r="W1548" s="686"/>
      <c r="X1548" s="686"/>
      <c r="Y1548" s="686"/>
      <c r="Z1548" s="686"/>
      <c r="AA1548" s="686"/>
      <c r="AB1548" s="686"/>
      <c r="AC1548" s="686"/>
      <c r="AD1548" s="686"/>
      <c r="AE1548" s="686"/>
      <c r="AF1548" s="686"/>
    </row>
    <row r="1549" ht="15.75" customHeight="1">
      <c r="A1549" s="683"/>
      <c r="B1549" s="683"/>
      <c r="C1549" s="684"/>
      <c r="D1549" s="684"/>
      <c r="E1549" s="684"/>
      <c r="F1549" s="683"/>
      <c r="G1549" s="683"/>
      <c r="H1549" s="683"/>
      <c r="I1549" s="683"/>
      <c r="J1549" s="683"/>
      <c r="K1549" s="683"/>
      <c r="L1549" s="685"/>
      <c r="M1549" s="685"/>
      <c r="N1549" s="687"/>
      <c r="O1549" s="683"/>
      <c r="P1549" s="683"/>
      <c r="Q1549" s="686"/>
      <c r="R1549" s="686"/>
      <c r="S1549" s="686"/>
      <c r="T1549" s="686"/>
      <c r="U1549" s="686"/>
      <c r="V1549" s="686"/>
      <c r="W1549" s="686"/>
      <c r="X1549" s="686"/>
      <c r="Y1549" s="686"/>
      <c r="Z1549" s="686"/>
      <c r="AA1549" s="686"/>
      <c r="AB1549" s="686"/>
      <c r="AC1549" s="686"/>
      <c r="AD1549" s="686"/>
      <c r="AE1549" s="686"/>
      <c r="AF1549" s="686"/>
    </row>
    <row r="1550" ht="15.75" customHeight="1">
      <c r="A1550" s="683"/>
      <c r="B1550" s="683"/>
      <c r="C1550" s="684"/>
      <c r="D1550" s="684"/>
      <c r="E1550" s="684"/>
      <c r="F1550" s="683"/>
      <c r="G1550" s="683"/>
      <c r="H1550" s="683"/>
      <c r="I1550" s="683"/>
      <c r="J1550" s="683"/>
      <c r="K1550" s="683"/>
      <c r="L1550" s="685"/>
      <c r="M1550" s="685"/>
      <c r="N1550" s="687"/>
      <c r="O1550" s="683"/>
      <c r="P1550" s="683"/>
      <c r="Q1550" s="686"/>
      <c r="R1550" s="686"/>
      <c r="S1550" s="686"/>
      <c r="T1550" s="686"/>
      <c r="U1550" s="686"/>
      <c r="V1550" s="686"/>
      <c r="W1550" s="686"/>
      <c r="X1550" s="686"/>
      <c r="Y1550" s="686"/>
      <c r="Z1550" s="686"/>
      <c r="AA1550" s="686"/>
      <c r="AB1550" s="686"/>
      <c r="AC1550" s="686"/>
      <c r="AD1550" s="686"/>
      <c r="AE1550" s="686"/>
      <c r="AF1550" s="686"/>
    </row>
    <row r="1551" ht="15.75" customHeight="1">
      <c r="A1551" s="683"/>
      <c r="B1551" s="683"/>
      <c r="C1551" s="684"/>
      <c r="D1551" s="684"/>
      <c r="E1551" s="684"/>
      <c r="F1551" s="683"/>
      <c r="G1551" s="683"/>
      <c r="H1551" s="683"/>
      <c r="I1551" s="683"/>
      <c r="J1551" s="683"/>
      <c r="K1551" s="683"/>
      <c r="L1551" s="685"/>
      <c r="M1551" s="685"/>
      <c r="N1551" s="687"/>
      <c r="O1551" s="683"/>
      <c r="P1551" s="683"/>
      <c r="Q1551" s="686"/>
      <c r="R1551" s="686"/>
      <c r="S1551" s="686"/>
      <c r="T1551" s="686"/>
      <c r="U1551" s="686"/>
      <c r="V1551" s="686"/>
      <c r="W1551" s="686"/>
      <c r="X1551" s="686"/>
      <c r="Y1551" s="686"/>
      <c r="Z1551" s="686"/>
      <c r="AA1551" s="686"/>
      <c r="AB1551" s="686"/>
      <c r="AC1551" s="686"/>
      <c r="AD1551" s="686"/>
      <c r="AE1551" s="686"/>
      <c r="AF1551" s="686"/>
    </row>
    <row r="1552" ht="15.75" customHeight="1">
      <c r="A1552" s="683"/>
      <c r="B1552" s="683"/>
      <c r="C1552" s="684"/>
      <c r="D1552" s="684"/>
      <c r="E1552" s="684"/>
      <c r="F1552" s="683"/>
      <c r="G1552" s="683"/>
      <c r="H1552" s="683"/>
      <c r="I1552" s="683"/>
      <c r="J1552" s="683"/>
      <c r="K1552" s="683"/>
      <c r="L1552" s="685"/>
      <c r="M1552" s="685"/>
      <c r="N1552" s="687"/>
      <c r="O1552" s="683"/>
      <c r="P1552" s="683"/>
      <c r="Q1552" s="686"/>
      <c r="R1552" s="686"/>
      <c r="S1552" s="686"/>
      <c r="T1552" s="686"/>
      <c r="U1552" s="686"/>
      <c r="V1552" s="686"/>
      <c r="W1552" s="686"/>
      <c r="X1552" s="686"/>
      <c r="Y1552" s="686"/>
      <c r="Z1552" s="686"/>
      <c r="AA1552" s="686"/>
      <c r="AB1552" s="686"/>
      <c r="AC1552" s="686"/>
      <c r="AD1552" s="686"/>
      <c r="AE1552" s="686"/>
      <c r="AF1552" s="686"/>
    </row>
    <row r="1553" ht="15.75" customHeight="1">
      <c r="A1553" s="683"/>
      <c r="B1553" s="683"/>
      <c r="C1553" s="684"/>
      <c r="D1553" s="684"/>
      <c r="E1553" s="684"/>
      <c r="F1553" s="683"/>
      <c r="G1553" s="683"/>
      <c r="H1553" s="683"/>
      <c r="I1553" s="683"/>
      <c r="J1553" s="683"/>
      <c r="K1553" s="683"/>
      <c r="L1553" s="685"/>
      <c r="M1553" s="685"/>
      <c r="N1553" s="687"/>
      <c r="O1553" s="683"/>
      <c r="P1553" s="683"/>
      <c r="Q1553" s="686"/>
      <c r="R1553" s="686"/>
      <c r="S1553" s="686"/>
      <c r="T1553" s="686"/>
      <c r="U1553" s="686"/>
      <c r="V1553" s="686"/>
      <c r="W1553" s="686"/>
      <c r="X1553" s="686"/>
      <c r="Y1553" s="686"/>
      <c r="Z1553" s="686"/>
      <c r="AA1553" s="686"/>
      <c r="AB1553" s="686"/>
      <c r="AC1553" s="686"/>
      <c r="AD1553" s="686"/>
      <c r="AE1553" s="686"/>
      <c r="AF1553" s="686"/>
    </row>
    <row r="1554" ht="15.75" customHeight="1">
      <c r="A1554" s="683"/>
      <c r="B1554" s="683"/>
      <c r="C1554" s="684"/>
      <c r="D1554" s="684"/>
      <c r="E1554" s="684"/>
      <c r="F1554" s="683"/>
      <c r="G1554" s="683"/>
      <c r="H1554" s="683"/>
      <c r="I1554" s="683"/>
      <c r="J1554" s="683"/>
      <c r="K1554" s="683"/>
      <c r="L1554" s="685"/>
      <c r="M1554" s="685"/>
      <c r="N1554" s="687"/>
      <c r="O1554" s="683"/>
      <c r="P1554" s="683"/>
      <c r="Q1554" s="686"/>
      <c r="R1554" s="686"/>
      <c r="S1554" s="686"/>
      <c r="T1554" s="686"/>
      <c r="U1554" s="686"/>
      <c r="V1554" s="686"/>
      <c r="W1554" s="686"/>
      <c r="X1554" s="686"/>
      <c r="Y1554" s="686"/>
      <c r="Z1554" s="686"/>
      <c r="AA1554" s="686"/>
      <c r="AB1554" s="686"/>
      <c r="AC1554" s="686"/>
      <c r="AD1554" s="686"/>
      <c r="AE1554" s="686"/>
      <c r="AF1554" s="686"/>
    </row>
    <row r="1555" ht="15.75" customHeight="1">
      <c r="A1555" s="683"/>
      <c r="B1555" s="683"/>
      <c r="C1555" s="684"/>
      <c r="D1555" s="684"/>
      <c r="E1555" s="684"/>
      <c r="F1555" s="683"/>
      <c r="G1555" s="683"/>
      <c r="H1555" s="683"/>
      <c r="I1555" s="683"/>
      <c r="J1555" s="683"/>
      <c r="K1555" s="683"/>
      <c r="L1555" s="685"/>
      <c r="M1555" s="685"/>
      <c r="N1555" s="687"/>
      <c r="O1555" s="683"/>
      <c r="P1555" s="683"/>
      <c r="Q1555" s="686"/>
      <c r="R1555" s="686"/>
      <c r="S1555" s="686"/>
      <c r="T1555" s="686"/>
      <c r="U1555" s="686"/>
      <c r="V1555" s="686"/>
      <c r="W1555" s="686"/>
      <c r="X1555" s="686"/>
      <c r="Y1555" s="686"/>
      <c r="Z1555" s="686"/>
      <c r="AA1555" s="686"/>
      <c r="AB1555" s="686"/>
      <c r="AC1555" s="686"/>
      <c r="AD1555" s="686"/>
      <c r="AE1555" s="686"/>
      <c r="AF1555" s="686"/>
    </row>
    <row r="1556" ht="15.75" customHeight="1">
      <c r="A1556" s="683"/>
      <c r="B1556" s="683"/>
      <c r="C1556" s="684"/>
      <c r="D1556" s="684"/>
      <c r="E1556" s="684"/>
      <c r="F1556" s="683"/>
      <c r="G1556" s="683"/>
      <c r="H1556" s="683"/>
      <c r="I1556" s="683"/>
      <c r="J1556" s="683"/>
      <c r="K1556" s="683"/>
      <c r="L1556" s="685"/>
      <c r="M1556" s="685"/>
      <c r="N1556" s="687"/>
      <c r="O1556" s="683"/>
      <c r="P1556" s="683"/>
      <c r="Q1556" s="686"/>
      <c r="R1556" s="686"/>
      <c r="S1556" s="686"/>
      <c r="T1556" s="686"/>
      <c r="U1556" s="686"/>
      <c r="V1556" s="686"/>
      <c r="W1556" s="686"/>
      <c r="X1556" s="686"/>
      <c r="Y1556" s="686"/>
      <c r="Z1556" s="686"/>
      <c r="AA1556" s="686"/>
      <c r="AB1556" s="686"/>
      <c r="AC1556" s="686"/>
      <c r="AD1556" s="686"/>
      <c r="AE1556" s="686"/>
      <c r="AF1556" s="686"/>
    </row>
    <row r="1557" ht="15.75" customHeight="1">
      <c r="A1557" s="683"/>
      <c r="B1557" s="683"/>
      <c r="C1557" s="684"/>
      <c r="D1557" s="684"/>
      <c r="E1557" s="684"/>
      <c r="F1557" s="683"/>
      <c r="G1557" s="683"/>
      <c r="H1557" s="683"/>
      <c r="I1557" s="683"/>
      <c r="J1557" s="683"/>
      <c r="K1557" s="683"/>
      <c r="L1557" s="685"/>
      <c r="M1557" s="685"/>
      <c r="N1557" s="687"/>
      <c r="O1557" s="683"/>
      <c r="P1557" s="683"/>
      <c r="Q1557" s="686"/>
      <c r="R1557" s="686"/>
      <c r="S1557" s="686"/>
      <c r="T1557" s="686"/>
      <c r="U1557" s="686"/>
      <c r="V1557" s="686"/>
      <c r="W1557" s="686"/>
      <c r="X1557" s="686"/>
      <c r="Y1557" s="686"/>
      <c r="Z1557" s="686"/>
      <c r="AA1557" s="686"/>
      <c r="AB1557" s="686"/>
      <c r="AC1557" s="686"/>
      <c r="AD1557" s="686"/>
      <c r="AE1557" s="686"/>
      <c r="AF1557" s="686"/>
    </row>
    <row r="1558" ht="15.75" customHeight="1">
      <c r="A1558" s="683"/>
      <c r="B1558" s="683"/>
      <c r="C1558" s="684"/>
      <c r="D1558" s="684"/>
      <c r="E1558" s="684"/>
      <c r="F1558" s="683"/>
      <c r="G1558" s="683"/>
      <c r="H1558" s="683"/>
      <c r="I1558" s="683"/>
      <c r="J1558" s="683"/>
      <c r="K1558" s="683"/>
      <c r="L1558" s="685"/>
      <c r="M1558" s="685"/>
      <c r="N1558" s="687"/>
      <c r="O1558" s="683"/>
      <c r="P1558" s="683"/>
      <c r="Q1558" s="686"/>
      <c r="R1558" s="686"/>
      <c r="S1558" s="686"/>
      <c r="T1558" s="686"/>
      <c r="U1558" s="686"/>
      <c r="V1558" s="686"/>
      <c r="W1558" s="686"/>
      <c r="X1558" s="686"/>
      <c r="Y1558" s="686"/>
      <c r="Z1558" s="686"/>
      <c r="AA1558" s="686"/>
      <c r="AB1558" s="686"/>
      <c r="AC1558" s="686"/>
      <c r="AD1558" s="686"/>
      <c r="AE1558" s="686"/>
      <c r="AF1558" s="686"/>
    </row>
    <row r="1559" ht="15.75" customHeight="1">
      <c r="A1559" s="683"/>
      <c r="B1559" s="683"/>
      <c r="C1559" s="684"/>
      <c r="D1559" s="684"/>
      <c r="E1559" s="684"/>
      <c r="F1559" s="683"/>
      <c r="G1559" s="683"/>
      <c r="H1559" s="683"/>
      <c r="I1559" s="683"/>
      <c r="J1559" s="683"/>
      <c r="K1559" s="683"/>
      <c r="L1559" s="685"/>
      <c r="M1559" s="685"/>
      <c r="N1559" s="687"/>
      <c r="O1559" s="683"/>
      <c r="P1559" s="683"/>
      <c r="Q1559" s="686"/>
      <c r="R1559" s="686"/>
      <c r="S1559" s="686"/>
      <c r="T1559" s="686"/>
      <c r="U1559" s="686"/>
      <c r="V1559" s="686"/>
      <c r="W1559" s="686"/>
      <c r="X1559" s="686"/>
      <c r="Y1559" s="686"/>
      <c r="Z1559" s="686"/>
      <c r="AA1559" s="686"/>
      <c r="AB1559" s="686"/>
      <c r="AC1559" s="686"/>
      <c r="AD1559" s="686"/>
      <c r="AE1559" s="686"/>
      <c r="AF1559" s="686"/>
    </row>
    <row r="1560" ht="15.75" customHeight="1">
      <c r="A1560" s="683"/>
      <c r="B1560" s="683"/>
      <c r="C1560" s="684"/>
      <c r="D1560" s="684"/>
      <c r="E1560" s="684"/>
      <c r="F1560" s="683"/>
      <c r="G1560" s="683"/>
      <c r="H1560" s="683"/>
      <c r="I1560" s="683"/>
      <c r="J1560" s="683"/>
      <c r="K1560" s="683"/>
      <c r="L1560" s="685"/>
      <c r="M1560" s="685"/>
      <c r="N1560" s="687"/>
      <c r="O1560" s="683"/>
      <c r="P1560" s="683"/>
      <c r="Q1560" s="686"/>
      <c r="R1560" s="686"/>
      <c r="S1560" s="686"/>
      <c r="T1560" s="686"/>
      <c r="U1560" s="686"/>
      <c r="V1560" s="686"/>
      <c r="W1560" s="686"/>
      <c r="X1560" s="686"/>
      <c r="Y1560" s="686"/>
      <c r="Z1560" s="686"/>
      <c r="AA1560" s="686"/>
      <c r="AB1560" s="686"/>
      <c r="AC1560" s="686"/>
      <c r="AD1560" s="686"/>
      <c r="AE1560" s="686"/>
      <c r="AF1560" s="686"/>
    </row>
    <row r="1561" ht="15.75" customHeight="1">
      <c r="A1561" s="683"/>
      <c r="B1561" s="683"/>
      <c r="C1561" s="684"/>
      <c r="D1561" s="684"/>
      <c r="E1561" s="684"/>
      <c r="F1561" s="683"/>
      <c r="G1561" s="683"/>
      <c r="H1561" s="683"/>
      <c r="I1561" s="683"/>
      <c r="J1561" s="683"/>
      <c r="K1561" s="683"/>
      <c r="L1561" s="685"/>
      <c r="M1561" s="685"/>
      <c r="N1561" s="687"/>
      <c r="O1561" s="683"/>
      <c r="P1561" s="683"/>
      <c r="Q1561" s="686"/>
      <c r="R1561" s="686"/>
      <c r="S1561" s="686"/>
      <c r="T1561" s="686"/>
      <c r="U1561" s="686"/>
      <c r="V1561" s="686"/>
      <c r="W1561" s="686"/>
      <c r="X1561" s="686"/>
      <c r="Y1561" s="686"/>
      <c r="Z1561" s="686"/>
      <c r="AA1561" s="686"/>
      <c r="AB1561" s="686"/>
      <c r="AC1561" s="686"/>
      <c r="AD1561" s="686"/>
      <c r="AE1561" s="686"/>
      <c r="AF1561" s="686"/>
    </row>
    <row r="1562" ht="15.75" customHeight="1">
      <c r="A1562" s="683"/>
      <c r="B1562" s="683"/>
      <c r="C1562" s="684"/>
      <c r="D1562" s="684"/>
      <c r="E1562" s="684"/>
      <c r="F1562" s="683"/>
      <c r="G1562" s="683"/>
      <c r="H1562" s="683"/>
      <c r="I1562" s="683"/>
      <c r="J1562" s="683"/>
      <c r="K1562" s="683"/>
      <c r="L1562" s="685"/>
      <c r="M1562" s="685"/>
      <c r="N1562" s="687"/>
      <c r="O1562" s="683"/>
      <c r="P1562" s="683"/>
      <c r="Q1562" s="686"/>
      <c r="R1562" s="686"/>
      <c r="S1562" s="686"/>
      <c r="T1562" s="686"/>
      <c r="U1562" s="686"/>
      <c r="V1562" s="686"/>
      <c r="W1562" s="686"/>
      <c r="X1562" s="686"/>
      <c r="Y1562" s="686"/>
      <c r="Z1562" s="686"/>
      <c r="AA1562" s="686"/>
      <c r="AB1562" s="686"/>
      <c r="AC1562" s="686"/>
      <c r="AD1562" s="686"/>
      <c r="AE1562" s="686"/>
      <c r="AF1562" s="686"/>
    </row>
    <row r="1563" ht="15.75" customHeight="1">
      <c r="A1563" s="683"/>
      <c r="B1563" s="683"/>
      <c r="C1563" s="684"/>
      <c r="D1563" s="684"/>
      <c r="E1563" s="684"/>
      <c r="F1563" s="683"/>
      <c r="G1563" s="683"/>
      <c r="H1563" s="683"/>
      <c r="I1563" s="683"/>
      <c r="J1563" s="683"/>
      <c r="K1563" s="683"/>
      <c r="L1563" s="685"/>
      <c r="M1563" s="685"/>
      <c r="N1563" s="687"/>
      <c r="O1563" s="683"/>
      <c r="P1563" s="683"/>
      <c r="Q1563" s="686"/>
      <c r="R1563" s="686"/>
      <c r="S1563" s="686"/>
      <c r="T1563" s="686"/>
      <c r="U1563" s="686"/>
      <c r="V1563" s="686"/>
      <c r="W1563" s="686"/>
      <c r="X1563" s="686"/>
      <c r="Y1563" s="686"/>
      <c r="Z1563" s="686"/>
      <c r="AA1563" s="686"/>
      <c r="AB1563" s="686"/>
      <c r="AC1563" s="686"/>
      <c r="AD1563" s="686"/>
      <c r="AE1563" s="686"/>
      <c r="AF1563" s="686"/>
    </row>
    <row r="1564" ht="15.75" customHeight="1">
      <c r="A1564" s="683"/>
      <c r="B1564" s="683"/>
      <c r="C1564" s="684"/>
      <c r="D1564" s="684"/>
      <c r="E1564" s="684"/>
      <c r="F1564" s="683"/>
      <c r="G1564" s="683"/>
      <c r="H1564" s="683"/>
      <c r="I1564" s="683"/>
      <c r="J1564" s="683"/>
      <c r="K1564" s="683"/>
      <c r="L1564" s="685"/>
      <c r="M1564" s="685"/>
      <c r="N1564" s="687"/>
      <c r="O1564" s="683"/>
      <c r="P1564" s="683"/>
      <c r="Q1564" s="686"/>
      <c r="R1564" s="686"/>
      <c r="S1564" s="686"/>
      <c r="T1564" s="686"/>
      <c r="U1564" s="686"/>
      <c r="V1564" s="686"/>
      <c r="W1564" s="686"/>
      <c r="X1564" s="686"/>
      <c r="Y1564" s="686"/>
      <c r="Z1564" s="686"/>
      <c r="AA1564" s="686"/>
      <c r="AB1564" s="686"/>
      <c r="AC1564" s="686"/>
      <c r="AD1564" s="686"/>
      <c r="AE1564" s="686"/>
      <c r="AF1564" s="686"/>
    </row>
    <row r="1565" ht="15.75" customHeight="1">
      <c r="A1565" s="683"/>
      <c r="B1565" s="683"/>
      <c r="C1565" s="684"/>
      <c r="D1565" s="684"/>
      <c r="E1565" s="684"/>
      <c r="F1565" s="683"/>
      <c r="G1565" s="683"/>
      <c r="H1565" s="683"/>
      <c r="I1565" s="683"/>
      <c r="J1565" s="683"/>
      <c r="K1565" s="683"/>
      <c r="L1565" s="685"/>
      <c r="M1565" s="685"/>
      <c r="N1565" s="687"/>
      <c r="O1565" s="683"/>
      <c r="P1565" s="683"/>
      <c r="Q1565" s="686"/>
      <c r="R1565" s="686"/>
      <c r="S1565" s="686"/>
      <c r="T1565" s="686"/>
      <c r="U1565" s="686"/>
      <c r="V1565" s="686"/>
      <c r="W1565" s="686"/>
      <c r="X1565" s="686"/>
      <c r="Y1565" s="686"/>
      <c r="Z1565" s="686"/>
      <c r="AA1565" s="686"/>
      <c r="AB1565" s="686"/>
      <c r="AC1565" s="686"/>
      <c r="AD1565" s="686"/>
      <c r="AE1565" s="686"/>
      <c r="AF1565" s="686"/>
    </row>
    <row r="1566" ht="15.75" customHeight="1">
      <c r="A1566" s="683"/>
      <c r="B1566" s="683"/>
      <c r="C1566" s="684"/>
      <c r="D1566" s="684"/>
      <c r="E1566" s="684"/>
      <c r="F1566" s="683"/>
      <c r="G1566" s="683"/>
      <c r="H1566" s="683"/>
      <c r="I1566" s="683"/>
      <c r="J1566" s="683"/>
      <c r="K1566" s="683"/>
      <c r="L1566" s="685"/>
      <c r="M1566" s="685"/>
      <c r="N1566" s="687"/>
      <c r="O1566" s="683"/>
      <c r="P1566" s="683"/>
      <c r="Q1566" s="686"/>
      <c r="R1566" s="686"/>
      <c r="S1566" s="686"/>
      <c r="T1566" s="686"/>
      <c r="U1566" s="686"/>
      <c r="V1566" s="686"/>
      <c r="W1566" s="686"/>
      <c r="X1566" s="686"/>
      <c r="Y1566" s="686"/>
      <c r="Z1566" s="686"/>
      <c r="AA1566" s="686"/>
      <c r="AB1566" s="686"/>
      <c r="AC1566" s="686"/>
      <c r="AD1566" s="686"/>
      <c r="AE1566" s="686"/>
      <c r="AF1566" s="686"/>
    </row>
    <row r="1567" ht="15.75" customHeight="1">
      <c r="A1567" s="683"/>
      <c r="B1567" s="683"/>
      <c r="C1567" s="684"/>
      <c r="D1567" s="684"/>
      <c r="E1567" s="684"/>
      <c r="F1567" s="683"/>
      <c r="G1567" s="683"/>
      <c r="H1567" s="683"/>
      <c r="I1567" s="683"/>
      <c r="J1567" s="683"/>
      <c r="K1567" s="683"/>
      <c r="L1567" s="685"/>
      <c r="M1567" s="685"/>
      <c r="N1567" s="687"/>
      <c r="O1567" s="683"/>
      <c r="P1567" s="683"/>
      <c r="Q1567" s="686"/>
      <c r="R1567" s="686"/>
      <c r="S1567" s="686"/>
      <c r="T1567" s="686"/>
      <c r="U1567" s="686"/>
      <c r="V1567" s="686"/>
      <c r="W1567" s="686"/>
      <c r="X1567" s="686"/>
      <c r="Y1567" s="686"/>
      <c r="Z1567" s="686"/>
      <c r="AA1567" s="686"/>
      <c r="AB1567" s="686"/>
      <c r="AC1567" s="686"/>
      <c r="AD1567" s="686"/>
      <c r="AE1567" s="686"/>
      <c r="AF1567" s="686"/>
    </row>
    <row r="1568" ht="15.75" customHeight="1">
      <c r="A1568" s="683"/>
      <c r="B1568" s="683"/>
      <c r="C1568" s="684"/>
      <c r="D1568" s="684"/>
      <c r="E1568" s="684"/>
      <c r="F1568" s="683"/>
      <c r="G1568" s="683"/>
      <c r="H1568" s="683"/>
      <c r="I1568" s="683"/>
      <c r="J1568" s="683"/>
      <c r="K1568" s="683"/>
      <c r="L1568" s="685"/>
      <c r="M1568" s="685"/>
      <c r="N1568" s="687"/>
      <c r="O1568" s="683"/>
      <c r="P1568" s="683"/>
      <c r="Q1568" s="686"/>
      <c r="R1568" s="686"/>
      <c r="S1568" s="686"/>
      <c r="T1568" s="686"/>
      <c r="U1568" s="686"/>
      <c r="V1568" s="686"/>
      <c r="W1568" s="686"/>
      <c r="X1568" s="686"/>
      <c r="Y1568" s="686"/>
      <c r="Z1568" s="686"/>
      <c r="AA1568" s="686"/>
      <c r="AB1568" s="686"/>
      <c r="AC1568" s="686"/>
      <c r="AD1568" s="686"/>
      <c r="AE1568" s="686"/>
      <c r="AF1568" s="686"/>
    </row>
    <row r="1569" ht="15.75" customHeight="1">
      <c r="A1569" s="683"/>
      <c r="B1569" s="683"/>
      <c r="C1569" s="684"/>
      <c r="D1569" s="684"/>
      <c r="E1569" s="684"/>
      <c r="F1569" s="683"/>
      <c r="G1569" s="683"/>
      <c r="H1569" s="683"/>
      <c r="I1569" s="683"/>
      <c r="J1569" s="683"/>
      <c r="K1569" s="683"/>
      <c r="L1569" s="685"/>
      <c r="M1569" s="685"/>
      <c r="N1569" s="687"/>
      <c r="O1569" s="683"/>
      <c r="P1569" s="683"/>
      <c r="Q1569" s="686"/>
      <c r="R1569" s="686"/>
      <c r="S1569" s="686"/>
      <c r="T1569" s="686"/>
      <c r="U1569" s="686"/>
      <c r="V1569" s="686"/>
      <c r="W1569" s="686"/>
      <c r="X1569" s="686"/>
      <c r="Y1569" s="686"/>
      <c r="Z1569" s="686"/>
      <c r="AA1569" s="686"/>
      <c r="AB1569" s="686"/>
      <c r="AC1569" s="686"/>
      <c r="AD1569" s="686"/>
      <c r="AE1569" s="686"/>
      <c r="AF1569" s="686"/>
    </row>
    <row r="1570" ht="15.75" customHeight="1">
      <c r="A1570" s="683"/>
      <c r="B1570" s="683"/>
      <c r="C1570" s="684"/>
      <c r="D1570" s="684"/>
      <c r="E1570" s="684"/>
      <c r="F1570" s="683"/>
      <c r="G1570" s="683"/>
      <c r="H1570" s="683"/>
      <c r="I1570" s="683"/>
      <c r="J1570" s="683"/>
      <c r="K1570" s="683"/>
      <c r="L1570" s="685"/>
      <c r="M1570" s="685"/>
      <c r="N1570" s="687"/>
      <c r="O1570" s="683"/>
      <c r="P1570" s="683"/>
      <c r="Q1570" s="686"/>
      <c r="R1570" s="686"/>
      <c r="S1570" s="686"/>
      <c r="T1570" s="686"/>
      <c r="U1570" s="686"/>
      <c r="V1570" s="686"/>
      <c r="W1570" s="686"/>
      <c r="X1570" s="686"/>
      <c r="Y1570" s="686"/>
      <c r="Z1570" s="686"/>
      <c r="AA1570" s="686"/>
      <c r="AB1570" s="686"/>
      <c r="AC1570" s="686"/>
      <c r="AD1570" s="686"/>
      <c r="AE1570" s="686"/>
      <c r="AF1570" s="686"/>
    </row>
    <row r="1571" ht="15.75" customHeight="1">
      <c r="A1571" s="683"/>
      <c r="B1571" s="683"/>
      <c r="C1571" s="684"/>
      <c r="D1571" s="684"/>
      <c r="E1571" s="684"/>
      <c r="F1571" s="683"/>
      <c r="G1571" s="683"/>
      <c r="H1571" s="683"/>
      <c r="I1571" s="683"/>
      <c r="J1571" s="683"/>
      <c r="K1571" s="683"/>
      <c r="L1571" s="685"/>
      <c r="M1571" s="685"/>
      <c r="N1571" s="687"/>
      <c r="O1571" s="683"/>
      <c r="P1571" s="683"/>
      <c r="Q1571" s="686"/>
      <c r="R1571" s="686"/>
      <c r="S1571" s="686"/>
      <c r="T1571" s="686"/>
      <c r="U1571" s="686"/>
      <c r="V1571" s="686"/>
      <c r="W1571" s="686"/>
      <c r="X1571" s="686"/>
      <c r="Y1571" s="686"/>
      <c r="Z1571" s="686"/>
      <c r="AA1571" s="686"/>
      <c r="AB1571" s="686"/>
      <c r="AC1571" s="686"/>
      <c r="AD1571" s="686"/>
      <c r="AE1571" s="686"/>
      <c r="AF1571" s="686"/>
    </row>
    <row r="1572" ht="15.75" customHeight="1">
      <c r="A1572" s="683"/>
      <c r="B1572" s="683"/>
      <c r="C1572" s="684"/>
      <c r="D1572" s="684"/>
      <c r="E1572" s="684"/>
      <c r="F1572" s="683"/>
      <c r="G1572" s="683"/>
      <c r="H1572" s="683"/>
      <c r="I1572" s="683"/>
      <c r="J1572" s="683"/>
      <c r="K1572" s="683"/>
      <c r="L1572" s="685"/>
      <c r="M1572" s="685"/>
      <c r="N1572" s="687"/>
      <c r="O1572" s="683"/>
      <c r="P1572" s="683"/>
      <c r="Q1572" s="686"/>
      <c r="R1572" s="686"/>
      <c r="S1572" s="686"/>
      <c r="T1572" s="686"/>
      <c r="U1572" s="686"/>
      <c r="V1572" s="686"/>
      <c r="W1572" s="686"/>
      <c r="X1572" s="686"/>
      <c r="Y1572" s="686"/>
      <c r="Z1572" s="686"/>
      <c r="AA1572" s="686"/>
      <c r="AB1572" s="686"/>
      <c r="AC1572" s="686"/>
      <c r="AD1572" s="686"/>
      <c r="AE1572" s="686"/>
      <c r="AF1572" s="686"/>
    </row>
    <row r="1573" ht="15.75" customHeight="1">
      <c r="A1573" s="683"/>
      <c r="B1573" s="683"/>
      <c r="C1573" s="684"/>
      <c r="D1573" s="684"/>
      <c r="E1573" s="684"/>
      <c r="F1573" s="683"/>
      <c r="G1573" s="683"/>
      <c r="H1573" s="683"/>
      <c r="I1573" s="683"/>
      <c r="J1573" s="683"/>
      <c r="K1573" s="683"/>
      <c r="L1573" s="685"/>
      <c r="M1573" s="685"/>
      <c r="N1573" s="687"/>
      <c r="O1573" s="683"/>
      <c r="P1573" s="683"/>
      <c r="Q1573" s="686"/>
      <c r="R1573" s="686"/>
      <c r="S1573" s="686"/>
      <c r="T1573" s="686"/>
      <c r="U1573" s="686"/>
      <c r="V1573" s="686"/>
      <c r="W1573" s="686"/>
      <c r="X1573" s="686"/>
      <c r="Y1573" s="686"/>
      <c r="Z1573" s="686"/>
      <c r="AA1573" s="686"/>
      <c r="AB1573" s="686"/>
      <c r="AC1573" s="686"/>
      <c r="AD1573" s="686"/>
      <c r="AE1573" s="686"/>
      <c r="AF1573" s="686"/>
    </row>
    <row r="1574" ht="15.75" customHeight="1">
      <c r="A1574" s="683"/>
      <c r="B1574" s="683"/>
      <c r="C1574" s="684"/>
      <c r="D1574" s="684"/>
      <c r="E1574" s="684"/>
      <c r="F1574" s="683"/>
      <c r="G1574" s="683"/>
      <c r="H1574" s="683"/>
      <c r="I1574" s="683"/>
      <c r="J1574" s="683"/>
      <c r="K1574" s="683"/>
      <c r="L1574" s="685"/>
      <c r="M1574" s="685"/>
      <c r="N1574" s="687"/>
      <c r="O1574" s="683"/>
      <c r="P1574" s="683"/>
      <c r="Q1574" s="686"/>
      <c r="R1574" s="686"/>
      <c r="S1574" s="686"/>
      <c r="T1574" s="686"/>
      <c r="U1574" s="686"/>
      <c r="V1574" s="686"/>
      <c r="W1574" s="686"/>
      <c r="X1574" s="686"/>
      <c r="Y1574" s="686"/>
      <c r="Z1574" s="686"/>
      <c r="AA1574" s="686"/>
      <c r="AB1574" s="686"/>
      <c r="AC1574" s="686"/>
      <c r="AD1574" s="686"/>
      <c r="AE1574" s="686"/>
      <c r="AF1574" s="686"/>
    </row>
    <row r="1575" ht="15.75" customHeight="1">
      <c r="A1575" s="683"/>
      <c r="B1575" s="683"/>
      <c r="C1575" s="684"/>
      <c r="D1575" s="684"/>
      <c r="E1575" s="684"/>
      <c r="F1575" s="683"/>
      <c r="G1575" s="683"/>
      <c r="H1575" s="683"/>
      <c r="I1575" s="683"/>
      <c r="J1575" s="683"/>
      <c r="K1575" s="683"/>
      <c r="L1575" s="685"/>
      <c r="M1575" s="685"/>
      <c r="N1575" s="687"/>
      <c r="O1575" s="683"/>
      <c r="P1575" s="683"/>
      <c r="Q1575" s="686"/>
      <c r="R1575" s="686"/>
      <c r="S1575" s="686"/>
      <c r="T1575" s="686"/>
      <c r="U1575" s="686"/>
      <c r="V1575" s="686"/>
      <c r="W1575" s="686"/>
      <c r="X1575" s="686"/>
      <c r="Y1575" s="686"/>
      <c r="Z1575" s="686"/>
      <c r="AA1575" s="686"/>
      <c r="AB1575" s="686"/>
      <c r="AC1575" s="686"/>
      <c r="AD1575" s="686"/>
      <c r="AE1575" s="686"/>
      <c r="AF1575" s="686"/>
    </row>
    <row r="1576" ht="15.75" customHeight="1">
      <c r="A1576" s="683"/>
      <c r="B1576" s="683"/>
      <c r="C1576" s="684"/>
      <c r="D1576" s="684"/>
      <c r="E1576" s="684"/>
      <c r="F1576" s="683"/>
      <c r="G1576" s="683"/>
      <c r="H1576" s="683"/>
      <c r="I1576" s="683"/>
      <c r="J1576" s="683"/>
      <c r="K1576" s="683"/>
      <c r="L1576" s="685"/>
      <c r="M1576" s="685"/>
      <c r="N1576" s="687"/>
      <c r="O1576" s="683"/>
      <c r="P1576" s="683"/>
      <c r="Q1576" s="686"/>
      <c r="R1576" s="686"/>
      <c r="S1576" s="686"/>
      <c r="T1576" s="686"/>
      <c r="U1576" s="686"/>
      <c r="V1576" s="686"/>
      <c r="W1576" s="686"/>
      <c r="X1576" s="686"/>
      <c r="Y1576" s="686"/>
      <c r="Z1576" s="686"/>
      <c r="AA1576" s="686"/>
      <c r="AB1576" s="686"/>
      <c r="AC1576" s="686"/>
      <c r="AD1576" s="686"/>
      <c r="AE1576" s="686"/>
      <c r="AF1576" s="686"/>
    </row>
    <row r="1577" ht="15.75" customHeight="1">
      <c r="A1577" s="683"/>
      <c r="B1577" s="683"/>
      <c r="C1577" s="684"/>
      <c r="D1577" s="684"/>
      <c r="E1577" s="684"/>
      <c r="F1577" s="683"/>
      <c r="G1577" s="683"/>
      <c r="H1577" s="683"/>
      <c r="I1577" s="683"/>
      <c r="J1577" s="683"/>
      <c r="K1577" s="683"/>
      <c r="L1577" s="685"/>
      <c r="M1577" s="685"/>
      <c r="N1577" s="687"/>
      <c r="O1577" s="683"/>
      <c r="P1577" s="683"/>
      <c r="Q1577" s="686"/>
      <c r="R1577" s="686"/>
      <c r="S1577" s="686"/>
      <c r="T1577" s="686"/>
      <c r="U1577" s="686"/>
      <c r="V1577" s="686"/>
      <c r="W1577" s="686"/>
      <c r="X1577" s="686"/>
      <c r="Y1577" s="686"/>
      <c r="Z1577" s="686"/>
      <c r="AA1577" s="686"/>
      <c r="AB1577" s="686"/>
      <c r="AC1577" s="686"/>
      <c r="AD1577" s="686"/>
      <c r="AE1577" s="686"/>
      <c r="AF1577" s="686"/>
    </row>
    <row r="1578" ht="15.75" customHeight="1">
      <c r="A1578" s="683"/>
      <c r="B1578" s="683"/>
      <c r="C1578" s="684"/>
      <c r="D1578" s="684"/>
      <c r="E1578" s="684"/>
      <c r="F1578" s="683"/>
      <c r="G1578" s="683"/>
      <c r="H1578" s="683"/>
      <c r="I1578" s="683"/>
      <c r="J1578" s="683"/>
      <c r="K1578" s="683"/>
      <c r="L1578" s="685"/>
      <c r="M1578" s="685"/>
      <c r="N1578" s="687"/>
      <c r="O1578" s="683"/>
      <c r="P1578" s="683"/>
      <c r="Q1578" s="686"/>
      <c r="R1578" s="686"/>
      <c r="S1578" s="686"/>
      <c r="T1578" s="686"/>
      <c r="U1578" s="686"/>
      <c r="V1578" s="686"/>
      <c r="W1578" s="686"/>
      <c r="X1578" s="686"/>
      <c r="Y1578" s="686"/>
      <c r="Z1578" s="686"/>
      <c r="AA1578" s="686"/>
      <c r="AB1578" s="686"/>
      <c r="AC1578" s="686"/>
      <c r="AD1578" s="686"/>
      <c r="AE1578" s="686"/>
      <c r="AF1578" s="686"/>
    </row>
    <row r="1579" ht="15.75" customHeight="1">
      <c r="A1579" s="683"/>
      <c r="B1579" s="683"/>
      <c r="C1579" s="684"/>
      <c r="D1579" s="684"/>
      <c r="E1579" s="684"/>
      <c r="F1579" s="683"/>
      <c r="G1579" s="683"/>
      <c r="H1579" s="683"/>
      <c r="I1579" s="683"/>
      <c r="J1579" s="683"/>
      <c r="K1579" s="683"/>
      <c r="L1579" s="685"/>
      <c r="M1579" s="685"/>
      <c r="N1579" s="687"/>
      <c r="O1579" s="683"/>
      <c r="P1579" s="683"/>
      <c r="Q1579" s="686"/>
      <c r="R1579" s="686"/>
      <c r="S1579" s="686"/>
      <c r="T1579" s="686"/>
      <c r="U1579" s="686"/>
      <c r="V1579" s="686"/>
      <c r="W1579" s="686"/>
      <c r="X1579" s="686"/>
      <c r="Y1579" s="686"/>
      <c r="Z1579" s="686"/>
      <c r="AA1579" s="686"/>
      <c r="AB1579" s="686"/>
      <c r="AC1579" s="686"/>
      <c r="AD1579" s="686"/>
      <c r="AE1579" s="686"/>
      <c r="AF1579" s="686"/>
    </row>
    <row r="1580" ht="15.75" customHeight="1">
      <c r="A1580" s="683"/>
      <c r="B1580" s="683"/>
      <c r="C1580" s="684"/>
      <c r="D1580" s="684"/>
      <c r="E1580" s="684"/>
      <c r="F1580" s="683"/>
      <c r="G1580" s="683"/>
      <c r="H1580" s="683"/>
      <c r="I1580" s="683"/>
      <c r="J1580" s="683"/>
      <c r="K1580" s="683"/>
      <c r="L1580" s="685"/>
      <c r="M1580" s="685"/>
      <c r="N1580" s="687"/>
      <c r="O1580" s="683"/>
      <c r="P1580" s="683"/>
      <c r="Q1580" s="686"/>
      <c r="R1580" s="686"/>
      <c r="S1580" s="686"/>
      <c r="T1580" s="686"/>
      <c r="U1580" s="686"/>
      <c r="V1580" s="686"/>
      <c r="W1580" s="686"/>
      <c r="X1580" s="686"/>
      <c r="Y1580" s="686"/>
      <c r="Z1580" s="686"/>
      <c r="AA1580" s="686"/>
      <c r="AB1580" s="686"/>
      <c r="AC1580" s="686"/>
      <c r="AD1580" s="686"/>
      <c r="AE1580" s="686"/>
      <c r="AF1580" s="686"/>
    </row>
    <row r="1581" ht="15.75" customHeight="1">
      <c r="A1581" s="683"/>
      <c r="B1581" s="683"/>
      <c r="C1581" s="684"/>
      <c r="D1581" s="684"/>
      <c r="E1581" s="684"/>
      <c r="F1581" s="683"/>
      <c r="G1581" s="683"/>
      <c r="H1581" s="683"/>
      <c r="I1581" s="683"/>
      <c r="J1581" s="683"/>
      <c r="K1581" s="683"/>
      <c r="L1581" s="685"/>
      <c r="M1581" s="685"/>
      <c r="N1581" s="687"/>
      <c r="O1581" s="683"/>
      <c r="P1581" s="683"/>
      <c r="Q1581" s="686"/>
      <c r="R1581" s="686"/>
      <c r="S1581" s="686"/>
      <c r="T1581" s="686"/>
      <c r="U1581" s="686"/>
      <c r="V1581" s="686"/>
      <c r="W1581" s="686"/>
      <c r="X1581" s="686"/>
      <c r="Y1581" s="686"/>
      <c r="Z1581" s="686"/>
      <c r="AA1581" s="686"/>
      <c r="AB1581" s="686"/>
      <c r="AC1581" s="686"/>
      <c r="AD1581" s="686"/>
      <c r="AE1581" s="686"/>
      <c r="AF1581" s="686"/>
    </row>
    <row r="1582" ht="15.75" customHeight="1">
      <c r="A1582" s="683"/>
      <c r="B1582" s="683"/>
      <c r="C1582" s="684"/>
      <c r="D1582" s="684"/>
      <c r="E1582" s="684"/>
      <c r="F1582" s="683"/>
      <c r="G1582" s="683"/>
      <c r="H1582" s="683"/>
      <c r="I1582" s="683"/>
      <c r="J1582" s="683"/>
      <c r="K1582" s="683"/>
      <c r="L1582" s="685"/>
      <c r="M1582" s="685"/>
      <c r="N1582" s="687"/>
      <c r="O1582" s="683"/>
      <c r="P1582" s="683"/>
      <c r="Q1582" s="686"/>
      <c r="R1582" s="686"/>
      <c r="S1582" s="686"/>
      <c r="T1582" s="686"/>
      <c r="U1582" s="686"/>
      <c r="V1582" s="686"/>
      <c r="W1582" s="686"/>
      <c r="X1582" s="686"/>
      <c r="Y1582" s="686"/>
      <c r="Z1582" s="686"/>
      <c r="AA1582" s="686"/>
      <c r="AB1582" s="686"/>
      <c r="AC1582" s="686"/>
      <c r="AD1582" s="686"/>
      <c r="AE1582" s="686"/>
      <c r="AF1582" s="686"/>
    </row>
    <row r="1583" ht="15.75" customHeight="1">
      <c r="A1583" s="683"/>
      <c r="B1583" s="683"/>
      <c r="C1583" s="684"/>
      <c r="D1583" s="684"/>
      <c r="E1583" s="684"/>
      <c r="F1583" s="683"/>
      <c r="G1583" s="683"/>
      <c r="H1583" s="683"/>
      <c r="I1583" s="683"/>
      <c r="J1583" s="683"/>
      <c r="K1583" s="683"/>
      <c r="L1583" s="685"/>
      <c r="M1583" s="685"/>
      <c r="N1583" s="687"/>
      <c r="O1583" s="683"/>
      <c r="P1583" s="683"/>
      <c r="Q1583" s="686"/>
      <c r="R1583" s="686"/>
      <c r="S1583" s="686"/>
      <c r="T1583" s="686"/>
      <c r="U1583" s="686"/>
      <c r="V1583" s="686"/>
      <c r="W1583" s="686"/>
      <c r="X1583" s="686"/>
      <c r="Y1583" s="686"/>
      <c r="Z1583" s="686"/>
      <c r="AA1583" s="686"/>
      <c r="AB1583" s="686"/>
      <c r="AC1583" s="686"/>
      <c r="AD1583" s="686"/>
      <c r="AE1583" s="686"/>
      <c r="AF1583" s="686"/>
    </row>
    <row r="1584" ht="15.75" customHeight="1">
      <c r="A1584" s="683"/>
      <c r="B1584" s="683"/>
      <c r="C1584" s="684"/>
      <c r="D1584" s="684"/>
      <c r="E1584" s="684"/>
      <c r="F1584" s="683"/>
      <c r="G1584" s="683"/>
      <c r="H1584" s="683"/>
      <c r="I1584" s="683"/>
      <c r="J1584" s="683"/>
      <c r="K1584" s="683"/>
      <c r="L1584" s="685"/>
      <c r="M1584" s="685"/>
      <c r="N1584" s="687"/>
      <c r="O1584" s="683"/>
      <c r="P1584" s="683"/>
      <c r="Q1584" s="686"/>
      <c r="R1584" s="686"/>
      <c r="S1584" s="686"/>
      <c r="T1584" s="686"/>
      <c r="U1584" s="686"/>
      <c r="V1584" s="686"/>
      <c r="W1584" s="686"/>
      <c r="X1584" s="686"/>
      <c r="Y1584" s="686"/>
      <c r="Z1584" s="686"/>
      <c r="AA1584" s="686"/>
      <c r="AB1584" s="686"/>
      <c r="AC1584" s="686"/>
      <c r="AD1584" s="686"/>
      <c r="AE1584" s="686"/>
      <c r="AF1584" s="686"/>
    </row>
    <row r="1585" ht="15.75" customHeight="1">
      <c r="A1585" s="683"/>
      <c r="B1585" s="683"/>
      <c r="C1585" s="684"/>
      <c r="D1585" s="684"/>
      <c r="E1585" s="684"/>
      <c r="F1585" s="683"/>
      <c r="G1585" s="683"/>
      <c r="H1585" s="683"/>
      <c r="I1585" s="683"/>
      <c r="J1585" s="683"/>
      <c r="K1585" s="683"/>
      <c r="L1585" s="685"/>
      <c r="M1585" s="685"/>
      <c r="N1585" s="687"/>
      <c r="O1585" s="683"/>
      <c r="P1585" s="683"/>
      <c r="Q1585" s="686"/>
      <c r="R1585" s="686"/>
      <c r="S1585" s="686"/>
      <c r="T1585" s="686"/>
      <c r="U1585" s="686"/>
      <c r="V1585" s="686"/>
      <c r="W1585" s="686"/>
      <c r="X1585" s="686"/>
      <c r="Y1585" s="686"/>
      <c r="Z1585" s="686"/>
      <c r="AA1585" s="686"/>
      <c r="AB1585" s="686"/>
      <c r="AC1585" s="686"/>
      <c r="AD1585" s="686"/>
      <c r="AE1585" s="686"/>
      <c r="AF1585" s="686"/>
    </row>
    <row r="1586" ht="15.75" customHeight="1">
      <c r="A1586" s="683"/>
      <c r="B1586" s="683"/>
      <c r="C1586" s="684"/>
      <c r="D1586" s="684"/>
      <c r="E1586" s="684"/>
      <c r="F1586" s="683"/>
      <c r="G1586" s="683"/>
      <c r="H1586" s="683"/>
      <c r="I1586" s="683"/>
      <c r="J1586" s="683"/>
      <c r="K1586" s="683"/>
      <c r="L1586" s="685"/>
      <c r="M1586" s="685"/>
      <c r="N1586" s="687"/>
      <c r="O1586" s="683"/>
      <c r="P1586" s="683"/>
      <c r="Q1586" s="686"/>
      <c r="R1586" s="686"/>
      <c r="S1586" s="686"/>
      <c r="T1586" s="686"/>
      <c r="U1586" s="686"/>
      <c r="V1586" s="686"/>
      <c r="W1586" s="686"/>
      <c r="X1586" s="686"/>
      <c r="Y1586" s="686"/>
      <c r="Z1586" s="686"/>
      <c r="AA1586" s="686"/>
      <c r="AB1586" s="686"/>
      <c r="AC1586" s="686"/>
      <c r="AD1586" s="686"/>
      <c r="AE1586" s="686"/>
      <c r="AF1586" s="686"/>
    </row>
    <row r="1587" ht="15.75" customHeight="1">
      <c r="A1587" s="683"/>
      <c r="B1587" s="683"/>
      <c r="C1587" s="684"/>
      <c r="D1587" s="684"/>
      <c r="E1587" s="684"/>
      <c r="F1587" s="683"/>
      <c r="G1587" s="683"/>
      <c r="H1587" s="683"/>
      <c r="I1587" s="683"/>
      <c r="J1587" s="683"/>
      <c r="K1587" s="683"/>
      <c r="L1587" s="685"/>
      <c r="M1587" s="685"/>
      <c r="N1587" s="687"/>
      <c r="O1587" s="683"/>
      <c r="P1587" s="683"/>
      <c r="Q1587" s="686"/>
      <c r="R1587" s="686"/>
      <c r="S1587" s="686"/>
      <c r="T1587" s="686"/>
      <c r="U1587" s="686"/>
      <c r="V1587" s="686"/>
      <c r="W1587" s="686"/>
      <c r="X1587" s="686"/>
      <c r="Y1587" s="686"/>
      <c r="Z1587" s="686"/>
      <c r="AA1587" s="686"/>
      <c r="AB1587" s="686"/>
      <c r="AC1587" s="686"/>
      <c r="AD1587" s="686"/>
      <c r="AE1587" s="686"/>
      <c r="AF1587" s="686"/>
    </row>
    <row r="1588" ht="15.75" customHeight="1">
      <c r="A1588" s="683"/>
      <c r="B1588" s="683"/>
      <c r="C1588" s="684"/>
      <c r="D1588" s="684"/>
      <c r="E1588" s="684"/>
      <c r="F1588" s="683"/>
      <c r="G1588" s="683"/>
      <c r="H1588" s="683"/>
      <c r="I1588" s="683"/>
      <c r="J1588" s="683"/>
      <c r="K1588" s="683"/>
      <c r="L1588" s="685"/>
      <c r="M1588" s="685"/>
      <c r="N1588" s="687"/>
      <c r="O1588" s="683"/>
      <c r="P1588" s="683"/>
      <c r="Q1588" s="686"/>
      <c r="R1588" s="686"/>
      <c r="S1588" s="686"/>
      <c r="T1588" s="686"/>
      <c r="U1588" s="686"/>
      <c r="V1588" s="686"/>
      <c r="W1588" s="686"/>
      <c r="X1588" s="686"/>
      <c r="Y1588" s="686"/>
      <c r="Z1588" s="686"/>
      <c r="AA1588" s="686"/>
      <c r="AB1588" s="686"/>
      <c r="AC1588" s="686"/>
      <c r="AD1588" s="686"/>
      <c r="AE1588" s="686"/>
      <c r="AF1588" s="686"/>
    </row>
    <row r="1589" ht="15.75" customHeight="1">
      <c r="A1589" s="683"/>
      <c r="B1589" s="683"/>
      <c r="C1589" s="684"/>
      <c r="D1589" s="684"/>
      <c r="E1589" s="684"/>
      <c r="F1589" s="683"/>
      <c r="G1589" s="683"/>
      <c r="H1589" s="683"/>
      <c r="I1589" s="683"/>
      <c r="J1589" s="683"/>
      <c r="K1589" s="683"/>
      <c r="L1589" s="685"/>
      <c r="M1589" s="685"/>
      <c r="N1589" s="687"/>
      <c r="O1589" s="683"/>
      <c r="P1589" s="683"/>
      <c r="Q1589" s="686"/>
      <c r="R1589" s="686"/>
      <c r="S1589" s="686"/>
      <c r="T1589" s="686"/>
      <c r="U1589" s="686"/>
      <c r="V1589" s="686"/>
      <c r="W1589" s="686"/>
      <c r="X1589" s="686"/>
      <c r="Y1589" s="686"/>
      <c r="Z1589" s="686"/>
      <c r="AA1589" s="686"/>
      <c r="AB1589" s="686"/>
      <c r="AC1589" s="686"/>
      <c r="AD1589" s="686"/>
      <c r="AE1589" s="686"/>
      <c r="AF1589" s="686"/>
    </row>
    <row r="1590" ht="15.75" customHeight="1">
      <c r="A1590" s="683"/>
      <c r="B1590" s="683"/>
      <c r="C1590" s="684"/>
      <c r="D1590" s="684"/>
      <c r="E1590" s="684"/>
      <c r="F1590" s="683"/>
      <c r="G1590" s="683"/>
      <c r="H1590" s="683"/>
      <c r="I1590" s="683"/>
      <c r="J1590" s="683"/>
      <c r="K1590" s="683"/>
      <c r="L1590" s="685"/>
      <c r="M1590" s="685"/>
      <c r="N1590" s="687"/>
      <c r="O1590" s="683"/>
      <c r="P1590" s="683"/>
      <c r="Q1590" s="686"/>
      <c r="R1590" s="686"/>
      <c r="S1590" s="686"/>
      <c r="T1590" s="686"/>
      <c r="U1590" s="686"/>
      <c r="V1590" s="686"/>
      <c r="W1590" s="686"/>
      <c r="X1590" s="686"/>
      <c r="Y1590" s="686"/>
      <c r="Z1590" s="686"/>
      <c r="AA1590" s="686"/>
      <c r="AB1590" s="686"/>
      <c r="AC1590" s="686"/>
      <c r="AD1590" s="686"/>
      <c r="AE1590" s="686"/>
      <c r="AF1590" s="686"/>
    </row>
    <row r="1591" ht="15.75" customHeight="1">
      <c r="A1591" s="683"/>
      <c r="B1591" s="683"/>
      <c r="C1591" s="684"/>
      <c r="D1591" s="684"/>
      <c r="E1591" s="684"/>
      <c r="F1591" s="683"/>
      <c r="G1591" s="683"/>
      <c r="H1591" s="683"/>
      <c r="I1591" s="683"/>
      <c r="J1591" s="683"/>
      <c r="K1591" s="683"/>
      <c r="L1591" s="685"/>
      <c r="M1591" s="685"/>
      <c r="N1591" s="687"/>
      <c r="O1591" s="683"/>
      <c r="P1591" s="683"/>
      <c r="Q1591" s="686"/>
      <c r="R1591" s="686"/>
      <c r="S1591" s="686"/>
      <c r="T1591" s="686"/>
      <c r="U1591" s="686"/>
      <c r="V1591" s="686"/>
      <c r="W1591" s="686"/>
      <c r="X1591" s="686"/>
      <c r="Y1591" s="686"/>
      <c r="Z1591" s="686"/>
      <c r="AA1591" s="686"/>
      <c r="AB1591" s="686"/>
      <c r="AC1591" s="686"/>
      <c r="AD1591" s="686"/>
      <c r="AE1591" s="686"/>
      <c r="AF1591" s="686"/>
    </row>
    <row r="1592" ht="15.75" customHeight="1">
      <c r="A1592" s="683"/>
      <c r="B1592" s="683"/>
      <c r="C1592" s="684"/>
      <c r="D1592" s="684"/>
      <c r="E1592" s="684"/>
      <c r="F1592" s="683"/>
      <c r="G1592" s="683"/>
      <c r="H1592" s="683"/>
      <c r="I1592" s="683"/>
      <c r="J1592" s="683"/>
      <c r="K1592" s="683"/>
      <c r="L1592" s="685"/>
      <c r="M1592" s="685"/>
      <c r="N1592" s="687"/>
      <c r="O1592" s="683"/>
      <c r="P1592" s="683"/>
      <c r="Q1592" s="686"/>
      <c r="R1592" s="686"/>
      <c r="S1592" s="686"/>
      <c r="T1592" s="686"/>
      <c r="U1592" s="686"/>
      <c r="V1592" s="686"/>
      <c r="W1592" s="686"/>
      <c r="X1592" s="686"/>
      <c r="Y1592" s="686"/>
      <c r="Z1592" s="686"/>
      <c r="AA1592" s="686"/>
      <c r="AB1592" s="686"/>
      <c r="AC1592" s="686"/>
      <c r="AD1592" s="686"/>
      <c r="AE1592" s="686"/>
      <c r="AF1592" s="686"/>
    </row>
    <row r="1593" ht="15.75" customHeight="1">
      <c r="A1593" s="683"/>
      <c r="B1593" s="683"/>
      <c r="C1593" s="684"/>
      <c r="D1593" s="684"/>
      <c r="E1593" s="684"/>
      <c r="F1593" s="683"/>
      <c r="G1593" s="683"/>
      <c r="H1593" s="683"/>
      <c r="I1593" s="683"/>
      <c r="J1593" s="683"/>
      <c r="K1593" s="683"/>
      <c r="L1593" s="685"/>
      <c r="M1593" s="685"/>
      <c r="N1593" s="687"/>
      <c r="O1593" s="683"/>
      <c r="P1593" s="683"/>
      <c r="Q1593" s="686"/>
      <c r="R1593" s="686"/>
      <c r="S1593" s="686"/>
      <c r="T1593" s="686"/>
      <c r="U1593" s="686"/>
      <c r="V1593" s="686"/>
      <c r="W1593" s="686"/>
      <c r="X1593" s="686"/>
      <c r="Y1593" s="686"/>
      <c r="Z1593" s="686"/>
      <c r="AA1593" s="686"/>
      <c r="AB1593" s="686"/>
      <c r="AC1593" s="686"/>
      <c r="AD1593" s="686"/>
      <c r="AE1593" s="686"/>
      <c r="AF1593" s="686"/>
    </row>
    <row r="1594" ht="15.75" customHeight="1">
      <c r="A1594" s="683"/>
      <c r="B1594" s="683"/>
      <c r="C1594" s="684"/>
      <c r="D1594" s="684"/>
      <c r="E1594" s="684"/>
      <c r="F1594" s="683"/>
      <c r="G1594" s="683"/>
      <c r="H1594" s="683"/>
      <c r="I1594" s="683"/>
      <c r="J1594" s="683"/>
      <c r="K1594" s="683"/>
      <c r="L1594" s="685"/>
      <c r="M1594" s="685"/>
      <c r="N1594" s="687"/>
      <c r="O1594" s="683"/>
      <c r="P1594" s="683"/>
      <c r="Q1594" s="686"/>
      <c r="R1594" s="686"/>
      <c r="S1594" s="686"/>
      <c r="T1594" s="686"/>
      <c r="U1594" s="686"/>
      <c r="V1594" s="686"/>
      <c r="W1594" s="686"/>
      <c r="X1594" s="686"/>
      <c r="Y1594" s="686"/>
      <c r="Z1594" s="686"/>
      <c r="AA1594" s="686"/>
      <c r="AB1594" s="686"/>
      <c r="AC1594" s="686"/>
      <c r="AD1594" s="686"/>
      <c r="AE1594" s="686"/>
      <c r="AF1594" s="686"/>
    </row>
    <row r="1595" ht="15.75" customHeight="1">
      <c r="A1595" s="683"/>
      <c r="B1595" s="683"/>
      <c r="C1595" s="684"/>
      <c r="D1595" s="684"/>
      <c r="E1595" s="684"/>
      <c r="F1595" s="683"/>
      <c r="G1595" s="683"/>
      <c r="H1595" s="683"/>
      <c r="I1595" s="683"/>
      <c r="J1595" s="683"/>
      <c r="K1595" s="683"/>
      <c r="L1595" s="685"/>
      <c r="M1595" s="685"/>
      <c r="N1595" s="687"/>
      <c r="O1595" s="683"/>
      <c r="P1595" s="683"/>
      <c r="Q1595" s="686"/>
      <c r="R1595" s="686"/>
      <c r="S1595" s="686"/>
      <c r="T1595" s="686"/>
      <c r="U1595" s="686"/>
      <c r="V1595" s="686"/>
      <c r="W1595" s="686"/>
      <c r="X1595" s="686"/>
      <c r="Y1595" s="686"/>
      <c r="Z1595" s="686"/>
      <c r="AA1595" s="686"/>
      <c r="AB1595" s="686"/>
      <c r="AC1595" s="686"/>
      <c r="AD1595" s="686"/>
      <c r="AE1595" s="686"/>
      <c r="AF1595" s="686"/>
    </row>
    <row r="1596" ht="15.75" customHeight="1">
      <c r="A1596" s="683"/>
      <c r="B1596" s="683"/>
      <c r="C1596" s="684"/>
      <c r="D1596" s="684"/>
      <c r="E1596" s="684"/>
      <c r="F1596" s="683"/>
      <c r="G1596" s="683"/>
      <c r="H1596" s="683"/>
      <c r="I1596" s="683"/>
      <c r="J1596" s="683"/>
      <c r="K1596" s="683"/>
      <c r="L1596" s="685"/>
      <c r="M1596" s="685"/>
      <c r="N1596" s="687"/>
      <c r="O1596" s="683"/>
      <c r="P1596" s="683"/>
      <c r="Q1596" s="686"/>
      <c r="R1596" s="686"/>
      <c r="S1596" s="686"/>
      <c r="T1596" s="686"/>
      <c r="U1596" s="686"/>
      <c r="V1596" s="686"/>
      <c r="W1596" s="686"/>
      <c r="X1596" s="686"/>
      <c r="Y1596" s="686"/>
      <c r="Z1596" s="686"/>
      <c r="AA1596" s="686"/>
      <c r="AB1596" s="686"/>
      <c r="AC1596" s="686"/>
      <c r="AD1596" s="686"/>
      <c r="AE1596" s="686"/>
      <c r="AF1596" s="686"/>
    </row>
    <row r="1597" ht="15.75" customHeight="1">
      <c r="A1597" s="683"/>
      <c r="B1597" s="683"/>
      <c r="C1597" s="684"/>
      <c r="D1597" s="684"/>
      <c r="E1597" s="684"/>
      <c r="F1597" s="683"/>
      <c r="G1597" s="683"/>
      <c r="H1597" s="683"/>
      <c r="I1597" s="683"/>
      <c r="J1597" s="683"/>
      <c r="K1597" s="683"/>
      <c r="L1597" s="685"/>
      <c r="M1597" s="685"/>
      <c r="N1597" s="687"/>
      <c r="O1597" s="683"/>
      <c r="P1597" s="683"/>
      <c r="Q1597" s="686"/>
      <c r="R1597" s="686"/>
      <c r="S1597" s="686"/>
      <c r="T1597" s="686"/>
      <c r="U1597" s="686"/>
      <c r="V1597" s="686"/>
      <c r="W1597" s="686"/>
      <c r="X1597" s="686"/>
      <c r="Y1597" s="686"/>
      <c r="Z1597" s="686"/>
      <c r="AA1597" s="686"/>
      <c r="AB1597" s="686"/>
      <c r="AC1597" s="686"/>
      <c r="AD1597" s="686"/>
      <c r="AE1597" s="686"/>
      <c r="AF1597" s="686"/>
    </row>
    <row r="1598" ht="15.75" customHeight="1">
      <c r="A1598" s="683"/>
      <c r="B1598" s="683"/>
      <c r="C1598" s="684"/>
      <c r="D1598" s="684"/>
      <c r="E1598" s="684"/>
      <c r="F1598" s="683"/>
      <c r="G1598" s="683"/>
      <c r="H1598" s="683"/>
      <c r="I1598" s="683"/>
      <c r="J1598" s="683"/>
      <c r="K1598" s="683"/>
      <c r="L1598" s="685"/>
      <c r="M1598" s="685"/>
      <c r="N1598" s="687"/>
      <c r="O1598" s="683"/>
      <c r="P1598" s="683"/>
      <c r="Q1598" s="686"/>
      <c r="R1598" s="686"/>
      <c r="S1598" s="686"/>
      <c r="T1598" s="686"/>
      <c r="U1598" s="686"/>
      <c r="V1598" s="686"/>
      <c r="W1598" s="686"/>
      <c r="X1598" s="686"/>
      <c r="Y1598" s="686"/>
      <c r="Z1598" s="686"/>
      <c r="AA1598" s="686"/>
      <c r="AB1598" s="686"/>
      <c r="AC1598" s="686"/>
      <c r="AD1598" s="686"/>
      <c r="AE1598" s="686"/>
      <c r="AF1598" s="686"/>
    </row>
    <row r="1599" ht="15.75" customHeight="1">
      <c r="A1599" s="683"/>
      <c r="B1599" s="683"/>
      <c r="C1599" s="684"/>
      <c r="D1599" s="684"/>
      <c r="E1599" s="684"/>
      <c r="F1599" s="683"/>
      <c r="G1599" s="683"/>
      <c r="H1599" s="683"/>
      <c r="I1599" s="683"/>
      <c r="J1599" s="683"/>
      <c r="K1599" s="683"/>
      <c r="L1599" s="685"/>
      <c r="M1599" s="685"/>
      <c r="N1599" s="687"/>
      <c r="O1599" s="683"/>
      <c r="P1599" s="683"/>
      <c r="Q1599" s="686"/>
      <c r="R1599" s="686"/>
      <c r="S1599" s="686"/>
      <c r="T1599" s="686"/>
      <c r="U1599" s="686"/>
      <c r="V1599" s="686"/>
      <c r="W1599" s="686"/>
      <c r="X1599" s="686"/>
      <c r="Y1599" s="686"/>
      <c r="Z1599" s="686"/>
      <c r="AA1599" s="686"/>
      <c r="AB1599" s="686"/>
      <c r="AC1599" s="686"/>
      <c r="AD1599" s="686"/>
      <c r="AE1599" s="686"/>
      <c r="AF1599" s="686"/>
    </row>
    <row r="1600" ht="15.75" customHeight="1">
      <c r="A1600" s="683"/>
      <c r="B1600" s="683"/>
      <c r="C1600" s="684"/>
      <c r="D1600" s="684"/>
      <c r="E1600" s="684"/>
      <c r="F1600" s="683"/>
      <c r="G1600" s="683"/>
      <c r="H1600" s="683"/>
      <c r="I1600" s="683"/>
      <c r="J1600" s="683"/>
      <c r="K1600" s="683"/>
      <c r="L1600" s="685"/>
      <c r="M1600" s="685"/>
      <c r="N1600" s="687"/>
      <c r="O1600" s="683"/>
      <c r="P1600" s="683"/>
      <c r="Q1600" s="686"/>
      <c r="R1600" s="686"/>
      <c r="S1600" s="686"/>
      <c r="T1600" s="686"/>
      <c r="U1600" s="686"/>
      <c r="V1600" s="686"/>
      <c r="W1600" s="686"/>
      <c r="X1600" s="686"/>
      <c r="Y1600" s="686"/>
      <c r="Z1600" s="686"/>
      <c r="AA1600" s="686"/>
      <c r="AB1600" s="686"/>
      <c r="AC1600" s="686"/>
      <c r="AD1600" s="686"/>
      <c r="AE1600" s="686"/>
      <c r="AF1600" s="686"/>
    </row>
    <row r="1601" ht="15.75" customHeight="1">
      <c r="A1601" s="683"/>
      <c r="B1601" s="683"/>
      <c r="C1601" s="684"/>
      <c r="D1601" s="684"/>
      <c r="E1601" s="684"/>
      <c r="F1601" s="683"/>
      <c r="G1601" s="683"/>
      <c r="H1601" s="683"/>
      <c r="I1601" s="683"/>
      <c r="J1601" s="683"/>
      <c r="K1601" s="683"/>
      <c r="L1601" s="685"/>
      <c r="M1601" s="685"/>
      <c r="N1601" s="687"/>
      <c r="O1601" s="683"/>
      <c r="P1601" s="683"/>
      <c r="Q1601" s="686"/>
      <c r="R1601" s="686"/>
      <c r="S1601" s="686"/>
      <c r="T1601" s="686"/>
      <c r="U1601" s="686"/>
      <c r="V1601" s="686"/>
      <c r="W1601" s="686"/>
      <c r="X1601" s="686"/>
      <c r="Y1601" s="686"/>
      <c r="Z1601" s="686"/>
      <c r="AA1601" s="686"/>
      <c r="AB1601" s="686"/>
      <c r="AC1601" s="686"/>
      <c r="AD1601" s="686"/>
      <c r="AE1601" s="686"/>
      <c r="AF1601" s="686"/>
    </row>
    <row r="1602" ht="15.75" customHeight="1">
      <c r="A1602" s="683"/>
      <c r="B1602" s="683"/>
      <c r="C1602" s="684"/>
      <c r="D1602" s="684"/>
      <c r="E1602" s="684"/>
      <c r="F1602" s="683"/>
      <c r="G1602" s="683"/>
      <c r="H1602" s="683"/>
      <c r="I1602" s="683"/>
      <c r="J1602" s="683"/>
      <c r="K1602" s="683"/>
      <c r="L1602" s="685"/>
      <c r="M1602" s="685"/>
      <c r="N1602" s="687"/>
      <c r="O1602" s="683"/>
      <c r="P1602" s="683"/>
      <c r="Q1602" s="686"/>
      <c r="R1602" s="686"/>
      <c r="S1602" s="686"/>
      <c r="T1602" s="686"/>
      <c r="U1602" s="686"/>
      <c r="V1602" s="686"/>
      <c r="W1602" s="686"/>
      <c r="X1602" s="686"/>
      <c r="Y1602" s="686"/>
      <c r="Z1602" s="686"/>
      <c r="AA1602" s="686"/>
      <c r="AB1602" s="686"/>
      <c r="AC1602" s="686"/>
      <c r="AD1602" s="686"/>
      <c r="AE1602" s="686"/>
      <c r="AF1602" s="686"/>
    </row>
    <row r="1603" ht="15.75" customHeight="1">
      <c r="A1603" s="683"/>
      <c r="B1603" s="683"/>
      <c r="C1603" s="684"/>
      <c r="D1603" s="684"/>
      <c r="E1603" s="684"/>
      <c r="F1603" s="683"/>
      <c r="G1603" s="683"/>
      <c r="H1603" s="683"/>
      <c r="I1603" s="683"/>
      <c r="J1603" s="683"/>
      <c r="K1603" s="683"/>
      <c r="L1603" s="685"/>
      <c r="M1603" s="685"/>
      <c r="N1603" s="687"/>
      <c r="O1603" s="683"/>
      <c r="P1603" s="683"/>
      <c r="Q1603" s="686"/>
      <c r="R1603" s="686"/>
      <c r="S1603" s="686"/>
      <c r="T1603" s="686"/>
      <c r="U1603" s="686"/>
      <c r="V1603" s="686"/>
      <c r="W1603" s="686"/>
      <c r="X1603" s="686"/>
      <c r="Y1603" s="686"/>
      <c r="Z1603" s="686"/>
      <c r="AA1603" s="686"/>
      <c r="AB1603" s="686"/>
      <c r="AC1603" s="686"/>
      <c r="AD1603" s="686"/>
      <c r="AE1603" s="686"/>
      <c r="AF1603" s="686"/>
    </row>
    <row r="1604" ht="15.75" customHeight="1">
      <c r="A1604" s="683"/>
      <c r="B1604" s="683"/>
      <c r="C1604" s="684"/>
      <c r="D1604" s="684"/>
      <c r="E1604" s="684"/>
      <c r="F1604" s="683"/>
      <c r="G1604" s="683"/>
      <c r="H1604" s="683"/>
      <c r="I1604" s="683"/>
      <c r="J1604" s="683"/>
      <c r="K1604" s="683"/>
      <c r="L1604" s="685"/>
      <c r="M1604" s="685"/>
      <c r="N1604" s="687"/>
      <c r="O1604" s="683"/>
      <c r="P1604" s="683"/>
      <c r="Q1604" s="686"/>
      <c r="R1604" s="686"/>
      <c r="S1604" s="686"/>
      <c r="T1604" s="686"/>
      <c r="U1604" s="686"/>
      <c r="V1604" s="686"/>
      <c r="W1604" s="686"/>
      <c r="X1604" s="686"/>
      <c r="Y1604" s="686"/>
      <c r="Z1604" s="686"/>
      <c r="AA1604" s="686"/>
      <c r="AB1604" s="686"/>
      <c r="AC1604" s="686"/>
      <c r="AD1604" s="686"/>
      <c r="AE1604" s="686"/>
      <c r="AF1604" s="686"/>
    </row>
    <row r="1605" ht="15.75" customHeight="1">
      <c r="A1605" s="683"/>
      <c r="B1605" s="683"/>
      <c r="C1605" s="684"/>
      <c r="D1605" s="684"/>
      <c r="E1605" s="684"/>
      <c r="F1605" s="683"/>
      <c r="G1605" s="683"/>
      <c r="H1605" s="683"/>
      <c r="I1605" s="683"/>
      <c r="J1605" s="683"/>
      <c r="K1605" s="683"/>
      <c r="L1605" s="685"/>
      <c r="M1605" s="685"/>
      <c r="N1605" s="687"/>
      <c r="O1605" s="683"/>
      <c r="P1605" s="683"/>
      <c r="Q1605" s="686"/>
      <c r="R1605" s="686"/>
      <c r="S1605" s="686"/>
      <c r="T1605" s="686"/>
      <c r="U1605" s="686"/>
      <c r="V1605" s="686"/>
      <c r="W1605" s="686"/>
      <c r="X1605" s="686"/>
      <c r="Y1605" s="686"/>
      <c r="Z1605" s="686"/>
      <c r="AA1605" s="686"/>
      <c r="AB1605" s="686"/>
      <c r="AC1605" s="686"/>
      <c r="AD1605" s="686"/>
      <c r="AE1605" s="686"/>
      <c r="AF1605" s="686"/>
    </row>
    <row r="1606" ht="15.75" customHeight="1">
      <c r="A1606" s="683"/>
      <c r="B1606" s="683"/>
      <c r="C1606" s="684"/>
      <c r="D1606" s="684"/>
      <c r="E1606" s="684"/>
      <c r="F1606" s="683"/>
      <c r="G1606" s="683"/>
      <c r="H1606" s="683"/>
      <c r="I1606" s="683"/>
      <c r="J1606" s="683"/>
      <c r="K1606" s="683"/>
      <c r="L1606" s="685"/>
      <c r="M1606" s="685"/>
      <c r="N1606" s="687"/>
      <c r="O1606" s="683"/>
      <c r="P1606" s="683"/>
      <c r="Q1606" s="686"/>
      <c r="R1606" s="686"/>
      <c r="S1606" s="686"/>
      <c r="T1606" s="686"/>
      <c r="U1606" s="686"/>
      <c r="V1606" s="686"/>
      <c r="W1606" s="686"/>
      <c r="X1606" s="686"/>
      <c r="Y1606" s="686"/>
      <c r="Z1606" s="686"/>
      <c r="AA1606" s="686"/>
      <c r="AB1606" s="686"/>
      <c r="AC1606" s="686"/>
      <c r="AD1606" s="686"/>
      <c r="AE1606" s="686"/>
      <c r="AF1606" s="686"/>
    </row>
    <row r="1607" ht="15.75" customHeight="1">
      <c r="A1607" s="683"/>
      <c r="B1607" s="683"/>
      <c r="C1607" s="684"/>
      <c r="D1607" s="684"/>
      <c r="E1607" s="684"/>
      <c r="F1607" s="683"/>
      <c r="G1607" s="683"/>
      <c r="H1607" s="683"/>
      <c r="I1607" s="683"/>
      <c r="J1607" s="683"/>
      <c r="K1607" s="683"/>
      <c r="L1607" s="685"/>
      <c r="M1607" s="685"/>
      <c r="N1607" s="687"/>
      <c r="O1607" s="683"/>
      <c r="P1607" s="683"/>
      <c r="Q1607" s="686"/>
      <c r="R1607" s="686"/>
      <c r="S1607" s="686"/>
      <c r="T1607" s="686"/>
      <c r="U1607" s="686"/>
      <c r="V1607" s="686"/>
      <c r="W1607" s="686"/>
      <c r="X1607" s="686"/>
      <c r="Y1607" s="686"/>
      <c r="Z1607" s="686"/>
      <c r="AA1607" s="686"/>
      <c r="AB1607" s="686"/>
      <c r="AC1607" s="686"/>
      <c r="AD1607" s="686"/>
      <c r="AE1607" s="686"/>
      <c r="AF1607" s="686"/>
    </row>
    <row r="1608" ht="15.75" customHeight="1">
      <c r="A1608" s="683"/>
      <c r="B1608" s="683"/>
      <c r="C1608" s="684"/>
      <c r="D1608" s="684"/>
      <c r="E1608" s="684"/>
      <c r="F1608" s="683"/>
      <c r="G1608" s="683"/>
      <c r="H1608" s="683"/>
      <c r="I1608" s="683"/>
      <c r="J1608" s="683"/>
      <c r="K1608" s="683"/>
      <c r="L1608" s="685"/>
      <c r="M1608" s="685"/>
      <c r="N1608" s="687"/>
      <c r="O1608" s="683"/>
      <c r="P1608" s="683"/>
      <c r="Q1608" s="686"/>
      <c r="R1608" s="686"/>
      <c r="S1608" s="686"/>
      <c r="T1608" s="686"/>
      <c r="U1608" s="686"/>
      <c r="V1608" s="686"/>
      <c r="W1608" s="686"/>
      <c r="X1608" s="686"/>
      <c r="Y1608" s="686"/>
      <c r="Z1608" s="686"/>
      <c r="AA1608" s="686"/>
      <c r="AB1608" s="686"/>
      <c r="AC1608" s="686"/>
      <c r="AD1608" s="686"/>
      <c r="AE1608" s="686"/>
      <c r="AF1608" s="686"/>
    </row>
    <row r="1609" ht="15.75" customHeight="1">
      <c r="A1609" s="683"/>
      <c r="B1609" s="683"/>
      <c r="C1609" s="684"/>
      <c r="D1609" s="684"/>
      <c r="E1609" s="684"/>
      <c r="F1609" s="683"/>
      <c r="G1609" s="683"/>
      <c r="H1609" s="683"/>
      <c r="I1609" s="683"/>
      <c r="J1609" s="683"/>
      <c r="K1609" s="683"/>
      <c r="L1609" s="685"/>
      <c r="M1609" s="685"/>
      <c r="N1609" s="687"/>
      <c r="O1609" s="683"/>
      <c r="P1609" s="683"/>
      <c r="Q1609" s="686"/>
      <c r="R1609" s="686"/>
      <c r="S1609" s="686"/>
      <c r="T1609" s="686"/>
      <c r="U1609" s="686"/>
      <c r="V1609" s="686"/>
      <c r="W1609" s="686"/>
      <c r="X1609" s="686"/>
      <c r="Y1609" s="686"/>
      <c r="Z1609" s="686"/>
      <c r="AA1609" s="686"/>
      <c r="AB1609" s="686"/>
      <c r="AC1609" s="686"/>
      <c r="AD1609" s="686"/>
      <c r="AE1609" s="686"/>
      <c r="AF1609" s="686"/>
    </row>
    <row r="1610" ht="15.75" customHeight="1">
      <c r="A1610" s="683"/>
      <c r="B1610" s="683"/>
      <c r="C1610" s="684"/>
      <c r="D1610" s="684"/>
      <c r="E1610" s="684"/>
      <c r="F1610" s="683"/>
      <c r="G1610" s="683"/>
      <c r="H1610" s="683"/>
      <c r="I1610" s="683"/>
      <c r="J1610" s="683"/>
      <c r="K1610" s="683"/>
      <c r="L1610" s="685"/>
      <c r="M1610" s="685"/>
      <c r="N1610" s="687"/>
      <c r="O1610" s="683"/>
      <c r="P1610" s="683"/>
      <c r="Q1610" s="686"/>
      <c r="R1610" s="686"/>
      <c r="S1610" s="686"/>
      <c r="T1610" s="686"/>
      <c r="U1610" s="686"/>
      <c r="V1610" s="686"/>
      <c r="W1610" s="686"/>
      <c r="X1610" s="686"/>
      <c r="Y1610" s="686"/>
      <c r="Z1610" s="686"/>
      <c r="AA1610" s="686"/>
      <c r="AB1610" s="686"/>
      <c r="AC1610" s="686"/>
      <c r="AD1610" s="686"/>
      <c r="AE1610" s="686"/>
      <c r="AF1610" s="686"/>
    </row>
    <row r="1611" ht="15.75" customHeight="1">
      <c r="A1611" s="683"/>
      <c r="B1611" s="683"/>
      <c r="C1611" s="684"/>
      <c r="D1611" s="684"/>
      <c r="E1611" s="684"/>
      <c r="F1611" s="683"/>
      <c r="G1611" s="683"/>
      <c r="H1611" s="683"/>
      <c r="I1611" s="683"/>
      <c r="J1611" s="683"/>
      <c r="K1611" s="683"/>
      <c r="L1611" s="685"/>
      <c r="M1611" s="685"/>
      <c r="N1611" s="687"/>
      <c r="O1611" s="683"/>
      <c r="P1611" s="683"/>
      <c r="Q1611" s="686"/>
      <c r="R1611" s="686"/>
      <c r="S1611" s="686"/>
      <c r="T1611" s="686"/>
      <c r="U1611" s="686"/>
      <c r="V1611" s="686"/>
      <c r="W1611" s="686"/>
      <c r="X1611" s="686"/>
      <c r="Y1611" s="686"/>
      <c r="Z1611" s="686"/>
      <c r="AA1611" s="686"/>
      <c r="AB1611" s="686"/>
      <c r="AC1611" s="686"/>
      <c r="AD1611" s="686"/>
      <c r="AE1611" s="686"/>
      <c r="AF1611" s="686"/>
    </row>
    <row r="1612" ht="15.75" customHeight="1">
      <c r="A1612" s="683"/>
      <c r="B1612" s="683"/>
      <c r="C1612" s="684"/>
      <c r="D1612" s="684"/>
      <c r="E1612" s="684"/>
      <c r="F1612" s="683"/>
      <c r="G1612" s="683"/>
      <c r="H1612" s="683"/>
      <c r="I1612" s="683"/>
      <c r="J1612" s="683"/>
      <c r="K1612" s="683"/>
      <c r="L1612" s="685"/>
      <c r="M1612" s="685"/>
      <c r="N1612" s="687"/>
      <c r="O1612" s="683"/>
      <c r="P1612" s="683"/>
      <c r="Q1612" s="686"/>
      <c r="R1612" s="686"/>
      <c r="S1612" s="686"/>
      <c r="T1612" s="686"/>
      <c r="U1612" s="686"/>
      <c r="V1612" s="686"/>
      <c r="W1612" s="686"/>
      <c r="X1612" s="686"/>
      <c r="Y1612" s="686"/>
      <c r="Z1612" s="686"/>
      <c r="AA1612" s="686"/>
      <c r="AB1612" s="686"/>
      <c r="AC1612" s="686"/>
      <c r="AD1612" s="686"/>
      <c r="AE1612" s="686"/>
      <c r="AF1612" s="686"/>
    </row>
    <row r="1613" ht="15.75" customHeight="1">
      <c r="A1613" s="683"/>
      <c r="B1613" s="683"/>
      <c r="C1613" s="684"/>
      <c r="D1613" s="684"/>
      <c r="E1613" s="684"/>
      <c r="F1613" s="683"/>
      <c r="G1613" s="683"/>
      <c r="H1613" s="683"/>
      <c r="I1613" s="683"/>
      <c r="J1613" s="683"/>
      <c r="K1613" s="683"/>
      <c r="L1613" s="685"/>
      <c r="M1613" s="685"/>
      <c r="N1613" s="687"/>
      <c r="O1613" s="683"/>
      <c r="P1613" s="683"/>
      <c r="Q1613" s="686"/>
      <c r="R1613" s="686"/>
      <c r="S1613" s="686"/>
      <c r="T1613" s="686"/>
      <c r="U1613" s="686"/>
      <c r="V1613" s="686"/>
      <c r="W1613" s="686"/>
      <c r="X1613" s="686"/>
      <c r="Y1613" s="686"/>
      <c r="Z1613" s="686"/>
      <c r="AA1613" s="686"/>
      <c r="AB1613" s="686"/>
      <c r="AC1613" s="686"/>
      <c r="AD1613" s="686"/>
      <c r="AE1613" s="686"/>
      <c r="AF1613" s="686"/>
    </row>
    <row r="1614" ht="15.75" customHeight="1">
      <c r="A1614" s="683"/>
      <c r="B1614" s="683"/>
      <c r="C1614" s="684"/>
      <c r="D1614" s="684"/>
      <c r="E1614" s="684"/>
      <c r="F1614" s="683"/>
      <c r="G1614" s="683"/>
      <c r="H1614" s="683"/>
      <c r="I1614" s="683"/>
      <c r="J1614" s="683"/>
      <c r="K1614" s="683"/>
      <c r="L1614" s="685"/>
      <c r="M1614" s="685"/>
      <c r="N1614" s="687"/>
      <c r="O1614" s="683"/>
      <c r="P1614" s="683"/>
      <c r="Q1614" s="686"/>
      <c r="R1614" s="686"/>
      <c r="S1614" s="686"/>
      <c r="T1614" s="686"/>
      <c r="U1614" s="686"/>
      <c r="V1614" s="686"/>
      <c r="W1614" s="686"/>
      <c r="X1614" s="686"/>
      <c r="Y1614" s="686"/>
      <c r="Z1614" s="686"/>
      <c r="AA1614" s="686"/>
      <c r="AB1614" s="686"/>
      <c r="AC1614" s="686"/>
      <c r="AD1614" s="686"/>
      <c r="AE1614" s="686"/>
      <c r="AF1614" s="686"/>
    </row>
    <row r="1615" ht="15.75" customHeight="1">
      <c r="A1615" s="683"/>
      <c r="B1615" s="683"/>
      <c r="C1615" s="684"/>
      <c r="D1615" s="684"/>
      <c r="E1615" s="684"/>
      <c r="F1615" s="683"/>
      <c r="G1615" s="683"/>
      <c r="H1615" s="683"/>
      <c r="I1615" s="683"/>
      <c r="J1615" s="683"/>
      <c r="K1615" s="683"/>
      <c r="L1615" s="685"/>
      <c r="M1615" s="685"/>
      <c r="N1615" s="687"/>
      <c r="O1615" s="683"/>
      <c r="P1615" s="683"/>
      <c r="Q1615" s="686"/>
      <c r="R1615" s="686"/>
      <c r="S1615" s="686"/>
      <c r="T1615" s="686"/>
      <c r="U1615" s="686"/>
      <c r="V1615" s="686"/>
      <c r="W1615" s="686"/>
      <c r="X1615" s="686"/>
      <c r="Y1615" s="686"/>
      <c r="Z1615" s="686"/>
      <c r="AA1615" s="686"/>
      <c r="AB1615" s="686"/>
      <c r="AC1615" s="686"/>
      <c r="AD1615" s="686"/>
      <c r="AE1615" s="686"/>
      <c r="AF1615" s="686"/>
    </row>
    <row r="1616" ht="15.75" customHeight="1">
      <c r="A1616" s="683"/>
      <c r="B1616" s="683"/>
      <c r="C1616" s="684"/>
      <c r="D1616" s="684"/>
      <c r="E1616" s="684"/>
      <c r="F1616" s="683"/>
      <c r="G1616" s="683"/>
      <c r="H1616" s="683"/>
      <c r="I1616" s="683"/>
      <c r="J1616" s="683"/>
      <c r="K1616" s="683"/>
      <c r="L1616" s="685"/>
      <c r="M1616" s="685"/>
      <c r="N1616" s="687"/>
      <c r="O1616" s="683"/>
      <c r="P1616" s="683"/>
      <c r="Q1616" s="686"/>
      <c r="R1616" s="686"/>
      <c r="S1616" s="686"/>
      <c r="T1616" s="686"/>
      <c r="U1616" s="686"/>
      <c r="V1616" s="686"/>
      <c r="W1616" s="686"/>
      <c r="X1616" s="686"/>
      <c r="Y1616" s="686"/>
      <c r="Z1616" s="686"/>
      <c r="AA1616" s="686"/>
      <c r="AB1616" s="686"/>
      <c r="AC1616" s="686"/>
      <c r="AD1616" s="686"/>
      <c r="AE1616" s="686"/>
      <c r="AF1616" s="686"/>
    </row>
    <row r="1617" ht="15.75" customHeight="1">
      <c r="A1617" s="683"/>
      <c r="B1617" s="683"/>
      <c r="C1617" s="684"/>
      <c r="D1617" s="684"/>
      <c r="E1617" s="684"/>
      <c r="F1617" s="683"/>
      <c r="G1617" s="683"/>
      <c r="H1617" s="683"/>
      <c r="I1617" s="683"/>
      <c r="J1617" s="683"/>
      <c r="K1617" s="683"/>
      <c r="L1617" s="685"/>
      <c r="M1617" s="685"/>
      <c r="N1617" s="687"/>
      <c r="O1617" s="683"/>
      <c r="P1617" s="683"/>
      <c r="Q1617" s="686"/>
      <c r="R1617" s="686"/>
      <c r="S1617" s="686"/>
      <c r="T1617" s="686"/>
      <c r="U1617" s="686"/>
      <c r="V1617" s="686"/>
      <c r="W1617" s="686"/>
      <c r="X1617" s="686"/>
      <c r="Y1617" s="686"/>
      <c r="Z1617" s="686"/>
      <c r="AA1617" s="686"/>
      <c r="AB1617" s="686"/>
      <c r="AC1617" s="686"/>
      <c r="AD1617" s="686"/>
      <c r="AE1617" s="686"/>
      <c r="AF1617" s="686"/>
    </row>
    <row r="1618" ht="15.75" customHeight="1">
      <c r="A1618" s="683"/>
      <c r="B1618" s="683"/>
      <c r="C1618" s="684"/>
      <c r="D1618" s="684"/>
      <c r="E1618" s="684"/>
      <c r="F1618" s="683"/>
      <c r="G1618" s="683"/>
      <c r="H1618" s="683"/>
      <c r="I1618" s="683"/>
      <c r="J1618" s="683"/>
      <c r="K1618" s="683"/>
      <c r="L1618" s="685"/>
      <c r="M1618" s="685"/>
      <c r="N1618" s="687"/>
      <c r="O1618" s="683"/>
      <c r="P1618" s="683"/>
      <c r="Q1618" s="686"/>
      <c r="R1618" s="686"/>
      <c r="S1618" s="686"/>
      <c r="T1618" s="686"/>
      <c r="U1618" s="686"/>
      <c r="V1618" s="686"/>
      <c r="W1618" s="686"/>
      <c r="X1618" s="686"/>
      <c r="Y1618" s="686"/>
      <c r="Z1618" s="686"/>
      <c r="AA1618" s="686"/>
      <c r="AB1618" s="686"/>
      <c r="AC1618" s="686"/>
      <c r="AD1618" s="686"/>
      <c r="AE1618" s="686"/>
      <c r="AF1618" s="686"/>
    </row>
    <row r="1619" ht="15.75" customHeight="1">
      <c r="A1619" s="683"/>
      <c r="B1619" s="683"/>
      <c r="C1619" s="684"/>
      <c r="D1619" s="684"/>
      <c r="E1619" s="684"/>
      <c r="F1619" s="683"/>
      <c r="G1619" s="683"/>
      <c r="H1619" s="683"/>
      <c r="I1619" s="683"/>
      <c r="J1619" s="683"/>
      <c r="K1619" s="683"/>
      <c r="L1619" s="685"/>
      <c r="M1619" s="685"/>
      <c r="N1619" s="687"/>
      <c r="O1619" s="683"/>
      <c r="P1619" s="683"/>
      <c r="Q1619" s="686"/>
      <c r="R1619" s="686"/>
      <c r="S1619" s="686"/>
      <c r="T1619" s="686"/>
      <c r="U1619" s="686"/>
      <c r="V1619" s="686"/>
      <c r="W1619" s="686"/>
      <c r="X1619" s="686"/>
      <c r="Y1619" s="686"/>
      <c r="Z1619" s="686"/>
      <c r="AA1619" s="686"/>
      <c r="AB1619" s="686"/>
      <c r="AC1619" s="686"/>
      <c r="AD1619" s="686"/>
      <c r="AE1619" s="686"/>
      <c r="AF1619" s="686"/>
    </row>
    <row r="1620" ht="15.75" customHeight="1">
      <c r="A1620" s="683"/>
      <c r="B1620" s="683"/>
      <c r="C1620" s="684"/>
      <c r="D1620" s="684"/>
      <c r="E1620" s="684"/>
      <c r="F1620" s="683"/>
      <c r="G1620" s="683"/>
      <c r="H1620" s="683"/>
      <c r="I1620" s="683"/>
      <c r="J1620" s="683"/>
      <c r="K1620" s="683"/>
      <c r="L1620" s="685"/>
      <c r="M1620" s="685"/>
      <c r="N1620" s="687"/>
      <c r="O1620" s="683"/>
      <c r="P1620" s="683"/>
      <c r="Q1620" s="686"/>
      <c r="R1620" s="686"/>
      <c r="S1620" s="686"/>
      <c r="T1620" s="686"/>
      <c r="U1620" s="686"/>
      <c r="V1620" s="686"/>
      <c r="W1620" s="686"/>
      <c r="X1620" s="686"/>
      <c r="Y1620" s="686"/>
      <c r="Z1620" s="686"/>
      <c r="AA1620" s="686"/>
      <c r="AB1620" s="686"/>
      <c r="AC1620" s="686"/>
      <c r="AD1620" s="686"/>
      <c r="AE1620" s="686"/>
      <c r="AF1620" s="686"/>
    </row>
    <row r="1621" ht="15.75" customHeight="1">
      <c r="A1621" s="683"/>
      <c r="B1621" s="683"/>
      <c r="C1621" s="684"/>
      <c r="D1621" s="684"/>
      <c r="E1621" s="684"/>
      <c r="F1621" s="683"/>
      <c r="G1621" s="683"/>
      <c r="H1621" s="683"/>
      <c r="I1621" s="683"/>
      <c r="J1621" s="683"/>
      <c r="K1621" s="683"/>
      <c r="L1621" s="685"/>
      <c r="M1621" s="685"/>
      <c r="N1621" s="687"/>
      <c r="O1621" s="683"/>
      <c r="P1621" s="683"/>
      <c r="Q1621" s="686"/>
      <c r="R1621" s="686"/>
      <c r="S1621" s="686"/>
      <c r="T1621" s="686"/>
      <c r="U1621" s="686"/>
      <c r="V1621" s="686"/>
      <c r="W1621" s="686"/>
      <c r="X1621" s="686"/>
      <c r="Y1621" s="686"/>
      <c r="Z1621" s="686"/>
      <c r="AA1621" s="686"/>
      <c r="AB1621" s="686"/>
      <c r="AC1621" s="686"/>
      <c r="AD1621" s="686"/>
      <c r="AE1621" s="686"/>
      <c r="AF1621" s="686"/>
    </row>
    <row r="1622" ht="15.75" customHeight="1">
      <c r="A1622" s="683"/>
      <c r="B1622" s="683"/>
      <c r="C1622" s="684"/>
      <c r="D1622" s="684"/>
      <c r="E1622" s="684"/>
      <c r="F1622" s="683"/>
      <c r="G1622" s="683"/>
      <c r="H1622" s="683"/>
      <c r="I1622" s="683"/>
      <c r="J1622" s="683"/>
      <c r="K1622" s="683"/>
      <c r="L1622" s="685"/>
      <c r="M1622" s="685"/>
      <c r="N1622" s="687"/>
      <c r="O1622" s="683"/>
      <c r="P1622" s="683"/>
      <c r="Q1622" s="686"/>
      <c r="R1622" s="686"/>
      <c r="S1622" s="686"/>
      <c r="T1622" s="686"/>
      <c r="U1622" s="686"/>
      <c r="V1622" s="686"/>
      <c r="W1622" s="686"/>
      <c r="X1622" s="686"/>
      <c r="Y1622" s="686"/>
      <c r="Z1622" s="686"/>
      <c r="AA1622" s="686"/>
      <c r="AB1622" s="686"/>
      <c r="AC1622" s="686"/>
      <c r="AD1622" s="686"/>
      <c r="AE1622" s="686"/>
      <c r="AF1622" s="686"/>
    </row>
    <row r="1623" ht="15.75" customHeight="1">
      <c r="A1623" s="683"/>
      <c r="B1623" s="683"/>
      <c r="C1623" s="684"/>
      <c r="D1623" s="684"/>
      <c r="E1623" s="684"/>
      <c r="F1623" s="683"/>
      <c r="G1623" s="683"/>
      <c r="H1623" s="683"/>
      <c r="I1623" s="683"/>
      <c r="J1623" s="683"/>
      <c r="K1623" s="683"/>
      <c r="L1623" s="685"/>
      <c r="M1623" s="685"/>
      <c r="N1623" s="687"/>
      <c r="O1623" s="683"/>
      <c r="P1623" s="683"/>
      <c r="Q1623" s="686"/>
      <c r="R1623" s="686"/>
      <c r="S1623" s="686"/>
      <c r="T1623" s="686"/>
      <c r="U1623" s="686"/>
      <c r="V1623" s="686"/>
      <c r="W1623" s="686"/>
      <c r="X1623" s="686"/>
      <c r="Y1623" s="686"/>
      <c r="Z1623" s="686"/>
      <c r="AA1623" s="686"/>
      <c r="AB1623" s="686"/>
      <c r="AC1623" s="686"/>
      <c r="AD1623" s="686"/>
      <c r="AE1623" s="686"/>
      <c r="AF1623" s="686"/>
    </row>
    <row r="1624" ht="15.75" customHeight="1">
      <c r="A1624" s="683"/>
      <c r="B1624" s="683"/>
      <c r="C1624" s="684"/>
      <c r="D1624" s="684"/>
      <c r="E1624" s="684"/>
      <c r="F1624" s="683"/>
      <c r="G1624" s="683"/>
      <c r="H1624" s="683"/>
      <c r="I1624" s="683"/>
      <c r="J1624" s="683"/>
      <c r="K1624" s="683"/>
      <c r="L1624" s="685"/>
      <c r="M1624" s="685"/>
      <c r="N1624" s="687"/>
      <c r="O1624" s="683"/>
      <c r="P1624" s="683"/>
      <c r="Q1624" s="686"/>
      <c r="R1624" s="686"/>
      <c r="S1624" s="686"/>
      <c r="T1624" s="686"/>
      <c r="U1624" s="686"/>
      <c r="V1624" s="686"/>
      <c r="W1624" s="686"/>
      <c r="X1624" s="686"/>
      <c r="Y1624" s="686"/>
      <c r="Z1624" s="686"/>
      <c r="AA1624" s="686"/>
      <c r="AB1624" s="686"/>
      <c r="AC1624" s="686"/>
      <c r="AD1624" s="686"/>
      <c r="AE1624" s="686"/>
      <c r="AF1624" s="686"/>
    </row>
    <row r="1625" ht="15.75" customHeight="1">
      <c r="A1625" s="683"/>
      <c r="B1625" s="683"/>
      <c r="C1625" s="684"/>
      <c r="D1625" s="684"/>
      <c r="E1625" s="684"/>
      <c r="F1625" s="683"/>
      <c r="G1625" s="683"/>
      <c r="H1625" s="683"/>
      <c r="I1625" s="683"/>
      <c r="J1625" s="683"/>
      <c r="K1625" s="683"/>
      <c r="L1625" s="685"/>
      <c r="M1625" s="685"/>
      <c r="N1625" s="687"/>
      <c r="O1625" s="683"/>
      <c r="P1625" s="683"/>
      <c r="Q1625" s="686"/>
      <c r="R1625" s="686"/>
      <c r="S1625" s="686"/>
      <c r="T1625" s="686"/>
      <c r="U1625" s="686"/>
      <c r="V1625" s="686"/>
      <c r="W1625" s="686"/>
      <c r="X1625" s="686"/>
      <c r="Y1625" s="686"/>
      <c r="Z1625" s="686"/>
      <c r="AA1625" s="686"/>
      <c r="AB1625" s="686"/>
      <c r="AC1625" s="686"/>
      <c r="AD1625" s="686"/>
      <c r="AE1625" s="686"/>
      <c r="AF1625" s="686"/>
    </row>
    <row r="1626" ht="15.75" customHeight="1">
      <c r="A1626" s="683"/>
      <c r="B1626" s="683"/>
      <c r="C1626" s="684"/>
      <c r="D1626" s="684"/>
      <c r="E1626" s="684"/>
      <c r="F1626" s="683"/>
      <c r="G1626" s="683"/>
      <c r="H1626" s="683"/>
      <c r="I1626" s="683"/>
      <c r="J1626" s="683"/>
      <c r="K1626" s="683"/>
      <c r="L1626" s="685"/>
      <c r="M1626" s="685"/>
      <c r="N1626" s="687"/>
      <c r="O1626" s="683"/>
      <c r="P1626" s="683"/>
      <c r="Q1626" s="686"/>
      <c r="R1626" s="686"/>
      <c r="S1626" s="686"/>
      <c r="T1626" s="686"/>
      <c r="U1626" s="686"/>
      <c r="V1626" s="686"/>
      <c r="W1626" s="686"/>
      <c r="X1626" s="686"/>
      <c r="Y1626" s="686"/>
      <c r="Z1626" s="686"/>
      <c r="AA1626" s="686"/>
      <c r="AB1626" s="686"/>
      <c r="AC1626" s="686"/>
      <c r="AD1626" s="686"/>
      <c r="AE1626" s="686"/>
      <c r="AF1626" s="686"/>
    </row>
    <row r="1627" ht="15.75" customHeight="1">
      <c r="A1627" s="683"/>
      <c r="B1627" s="683"/>
      <c r="C1627" s="684"/>
      <c r="D1627" s="684"/>
      <c r="E1627" s="684"/>
      <c r="F1627" s="683"/>
      <c r="G1627" s="683"/>
      <c r="H1627" s="683"/>
      <c r="I1627" s="683"/>
      <c r="J1627" s="683"/>
      <c r="K1627" s="683"/>
      <c r="L1627" s="685"/>
      <c r="M1627" s="685"/>
      <c r="N1627" s="687"/>
      <c r="O1627" s="683"/>
      <c r="P1627" s="683"/>
      <c r="Q1627" s="686"/>
      <c r="R1627" s="686"/>
      <c r="S1627" s="686"/>
      <c r="T1627" s="686"/>
      <c r="U1627" s="686"/>
      <c r="V1627" s="686"/>
      <c r="W1627" s="686"/>
      <c r="X1627" s="686"/>
      <c r="Y1627" s="686"/>
      <c r="Z1627" s="686"/>
      <c r="AA1627" s="686"/>
      <c r="AB1627" s="686"/>
      <c r="AC1627" s="686"/>
      <c r="AD1627" s="686"/>
      <c r="AE1627" s="686"/>
      <c r="AF1627" s="686"/>
    </row>
    <row r="1628" ht="15.75" customHeight="1">
      <c r="A1628" s="683"/>
      <c r="B1628" s="683"/>
      <c r="C1628" s="684"/>
      <c r="D1628" s="684"/>
      <c r="E1628" s="684"/>
      <c r="F1628" s="683"/>
      <c r="G1628" s="683"/>
      <c r="H1628" s="683"/>
      <c r="I1628" s="683"/>
      <c r="J1628" s="683"/>
      <c r="K1628" s="683"/>
      <c r="L1628" s="685"/>
      <c r="M1628" s="685"/>
      <c r="N1628" s="687"/>
      <c r="O1628" s="683"/>
      <c r="P1628" s="683"/>
      <c r="Q1628" s="686"/>
      <c r="R1628" s="686"/>
      <c r="S1628" s="686"/>
      <c r="T1628" s="686"/>
      <c r="U1628" s="686"/>
      <c r="V1628" s="686"/>
      <c r="W1628" s="686"/>
      <c r="X1628" s="686"/>
      <c r="Y1628" s="686"/>
      <c r="Z1628" s="686"/>
      <c r="AA1628" s="686"/>
      <c r="AB1628" s="686"/>
      <c r="AC1628" s="686"/>
      <c r="AD1628" s="686"/>
      <c r="AE1628" s="686"/>
      <c r="AF1628" s="686"/>
    </row>
    <row r="1629" ht="15.75" customHeight="1">
      <c r="A1629" s="683"/>
      <c r="B1629" s="683"/>
      <c r="C1629" s="684"/>
      <c r="D1629" s="684"/>
      <c r="E1629" s="684"/>
      <c r="F1629" s="683"/>
      <c r="G1629" s="683"/>
      <c r="H1629" s="683"/>
      <c r="I1629" s="683"/>
      <c r="J1629" s="683"/>
      <c r="K1629" s="683"/>
      <c r="L1629" s="685"/>
      <c r="M1629" s="685"/>
      <c r="N1629" s="687"/>
      <c r="O1629" s="683"/>
      <c r="P1629" s="683"/>
      <c r="Q1629" s="686"/>
      <c r="R1629" s="686"/>
      <c r="S1629" s="686"/>
      <c r="T1629" s="686"/>
      <c r="U1629" s="686"/>
      <c r="V1629" s="686"/>
      <c r="W1629" s="686"/>
      <c r="X1629" s="686"/>
      <c r="Y1629" s="686"/>
      <c r="Z1629" s="686"/>
      <c r="AA1629" s="686"/>
      <c r="AB1629" s="686"/>
      <c r="AC1629" s="686"/>
      <c r="AD1629" s="686"/>
      <c r="AE1629" s="686"/>
      <c r="AF1629" s="686"/>
    </row>
    <row r="1630" ht="15.75" customHeight="1">
      <c r="A1630" s="683"/>
      <c r="B1630" s="683"/>
      <c r="C1630" s="684"/>
      <c r="D1630" s="684"/>
      <c r="E1630" s="684"/>
      <c r="F1630" s="683"/>
      <c r="G1630" s="683"/>
      <c r="H1630" s="683"/>
      <c r="I1630" s="683"/>
      <c r="J1630" s="683"/>
      <c r="K1630" s="683"/>
      <c r="L1630" s="685"/>
      <c r="M1630" s="685"/>
      <c r="N1630" s="687"/>
      <c r="O1630" s="683"/>
      <c r="P1630" s="683"/>
      <c r="Q1630" s="686"/>
      <c r="R1630" s="686"/>
      <c r="S1630" s="686"/>
      <c r="T1630" s="686"/>
      <c r="U1630" s="686"/>
      <c r="V1630" s="686"/>
      <c r="W1630" s="686"/>
      <c r="X1630" s="686"/>
      <c r="Y1630" s="686"/>
      <c r="Z1630" s="686"/>
      <c r="AA1630" s="686"/>
      <c r="AB1630" s="686"/>
      <c r="AC1630" s="686"/>
      <c r="AD1630" s="686"/>
      <c r="AE1630" s="686"/>
      <c r="AF1630" s="686"/>
    </row>
    <row r="1631" ht="15.75" customHeight="1">
      <c r="A1631" s="683"/>
      <c r="B1631" s="683"/>
      <c r="C1631" s="684"/>
      <c r="D1631" s="684"/>
      <c r="E1631" s="684"/>
      <c r="F1631" s="683"/>
      <c r="G1631" s="683"/>
      <c r="H1631" s="683"/>
      <c r="I1631" s="683"/>
      <c r="J1631" s="683"/>
      <c r="K1631" s="683"/>
      <c r="L1631" s="685"/>
      <c r="M1631" s="685"/>
      <c r="N1631" s="687"/>
      <c r="O1631" s="683"/>
      <c r="P1631" s="683"/>
      <c r="Q1631" s="686"/>
      <c r="R1631" s="686"/>
      <c r="S1631" s="686"/>
      <c r="T1631" s="686"/>
      <c r="U1631" s="686"/>
      <c r="V1631" s="686"/>
      <c r="W1631" s="686"/>
      <c r="X1631" s="686"/>
      <c r="Y1631" s="686"/>
      <c r="Z1631" s="686"/>
      <c r="AA1631" s="686"/>
      <c r="AB1631" s="686"/>
      <c r="AC1631" s="686"/>
      <c r="AD1631" s="686"/>
      <c r="AE1631" s="686"/>
      <c r="AF1631" s="686"/>
    </row>
    <row r="1632" ht="15.75" customHeight="1">
      <c r="A1632" s="683"/>
      <c r="B1632" s="683"/>
      <c r="C1632" s="684"/>
      <c r="D1632" s="684"/>
      <c r="E1632" s="684"/>
      <c r="F1632" s="683"/>
      <c r="G1632" s="683"/>
      <c r="H1632" s="683"/>
      <c r="I1632" s="683"/>
      <c r="J1632" s="683"/>
      <c r="K1632" s="683"/>
      <c r="L1632" s="685"/>
      <c r="M1632" s="685"/>
      <c r="N1632" s="687"/>
      <c r="O1632" s="683"/>
      <c r="P1632" s="683"/>
      <c r="Q1632" s="686"/>
      <c r="R1632" s="686"/>
      <c r="S1632" s="686"/>
      <c r="T1632" s="686"/>
      <c r="U1632" s="686"/>
      <c r="V1632" s="686"/>
      <c r="W1632" s="686"/>
      <c r="X1632" s="686"/>
      <c r="Y1632" s="686"/>
      <c r="Z1632" s="686"/>
      <c r="AA1632" s="686"/>
      <c r="AB1632" s="686"/>
      <c r="AC1632" s="686"/>
      <c r="AD1632" s="686"/>
      <c r="AE1632" s="686"/>
      <c r="AF1632" s="686"/>
    </row>
    <row r="1633" ht="15.75" customHeight="1">
      <c r="A1633" s="683"/>
      <c r="B1633" s="683"/>
      <c r="C1633" s="684"/>
      <c r="D1633" s="684"/>
      <c r="E1633" s="684"/>
      <c r="F1633" s="683"/>
      <c r="G1633" s="683"/>
      <c r="H1633" s="683"/>
      <c r="I1633" s="683"/>
      <c r="J1633" s="683"/>
      <c r="K1633" s="683"/>
      <c r="L1633" s="685"/>
      <c r="M1633" s="685"/>
      <c r="N1633" s="687"/>
      <c r="O1633" s="683"/>
      <c r="P1633" s="683"/>
      <c r="Q1633" s="686"/>
      <c r="R1633" s="686"/>
      <c r="S1633" s="686"/>
      <c r="T1633" s="686"/>
      <c r="U1633" s="686"/>
      <c r="V1633" s="686"/>
      <c r="W1633" s="686"/>
      <c r="X1633" s="686"/>
      <c r="Y1633" s="686"/>
      <c r="Z1633" s="686"/>
      <c r="AA1633" s="686"/>
      <c r="AB1633" s="686"/>
      <c r="AC1633" s="686"/>
      <c r="AD1633" s="686"/>
      <c r="AE1633" s="686"/>
      <c r="AF1633" s="686"/>
    </row>
    <row r="1634" ht="15.75" customHeight="1">
      <c r="A1634" s="683"/>
      <c r="B1634" s="683"/>
      <c r="C1634" s="684"/>
      <c r="D1634" s="684"/>
      <c r="E1634" s="684"/>
      <c r="F1634" s="683"/>
      <c r="G1634" s="683"/>
      <c r="H1634" s="683"/>
      <c r="I1634" s="683"/>
      <c r="J1634" s="683"/>
      <c r="K1634" s="683"/>
      <c r="L1634" s="685"/>
      <c r="M1634" s="685"/>
      <c r="N1634" s="687"/>
      <c r="O1634" s="683"/>
      <c r="P1634" s="683"/>
      <c r="Q1634" s="686"/>
      <c r="R1634" s="686"/>
      <c r="S1634" s="686"/>
      <c r="T1634" s="686"/>
      <c r="U1634" s="686"/>
      <c r="V1634" s="686"/>
      <c r="W1634" s="686"/>
      <c r="X1634" s="686"/>
      <c r="Y1634" s="686"/>
      <c r="Z1634" s="686"/>
      <c r="AA1634" s="686"/>
      <c r="AB1634" s="686"/>
      <c r="AC1634" s="686"/>
      <c r="AD1634" s="686"/>
      <c r="AE1634" s="686"/>
      <c r="AF1634" s="686"/>
    </row>
    <row r="1635" ht="15.75" customHeight="1">
      <c r="A1635" s="683"/>
      <c r="B1635" s="683"/>
      <c r="C1635" s="684"/>
      <c r="D1635" s="684"/>
      <c r="E1635" s="684"/>
      <c r="F1635" s="683"/>
      <c r="G1635" s="683"/>
      <c r="H1635" s="683"/>
      <c r="I1635" s="683"/>
      <c r="J1635" s="683"/>
      <c r="K1635" s="683"/>
      <c r="L1635" s="685"/>
      <c r="M1635" s="685"/>
      <c r="N1635" s="687"/>
      <c r="O1635" s="683"/>
      <c r="P1635" s="683"/>
      <c r="Q1635" s="686"/>
      <c r="R1635" s="686"/>
      <c r="S1635" s="686"/>
      <c r="T1635" s="686"/>
      <c r="U1635" s="686"/>
      <c r="V1635" s="686"/>
      <c r="W1635" s="686"/>
      <c r="X1635" s="686"/>
      <c r="Y1635" s="686"/>
      <c r="Z1635" s="686"/>
      <c r="AA1635" s="686"/>
      <c r="AB1635" s="686"/>
      <c r="AC1635" s="686"/>
      <c r="AD1635" s="686"/>
      <c r="AE1635" s="686"/>
      <c r="AF1635" s="686"/>
    </row>
    <row r="1636" ht="15.75" customHeight="1">
      <c r="A1636" s="683"/>
      <c r="B1636" s="683"/>
      <c r="C1636" s="684"/>
      <c r="D1636" s="684"/>
      <c r="E1636" s="684"/>
      <c r="F1636" s="683"/>
      <c r="G1636" s="683"/>
      <c r="H1636" s="683"/>
      <c r="I1636" s="683"/>
      <c r="J1636" s="683"/>
      <c r="K1636" s="683"/>
      <c r="L1636" s="685"/>
      <c r="M1636" s="685"/>
      <c r="N1636" s="687"/>
      <c r="O1636" s="683"/>
      <c r="P1636" s="683"/>
      <c r="Q1636" s="686"/>
      <c r="R1636" s="686"/>
      <c r="S1636" s="686"/>
      <c r="T1636" s="686"/>
      <c r="U1636" s="686"/>
      <c r="V1636" s="686"/>
      <c r="W1636" s="686"/>
      <c r="X1636" s="686"/>
      <c r="Y1636" s="686"/>
      <c r="Z1636" s="686"/>
      <c r="AA1636" s="686"/>
      <c r="AB1636" s="686"/>
      <c r="AC1636" s="686"/>
      <c r="AD1636" s="686"/>
      <c r="AE1636" s="686"/>
      <c r="AF1636" s="686"/>
    </row>
    <row r="1637" ht="15.75" customHeight="1">
      <c r="A1637" s="683"/>
      <c r="B1637" s="683"/>
      <c r="C1637" s="684"/>
      <c r="D1637" s="684"/>
      <c r="E1637" s="684"/>
      <c r="F1637" s="683"/>
      <c r="G1637" s="683"/>
      <c r="H1637" s="683"/>
      <c r="I1637" s="683"/>
      <c r="J1637" s="683"/>
      <c r="K1637" s="683"/>
      <c r="L1637" s="685"/>
      <c r="M1637" s="685"/>
      <c r="N1637" s="687"/>
      <c r="O1637" s="683"/>
      <c r="P1637" s="683"/>
      <c r="Q1637" s="686"/>
      <c r="R1637" s="686"/>
      <c r="S1637" s="686"/>
      <c r="T1637" s="686"/>
      <c r="U1637" s="686"/>
      <c r="V1637" s="686"/>
      <c r="W1637" s="686"/>
      <c r="X1637" s="686"/>
      <c r="Y1637" s="686"/>
      <c r="Z1637" s="686"/>
      <c r="AA1637" s="686"/>
      <c r="AB1637" s="686"/>
      <c r="AC1637" s="686"/>
      <c r="AD1637" s="686"/>
      <c r="AE1637" s="686"/>
      <c r="AF1637" s="686"/>
    </row>
    <row r="1638" ht="15.75" customHeight="1">
      <c r="A1638" s="683"/>
      <c r="B1638" s="683"/>
      <c r="C1638" s="684"/>
      <c r="D1638" s="684"/>
      <c r="E1638" s="684"/>
      <c r="F1638" s="683"/>
      <c r="G1638" s="683"/>
      <c r="H1638" s="683"/>
      <c r="I1638" s="683"/>
      <c r="J1638" s="683"/>
      <c r="K1638" s="683"/>
      <c r="L1638" s="685"/>
      <c r="M1638" s="685"/>
      <c r="N1638" s="687"/>
      <c r="O1638" s="683"/>
      <c r="P1638" s="683"/>
      <c r="Q1638" s="686"/>
      <c r="R1638" s="686"/>
      <c r="S1638" s="686"/>
      <c r="T1638" s="686"/>
      <c r="U1638" s="686"/>
      <c r="V1638" s="686"/>
      <c r="W1638" s="686"/>
      <c r="X1638" s="686"/>
      <c r="Y1638" s="686"/>
      <c r="Z1638" s="686"/>
      <c r="AA1638" s="686"/>
      <c r="AB1638" s="686"/>
      <c r="AC1638" s="686"/>
      <c r="AD1638" s="686"/>
      <c r="AE1638" s="686"/>
      <c r="AF1638" s="686"/>
    </row>
    <row r="1639" ht="15.75" customHeight="1">
      <c r="A1639" s="683"/>
      <c r="B1639" s="683"/>
      <c r="C1639" s="684"/>
      <c r="D1639" s="684"/>
      <c r="E1639" s="684"/>
      <c r="F1639" s="683"/>
      <c r="G1639" s="683"/>
      <c r="H1639" s="683"/>
      <c r="I1639" s="683"/>
      <c r="J1639" s="683"/>
      <c r="K1639" s="683"/>
      <c r="L1639" s="685"/>
      <c r="M1639" s="685"/>
      <c r="N1639" s="687"/>
      <c r="O1639" s="683"/>
      <c r="P1639" s="683"/>
      <c r="Q1639" s="686"/>
      <c r="R1639" s="686"/>
      <c r="S1639" s="686"/>
      <c r="T1639" s="686"/>
      <c r="U1639" s="686"/>
      <c r="V1639" s="686"/>
      <c r="W1639" s="686"/>
      <c r="X1639" s="686"/>
      <c r="Y1639" s="686"/>
      <c r="Z1639" s="686"/>
      <c r="AA1639" s="686"/>
      <c r="AB1639" s="686"/>
      <c r="AC1639" s="686"/>
      <c r="AD1639" s="686"/>
      <c r="AE1639" s="686"/>
      <c r="AF1639" s="686"/>
    </row>
    <row r="1640" ht="15.75" customHeight="1">
      <c r="A1640" s="683"/>
      <c r="B1640" s="683"/>
      <c r="C1640" s="684"/>
      <c r="D1640" s="684"/>
      <c r="E1640" s="684"/>
      <c r="F1640" s="683"/>
      <c r="G1640" s="683"/>
      <c r="H1640" s="683"/>
      <c r="I1640" s="683"/>
      <c r="J1640" s="683"/>
      <c r="K1640" s="683"/>
      <c r="L1640" s="685"/>
      <c r="M1640" s="685"/>
      <c r="N1640" s="687"/>
      <c r="O1640" s="683"/>
      <c r="P1640" s="683"/>
      <c r="Q1640" s="686"/>
      <c r="R1640" s="686"/>
      <c r="S1640" s="686"/>
      <c r="T1640" s="686"/>
      <c r="U1640" s="686"/>
      <c r="V1640" s="686"/>
      <c r="W1640" s="686"/>
      <c r="X1640" s="686"/>
      <c r="Y1640" s="686"/>
      <c r="Z1640" s="686"/>
      <c r="AA1640" s="686"/>
      <c r="AB1640" s="686"/>
      <c r="AC1640" s="686"/>
      <c r="AD1640" s="686"/>
      <c r="AE1640" s="686"/>
      <c r="AF1640" s="686"/>
    </row>
    <row r="1641" ht="15.75" customHeight="1">
      <c r="A1641" s="683"/>
      <c r="B1641" s="683"/>
      <c r="C1641" s="684"/>
      <c r="D1641" s="684"/>
      <c r="E1641" s="684"/>
      <c r="F1641" s="683"/>
      <c r="G1641" s="683"/>
      <c r="H1641" s="683"/>
      <c r="I1641" s="683"/>
      <c r="J1641" s="683"/>
      <c r="K1641" s="683"/>
      <c r="L1641" s="685"/>
      <c r="M1641" s="685"/>
      <c r="N1641" s="687"/>
      <c r="O1641" s="683"/>
      <c r="P1641" s="683"/>
      <c r="Q1641" s="686"/>
      <c r="R1641" s="686"/>
      <c r="S1641" s="686"/>
      <c r="T1641" s="686"/>
      <c r="U1641" s="686"/>
      <c r="V1641" s="686"/>
      <c r="W1641" s="686"/>
      <c r="X1641" s="686"/>
      <c r="Y1641" s="686"/>
      <c r="Z1641" s="686"/>
      <c r="AA1641" s="686"/>
      <c r="AB1641" s="686"/>
      <c r="AC1641" s="686"/>
      <c r="AD1641" s="686"/>
      <c r="AE1641" s="686"/>
      <c r="AF1641" s="686"/>
    </row>
    <row r="1642" ht="15.75" customHeight="1">
      <c r="A1642" s="683"/>
      <c r="B1642" s="683"/>
      <c r="C1642" s="684"/>
      <c r="D1642" s="684"/>
      <c r="E1642" s="684"/>
      <c r="F1642" s="683"/>
      <c r="G1642" s="683"/>
      <c r="H1642" s="683"/>
      <c r="I1642" s="683"/>
      <c r="J1642" s="683"/>
      <c r="K1642" s="683"/>
      <c r="L1642" s="685"/>
      <c r="M1642" s="685"/>
      <c r="N1642" s="687"/>
      <c r="O1642" s="683"/>
      <c r="P1642" s="683"/>
      <c r="Q1642" s="686"/>
      <c r="R1642" s="686"/>
      <c r="S1642" s="686"/>
      <c r="T1642" s="686"/>
      <c r="U1642" s="686"/>
      <c r="V1642" s="686"/>
      <c r="W1642" s="686"/>
      <c r="X1642" s="686"/>
      <c r="Y1642" s="686"/>
      <c r="Z1642" s="686"/>
      <c r="AA1642" s="686"/>
      <c r="AB1642" s="686"/>
      <c r="AC1642" s="686"/>
      <c r="AD1642" s="686"/>
      <c r="AE1642" s="686"/>
      <c r="AF1642" s="686"/>
    </row>
    <row r="1643" ht="15.75" customHeight="1">
      <c r="A1643" s="683"/>
      <c r="B1643" s="683"/>
      <c r="C1643" s="684"/>
      <c r="D1643" s="684"/>
      <c r="E1643" s="684"/>
      <c r="F1643" s="683"/>
      <c r="G1643" s="683"/>
      <c r="H1643" s="683"/>
      <c r="I1643" s="683"/>
      <c r="J1643" s="683"/>
      <c r="K1643" s="683"/>
      <c r="L1643" s="685"/>
      <c r="M1643" s="685"/>
      <c r="N1643" s="687"/>
      <c r="O1643" s="683"/>
      <c r="P1643" s="683"/>
      <c r="Q1643" s="686"/>
      <c r="R1643" s="686"/>
      <c r="S1643" s="686"/>
      <c r="T1643" s="686"/>
      <c r="U1643" s="686"/>
      <c r="V1643" s="686"/>
      <c r="W1643" s="686"/>
      <c r="X1643" s="686"/>
      <c r="Y1643" s="686"/>
      <c r="Z1643" s="686"/>
      <c r="AA1643" s="686"/>
      <c r="AB1643" s="686"/>
      <c r="AC1643" s="686"/>
      <c r="AD1643" s="686"/>
      <c r="AE1643" s="686"/>
      <c r="AF1643" s="686"/>
    </row>
    <row r="1644" ht="15.75" customHeight="1">
      <c r="A1644" s="683"/>
      <c r="B1644" s="683"/>
      <c r="C1644" s="684"/>
      <c r="D1644" s="684"/>
      <c r="E1644" s="684"/>
      <c r="F1644" s="683"/>
      <c r="G1644" s="683"/>
      <c r="H1644" s="683"/>
      <c r="I1644" s="683"/>
      <c r="J1644" s="683"/>
      <c r="K1644" s="683"/>
      <c r="L1644" s="685"/>
      <c r="M1644" s="685"/>
      <c r="N1644" s="687"/>
      <c r="O1644" s="683"/>
      <c r="P1644" s="683"/>
      <c r="Q1644" s="686"/>
      <c r="R1644" s="686"/>
      <c r="S1644" s="686"/>
      <c r="T1644" s="686"/>
      <c r="U1644" s="686"/>
      <c r="V1644" s="686"/>
      <c r="W1644" s="686"/>
      <c r="X1644" s="686"/>
      <c r="Y1644" s="686"/>
      <c r="Z1644" s="686"/>
      <c r="AA1644" s="686"/>
      <c r="AB1644" s="686"/>
      <c r="AC1644" s="686"/>
      <c r="AD1644" s="686"/>
      <c r="AE1644" s="686"/>
      <c r="AF1644" s="686"/>
    </row>
    <row r="1645" ht="15.75" customHeight="1">
      <c r="A1645" s="683"/>
      <c r="B1645" s="683"/>
      <c r="C1645" s="684"/>
      <c r="D1645" s="684"/>
      <c r="E1645" s="684"/>
      <c r="F1645" s="683"/>
      <c r="G1645" s="683"/>
      <c r="H1645" s="683"/>
      <c r="I1645" s="683"/>
      <c r="J1645" s="683"/>
      <c r="K1645" s="683"/>
      <c r="L1645" s="685"/>
      <c r="M1645" s="685"/>
      <c r="N1645" s="687"/>
      <c r="O1645" s="683"/>
      <c r="P1645" s="683"/>
      <c r="Q1645" s="686"/>
      <c r="R1645" s="686"/>
      <c r="S1645" s="686"/>
      <c r="T1645" s="686"/>
      <c r="U1645" s="686"/>
      <c r="V1645" s="686"/>
      <c r="W1645" s="686"/>
      <c r="X1645" s="686"/>
      <c r="Y1645" s="686"/>
      <c r="Z1645" s="686"/>
      <c r="AA1645" s="686"/>
      <c r="AB1645" s="686"/>
      <c r="AC1645" s="686"/>
      <c r="AD1645" s="686"/>
      <c r="AE1645" s="686"/>
      <c r="AF1645" s="686"/>
    </row>
    <row r="1646" ht="15.75" customHeight="1">
      <c r="A1646" s="683"/>
      <c r="B1646" s="683"/>
      <c r="C1646" s="684"/>
      <c r="D1646" s="684"/>
      <c r="E1646" s="684"/>
      <c r="F1646" s="683"/>
      <c r="G1646" s="683"/>
      <c r="H1646" s="683"/>
      <c r="I1646" s="683"/>
      <c r="J1646" s="683"/>
      <c r="K1646" s="683"/>
      <c r="L1646" s="685"/>
      <c r="M1646" s="685"/>
      <c r="N1646" s="687"/>
      <c r="O1646" s="683"/>
      <c r="P1646" s="683"/>
      <c r="Q1646" s="686"/>
      <c r="R1646" s="686"/>
      <c r="S1646" s="686"/>
      <c r="T1646" s="686"/>
      <c r="U1646" s="686"/>
      <c r="V1646" s="686"/>
      <c r="W1646" s="686"/>
      <c r="X1646" s="686"/>
      <c r="Y1646" s="686"/>
      <c r="Z1646" s="686"/>
      <c r="AA1646" s="686"/>
      <c r="AB1646" s="686"/>
      <c r="AC1646" s="686"/>
      <c r="AD1646" s="686"/>
      <c r="AE1646" s="686"/>
      <c r="AF1646" s="686"/>
    </row>
    <row r="1647" ht="15.75" customHeight="1">
      <c r="A1647" s="683"/>
      <c r="B1647" s="683"/>
      <c r="C1647" s="684"/>
      <c r="D1647" s="684"/>
      <c r="E1647" s="684"/>
      <c r="F1647" s="683"/>
      <c r="G1647" s="683"/>
      <c r="H1647" s="683"/>
      <c r="I1647" s="683"/>
      <c r="J1647" s="683"/>
      <c r="K1647" s="683"/>
      <c r="L1647" s="685"/>
      <c r="M1647" s="685"/>
      <c r="N1647" s="687"/>
      <c r="O1647" s="683"/>
      <c r="P1647" s="683"/>
      <c r="Q1647" s="686"/>
      <c r="R1647" s="686"/>
      <c r="S1647" s="686"/>
      <c r="T1647" s="686"/>
      <c r="U1647" s="686"/>
      <c r="V1647" s="686"/>
      <c r="W1647" s="686"/>
      <c r="X1647" s="686"/>
      <c r="Y1647" s="686"/>
      <c r="Z1647" s="686"/>
      <c r="AA1647" s="686"/>
      <c r="AB1647" s="686"/>
      <c r="AC1647" s="686"/>
      <c r="AD1647" s="686"/>
      <c r="AE1647" s="686"/>
      <c r="AF1647" s="686"/>
    </row>
    <row r="1648" ht="15.75" customHeight="1">
      <c r="A1648" s="683"/>
      <c r="B1648" s="683"/>
      <c r="C1648" s="684"/>
      <c r="D1648" s="684"/>
      <c r="E1648" s="684"/>
      <c r="F1648" s="683"/>
      <c r="G1648" s="683"/>
      <c r="H1648" s="683"/>
      <c r="I1648" s="683"/>
      <c r="J1648" s="683"/>
      <c r="K1648" s="683"/>
      <c r="L1648" s="685"/>
      <c r="M1648" s="685"/>
      <c r="N1648" s="687"/>
      <c r="O1648" s="683"/>
      <c r="P1648" s="683"/>
      <c r="Q1648" s="686"/>
      <c r="R1648" s="686"/>
      <c r="S1648" s="686"/>
      <c r="T1648" s="686"/>
      <c r="U1648" s="686"/>
      <c r="V1648" s="686"/>
      <c r="W1648" s="686"/>
      <c r="X1648" s="686"/>
      <c r="Y1648" s="686"/>
      <c r="Z1648" s="686"/>
      <c r="AA1648" s="686"/>
      <c r="AB1648" s="686"/>
      <c r="AC1648" s="686"/>
      <c r="AD1648" s="686"/>
      <c r="AE1648" s="686"/>
      <c r="AF1648" s="686"/>
    </row>
    <row r="1649" ht="15.75" customHeight="1">
      <c r="A1649" s="683"/>
      <c r="B1649" s="683"/>
      <c r="C1649" s="684"/>
      <c r="D1649" s="684"/>
      <c r="E1649" s="684"/>
      <c r="F1649" s="683"/>
      <c r="G1649" s="683"/>
      <c r="H1649" s="683"/>
      <c r="I1649" s="683"/>
      <c r="J1649" s="683"/>
      <c r="K1649" s="683"/>
      <c r="L1649" s="685"/>
      <c r="M1649" s="685"/>
      <c r="N1649" s="687"/>
      <c r="O1649" s="683"/>
      <c r="P1649" s="683"/>
      <c r="Q1649" s="686"/>
      <c r="R1649" s="686"/>
      <c r="S1649" s="686"/>
      <c r="T1649" s="686"/>
      <c r="U1649" s="686"/>
      <c r="V1649" s="686"/>
      <c r="W1649" s="686"/>
      <c r="X1649" s="686"/>
      <c r="Y1649" s="686"/>
      <c r="Z1649" s="686"/>
      <c r="AA1649" s="686"/>
      <c r="AB1649" s="686"/>
      <c r="AC1649" s="686"/>
      <c r="AD1649" s="686"/>
      <c r="AE1649" s="686"/>
      <c r="AF1649" s="686"/>
    </row>
    <row r="1650" ht="15.75" customHeight="1">
      <c r="A1650" s="683"/>
      <c r="B1650" s="683"/>
      <c r="C1650" s="684"/>
      <c r="D1650" s="684"/>
      <c r="E1650" s="684"/>
      <c r="F1650" s="683"/>
      <c r="G1650" s="683"/>
      <c r="H1650" s="683"/>
      <c r="I1650" s="683"/>
      <c r="J1650" s="683"/>
      <c r="K1650" s="683"/>
      <c r="L1650" s="685"/>
      <c r="M1650" s="685"/>
      <c r="N1650" s="687"/>
      <c r="O1650" s="683"/>
      <c r="P1650" s="683"/>
      <c r="Q1650" s="686"/>
      <c r="R1650" s="686"/>
      <c r="S1650" s="686"/>
      <c r="T1650" s="686"/>
      <c r="U1650" s="686"/>
      <c r="V1650" s="686"/>
      <c r="W1650" s="686"/>
      <c r="X1650" s="686"/>
      <c r="Y1650" s="686"/>
      <c r="Z1650" s="686"/>
      <c r="AA1650" s="686"/>
      <c r="AB1650" s="686"/>
      <c r="AC1650" s="686"/>
      <c r="AD1650" s="686"/>
      <c r="AE1650" s="686"/>
      <c r="AF1650" s="686"/>
    </row>
    <row r="1651" ht="15.75" customHeight="1">
      <c r="A1651" s="683"/>
      <c r="B1651" s="683"/>
      <c r="C1651" s="684"/>
      <c r="D1651" s="684"/>
      <c r="E1651" s="684"/>
      <c r="F1651" s="683"/>
      <c r="G1651" s="683"/>
      <c r="H1651" s="683"/>
      <c r="I1651" s="683"/>
      <c r="J1651" s="683"/>
      <c r="K1651" s="683"/>
      <c r="L1651" s="685"/>
      <c r="M1651" s="685"/>
      <c r="N1651" s="687"/>
      <c r="O1651" s="683"/>
      <c r="P1651" s="683"/>
      <c r="Q1651" s="686"/>
      <c r="R1651" s="686"/>
      <c r="S1651" s="686"/>
      <c r="T1651" s="686"/>
      <c r="U1651" s="686"/>
      <c r="V1651" s="686"/>
      <c r="W1651" s="686"/>
      <c r="X1651" s="686"/>
      <c r="Y1651" s="686"/>
      <c r="Z1651" s="686"/>
      <c r="AA1651" s="686"/>
      <c r="AB1651" s="686"/>
      <c r="AC1651" s="686"/>
      <c r="AD1651" s="686"/>
      <c r="AE1651" s="686"/>
      <c r="AF1651" s="686"/>
    </row>
    <row r="1652" ht="15.75" customHeight="1">
      <c r="A1652" s="683"/>
      <c r="B1652" s="683"/>
      <c r="C1652" s="684"/>
      <c r="D1652" s="684"/>
      <c r="E1652" s="684"/>
      <c r="F1652" s="683"/>
      <c r="G1652" s="683"/>
      <c r="H1652" s="683"/>
      <c r="I1652" s="683"/>
      <c r="J1652" s="683"/>
      <c r="K1652" s="683"/>
      <c r="L1652" s="685"/>
      <c r="M1652" s="685"/>
      <c r="N1652" s="687"/>
      <c r="O1652" s="683"/>
      <c r="P1652" s="683"/>
      <c r="Q1652" s="686"/>
      <c r="R1652" s="686"/>
      <c r="S1652" s="686"/>
      <c r="T1652" s="686"/>
      <c r="U1652" s="686"/>
      <c r="V1652" s="686"/>
      <c r="W1652" s="686"/>
      <c r="X1652" s="686"/>
      <c r="Y1652" s="686"/>
      <c r="Z1652" s="686"/>
      <c r="AA1652" s="686"/>
      <c r="AB1652" s="686"/>
      <c r="AC1652" s="686"/>
      <c r="AD1652" s="686"/>
      <c r="AE1652" s="686"/>
      <c r="AF1652" s="686"/>
    </row>
    <row r="1653" ht="15.75" customHeight="1">
      <c r="A1653" s="683"/>
      <c r="B1653" s="683"/>
      <c r="C1653" s="684"/>
      <c r="D1653" s="684"/>
      <c r="E1653" s="684"/>
      <c r="F1653" s="683"/>
      <c r="G1653" s="683"/>
      <c r="H1653" s="683"/>
      <c r="I1653" s="683"/>
      <c r="J1653" s="683"/>
      <c r="K1653" s="683"/>
      <c r="L1653" s="685"/>
      <c r="M1653" s="685"/>
      <c r="N1653" s="687"/>
      <c r="O1653" s="683"/>
      <c r="P1653" s="683"/>
      <c r="Q1653" s="686"/>
      <c r="R1653" s="686"/>
      <c r="S1653" s="686"/>
      <c r="T1653" s="686"/>
      <c r="U1653" s="686"/>
      <c r="V1653" s="686"/>
      <c r="W1653" s="686"/>
      <c r="X1653" s="686"/>
      <c r="Y1653" s="686"/>
      <c r="Z1653" s="686"/>
      <c r="AA1653" s="686"/>
      <c r="AB1653" s="686"/>
      <c r="AC1653" s="686"/>
      <c r="AD1653" s="686"/>
      <c r="AE1653" s="686"/>
      <c r="AF1653" s="686"/>
    </row>
    <row r="1654" ht="15.75" customHeight="1">
      <c r="A1654" s="683"/>
      <c r="B1654" s="683"/>
      <c r="C1654" s="684"/>
      <c r="D1654" s="684"/>
      <c r="E1654" s="684"/>
      <c r="F1654" s="683"/>
      <c r="G1654" s="683"/>
      <c r="H1654" s="683"/>
      <c r="I1654" s="683"/>
      <c r="J1654" s="683"/>
      <c r="K1654" s="683"/>
      <c r="L1654" s="685"/>
      <c r="M1654" s="685"/>
      <c r="N1654" s="687"/>
      <c r="O1654" s="683"/>
      <c r="P1654" s="683"/>
      <c r="Q1654" s="686"/>
      <c r="R1654" s="686"/>
      <c r="S1654" s="686"/>
      <c r="T1654" s="686"/>
      <c r="U1654" s="686"/>
      <c r="V1654" s="686"/>
      <c r="W1654" s="686"/>
      <c r="X1654" s="686"/>
      <c r="Y1654" s="686"/>
      <c r="Z1654" s="686"/>
      <c r="AA1654" s="686"/>
      <c r="AB1654" s="686"/>
      <c r="AC1654" s="686"/>
      <c r="AD1654" s="686"/>
      <c r="AE1654" s="686"/>
      <c r="AF1654" s="686"/>
    </row>
    <row r="1655" ht="15.75" customHeight="1">
      <c r="A1655" s="683"/>
      <c r="B1655" s="683"/>
      <c r="C1655" s="684"/>
      <c r="D1655" s="684"/>
      <c r="E1655" s="684"/>
      <c r="F1655" s="683"/>
      <c r="G1655" s="683"/>
      <c r="H1655" s="683"/>
      <c r="I1655" s="683"/>
      <c r="J1655" s="683"/>
      <c r="K1655" s="683"/>
      <c r="L1655" s="685"/>
      <c r="M1655" s="685"/>
      <c r="N1655" s="687"/>
      <c r="O1655" s="683"/>
      <c r="P1655" s="683"/>
      <c r="Q1655" s="686"/>
      <c r="R1655" s="686"/>
      <c r="S1655" s="686"/>
      <c r="T1655" s="686"/>
      <c r="U1655" s="686"/>
      <c r="V1655" s="686"/>
      <c r="W1655" s="686"/>
      <c r="X1655" s="686"/>
      <c r="Y1655" s="686"/>
      <c r="Z1655" s="686"/>
      <c r="AA1655" s="686"/>
      <c r="AB1655" s="686"/>
      <c r="AC1655" s="686"/>
      <c r="AD1655" s="686"/>
      <c r="AE1655" s="686"/>
      <c r="AF1655" s="686"/>
    </row>
    <row r="1656" ht="15.75" customHeight="1">
      <c r="A1656" s="683"/>
      <c r="B1656" s="683"/>
      <c r="C1656" s="684"/>
      <c r="D1656" s="684"/>
      <c r="E1656" s="684"/>
      <c r="F1656" s="683"/>
      <c r="G1656" s="683"/>
      <c r="H1656" s="683"/>
      <c r="I1656" s="683"/>
      <c r="J1656" s="683"/>
      <c r="K1656" s="683"/>
      <c r="L1656" s="685"/>
      <c r="M1656" s="685"/>
      <c r="N1656" s="687"/>
      <c r="O1656" s="683"/>
      <c r="P1656" s="683"/>
      <c r="Q1656" s="686"/>
      <c r="R1656" s="686"/>
      <c r="S1656" s="686"/>
      <c r="T1656" s="686"/>
      <c r="U1656" s="686"/>
      <c r="V1656" s="686"/>
      <c r="W1656" s="686"/>
      <c r="X1656" s="686"/>
      <c r="Y1656" s="686"/>
      <c r="Z1656" s="686"/>
      <c r="AA1656" s="686"/>
      <c r="AB1656" s="686"/>
      <c r="AC1656" s="686"/>
      <c r="AD1656" s="686"/>
      <c r="AE1656" s="686"/>
      <c r="AF1656" s="686"/>
    </row>
    <row r="1657" ht="15.75" customHeight="1">
      <c r="A1657" s="683"/>
      <c r="B1657" s="683"/>
      <c r="C1657" s="684"/>
      <c r="D1657" s="684"/>
      <c r="E1657" s="684"/>
      <c r="F1657" s="683"/>
      <c r="G1657" s="683"/>
      <c r="H1657" s="683"/>
      <c r="I1657" s="683"/>
      <c r="J1657" s="683"/>
      <c r="K1657" s="683"/>
      <c r="L1657" s="685"/>
      <c r="M1657" s="685"/>
      <c r="N1657" s="687"/>
      <c r="O1657" s="683"/>
      <c r="P1657" s="683"/>
      <c r="Q1657" s="686"/>
      <c r="R1657" s="686"/>
      <c r="S1657" s="686"/>
      <c r="T1657" s="686"/>
      <c r="U1657" s="686"/>
      <c r="V1657" s="686"/>
      <c r="W1657" s="686"/>
      <c r="X1657" s="686"/>
      <c r="Y1657" s="686"/>
      <c r="Z1657" s="686"/>
      <c r="AA1657" s="686"/>
      <c r="AB1657" s="686"/>
      <c r="AC1657" s="686"/>
      <c r="AD1657" s="686"/>
      <c r="AE1657" s="686"/>
      <c r="AF1657" s="686"/>
    </row>
    <row r="1658" ht="15.75" customHeight="1">
      <c r="A1658" s="683"/>
      <c r="B1658" s="683"/>
      <c r="C1658" s="684"/>
      <c r="D1658" s="684"/>
      <c r="E1658" s="684"/>
      <c r="F1658" s="683"/>
      <c r="G1658" s="683"/>
      <c r="H1658" s="683"/>
      <c r="I1658" s="683"/>
      <c r="J1658" s="683"/>
      <c r="K1658" s="683"/>
      <c r="L1658" s="685"/>
      <c r="M1658" s="685"/>
      <c r="N1658" s="687"/>
      <c r="O1658" s="683"/>
      <c r="P1658" s="683"/>
      <c r="Q1658" s="686"/>
      <c r="R1658" s="686"/>
      <c r="S1658" s="686"/>
      <c r="T1658" s="686"/>
      <c r="U1658" s="686"/>
      <c r="V1658" s="686"/>
      <c r="W1658" s="686"/>
      <c r="X1658" s="686"/>
      <c r="Y1658" s="686"/>
      <c r="Z1658" s="686"/>
      <c r="AA1658" s="686"/>
      <c r="AB1658" s="686"/>
      <c r="AC1658" s="686"/>
      <c r="AD1658" s="686"/>
      <c r="AE1658" s="686"/>
      <c r="AF1658" s="686"/>
    </row>
    <row r="1659" ht="15.75" customHeight="1">
      <c r="A1659" s="683"/>
      <c r="B1659" s="683"/>
      <c r="C1659" s="684"/>
      <c r="D1659" s="684"/>
      <c r="E1659" s="684"/>
      <c r="F1659" s="683"/>
      <c r="G1659" s="683"/>
      <c r="H1659" s="683"/>
      <c r="I1659" s="683"/>
      <c r="J1659" s="683"/>
      <c r="K1659" s="683"/>
      <c r="L1659" s="685"/>
      <c r="M1659" s="685"/>
      <c r="N1659" s="687"/>
      <c r="O1659" s="683"/>
      <c r="P1659" s="683"/>
      <c r="Q1659" s="686"/>
      <c r="R1659" s="686"/>
      <c r="S1659" s="686"/>
      <c r="T1659" s="686"/>
      <c r="U1659" s="686"/>
      <c r="V1659" s="686"/>
      <c r="W1659" s="686"/>
      <c r="X1659" s="686"/>
      <c r="Y1659" s="686"/>
      <c r="Z1659" s="686"/>
      <c r="AA1659" s="686"/>
      <c r="AB1659" s="686"/>
      <c r="AC1659" s="686"/>
      <c r="AD1659" s="686"/>
      <c r="AE1659" s="686"/>
      <c r="AF1659" s="686"/>
    </row>
    <row r="1660" ht="15.75" customHeight="1">
      <c r="A1660" s="683"/>
      <c r="B1660" s="683"/>
      <c r="C1660" s="684"/>
      <c r="D1660" s="684"/>
      <c r="E1660" s="684"/>
      <c r="F1660" s="683"/>
      <c r="G1660" s="683"/>
      <c r="H1660" s="683"/>
      <c r="I1660" s="683"/>
      <c r="J1660" s="683"/>
      <c r="K1660" s="683"/>
      <c r="L1660" s="685"/>
      <c r="M1660" s="685"/>
      <c r="N1660" s="687"/>
      <c r="O1660" s="683"/>
      <c r="P1660" s="683"/>
      <c r="Q1660" s="686"/>
      <c r="R1660" s="686"/>
      <c r="S1660" s="686"/>
      <c r="T1660" s="686"/>
      <c r="U1660" s="686"/>
      <c r="V1660" s="686"/>
      <c r="W1660" s="686"/>
      <c r="X1660" s="686"/>
      <c r="Y1660" s="686"/>
      <c r="Z1660" s="686"/>
      <c r="AA1660" s="686"/>
      <c r="AB1660" s="686"/>
      <c r="AC1660" s="686"/>
      <c r="AD1660" s="686"/>
      <c r="AE1660" s="686"/>
      <c r="AF1660" s="686"/>
    </row>
    <row r="1661" ht="15.75" customHeight="1">
      <c r="A1661" s="683"/>
      <c r="B1661" s="683"/>
      <c r="C1661" s="684"/>
      <c r="D1661" s="684"/>
      <c r="E1661" s="684"/>
      <c r="F1661" s="683"/>
      <c r="G1661" s="683"/>
      <c r="H1661" s="683"/>
      <c r="I1661" s="683"/>
      <c r="J1661" s="683"/>
      <c r="K1661" s="683"/>
      <c r="L1661" s="685"/>
      <c r="M1661" s="685"/>
      <c r="N1661" s="687"/>
      <c r="O1661" s="683"/>
      <c r="P1661" s="683"/>
      <c r="Q1661" s="686"/>
      <c r="R1661" s="686"/>
      <c r="S1661" s="686"/>
      <c r="T1661" s="686"/>
      <c r="U1661" s="686"/>
      <c r="V1661" s="686"/>
      <c r="W1661" s="686"/>
      <c r="X1661" s="686"/>
      <c r="Y1661" s="686"/>
      <c r="Z1661" s="686"/>
      <c r="AA1661" s="686"/>
      <c r="AB1661" s="686"/>
      <c r="AC1661" s="686"/>
      <c r="AD1661" s="686"/>
      <c r="AE1661" s="686"/>
      <c r="AF1661" s="686"/>
    </row>
    <row r="1662" ht="15.75" customHeight="1">
      <c r="A1662" s="683"/>
      <c r="B1662" s="683"/>
      <c r="C1662" s="684"/>
      <c r="D1662" s="684"/>
      <c r="E1662" s="684"/>
      <c r="F1662" s="683"/>
      <c r="G1662" s="683"/>
      <c r="H1662" s="683"/>
      <c r="I1662" s="683"/>
      <c r="J1662" s="683"/>
      <c r="K1662" s="683"/>
      <c r="L1662" s="685"/>
      <c r="M1662" s="685"/>
      <c r="N1662" s="687"/>
      <c r="O1662" s="683"/>
      <c r="P1662" s="683"/>
      <c r="Q1662" s="686"/>
      <c r="R1662" s="686"/>
      <c r="S1662" s="686"/>
      <c r="T1662" s="686"/>
      <c r="U1662" s="686"/>
      <c r="V1662" s="686"/>
      <c r="W1662" s="686"/>
      <c r="X1662" s="686"/>
      <c r="Y1662" s="686"/>
      <c r="Z1662" s="686"/>
      <c r="AA1662" s="686"/>
      <c r="AB1662" s="686"/>
      <c r="AC1662" s="686"/>
      <c r="AD1662" s="686"/>
      <c r="AE1662" s="686"/>
      <c r="AF1662" s="686"/>
    </row>
    <row r="1663" ht="15.75" customHeight="1">
      <c r="A1663" s="683"/>
      <c r="B1663" s="683"/>
      <c r="C1663" s="684"/>
      <c r="D1663" s="684"/>
      <c r="E1663" s="684"/>
      <c r="F1663" s="683"/>
      <c r="G1663" s="683"/>
      <c r="H1663" s="683"/>
      <c r="I1663" s="683"/>
      <c r="J1663" s="683"/>
      <c r="K1663" s="683"/>
      <c r="L1663" s="685"/>
      <c r="M1663" s="685"/>
      <c r="N1663" s="687"/>
      <c r="O1663" s="683"/>
      <c r="P1663" s="683"/>
      <c r="Q1663" s="686"/>
      <c r="R1663" s="686"/>
      <c r="S1663" s="686"/>
      <c r="T1663" s="686"/>
      <c r="U1663" s="686"/>
      <c r="V1663" s="686"/>
      <c r="W1663" s="686"/>
      <c r="X1663" s="686"/>
      <c r="Y1663" s="686"/>
      <c r="Z1663" s="686"/>
      <c r="AA1663" s="686"/>
      <c r="AB1663" s="686"/>
      <c r="AC1663" s="686"/>
      <c r="AD1663" s="686"/>
      <c r="AE1663" s="686"/>
      <c r="AF1663" s="686"/>
    </row>
    <row r="1664" ht="15.75" customHeight="1">
      <c r="A1664" s="683"/>
      <c r="B1664" s="683"/>
      <c r="C1664" s="684"/>
      <c r="D1664" s="684"/>
      <c r="E1664" s="684"/>
      <c r="F1664" s="683"/>
      <c r="G1664" s="683"/>
      <c r="H1664" s="683"/>
      <c r="I1664" s="683"/>
      <c r="J1664" s="683"/>
      <c r="K1664" s="683"/>
      <c r="L1664" s="685"/>
      <c r="M1664" s="685"/>
      <c r="N1664" s="687"/>
      <c r="O1664" s="683"/>
      <c r="P1664" s="685"/>
      <c r="Q1664" s="686"/>
      <c r="R1664" s="686"/>
      <c r="S1664" s="686"/>
      <c r="T1664" s="686"/>
      <c r="U1664" s="686"/>
      <c r="V1664" s="686"/>
      <c r="W1664" s="686"/>
      <c r="X1664" s="686"/>
      <c r="Y1664" s="686"/>
      <c r="Z1664" s="686"/>
      <c r="AA1664" s="686"/>
      <c r="AB1664" s="686"/>
      <c r="AC1664" s="686"/>
      <c r="AD1664" s="686"/>
      <c r="AE1664" s="686"/>
      <c r="AF1664" s="686"/>
    </row>
    <row r="1665" ht="15.75" customHeight="1">
      <c r="A1665" s="683"/>
      <c r="B1665" s="683"/>
      <c r="C1665" s="684"/>
      <c r="D1665" s="684"/>
      <c r="E1665" s="684"/>
      <c r="F1665" s="683"/>
      <c r="G1665" s="683"/>
      <c r="H1665" s="683"/>
      <c r="I1665" s="683"/>
      <c r="J1665" s="683"/>
      <c r="K1665" s="683"/>
      <c r="L1665" s="685"/>
      <c r="M1665" s="685"/>
      <c r="N1665" s="687"/>
      <c r="O1665" s="683"/>
      <c r="P1665" s="683"/>
      <c r="Q1665" s="686"/>
      <c r="R1665" s="686"/>
      <c r="S1665" s="686"/>
      <c r="T1665" s="686"/>
      <c r="U1665" s="686"/>
      <c r="V1665" s="686"/>
      <c r="W1665" s="686"/>
      <c r="X1665" s="686"/>
      <c r="Y1665" s="686"/>
      <c r="Z1665" s="686"/>
      <c r="AA1665" s="686"/>
      <c r="AB1665" s="686"/>
      <c r="AC1665" s="686"/>
      <c r="AD1665" s="686"/>
      <c r="AE1665" s="686"/>
      <c r="AF1665" s="686"/>
    </row>
    <row r="1666" ht="15.75" customHeight="1">
      <c r="A1666" s="683"/>
      <c r="B1666" s="683"/>
      <c r="C1666" s="684"/>
      <c r="D1666" s="684"/>
      <c r="E1666" s="684"/>
      <c r="F1666" s="683"/>
      <c r="G1666" s="683"/>
      <c r="H1666" s="683"/>
      <c r="I1666" s="683"/>
      <c r="J1666" s="683"/>
      <c r="K1666" s="683"/>
      <c r="L1666" s="685"/>
      <c r="M1666" s="685"/>
      <c r="N1666" s="687"/>
      <c r="O1666" s="683"/>
      <c r="P1666" s="683"/>
      <c r="Q1666" s="686"/>
      <c r="R1666" s="686"/>
      <c r="S1666" s="686"/>
      <c r="T1666" s="686"/>
      <c r="U1666" s="686"/>
      <c r="V1666" s="686"/>
      <c r="W1666" s="686"/>
      <c r="X1666" s="686"/>
      <c r="Y1666" s="686"/>
      <c r="Z1666" s="686"/>
      <c r="AA1666" s="686"/>
      <c r="AB1666" s="686"/>
      <c r="AC1666" s="686"/>
      <c r="AD1666" s="686"/>
      <c r="AE1666" s="686"/>
      <c r="AF1666" s="686"/>
    </row>
    <row r="1667" ht="15.75" customHeight="1">
      <c r="A1667" s="683"/>
      <c r="B1667" s="683"/>
      <c r="C1667" s="684"/>
      <c r="D1667" s="684"/>
      <c r="E1667" s="684"/>
      <c r="F1667" s="683"/>
      <c r="G1667" s="683"/>
      <c r="H1667" s="683"/>
      <c r="I1667" s="683"/>
      <c r="J1667" s="683"/>
      <c r="K1667" s="683"/>
      <c r="L1667" s="685"/>
      <c r="M1667" s="685"/>
      <c r="N1667" s="687"/>
      <c r="O1667" s="683"/>
      <c r="P1667" s="683"/>
      <c r="Q1667" s="686"/>
      <c r="R1667" s="686"/>
      <c r="S1667" s="686"/>
      <c r="T1667" s="686"/>
      <c r="U1667" s="686"/>
      <c r="V1667" s="686"/>
      <c r="W1667" s="686"/>
      <c r="X1667" s="686"/>
      <c r="Y1667" s="686"/>
      <c r="Z1667" s="686"/>
      <c r="AA1667" s="686"/>
      <c r="AB1667" s="686"/>
      <c r="AC1667" s="686"/>
      <c r="AD1667" s="686"/>
      <c r="AE1667" s="686"/>
      <c r="AF1667" s="686"/>
    </row>
    <row r="1668" ht="15.75" customHeight="1">
      <c r="A1668" s="683"/>
      <c r="B1668" s="683"/>
      <c r="C1668" s="684"/>
      <c r="D1668" s="684"/>
      <c r="E1668" s="684"/>
      <c r="F1668" s="683"/>
      <c r="G1668" s="683"/>
      <c r="H1668" s="683"/>
      <c r="I1668" s="683"/>
      <c r="J1668" s="683"/>
      <c r="K1668" s="683"/>
      <c r="L1668" s="685"/>
      <c r="M1668" s="685"/>
      <c r="N1668" s="687"/>
      <c r="O1668" s="683"/>
      <c r="P1668" s="683"/>
      <c r="Q1668" s="686"/>
      <c r="R1668" s="686"/>
      <c r="S1668" s="686"/>
      <c r="T1668" s="686"/>
      <c r="U1668" s="686"/>
      <c r="V1668" s="686"/>
      <c r="W1668" s="686"/>
      <c r="X1668" s="686"/>
      <c r="Y1668" s="686"/>
      <c r="Z1668" s="686"/>
      <c r="AA1668" s="686"/>
      <c r="AB1668" s="686"/>
      <c r="AC1668" s="686"/>
      <c r="AD1668" s="686"/>
      <c r="AE1668" s="686"/>
      <c r="AF1668" s="686"/>
    </row>
    <row r="1669" ht="15.75" customHeight="1">
      <c r="A1669" s="683"/>
      <c r="B1669" s="683"/>
      <c r="C1669" s="684"/>
      <c r="D1669" s="684"/>
      <c r="E1669" s="684"/>
      <c r="F1669" s="683"/>
      <c r="G1669" s="683"/>
      <c r="H1669" s="683"/>
      <c r="I1669" s="683"/>
      <c r="J1669" s="683"/>
      <c r="K1669" s="683"/>
      <c r="L1669" s="685"/>
      <c r="M1669" s="685"/>
      <c r="N1669" s="687"/>
      <c r="O1669" s="683"/>
      <c r="P1669" s="685"/>
      <c r="Q1669" s="686"/>
      <c r="R1669" s="686"/>
      <c r="S1669" s="686"/>
      <c r="T1669" s="686"/>
      <c r="U1669" s="686"/>
      <c r="V1669" s="686"/>
      <c r="W1669" s="686"/>
      <c r="X1669" s="686"/>
      <c r="Y1669" s="686"/>
      <c r="Z1669" s="686"/>
      <c r="AA1669" s="686"/>
      <c r="AB1669" s="686"/>
      <c r="AC1669" s="686"/>
      <c r="AD1669" s="686"/>
      <c r="AE1669" s="686"/>
      <c r="AF1669" s="686"/>
    </row>
    <row r="1670" ht="15.75" customHeight="1">
      <c r="A1670" s="683"/>
      <c r="B1670" s="683"/>
      <c r="C1670" s="684"/>
      <c r="D1670" s="684"/>
      <c r="E1670" s="684"/>
      <c r="F1670" s="683"/>
      <c r="G1670" s="683"/>
      <c r="H1670" s="683"/>
      <c r="I1670" s="683"/>
      <c r="J1670" s="683"/>
      <c r="K1670" s="683"/>
      <c r="L1670" s="685"/>
      <c r="M1670" s="685"/>
      <c r="N1670" s="687"/>
      <c r="O1670" s="683"/>
      <c r="P1670" s="683"/>
      <c r="Q1670" s="686"/>
      <c r="R1670" s="686"/>
      <c r="S1670" s="686"/>
      <c r="T1670" s="686"/>
      <c r="U1670" s="686"/>
      <c r="V1670" s="686"/>
      <c r="W1670" s="686"/>
      <c r="X1670" s="686"/>
      <c r="Y1670" s="686"/>
      <c r="Z1670" s="686"/>
      <c r="AA1670" s="686"/>
      <c r="AB1670" s="686"/>
      <c r="AC1670" s="686"/>
      <c r="AD1670" s="686"/>
      <c r="AE1670" s="686"/>
      <c r="AF1670" s="686"/>
    </row>
    <row r="1671" ht="15.75" customHeight="1">
      <c r="A1671" s="683"/>
      <c r="B1671" s="683"/>
      <c r="C1671" s="684"/>
      <c r="D1671" s="684"/>
      <c r="E1671" s="684"/>
      <c r="F1671" s="683"/>
      <c r="G1671" s="683"/>
      <c r="H1671" s="683"/>
      <c r="I1671" s="683"/>
      <c r="J1671" s="683"/>
      <c r="K1671" s="683"/>
      <c r="L1671" s="685"/>
      <c r="M1671" s="685"/>
      <c r="N1671" s="687"/>
      <c r="O1671" s="683"/>
      <c r="P1671" s="683"/>
      <c r="Q1671" s="686"/>
      <c r="R1671" s="686"/>
      <c r="S1671" s="686"/>
      <c r="T1671" s="686"/>
      <c r="U1671" s="686"/>
      <c r="V1671" s="686"/>
      <c r="W1671" s="686"/>
      <c r="X1671" s="686"/>
      <c r="Y1671" s="686"/>
      <c r="Z1671" s="686"/>
      <c r="AA1671" s="686"/>
      <c r="AB1671" s="686"/>
      <c r="AC1671" s="686"/>
      <c r="AD1671" s="686"/>
      <c r="AE1671" s="686"/>
      <c r="AF1671" s="686"/>
    </row>
    <row r="1672" ht="15.75" customHeight="1">
      <c r="A1672" s="683"/>
      <c r="B1672" s="683"/>
      <c r="C1672" s="684"/>
      <c r="D1672" s="684"/>
      <c r="E1672" s="684"/>
      <c r="F1672" s="683"/>
      <c r="G1672" s="683"/>
      <c r="H1672" s="683"/>
      <c r="I1672" s="683"/>
      <c r="J1672" s="683"/>
      <c r="K1672" s="683"/>
      <c r="L1672" s="685"/>
      <c r="M1672" s="685"/>
      <c r="N1672" s="687"/>
      <c r="O1672" s="683"/>
      <c r="P1672" s="683"/>
      <c r="Q1672" s="686"/>
      <c r="R1672" s="686"/>
      <c r="S1672" s="686"/>
      <c r="T1672" s="686"/>
      <c r="U1672" s="686"/>
      <c r="V1672" s="686"/>
      <c r="W1672" s="686"/>
      <c r="X1672" s="686"/>
      <c r="Y1672" s="686"/>
      <c r="Z1672" s="686"/>
      <c r="AA1672" s="686"/>
      <c r="AB1672" s="686"/>
      <c r="AC1672" s="686"/>
      <c r="AD1672" s="686"/>
      <c r="AE1672" s="686"/>
      <c r="AF1672" s="686"/>
    </row>
    <row r="1673" ht="15.75" customHeight="1">
      <c r="A1673" s="683"/>
      <c r="B1673" s="683"/>
      <c r="C1673" s="684"/>
      <c r="D1673" s="684"/>
      <c r="E1673" s="684"/>
      <c r="F1673" s="683"/>
      <c r="G1673" s="683"/>
      <c r="H1673" s="683"/>
      <c r="I1673" s="683"/>
      <c r="J1673" s="683"/>
      <c r="K1673" s="683"/>
      <c r="L1673" s="685"/>
      <c r="M1673" s="685"/>
      <c r="N1673" s="687"/>
      <c r="O1673" s="683"/>
      <c r="P1673" s="683"/>
      <c r="Q1673" s="686"/>
      <c r="R1673" s="686"/>
      <c r="S1673" s="686"/>
      <c r="T1673" s="686"/>
      <c r="U1673" s="686"/>
      <c r="V1673" s="686"/>
      <c r="W1673" s="686"/>
      <c r="X1673" s="686"/>
      <c r="Y1673" s="686"/>
      <c r="Z1673" s="686"/>
      <c r="AA1673" s="686"/>
      <c r="AB1673" s="686"/>
      <c r="AC1673" s="686"/>
      <c r="AD1673" s="686"/>
      <c r="AE1673" s="686"/>
      <c r="AF1673" s="686"/>
    </row>
    <row r="1674" ht="15.75" customHeight="1">
      <c r="A1674" s="683"/>
      <c r="B1674" s="683"/>
      <c r="C1674" s="684"/>
      <c r="D1674" s="684"/>
      <c r="E1674" s="684"/>
      <c r="F1674" s="683"/>
      <c r="G1674" s="683"/>
      <c r="H1674" s="683"/>
      <c r="I1674" s="683"/>
      <c r="J1674" s="683"/>
      <c r="K1674" s="683"/>
      <c r="L1674" s="685"/>
      <c r="M1674" s="685"/>
      <c r="N1674" s="687"/>
      <c r="O1674" s="683"/>
      <c r="P1674" s="683"/>
      <c r="Q1674" s="686"/>
      <c r="R1674" s="686"/>
      <c r="S1674" s="686"/>
      <c r="T1674" s="686"/>
      <c r="U1674" s="686"/>
      <c r="V1674" s="686"/>
      <c r="W1674" s="686"/>
      <c r="X1674" s="686"/>
      <c r="Y1674" s="686"/>
      <c r="Z1674" s="686"/>
      <c r="AA1674" s="686"/>
      <c r="AB1674" s="686"/>
      <c r="AC1674" s="686"/>
      <c r="AD1674" s="686"/>
      <c r="AE1674" s="686"/>
      <c r="AF1674" s="686"/>
    </row>
    <row r="1675" ht="15.75" customHeight="1">
      <c r="A1675" s="683"/>
      <c r="B1675" s="683"/>
      <c r="C1675" s="684"/>
      <c r="D1675" s="684"/>
      <c r="E1675" s="684"/>
      <c r="F1675" s="683"/>
      <c r="G1675" s="683"/>
      <c r="H1675" s="683"/>
      <c r="I1675" s="683"/>
      <c r="J1675" s="683"/>
      <c r="K1675" s="683"/>
      <c r="L1675" s="685"/>
      <c r="M1675" s="685"/>
      <c r="N1675" s="687"/>
      <c r="O1675" s="683"/>
      <c r="P1675" s="683"/>
      <c r="Q1675" s="686"/>
      <c r="R1675" s="686"/>
      <c r="S1675" s="686"/>
      <c r="T1675" s="686"/>
      <c r="U1675" s="686"/>
      <c r="V1675" s="686"/>
      <c r="W1675" s="686"/>
      <c r="X1675" s="686"/>
      <c r="Y1675" s="686"/>
      <c r="Z1675" s="686"/>
      <c r="AA1675" s="686"/>
      <c r="AB1675" s="686"/>
      <c r="AC1675" s="686"/>
      <c r="AD1675" s="686"/>
      <c r="AE1675" s="686"/>
      <c r="AF1675" s="686"/>
    </row>
    <row r="1676" ht="15.75" customHeight="1">
      <c r="A1676" s="683"/>
      <c r="B1676" s="683"/>
      <c r="C1676" s="684"/>
      <c r="D1676" s="684"/>
      <c r="E1676" s="684"/>
      <c r="F1676" s="683"/>
      <c r="G1676" s="683"/>
      <c r="H1676" s="683"/>
      <c r="I1676" s="683"/>
      <c r="J1676" s="683"/>
      <c r="K1676" s="683"/>
      <c r="L1676" s="685"/>
      <c r="M1676" s="685"/>
      <c r="N1676" s="687"/>
      <c r="O1676" s="683"/>
      <c r="P1676" s="683"/>
      <c r="Q1676" s="686"/>
      <c r="R1676" s="686"/>
      <c r="S1676" s="686"/>
      <c r="T1676" s="686"/>
      <c r="U1676" s="686"/>
      <c r="V1676" s="686"/>
      <c r="W1676" s="686"/>
      <c r="X1676" s="686"/>
      <c r="Y1676" s="686"/>
      <c r="Z1676" s="686"/>
      <c r="AA1676" s="686"/>
      <c r="AB1676" s="686"/>
      <c r="AC1676" s="686"/>
      <c r="AD1676" s="686"/>
      <c r="AE1676" s="686"/>
      <c r="AF1676" s="686"/>
    </row>
    <row r="1677" ht="15.75" customHeight="1">
      <c r="A1677" s="683"/>
      <c r="B1677" s="683"/>
      <c r="C1677" s="684"/>
      <c r="D1677" s="684"/>
      <c r="E1677" s="684"/>
      <c r="F1677" s="683"/>
      <c r="G1677" s="683"/>
      <c r="H1677" s="683"/>
      <c r="I1677" s="683"/>
      <c r="J1677" s="683"/>
      <c r="K1677" s="683"/>
      <c r="L1677" s="685"/>
      <c r="M1677" s="685"/>
      <c r="N1677" s="687"/>
      <c r="O1677" s="683"/>
      <c r="P1677" s="683"/>
      <c r="Q1677" s="686"/>
      <c r="R1677" s="686"/>
      <c r="S1677" s="686"/>
      <c r="T1677" s="686"/>
      <c r="U1677" s="686"/>
      <c r="V1677" s="686"/>
      <c r="W1677" s="686"/>
      <c r="X1677" s="686"/>
      <c r="Y1677" s="686"/>
      <c r="Z1677" s="686"/>
      <c r="AA1677" s="686"/>
      <c r="AB1677" s="686"/>
      <c r="AC1677" s="686"/>
      <c r="AD1677" s="686"/>
      <c r="AE1677" s="686"/>
      <c r="AF1677" s="686"/>
    </row>
    <row r="1678" ht="15.75" customHeight="1">
      <c r="A1678" s="683"/>
      <c r="B1678" s="683"/>
      <c r="C1678" s="684"/>
      <c r="D1678" s="684"/>
      <c r="E1678" s="684"/>
      <c r="F1678" s="683"/>
      <c r="G1678" s="683"/>
      <c r="H1678" s="683"/>
      <c r="I1678" s="683"/>
      <c r="J1678" s="683"/>
      <c r="K1678" s="683"/>
      <c r="L1678" s="685"/>
      <c r="M1678" s="685"/>
      <c r="N1678" s="687"/>
      <c r="O1678" s="683"/>
      <c r="P1678" s="683"/>
      <c r="Q1678" s="686"/>
      <c r="R1678" s="686"/>
      <c r="S1678" s="686"/>
      <c r="T1678" s="686"/>
      <c r="U1678" s="686"/>
      <c r="V1678" s="686"/>
      <c r="W1678" s="686"/>
      <c r="X1678" s="686"/>
      <c r="Y1678" s="686"/>
      <c r="Z1678" s="686"/>
      <c r="AA1678" s="686"/>
      <c r="AB1678" s="686"/>
      <c r="AC1678" s="686"/>
      <c r="AD1678" s="686"/>
      <c r="AE1678" s="686"/>
      <c r="AF1678" s="686"/>
    </row>
    <row r="1679" ht="15.75" customHeight="1">
      <c r="A1679" s="683"/>
      <c r="B1679" s="683"/>
      <c r="C1679" s="684"/>
      <c r="D1679" s="684"/>
      <c r="E1679" s="684"/>
      <c r="F1679" s="683"/>
      <c r="G1679" s="683"/>
      <c r="H1679" s="683"/>
      <c r="I1679" s="683"/>
      <c r="J1679" s="683"/>
      <c r="K1679" s="683"/>
      <c r="L1679" s="685"/>
      <c r="M1679" s="685"/>
      <c r="N1679" s="687"/>
      <c r="O1679" s="683"/>
      <c r="P1679" s="683"/>
      <c r="Q1679" s="686"/>
      <c r="R1679" s="686"/>
      <c r="S1679" s="686"/>
      <c r="T1679" s="686"/>
      <c r="U1679" s="686"/>
      <c r="V1679" s="686"/>
      <c r="W1679" s="686"/>
      <c r="X1679" s="686"/>
      <c r="Y1679" s="686"/>
      <c r="Z1679" s="686"/>
      <c r="AA1679" s="686"/>
      <c r="AB1679" s="686"/>
      <c r="AC1679" s="686"/>
      <c r="AD1679" s="686"/>
      <c r="AE1679" s="686"/>
      <c r="AF1679" s="686"/>
    </row>
    <row r="1680" ht="15.75" customHeight="1">
      <c r="A1680" s="683"/>
      <c r="B1680" s="683"/>
      <c r="C1680" s="684"/>
      <c r="D1680" s="684"/>
      <c r="E1680" s="684"/>
      <c r="F1680" s="683"/>
      <c r="G1680" s="683"/>
      <c r="H1680" s="683"/>
      <c r="I1680" s="683"/>
      <c r="J1680" s="683"/>
      <c r="K1680" s="683"/>
      <c r="L1680" s="685"/>
      <c r="M1680" s="685"/>
      <c r="N1680" s="687"/>
      <c r="O1680" s="683"/>
      <c r="P1680" s="683"/>
      <c r="Q1680" s="686"/>
      <c r="R1680" s="686"/>
      <c r="S1680" s="686"/>
      <c r="T1680" s="686"/>
      <c r="U1680" s="686"/>
      <c r="V1680" s="686"/>
      <c r="W1680" s="686"/>
      <c r="X1680" s="686"/>
      <c r="Y1680" s="686"/>
      <c r="Z1680" s="686"/>
      <c r="AA1680" s="686"/>
      <c r="AB1680" s="686"/>
      <c r="AC1680" s="686"/>
      <c r="AD1680" s="686"/>
      <c r="AE1680" s="686"/>
      <c r="AF1680" s="686"/>
    </row>
    <row r="1681" ht="15.75" customHeight="1">
      <c r="A1681" s="683"/>
      <c r="B1681" s="683"/>
      <c r="C1681" s="684"/>
      <c r="D1681" s="684"/>
      <c r="E1681" s="684"/>
      <c r="F1681" s="683"/>
      <c r="G1681" s="683"/>
      <c r="H1681" s="683"/>
      <c r="I1681" s="683"/>
      <c r="J1681" s="683"/>
      <c r="K1681" s="683"/>
      <c r="L1681" s="685"/>
      <c r="M1681" s="685"/>
      <c r="N1681" s="687"/>
      <c r="O1681" s="683"/>
      <c r="P1681" s="683"/>
      <c r="Q1681" s="686"/>
      <c r="R1681" s="686"/>
      <c r="S1681" s="686"/>
      <c r="T1681" s="686"/>
      <c r="U1681" s="686"/>
      <c r="V1681" s="686"/>
      <c r="W1681" s="686"/>
      <c r="X1681" s="686"/>
      <c r="Y1681" s="686"/>
      <c r="Z1681" s="686"/>
      <c r="AA1681" s="686"/>
      <c r="AB1681" s="686"/>
      <c r="AC1681" s="686"/>
      <c r="AD1681" s="686"/>
      <c r="AE1681" s="686"/>
      <c r="AF1681" s="686"/>
    </row>
    <row r="1682" ht="15.75" customHeight="1">
      <c r="A1682" s="683"/>
      <c r="B1682" s="683"/>
      <c r="C1682" s="684"/>
      <c r="D1682" s="684"/>
      <c r="E1682" s="684"/>
      <c r="F1682" s="683"/>
      <c r="G1682" s="683"/>
      <c r="H1682" s="683"/>
      <c r="I1682" s="683"/>
      <c r="J1682" s="683"/>
      <c r="K1682" s="683"/>
      <c r="L1682" s="685"/>
      <c r="M1682" s="685"/>
      <c r="N1682" s="687"/>
      <c r="O1682" s="683"/>
      <c r="P1682" s="683"/>
      <c r="Q1682" s="686"/>
      <c r="R1682" s="686"/>
      <c r="S1682" s="686"/>
      <c r="T1682" s="686"/>
      <c r="U1682" s="686"/>
      <c r="V1682" s="686"/>
      <c r="W1682" s="686"/>
      <c r="X1682" s="686"/>
      <c r="Y1682" s="686"/>
      <c r="Z1682" s="686"/>
      <c r="AA1682" s="686"/>
      <c r="AB1682" s="686"/>
      <c r="AC1682" s="686"/>
      <c r="AD1682" s="686"/>
      <c r="AE1682" s="686"/>
      <c r="AF1682" s="686"/>
    </row>
    <row r="1683" ht="15.75" customHeight="1">
      <c r="A1683" s="683"/>
      <c r="B1683" s="683"/>
      <c r="C1683" s="684"/>
      <c r="D1683" s="684"/>
      <c r="E1683" s="684"/>
      <c r="F1683" s="683"/>
      <c r="G1683" s="683"/>
      <c r="H1683" s="683"/>
      <c r="I1683" s="683"/>
      <c r="J1683" s="683"/>
      <c r="K1683" s="683"/>
      <c r="L1683" s="685"/>
      <c r="M1683" s="685"/>
      <c r="N1683" s="687"/>
      <c r="O1683" s="683"/>
      <c r="P1683" s="683"/>
      <c r="Q1683" s="686"/>
      <c r="R1683" s="686"/>
      <c r="S1683" s="686"/>
      <c r="T1683" s="686"/>
      <c r="U1683" s="686"/>
      <c r="V1683" s="686"/>
      <c r="W1683" s="686"/>
      <c r="X1683" s="686"/>
      <c r="Y1683" s="686"/>
      <c r="Z1683" s="686"/>
      <c r="AA1683" s="686"/>
      <c r="AB1683" s="686"/>
      <c r="AC1683" s="686"/>
      <c r="AD1683" s="686"/>
      <c r="AE1683" s="686"/>
      <c r="AF1683" s="686"/>
    </row>
    <row r="1684" ht="15.75" customHeight="1">
      <c r="A1684" s="683"/>
      <c r="B1684" s="683"/>
      <c r="C1684" s="684"/>
      <c r="D1684" s="684"/>
      <c r="E1684" s="684"/>
      <c r="F1684" s="683"/>
      <c r="G1684" s="683"/>
      <c r="H1684" s="683"/>
      <c r="I1684" s="683"/>
      <c r="J1684" s="683"/>
      <c r="K1684" s="683"/>
      <c r="L1684" s="685"/>
      <c r="M1684" s="685"/>
      <c r="N1684" s="687"/>
      <c r="O1684" s="683"/>
      <c r="P1684" s="683"/>
      <c r="Q1684" s="686"/>
      <c r="R1684" s="686"/>
      <c r="S1684" s="686"/>
      <c r="T1684" s="686"/>
      <c r="U1684" s="686"/>
      <c r="V1684" s="686"/>
      <c r="W1684" s="686"/>
      <c r="X1684" s="686"/>
      <c r="Y1684" s="686"/>
      <c r="Z1684" s="686"/>
      <c r="AA1684" s="686"/>
      <c r="AB1684" s="686"/>
      <c r="AC1684" s="686"/>
      <c r="AD1684" s="686"/>
      <c r="AE1684" s="686"/>
      <c r="AF1684" s="686"/>
    </row>
    <row r="1685" ht="15.75" customHeight="1">
      <c r="A1685" s="683"/>
      <c r="B1685" s="683"/>
      <c r="C1685" s="684"/>
      <c r="D1685" s="684"/>
      <c r="E1685" s="684"/>
      <c r="F1685" s="683"/>
      <c r="G1685" s="683"/>
      <c r="H1685" s="683"/>
      <c r="I1685" s="683"/>
      <c r="J1685" s="683"/>
      <c r="K1685" s="683"/>
      <c r="L1685" s="685"/>
      <c r="M1685" s="685"/>
      <c r="N1685" s="687"/>
      <c r="O1685" s="683"/>
      <c r="P1685" s="683"/>
      <c r="Q1685" s="686"/>
      <c r="R1685" s="686"/>
      <c r="S1685" s="686"/>
      <c r="T1685" s="686"/>
      <c r="U1685" s="686"/>
      <c r="V1685" s="686"/>
      <c r="W1685" s="686"/>
      <c r="X1685" s="686"/>
      <c r="Y1685" s="686"/>
      <c r="Z1685" s="686"/>
      <c r="AA1685" s="686"/>
      <c r="AB1685" s="686"/>
      <c r="AC1685" s="686"/>
      <c r="AD1685" s="686"/>
      <c r="AE1685" s="686"/>
      <c r="AF1685" s="686"/>
    </row>
    <row r="1686" ht="15.75" customHeight="1">
      <c r="A1686" s="683"/>
      <c r="B1686" s="683"/>
      <c r="C1686" s="684"/>
      <c r="D1686" s="684"/>
      <c r="E1686" s="684"/>
      <c r="F1686" s="683"/>
      <c r="G1686" s="683"/>
      <c r="H1686" s="683"/>
      <c r="I1686" s="683"/>
      <c r="J1686" s="683"/>
      <c r="K1686" s="683"/>
      <c r="L1686" s="685"/>
      <c r="M1686" s="685"/>
      <c r="N1686" s="687"/>
      <c r="O1686" s="683"/>
      <c r="P1686" s="683"/>
      <c r="Q1686" s="686"/>
      <c r="R1686" s="686"/>
      <c r="S1686" s="686"/>
      <c r="T1686" s="686"/>
      <c r="U1686" s="686"/>
      <c r="V1686" s="686"/>
      <c r="W1686" s="686"/>
      <c r="X1686" s="686"/>
      <c r="Y1686" s="686"/>
      <c r="Z1686" s="686"/>
      <c r="AA1686" s="686"/>
      <c r="AB1686" s="686"/>
      <c r="AC1686" s="686"/>
      <c r="AD1686" s="686"/>
      <c r="AE1686" s="686"/>
      <c r="AF1686" s="686"/>
    </row>
    <row r="1687" ht="15.75" customHeight="1">
      <c r="A1687" s="683"/>
      <c r="B1687" s="683"/>
      <c r="C1687" s="684"/>
      <c r="D1687" s="684"/>
      <c r="E1687" s="684"/>
      <c r="F1687" s="683"/>
      <c r="G1687" s="683"/>
      <c r="H1687" s="683"/>
      <c r="I1687" s="683"/>
      <c r="J1687" s="683"/>
      <c r="K1687" s="683"/>
      <c r="L1687" s="685"/>
      <c r="M1687" s="685"/>
      <c r="N1687" s="687"/>
      <c r="O1687" s="683"/>
      <c r="P1687" s="683"/>
      <c r="Q1687" s="686"/>
      <c r="R1687" s="686"/>
      <c r="S1687" s="686"/>
      <c r="T1687" s="686"/>
      <c r="U1687" s="686"/>
      <c r="V1687" s="686"/>
      <c r="W1687" s="686"/>
      <c r="X1687" s="686"/>
      <c r="Y1687" s="686"/>
      <c r="Z1687" s="686"/>
      <c r="AA1687" s="686"/>
      <c r="AB1687" s="686"/>
      <c r="AC1687" s="686"/>
      <c r="AD1687" s="686"/>
      <c r="AE1687" s="686"/>
      <c r="AF1687" s="686"/>
    </row>
    <row r="1688" ht="15.75" customHeight="1">
      <c r="A1688" s="683"/>
      <c r="B1688" s="683"/>
      <c r="C1688" s="684"/>
      <c r="D1688" s="684"/>
      <c r="E1688" s="684"/>
      <c r="F1688" s="683"/>
      <c r="G1688" s="683"/>
      <c r="H1688" s="683"/>
      <c r="I1688" s="683"/>
      <c r="J1688" s="683"/>
      <c r="K1688" s="683"/>
      <c r="L1688" s="685"/>
      <c r="M1688" s="685"/>
      <c r="N1688" s="687"/>
      <c r="O1688" s="683"/>
      <c r="P1688" s="683"/>
      <c r="Q1688" s="686"/>
      <c r="R1688" s="686"/>
      <c r="S1688" s="686"/>
      <c r="T1688" s="686"/>
      <c r="U1688" s="686"/>
      <c r="V1688" s="686"/>
      <c r="W1688" s="686"/>
      <c r="X1688" s="686"/>
      <c r="Y1688" s="686"/>
      <c r="Z1688" s="686"/>
      <c r="AA1688" s="686"/>
      <c r="AB1688" s="686"/>
      <c r="AC1688" s="686"/>
      <c r="AD1688" s="686"/>
      <c r="AE1688" s="686"/>
      <c r="AF1688" s="686"/>
    </row>
    <row r="1689" ht="15.75" customHeight="1">
      <c r="A1689" s="683"/>
      <c r="B1689" s="683"/>
      <c r="C1689" s="684"/>
      <c r="D1689" s="684"/>
      <c r="E1689" s="684"/>
      <c r="F1689" s="683"/>
      <c r="G1689" s="683"/>
      <c r="H1689" s="683"/>
      <c r="I1689" s="683"/>
      <c r="J1689" s="683"/>
      <c r="K1689" s="683"/>
      <c r="L1689" s="685"/>
      <c r="M1689" s="685"/>
      <c r="N1689" s="687"/>
      <c r="O1689" s="683"/>
      <c r="P1689" s="683"/>
      <c r="Q1689" s="686"/>
      <c r="R1689" s="686"/>
      <c r="S1689" s="686"/>
      <c r="T1689" s="686"/>
      <c r="U1689" s="686"/>
      <c r="V1689" s="686"/>
      <c r="W1689" s="686"/>
      <c r="X1689" s="686"/>
      <c r="Y1689" s="686"/>
      <c r="Z1689" s="686"/>
      <c r="AA1689" s="686"/>
      <c r="AB1689" s="686"/>
      <c r="AC1689" s="686"/>
      <c r="AD1689" s="686"/>
      <c r="AE1689" s="686"/>
      <c r="AF1689" s="686"/>
    </row>
    <row r="1690" ht="15.75" customHeight="1">
      <c r="A1690" s="683"/>
      <c r="B1690" s="683"/>
      <c r="C1690" s="684"/>
      <c r="D1690" s="684"/>
      <c r="E1690" s="684"/>
      <c r="F1690" s="683"/>
      <c r="G1690" s="683"/>
      <c r="H1690" s="683"/>
      <c r="I1690" s="683"/>
      <c r="J1690" s="683"/>
      <c r="K1690" s="683"/>
      <c r="L1690" s="685"/>
      <c r="M1690" s="685"/>
      <c r="N1690" s="687"/>
      <c r="O1690" s="683"/>
      <c r="P1690" s="683"/>
      <c r="Q1690" s="686"/>
      <c r="R1690" s="686"/>
      <c r="S1690" s="686"/>
      <c r="T1690" s="686"/>
      <c r="U1690" s="686"/>
      <c r="V1690" s="686"/>
      <c r="W1690" s="686"/>
      <c r="X1690" s="686"/>
      <c r="Y1690" s="686"/>
      <c r="Z1690" s="686"/>
      <c r="AA1690" s="686"/>
      <c r="AB1690" s="686"/>
      <c r="AC1690" s="686"/>
      <c r="AD1690" s="686"/>
      <c r="AE1690" s="686"/>
      <c r="AF1690" s="686"/>
    </row>
    <row r="1691" ht="15.75" customHeight="1">
      <c r="A1691" s="683"/>
      <c r="B1691" s="683"/>
      <c r="C1691" s="684"/>
      <c r="D1691" s="684"/>
      <c r="E1691" s="684"/>
      <c r="F1691" s="683"/>
      <c r="G1691" s="683"/>
      <c r="H1691" s="683"/>
      <c r="I1691" s="683"/>
      <c r="J1691" s="683"/>
      <c r="K1691" s="683"/>
      <c r="L1691" s="685"/>
      <c r="M1691" s="685"/>
      <c r="N1691" s="687"/>
      <c r="O1691" s="683"/>
      <c r="P1691" s="683"/>
      <c r="Q1691" s="686"/>
      <c r="R1691" s="686"/>
      <c r="S1691" s="686"/>
      <c r="T1691" s="686"/>
      <c r="U1691" s="686"/>
      <c r="V1691" s="686"/>
      <c r="W1691" s="686"/>
      <c r="X1691" s="686"/>
      <c r="Y1691" s="686"/>
      <c r="Z1691" s="686"/>
      <c r="AA1691" s="686"/>
      <c r="AB1691" s="686"/>
      <c r="AC1691" s="686"/>
      <c r="AD1691" s="686"/>
      <c r="AE1691" s="686"/>
      <c r="AF1691" s="686"/>
    </row>
    <row r="1692" ht="15.75" customHeight="1">
      <c r="A1692" s="683"/>
      <c r="B1692" s="683"/>
      <c r="C1692" s="684"/>
      <c r="D1692" s="684"/>
      <c r="E1692" s="684"/>
      <c r="F1692" s="683"/>
      <c r="G1692" s="683"/>
      <c r="H1692" s="683"/>
      <c r="I1692" s="683"/>
      <c r="J1692" s="683"/>
      <c r="K1692" s="683"/>
      <c r="L1692" s="685"/>
      <c r="M1692" s="685"/>
      <c r="N1692" s="687"/>
      <c r="O1692" s="683"/>
      <c r="P1692" s="683"/>
      <c r="Q1692" s="686"/>
      <c r="R1692" s="686"/>
      <c r="S1692" s="686"/>
      <c r="T1692" s="686"/>
      <c r="U1692" s="686"/>
      <c r="V1692" s="686"/>
      <c r="W1692" s="686"/>
      <c r="X1692" s="686"/>
      <c r="Y1692" s="686"/>
      <c r="Z1692" s="686"/>
      <c r="AA1692" s="686"/>
      <c r="AB1692" s="686"/>
      <c r="AC1692" s="686"/>
      <c r="AD1692" s="686"/>
      <c r="AE1692" s="686"/>
      <c r="AF1692" s="686"/>
    </row>
    <row r="1693" ht="15.75" customHeight="1">
      <c r="A1693" s="683"/>
      <c r="B1693" s="683"/>
      <c r="C1693" s="684"/>
      <c r="D1693" s="684"/>
      <c r="E1693" s="684"/>
      <c r="F1693" s="683"/>
      <c r="G1693" s="683"/>
      <c r="H1693" s="683"/>
      <c r="I1693" s="683"/>
      <c r="J1693" s="683"/>
      <c r="K1693" s="683"/>
      <c r="L1693" s="685"/>
      <c r="M1693" s="685"/>
      <c r="N1693" s="687"/>
      <c r="O1693" s="683"/>
      <c r="P1693" s="683"/>
      <c r="Q1693" s="686"/>
      <c r="R1693" s="686"/>
      <c r="S1693" s="686"/>
      <c r="T1693" s="686"/>
      <c r="U1693" s="686"/>
      <c r="V1693" s="686"/>
      <c r="W1693" s="686"/>
      <c r="X1693" s="686"/>
      <c r="Y1693" s="686"/>
      <c r="Z1693" s="686"/>
      <c r="AA1693" s="686"/>
      <c r="AB1693" s="686"/>
      <c r="AC1693" s="686"/>
      <c r="AD1693" s="686"/>
      <c r="AE1693" s="686"/>
      <c r="AF1693" s="686"/>
    </row>
    <row r="1694" ht="15.75" customHeight="1">
      <c r="A1694" s="683"/>
      <c r="B1694" s="683"/>
      <c r="C1694" s="684"/>
      <c r="D1694" s="684"/>
      <c r="E1694" s="684"/>
      <c r="F1694" s="683"/>
      <c r="G1694" s="683"/>
      <c r="H1694" s="683"/>
      <c r="I1694" s="683"/>
      <c r="J1694" s="683"/>
      <c r="K1694" s="683"/>
      <c r="L1694" s="685"/>
      <c r="M1694" s="685"/>
      <c r="N1694" s="687"/>
      <c r="O1694" s="683"/>
      <c r="P1694" s="683"/>
      <c r="Q1694" s="686"/>
      <c r="R1694" s="686"/>
      <c r="S1694" s="686"/>
      <c r="T1694" s="686"/>
      <c r="U1694" s="686"/>
      <c r="V1694" s="686"/>
      <c r="W1694" s="686"/>
      <c r="X1694" s="686"/>
      <c r="Y1694" s="686"/>
      <c r="Z1694" s="686"/>
      <c r="AA1694" s="686"/>
      <c r="AB1694" s="686"/>
      <c r="AC1694" s="686"/>
      <c r="AD1694" s="686"/>
      <c r="AE1694" s="686"/>
      <c r="AF1694" s="686"/>
    </row>
    <row r="1695" ht="15.75" customHeight="1">
      <c r="A1695" s="683"/>
      <c r="B1695" s="683"/>
      <c r="C1695" s="684"/>
      <c r="D1695" s="684"/>
      <c r="E1695" s="684"/>
      <c r="F1695" s="683"/>
      <c r="G1695" s="683"/>
      <c r="H1695" s="683"/>
      <c r="I1695" s="683"/>
      <c r="J1695" s="683"/>
      <c r="K1695" s="683"/>
      <c r="L1695" s="685"/>
      <c r="M1695" s="685"/>
      <c r="N1695" s="687"/>
      <c r="O1695" s="683"/>
      <c r="P1695" s="683"/>
      <c r="Q1695" s="686"/>
      <c r="R1695" s="686"/>
      <c r="S1695" s="686"/>
      <c r="T1695" s="686"/>
      <c r="U1695" s="686"/>
      <c r="V1695" s="686"/>
      <c r="W1695" s="686"/>
      <c r="X1695" s="686"/>
      <c r="Y1695" s="686"/>
      <c r="Z1695" s="686"/>
      <c r="AA1695" s="686"/>
      <c r="AB1695" s="686"/>
      <c r="AC1695" s="686"/>
      <c r="AD1695" s="686"/>
      <c r="AE1695" s="686"/>
      <c r="AF1695" s="686"/>
    </row>
    <row r="1696" ht="15.75" customHeight="1">
      <c r="A1696" s="683"/>
      <c r="B1696" s="683"/>
      <c r="C1696" s="684"/>
      <c r="D1696" s="684"/>
      <c r="E1696" s="684"/>
      <c r="F1696" s="683"/>
      <c r="G1696" s="683"/>
      <c r="H1696" s="683"/>
      <c r="I1696" s="683"/>
      <c r="J1696" s="683"/>
      <c r="K1696" s="683"/>
      <c r="L1696" s="685"/>
      <c r="M1696" s="685"/>
      <c r="N1696" s="687"/>
      <c r="O1696" s="683"/>
      <c r="P1696" s="683"/>
      <c r="Q1696" s="686"/>
      <c r="R1696" s="686"/>
      <c r="S1696" s="686"/>
      <c r="T1696" s="686"/>
      <c r="U1696" s="686"/>
      <c r="V1696" s="686"/>
      <c r="W1696" s="686"/>
      <c r="X1696" s="686"/>
      <c r="Y1696" s="686"/>
      <c r="Z1696" s="686"/>
      <c r="AA1696" s="686"/>
      <c r="AB1696" s="686"/>
      <c r="AC1696" s="686"/>
      <c r="AD1696" s="686"/>
      <c r="AE1696" s="686"/>
      <c r="AF1696" s="686"/>
    </row>
    <row r="1697" ht="15.75" customHeight="1">
      <c r="A1697" s="683"/>
      <c r="B1697" s="683"/>
      <c r="C1697" s="684"/>
      <c r="D1697" s="684"/>
      <c r="E1697" s="684"/>
      <c r="F1697" s="683"/>
      <c r="G1697" s="683"/>
      <c r="H1697" s="683"/>
      <c r="I1697" s="683"/>
      <c r="J1697" s="683"/>
      <c r="K1697" s="683"/>
      <c r="L1697" s="685"/>
      <c r="M1697" s="685"/>
      <c r="N1697" s="687"/>
      <c r="O1697" s="683"/>
      <c r="P1697" s="683"/>
      <c r="Q1697" s="686"/>
      <c r="R1697" s="686"/>
      <c r="S1697" s="686"/>
      <c r="T1697" s="686"/>
      <c r="U1697" s="686"/>
      <c r="V1697" s="686"/>
      <c r="W1697" s="686"/>
      <c r="X1697" s="686"/>
      <c r="Y1697" s="686"/>
      <c r="Z1697" s="686"/>
      <c r="AA1697" s="686"/>
      <c r="AB1697" s="686"/>
      <c r="AC1697" s="686"/>
      <c r="AD1697" s="686"/>
      <c r="AE1697" s="686"/>
      <c r="AF1697" s="686"/>
    </row>
    <row r="1698" ht="15.75" customHeight="1">
      <c r="A1698" s="683"/>
      <c r="B1698" s="683"/>
      <c r="C1698" s="684"/>
      <c r="D1698" s="684"/>
      <c r="E1698" s="684"/>
      <c r="F1698" s="683"/>
      <c r="G1698" s="683"/>
      <c r="H1698" s="683"/>
      <c r="I1698" s="683"/>
      <c r="J1698" s="683"/>
      <c r="K1698" s="683"/>
      <c r="L1698" s="685"/>
      <c r="M1698" s="685"/>
      <c r="N1698" s="687"/>
      <c r="O1698" s="683"/>
      <c r="P1698" s="683"/>
      <c r="Q1698" s="686"/>
      <c r="R1698" s="686"/>
      <c r="S1698" s="686"/>
      <c r="T1698" s="686"/>
      <c r="U1698" s="686"/>
      <c r="V1698" s="686"/>
      <c r="W1698" s="686"/>
      <c r="X1698" s="686"/>
      <c r="Y1698" s="686"/>
      <c r="Z1698" s="686"/>
      <c r="AA1698" s="686"/>
      <c r="AB1698" s="686"/>
      <c r="AC1698" s="686"/>
      <c r="AD1698" s="686"/>
      <c r="AE1698" s="686"/>
      <c r="AF1698" s="686"/>
    </row>
    <row r="1699" ht="15.75" customHeight="1">
      <c r="A1699" s="683"/>
      <c r="B1699" s="683"/>
      <c r="C1699" s="684"/>
      <c r="D1699" s="684"/>
      <c r="E1699" s="684"/>
      <c r="F1699" s="683"/>
      <c r="G1699" s="683"/>
      <c r="H1699" s="683"/>
      <c r="I1699" s="683"/>
      <c r="J1699" s="683"/>
      <c r="K1699" s="683"/>
      <c r="L1699" s="685"/>
      <c r="M1699" s="685"/>
      <c r="N1699" s="687"/>
      <c r="O1699" s="683"/>
      <c r="P1699" s="683"/>
      <c r="Q1699" s="686"/>
      <c r="R1699" s="686"/>
      <c r="S1699" s="686"/>
      <c r="T1699" s="686"/>
      <c r="U1699" s="686"/>
      <c r="V1699" s="686"/>
      <c r="W1699" s="686"/>
      <c r="X1699" s="686"/>
      <c r="Y1699" s="686"/>
      <c r="Z1699" s="686"/>
      <c r="AA1699" s="686"/>
      <c r="AB1699" s="686"/>
      <c r="AC1699" s="686"/>
      <c r="AD1699" s="686"/>
      <c r="AE1699" s="686"/>
      <c r="AF1699" s="686"/>
    </row>
    <row r="1700" ht="15.75" customHeight="1">
      <c r="A1700" s="683"/>
      <c r="B1700" s="683"/>
      <c r="C1700" s="684"/>
      <c r="D1700" s="684"/>
      <c r="E1700" s="684"/>
      <c r="F1700" s="683"/>
      <c r="G1700" s="683"/>
      <c r="H1700" s="683"/>
      <c r="I1700" s="683"/>
      <c r="J1700" s="683"/>
      <c r="K1700" s="683"/>
      <c r="L1700" s="685"/>
      <c r="M1700" s="685"/>
      <c r="N1700" s="687"/>
      <c r="O1700" s="683"/>
      <c r="P1700" s="683"/>
      <c r="Q1700" s="686"/>
      <c r="R1700" s="686"/>
      <c r="S1700" s="686"/>
      <c r="T1700" s="686"/>
      <c r="U1700" s="686"/>
      <c r="V1700" s="686"/>
      <c r="W1700" s="686"/>
      <c r="X1700" s="686"/>
      <c r="Y1700" s="686"/>
      <c r="Z1700" s="686"/>
      <c r="AA1700" s="686"/>
      <c r="AB1700" s="686"/>
      <c r="AC1700" s="686"/>
      <c r="AD1700" s="686"/>
      <c r="AE1700" s="686"/>
      <c r="AF1700" s="686"/>
    </row>
    <row r="1701" ht="15.75" customHeight="1">
      <c r="A1701" s="683"/>
      <c r="B1701" s="683"/>
      <c r="C1701" s="684"/>
      <c r="D1701" s="684"/>
      <c r="E1701" s="684"/>
      <c r="F1701" s="683"/>
      <c r="G1701" s="683"/>
      <c r="H1701" s="683"/>
      <c r="I1701" s="683"/>
      <c r="J1701" s="683"/>
      <c r="K1701" s="683"/>
      <c r="L1701" s="685"/>
      <c r="M1701" s="685"/>
      <c r="N1701" s="687"/>
      <c r="O1701" s="683"/>
      <c r="P1701" s="683"/>
      <c r="Q1701" s="686"/>
      <c r="R1701" s="686"/>
      <c r="S1701" s="686"/>
      <c r="T1701" s="686"/>
      <c r="U1701" s="686"/>
      <c r="V1701" s="686"/>
      <c r="W1701" s="686"/>
      <c r="X1701" s="686"/>
      <c r="Y1701" s="686"/>
      <c r="Z1701" s="686"/>
      <c r="AA1701" s="686"/>
      <c r="AB1701" s="686"/>
      <c r="AC1701" s="686"/>
      <c r="AD1701" s="686"/>
      <c r="AE1701" s="686"/>
      <c r="AF1701" s="686"/>
    </row>
    <row r="1702" ht="15.75" customHeight="1">
      <c r="A1702" s="683"/>
      <c r="B1702" s="683"/>
      <c r="C1702" s="684"/>
      <c r="D1702" s="684"/>
      <c r="E1702" s="684"/>
      <c r="F1702" s="683"/>
      <c r="G1702" s="683"/>
      <c r="H1702" s="683"/>
      <c r="I1702" s="683"/>
      <c r="J1702" s="683"/>
      <c r="K1702" s="683"/>
      <c r="L1702" s="685"/>
      <c r="M1702" s="685"/>
      <c r="N1702" s="687"/>
      <c r="O1702" s="683"/>
      <c r="P1702" s="683"/>
      <c r="Q1702" s="686"/>
      <c r="R1702" s="686"/>
      <c r="S1702" s="686"/>
      <c r="T1702" s="686"/>
      <c r="U1702" s="686"/>
      <c r="V1702" s="686"/>
      <c r="W1702" s="686"/>
      <c r="X1702" s="686"/>
      <c r="Y1702" s="686"/>
      <c r="Z1702" s="686"/>
      <c r="AA1702" s="686"/>
      <c r="AB1702" s="686"/>
      <c r="AC1702" s="686"/>
      <c r="AD1702" s="686"/>
      <c r="AE1702" s="686"/>
      <c r="AF1702" s="686"/>
    </row>
    <row r="1703" ht="15.75" customHeight="1">
      <c r="A1703" s="683"/>
      <c r="B1703" s="683"/>
      <c r="C1703" s="684"/>
      <c r="D1703" s="684"/>
      <c r="E1703" s="684"/>
      <c r="F1703" s="683"/>
      <c r="G1703" s="683"/>
      <c r="H1703" s="683"/>
      <c r="I1703" s="683"/>
      <c r="J1703" s="683"/>
      <c r="K1703" s="683"/>
      <c r="L1703" s="685"/>
      <c r="M1703" s="685"/>
      <c r="N1703" s="687"/>
      <c r="O1703" s="683"/>
      <c r="P1703" s="683"/>
      <c r="Q1703" s="686"/>
      <c r="R1703" s="686"/>
      <c r="S1703" s="686"/>
      <c r="T1703" s="686"/>
      <c r="U1703" s="686"/>
      <c r="V1703" s="686"/>
      <c r="W1703" s="686"/>
      <c r="X1703" s="686"/>
      <c r="Y1703" s="686"/>
      <c r="Z1703" s="686"/>
      <c r="AA1703" s="686"/>
      <c r="AB1703" s="686"/>
      <c r="AC1703" s="686"/>
      <c r="AD1703" s="686"/>
      <c r="AE1703" s="686"/>
      <c r="AF1703" s="686"/>
    </row>
    <row r="1704" ht="15.75" customHeight="1">
      <c r="A1704" s="683"/>
      <c r="B1704" s="683"/>
      <c r="C1704" s="684"/>
      <c r="D1704" s="684"/>
      <c r="E1704" s="684"/>
      <c r="F1704" s="683"/>
      <c r="G1704" s="683"/>
      <c r="H1704" s="683"/>
      <c r="I1704" s="683"/>
      <c r="J1704" s="683"/>
      <c r="K1704" s="683"/>
      <c r="L1704" s="685"/>
      <c r="M1704" s="685"/>
      <c r="N1704" s="687"/>
      <c r="O1704" s="683"/>
      <c r="P1704" s="683"/>
      <c r="Q1704" s="686"/>
      <c r="R1704" s="686"/>
      <c r="S1704" s="686"/>
      <c r="T1704" s="686"/>
      <c r="U1704" s="686"/>
      <c r="V1704" s="686"/>
      <c r="W1704" s="686"/>
      <c r="X1704" s="686"/>
      <c r="Y1704" s="686"/>
      <c r="Z1704" s="686"/>
      <c r="AA1704" s="686"/>
      <c r="AB1704" s="686"/>
      <c r="AC1704" s="686"/>
      <c r="AD1704" s="686"/>
      <c r="AE1704" s="686"/>
      <c r="AF1704" s="686"/>
    </row>
    <row r="1705" ht="15.75" customHeight="1">
      <c r="A1705" s="683"/>
      <c r="B1705" s="683"/>
      <c r="C1705" s="684"/>
      <c r="D1705" s="684"/>
      <c r="E1705" s="684"/>
      <c r="F1705" s="683"/>
      <c r="G1705" s="683"/>
      <c r="H1705" s="683"/>
      <c r="I1705" s="683"/>
      <c r="J1705" s="683"/>
      <c r="K1705" s="683"/>
      <c r="L1705" s="685"/>
      <c r="M1705" s="685"/>
      <c r="N1705" s="687"/>
      <c r="O1705" s="683"/>
      <c r="P1705" s="683"/>
      <c r="Q1705" s="686"/>
      <c r="R1705" s="686"/>
      <c r="S1705" s="686"/>
      <c r="T1705" s="686"/>
      <c r="U1705" s="686"/>
      <c r="V1705" s="686"/>
      <c r="W1705" s="686"/>
      <c r="X1705" s="686"/>
      <c r="Y1705" s="686"/>
      <c r="Z1705" s="686"/>
      <c r="AA1705" s="686"/>
      <c r="AB1705" s="686"/>
      <c r="AC1705" s="686"/>
      <c r="AD1705" s="686"/>
      <c r="AE1705" s="686"/>
      <c r="AF1705" s="686"/>
    </row>
    <row r="1706" ht="15.75" customHeight="1">
      <c r="A1706" s="683"/>
      <c r="B1706" s="683"/>
      <c r="C1706" s="684"/>
      <c r="D1706" s="684"/>
      <c r="E1706" s="684"/>
      <c r="F1706" s="683"/>
      <c r="G1706" s="683"/>
      <c r="H1706" s="683"/>
      <c r="I1706" s="683"/>
      <c r="J1706" s="683"/>
      <c r="K1706" s="683"/>
      <c r="L1706" s="685"/>
      <c r="M1706" s="685"/>
      <c r="N1706" s="687"/>
      <c r="O1706" s="683"/>
      <c r="P1706" s="683"/>
      <c r="Q1706" s="686"/>
      <c r="R1706" s="686"/>
      <c r="S1706" s="686"/>
      <c r="T1706" s="686"/>
      <c r="U1706" s="686"/>
      <c r="V1706" s="686"/>
      <c r="W1706" s="686"/>
      <c r="X1706" s="686"/>
      <c r="Y1706" s="686"/>
      <c r="Z1706" s="686"/>
      <c r="AA1706" s="686"/>
      <c r="AB1706" s="686"/>
      <c r="AC1706" s="686"/>
      <c r="AD1706" s="686"/>
      <c r="AE1706" s="686"/>
      <c r="AF1706" s="686"/>
    </row>
    <row r="1707" ht="15.75" customHeight="1">
      <c r="A1707" s="683"/>
      <c r="B1707" s="683"/>
      <c r="C1707" s="684"/>
      <c r="D1707" s="684"/>
      <c r="E1707" s="684"/>
      <c r="F1707" s="683"/>
      <c r="G1707" s="683"/>
      <c r="H1707" s="683"/>
      <c r="I1707" s="683"/>
      <c r="J1707" s="683"/>
      <c r="K1707" s="683"/>
      <c r="L1707" s="685"/>
      <c r="M1707" s="685"/>
      <c r="N1707" s="687"/>
      <c r="O1707" s="683"/>
      <c r="P1707" s="683"/>
      <c r="Q1707" s="686"/>
      <c r="R1707" s="686"/>
      <c r="S1707" s="686"/>
      <c r="T1707" s="686"/>
      <c r="U1707" s="686"/>
      <c r="V1707" s="686"/>
      <c r="W1707" s="686"/>
      <c r="X1707" s="686"/>
      <c r="Y1707" s="686"/>
      <c r="Z1707" s="686"/>
      <c r="AA1707" s="686"/>
      <c r="AB1707" s="686"/>
      <c r="AC1707" s="686"/>
      <c r="AD1707" s="686"/>
      <c r="AE1707" s="686"/>
      <c r="AF1707" s="686"/>
    </row>
    <row r="1708" ht="15.75" customHeight="1">
      <c r="A1708" s="683"/>
      <c r="B1708" s="683"/>
      <c r="C1708" s="684"/>
      <c r="D1708" s="684"/>
      <c r="E1708" s="684"/>
      <c r="F1708" s="683"/>
      <c r="G1708" s="683"/>
      <c r="H1708" s="683"/>
      <c r="I1708" s="683"/>
      <c r="J1708" s="683"/>
      <c r="K1708" s="683"/>
      <c r="L1708" s="685"/>
      <c r="M1708" s="685"/>
      <c r="N1708" s="687"/>
      <c r="O1708" s="683"/>
      <c r="P1708" s="683"/>
      <c r="Q1708" s="686"/>
      <c r="R1708" s="686"/>
      <c r="S1708" s="686"/>
      <c r="T1708" s="686"/>
      <c r="U1708" s="686"/>
      <c r="V1708" s="686"/>
      <c r="W1708" s="686"/>
      <c r="X1708" s="686"/>
      <c r="Y1708" s="686"/>
      <c r="Z1708" s="686"/>
      <c r="AA1708" s="686"/>
      <c r="AB1708" s="686"/>
      <c r="AC1708" s="686"/>
      <c r="AD1708" s="686"/>
      <c r="AE1708" s="686"/>
      <c r="AF1708" s="686"/>
    </row>
    <row r="1709" ht="15.75" customHeight="1">
      <c r="A1709" s="683"/>
      <c r="B1709" s="683"/>
      <c r="C1709" s="684"/>
      <c r="D1709" s="684"/>
      <c r="E1709" s="684"/>
      <c r="F1709" s="683"/>
      <c r="G1709" s="683"/>
      <c r="H1709" s="683"/>
      <c r="I1709" s="683"/>
      <c r="J1709" s="683"/>
      <c r="K1709" s="683"/>
      <c r="L1709" s="685"/>
      <c r="M1709" s="685"/>
      <c r="N1709" s="687"/>
      <c r="O1709" s="683"/>
      <c r="P1709" s="683"/>
      <c r="Q1709" s="686"/>
      <c r="R1709" s="686"/>
      <c r="S1709" s="686"/>
      <c r="T1709" s="686"/>
      <c r="U1709" s="686"/>
      <c r="V1709" s="686"/>
      <c r="W1709" s="686"/>
      <c r="X1709" s="686"/>
      <c r="Y1709" s="686"/>
      <c r="Z1709" s="686"/>
      <c r="AA1709" s="686"/>
      <c r="AB1709" s="686"/>
      <c r="AC1709" s="686"/>
      <c r="AD1709" s="686"/>
      <c r="AE1709" s="686"/>
      <c r="AF1709" s="686"/>
    </row>
    <row r="1710" ht="15.75" customHeight="1">
      <c r="A1710" s="683"/>
      <c r="B1710" s="683"/>
      <c r="C1710" s="684"/>
      <c r="D1710" s="684"/>
      <c r="E1710" s="684"/>
      <c r="F1710" s="683"/>
      <c r="G1710" s="683"/>
      <c r="H1710" s="683"/>
      <c r="I1710" s="683"/>
      <c r="J1710" s="683"/>
      <c r="K1710" s="683"/>
      <c r="L1710" s="685"/>
      <c r="M1710" s="685"/>
      <c r="N1710" s="687"/>
      <c r="O1710" s="683"/>
      <c r="P1710" s="683"/>
      <c r="Q1710" s="686"/>
      <c r="R1710" s="686"/>
      <c r="S1710" s="686"/>
      <c r="T1710" s="686"/>
      <c r="U1710" s="686"/>
      <c r="V1710" s="686"/>
      <c r="W1710" s="686"/>
      <c r="X1710" s="686"/>
      <c r="Y1710" s="686"/>
      <c r="Z1710" s="686"/>
      <c r="AA1710" s="686"/>
      <c r="AB1710" s="686"/>
      <c r="AC1710" s="686"/>
      <c r="AD1710" s="686"/>
      <c r="AE1710" s="686"/>
      <c r="AF1710" s="686"/>
    </row>
    <row r="1711" ht="15.75" customHeight="1">
      <c r="A1711" s="683"/>
      <c r="B1711" s="683"/>
      <c r="C1711" s="684"/>
      <c r="D1711" s="684"/>
      <c r="E1711" s="684"/>
      <c r="F1711" s="683"/>
      <c r="G1711" s="683"/>
      <c r="H1711" s="683"/>
      <c r="I1711" s="683"/>
      <c r="J1711" s="683"/>
      <c r="K1711" s="683"/>
      <c r="L1711" s="685"/>
      <c r="M1711" s="685"/>
      <c r="N1711" s="687"/>
      <c r="O1711" s="683"/>
      <c r="P1711" s="683"/>
      <c r="Q1711" s="686"/>
      <c r="R1711" s="686"/>
      <c r="S1711" s="686"/>
      <c r="T1711" s="686"/>
      <c r="U1711" s="686"/>
      <c r="V1711" s="686"/>
      <c r="W1711" s="686"/>
      <c r="X1711" s="686"/>
      <c r="Y1711" s="686"/>
      <c r="Z1711" s="686"/>
      <c r="AA1711" s="686"/>
      <c r="AB1711" s="686"/>
      <c r="AC1711" s="686"/>
      <c r="AD1711" s="686"/>
      <c r="AE1711" s="686"/>
      <c r="AF1711" s="686"/>
    </row>
    <row r="1712" ht="15.75" customHeight="1">
      <c r="A1712" s="683"/>
      <c r="B1712" s="683"/>
      <c r="C1712" s="684"/>
      <c r="D1712" s="684"/>
      <c r="E1712" s="684"/>
      <c r="F1712" s="683"/>
      <c r="G1712" s="683"/>
      <c r="H1712" s="683"/>
      <c r="I1712" s="683"/>
      <c r="J1712" s="683"/>
      <c r="K1712" s="683"/>
      <c r="L1712" s="685"/>
      <c r="M1712" s="685"/>
      <c r="N1712" s="687"/>
      <c r="O1712" s="683"/>
      <c r="P1712" s="683"/>
      <c r="Q1712" s="686"/>
      <c r="R1712" s="686"/>
      <c r="S1712" s="686"/>
      <c r="T1712" s="686"/>
      <c r="U1712" s="686"/>
      <c r="V1712" s="686"/>
      <c r="W1712" s="686"/>
      <c r="X1712" s="686"/>
      <c r="Y1712" s="686"/>
      <c r="Z1712" s="686"/>
      <c r="AA1712" s="686"/>
      <c r="AB1712" s="686"/>
      <c r="AC1712" s="686"/>
      <c r="AD1712" s="686"/>
      <c r="AE1712" s="686"/>
      <c r="AF1712" s="686"/>
    </row>
    <row r="1713" ht="15.75" customHeight="1">
      <c r="A1713" s="683"/>
      <c r="B1713" s="683"/>
      <c r="C1713" s="684"/>
      <c r="D1713" s="684"/>
      <c r="E1713" s="684"/>
      <c r="F1713" s="683"/>
      <c r="G1713" s="683"/>
      <c r="H1713" s="683"/>
      <c r="I1713" s="683"/>
      <c r="J1713" s="683"/>
      <c r="K1713" s="683"/>
      <c r="L1713" s="685"/>
      <c r="M1713" s="685"/>
      <c r="N1713" s="687"/>
      <c r="O1713" s="683"/>
      <c r="P1713" s="683"/>
      <c r="Q1713" s="686"/>
      <c r="R1713" s="686"/>
      <c r="S1713" s="686"/>
      <c r="T1713" s="686"/>
      <c r="U1713" s="686"/>
      <c r="V1713" s="686"/>
      <c r="W1713" s="686"/>
      <c r="X1713" s="686"/>
      <c r="Y1713" s="686"/>
      <c r="Z1713" s="686"/>
      <c r="AA1713" s="686"/>
      <c r="AB1713" s="686"/>
      <c r="AC1713" s="686"/>
      <c r="AD1713" s="686"/>
      <c r="AE1713" s="686"/>
      <c r="AF1713" s="686"/>
    </row>
    <row r="1714" ht="15.75" customHeight="1">
      <c r="A1714" s="683"/>
      <c r="B1714" s="683"/>
      <c r="C1714" s="684"/>
      <c r="D1714" s="684"/>
      <c r="E1714" s="684"/>
      <c r="F1714" s="683"/>
      <c r="G1714" s="683"/>
      <c r="H1714" s="683"/>
      <c r="I1714" s="683"/>
      <c r="J1714" s="683"/>
      <c r="K1714" s="683"/>
      <c r="L1714" s="685"/>
      <c r="M1714" s="685"/>
      <c r="N1714" s="687"/>
      <c r="O1714" s="683"/>
      <c r="P1714" s="683"/>
      <c r="Q1714" s="686"/>
      <c r="R1714" s="686"/>
      <c r="S1714" s="686"/>
      <c r="T1714" s="686"/>
      <c r="U1714" s="686"/>
      <c r="V1714" s="686"/>
      <c r="W1714" s="686"/>
      <c r="X1714" s="686"/>
      <c r="Y1714" s="686"/>
      <c r="Z1714" s="686"/>
      <c r="AA1714" s="686"/>
      <c r="AB1714" s="686"/>
      <c r="AC1714" s="686"/>
      <c r="AD1714" s="686"/>
      <c r="AE1714" s="686"/>
      <c r="AF1714" s="686"/>
    </row>
    <row r="1715" ht="15.75" customHeight="1">
      <c r="A1715" s="683"/>
      <c r="B1715" s="683"/>
      <c r="C1715" s="684"/>
      <c r="D1715" s="684"/>
      <c r="E1715" s="684"/>
      <c r="F1715" s="683"/>
      <c r="G1715" s="683"/>
      <c r="H1715" s="683"/>
      <c r="I1715" s="683"/>
      <c r="J1715" s="683"/>
      <c r="K1715" s="683"/>
      <c r="L1715" s="685"/>
      <c r="M1715" s="685"/>
      <c r="N1715" s="687"/>
      <c r="O1715" s="683"/>
      <c r="P1715" s="683"/>
      <c r="Q1715" s="686"/>
      <c r="R1715" s="686"/>
      <c r="S1715" s="686"/>
      <c r="T1715" s="686"/>
      <c r="U1715" s="686"/>
      <c r="V1715" s="686"/>
      <c r="W1715" s="686"/>
      <c r="X1715" s="686"/>
      <c r="Y1715" s="686"/>
      <c r="Z1715" s="686"/>
      <c r="AA1715" s="686"/>
      <c r="AB1715" s="686"/>
      <c r="AC1715" s="686"/>
      <c r="AD1715" s="686"/>
      <c r="AE1715" s="686"/>
      <c r="AF1715" s="686"/>
    </row>
    <row r="1716" ht="15.75" customHeight="1">
      <c r="A1716" s="683"/>
      <c r="B1716" s="683"/>
      <c r="C1716" s="684"/>
      <c r="D1716" s="684"/>
      <c r="E1716" s="684"/>
      <c r="F1716" s="683"/>
      <c r="G1716" s="683"/>
      <c r="H1716" s="683"/>
      <c r="I1716" s="683"/>
      <c r="J1716" s="683"/>
      <c r="K1716" s="683"/>
      <c r="L1716" s="685"/>
      <c r="M1716" s="685"/>
      <c r="N1716" s="687"/>
      <c r="O1716" s="683"/>
      <c r="P1716" s="683"/>
      <c r="Q1716" s="686"/>
      <c r="R1716" s="686"/>
      <c r="S1716" s="686"/>
      <c r="T1716" s="686"/>
      <c r="U1716" s="686"/>
      <c r="V1716" s="686"/>
      <c r="W1716" s="686"/>
      <c r="X1716" s="686"/>
      <c r="Y1716" s="686"/>
      <c r="Z1716" s="686"/>
      <c r="AA1716" s="686"/>
      <c r="AB1716" s="686"/>
      <c r="AC1716" s="686"/>
      <c r="AD1716" s="686"/>
      <c r="AE1716" s="686"/>
      <c r="AF1716" s="686"/>
    </row>
    <row r="1717" ht="15.75" customHeight="1">
      <c r="A1717" s="683"/>
      <c r="B1717" s="683"/>
      <c r="C1717" s="684"/>
      <c r="D1717" s="684"/>
      <c r="E1717" s="684"/>
      <c r="F1717" s="683"/>
      <c r="G1717" s="683"/>
      <c r="H1717" s="683"/>
      <c r="I1717" s="683"/>
      <c r="J1717" s="683"/>
      <c r="K1717" s="683"/>
      <c r="L1717" s="685"/>
      <c r="M1717" s="685"/>
      <c r="N1717" s="687"/>
      <c r="O1717" s="683"/>
      <c r="P1717" s="683"/>
      <c r="Q1717" s="686"/>
      <c r="R1717" s="686"/>
      <c r="S1717" s="686"/>
      <c r="T1717" s="686"/>
      <c r="U1717" s="686"/>
      <c r="V1717" s="686"/>
      <c r="W1717" s="686"/>
      <c r="X1717" s="686"/>
      <c r="Y1717" s="686"/>
      <c r="Z1717" s="686"/>
      <c r="AA1717" s="686"/>
      <c r="AB1717" s="686"/>
      <c r="AC1717" s="686"/>
      <c r="AD1717" s="686"/>
      <c r="AE1717" s="686"/>
      <c r="AF1717" s="686"/>
    </row>
    <row r="1718" ht="15.75" customHeight="1">
      <c r="A1718" s="683"/>
      <c r="B1718" s="683"/>
      <c r="C1718" s="684"/>
      <c r="D1718" s="684"/>
      <c r="E1718" s="684"/>
      <c r="F1718" s="683"/>
      <c r="G1718" s="683"/>
      <c r="H1718" s="683"/>
      <c r="I1718" s="683"/>
      <c r="J1718" s="683"/>
      <c r="K1718" s="683"/>
      <c r="L1718" s="685"/>
      <c r="M1718" s="685"/>
      <c r="N1718" s="687"/>
      <c r="O1718" s="683"/>
      <c r="P1718" s="683"/>
      <c r="Q1718" s="686"/>
      <c r="R1718" s="686"/>
      <c r="S1718" s="686"/>
      <c r="T1718" s="686"/>
      <c r="U1718" s="686"/>
      <c r="V1718" s="686"/>
      <c r="W1718" s="686"/>
      <c r="X1718" s="686"/>
      <c r="Y1718" s="686"/>
      <c r="Z1718" s="686"/>
      <c r="AA1718" s="686"/>
      <c r="AB1718" s="686"/>
      <c r="AC1718" s="686"/>
      <c r="AD1718" s="686"/>
      <c r="AE1718" s="686"/>
      <c r="AF1718" s="686"/>
    </row>
    <row r="1719" ht="15.75" customHeight="1">
      <c r="A1719" s="683"/>
      <c r="B1719" s="683"/>
      <c r="C1719" s="684"/>
      <c r="D1719" s="684"/>
      <c r="E1719" s="684"/>
      <c r="F1719" s="683"/>
      <c r="G1719" s="683"/>
      <c r="H1719" s="683"/>
      <c r="I1719" s="683"/>
      <c r="J1719" s="683"/>
      <c r="K1719" s="683"/>
      <c r="L1719" s="685"/>
      <c r="M1719" s="685"/>
      <c r="N1719" s="687"/>
      <c r="O1719" s="683"/>
      <c r="P1719" s="683"/>
      <c r="Q1719" s="686"/>
      <c r="R1719" s="686"/>
      <c r="S1719" s="686"/>
      <c r="T1719" s="686"/>
      <c r="U1719" s="686"/>
      <c r="V1719" s="686"/>
      <c r="W1719" s="686"/>
      <c r="X1719" s="686"/>
      <c r="Y1719" s="686"/>
      <c r="Z1719" s="686"/>
      <c r="AA1719" s="686"/>
      <c r="AB1719" s="686"/>
      <c r="AC1719" s="686"/>
      <c r="AD1719" s="686"/>
      <c r="AE1719" s="686"/>
      <c r="AF1719" s="686"/>
    </row>
    <row r="1720" ht="15.75" customHeight="1">
      <c r="A1720" s="683"/>
      <c r="B1720" s="683"/>
      <c r="C1720" s="684"/>
      <c r="D1720" s="684"/>
      <c r="E1720" s="684"/>
      <c r="F1720" s="683"/>
      <c r="G1720" s="683"/>
      <c r="H1720" s="683"/>
      <c r="I1720" s="683"/>
      <c r="J1720" s="683"/>
      <c r="K1720" s="683"/>
      <c r="L1720" s="685"/>
      <c r="M1720" s="685"/>
      <c r="N1720" s="687"/>
      <c r="O1720" s="683"/>
      <c r="P1720" s="683"/>
      <c r="Q1720" s="686"/>
      <c r="R1720" s="686"/>
      <c r="S1720" s="686"/>
      <c r="T1720" s="686"/>
      <c r="U1720" s="686"/>
      <c r="V1720" s="686"/>
      <c r="W1720" s="686"/>
      <c r="X1720" s="686"/>
      <c r="Y1720" s="686"/>
      <c r="Z1720" s="686"/>
      <c r="AA1720" s="686"/>
      <c r="AB1720" s="686"/>
      <c r="AC1720" s="686"/>
      <c r="AD1720" s="686"/>
      <c r="AE1720" s="686"/>
      <c r="AF1720" s="686"/>
    </row>
    <row r="1721" ht="15.75" customHeight="1">
      <c r="A1721" s="683"/>
      <c r="B1721" s="683"/>
      <c r="C1721" s="684"/>
      <c r="D1721" s="684"/>
      <c r="E1721" s="684"/>
      <c r="F1721" s="683"/>
      <c r="G1721" s="683"/>
      <c r="H1721" s="683"/>
      <c r="I1721" s="683"/>
      <c r="J1721" s="683"/>
      <c r="K1721" s="683"/>
      <c r="L1721" s="685"/>
      <c r="M1721" s="685"/>
      <c r="N1721" s="687"/>
      <c r="O1721" s="683"/>
      <c r="P1721" s="683"/>
      <c r="Q1721" s="686"/>
      <c r="R1721" s="686"/>
      <c r="S1721" s="686"/>
      <c r="T1721" s="686"/>
      <c r="U1721" s="686"/>
      <c r="V1721" s="686"/>
      <c r="W1721" s="686"/>
      <c r="X1721" s="686"/>
      <c r="Y1721" s="686"/>
      <c r="Z1721" s="686"/>
      <c r="AA1721" s="686"/>
      <c r="AB1721" s="686"/>
      <c r="AC1721" s="686"/>
      <c r="AD1721" s="686"/>
      <c r="AE1721" s="686"/>
      <c r="AF1721" s="686"/>
    </row>
    <row r="1722" ht="15.75" customHeight="1">
      <c r="A1722" s="683"/>
      <c r="B1722" s="683"/>
      <c r="C1722" s="684"/>
      <c r="D1722" s="684"/>
      <c r="E1722" s="684"/>
      <c r="F1722" s="683"/>
      <c r="G1722" s="683"/>
      <c r="H1722" s="683"/>
      <c r="I1722" s="683"/>
      <c r="J1722" s="683"/>
      <c r="K1722" s="683"/>
      <c r="L1722" s="685"/>
      <c r="M1722" s="685"/>
      <c r="N1722" s="687"/>
      <c r="O1722" s="683"/>
      <c r="P1722" s="683"/>
      <c r="Q1722" s="686"/>
      <c r="R1722" s="686"/>
      <c r="S1722" s="686"/>
      <c r="T1722" s="686"/>
      <c r="U1722" s="686"/>
      <c r="V1722" s="686"/>
      <c r="W1722" s="686"/>
      <c r="X1722" s="686"/>
      <c r="Y1722" s="686"/>
      <c r="Z1722" s="686"/>
      <c r="AA1722" s="686"/>
      <c r="AB1722" s="686"/>
      <c r="AC1722" s="686"/>
      <c r="AD1722" s="686"/>
      <c r="AE1722" s="686"/>
      <c r="AF1722" s="686"/>
    </row>
    <row r="1723" ht="15.75" customHeight="1">
      <c r="A1723" s="683"/>
      <c r="B1723" s="683"/>
      <c r="C1723" s="684"/>
      <c r="D1723" s="684"/>
      <c r="E1723" s="684"/>
      <c r="F1723" s="683"/>
      <c r="G1723" s="683"/>
      <c r="H1723" s="683"/>
      <c r="I1723" s="683"/>
      <c r="J1723" s="683"/>
      <c r="K1723" s="683"/>
      <c r="L1723" s="685"/>
      <c r="M1723" s="685"/>
      <c r="N1723" s="687"/>
      <c r="O1723" s="683"/>
      <c r="P1723" s="683"/>
      <c r="Q1723" s="686"/>
      <c r="R1723" s="686"/>
      <c r="S1723" s="686"/>
      <c r="T1723" s="686"/>
      <c r="U1723" s="686"/>
      <c r="V1723" s="686"/>
      <c r="W1723" s="686"/>
      <c r="X1723" s="686"/>
      <c r="Y1723" s="686"/>
      <c r="Z1723" s="686"/>
      <c r="AA1723" s="686"/>
      <c r="AB1723" s="686"/>
      <c r="AC1723" s="686"/>
      <c r="AD1723" s="686"/>
      <c r="AE1723" s="686"/>
      <c r="AF1723" s="686"/>
    </row>
    <row r="1724" ht="15.75" customHeight="1">
      <c r="A1724" s="683"/>
      <c r="B1724" s="683"/>
      <c r="C1724" s="684"/>
      <c r="D1724" s="684"/>
      <c r="E1724" s="684"/>
      <c r="F1724" s="683"/>
      <c r="G1724" s="683"/>
      <c r="H1724" s="683"/>
      <c r="I1724" s="683"/>
      <c r="J1724" s="683"/>
      <c r="K1724" s="683"/>
      <c r="L1724" s="685"/>
      <c r="M1724" s="685"/>
      <c r="N1724" s="687"/>
      <c r="O1724" s="683"/>
      <c r="P1724" s="683"/>
      <c r="Q1724" s="686"/>
      <c r="R1724" s="686"/>
      <c r="S1724" s="686"/>
      <c r="T1724" s="686"/>
      <c r="U1724" s="686"/>
      <c r="V1724" s="686"/>
      <c r="W1724" s="686"/>
      <c r="X1724" s="686"/>
      <c r="Y1724" s="686"/>
      <c r="Z1724" s="686"/>
      <c r="AA1724" s="686"/>
      <c r="AB1724" s="686"/>
      <c r="AC1724" s="686"/>
      <c r="AD1724" s="686"/>
      <c r="AE1724" s="686"/>
      <c r="AF1724" s="686"/>
    </row>
    <row r="1725" ht="15.75" customHeight="1">
      <c r="A1725" s="683"/>
      <c r="B1725" s="683"/>
      <c r="C1725" s="684"/>
      <c r="D1725" s="684"/>
      <c r="E1725" s="684"/>
      <c r="F1725" s="683"/>
      <c r="G1725" s="683"/>
      <c r="H1725" s="683"/>
      <c r="I1725" s="683"/>
      <c r="J1725" s="683"/>
      <c r="K1725" s="683"/>
      <c r="L1725" s="685"/>
      <c r="M1725" s="685"/>
      <c r="N1725" s="687"/>
      <c r="O1725" s="683"/>
      <c r="P1725" s="683"/>
      <c r="Q1725" s="686"/>
      <c r="R1725" s="686"/>
      <c r="S1725" s="686"/>
      <c r="T1725" s="686"/>
      <c r="U1725" s="686"/>
      <c r="V1725" s="686"/>
      <c r="W1725" s="686"/>
      <c r="X1725" s="686"/>
      <c r="Y1725" s="686"/>
      <c r="Z1725" s="686"/>
      <c r="AA1725" s="686"/>
      <c r="AB1725" s="686"/>
      <c r="AC1725" s="686"/>
      <c r="AD1725" s="686"/>
      <c r="AE1725" s="686"/>
      <c r="AF1725" s="686"/>
    </row>
    <row r="1726" ht="15.75" customHeight="1">
      <c r="A1726" s="683"/>
      <c r="B1726" s="683"/>
      <c r="C1726" s="684"/>
      <c r="D1726" s="684"/>
      <c r="E1726" s="684"/>
      <c r="F1726" s="683"/>
      <c r="G1726" s="683"/>
      <c r="H1726" s="683"/>
      <c r="I1726" s="683"/>
      <c r="J1726" s="683"/>
      <c r="K1726" s="683"/>
      <c r="L1726" s="685"/>
      <c r="M1726" s="685"/>
      <c r="N1726" s="687"/>
      <c r="O1726" s="683"/>
      <c r="P1726" s="683"/>
      <c r="Q1726" s="686"/>
      <c r="R1726" s="686"/>
      <c r="S1726" s="686"/>
      <c r="T1726" s="686"/>
      <c r="U1726" s="686"/>
      <c r="V1726" s="686"/>
      <c r="W1726" s="686"/>
      <c r="X1726" s="686"/>
      <c r="Y1726" s="686"/>
      <c r="Z1726" s="686"/>
      <c r="AA1726" s="686"/>
      <c r="AB1726" s="686"/>
      <c r="AC1726" s="686"/>
      <c r="AD1726" s="686"/>
      <c r="AE1726" s="686"/>
      <c r="AF1726" s="686"/>
    </row>
    <row r="1727" ht="15.75" customHeight="1">
      <c r="A1727" s="683"/>
      <c r="B1727" s="683"/>
      <c r="C1727" s="684"/>
      <c r="D1727" s="684"/>
      <c r="E1727" s="684"/>
      <c r="F1727" s="683"/>
      <c r="G1727" s="683"/>
      <c r="H1727" s="683"/>
      <c r="I1727" s="683"/>
      <c r="J1727" s="683"/>
      <c r="K1727" s="683"/>
      <c r="L1727" s="685"/>
      <c r="M1727" s="685"/>
      <c r="N1727" s="687"/>
      <c r="O1727" s="683"/>
      <c r="P1727" s="683"/>
      <c r="Q1727" s="686"/>
      <c r="R1727" s="686"/>
      <c r="S1727" s="686"/>
      <c r="T1727" s="686"/>
      <c r="U1727" s="686"/>
      <c r="V1727" s="686"/>
      <c r="W1727" s="686"/>
      <c r="X1727" s="686"/>
      <c r="Y1727" s="686"/>
      <c r="Z1727" s="686"/>
      <c r="AA1727" s="686"/>
      <c r="AB1727" s="686"/>
      <c r="AC1727" s="686"/>
      <c r="AD1727" s="686"/>
      <c r="AE1727" s="686"/>
      <c r="AF1727" s="686"/>
    </row>
    <row r="1728" ht="15.75" customHeight="1">
      <c r="A1728" s="683"/>
      <c r="B1728" s="683"/>
      <c r="C1728" s="684"/>
      <c r="D1728" s="684"/>
      <c r="E1728" s="684"/>
      <c r="F1728" s="683"/>
      <c r="G1728" s="683"/>
      <c r="H1728" s="683"/>
      <c r="I1728" s="683"/>
      <c r="J1728" s="683"/>
      <c r="K1728" s="683"/>
      <c r="L1728" s="685"/>
      <c r="M1728" s="685"/>
      <c r="N1728" s="687"/>
      <c r="O1728" s="683"/>
      <c r="P1728" s="683"/>
      <c r="Q1728" s="686"/>
      <c r="R1728" s="686"/>
      <c r="S1728" s="686"/>
      <c r="T1728" s="686"/>
      <c r="U1728" s="686"/>
      <c r="V1728" s="686"/>
      <c r="W1728" s="686"/>
      <c r="X1728" s="686"/>
      <c r="Y1728" s="686"/>
      <c r="Z1728" s="686"/>
      <c r="AA1728" s="686"/>
      <c r="AB1728" s="686"/>
      <c r="AC1728" s="686"/>
      <c r="AD1728" s="686"/>
      <c r="AE1728" s="686"/>
      <c r="AF1728" s="686"/>
    </row>
    <row r="1729" ht="15.75" customHeight="1">
      <c r="A1729" s="683"/>
      <c r="B1729" s="683"/>
      <c r="C1729" s="684"/>
      <c r="D1729" s="684"/>
      <c r="E1729" s="684"/>
      <c r="F1729" s="683"/>
      <c r="G1729" s="683"/>
      <c r="H1729" s="683"/>
      <c r="I1729" s="683"/>
      <c r="J1729" s="683"/>
      <c r="K1729" s="683"/>
      <c r="L1729" s="685"/>
      <c r="M1729" s="685"/>
      <c r="N1729" s="687"/>
      <c r="O1729" s="683"/>
      <c r="P1729" s="683"/>
      <c r="Q1729" s="686"/>
      <c r="R1729" s="686"/>
      <c r="S1729" s="686"/>
      <c r="T1729" s="686"/>
      <c r="U1729" s="686"/>
      <c r="V1729" s="686"/>
      <c r="W1729" s="686"/>
      <c r="X1729" s="686"/>
      <c r="Y1729" s="686"/>
      <c r="Z1729" s="686"/>
      <c r="AA1729" s="686"/>
      <c r="AB1729" s="686"/>
      <c r="AC1729" s="686"/>
      <c r="AD1729" s="686"/>
      <c r="AE1729" s="686"/>
      <c r="AF1729" s="686"/>
    </row>
    <row r="1730" ht="15.75" customHeight="1">
      <c r="A1730" s="683"/>
      <c r="B1730" s="683"/>
      <c r="C1730" s="684"/>
      <c r="D1730" s="684"/>
      <c r="E1730" s="684"/>
      <c r="F1730" s="683"/>
      <c r="G1730" s="683"/>
      <c r="H1730" s="683"/>
      <c r="I1730" s="683"/>
      <c r="J1730" s="683"/>
      <c r="K1730" s="683"/>
      <c r="L1730" s="685"/>
      <c r="M1730" s="685"/>
      <c r="N1730" s="687"/>
      <c r="O1730" s="683"/>
      <c r="P1730" s="683"/>
      <c r="Q1730" s="686"/>
      <c r="R1730" s="686"/>
      <c r="S1730" s="686"/>
      <c r="T1730" s="686"/>
      <c r="U1730" s="686"/>
      <c r="V1730" s="686"/>
      <c r="W1730" s="686"/>
      <c r="X1730" s="686"/>
      <c r="Y1730" s="686"/>
      <c r="Z1730" s="686"/>
      <c r="AA1730" s="686"/>
      <c r="AB1730" s="686"/>
      <c r="AC1730" s="686"/>
      <c r="AD1730" s="686"/>
      <c r="AE1730" s="686"/>
      <c r="AF1730" s="686"/>
    </row>
    <row r="1731" ht="15.75" customHeight="1">
      <c r="A1731" s="683"/>
      <c r="B1731" s="683"/>
      <c r="C1731" s="684"/>
      <c r="D1731" s="684"/>
      <c r="E1731" s="684"/>
      <c r="F1731" s="683"/>
      <c r="G1731" s="683"/>
      <c r="H1731" s="683"/>
      <c r="I1731" s="683"/>
      <c r="J1731" s="683"/>
      <c r="K1731" s="683"/>
      <c r="L1731" s="685"/>
      <c r="M1731" s="685"/>
      <c r="N1731" s="687"/>
      <c r="O1731" s="683"/>
      <c r="P1731" s="683"/>
      <c r="Q1731" s="686"/>
      <c r="R1731" s="686"/>
      <c r="S1731" s="686"/>
      <c r="T1731" s="686"/>
      <c r="U1731" s="686"/>
      <c r="V1731" s="686"/>
      <c r="W1731" s="686"/>
      <c r="X1731" s="686"/>
      <c r="Y1731" s="686"/>
      <c r="Z1731" s="686"/>
      <c r="AA1731" s="686"/>
      <c r="AB1731" s="686"/>
      <c r="AC1731" s="686"/>
      <c r="AD1731" s="686"/>
      <c r="AE1731" s="686"/>
      <c r="AF1731" s="686"/>
    </row>
    <row r="1732" ht="15.75" customHeight="1">
      <c r="A1732" s="683"/>
      <c r="B1732" s="683"/>
      <c r="C1732" s="684"/>
      <c r="D1732" s="684"/>
      <c r="E1732" s="684"/>
      <c r="F1732" s="683"/>
      <c r="G1732" s="683"/>
      <c r="H1732" s="683"/>
      <c r="I1732" s="683"/>
      <c r="J1732" s="683"/>
      <c r="K1732" s="683"/>
      <c r="L1732" s="685"/>
      <c r="M1732" s="685"/>
      <c r="N1732" s="687"/>
      <c r="O1732" s="683"/>
      <c r="P1732" s="683"/>
      <c r="Q1732" s="686"/>
      <c r="R1732" s="686"/>
      <c r="S1732" s="686"/>
      <c r="T1732" s="686"/>
      <c r="U1732" s="686"/>
      <c r="V1732" s="686"/>
      <c r="W1732" s="686"/>
      <c r="X1732" s="686"/>
      <c r="Y1732" s="686"/>
      <c r="Z1732" s="686"/>
      <c r="AA1732" s="686"/>
      <c r="AB1732" s="686"/>
      <c r="AC1732" s="686"/>
      <c r="AD1732" s="686"/>
      <c r="AE1732" s="686"/>
      <c r="AF1732" s="686"/>
    </row>
    <row r="1733" ht="15.75" customHeight="1">
      <c r="A1733" s="683"/>
      <c r="B1733" s="683"/>
      <c r="C1733" s="684"/>
      <c r="D1733" s="684"/>
      <c r="E1733" s="684"/>
      <c r="F1733" s="683"/>
      <c r="G1733" s="683"/>
      <c r="H1733" s="683"/>
      <c r="I1733" s="683"/>
      <c r="J1733" s="683"/>
      <c r="K1733" s="683"/>
      <c r="L1733" s="685"/>
      <c r="M1733" s="685"/>
      <c r="N1733" s="687"/>
      <c r="O1733" s="683"/>
      <c r="P1733" s="683"/>
      <c r="Q1733" s="686"/>
      <c r="R1733" s="686"/>
      <c r="S1733" s="686"/>
      <c r="T1733" s="686"/>
      <c r="U1733" s="686"/>
      <c r="V1733" s="686"/>
      <c r="W1733" s="686"/>
      <c r="X1733" s="686"/>
      <c r="Y1733" s="686"/>
      <c r="Z1733" s="686"/>
      <c r="AA1733" s="686"/>
      <c r="AB1733" s="686"/>
      <c r="AC1733" s="686"/>
      <c r="AD1733" s="686"/>
      <c r="AE1733" s="686"/>
      <c r="AF1733" s="686"/>
    </row>
    <row r="1734" ht="15.75" customHeight="1">
      <c r="A1734" s="683"/>
      <c r="B1734" s="683"/>
      <c r="C1734" s="684"/>
      <c r="D1734" s="684"/>
      <c r="E1734" s="684"/>
      <c r="F1734" s="683"/>
      <c r="G1734" s="683"/>
      <c r="H1734" s="683"/>
      <c r="I1734" s="683"/>
      <c r="J1734" s="683"/>
      <c r="K1734" s="683"/>
      <c r="L1734" s="685"/>
      <c r="M1734" s="685"/>
      <c r="N1734" s="687"/>
      <c r="O1734" s="683"/>
      <c r="P1734" s="683"/>
      <c r="Q1734" s="686"/>
      <c r="R1734" s="686"/>
      <c r="S1734" s="686"/>
      <c r="T1734" s="686"/>
      <c r="U1734" s="686"/>
      <c r="V1734" s="686"/>
      <c r="W1734" s="686"/>
      <c r="X1734" s="686"/>
      <c r="Y1734" s="686"/>
      <c r="Z1734" s="686"/>
      <c r="AA1734" s="686"/>
      <c r="AB1734" s="686"/>
      <c r="AC1734" s="686"/>
      <c r="AD1734" s="686"/>
      <c r="AE1734" s="686"/>
      <c r="AF1734" s="686"/>
    </row>
    <row r="1735" ht="15.75" customHeight="1">
      <c r="A1735" s="683"/>
      <c r="B1735" s="683"/>
      <c r="C1735" s="684"/>
      <c r="D1735" s="684"/>
      <c r="E1735" s="684"/>
      <c r="F1735" s="683"/>
      <c r="G1735" s="683"/>
      <c r="H1735" s="683"/>
      <c r="I1735" s="683"/>
      <c r="J1735" s="683"/>
      <c r="K1735" s="683"/>
      <c r="L1735" s="685"/>
      <c r="M1735" s="685"/>
      <c r="N1735" s="687"/>
      <c r="O1735" s="683"/>
      <c r="P1735" s="683"/>
      <c r="Q1735" s="686"/>
      <c r="R1735" s="686"/>
      <c r="S1735" s="686"/>
      <c r="T1735" s="686"/>
      <c r="U1735" s="686"/>
      <c r="V1735" s="686"/>
      <c r="W1735" s="686"/>
      <c r="X1735" s="686"/>
      <c r="Y1735" s="686"/>
      <c r="Z1735" s="686"/>
      <c r="AA1735" s="686"/>
      <c r="AB1735" s="686"/>
      <c r="AC1735" s="686"/>
      <c r="AD1735" s="686"/>
      <c r="AE1735" s="686"/>
      <c r="AF1735" s="686"/>
    </row>
    <row r="1736" ht="15.75" customHeight="1">
      <c r="A1736" s="683"/>
      <c r="B1736" s="683"/>
      <c r="C1736" s="684"/>
      <c r="D1736" s="684"/>
      <c r="E1736" s="684"/>
      <c r="F1736" s="683"/>
      <c r="G1736" s="683"/>
      <c r="H1736" s="683"/>
      <c r="I1736" s="683"/>
      <c r="J1736" s="683"/>
      <c r="K1736" s="683"/>
      <c r="L1736" s="685"/>
      <c r="M1736" s="685"/>
      <c r="N1736" s="687"/>
      <c r="O1736" s="683"/>
      <c r="P1736" s="683"/>
      <c r="Q1736" s="686"/>
      <c r="R1736" s="686"/>
      <c r="S1736" s="686"/>
      <c r="T1736" s="686"/>
      <c r="U1736" s="686"/>
      <c r="V1736" s="686"/>
      <c r="W1736" s="686"/>
      <c r="X1736" s="686"/>
      <c r="Y1736" s="686"/>
      <c r="Z1736" s="686"/>
      <c r="AA1736" s="686"/>
      <c r="AB1736" s="686"/>
      <c r="AC1736" s="686"/>
      <c r="AD1736" s="686"/>
      <c r="AE1736" s="686"/>
      <c r="AF1736" s="686"/>
    </row>
    <row r="1737" ht="15.75" customHeight="1">
      <c r="A1737" s="683"/>
      <c r="B1737" s="683"/>
      <c r="C1737" s="684"/>
      <c r="D1737" s="684"/>
      <c r="E1737" s="684"/>
      <c r="F1737" s="683"/>
      <c r="G1737" s="683"/>
      <c r="H1737" s="683"/>
      <c r="I1737" s="683"/>
      <c r="J1737" s="683"/>
      <c r="K1737" s="683"/>
      <c r="L1737" s="685"/>
      <c r="M1737" s="685"/>
      <c r="N1737" s="687"/>
      <c r="O1737" s="683"/>
      <c r="P1737" s="683"/>
      <c r="Q1737" s="686"/>
      <c r="R1737" s="686"/>
      <c r="S1737" s="686"/>
      <c r="T1737" s="686"/>
      <c r="U1737" s="686"/>
      <c r="V1737" s="686"/>
      <c r="W1737" s="686"/>
      <c r="X1737" s="686"/>
      <c r="Y1737" s="686"/>
      <c r="Z1737" s="686"/>
      <c r="AA1737" s="686"/>
      <c r="AB1737" s="686"/>
      <c r="AC1737" s="686"/>
      <c r="AD1737" s="686"/>
      <c r="AE1737" s="686"/>
      <c r="AF1737" s="686"/>
    </row>
    <row r="1738" ht="15.75" customHeight="1">
      <c r="A1738" s="683"/>
      <c r="B1738" s="683"/>
      <c r="C1738" s="684"/>
      <c r="D1738" s="684"/>
      <c r="E1738" s="684"/>
      <c r="F1738" s="683"/>
      <c r="G1738" s="683"/>
      <c r="H1738" s="683"/>
      <c r="I1738" s="683"/>
      <c r="J1738" s="683"/>
      <c r="K1738" s="683"/>
      <c r="L1738" s="685"/>
      <c r="M1738" s="685"/>
      <c r="N1738" s="687"/>
      <c r="O1738" s="683"/>
      <c r="P1738" s="685"/>
      <c r="Q1738" s="686"/>
      <c r="R1738" s="686"/>
      <c r="S1738" s="686"/>
      <c r="T1738" s="686"/>
      <c r="U1738" s="686"/>
      <c r="V1738" s="686"/>
      <c r="W1738" s="686"/>
      <c r="X1738" s="686"/>
      <c r="Y1738" s="686"/>
      <c r="Z1738" s="686"/>
      <c r="AA1738" s="686"/>
      <c r="AB1738" s="686"/>
      <c r="AC1738" s="686"/>
      <c r="AD1738" s="686"/>
      <c r="AE1738" s="686"/>
      <c r="AF1738" s="686"/>
    </row>
    <row r="1739" ht="15.75" customHeight="1">
      <c r="A1739" s="683"/>
      <c r="B1739" s="683"/>
      <c r="C1739" s="684"/>
      <c r="D1739" s="684"/>
      <c r="E1739" s="684"/>
      <c r="F1739" s="683"/>
      <c r="G1739" s="683"/>
      <c r="H1739" s="683"/>
      <c r="I1739" s="683"/>
      <c r="J1739" s="683"/>
      <c r="K1739" s="683"/>
      <c r="L1739" s="685"/>
      <c r="M1739" s="685"/>
      <c r="N1739" s="687"/>
      <c r="O1739" s="683"/>
      <c r="P1739" s="683"/>
      <c r="Q1739" s="686"/>
      <c r="R1739" s="686"/>
      <c r="S1739" s="686"/>
      <c r="T1739" s="686"/>
      <c r="U1739" s="686"/>
      <c r="V1739" s="686"/>
      <c r="W1739" s="686"/>
      <c r="X1739" s="686"/>
      <c r="Y1739" s="686"/>
      <c r="Z1739" s="686"/>
      <c r="AA1739" s="686"/>
      <c r="AB1739" s="686"/>
      <c r="AC1739" s="686"/>
      <c r="AD1739" s="686"/>
      <c r="AE1739" s="686"/>
      <c r="AF1739" s="686"/>
    </row>
    <row r="1740" ht="15.75" customHeight="1">
      <c r="A1740" s="683"/>
      <c r="B1740" s="683"/>
      <c r="C1740" s="684"/>
      <c r="D1740" s="684"/>
      <c r="E1740" s="684"/>
      <c r="F1740" s="683"/>
      <c r="G1740" s="683"/>
      <c r="H1740" s="683"/>
      <c r="I1740" s="683"/>
      <c r="J1740" s="683"/>
      <c r="K1740" s="683"/>
      <c r="L1740" s="685"/>
      <c r="M1740" s="685"/>
      <c r="N1740" s="687"/>
      <c r="O1740" s="683"/>
      <c r="P1740" s="685"/>
      <c r="Q1740" s="686"/>
      <c r="R1740" s="686"/>
      <c r="S1740" s="686"/>
      <c r="T1740" s="686"/>
      <c r="U1740" s="686"/>
      <c r="V1740" s="686"/>
      <c r="W1740" s="686"/>
      <c r="X1740" s="686"/>
      <c r="Y1740" s="686"/>
      <c r="Z1740" s="686"/>
      <c r="AA1740" s="686"/>
      <c r="AB1740" s="686"/>
      <c r="AC1740" s="686"/>
      <c r="AD1740" s="686"/>
      <c r="AE1740" s="686"/>
      <c r="AF1740" s="686"/>
    </row>
    <row r="1741" ht="15.75" customHeight="1">
      <c r="A1741" s="683"/>
      <c r="B1741" s="683"/>
      <c r="C1741" s="684"/>
      <c r="D1741" s="684"/>
      <c r="E1741" s="684"/>
      <c r="F1741" s="683"/>
      <c r="G1741" s="683"/>
      <c r="H1741" s="683"/>
      <c r="I1741" s="683"/>
      <c r="J1741" s="683"/>
      <c r="K1741" s="683"/>
      <c r="L1741" s="685"/>
      <c r="M1741" s="685"/>
      <c r="N1741" s="687"/>
      <c r="O1741" s="683"/>
      <c r="P1741" s="683"/>
      <c r="Q1741" s="686"/>
      <c r="R1741" s="686"/>
      <c r="S1741" s="686"/>
      <c r="T1741" s="686"/>
      <c r="U1741" s="686"/>
      <c r="V1741" s="686"/>
      <c r="W1741" s="686"/>
      <c r="X1741" s="686"/>
      <c r="Y1741" s="686"/>
      <c r="Z1741" s="686"/>
      <c r="AA1741" s="686"/>
      <c r="AB1741" s="686"/>
      <c r="AC1741" s="686"/>
      <c r="AD1741" s="686"/>
      <c r="AE1741" s="686"/>
      <c r="AF1741" s="686"/>
    </row>
    <row r="1742" ht="15.75" customHeight="1">
      <c r="A1742" s="683"/>
      <c r="B1742" s="683"/>
      <c r="C1742" s="684"/>
      <c r="D1742" s="684"/>
      <c r="E1742" s="684"/>
      <c r="F1742" s="683"/>
      <c r="G1742" s="683"/>
      <c r="H1742" s="683"/>
      <c r="I1742" s="683"/>
      <c r="J1742" s="683"/>
      <c r="K1742" s="683"/>
      <c r="L1742" s="685"/>
      <c r="M1742" s="685"/>
      <c r="N1742" s="687"/>
      <c r="O1742" s="683"/>
      <c r="P1742" s="683"/>
      <c r="Q1742" s="686"/>
      <c r="R1742" s="686"/>
      <c r="S1742" s="686"/>
      <c r="T1742" s="686"/>
      <c r="U1742" s="686"/>
      <c r="V1742" s="686"/>
      <c r="W1742" s="686"/>
      <c r="X1742" s="686"/>
      <c r="Y1742" s="686"/>
      <c r="Z1742" s="686"/>
      <c r="AA1742" s="686"/>
      <c r="AB1742" s="686"/>
      <c r="AC1742" s="686"/>
      <c r="AD1742" s="686"/>
      <c r="AE1742" s="686"/>
      <c r="AF1742" s="686"/>
    </row>
    <row r="1743" ht="15.75" customHeight="1">
      <c r="A1743" s="683"/>
      <c r="B1743" s="683"/>
      <c r="C1743" s="684"/>
      <c r="D1743" s="684"/>
      <c r="E1743" s="684"/>
      <c r="F1743" s="683"/>
      <c r="G1743" s="683"/>
      <c r="H1743" s="683"/>
      <c r="I1743" s="683"/>
      <c r="J1743" s="683"/>
      <c r="K1743" s="683"/>
      <c r="L1743" s="685"/>
      <c r="M1743" s="685"/>
      <c r="N1743" s="687"/>
      <c r="O1743" s="683"/>
      <c r="P1743" s="683"/>
      <c r="Q1743" s="686"/>
      <c r="R1743" s="686"/>
      <c r="S1743" s="686"/>
      <c r="T1743" s="686"/>
      <c r="U1743" s="686"/>
      <c r="V1743" s="686"/>
      <c r="W1743" s="686"/>
      <c r="X1743" s="686"/>
      <c r="Y1743" s="686"/>
      <c r="Z1743" s="686"/>
      <c r="AA1743" s="686"/>
      <c r="AB1743" s="686"/>
      <c r="AC1743" s="686"/>
      <c r="AD1743" s="686"/>
      <c r="AE1743" s="686"/>
      <c r="AF1743" s="686"/>
    </row>
    <row r="1744" ht="15.75" customHeight="1">
      <c r="A1744" s="683"/>
      <c r="B1744" s="683"/>
      <c r="C1744" s="684"/>
      <c r="D1744" s="684"/>
      <c r="E1744" s="684"/>
      <c r="F1744" s="683"/>
      <c r="G1744" s="683"/>
      <c r="H1744" s="683"/>
      <c r="I1744" s="683"/>
      <c r="J1744" s="683"/>
      <c r="K1744" s="683"/>
      <c r="L1744" s="685"/>
      <c r="M1744" s="685"/>
      <c r="N1744" s="687"/>
      <c r="O1744" s="683"/>
      <c r="P1744" s="683"/>
      <c r="Q1744" s="686"/>
      <c r="R1744" s="686"/>
      <c r="S1744" s="686"/>
      <c r="T1744" s="686"/>
      <c r="U1744" s="686"/>
      <c r="V1744" s="686"/>
      <c r="W1744" s="686"/>
      <c r="X1744" s="686"/>
      <c r="Y1744" s="686"/>
      <c r="Z1744" s="686"/>
      <c r="AA1744" s="686"/>
      <c r="AB1744" s="686"/>
      <c r="AC1744" s="686"/>
      <c r="AD1744" s="686"/>
      <c r="AE1744" s="686"/>
      <c r="AF1744" s="686"/>
    </row>
    <row r="1745" ht="15.75" customHeight="1">
      <c r="A1745" s="683"/>
      <c r="B1745" s="683"/>
      <c r="C1745" s="684"/>
      <c r="D1745" s="684"/>
      <c r="E1745" s="684"/>
      <c r="F1745" s="683"/>
      <c r="G1745" s="683"/>
      <c r="H1745" s="683"/>
      <c r="I1745" s="683"/>
      <c r="J1745" s="683"/>
      <c r="K1745" s="683"/>
      <c r="L1745" s="685"/>
      <c r="M1745" s="685"/>
      <c r="N1745" s="687"/>
      <c r="O1745" s="683"/>
      <c r="P1745" s="683"/>
      <c r="Q1745" s="686"/>
      <c r="R1745" s="686"/>
      <c r="S1745" s="686"/>
      <c r="T1745" s="686"/>
      <c r="U1745" s="686"/>
      <c r="V1745" s="686"/>
      <c r="W1745" s="686"/>
      <c r="X1745" s="686"/>
      <c r="Y1745" s="686"/>
      <c r="Z1745" s="686"/>
      <c r="AA1745" s="686"/>
      <c r="AB1745" s="686"/>
      <c r="AC1745" s="686"/>
      <c r="AD1745" s="686"/>
      <c r="AE1745" s="686"/>
      <c r="AF1745" s="686"/>
    </row>
    <row r="1746" ht="15.75" customHeight="1">
      <c r="A1746" s="683"/>
      <c r="B1746" s="683"/>
      <c r="C1746" s="684"/>
      <c r="D1746" s="684"/>
      <c r="E1746" s="684"/>
      <c r="F1746" s="683"/>
      <c r="G1746" s="683"/>
      <c r="H1746" s="683"/>
      <c r="I1746" s="683"/>
      <c r="J1746" s="683"/>
      <c r="K1746" s="683"/>
      <c r="L1746" s="685"/>
      <c r="M1746" s="685"/>
      <c r="N1746" s="687"/>
      <c r="O1746" s="683"/>
      <c r="P1746" s="683"/>
      <c r="Q1746" s="686"/>
      <c r="R1746" s="686"/>
      <c r="S1746" s="686"/>
      <c r="T1746" s="686"/>
      <c r="U1746" s="686"/>
      <c r="V1746" s="686"/>
      <c r="W1746" s="686"/>
      <c r="X1746" s="686"/>
      <c r="Y1746" s="686"/>
      <c r="Z1746" s="686"/>
      <c r="AA1746" s="686"/>
      <c r="AB1746" s="686"/>
      <c r="AC1746" s="686"/>
      <c r="AD1746" s="686"/>
      <c r="AE1746" s="686"/>
      <c r="AF1746" s="686"/>
    </row>
    <row r="1747" ht="15.75" customHeight="1">
      <c r="A1747" s="683"/>
      <c r="B1747" s="683"/>
      <c r="C1747" s="684"/>
      <c r="D1747" s="684"/>
      <c r="E1747" s="684"/>
      <c r="F1747" s="683"/>
      <c r="G1747" s="683"/>
      <c r="H1747" s="683"/>
      <c r="I1747" s="683"/>
      <c r="J1747" s="683"/>
      <c r="K1747" s="683"/>
      <c r="L1747" s="685"/>
      <c r="M1747" s="685"/>
      <c r="N1747" s="687"/>
      <c r="O1747" s="683"/>
      <c r="P1747" s="683"/>
      <c r="Q1747" s="686"/>
      <c r="R1747" s="686"/>
      <c r="S1747" s="686"/>
      <c r="T1747" s="686"/>
      <c r="U1747" s="686"/>
      <c r="V1747" s="686"/>
      <c r="W1747" s="686"/>
      <c r="X1747" s="686"/>
      <c r="Y1747" s="686"/>
      <c r="Z1747" s="686"/>
      <c r="AA1747" s="686"/>
      <c r="AB1747" s="686"/>
      <c r="AC1747" s="686"/>
      <c r="AD1747" s="686"/>
      <c r="AE1747" s="686"/>
      <c r="AF1747" s="686"/>
    </row>
    <row r="1748" ht="15.75" customHeight="1">
      <c r="A1748" s="683"/>
      <c r="B1748" s="683"/>
      <c r="C1748" s="684"/>
      <c r="D1748" s="684"/>
      <c r="E1748" s="684"/>
      <c r="F1748" s="683"/>
      <c r="G1748" s="683"/>
      <c r="H1748" s="683"/>
      <c r="I1748" s="683"/>
      <c r="J1748" s="683"/>
      <c r="K1748" s="683"/>
      <c r="L1748" s="685"/>
      <c r="M1748" s="685"/>
      <c r="N1748" s="687"/>
      <c r="O1748" s="683"/>
      <c r="P1748" s="683"/>
      <c r="Q1748" s="686"/>
      <c r="R1748" s="686"/>
      <c r="S1748" s="686"/>
      <c r="T1748" s="686"/>
      <c r="U1748" s="686"/>
      <c r="V1748" s="686"/>
      <c r="W1748" s="686"/>
      <c r="X1748" s="686"/>
      <c r="Y1748" s="686"/>
      <c r="Z1748" s="686"/>
      <c r="AA1748" s="686"/>
      <c r="AB1748" s="686"/>
      <c r="AC1748" s="686"/>
      <c r="AD1748" s="686"/>
      <c r="AE1748" s="686"/>
      <c r="AF1748" s="686"/>
    </row>
    <row r="1749" ht="15.75" customHeight="1">
      <c r="A1749" s="683"/>
      <c r="B1749" s="683"/>
      <c r="C1749" s="684"/>
      <c r="D1749" s="684"/>
      <c r="E1749" s="684"/>
      <c r="F1749" s="683"/>
      <c r="G1749" s="683"/>
      <c r="H1749" s="683"/>
      <c r="I1749" s="683"/>
      <c r="J1749" s="683"/>
      <c r="K1749" s="683"/>
      <c r="L1749" s="685"/>
      <c r="M1749" s="685"/>
      <c r="N1749" s="687"/>
      <c r="O1749" s="683"/>
      <c r="P1749" s="683"/>
      <c r="Q1749" s="686"/>
      <c r="R1749" s="686"/>
      <c r="S1749" s="686"/>
      <c r="T1749" s="686"/>
      <c r="U1749" s="686"/>
      <c r="V1749" s="686"/>
      <c r="W1749" s="686"/>
      <c r="X1749" s="686"/>
      <c r="Y1749" s="686"/>
      <c r="Z1749" s="686"/>
      <c r="AA1749" s="686"/>
      <c r="AB1749" s="686"/>
      <c r="AC1749" s="686"/>
      <c r="AD1749" s="686"/>
      <c r="AE1749" s="686"/>
      <c r="AF1749" s="686"/>
    </row>
    <row r="1750" ht="15.75" customHeight="1">
      <c r="A1750" s="683"/>
      <c r="B1750" s="683"/>
      <c r="C1750" s="684"/>
      <c r="D1750" s="684"/>
      <c r="E1750" s="684"/>
      <c r="F1750" s="683"/>
      <c r="G1750" s="683"/>
      <c r="H1750" s="683"/>
      <c r="I1750" s="683"/>
      <c r="J1750" s="683"/>
      <c r="K1750" s="683"/>
      <c r="L1750" s="685"/>
      <c r="M1750" s="685"/>
      <c r="N1750" s="687"/>
      <c r="O1750" s="683"/>
      <c r="P1750" s="683"/>
      <c r="Q1750" s="686"/>
      <c r="R1750" s="686"/>
      <c r="S1750" s="686"/>
      <c r="T1750" s="686"/>
      <c r="U1750" s="686"/>
      <c r="V1750" s="686"/>
      <c r="W1750" s="686"/>
      <c r="X1750" s="686"/>
      <c r="Y1750" s="686"/>
      <c r="Z1750" s="686"/>
      <c r="AA1750" s="686"/>
      <c r="AB1750" s="686"/>
      <c r="AC1750" s="686"/>
      <c r="AD1750" s="686"/>
      <c r="AE1750" s="686"/>
      <c r="AF1750" s="686"/>
    </row>
    <row r="1751" ht="15.75" customHeight="1">
      <c r="A1751" s="683"/>
      <c r="B1751" s="683"/>
      <c r="C1751" s="684"/>
      <c r="D1751" s="684"/>
      <c r="E1751" s="684"/>
      <c r="F1751" s="683"/>
      <c r="G1751" s="683"/>
      <c r="H1751" s="683"/>
      <c r="I1751" s="683"/>
      <c r="J1751" s="683"/>
      <c r="K1751" s="683"/>
      <c r="L1751" s="685"/>
      <c r="M1751" s="685"/>
      <c r="N1751" s="687"/>
      <c r="O1751" s="683"/>
      <c r="P1751" s="683"/>
      <c r="Q1751" s="686"/>
      <c r="R1751" s="686"/>
      <c r="S1751" s="686"/>
      <c r="T1751" s="686"/>
      <c r="U1751" s="686"/>
      <c r="V1751" s="686"/>
      <c r="W1751" s="686"/>
      <c r="X1751" s="686"/>
      <c r="Y1751" s="686"/>
      <c r="Z1751" s="686"/>
      <c r="AA1751" s="686"/>
      <c r="AB1751" s="686"/>
      <c r="AC1751" s="686"/>
      <c r="AD1751" s="686"/>
      <c r="AE1751" s="686"/>
      <c r="AF1751" s="686"/>
    </row>
    <row r="1752" ht="15.75" customHeight="1">
      <c r="A1752" s="683"/>
      <c r="B1752" s="683"/>
      <c r="C1752" s="684"/>
      <c r="D1752" s="684"/>
      <c r="E1752" s="684"/>
      <c r="F1752" s="683"/>
      <c r="G1752" s="683"/>
      <c r="H1752" s="683"/>
      <c r="I1752" s="683"/>
      <c r="J1752" s="683"/>
      <c r="K1752" s="683"/>
      <c r="L1752" s="685"/>
      <c r="M1752" s="685"/>
      <c r="N1752" s="687"/>
      <c r="O1752" s="683"/>
      <c r="P1752" s="683"/>
      <c r="Q1752" s="686"/>
      <c r="R1752" s="686"/>
      <c r="S1752" s="686"/>
      <c r="T1752" s="686"/>
      <c r="U1752" s="686"/>
      <c r="V1752" s="686"/>
      <c r="W1752" s="686"/>
      <c r="X1752" s="686"/>
      <c r="Y1752" s="686"/>
      <c r="Z1752" s="686"/>
      <c r="AA1752" s="686"/>
      <c r="AB1752" s="686"/>
      <c r="AC1752" s="686"/>
      <c r="AD1752" s="686"/>
      <c r="AE1752" s="686"/>
      <c r="AF1752" s="686"/>
    </row>
    <row r="1753" ht="15.75" customHeight="1">
      <c r="A1753" s="683"/>
      <c r="B1753" s="683"/>
      <c r="C1753" s="684"/>
      <c r="D1753" s="684"/>
      <c r="E1753" s="684"/>
      <c r="F1753" s="683"/>
      <c r="G1753" s="683"/>
      <c r="H1753" s="683"/>
      <c r="I1753" s="683"/>
      <c r="J1753" s="683"/>
      <c r="K1753" s="683"/>
      <c r="L1753" s="685"/>
      <c r="M1753" s="685"/>
      <c r="N1753" s="687"/>
      <c r="O1753" s="683"/>
      <c r="P1753" s="683"/>
      <c r="Q1753" s="686"/>
      <c r="R1753" s="686"/>
      <c r="S1753" s="686"/>
      <c r="T1753" s="686"/>
      <c r="U1753" s="686"/>
      <c r="V1753" s="686"/>
      <c r="W1753" s="686"/>
      <c r="X1753" s="686"/>
      <c r="Y1753" s="686"/>
      <c r="Z1753" s="686"/>
      <c r="AA1753" s="686"/>
      <c r="AB1753" s="686"/>
      <c r="AC1753" s="686"/>
      <c r="AD1753" s="686"/>
      <c r="AE1753" s="686"/>
      <c r="AF1753" s="686"/>
    </row>
    <row r="1754" ht="15.75" customHeight="1">
      <c r="A1754" s="683"/>
      <c r="B1754" s="683"/>
      <c r="C1754" s="684"/>
      <c r="D1754" s="684"/>
      <c r="E1754" s="684"/>
      <c r="F1754" s="683"/>
      <c r="G1754" s="683"/>
      <c r="H1754" s="683"/>
      <c r="I1754" s="683"/>
      <c r="J1754" s="683"/>
      <c r="K1754" s="683"/>
      <c r="L1754" s="685"/>
      <c r="M1754" s="685"/>
      <c r="N1754" s="687"/>
      <c r="O1754" s="683"/>
      <c r="P1754" s="683"/>
      <c r="Q1754" s="686"/>
      <c r="R1754" s="686"/>
      <c r="S1754" s="686"/>
      <c r="T1754" s="686"/>
      <c r="U1754" s="686"/>
      <c r="V1754" s="686"/>
      <c r="W1754" s="686"/>
      <c r="X1754" s="686"/>
      <c r="Y1754" s="686"/>
      <c r="Z1754" s="686"/>
      <c r="AA1754" s="686"/>
      <c r="AB1754" s="686"/>
      <c r="AC1754" s="686"/>
      <c r="AD1754" s="686"/>
      <c r="AE1754" s="686"/>
      <c r="AF1754" s="686"/>
    </row>
    <row r="1755" ht="15.75" customHeight="1">
      <c r="A1755" s="683"/>
      <c r="B1755" s="683"/>
      <c r="C1755" s="684"/>
      <c r="D1755" s="684"/>
      <c r="E1755" s="684"/>
      <c r="F1755" s="683"/>
      <c r="G1755" s="683"/>
      <c r="H1755" s="683"/>
      <c r="I1755" s="683"/>
      <c r="J1755" s="683"/>
      <c r="K1755" s="683"/>
      <c r="L1755" s="685"/>
      <c r="M1755" s="685"/>
      <c r="N1755" s="687"/>
      <c r="O1755" s="683"/>
      <c r="P1755" s="683"/>
      <c r="Q1755" s="686"/>
      <c r="R1755" s="686"/>
      <c r="S1755" s="686"/>
      <c r="T1755" s="686"/>
      <c r="U1755" s="686"/>
      <c r="V1755" s="686"/>
      <c r="W1755" s="686"/>
      <c r="X1755" s="686"/>
      <c r="Y1755" s="686"/>
      <c r="Z1755" s="686"/>
      <c r="AA1755" s="686"/>
      <c r="AB1755" s="686"/>
      <c r="AC1755" s="686"/>
      <c r="AD1755" s="686"/>
      <c r="AE1755" s="686"/>
      <c r="AF1755" s="686"/>
    </row>
    <row r="1756" ht="15.75" customHeight="1">
      <c r="A1756" s="683"/>
      <c r="B1756" s="683"/>
      <c r="C1756" s="684"/>
      <c r="D1756" s="684"/>
      <c r="E1756" s="684"/>
      <c r="F1756" s="683"/>
      <c r="G1756" s="683"/>
      <c r="H1756" s="683"/>
      <c r="I1756" s="683"/>
      <c r="J1756" s="683"/>
      <c r="K1756" s="683"/>
      <c r="L1756" s="685"/>
      <c r="M1756" s="685"/>
      <c r="N1756" s="687"/>
      <c r="O1756" s="683"/>
      <c r="P1756" s="683"/>
      <c r="Q1756" s="686"/>
      <c r="R1756" s="686"/>
      <c r="S1756" s="686"/>
      <c r="T1756" s="686"/>
      <c r="U1756" s="686"/>
      <c r="V1756" s="686"/>
      <c r="W1756" s="686"/>
      <c r="X1756" s="686"/>
      <c r="Y1756" s="686"/>
      <c r="Z1756" s="686"/>
      <c r="AA1756" s="686"/>
      <c r="AB1756" s="686"/>
      <c r="AC1756" s="686"/>
      <c r="AD1756" s="686"/>
      <c r="AE1756" s="686"/>
      <c r="AF1756" s="686"/>
    </row>
    <row r="1757" ht="15.75" customHeight="1">
      <c r="A1757" s="683"/>
      <c r="B1757" s="683"/>
      <c r="C1757" s="684"/>
      <c r="D1757" s="684"/>
      <c r="E1757" s="684"/>
      <c r="F1757" s="683"/>
      <c r="G1757" s="683"/>
      <c r="H1757" s="683"/>
      <c r="I1757" s="683"/>
      <c r="J1757" s="683"/>
      <c r="K1757" s="683"/>
      <c r="L1757" s="685"/>
      <c r="M1757" s="685"/>
      <c r="N1757" s="687"/>
      <c r="O1757" s="683"/>
      <c r="P1757" s="683"/>
      <c r="Q1757" s="686"/>
      <c r="R1757" s="686"/>
      <c r="S1757" s="686"/>
      <c r="T1757" s="686"/>
      <c r="U1757" s="686"/>
      <c r="V1757" s="686"/>
      <c r="W1757" s="686"/>
      <c r="X1757" s="686"/>
      <c r="Y1757" s="686"/>
      <c r="Z1757" s="686"/>
      <c r="AA1757" s="686"/>
      <c r="AB1757" s="686"/>
      <c r="AC1757" s="686"/>
      <c r="AD1757" s="686"/>
      <c r="AE1757" s="686"/>
      <c r="AF1757" s="686"/>
    </row>
    <row r="1758" ht="15.75" customHeight="1">
      <c r="A1758" s="683"/>
      <c r="B1758" s="683"/>
      <c r="C1758" s="684"/>
      <c r="D1758" s="684"/>
      <c r="E1758" s="684"/>
      <c r="F1758" s="683"/>
      <c r="G1758" s="683"/>
      <c r="H1758" s="683"/>
      <c r="I1758" s="683"/>
      <c r="J1758" s="683"/>
      <c r="K1758" s="683"/>
      <c r="L1758" s="685"/>
      <c r="M1758" s="685"/>
      <c r="N1758" s="687"/>
      <c r="O1758" s="683"/>
      <c r="P1758" s="683"/>
      <c r="Q1758" s="686"/>
      <c r="R1758" s="686"/>
      <c r="S1758" s="686"/>
      <c r="T1758" s="686"/>
      <c r="U1758" s="686"/>
      <c r="V1758" s="686"/>
      <c r="W1758" s="686"/>
      <c r="X1758" s="686"/>
      <c r="Y1758" s="686"/>
      <c r="Z1758" s="686"/>
      <c r="AA1758" s="686"/>
      <c r="AB1758" s="686"/>
      <c r="AC1758" s="686"/>
      <c r="AD1758" s="686"/>
      <c r="AE1758" s="686"/>
      <c r="AF1758" s="686"/>
    </row>
    <row r="1759" ht="15.75" customHeight="1">
      <c r="A1759" s="683"/>
      <c r="B1759" s="683"/>
      <c r="C1759" s="684"/>
      <c r="D1759" s="684"/>
      <c r="E1759" s="684"/>
      <c r="F1759" s="683"/>
      <c r="G1759" s="683"/>
      <c r="H1759" s="683"/>
      <c r="I1759" s="683"/>
      <c r="J1759" s="683"/>
      <c r="K1759" s="683"/>
      <c r="L1759" s="685"/>
      <c r="M1759" s="685"/>
      <c r="N1759" s="687"/>
      <c r="O1759" s="683"/>
      <c r="P1759" s="683"/>
      <c r="Q1759" s="686"/>
      <c r="R1759" s="686"/>
      <c r="S1759" s="686"/>
      <c r="T1759" s="686"/>
      <c r="U1759" s="686"/>
      <c r="V1759" s="686"/>
      <c r="W1759" s="686"/>
      <c r="X1759" s="686"/>
      <c r="Y1759" s="686"/>
      <c r="Z1759" s="686"/>
      <c r="AA1759" s="686"/>
      <c r="AB1759" s="686"/>
      <c r="AC1759" s="686"/>
      <c r="AD1759" s="686"/>
      <c r="AE1759" s="686"/>
      <c r="AF1759" s="686"/>
    </row>
    <row r="1760" ht="15.75" customHeight="1">
      <c r="A1760" s="683"/>
      <c r="B1760" s="683"/>
      <c r="C1760" s="684"/>
      <c r="D1760" s="684"/>
      <c r="E1760" s="684"/>
      <c r="F1760" s="683"/>
      <c r="G1760" s="683"/>
      <c r="H1760" s="683"/>
      <c r="I1760" s="683"/>
      <c r="J1760" s="683"/>
      <c r="K1760" s="683"/>
      <c r="L1760" s="685"/>
      <c r="M1760" s="685"/>
      <c r="N1760" s="687"/>
      <c r="O1760" s="683"/>
      <c r="P1760" s="683"/>
      <c r="Q1760" s="686"/>
      <c r="R1760" s="686"/>
      <c r="S1760" s="686"/>
      <c r="T1760" s="686"/>
      <c r="U1760" s="686"/>
      <c r="V1760" s="686"/>
      <c r="W1760" s="686"/>
      <c r="X1760" s="686"/>
      <c r="Y1760" s="686"/>
      <c r="Z1760" s="686"/>
      <c r="AA1760" s="686"/>
      <c r="AB1760" s="686"/>
      <c r="AC1760" s="686"/>
      <c r="AD1760" s="686"/>
      <c r="AE1760" s="686"/>
      <c r="AF1760" s="686"/>
    </row>
    <row r="1761" ht="15.75" customHeight="1">
      <c r="A1761" s="683"/>
      <c r="B1761" s="683"/>
      <c r="C1761" s="684"/>
      <c r="D1761" s="684"/>
      <c r="E1761" s="684"/>
      <c r="F1761" s="683"/>
      <c r="G1761" s="683"/>
      <c r="H1761" s="683"/>
      <c r="I1761" s="683"/>
      <c r="J1761" s="683"/>
      <c r="K1761" s="683"/>
      <c r="L1761" s="685"/>
      <c r="M1761" s="685"/>
      <c r="N1761" s="687"/>
      <c r="O1761" s="683"/>
      <c r="P1761" s="683"/>
      <c r="Q1761" s="686"/>
      <c r="R1761" s="686"/>
      <c r="S1761" s="686"/>
      <c r="T1761" s="686"/>
      <c r="U1761" s="686"/>
      <c r="V1761" s="686"/>
      <c r="W1761" s="686"/>
      <c r="X1761" s="686"/>
      <c r="Y1761" s="686"/>
      <c r="Z1761" s="686"/>
      <c r="AA1761" s="686"/>
      <c r="AB1761" s="686"/>
      <c r="AC1761" s="686"/>
      <c r="AD1761" s="686"/>
      <c r="AE1761" s="686"/>
      <c r="AF1761" s="686"/>
    </row>
    <row r="1762" ht="15.75" customHeight="1">
      <c r="A1762" s="683"/>
      <c r="B1762" s="683"/>
      <c r="C1762" s="684"/>
      <c r="D1762" s="684"/>
      <c r="E1762" s="684"/>
      <c r="F1762" s="683"/>
      <c r="G1762" s="683"/>
      <c r="H1762" s="683"/>
      <c r="I1762" s="683"/>
      <c r="J1762" s="683"/>
      <c r="K1762" s="683"/>
      <c r="L1762" s="685"/>
      <c r="M1762" s="685"/>
      <c r="N1762" s="687"/>
      <c r="O1762" s="683"/>
      <c r="P1762" s="683"/>
      <c r="Q1762" s="686"/>
      <c r="R1762" s="686"/>
      <c r="S1762" s="686"/>
      <c r="T1762" s="686"/>
      <c r="U1762" s="686"/>
      <c r="V1762" s="686"/>
      <c r="W1762" s="686"/>
      <c r="X1762" s="686"/>
      <c r="Y1762" s="686"/>
      <c r="Z1762" s="686"/>
      <c r="AA1762" s="686"/>
      <c r="AB1762" s="686"/>
      <c r="AC1762" s="686"/>
      <c r="AD1762" s="686"/>
      <c r="AE1762" s="686"/>
      <c r="AF1762" s="686"/>
    </row>
    <row r="1763" ht="15.75" customHeight="1">
      <c r="A1763" s="683"/>
      <c r="B1763" s="683"/>
      <c r="C1763" s="684"/>
      <c r="D1763" s="684"/>
      <c r="E1763" s="684"/>
      <c r="F1763" s="683"/>
      <c r="G1763" s="683"/>
      <c r="H1763" s="683"/>
      <c r="I1763" s="683"/>
      <c r="J1763" s="683"/>
      <c r="K1763" s="683"/>
      <c r="L1763" s="685"/>
      <c r="M1763" s="685"/>
      <c r="N1763" s="687"/>
      <c r="O1763" s="683"/>
      <c r="P1763" s="683"/>
      <c r="Q1763" s="686"/>
      <c r="R1763" s="686"/>
      <c r="S1763" s="686"/>
      <c r="T1763" s="686"/>
      <c r="U1763" s="686"/>
      <c r="V1763" s="686"/>
      <c r="W1763" s="686"/>
      <c r="X1763" s="686"/>
      <c r="Y1763" s="686"/>
      <c r="Z1763" s="686"/>
      <c r="AA1763" s="686"/>
      <c r="AB1763" s="686"/>
      <c r="AC1763" s="686"/>
      <c r="AD1763" s="686"/>
      <c r="AE1763" s="686"/>
      <c r="AF1763" s="686"/>
    </row>
    <row r="1764" ht="15.75" customHeight="1">
      <c r="A1764" s="683"/>
      <c r="B1764" s="683"/>
      <c r="C1764" s="684"/>
      <c r="D1764" s="684"/>
      <c r="E1764" s="684"/>
      <c r="F1764" s="683"/>
      <c r="G1764" s="683"/>
      <c r="H1764" s="683"/>
      <c r="I1764" s="683"/>
      <c r="J1764" s="683"/>
      <c r="K1764" s="683"/>
      <c r="L1764" s="685"/>
      <c r="M1764" s="685"/>
      <c r="N1764" s="687"/>
      <c r="O1764" s="683"/>
      <c r="P1764" s="683"/>
      <c r="Q1764" s="686"/>
      <c r="R1764" s="686"/>
      <c r="S1764" s="686"/>
      <c r="T1764" s="686"/>
      <c r="U1764" s="686"/>
      <c r="V1764" s="686"/>
      <c r="W1764" s="686"/>
      <c r="X1764" s="686"/>
      <c r="Y1764" s="686"/>
      <c r="Z1764" s="686"/>
      <c r="AA1764" s="686"/>
      <c r="AB1764" s="686"/>
      <c r="AC1764" s="686"/>
      <c r="AD1764" s="686"/>
      <c r="AE1764" s="686"/>
      <c r="AF1764" s="686"/>
    </row>
    <row r="1765" ht="15.75" customHeight="1">
      <c r="A1765" s="683"/>
      <c r="B1765" s="683"/>
      <c r="C1765" s="684"/>
      <c r="D1765" s="684"/>
      <c r="E1765" s="684"/>
      <c r="F1765" s="683"/>
      <c r="G1765" s="683"/>
      <c r="H1765" s="683"/>
      <c r="I1765" s="683"/>
      <c r="J1765" s="683"/>
      <c r="K1765" s="683"/>
      <c r="L1765" s="685"/>
      <c r="M1765" s="685"/>
      <c r="N1765" s="687"/>
      <c r="O1765" s="683"/>
      <c r="P1765" s="683"/>
      <c r="Q1765" s="686"/>
      <c r="R1765" s="686"/>
      <c r="S1765" s="686"/>
      <c r="T1765" s="686"/>
      <c r="U1765" s="686"/>
      <c r="V1765" s="686"/>
      <c r="W1765" s="686"/>
      <c r="X1765" s="686"/>
      <c r="Y1765" s="686"/>
      <c r="Z1765" s="686"/>
      <c r="AA1765" s="686"/>
      <c r="AB1765" s="686"/>
      <c r="AC1765" s="686"/>
      <c r="AD1765" s="686"/>
      <c r="AE1765" s="686"/>
      <c r="AF1765" s="686"/>
    </row>
    <row r="1766" ht="15.75" customHeight="1">
      <c r="A1766" s="683"/>
      <c r="B1766" s="683"/>
      <c r="C1766" s="684"/>
      <c r="D1766" s="684"/>
      <c r="E1766" s="684"/>
      <c r="F1766" s="683"/>
      <c r="G1766" s="683"/>
      <c r="H1766" s="683"/>
      <c r="I1766" s="683"/>
      <c r="J1766" s="683"/>
      <c r="K1766" s="683"/>
      <c r="L1766" s="685"/>
      <c r="M1766" s="685"/>
      <c r="N1766" s="687"/>
      <c r="O1766" s="683"/>
      <c r="P1766" s="683"/>
      <c r="Q1766" s="686"/>
      <c r="R1766" s="686"/>
      <c r="S1766" s="686"/>
      <c r="T1766" s="686"/>
      <c r="U1766" s="686"/>
      <c r="V1766" s="686"/>
      <c r="W1766" s="686"/>
      <c r="X1766" s="686"/>
      <c r="Y1766" s="686"/>
      <c r="Z1766" s="686"/>
      <c r="AA1766" s="686"/>
      <c r="AB1766" s="686"/>
      <c r="AC1766" s="686"/>
      <c r="AD1766" s="686"/>
      <c r="AE1766" s="686"/>
      <c r="AF1766" s="686"/>
    </row>
    <row r="1767" ht="15.75" customHeight="1">
      <c r="A1767" s="683"/>
      <c r="B1767" s="683"/>
      <c r="C1767" s="684"/>
      <c r="D1767" s="684"/>
      <c r="E1767" s="684"/>
      <c r="F1767" s="683"/>
      <c r="G1767" s="683"/>
      <c r="H1767" s="683"/>
      <c r="I1767" s="683"/>
      <c r="J1767" s="683"/>
      <c r="K1767" s="683"/>
      <c r="L1767" s="685"/>
      <c r="M1767" s="685"/>
      <c r="N1767" s="687"/>
      <c r="O1767" s="683"/>
      <c r="P1767" s="683"/>
      <c r="Q1767" s="686"/>
      <c r="R1767" s="686"/>
      <c r="S1767" s="686"/>
      <c r="T1767" s="686"/>
      <c r="U1767" s="686"/>
      <c r="V1767" s="686"/>
      <c r="W1767" s="686"/>
      <c r="X1767" s="686"/>
      <c r="Y1767" s="686"/>
      <c r="Z1767" s="686"/>
      <c r="AA1767" s="686"/>
      <c r="AB1767" s="686"/>
      <c r="AC1767" s="686"/>
      <c r="AD1767" s="686"/>
      <c r="AE1767" s="686"/>
      <c r="AF1767" s="686"/>
    </row>
    <row r="1768" ht="15.75" customHeight="1">
      <c r="A1768" s="683"/>
      <c r="B1768" s="683"/>
      <c r="C1768" s="684"/>
      <c r="D1768" s="684"/>
      <c r="E1768" s="684"/>
      <c r="F1768" s="683"/>
      <c r="G1768" s="683"/>
      <c r="H1768" s="683"/>
      <c r="I1768" s="683"/>
      <c r="J1768" s="683"/>
      <c r="K1768" s="683"/>
      <c r="L1768" s="685"/>
      <c r="M1768" s="685"/>
      <c r="N1768" s="687"/>
      <c r="O1768" s="683"/>
      <c r="P1768" s="683"/>
      <c r="Q1768" s="686"/>
      <c r="R1768" s="686"/>
      <c r="S1768" s="686"/>
      <c r="T1768" s="686"/>
      <c r="U1768" s="686"/>
      <c r="V1768" s="686"/>
      <c r="W1768" s="686"/>
      <c r="X1768" s="686"/>
      <c r="Y1768" s="686"/>
      <c r="Z1768" s="686"/>
      <c r="AA1768" s="686"/>
      <c r="AB1768" s="686"/>
      <c r="AC1768" s="686"/>
      <c r="AD1768" s="686"/>
      <c r="AE1768" s="686"/>
      <c r="AF1768" s="686"/>
    </row>
    <row r="1769" ht="15.75" customHeight="1">
      <c r="A1769" s="683"/>
      <c r="B1769" s="683"/>
      <c r="C1769" s="684"/>
      <c r="D1769" s="684"/>
      <c r="E1769" s="684"/>
      <c r="F1769" s="683"/>
      <c r="G1769" s="683"/>
      <c r="H1769" s="683"/>
      <c r="I1769" s="683"/>
      <c r="J1769" s="683"/>
      <c r="K1769" s="683"/>
      <c r="L1769" s="685"/>
      <c r="M1769" s="685"/>
      <c r="N1769" s="687"/>
      <c r="O1769" s="683"/>
      <c r="P1769" s="683"/>
      <c r="Q1769" s="686"/>
      <c r="R1769" s="686"/>
      <c r="S1769" s="686"/>
      <c r="T1769" s="686"/>
      <c r="U1769" s="686"/>
      <c r="V1769" s="686"/>
      <c r="W1769" s="686"/>
      <c r="X1769" s="686"/>
      <c r="Y1769" s="686"/>
      <c r="Z1769" s="686"/>
      <c r="AA1769" s="686"/>
      <c r="AB1769" s="686"/>
      <c r="AC1769" s="686"/>
      <c r="AD1769" s="686"/>
      <c r="AE1769" s="686"/>
      <c r="AF1769" s="686"/>
    </row>
    <row r="1770" ht="15.75" customHeight="1">
      <c r="A1770" s="683"/>
      <c r="B1770" s="683"/>
      <c r="C1770" s="684"/>
      <c r="D1770" s="684"/>
      <c r="E1770" s="684"/>
      <c r="F1770" s="683"/>
      <c r="G1770" s="683"/>
      <c r="H1770" s="683"/>
      <c r="I1770" s="683"/>
      <c r="J1770" s="683"/>
      <c r="K1770" s="683"/>
      <c r="L1770" s="685"/>
      <c r="M1770" s="685"/>
      <c r="N1770" s="687"/>
      <c r="O1770" s="683"/>
      <c r="P1770" s="683"/>
      <c r="Q1770" s="686"/>
      <c r="R1770" s="686"/>
      <c r="S1770" s="686"/>
      <c r="T1770" s="686"/>
      <c r="U1770" s="686"/>
      <c r="V1770" s="686"/>
      <c r="W1770" s="686"/>
      <c r="X1770" s="686"/>
      <c r="Y1770" s="686"/>
      <c r="Z1770" s="686"/>
      <c r="AA1770" s="686"/>
      <c r="AB1770" s="686"/>
      <c r="AC1770" s="686"/>
      <c r="AD1770" s="686"/>
      <c r="AE1770" s="686"/>
      <c r="AF1770" s="686"/>
    </row>
    <row r="1771" ht="15.75" customHeight="1">
      <c r="A1771" s="683"/>
      <c r="B1771" s="683"/>
      <c r="C1771" s="684"/>
      <c r="D1771" s="684"/>
      <c r="E1771" s="684"/>
      <c r="F1771" s="683"/>
      <c r="G1771" s="683"/>
      <c r="H1771" s="683"/>
      <c r="I1771" s="683"/>
      <c r="J1771" s="683"/>
      <c r="K1771" s="683"/>
      <c r="L1771" s="685"/>
      <c r="M1771" s="685"/>
      <c r="N1771" s="687"/>
      <c r="O1771" s="683"/>
      <c r="P1771" s="683"/>
      <c r="Q1771" s="686"/>
      <c r="R1771" s="686"/>
      <c r="S1771" s="686"/>
      <c r="T1771" s="686"/>
      <c r="U1771" s="686"/>
      <c r="V1771" s="686"/>
      <c r="W1771" s="686"/>
      <c r="X1771" s="686"/>
      <c r="Y1771" s="686"/>
      <c r="Z1771" s="686"/>
      <c r="AA1771" s="686"/>
      <c r="AB1771" s="686"/>
      <c r="AC1771" s="686"/>
      <c r="AD1771" s="686"/>
      <c r="AE1771" s="686"/>
      <c r="AF1771" s="686"/>
    </row>
    <row r="1772" ht="15.75" customHeight="1">
      <c r="A1772" s="683"/>
      <c r="B1772" s="683"/>
      <c r="C1772" s="684"/>
      <c r="D1772" s="684"/>
      <c r="E1772" s="684"/>
      <c r="F1772" s="683"/>
      <c r="G1772" s="683"/>
      <c r="H1772" s="683"/>
      <c r="I1772" s="683"/>
      <c r="J1772" s="683"/>
      <c r="K1772" s="683"/>
      <c r="L1772" s="685"/>
      <c r="M1772" s="685"/>
      <c r="N1772" s="687"/>
      <c r="O1772" s="683"/>
      <c r="P1772" s="683"/>
      <c r="Q1772" s="686"/>
      <c r="R1772" s="686"/>
      <c r="S1772" s="686"/>
      <c r="T1772" s="686"/>
      <c r="U1772" s="686"/>
      <c r="V1772" s="686"/>
      <c r="W1772" s="686"/>
      <c r="X1772" s="686"/>
      <c r="Y1772" s="686"/>
      <c r="Z1772" s="686"/>
      <c r="AA1772" s="686"/>
      <c r="AB1772" s="686"/>
      <c r="AC1772" s="686"/>
      <c r="AD1772" s="686"/>
      <c r="AE1772" s="686"/>
      <c r="AF1772" s="686"/>
    </row>
    <row r="1773" ht="15.75" customHeight="1">
      <c r="A1773" s="683"/>
      <c r="B1773" s="683"/>
      <c r="C1773" s="684"/>
      <c r="D1773" s="684"/>
      <c r="E1773" s="684"/>
      <c r="F1773" s="683"/>
      <c r="G1773" s="683"/>
      <c r="H1773" s="683"/>
      <c r="I1773" s="683"/>
      <c r="J1773" s="683"/>
      <c r="K1773" s="683"/>
      <c r="L1773" s="685"/>
      <c r="M1773" s="685"/>
      <c r="N1773" s="687"/>
      <c r="O1773" s="683"/>
      <c r="P1773" s="683"/>
      <c r="Q1773" s="686"/>
      <c r="R1773" s="686"/>
      <c r="S1773" s="686"/>
      <c r="T1773" s="686"/>
      <c r="U1773" s="686"/>
      <c r="V1773" s="686"/>
      <c r="W1773" s="686"/>
      <c r="X1773" s="686"/>
      <c r="Y1773" s="686"/>
      <c r="Z1773" s="686"/>
      <c r="AA1773" s="686"/>
      <c r="AB1773" s="686"/>
      <c r="AC1773" s="686"/>
      <c r="AD1773" s="686"/>
      <c r="AE1773" s="686"/>
      <c r="AF1773" s="686"/>
    </row>
    <row r="1774" ht="15.75" customHeight="1">
      <c r="A1774" s="683"/>
      <c r="B1774" s="683"/>
      <c r="C1774" s="684"/>
      <c r="D1774" s="684"/>
      <c r="E1774" s="684"/>
      <c r="F1774" s="683"/>
      <c r="G1774" s="683"/>
      <c r="H1774" s="683"/>
      <c r="I1774" s="683"/>
      <c r="J1774" s="683"/>
      <c r="K1774" s="683"/>
      <c r="L1774" s="685"/>
      <c r="M1774" s="685"/>
      <c r="N1774" s="687"/>
      <c r="O1774" s="683"/>
      <c r="P1774" s="683"/>
      <c r="Q1774" s="686"/>
      <c r="R1774" s="686"/>
      <c r="S1774" s="686"/>
      <c r="T1774" s="686"/>
      <c r="U1774" s="686"/>
      <c r="V1774" s="686"/>
      <c r="W1774" s="686"/>
      <c r="X1774" s="686"/>
      <c r="Y1774" s="686"/>
      <c r="Z1774" s="686"/>
      <c r="AA1774" s="686"/>
      <c r="AB1774" s="686"/>
      <c r="AC1774" s="686"/>
      <c r="AD1774" s="686"/>
      <c r="AE1774" s="686"/>
      <c r="AF1774" s="686"/>
    </row>
    <row r="1775" ht="15.75" customHeight="1">
      <c r="A1775" s="683"/>
      <c r="B1775" s="683"/>
      <c r="C1775" s="684"/>
      <c r="D1775" s="684"/>
      <c r="E1775" s="684"/>
      <c r="F1775" s="683"/>
      <c r="G1775" s="683"/>
      <c r="H1775" s="683"/>
      <c r="I1775" s="683"/>
      <c r="J1775" s="683"/>
      <c r="K1775" s="683"/>
      <c r="L1775" s="685"/>
      <c r="M1775" s="685"/>
      <c r="N1775" s="687"/>
      <c r="O1775" s="683"/>
      <c r="P1775" s="683"/>
      <c r="Q1775" s="686"/>
      <c r="R1775" s="686"/>
      <c r="S1775" s="686"/>
      <c r="T1775" s="686"/>
      <c r="U1775" s="686"/>
      <c r="V1775" s="686"/>
      <c r="W1775" s="686"/>
      <c r="X1775" s="686"/>
      <c r="Y1775" s="686"/>
      <c r="Z1775" s="686"/>
      <c r="AA1775" s="686"/>
      <c r="AB1775" s="686"/>
      <c r="AC1775" s="686"/>
      <c r="AD1775" s="686"/>
      <c r="AE1775" s="686"/>
      <c r="AF1775" s="686"/>
    </row>
    <row r="1776" ht="15.75" customHeight="1">
      <c r="A1776" s="683"/>
      <c r="B1776" s="683"/>
      <c r="C1776" s="684"/>
      <c r="D1776" s="684"/>
      <c r="E1776" s="684"/>
      <c r="F1776" s="683"/>
      <c r="G1776" s="683"/>
      <c r="H1776" s="683"/>
      <c r="I1776" s="683"/>
      <c r="J1776" s="683"/>
      <c r="K1776" s="683"/>
      <c r="L1776" s="685"/>
      <c r="M1776" s="685"/>
      <c r="N1776" s="687"/>
      <c r="O1776" s="683"/>
      <c r="P1776" s="683"/>
      <c r="Q1776" s="686"/>
      <c r="R1776" s="686"/>
      <c r="S1776" s="686"/>
      <c r="T1776" s="686"/>
      <c r="U1776" s="686"/>
      <c r="V1776" s="686"/>
      <c r="W1776" s="686"/>
      <c r="X1776" s="686"/>
      <c r="Y1776" s="686"/>
      <c r="Z1776" s="686"/>
      <c r="AA1776" s="686"/>
      <c r="AB1776" s="686"/>
      <c r="AC1776" s="686"/>
      <c r="AD1776" s="686"/>
      <c r="AE1776" s="686"/>
      <c r="AF1776" s="686"/>
    </row>
    <row r="1777" ht="15.75" customHeight="1">
      <c r="A1777" s="683"/>
      <c r="B1777" s="683"/>
      <c r="C1777" s="684"/>
      <c r="D1777" s="684"/>
      <c r="E1777" s="684"/>
      <c r="F1777" s="683"/>
      <c r="G1777" s="683"/>
      <c r="H1777" s="683"/>
      <c r="I1777" s="683"/>
      <c r="J1777" s="683"/>
      <c r="K1777" s="683"/>
      <c r="L1777" s="685"/>
      <c r="M1777" s="685"/>
      <c r="N1777" s="687"/>
      <c r="O1777" s="683"/>
      <c r="P1777" s="683"/>
      <c r="Q1777" s="686"/>
      <c r="R1777" s="686"/>
      <c r="S1777" s="686"/>
      <c r="T1777" s="686"/>
      <c r="U1777" s="686"/>
      <c r="V1777" s="686"/>
      <c r="W1777" s="686"/>
      <c r="X1777" s="686"/>
      <c r="Y1777" s="686"/>
      <c r="Z1777" s="686"/>
      <c r="AA1777" s="686"/>
      <c r="AB1777" s="686"/>
      <c r="AC1777" s="686"/>
      <c r="AD1777" s="686"/>
      <c r="AE1777" s="686"/>
      <c r="AF1777" s="686"/>
    </row>
    <row r="1778" ht="15.75" customHeight="1">
      <c r="A1778" s="683"/>
      <c r="B1778" s="683"/>
      <c r="C1778" s="684"/>
      <c r="D1778" s="684"/>
      <c r="E1778" s="684"/>
      <c r="F1778" s="683"/>
      <c r="G1778" s="683"/>
      <c r="H1778" s="683"/>
      <c r="I1778" s="683"/>
      <c r="J1778" s="683"/>
      <c r="K1778" s="683"/>
      <c r="L1778" s="685"/>
      <c r="M1778" s="685"/>
      <c r="N1778" s="687"/>
      <c r="O1778" s="683"/>
      <c r="P1778" s="683"/>
      <c r="Q1778" s="686"/>
      <c r="R1778" s="686"/>
      <c r="S1778" s="686"/>
      <c r="T1778" s="686"/>
      <c r="U1778" s="686"/>
      <c r="V1778" s="686"/>
      <c r="W1778" s="686"/>
      <c r="X1778" s="686"/>
      <c r="Y1778" s="686"/>
      <c r="Z1778" s="686"/>
      <c r="AA1778" s="686"/>
      <c r="AB1778" s="686"/>
      <c r="AC1778" s="686"/>
      <c r="AD1778" s="686"/>
      <c r="AE1778" s="686"/>
      <c r="AF1778" s="686"/>
    </row>
    <row r="1779" ht="15.75" customHeight="1">
      <c r="A1779" s="683"/>
      <c r="B1779" s="683"/>
      <c r="C1779" s="684"/>
      <c r="D1779" s="684"/>
      <c r="E1779" s="684"/>
      <c r="F1779" s="683"/>
      <c r="G1779" s="683"/>
      <c r="H1779" s="683"/>
      <c r="I1779" s="683"/>
      <c r="J1779" s="683"/>
      <c r="K1779" s="683"/>
      <c r="L1779" s="685"/>
      <c r="M1779" s="685"/>
      <c r="N1779" s="687"/>
      <c r="O1779" s="683"/>
      <c r="P1779" s="683"/>
      <c r="Q1779" s="686"/>
      <c r="R1779" s="686"/>
      <c r="S1779" s="686"/>
      <c r="T1779" s="686"/>
      <c r="U1779" s="686"/>
      <c r="V1779" s="686"/>
      <c r="W1779" s="686"/>
      <c r="X1779" s="686"/>
      <c r="Y1779" s="686"/>
      <c r="Z1779" s="686"/>
      <c r="AA1779" s="686"/>
      <c r="AB1779" s="686"/>
      <c r="AC1779" s="686"/>
      <c r="AD1779" s="686"/>
      <c r="AE1779" s="686"/>
      <c r="AF1779" s="686"/>
    </row>
    <row r="1780" ht="15.75" customHeight="1">
      <c r="A1780" s="683"/>
      <c r="B1780" s="683"/>
      <c r="C1780" s="684"/>
      <c r="D1780" s="684"/>
      <c r="E1780" s="684"/>
      <c r="F1780" s="683"/>
      <c r="G1780" s="683"/>
      <c r="H1780" s="683"/>
      <c r="I1780" s="683"/>
      <c r="J1780" s="683"/>
      <c r="K1780" s="683"/>
      <c r="L1780" s="685"/>
      <c r="M1780" s="685"/>
      <c r="N1780" s="687"/>
      <c r="O1780" s="683"/>
      <c r="P1780" s="683"/>
      <c r="Q1780" s="686"/>
      <c r="R1780" s="686"/>
      <c r="S1780" s="686"/>
      <c r="T1780" s="686"/>
      <c r="U1780" s="686"/>
      <c r="V1780" s="686"/>
      <c r="W1780" s="686"/>
      <c r="X1780" s="686"/>
      <c r="Y1780" s="686"/>
      <c r="Z1780" s="686"/>
      <c r="AA1780" s="686"/>
      <c r="AB1780" s="686"/>
      <c r="AC1780" s="686"/>
      <c r="AD1780" s="686"/>
      <c r="AE1780" s="686"/>
      <c r="AF1780" s="686"/>
    </row>
    <row r="1781" ht="15.75" customHeight="1">
      <c r="A1781" s="683"/>
      <c r="B1781" s="683"/>
      <c r="C1781" s="684"/>
      <c r="D1781" s="684"/>
      <c r="E1781" s="684"/>
      <c r="F1781" s="683"/>
      <c r="G1781" s="683"/>
      <c r="H1781" s="683"/>
      <c r="I1781" s="683"/>
      <c r="J1781" s="683"/>
      <c r="K1781" s="683"/>
      <c r="L1781" s="685"/>
      <c r="M1781" s="685"/>
      <c r="N1781" s="687"/>
      <c r="O1781" s="683"/>
      <c r="P1781" s="683"/>
      <c r="Q1781" s="686"/>
      <c r="R1781" s="686"/>
      <c r="S1781" s="686"/>
      <c r="T1781" s="686"/>
      <c r="U1781" s="686"/>
      <c r="V1781" s="686"/>
      <c r="W1781" s="686"/>
      <c r="X1781" s="686"/>
      <c r="Y1781" s="686"/>
      <c r="Z1781" s="686"/>
      <c r="AA1781" s="686"/>
      <c r="AB1781" s="686"/>
      <c r="AC1781" s="686"/>
      <c r="AD1781" s="686"/>
      <c r="AE1781" s="686"/>
      <c r="AF1781" s="686"/>
    </row>
    <row r="1782" ht="15.75" customHeight="1">
      <c r="A1782" s="683"/>
      <c r="B1782" s="683"/>
      <c r="C1782" s="684"/>
      <c r="D1782" s="684"/>
      <c r="E1782" s="684"/>
      <c r="F1782" s="683"/>
      <c r="G1782" s="683"/>
      <c r="H1782" s="683"/>
      <c r="I1782" s="683"/>
      <c r="J1782" s="683"/>
      <c r="K1782" s="683"/>
      <c r="L1782" s="685"/>
      <c r="M1782" s="685"/>
      <c r="N1782" s="687"/>
      <c r="O1782" s="683"/>
      <c r="P1782" s="683"/>
      <c r="Q1782" s="686"/>
      <c r="R1782" s="686"/>
      <c r="S1782" s="686"/>
      <c r="T1782" s="686"/>
      <c r="U1782" s="686"/>
      <c r="V1782" s="686"/>
      <c r="W1782" s="686"/>
      <c r="X1782" s="686"/>
      <c r="Y1782" s="686"/>
      <c r="Z1782" s="686"/>
      <c r="AA1782" s="686"/>
      <c r="AB1782" s="686"/>
      <c r="AC1782" s="686"/>
      <c r="AD1782" s="686"/>
      <c r="AE1782" s="686"/>
      <c r="AF1782" s="686"/>
    </row>
    <row r="1783" ht="15.75" customHeight="1">
      <c r="A1783" s="683"/>
      <c r="B1783" s="683"/>
      <c r="C1783" s="684"/>
      <c r="D1783" s="684"/>
      <c r="E1783" s="684"/>
      <c r="F1783" s="683"/>
      <c r="G1783" s="683"/>
      <c r="H1783" s="683"/>
      <c r="I1783" s="683"/>
      <c r="J1783" s="683"/>
      <c r="K1783" s="683"/>
      <c r="L1783" s="685"/>
      <c r="M1783" s="685"/>
      <c r="N1783" s="687"/>
      <c r="O1783" s="683"/>
      <c r="P1783" s="683"/>
      <c r="Q1783" s="686"/>
      <c r="R1783" s="686"/>
      <c r="S1783" s="686"/>
      <c r="T1783" s="686"/>
      <c r="U1783" s="686"/>
      <c r="V1783" s="686"/>
      <c r="W1783" s="686"/>
      <c r="X1783" s="686"/>
      <c r="Y1783" s="686"/>
      <c r="Z1783" s="686"/>
      <c r="AA1783" s="686"/>
      <c r="AB1783" s="686"/>
      <c r="AC1783" s="686"/>
      <c r="AD1783" s="686"/>
      <c r="AE1783" s="686"/>
      <c r="AF1783" s="686"/>
    </row>
    <row r="1784" ht="15.75" customHeight="1">
      <c r="A1784" s="683"/>
      <c r="B1784" s="683"/>
      <c r="C1784" s="684"/>
      <c r="D1784" s="684"/>
      <c r="E1784" s="684"/>
      <c r="F1784" s="683"/>
      <c r="G1784" s="683"/>
      <c r="H1784" s="683"/>
      <c r="I1784" s="683"/>
      <c r="J1784" s="683"/>
      <c r="K1784" s="683"/>
      <c r="L1784" s="685"/>
      <c r="M1784" s="685"/>
      <c r="N1784" s="687"/>
      <c r="O1784" s="683"/>
      <c r="P1784" s="683"/>
      <c r="Q1784" s="686"/>
      <c r="R1784" s="686"/>
      <c r="S1784" s="686"/>
      <c r="T1784" s="686"/>
      <c r="U1784" s="686"/>
      <c r="V1784" s="686"/>
      <c r="W1784" s="686"/>
      <c r="X1784" s="686"/>
      <c r="Y1784" s="686"/>
      <c r="Z1784" s="686"/>
      <c r="AA1784" s="686"/>
      <c r="AB1784" s="686"/>
      <c r="AC1784" s="686"/>
      <c r="AD1784" s="686"/>
      <c r="AE1784" s="686"/>
      <c r="AF1784" s="686"/>
    </row>
    <row r="1785" ht="15.75" customHeight="1">
      <c r="A1785" s="683"/>
      <c r="B1785" s="683"/>
      <c r="C1785" s="684"/>
      <c r="D1785" s="684"/>
      <c r="E1785" s="684"/>
      <c r="F1785" s="683"/>
      <c r="G1785" s="683"/>
      <c r="H1785" s="683"/>
      <c r="I1785" s="683"/>
      <c r="J1785" s="683"/>
      <c r="K1785" s="683"/>
      <c r="L1785" s="685"/>
      <c r="M1785" s="685"/>
      <c r="N1785" s="687"/>
      <c r="O1785" s="683"/>
      <c r="P1785" s="683"/>
      <c r="Q1785" s="686"/>
      <c r="R1785" s="686"/>
      <c r="S1785" s="686"/>
      <c r="T1785" s="686"/>
      <c r="U1785" s="686"/>
      <c r="V1785" s="686"/>
      <c r="W1785" s="686"/>
      <c r="X1785" s="686"/>
      <c r="Y1785" s="686"/>
      <c r="Z1785" s="686"/>
      <c r="AA1785" s="686"/>
      <c r="AB1785" s="686"/>
      <c r="AC1785" s="686"/>
      <c r="AD1785" s="686"/>
      <c r="AE1785" s="686"/>
      <c r="AF1785" s="686"/>
    </row>
    <row r="1786" ht="15.75" customHeight="1">
      <c r="A1786" s="683"/>
      <c r="B1786" s="683"/>
      <c r="C1786" s="684"/>
      <c r="D1786" s="684"/>
      <c r="E1786" s="684"/>
      <c r="F1786" s="683"/>
      <c r="G1786" s="683"/>
      <c r="H1786" s="683"/>
      <c r="I1786" s="683"/>
      <c r="J1786" s="683"/>
      <c r="K1786" s="683"/>
      <c r="L1786" s="685"/>
      <c r="M1786" s="685"/>
      <c r="N1786" s="687"/>
      <c r="O1786" s="683"/>
      <c r="P1786" s="683"/>
      <c r="Q1786" s="686"/>
      <c r="R1786" s="686"/>
      <c r="S1786" s="686"/>
      <c r="T1786" s="686"/>
      <c r="U1786" s="686"/>
      <c r="V1786" s="686"/>
      <c r="W1786" s="686"/>
      <c r="X1786" s="686"/>
      <c r="Y1786" s="686"/>
      <c r="Z1786" s="686"/>
      <c r="AA1786" s="686"/>
      <c r="AB1786" s="686"/>
      <c r="AC1786" s="686"/>
      <c r="AD1786" s="686"/>
      <c r="AE1786" s="686"/>
      <c r="AF1786" s="686"/>
    </row>
    <row r="1787" ht="15.75" customHeight="1">
      <c r="A1787" s="683"/>
      <c r="B1787" s="683"/>
      <c r="C1787" s="684"/>
      <c r="D1787" s="684"/>
      <c r="E1787" s="684"/>
      <c r="F1787" s="683"/>
      <c r="G1787" s="683"/>
      <c r="H1787" s="683"/>
      <c r="I1787" s="683"/>
      <c r="J1787" s="683"/>
      <c r="K1787" s="683"/>
      <c r="L1787" s="685"/>
      <c r="M1787" s="685"/>
      <c r="N1787" s="687"/>
      <c r="O1787" s="683"/>
      <c r="P1787" s="683"/>
      <c r="Q1787" s="686"/>
      <c r="R1787" s="686"/>
      <c r="S1787" s="686"/>
      <c r="T1787" s="686"/>
      <c r="U1787" s="686"/>
      <c r="V1787" s="686"/>
      <c r="W1787" s="686"/>
      <c r="X1787" s="686"/>
      <c r="Y1787" s="686"/>
      <c r="Z1787" s="686"/>
      <c r="AA1787" s="686"/>
      <c r="AB1787" s="686"/>
      <c r="AC1787" s="686"/>
      <c r="AD1787" s="686"/>
      <c r="AE1787" s="686"/>
      <c r="AF1787" s="686"/>
    </row>
    <row r="1788" ht="15.75" customHeight="1">
      <c r="A1788" s="683"/>
      <c r="B1788" s="683"/>
      <c r="C1788" s="684"/>
      <c r="D1788" s="684"/>
      <c r="E1788" s="684"/>
      <c r="F1788" s="683"/>
      <c r="G1788" s="683"/>
      <c r="H1788" s="683"/>
      <c r="I1788" s="683"/>
      <c r="J1788" s="683"/>
      <c r="K1788" s="683"/>
      <c r="L1788" s="685"/>
      <c r="M1788" s="685"/>
      <c r="N1788" s="687"/>
      <c r="O1788" s="683"/>
      <c r="P1788" s="683"/>
      <c r="Q1788" s="686"/>
      <c r="R1788" s="686"/>
      <c r="S1788" s="686"/>
      <c r="T1788" s="686"/>
      <c r="U1788" s="686"/>
      <c r="V1788" s="686"/>
      <c r="W1788" s="686"/>
      <c r="X1788" s="686"/>
      <c r="Y1788" s="686"/>
      <c r="Z1788" s="686"/>
      <c r="AA1788" s="686"/>
      <c r="AB1788" s="686"/>
      <c r="AC1788" s="686"/>
      <c r="AD1788" s="686"/>
      <c r="AE1788" s="686"/>
      <c r="AF1788" s="686"/>
    </row>
    <row r="1789" ht="15.75" customHeight="1">
      <c r="A1789" s="683"/>
      <c r="B1789" s="683"/>
      <c r="C1789" s="684"/>
      <c r="D1789" s="684"/>
      <c r="E1789" s="684"/>
      <c r="F1789" s="683"/>
      <c r="G1789" s="683"/>
      <c r="H1789" s="683"/>
      <c r="I1789" s="683"/>
      <c r="J1789" s="683"/>
      <c r="K1789" s="683"/>
      <c r="L1789" s="685"/>
      <c r="M1789" s="685"/>
      <c r="N1789" s="687"/>
      <c r="O1789" s="683"/>
      <c r="P1789" s="683"/>
      <c r="Q1789" s="686"/>
      <c r="R1789" s="686"/>
      <c r="S1789" s="686"/>
      <c r="T1789" s="686"/>
      <c r="U1789" s="686"/>
      <c r="V1789" s="686"/>
      <c r="W1789" s="686"/>
      <c r="X1789" s="686"/>
      <c r="Y1789" s="686"/>
      <c r="Z1789" s="686"/>
      <c r="AA1789" s="686"/>
      <c r="AB1789" s="686"/>
      <c r="AC1789" s="686"/>
      <c r="AD1789" s="686"/>
      <c r="AE1789" s="686"/>
      <c r="AF1789" s="686"/>
    </row>
    <row r="1790" ht="15.75" customHeight="1">
      <c r="A1790" s="683"/>
      <c r="B1790" s="683"/>
      <c r="C1790" s="684"/>
      <c r="D1790" s="684"/>
      <c r="E1790" s="684"/>
      <c r="F1790" s="683"/>
      <c r="G1790" s="683"/>
      <c r="H1790" s="683"/>
      <c r="I1790" s="683"/>
      <c r="J1790" s="683"/>
      <c r="K1790" s="683"/>
      <c r="L1790" s="685"/>
      <c r="M1790" s="685"/>
      <c r="N1790" s="687"/>
      <c r="O1790" s="683"/>
      <c r="P1790" s="683"/>
      <c r="Q1790" s="686"/>
      <c r="R1790" s="686"/>
      <c r="S1790" s="686"/>
      <c r="T1790" s="686"/>
      <c r="U1790" s="686"/>
      <c r="V1790" s="686"/>
      <c r="W1790" s="686"/>
      <c r="X1790" s="686"/>
      <c r="Y1790" s="686"/>
      <c r="Z1790" s="686"/>
      <c r="AA1790" s="686"/>
      <c r="AB1790" s="686"/>
      <c r="AC1790" s="686"/>
      <c r="AD1790" s="686"/>
      <c r="AE1790" s="686"/>
      <c r="AF1790" s="686"/>
    </row>
    <row r="1791" ht="15.75" customHeight="1">
      <c r="A1791" s="683"/>
      <c r="B1791" s="683"/>
      <c r="C1791" s="684"/>
      <c r="D1791" s="684"/>
      <c r="E1791" s="684"/>
      <c r="F1791" s="683"/>
      <c r="G1791" s="683"/>
      <c r="H1791" s="683"/>
      <c r="I1791" s="683"/>
      <c r="J1791" s="683"/>
      <c r="K1791" s="683"/>
      <c r="L1791" s="685"/>
      <c r="M1791" s="685"/>
      <c r="N1791" s="687"/>
      <c r="O1791" s="683"/>
      <c r="P1791" s="683"/>
      <c r="Q1791" s="686"/>
      <c r="R1791" s="686"/>
      <c r="S1791" s="686"/>
      <c r="T1791" s="686"/>
      <c r="U1791" s="686"/>
      <c r="V1791" s="686"/>
      <c r="W1791" s="686"/>
      <c r="X1791" s="686"/>
      <c r="Y1791" s="686"/>
      <c r="Z1791" s="686"/>
      <c r="AA1791" s="686"/>
      <c r="AB1791" s="686"/>
      <c r="AC1791" s="686"/>
      <c r="AD1791" s="686"/>
      <c r="AE1791" s="686"/>
      <c r="AF1791" s="686"/>
    </row>
    <row r="1792" ht="15.75" customHeight="1">
      <c r="A1792" s="683"/>
      <c r="B1792" s="683"/>
      <c r="C1792" s="684"/>
      <c r="D1792" s="684"/>
      <c r="E1792" s="684"/>
      <c r="F1792" s="683"/>
      <c r="G1792" s="683"/>
      <c r="H1792" s="683"/>
      <c r="I1792" s="683"/>
      <c r="J1792" s="683"/>
      <c r="K1792" s="683"/>
      <c r="L1792" s="685"/>
      <c r="M1792" s="685"/>
      <c r="N1792" s="687"/>
      <c r="O1792" s="683"/>
      <c r="P1792" s="683"/>
      <c r="Q1792" s="686"/>
      <c r="R1792" s="686"/>
      <c r="S1792" s="686"/>
      <c r="T1792" s="686"/>
      <c r="U1792" s="686"/>
      <c r="V1792" s="686"/>
      <c r="W1792" s="686"/>
      <c r="X1792" s="686"/>
      <c r="Y1792" s="686"/>
      <c r="Z1792" s="686"/>
      <c r="AA1792" s="686"/>
      <c r="AB1792" s="686"/>
      <c r="AC1792" s="686"/>
      <c r="AD1792" s="686"/>
      <c r="AE1792" s="686"/>
      <c r="AF1792" s="686"/>
    </row>
    <row r="1793" ht="15.75" customHeight="1">
      <c r="A1793" s="683"/>
      <c r="B1793" s="683"/>
      <c r="C1793" s="684"/>
      <c r="D1793" s="684"/>
      <c r="E1793" s="684"/>
      <c r="F1793" s="683"/>
      <c r="G1793" s="683"/>
      <c r="H1793" s="683"/>
      <c r="I1793" s="683"/>
      <c r="J1793" s="683"/>
      <c r="K1793" s="683"/>
      <c r="L1793" s="685"/>
      <c r="M1793" s="685"/>
      <c r="N1793" s="687"/>
      <c r="O1793" s="683"/>
      <c r="P1793" s="683"/>
      <c r="Q1793" s="686"/>
      <c r="R1793" s="686"/>
      <c r="S1793" s="686"/>
      <c r="T1793" s="686"/>
      <c r="U1793" s="686"/>
      <c r="V1793" s="686"/>
      <c r="W1793" s="686"/>
      <c r="X1793" s="686"/>
      <c r="Y1793" s="686"/>
      <c r="Z1793" s="686"/>
      <c r="AA1793" s="686"/>
      <c r="AB1793" s="686"/>
      <c r="AC1793" s="686"/>
      <c r="AD1793" s="686"/>
      <c r="AE1793" s="686"/>
      <c r="AF1793" s="686"/>
    </row>
    <row r="1794" ht="15.75" customHeight="1">
      <c r="A1794" s="683"/>
      <c r="B1794" s="683"/>
      <c r="C1794" s="684"/>
      <c r="D1794" s="684"/>
      <c r="E1794" s="684"/>
      <c r="F1794" s="683"/>
      <c r="G1794" s="683"/>
      <c r="H1794" s="683"/>
      <c r="I1794" s="683"/>
      <c r="J1794" s="683"/>
      <c r="K1794" s="683"/>
      <c r="L1794" s="685"/>
      <c r="M1794" s="685"/>
      <c r="N1794" s="687"/>
      <c r="O1794" s="683"/>
      <c r="P1794" s="683"/>
      <c r="Q1794" s="686"/>
      <c r="R1794" s="686"/>
      <c r="S1794" s="686"/>
      <c r="T1794" s="686"/>
      <c r="U1794" s="686"/>
      <c r="V1794" s="686"/>
      <c r="W1794" s="686"/>
      <c r="X1794" s="686"/>
      <c r="Y1794" s="686"/>
      <c r="Z1794" s="686"/>
      <c r="AA1794" s="686"/>
      <c r="AB1794" s="686"/>
      <c r="AC1794" s="686"/>
      <c r="AD1794" s="686"/>
      <c r="AE1794" s="686"/>
      <c r="AF1794" s="686"/>
    </row>
    <row r="1795" ht="15.75" customHeight="1">
      <c r="A1795" s="683"/>
      <c r="B1795" s="683"/>
      <c r="C1795" s="684"/>
      <c r="D1795" s="684"/>
      <c r="E1795" s="684"/>
      <c r="F1795" s="683"/>
      <c r="G1795" s="683"/>
      <c r="H1795" s="683"/>
      <c r="I1795" s="683"/>
      <c r="J1795" s="683"/>
      <c r="K1795" s="683"/>
      <c r="L1795" s="685"/>
      <c r="M1795" s="685"/>
      <c r="N1795" s="687"/>
      <c r="O1795" s="683"/>
      <c r="P1795" s="683"/>
      <c r="Q1795" s="686"/>
      <c r="R1795" s="686"/>
      <c r="S1795" s="686"/>
      <c r="T1795" s="686"/>
      <c r="U1795" s="686"/>
      <c r="V1795" s="686"/>
      <c r="W1795" s="686"/>
      <c r="X1795" s="686"/>
      <c r="Y1795" s="686"/>
      <c r="Z1795" s="686"/>
      <c r="AA1795" s="686"/>
      <c r="AB1795" s="686"/>
      <c r="AC1795" s="686"/>
      <c r="AD1795" s="686"/>
      <c r="AE1795" s="686"/>
      <c r="AF1795" s="686"/>
    </row>
    <row r="1796" ht="15.75" customHeight="1">
      <c r="A1796" s="683"/>
      <c r="B1796" s="683"/>
      <c r="C1796" s="684"/>
      <c r="D1796" s="684"/>
      <c r="E1796" s="684"/>
      <c r="F1796" s="683"/>
      <c r="G1796" s="683"/>
      <c r="H1796" s="683"/>
      <c r="I1796" s="683"/>
      <c r="J1796" s="683"/>
      <c r="K1796" s="683"/>
      <c r="L1796" s="685"/>
      <c r="M1796" s="685"/>
      <c r="N1796" s="687"/>
      <c r="O1796" s="683"/>
      <c r="P1796" s="683"/>
      <c r="Q1796" s="686"/>
      <c r="R1796" s="686"/>
      <c r="S1796" s="686"/>
      <c r="T1796" s="686"/>
      <c r="U1796" s="686"/>
      <c r="V1796" s="686"/>
      <c r="W1796" s="686"/>
      <c r="X1796" s="686"/>
      <c r="Y1796" s="686"/>
      <c r="Z1796" s="686"/>
      <c r="AA1796" s="686"/>
      <c r="AB1796" s="686"/>
      <c r="AC1796" s="686"/>
      <c r="AD1796" s="686"/>
      <c r="AE1796" s="686"/>
      <c r="AF1796" s="686"/>
    </row>
    <row r="1797" ht="15.75" customHeight="1">
      <c r="A1797" s="683"/>
      <c r="B1797" s="683"/>
      <c r="C1797" s="684"/>
      <c r="D1797" s="684"/>
      <c r="E1797" s="684"/>
      <c r="F1797" s="683"/>
      <c r="G1797" s="683"/>
      <c r="H1797" s="683"/>
      <c r="I1797" s="683"/>
      <c r="J1797" s="683"/>
      <c r="K1797" s="683"/>
      <c r="L1797" s="685"/>
      <c r="M1797" s="685"/>
      <c r="N1797" s="687"/>
      <c r="O1797" s="683"/>
      <c r="P1797" s="683"/>
      <c r="Q1797" s="686"/>
      <c r="R1797" s="686"/>
      <c r="S1797" s="686"/>
      <c r="T1797" s="686"/>
      <c r="U1797" s="686"/>
      <c r="V1797" s="686"/>
      <c r="W1797" s="686"/>
      <c r="X1797" s="686"/>
      <c r="Y1797" s="686"/>
      <c r="Z1797" s="686"/>
      <c r="AA1797" s="686"/>
      <c r="AB1797" s="686"/>
      <c r="AC1797" s="686"/>
      <c r="AD1797" s="686"/>
      <c r="AE1797" s="686"/>
      <c r="AF1797" s="686"/>
    </row>
    <row r="1798" ht="15.75" customHeight="1">
      <c r="A1798" s="683"/>
      <c r="B1798" s="683"/>
      <c r="C1798" s="684"/>
      <c r="D1798" s="684"/>
      <c r="E1798" s="684"/>
      <c r="F1798" s="683"/>
      <c r="G1798" s="683"/>
      <c r="H1798" s="683"/>
      <c r="I1798" s="683"/>
      <c r="J1798" s="683"/>
      <c r="K1798" s="683"/>
      <c r="L1798" s="685"/>
      <c r="M1798" s="685"/>
      <c r="N1798" s="687"/>
      <c r="O1798" s="683"/>
      <c r="P1798" s="683"/>
      <c r="Q1798" s="686"/>
      <c r="R1798" s="686"/>
      <c r="S1798" s="686"/>
      <c r="T1798" s="686"/>
      <c r="U1798" s="686"/>
      <c r="V1798" s="686"/>
      <c r="W1798" s="686"/>
      <c r="X1798" s="686"/>
      <c r="Y1798" s="686"/>
      <c r="Z1798" s="686"/>
      <c r="AA1798" s="686"/>
      <c r="AB1798" s="686"/>
      <c r="AC1798" s="686"/>
      <c r="AD1798" s="686"/>
      <c r="AE1798" s="686"/>
      <c r="AF1798" s="686"/>
    </row>
    <row r="1799" ht="15.75" customHeight="1">
      <c r="A1799" s="683"/>
      <c r="B1799" s="683"/>
      <c r="C1799" s="684"/>
      <c r="D1799" s="684"/>
      <c r="E1799" s="684"/>
      <c r="F1799" s="683"/>
      <c r="G1799" s="683"/>
      <c r="H1799" s="683"/>
      <c r="I1799" s="683"/>
      <c r="J1799" s="683"/>
      <c r="K1799" s="683"/>
      <c r="L1799" s="685"/>
      <c r="M1799" s="685"/>
      <c r="N1799" s="687"/>
      <c r="O1799" s="683"/>
      <c r="P1799" s="683"/>
      <c r="Q1799" s="686"/>
      <c r="R1799" s="686"/>
      <c r="S1799" s="686"/>
      <c r="T1799" s="686"/>
      <c r="U1799" s="686"/>
      <c r="V1799" s="686"/>
      <c r="W1799" s="686"/>
      <c r="X1799" s="686"/>
      <c r="Y1799" s="686"/>
      <c r="Z1799" s="686"/>
      <c r="AA1799" s="686"/>
      <c r="AB1799" s="686"/>
      <c r="AC1799" s="686"/>
      <c r="AD1799" s="686"/>
      <c r="AE1799" s="686"/>
      <c r="AF1799" s="686"/>
    </row>
    <row r="1800" ht="15.75" customHeight="1">
      <c r="A1800" s="683"/>
      <c r="B1800" s="683"/>
      <c r="C1800" s="684"/>
      <c r="D1800" s="684"/>
      <c r="E1800" s="684"/>
      <c r="F1800" s="683"/>
      <c r="G1800" s="683"/>
      <c r="H1800" s="683"/>
      <c r="I1800" s="683"/>
      <c r="J1800" s="683"/>
      <c r="K1800" s="683"/>
      <c r="L1800" s="685"/>
      <c r="M1800" s="685"/>
      <c r="N1800" s="687"/>
      <c r="O1800" s="683"/>
      <c r="P1800" s="683"/>
      <c r="Q1800" s="686"/>
      <c r="R1800" s="686"/>
      <c r="S1800" s="686"/>
      <c r="T1800" s="686"/>
      <c r="U1800" s="686"/>
      <c r="V1800" s="686"/>
      <c r="W1800" s="686"/>
      <c r="X1800" s="686"/>
      <c r="Y1800" s="686"/>
      <c r="Z1800" s="686"/>
      <c r="AA1800" s="686"/>
      <c r="AB1800" s="686"/>
      <c r="AC1800" s="686"/>
      <c r="AD1800" s="686"/>
      <c r="AE1800" s="686"/>
      <c r="AF1800" s="686"/>
    </row>
    <row r="1801" ht="15.75" customHeight="1">
      <c r="A1801" s="683"/>
      <c r="B1801" s="683"/>
      <c r="C1801" s="684"/>
      <c r="D1801" s="684"/>
      <c r="E1801" s="684"/>
      <c r="F1801" s="683"/>
      <c r="G1801" s="683"/>
      <c r="H1801" s="683"/>
      <c r="I1801" s="683"/>
      <c r="J1801" s="683"/>
      <c r="K1801" s="683"/>
      <c r="L1801" s="685"/>
      <c r="M1801" s="685"/>
      <c r="N1801" s="687"/>
      <c r="O1801" s="683"/>
      <c r="P1801" s="683"/>
      <c r="Q1801" s="686"/>
      <c r="R1801" s="686"/>
      <c r="S1801" s="686"/>
      <c r="T1801" s="686"/>
      <c r="U1801" s="686"/>
      <c r="V1801" s="686"/>
      <c r="W1801" s="686"/>
      <c r="X1801" s="686"/>
      <c r="Y1801" s="686"/>
      <c r="Z1801" s="686"/>
      <c r="AA1801" s="686"/>
      <c r="AB1801" s="686"/>
      <c r="AC1801" s="686"/>
      <c r="AD1801" s="686"/>
      <c r="AE1801" s="686"/>
      <c r="AF1801" s="686"/>
    </row>
    <row r="1802" ht="15.75" customHeight="1">
      <c r="A1802" s="683"/>
      <c r="B1802" s="683"/>
      <c r="C1802" s="684"/>
      <c r="D1802" s="684"/>
      <c r="E1802" s="684"/>
      <c r="F1802" s="683"/>
      <c r="G1802" s="683"/>
      <c r="H1802" s="683"/>
      <c r="I1802" s="683"/>
      <c r="J1802" s="683"/>
      <c r="K1802" s="683"/>
      <c r="L1802" s="685"/>
      <c r="M1802" s="685"/>
      <c r="N1802" s="687"/>
      <c r="O1802" s="683"/>
      <c r="P1802" s="683"/>
      <c r="Q1802" s="686"/>
      <c r="R1802" s="686"/>
      <c r="S1802" s="686"/>
      <c r="T1802" s="686"/>
      <c r="U1802" s="686"/>
      <c r="V1802" s="686"/>
      <c r="W1802" s="686"/>
      <c r="X1802" s="686"/>
      <c r="Y1802" s="686"/>
      <c r="Z1802" s="686"/>
      <c r="AA1802" s="686"/>
      <c r="AB1802" s="686"/>
      <c r="AC1802" s="686"/>
      <c r="AD1802" s="686"/>
      <c r="AE1802" s="686"/>
      <c r="AF1802" s="686"/>
    </row>
    <row r="1803" ht="15.75" customHeight="1">
      <c r="A1803" s="683"/>
      <c r="B1803" s="683"/>
      <c r="C1803" s="684"/>
      <c r="D1803" s="684"/>
      <c r="E1803" s="684"/>
      <c r="F1803" s="683"/>
      <c r="G1803" s="683"/>
      <c r="H1803" s="683"/>
      <c r="I1803" s="683"/>
      <c r="J1803" s="683"/>
      <c r="K1803" s="683"/>
      <c r="L1803" s="685"/>
      <c r="M1803" s="685"/>
      <c r="N1803" s="687"/>
      <c r="O1803" s="683"/>
      <c r="P1803" s="683"/>
      <c r="Q1803" s="686"/>
      <c r="R1803" s="686"/>
      <c r="S1803" s="686"/>
      <c r="T1803" s="686"/>
      <c r="U1803" s="686"/>
      <c r="V1803" s="686"/>
      <c r="W1803" s="686"/>
      <c r="X1803" s="686"/>
      <c r="Y1803" s="686"/>
      <c r="Z1803" s="686"/>
      <c r="AA1803" s="686"/>
      <c r="AB1803" s="686"/>
      <c r="AC1803" s="686"/>
      <c r="AD1803" s="686"/>
      <c r="AE1803" s="686"/>
      <c r="AF1803" s="686"/>
    </row>
    <row r="1804" ht="15.75" customHeight="1">
      <c r="A1804" s="683"/>
      <c r="B1804" s="683"/>
      <c r="C1804" s="684"/>
      <c r="D1804" s="684"/>
      <c r="E1804" s="684"/>
      <c r="F1804" s="683"/>
      <c r="G1804" s="683"/>
      <c r="H1804" s="683"/>
      <c r="I1804" s="683"/>
      <c r="J1804" s="683"/>
      <c r="K1804" s="683"/>
      <c r="L1804" s="685"/>
      <c r="M1804" s="685"/>
      <c r="N1804" s="687"/>
      <c r="O1804" s="683"/>
      <c r="P1804" s="683"/>
      <c r="Q1804" s="686"/>
      <c r="R1804" s="686"/>
      <c r="S1804" s="686"/>
      <c r="T1804" s="686"/>
      <c r="U1804" s="686"/>
      <c r="V1804" s="686"/>
      <c r="W1804" s="686"/>
      <c r="X1804" s="686"/>
      <c r="Y1804" s="686"/>
      <c r="Z1804" s="686"/>
      <c r="AA1804" s="686"/>
      <c r="AB1804" s="686"/>
      <c r="AC1804" s="686"/>
      <c r="AD1804" s="686"/>
      <c r="AE1804" s="686"/>
      <c r="AF1804" s="686"/>
    </row>
    <row r="1805" ht="15.75" customHeight="1">
      <c r="A1805" s="683"/>
      <c r="B1805" s="683"/>
      <c r="C1805" s="684"/>
      <c r="D1805" s="684"/>
      <c r="E1805" s="684"/>
      <c r="F1805" s="683"/>
      <c r="G1805" s="683"/>
      <c r="H1805" s="683"/>
      <c r="I1805" s="683"/>
      <c r="J1805" s="683"/>
      <c r="K1805" s="683"/>
      <c r="L1805" s="685"/>
      <c r="M1805" s="685"/>
      <c r="N1805" s="687"/>
      <c r="O1805" s="683"/>
      <c r="P1805" s="683"/>
      <c r="Q1805" s="686"/>
      <c r="R1805" s="686"/>
      <c r="S1805" s="686"/>
      <c r="T1805" s="686"/>
      <c r="U1805" s="686"/>
      <c r="V1805" s="686"/>
      <c r="W1805" s="686"/>
      <c r="X1805" s="686"/>
      <c r="Y1805" s="686"/>
      <c r="Z1805" s="686"/>
      <c r="AA1805" s="686"/>
      <c r="AB1805" s="686"/>
      <c r="AC1805" s="686"/>
      <c r="AD1805" s="686"/>
      <c r="AE1805" s="686"/>
      <c r="AF1805" s="686"/>
    </row>
    <row r="1806" ht="15.75" customHeight="1">
      <c r="A1806" s="683"/>
      <c r="B1806" s="683"/>
      <c r="C1806" s="684"/>
      <c r="D1806" s="684"/>
      <c r="E1806" s="684"/>
      <c r="F1806" s="683"/>
      <c r="G1806" s="683"/>
      <c r="H1806" s="683"/>
      <c r="I1806" s="683"/>
      <c r="J1806" s="683"/>
      <c r="K1806" s="683"/>
      <c r="L1806" s="685"/>
      <c r="M1806" s="685"/>
      <c r="N1806" s="687"/>
      <c r="O1806" s="683"/>
      <c r="P1806" s="683"/>
      <c r="Q1806" s="686"/>
      <c r="R1806" s="686"/>
      <c r="S1806" s="686"/>
      <c r="T1806" s="686"/>
      <c r="U1806" s="686"/>
      <c r="V1806" s="686"/>
      <c r="W1806" s="686"/>
      <c r="X1806" s="686"/>
      <c r="Y1806" s="686"/>
      <c r="Z1806" s="686"/>
      <c r="AA1806" s="686"/>
      <c r="AB1806" s="686"/>
      <c r="AC1806" s="686"/>
      <c r="AD1806" s="686"/>
      <c r="AE1806" s="686"/>
      <c r="AF1806" s="686"/>
    </row>
    <row r="1807" ht="15.75" customHeight="1">
      <c r="A1807" s="683"/>
      <c r="B1807" s="683"/>
      <c r="C1807" s="684"/>
      <c r="D1807" s="684"/>
      <c r="E1807" s="684"/>
      <c r="F1807" s="683"/>
      <c r="G1807" s="683"/>
      <c r="H1807" s="683"/>
      <c r="I1807" s="683"/>
      <c r="J1807" s="683"/>
      <c r="K1807" s="683"/>
      <c r="L1807" s="685"/>
      <c r="M1807" s="685"/>
      <c r="N1807" s="687"/>
      <c r="O1807" s="683"/>
      <c r="P1807" s="683"/>
      <c r="Q1807" s="686"/>
      <c r="R1807" s="686"/>
      <c r="S1807" s="686"/>
      <c r="T1807" s="686"/>
      <c r="U1807" s="686"/>
      <c r="V1807" s="686"/>
      <c r="W1807" s="686"/>
      <c r="X1807" s="686"/>
      <c r="Y1807" s="686"/>
      <c r="Z1807" s="686"/>
      <c r="AA1807" s="686"/>
      <c r="AB1807" s="686"/>
      <c r="AC1807" s="686"/>
      <c r="AD1807" s="686"/>
      <c r="AE1807" s="686"/>
      <c r="AF1807" s="686"/>
    </row>
    <row r="1808" ht="15.75" customHeight="1">
      <c r="A1808" s="683"/>
      <c r="B1808" s="683"/>
      <c r="C1808" s="684"/>
      <c r="D1808" s="684"/>
      <c r="E1808" s="684"/>
      <c r="F1808" s="683"/>
      <c r="G1808" s="683"/>
      <c r="H1808" s="683"/>
      <c r="I1808" s="683"/>
      <c r="J1808" s="683"/>
      <c r="K1808" s="683"/>
      <c r="L1808" s="685"/>
      <c r="M1808" s="685"/>
      <c r="N1808" s="687"/>
      <c r="O1808" s="683"/>
      <c r="P1808" s="683"/>
      <c r="Q1808" s="686"/>
      <c r="R1808" s="686"/>
      <c r="S1808" s="686"/>
      <c r="T1808" s="686"/>
      <c r="U1808" s="686"/>
      <c r="V1808" s="686"/>
      <c r="W1808" s="686"/>
      <c r="X1808" s="686"/>
      <c r="Y1808" s="686"/>
      <c r="Z1808" s="686"/>
      <c r="AA1808" s="686"/>
      <c r="AB1808" s="686"/>
      <c r="AC1808" s="686"/>
      <c r="AD1808" s="686"/>
      <c r="AE1808" s="686"/>
      <c r="AF1808" s="686"/>
    </row>
    <row r="1809" ht="15.75" customHeight="1">
      <c r="A1809" s="683"/>
      <c r="B1809" s="683"/>
      <c r="C1809" s="684"/>
      <c r="D1809" s="684"/>
      <c r="E1809" s="684"/>
      <c r="F1809" s="683"/>
      <c r="G1809" s="683"/>
      <c r="H1809" s="683"/>
      <c r="I1809" s="683"/>
      <c r="J1809" s="683"/>
      <c r="K1809" s="683"/>
      <c r="L1809" s="685"/>
      <c r="M1809" s="685"/>
      <c r="N1809" s="687"/>
      <c r="O1809" s="683"/>
      <c r="P1809" s="683"/>
      <c r="Q1809" s="686"/>
      <c r="R1809" s="686"/>
      <c r="S1809" s="686"/>
      <c r="T1809" s="686"/>
      <c r="U1809" s="686"/>
      <c r="V1809" s="686"/>
      <c r="W1809" s="686"/>
      <c r="X1809" s="686"/>
      <c r="Y1809" s="686"/>
      <c r="Z1809" s="686"/>
      <c r="AA1809" s="686"/>
      <c r="AB1809" s="686"/>
      <c r="AC1809" s="686"/>
      <c r="AD1809" s="686"/>
      <c r="AE1809" s="686"/>
      <c r="AF1809" s="686"/>
    </row>
    <row r="1810" ht="15.75" customHeight="1">
      <c r="A1810" s="683"/>
      <c r="B1810" s="683"/>
      <c r="C1810" s="684"/>
      <c r="D1810" s="684"/>
      <c r="E1810" s="684"/>
      <c r="F1810" s="683"/>
      <c r="G1810" s="683"/>
      <c r="H1810" s="683"/>
      <c r="I1810" s="683"/>
      <c r="J1810" s="683"/>
      <c r="K1810" s="683"/>
      <c r="L1810" s="685"/>
      <c r="M1810" s="685"/>
      <c r="N1810" s="687"/>
      <c r="O1810" s="683"/>
      <c r="P1810" s="683"/>
      <c r="Q1810" s="686"/>
      <c r="R1810" s="686"/>
      <c r="S1810" s="686"/>
      <c r="T1810" s="686"/>
      <c r="U1810" s="686"/>
      <c r="V1810" s="686"/>
      <c r="W1810" s="686"/>
      <c r="X1810" s="686"/>
      <c r="Y1810" s="686"/>
      <c r="Z1810" s="686"/>
      <c r="AA1810" s="686"/>
      <c r="AB1810" s="686"/>
      <c r="AC1810" s="686"/>
      <c r="AD1810" s="686"/>
      <c r="AE1810" s="686"/>
      <c r="AF1810" s="686"/>
    </row>
    <row r="1811" ht="15.75" customHeight="1">
      <c r="A1811" s="683"/>
      <c r="B1811" s="683"/>
      <c r="C1811" s="684"/>
      <c r="D1811" s="684"/>
      <c r="E1811" s="684"/>
      <c r="F1811" s="683"/>
      <c r="G1811" s="683"/>
      <c r="H1811" s="683"/>
      <c r="I1811" s="683"/>
      <c r="J1811" s="683"/>
      <c r="K1811" s="683"/>
      <c r="L1811" s="685"/>
      <c r="M1811" s="685"/>
      <c r="N1811" s="687"/>
      <c r="O1811" s="683"/>
      <c r="P1811" s="683"/>
      <c r="Q1811" s="686"/>
      <c r="R1811" s="686"/>
      <c r="S1811" s="686"/>
      <c r="T1811" s="686"/>
      <c r="U1811" s="686"/>
      <c r="V1811" s="686"/>
      <c r="W1811" s="686"/>
      <c r="X1811" s="686"/>
      <c r="Y1811" s="686"/>
      <c r="Z1811" s="686"/>
      <c r="AA1811" s="686"/>
      <c r="AB1811" s="686"/>
      <c r="AC1811" s="686"/>
      <c r="AD1811" s="686"/>
      <c r="AE1811" s="686"/>
      <c r="AF1811" s="686"/>
    </row>
    <row r="1812" ht="15.75" customHeight="1">
      <c r="A1812" s="683"/>
      <c r="B1812" s="683"/>
      <c r="C1812" s="684"/>
      <c r="D1812" s="684"/>
      <c r="E1812" s="684"/>
      <c r="F1812" s="683"/>
      <c r="G1812" s="683"/>
      <c r="H1812" s="683"/>
      <c r="I1812" s="683"/>
      <c r="J1812" s="683"/>
      <c r="K1812" s="683"/>
      <c r="L1812" s="685"/>
      <c r="M1812" s="685"/>
      <c r="N1812" s="687"/>
      <c r="O1812" s="683"/>
      <c r="P1812" s="683"/>
      <c r="Q1812" s="686"/>
      <c r="R1812" s="686"/>
      <c r="S1812" s="686"/>
      <c r="T1812" s="686"/>
      <c r="U1812" s="686"/>
      <c r="V1812" s="686"/>
      <c r="W1812" s="686"/>
      <c r="X1812" s="686"/>
      <c r="Y1812" s="686"/>
      <c r="Z1812" s="686"/>
      <c r="AA1812" s="686"/>
      <c r="AB1812" s="686"/>
      <c r="AC1812" s="686"/>
      <c r="AD1812" s="686"/>
      <c r="AE1812" s="686"/>
      <c r="AF1812" s="686"/>
    </row>
    <row r="1813" ht="15.75" customHeight="1">
      <c r="A1813" s="683"/>
      <c r="B1813" s="683"/>
      <c r="C1813" s="684"/>
      <c r="D1813" s="684"/>
      <c r="E1813" s="684"/>
      <c r="F1813" s="683"/>
      <c r="G1813" s="683"/>
      <c r="H1813" s="683"/>
      <c r="I1813" s="683"/>
      <c r="J1813" s="683"/>
      <c r="K1813" s="683"/>
      <c r="L1813" s="685"/>
      <c r="M1813" s="685"/>
      <c r="N1813" s="687"/>
      <c r="O1813" s="683"/>
      <c r="P1813" s="683"/>
      <c r="Q1813" s="686"/>
      <c r="R1813" s="686"/>
      <c r="S1813" s="686"/>
      <c r="T1813" s="686"/>
      <c r="U1813" s="686"/>
      <c r="V1813" s="686"/>
      <c r="W1813" s="686"/>
      <c r="X1813" s="686"/>
      <c r="Y1813" s="686"/>
      <c r="Z1813" s="686"/>
      <c r="AA1813" s="686"/>
      <c r="AB1813" s="686"/>
      <c r="AC1813" s="686"/>
      <c r="AD1813" s="686"/>
      <c r="AE1813" s="686"/>
      <c r="AF1813" s="686"/>
    </row>
    <row r="1814" ht="15.75" customHeight="1">
      <c r="A1814" s="683"/>
      <c r="B1814" s="683"/>
      <c r="C1814" s="684"/>
      <c r="D1814" s="684"/>
      <c r="E1814" s="684"/>
      <c r="F1814" s="683"/>
      <c r="G1814" s="683"/>
      <c r="H1814" s="683"/>
      <c r="I1814" s="683"/>
      <c r="J1814" s="683"/>
      <c r="K1814" s="683"/>
      <c r="L1814" s="685"/>
      <c r="M1814" s="685"/>
      <c r="N1814" s="687"/>
      <c r="O1814" s="683"/>
      <c r="P1814" s="683"/>
      <c r="Q1814" s="686"/>
      <c r="R1814" s="686"/>
      <c r="S1814" s="686"/>
      <c r="T1814" s="686"/>
      <c r="U1814" s="686"/>
      <c r="V1814" s="686"/>
      <c r="W1814" s="686"/>
      <c r="X1814" s="686"/>
      <c r="Y1814" s="686"/>
      <c r="Z1814" s="686"/>
      <c r="AA1814" s="686"/>
      <c r="AB1814" s="686"/>
      <c r="AC1814" s="686"/>
      <c r="AD1814" s="686"/>
      <c r="AE1814" s="686"/>
      <c r="AF1814" s="686"/>
    </row>
    <row r="1815" ht="15.75" customHeight="1">
      <c r="A1815" s="683"/>
      <c r="B1815" s="683"/>
      <c r="C1815" s="684"/>
      <c r="D1815" s="684"/>
      <c r="E1815" s="684"/>
      <c r="F1815" s="683"/>
      <c r="G1815" s="683"/>
      <c r="H1815" s="683"/>
      <c r="I1815" s="683"/>
      <c r="J1815" s="683"/>
      <c r="K1815" s="683"/>
      <c r="L1815" s="685"/>
      <c r="M1815" s="685"/>
      <c r="N1815" s="687"/>
      <c r="O1815" s="683"/>
      <c r="P1815" s="683"/>
      <c r="Q1815" s="686"/>
      <c r="R1815" s="686"/>
      <c r="S1815" s="686"/>
      <c r="T1815" s="686"/>
      <c r="U1815" s="686"/>
      <c r="V1815" s="686"/>
      <c r="W1815" s="686"/>
      <c r="X1815" s="686"/>
      <c r="Y1815" s="686"/>
      <c r="Z1815" s="686"/>
      <c r="AA1815" s="686"/>
      <c r="AB1815" s="686"/>
      <c r="AC1815" s="686"/>
      <c r="AD1815" s="686"/>
      <c r="AE1815" s="686"/>
      <c r="AF1815" s="686"/>
    </row>
    <row r="1816" ht="15.75" customHeight="1">
      <c r="A1816" s="683"/>
      <c r="B1816" s="683"/>
      <c r="C1816" s="684"/>
      <c r="D1816" s="684"/>
      <c r="E1816" s="684"/>
      <c r="F1816" s="683"/>
      <c r="G1816" s="683"/>
      <c r="H1816" s="683"/>
      <c r="I1816" s="683"/>
      <c r="J1816" s="683"/>
      <c r="K1816" s="683"/>
      <c r="L1816" s="685"/>
      <c r="M1816" s="685"/>
      <c r="N1816" s="687"/>
      <c r="O1816" s="683"/>
      <c r="P1816" s="683"/>
      <c r="Q1816" s="686"/>
      <c r="R1816" s="686"/>
      <c r="S1816" s="686"/>
      <c r="T1816" s="686"/>
      <c r="U1816" s="686"/>
      <c r="V1816" s="686"/>
      <c r="W1816" s="686"/>
      <c r="X1816" s="686"/>
      <c r="Y1816" s="686"/>
      <c r="Z1816" s="686"/>
      <c r="AA1816" s="686"/>
      <c r="AB1816" s="686"/>
      <c r="AC1816" s="686"/>
      <c r="AD1816" s="686"/>
      <c r="AE1816" s="686"/>
      <c r="AF1816" s="686"/>
    </row>
    <row r="1817" ht="15.75" customHeight="1">
      <c r="A1817" s="683"/>
      <c r="B1817" s="683"/>
      <c r="C1817" s="684"/>
      <c r="D1817" s="684"/>
      <c r="E1817" s="684"/>
      <c r="F1817" s="683"/>
      <c r="G1817" s="683"/>
      <c r="H1817" s="683"/>
      <c r="I1817" s="683"/>
      <c r="J1817" s="683"/>
      <c r="K1817" s="683"/>
      <c r="L1817" s="685"/>
      <c r="M1817" s="685"/>
      <c r="N1817" s="687"/>
      <c r="O1817" s="683"/>
      <c r="P1817" s="683"/>
      <c r="Q1817" s="686"/>
      <c r="R1817" s="686"/>
      <c r="S1817" s="686"/>
      <c r="T1817" s="686"/>
      <c r="U1817" s="686"/>
      <c r="V1817" s="686"/>
      <c r="W1817" s="686"/>
      <c r="X1817" s="686"/>
      <c r="Y1817" s="686"/>
      <c r="Z1817" s="686"/>
      <c r="AA1817" s="686"/>
      <c r="AB1817" s="686"/>
      <c r="AC1817" s="686"/>
      <c r="AD1817" s="686"/>
      <c r="AE1817" s="686"/>
      <c r="AF1817" s="686"/>
    </row>
    <row r="1818" ht="15.75" customHeight="1">
      <c r="A1818" s="683"/>
      <c r="B1818" s="683"/>
      <c r="C1818" s="684"/>
      <c r="D1818" s="684"/>
      <c r="E1818" s="684"/>
      <c r="F1818" s="683"/>
      <c r="G1818" s="683"/>
      <c r="H1818" s="683"/>
      <c r="I1818" s="683"/>
      <c r="J1818" s="683"/>
      <c r="K1818" s="683"/>
      <c r="L1818" s="685"/>
      <c r="M1818" s="685"/>
      <c r="N1818" s="687"/>
      <c r="O1818" s="683"/>
      <c r="P1818" s="683"/>
      <c r="Q1818" s="686"/>
      <c r="R1818" s="686"/>
      <c r="S1818" s="686"/>
      <c r="T1818" s="686"/>
      <c r="U1818" s="686"/>
      <c r="V1818" s="686"/>
      <c r="W1818" s="686"/>
      <c r="X1818" s="686"/>
      <c r="Y1818" s="686"/>
      <c r="Z1818" s="686"/>
      <c r="AA1818" s="686"/>
      <c r="AB1818" s="686"/>
      <c r="AC1818" s="686"/>
      <c r="AD1818" s="686"/>
      <c r="AE1818" s="686"/>
      <c r="AF1818" s="686"/>
    </row>
    <row r="1819" ht="15.75" customHeight="1">
      <c r="A1819" s="683"/>
      <c r="B1819" s="683"/>
      <c r="C1819" s="684"/>
      <c r="D1819" s="684"/>
      <c r="E1819" s="684"/>
      <c r="F1819" s="683"/>
      <c r="G1819" s="683"/>
      <c r="H1819" s="683"/>
      <c r="I1819" s="683"/>
      <c r="J1819" s="683"/>
      <c r="K1819" s="683"/>
      <c r="L1819" s="685"/>
      <c r="M1819" s="685"/>
      <c r="N1819" s="687"/>
      <c r="O1819" s="683"/>
      <c r="P1819" s="683"/>
      <c r="Q1819" s="686"/>
      <c r="R1819" s="686"/>
      <c r="S1819" s="686"/>
      <c r="T1819" s="686"/>
      <c r="U1819" s="686"/>
      <c r="V1819" s="686"/>
      <c r="W1819" s="686"/>
      <c r="X1819" s="686"/>
      <c r="Y1819" s="686"/>
      <c r="Z1819" s="686"/>
      <c r="AA1819" s="686"/>
      <c r="AB1819" s="686"/>
      <c r="AC1819" s="686"/>
      <c r="AD1819" s="686"/>
      <c r="AE1819" s="686"/>
      <c r="AF1819" s="686"/>
    </row>
    <row r="1820" ht="15.75" customHeight="1">
      <c r="A1820" s="683"/>
      <c r="B1820" s="683"/>
      <c r="C1820" s="684"/>
      <c r="D1820" s="684"/>
      <c r="E1820" s="684"/>
      <c r="F1820" s="683"/>
      <c r="G1820" s="683"/>
      <c r="H1820" s="683"/>
      <c r="I1820" s="683"/>
      <c r="J1820" s="683"/>
      <c r="K1820" s="683"/>
      <c r="L1820" s="685"/>
      <c r="M1820" s="685"/>
      <c r="N1820" s="687"/>
      <c r="O1820" s="683"/>
      <c r="P1820" s="683"/>
      <c r="Q1820" s="686"/>
      <c r="R1820" s="686"/>
      <c r="S1820" s="686"/>
      <c r="T1820" s="686"/>
      <c r="U1820" s="686"/>
      <c r="V1820" s="686"/>
      <c r="W1820" s="686"/>
      <c r="X1820" s="686"/>
      <c r="Y1820" s="686"/>
      <c r="Z1820" s="686"/>
      <c r="AA1820" s="686"/>
      <c r="AB1820" s="686"/>
      <c r="AC1820" s="686"/>
      <c r="AD1820" s="686"/>
      <c r="AE1820" s="686"/>
      <c r="AF1820" s="686"/>
    </row>
    <row r="1821" ht="15.75" customHeight="1">
      <c r="A1821" s="683"/>
      <c r="B1821" s="683"/>
      <c r="C1821" s="684"/>
      <c r="D1821" s="684"/>
      <c r="E1821" s="684"/>
      <c r="F1821" s="683"/>
      <c r="G1821" s="683"/>
      <c r="H1821" s="683"/>
      <c r="I1821" s="683"/>
      <c r="J1821" s="683"/>
      <c r="K1821" s="683"/>
      <c r="L1821" s="685"/>
      <c r="M1821" s="685"/>
      <c r="N1821" s="687"/>
      <c r="O1821" s="683"/>
      <c r="P1821" s="683"/>
      <c r="Q1821" s="686"/>
      <c r="R1821" s="686"/>
      <c r="S1821" s="686"/>
      <c r="T1821" s="686"/>
      <c r="U1821" s="686"/>
      <c r="V1821" s="686"/>
      <c r="W1821" s="686"/>
      <c r="X1821" s="686"/>
      <c r="Y1821" s="686"/>
      <c r="Z1821" s="686"/>
      <c r="AA1821" s="686"/>
      <c r="AB1821" s="686"/>
      <c r="AC1821" s="686"/>
      <c r="AD1821" s="686"/>
      <c r="AE1821" s="686"/>
      <c r="AF1821" s="686"/>
    </row>
    <row r="1822" ht="15.75" customHeight="1">
      <c r="A1822" s="683"/>
      <c r="B1822" s="683"/>
      <c r="C1822" s="684"/>
      <c r="D1822" s="684"/>
      <c r="E1822" s="684"/>
      <c r="F1822" s="683"/>
      <c r="G1822" s="683"/>
      <c r="H1822" s="683"/>
      <c r="I1822" s="683"/>
      <c r="J1822" s="683"/>
      <c r="K1822" s="683"/>
      <c r="L1822" s="685"/>
      <c r="M1822" s="685"/>
      <c r="N1822" s="687"/>
      <c r="O1822" s="683"/>
      <c r="P1822" s="683"/>
      <c r="Q1822" s="686"/>
      <c r="R1822" s="686"/>
      <c r="S1822" s="686"/>
      <c r="T1822" s="686"/>
      <c r="U1822" s="686"/>
      <c r="V1822" s="686"/>
      <c r="W1822" s="686"/>
      <c r="X1822" s="686"/>
      <c r="Y1822" s="686"/>
      <c r="Z1822" s="686"/>
      <c r="AA1822" s="686"/>
      <c r="AB1822" s="686"/>
      <c r="AC1822" s="686"/>
      <c r="AD1822" s="686"/>
      <c r="AE1822" s="686"/>
      <c r="AF1822" s="686"/>
    </row>
    <row r="1823" ht="15.75" customHeight="1">
      <c r="A1823" s="683"/>
      <c r="B1823" s="683"/>
      <c r="C1823" s="684"/>
      <c r="D1823" s="684"/>
      <c r="E1823" s="684"/>
      <c r="F1823" s="683"/>
      <c r="G1823" s="683"/>
      <c r="H1823" s="683"/>
      <c r="I1823" s="683"/>
      <c r="J1823" s="683"/>
      <c r="K1823" s="683"/>
      <c r="L1823" s="685"/>
      <c r="M1823" s="685"/>
      <c r="N1823" s="687"/>
      <c r="O1823" s="683"/>
      <c r="P1823" s="683"/>
      <c r="Q1823" s="686"/>
      <c r="R1823" s="686"/>
      <c r="S1823" s="686"/>
      <c r="T1823" s="686"/>
      <c r="U1823" s="686"/>
      <c r="V1823" s="686"/>
      <c r="W1823" s="686"/>
      <c r="X1823" s="686"/>
      <c r="Y1823" s="686"/>
      <c r="Z1823" s="686"/>
      <c r="AA1823" s="686"/>
      <c r="AB1823" s="686"/>
      <c r="AC1823" s="686"/>
      <c r="AD1823" s="686"/>
      <c r="AE1823" s="686"/>
      <c r="AF1823" s="686"/>
    </row>
    <row r="1824" ht="15.75" customHeight="1">
      <c r="A1824" s="683"/>
      <c r="B1824" s="683"/>
      <c r="C1824" s="684"/>
      <c r="D1824" s="684"/>
      <c r="E1824" s="684"/>
      <c r="F1824" s="683"/>
      <c r="G1824" s="683"/>
      <c r="H1824" s="683"/>
      <c r="I1824" s="683"/>
      <c r="J1824" s="683"/>
      <c r="K1824" s="683"/>
      <c r="L1824" s="685"/>
      <c r="M1824" s="685"/>
      <c r="N1824" s="687"/>
      <c r="O1824" s="683"/>
      <c r="P1824" s="683"/>
      <c r="Q1824" s="686"/>
      <c r="R1824" s="686"/>
      <c r="S1824" s="686"/>
      <c r="T1824" s="686"/>
      <c r="U1824" s="686"/>
      <c r="V1824" s="686"/>
      <c r="W1824" s="686"/>
      <c r="X1824" s="686"/>
      <c r="Y1824" s="686"/>
      <c r="Z1824" s="686"/>
      <c r="AA1824" s="686"/>
      <c r="AB1824" s="686"/>
      <c r="AC1824" s="686"/>
      <c r="AD1824" s="686"/>
      <c r="AE1824" s="686"/>
      <c r="AF1824" s="686"/>
    </row>
    <row r="1825" ht="15.75" customHeight="1">
      <c r="A1825" s="683"/>
      <c r="B1825" s="683"/>
      <c r="C1825" s="684"/>
      <c r="D1825" s="684"/>
      <c r="E1825" s="684"/>
      <c r="F1825" s="683"/>
      <c r="G1825" s="683"/>
      <c r="H1825" s="683"/>
      <c r="I1825" s="683"/>
      <c r="J1825" s="683"/>
      <c r="K1825" s="683"/>
      <c r="L1825" s="685"/>
      <c r="M1825" s="685"/>
      <c r="N1825" s="687"/>
      <c r="O1825" s="683"/>
      <c r="P1825" s="683"/>
      <c r="Q1825" s="686"/>
      <c r="R1825" s="686"/>
      <c r="S1825" s="686"/>
      <c r="T1825" s="686"/>
      <c r="U1825" s="686"/>
      <c r="V1825" s="686"/>
      <c r="W1825" s="686"/>
      <c r="X1825" s="686"/>
      <c r="Y1825" s="686"/>
      <c r="Z1825" s="686"/>
      <c r="AA1825" s="686"/>
      <c r="AB1825" s="686"/>
      <c r="AC1825" s="686"/>
      <c r="AD1825" s="686"/>
      <c r="AE1825" s="686"/>
      <c r="AF1825" s="686"/>
    </row>
    <row r="1826" ht="15.75" customHeight="1">
      <c r="A1826" s="683"/>
      <c r="B1826" s="683"/>
      <c r="C1826" s="684"/>
      <c r="D1826" s="684"/>
      <c r="E1826" s="684"/>
      <c r="F1826" s="683"/>
      <c r="G1826" s="683"/>
      <c r="H1826" s="683"/>
      <c r="I1826" s="683"/>
      <c r="J1826" s="683"/>
      <c r="K1826" s="683"/>
      <c r="L1826" s="685"/>
      <c r="M1826" s="685"/>
      <c r="N1826" s="687"/>
      <c r="O1826" s="683"/>
      <c r="P1826" s="683"/>
      <c r="Q1826" s="686"/>
      <c r="R1826" s="686"/>
      <c r="S1826" s="686"/>
      <c r="T1826" s="686"/>
      <c r="U1826" s="686"/>
      <c r="V1826" s="686"/>
      <c r="W1826" s="686"/>
      <c r="X1826" s="686"/>
      <c r="Y1826" s="686"/>
      <c r="Z1826" s="686"/>
      <c r="AA1826" s="686"/>
      <c r="AB1826" s="686"/>
      <c r="AC1826" s="686"/>
      <c r="AD1826" s="686"/>
      <c r="AE1826" s="686"/>
      <c r="AF1826" s="686"/>
    </row>
    <row r="1827" ht="15.75" customHeight="1">
      <c r="A1827" s="683"/>
      <c r="B1827" s="683"/>
      <c r="C1827" s="684"/>
      <c r="D1827" s="684"/>
      <c r="E1827" s="684"/>
      <c r="F1827" s="683"/>
      <c r="G1827" s="683"/>
      <c r="H1827" s="683"/>
      <c r="I1827" s="683"/>
      <c r="J1827" s="683"/>
      <c r="K1827" s="683"/>
      <c r="L1827" s="685"/>
      <c r="M1827" s="685"/>
      <c r="N1827" s="687"/>
      <c r="O1827" s="683"/>
      <c r="P1827" s="683"/>
      <c r="Q1827" s="686"/>
      <c r="R1827" s="686"/>
      <c r="S1827" s="686"/>
      <c r="T1827" s="686"/>
      <c r="U1827" s="686"/>
      <c r="V1827" s="686"/>
      <c r="W1827" s="686"/>
      <c r="X1827" s="686"/>
      <c r="Y1827" s="686"/>
      <c r="Z1827" s="686"/>
      <c r="AA1827" s="686"/>
      <c r="AB1827" s="686"/>
      <c r="AC1827" s="686"/>
      <c r="AD1827" s="686"/>
      <c r="AE1827" s="686"/>
      <c r="AF1827" s="686"/>
    </row>
    <row r="1828" ht="15.75" customHeight="1">
      <c r="A1828" s="683"/>
      <c r="B1828" s="683"/>
      <c r="C1828" s="684"/>
      <c r="D1828" s="684"/>
      <c r="E1828" s="684"/>
      <c r="F1828" s="683"/>
      <c r="G1828" s="683"/>
      <c r="H1828" s="683"/>
      <c r="I1828" s="683"/>
      <c r="J1828" s="683"/>
      <c r="K1828" s="683"/>
      <c r="L1828" s="685"/>
      <c r="M1828" s="685"/>
      <c r="N1828" s="687"/>
      <c r="O1828" s="683"/>
      <c r="P1828" s="683"/>
      <c r="Q1828" s="686"/>
      <c r="R1828" s="686"/>
      <c r="S1828" s="686"/>
      <c r="T1828" s="686"/>
      <c r="U1828" s="686"/>
      <c r="V1828" s="686"/>
      <c r="W1828" s="686"/>
      <c r="X1828" s="686"/>
      <c r="Y1828" s="686"/>
      <c r="Z1828" s="686"/>
      <c r="AA1828" s="686"/>
      <c r="AB1828" s="686"/>
      <c r="AC1828" s="686"/>
      <c r="AD1828" s="686"/>
      <c r="AE1828" s="686"/>
      <c r="AF1828" s="686"/>
    </row>
    <row r="1829" ht="15.75" customHeight="1">
      <c r="A1829" s="683"/>
      <c r="B1829" s="683"/>
      <c r="C1829" s="684"/>
      <c r="D1829" s="684"/>
      <c r="E1829" s="684"/>
      <c r="F1829" s="683"/>
      <c r="G1829" s="683"/>
      <c r="H1829" s="683"/>
      <c r="I1829" s="683"/>
      <c r="J1829" s="683"/>
      <c r="K1829" s="683"/>
      <c r="L1829" s="685"/>
      <c r="M1829" s="685"/>
      <c r="N1829" s="687"/>
      <c r="O1829" s="683"/>
      <c r="P1829" s="683"/>
      <c r="Q1829" s="686"/>
      <c r="R1829" s="686"/>
      <c r="S1829" s="686"/>
      <c r="T1829" s="686"/>
      <c r="U1829" s="686"/>
      <c r="V1829" s="686"/>
      <c r="W1829" s="686"/>
      <c r="X1829" s="686"/>
      <c r="Y1829" s="686"/>
      <c r="Z1829" s="686"/>
      <c r="AA1829" s="686"/>
      <c r="AB1829" s="686"/>
      <c r="AC1829" s="686"/>
      <c r="AD1829" s="686"/>
      <c r="AE1829" s="686"/>
      <c r="AF1829" s="686"/>
    </row>
    <row r="1830" ht="15.75" customHeight="1">
      <c r="A1830" s="683"/>
      <c r="B1830" s="683"/>
      <c r="C1830" s="684"/>
      <c r="D1830" s="684"/>
      <c r="E1830" s="684"/>
      <c r="F1830" s="683"/>
      <c r="G1830" s="683"/>
      <c r="H1830" s="683"/>
      <c r="I1830" s="683"/>
      <c r="J1830" s="683"/>
      <c r="K1830" s="683"/>
      <c r="L1830" s="685"/>
      <c r="M1830" s="685"/>
      <c r="N1830" s="687"/>
      <c r="O1830" s="683"/>
      <c r="P1830" s="683"/>
      <c r="Q1830" s="686"/>
      <c r="R1830" s="686"/>
      <c r="S1830" s="686"/>
      <c r="T1830" s="686"/>
      <c r="U1830" s="686"/>
      <c r="V1830" s="686"/>
      <c r="W1830" s="686"/>
      <c r="X1830" s="686"/>
      <c r="Y1830" s="686"/>
      <c r="Z1830" s="686"/>
      <c r="AA1830" s="686"/>
      <c r="AB1830" s="686"/>
      <c r="AC1830" s="686"/>
      <c r="AD1830" s="686"/>
      <c r="AE1830" s="686"/>
      <c r="AF1830" s="686"/>
    </row>
    <row r="1831" ht="15.75" customHeight="1">
      <c r="A1831" s="683"/>
      <c r="B1831" s="683"/>
      <c r="C1831" s="684"/>
      <c r="D1831" s="684"/>
      <c r="E1831" s="684"/>
      <c r="F1831" s="683"/>
      <c r="G1831" s="683"/>
      <c r="H1831" s="683"/>
      <c r="I1831" s="683"/>
      <c r="J1831" s="683"/>
      <c r="K1831" s="683"/>
      <c r="L1831" s="685"/>
      <c r="M1831" s="685"/>
      <c r="N1831" s="687"/>
      <c r="O1831" s="683"/>
      <c r="P1831" s="683"/>
      <c r="Q1831" s="686"/>
      <c r="R1831" s="686"/>
      <c r="S1831" s="686"/>
      <c r="T1831" s="686"/>
      <c r="U1831" s="686"/>
      <c r="V1831" s="686"/>
      <c r="W1831" s="686"/>
      <c r="X1831" s="686"/>
      <c r="Y1831" s="686"/>
      <c r="Z1831" s="686"/>
      <c r="AA1831" s="686"/>
      <c r="AB1831" s="686"/>
      <c r="AC1831" s="686"/>
      <c r="AD1831" s="686"/>
      <c r="AE1831" s="686"/>
      <c r="AF1831" s="686"/>
    </row>
    <row r="1832" ht="15.75" customHeight="1">
      <c r="A1832" s="683"/>
      <c r="B1832" s="683"/>
      <c r="C1832" s="684"/>
      <c r="D1832" s="684"/>
      <c r="E1832" s="684"/>
      <c r="F1832" s="683"/>
      <c r="G1832" s="683"/>
      <c r="H1832" s="683"/>
      <c r="I1832" s="683"/>
      <c r="J1832" s="683"/>
      <c r="K1832" s="683"/>
      <c r="L1832" s="685"/>
      <c r="M1832" s="685"/>
      <c r="N1832" s="687"/>
      <c r="O1832" s="683"/>
      <c r="P1832" s="683"/>
      <c r="Q1832" s="686"/>
      <c r="R1832" s="686"/>
      <c r="S1832" s="686"/>
      <c r="T1832" s="686"/>
      <c r="U1832" s="686"/>
      <c r="V1832" s="686"/>
      <c r="W1832" s="686"/>
      <c r="X1832" s="686"/>
      <c r="Y1832" s="686"/>
      <c r="Z1832" s="686"/>
      <c r="AA1832" s="686"/>
      <c r="AB1832" s="686"/>
      <c r="AC1832" s="686"/>
      <c r="AD1832" s="686"/>
      <c r="AE1832" s="686"/>
      <c r="AF1832" s="686"/>
    </row>
    <row r="1833" ht="15.75" customHeight="1">
      <c r="A1833" s="683"/>
      <c r="B1833" s="683"/>
      <c r="C1833" s="684"/>
      <c r="D1833" s="684"/>
      <c r="E1833" s="684"/>
      <c r="F1833" s="683"/>
      <c r="G1833" s="683"/>
      <c r="H1833" s="683"/>
      <c r="I1833" s="683"/>
      <c r="J1833" s="683"/>
      <c r="K1833" s="683"/>
      <c r="L1833" s="685"/>
      <c r="M1833" s="685"/>
      <c r="N1833" s="687"/>
      <c r="O1833" s="683"/>
      <c r="P1833" s="683"/>
      <c r="Q1833" s="686"/>
      <c r="R1833" s="686"/>
      <c r="S1833" s="686"/>
      <c r="T1833" s="686"/>
      <c r="U1833" s="686"/>
      <c r="V1833" s="686"/>
      <c r="W1833" s="686"/>
      <c r="X1833" s="686"/>
      <c r="Y1833" s="686"/>
      <c r="Z1833" s="686"/>
      <c r="AA1833" s="686"/>
      <c r="AB1833" s="686"/>
      <c r="AC1833" s="686"/>
      <c r="AD1833" s="686"/>
      <c r="AE1833" s="686"/>
      <c r="AF1833" s="686"/>
    </row>
    <row r="1834" ht="15.75" customHeight="1">
      <c r="A1834" s="683"/>
      <c r="B1834" s="683"/>
      <c r="C1834" s="684"/>
      <c r="D1834" s="684"/>
      <c r="E1834" s="684"/>
      <c r="F1834" s="683"/>
      <c r="G1834" s="683"/>
      <c r="H1834" s="683"/>
      <c r="I1834" s="683"/>
      <c r="J1834" s="683"/>
      <c r="K1834" s="683"/>
      <c r="L1834" s="685"/>
      <c r="M1834" s="685"/>
      <c r="N1834" s="687"/>
      <c r="O1834" s="683"/>
      <c r="P1834" s="683"/>
      <c r="Q1834" s="686"/>
      <c r="R1834" s="686"/>
      <c r="S1834" s="686"/>
      <c r="T1834" s="686"/>
      <c r="U1834" s="686"/>
      <c r="V1834" s="686"/>
      <c r="W1834" s="686"/>
      <c r="X1834" s="686"/>
      <c r="Y1834" s="686"/>
      <c r="Z1834" s="686"/>
      <c r="AA1834" s="686"/>
      <c r="AB1834" s="686"/>
      <c r="AC1834" s="686"/>
      <c r="AD1834" s="686"/>
      <c r="AE1834" s="686"/>
      <c r="AF1834" s="686"/>
    </row>
    <row r="1835" ht="15.75" customHeight="1">
      <c r="A1835" s="683"/>
      <c r="B1835" s="683"/>
      <c r="C1835" s="684"/>
      <c r="D1835" s="684"/>
      <c r="E1835" s="684"/>
      <c r="F1835" s="683"/>
      <c r="G1835" s="683"/>
      <c r="H1835" s="683"/>
      <c r="I1835" s="683"/>
      <c r="J1835" s="683"/>
      <c r="K1835" s="683"/>
      <c r="L1835" s="685"/>
      <c r="M1835" s="685"/>
      <c r="N1835" s="687"/>
      <c r="O1835" s="683"/>
      <c r="P1835" s="683"/>
      <c r="Q1835" s="686"/>
      <c r="R1835" s="686"/>
      <c r="S1835" s="686"/>
      <c r="T1835" s="686"/>
      <c r="U1835" s="686"/>
      <c r="V1835" s="686"/>
      <c r="W1835" s="686"/>
      <c r="X1835" s="686"/>
      <c r="Y1835" s="686"/>
      <c r="Z1835" s="686"/>
      <c r="AA1835" s="686"/>
      <c r="AB1835" s="686"/>
      <c r="AC1835" s="686"/>
      <c r="AD1835" s="686"/>
      <c r="AE1835" s="686"/>
      <c r="AF1835" s="686"/>
    </row>
    <row r="1836" ht="15.75" customHeight="1">
      <c r="A1836" s="683"/>
      <c r="B1836" s="683"/>
      <c r="C1836" s="684"/>
      <c r="D1836" s="684"/>
      <c r="E1836" s="684"/>
      <c r="F1836" s="683"/>
      <c r="G1836" s="683"/>
      <c r="H1836" s="683"/>
      <c r="I1836" s="683"/>
      <c r="J1836" s="683"/>
      <c r="K1836" s="683"/>
      <c r="L1836" s="685"/>
      <c r="M1836" s="685"/>
      <c r="N1836" s="687"/>
      <c r="O1836" s="683"/>
      <c r="P1836" s="683"/>
      <c r="Q1836" s="686"/>
      <c r="R1836" s="686"/>
      <c r="S1836" s="686"/>
      <c r="T1836" s="686"/>
      <c r="U1836" s="686"/>
      <c r="V1836" s="686"/>
      <c r="W1836" s="686"/>
      <c r="X1836" s="686"/>
      <c r="Y1836" s="686"/>
      <c r="Z1836" s="686"/>
      <c r="AA1836" s="686"/>
      <c r="AB1836" s="686"/>
      <c r="AC1836" s="686"/>
      <c r="AD1836" s="686"/>
      <c r="AE1836" s="686"/>
      <c r="AF1836" s="686"/>
    </row>
    <row r="1837" ht="15.75" customHeight="1">
      <c r="A1837" s="683"/>
      <c r="B1837" s="683"/>
      <c r="C1837" s="684"/>
      <c r="D1837" s="684"/>
      <c r="E1837" s="684"/>
      <c r="F1837" s="683"/>
      <c r="G1837" s="683"/>
      <c r="H1837" s="683"/>
      <c r="I1837" s="683"/>
      <c r="J1837" s="683"/>
      <c r="K1837" s="683"/>
      <c r="L1837" s="685"/>
      <c r="M1837" s="685"/>
      <c r="N1837" s="687"/>
      <c r="O1837" s="683"/>
      <c r="P1837" s="683"/>
      <c r="Q1837" s="686"/>
      <c r="R1837" s="686"/>
      <c r="S1837" s="686"/>
      <c r="T1837" s="686"/>
      <c r="U1837" s="686"/>
      <c r="V1837" s="686"/>
      <c r="W1837" s="686"/>
      <c r="X1837" s="686"/>
      <c r="Y1837" s="686"/>
      <c r="Z1837" s="686"/>
      <c r="AA1837" s="686"/>
      <c r="AB1837" s="686"/>
      <c r="AC1837" s="686"/>
      <c r="AD1837" s="686"/>
      <c r="AE1837" s="686"/>
      <c r="AF1837" s="686"/>
    </row>
    <row r="1838" ht="15.75" customHeight="1">
      <c r="A1838" s="683"/>
      <c r="B1838" s="683"/>
      <c r="C1838" s="684"/>
      <c r="D1838" s="684"/>
      <c r="E1838" s="684"/>
      <c r="F1838" s="683"/>
      <c r="G1838" s="683"/>
      <c r="H1838" s="683"/>
      <c r="I1838" s="683"/>
      <c r="J1838" s="683"/>
      <c r="K1838" s="683"/>
      <c r="L1838" s="685"/>
      <c r="M1838" s="685"/>
      <c r="N1838" s="687"/>
      <c r="O1838" s="683"/>
      <c r="P1838" s="683"/>
      <c r="Q1838" s="686"/>
      <c r="R1838" s="686"/>
      <c r="S1838" s="686"/>
      <c r="T1838" s="686"/>
      <c r="U1838" s="686"/>
      <c r="V1838" s="686"/>
      <c r="W1838" s="686"/>
      <c r="X1838" s="686"/>
      <c r="Y1838" s="686"/>
      <c r="Z1838" s="686"/>
      <c r="AA1838" s="686"/>
      <c r="AB1838" s="686"/>
      <c r="AC1838" s="686"/>
      <c r="AD1838" s="686"/>
      <c r="AE1838" s="686"/>
      <c r="AF1838" s="686"/>
    </row>
    <row r="1839" ht="15.75" customHeight="1">
      <c r="A1839" s="683"/>
      <c r="B1839" s="683"/>
      <c r="C1839" s="684"/>
      <c r="D1839" s="684"/>
      <c r="E1839" s="684"/>
      <c r="F1839" s="683"/>
      <c r="G1839" s="683"/>
      <c r="H1839" s="683"/>
      <c r="I1839" s="683"/>
      <c r="J1839" s="683"/>
      <c r="K1839" s="683"/>
      <c r="L1839" s="685"/>
      <c r="M1839" s="685"/>
      <c r="N1839" s="687"/>
      <c r="O1839" s="683"/>
      <c r="P1839" s="683"/>
      <c r="Q1839" s="686"/>
      <c r="R1839" s="686"/>
      <c r="S1839" s="686"/>
      <c r="T1839" s="686"/>
      <c r="U1839" s="686"/>
      <c r="V1839" s="686"/>
      <c r="W1839" s="686"/>
      <c r="X1839" s="686"/>
      <c r="Y1839" s="686"/>
      <c r="Z1839" s="686"/>
      <c r="AA1839" s="686"/>
      <c r="AB1839" s="686"/>
      <c r="AC1839" s="686"/>
      <c r="AD1839" s="686"/>
      <c r="AE1839" s="686"/>
      <c r="AF1839" s="686"/>
    </row>
    <row r="1840" ht="15.75" customHeight="1">
      <c r="A1840" s="683"/>
      <c r="B1840" s="683"/>
      <c r="C1840" s="684"/>
      <c r="D1840" s="684"/>
      <c r="E1840" s="684"/>
      <c r="F1840" s="683"/>
      <c r="G1840" s="683"/>
      <c r="H1840" s="683"/>
      <c r="I1840" s="683"/>
      <c r="J1840" s="683"/>
      <c r="K1840" s="683"/>
      <c r="L1840" s="685"/>
      <c r="M1840" s="685"/>
      <c r="N1840" s="687"/>
      <c r="O1840" s="683"/>
      <c r="P1840" s="683"/>
      <c r="Q1840" s="686"/>
      <c r="R1840" s="686"/>
      <c r="S1840" s="686"/>
      <c r="T1840" s="686"/>
      <c r="U1840" s="686"/>
      <c r="V1840" s="686"/>
      <c r="W1840" s="686"/>
      <c r="X1840" s="686"/>
      <c r="Y1840" s="686"/>
      <c r="Z1840" s="686"/>
      <c r="AA1840" s="686"/>
      <c r="AB1840" s="686"/>
      <c r="AC1840" s="686"/>
      <c r="AD1840" s="686"/>
      <c r="AE1840" s="686"/>
      <c r="AF1840" s="686"/>
    </row>
    <row r="1841" ht="15.75" customHeight="1">
      <c r="A1841" s="683"/>
      <c r="B1841" s="683"/>
      <c r="C1841" s="684"/>
      <c r="D1841" s="684"/>
      <c r="E1841" s="684"/>
      <c r="F1841" s="683"/>
      <c r="G1841" s="683"/>
      <c r="H1841" s="683"/>
      <c r="I1841" s="683"/>
      <c r="J1841" s="683"/>
      <c r="K1841" s="683"/>
      <c r="L1841" s="685"/>
      <c r="M1841" s="685"/>
      <c r="N1841" s="687"/>
      <c r="O1841" s="683"/>
      <c r="P1841" s="683"/>
      <c r="Q1841" s="686"/>
      <c r="R1841" s="686"/>
      <c r="S1841" s="686"/>
      <c r="T1841" s="686"/>
      <c r="U1841" s="686"/>
      <c r="V1841" s="686"/>
      <c r="W1841" s="686"/>
      <c r="X1841" s="686"/>
      <c r="Y1841" s="686"/>
      <c r="Z1841" s="686"/>
      <c r="AA1841" s="686"/>
      <c r="AB1841" s="686"/>
      <c r="AC1841" s="686"/>
      <c r="AD1841" s="686"/>
      <c r="AE1841" s="686"/>
      <c r="AF1841" s="686"/>
    </row>
    <row r="1842" ht="15.75" customHeight="1">
      <c r="A1842" s="683"/>
      <c r="B1842" s="683"/>
      <c r="C1842" s="684"/>
      <c r="D1842" s="684"/>
      <c r="E1842" s="684"/>
      <c r="F1842" s="683"/>
      <c r="G1842" s="683"/>
      <c r="H1842" s="683"/>
      <c r="I1842" s="683"/>
      <c r="J1842" s="683"/>
      <c r="K1842" s="683"/>
      <c r="L1842" s="685"/>
      <c r="M1842" s="685"/>
      <c r="N1842" s="687"/>
      <c r="O1842" s="683"/>
      <c r="P1842" s="683"/>
      <c r="Q1842" s="686"/>
      <c r="R1842" s="686"/>
      <c r="S1842" s="686"/>
      <c r="T1842" s="686"/>
      <c r="U1842" s="686"/>
      <c r="V1842" s="686"/>
      <c r="W1842" s="686"/>
      <c r="X1842" s="686"/>
      <c r="Y1842" s="686"/>
      <c r="Z1842" s="686"/>
      <c r="AA1842" s="686"/>
      <c r="AB1842" s="686"/>
      <c r="AC1842" s="686"/>
      <c r="AD1842" s="686"/>
      <c r="AE1842" s="686"/>
      <c r="AF1842" s="686"/>
    </row>
    <row r="1843" ht="15.75" customHeight="1">
      <c r="A1843" s="683"/>
      <c r="B1843" s="683"/>
      <c r="C1843" s="684"/>
      <c r="D1843" s="684"/>
      <c r="E1843" s="684"/>
      <c r="F1843" s="683"/>
      <c r="G1843" s="683"/>
      <c r="H1843" s="683"/>
      <c r="I1843" s="683"/>
      <c r="J1843" s="683"/>
      <c r="K1843" s="683"/>
      <c r="L1843" s="685"/>
      <c r="M1843" s="685"/>
      <c r="N1843" s="687"/>
      <c r="O1843" s="683"/>
      <c r="P1843" s="683"/>
      <c r="Q1843" s="686"/>
      <c r="R1843" s="686"/>
      <c r="S1843" s="686"/>
      <c r="T1843" s="686"/>
      <c r="U1843" s="686"/>
      <c r="V1843" s="686"/>
      <c r="W1843" s="686"/>
      <c r="X1843" s="686"/>
      <c r="Y1843" s="686"/>
      <c r="Z1843" s="686"/>
      <c r="AA1843" s="686"/>
      <c r="AB1843" s="686"/>
      <c r="AC1843" s="686"/>
      <c r="AD1843" s="686"/>
      <c r="AE1843" s="686"/>
      <c r="AF1843" s="686"/>
    </row>
    <row r="1844" ht="15.75" customHeight="1">
      <c r="A1844" s="683"/>
      <c r="B1844" s="683"/>
      <c r="C1844" s="684"/>
      <c r="D1844" s="684"/>
      <c r="E1844" s="684"/>
      <c r="F1844" s="683"/>
      <c r="G1844" s="683"/>
      <c r="H1844" s="683"/>
      <c r="I1844" s="683"/>
      <c r="J1844" s="683"/>
      <c r="K1844" s="683"/>
      <c r="L1844" s="685"/>
      <c r="M1844" s="685"/>
      <c r="N1844" s="687"/>
      <c r="O1844" s="683"/>
      <c r="P1844" s="683"/>
      <c r="Q1844" s="686"/>
      <c r="R1844" s="686"/>
      <c r="S1844" s="686"/>
      <c r="T1844" s="686"/>
      <c r="U1844" s="686"/>
      <c r="V1844" s="686"/>
      <c r="W1844" s="686"/>
      <c r="X1844" s="686"/>
      <c r="Y1844" s="686"/>
      <c r="Z1844" s="686"/>
      <c r="AA1844" s="686"/>
      <c r="AB1844" s="686"/>
      <c r="AC1844" s="686"/>
      <c r="AD1844" s="686"/>
      <c r="AE1844" s="686"/>
      <c r="AF1844" s="686"/>
    </row>
    <row r="1845" ht="15.75" customHeight="1">
      <c r="A1845" s="683"/>
      <c r="B1845" s="683"/>
      <c r="C1845" s="684"/>
      <c r="D1845" s="684"/>
      <c r="E1845" s="684"/>
      <c r="F1845" s="683"/>
      <c r="G1845" s="683"/>
      <c r="H1845" s="683"/>
      <c r="I1845" s="683"/>
      <c r="J1845" s="683"/>
      <c r="K1845" s="683"/>
      <c r="L1845" s="685"/>
      <c r="M1845" s="685"/>
      <c r="N1845" s="687"/>
      <c r="O1845" s="683"/>
      <c r="P1845" s="683"/>
      <c r="Q1845" s="686"/>
      <c r="R1845" s="686"/>
      <c r="S1845" s="686"/>
      <c r="T1845" s="686"/>
      <c r="U1845" s="686"/>
      <c r="V1845" s="686"/>
      <c r="W1845" s="686"/>
      <c r="X1845" s="686"/>
      <c r="Y1845" s="686"/>
      <c r="Z1845" s="686"/>
      <c r="AA1845" s="686"/>
      <c r="AB1845" s="686"/>
      <c r="AC1845" s="686"/>
      <c r="AD1845" s="686"/>
      <c r="AE1845" s="686"/>
      <c r="AF1845" s="686"/>
    </row>
    <row r="1846" ht="15.75" customHeight="1">
      <c r="A1846" s="683"/>
      <c r="B1846" s="683"/>
      <c r="C1846" s="684"/>
      <c r="D1846" s="684"/>
      <c r="E1846" s="684"/>
      <c r="F1846" s="683"/>
      <c r="G1846" s="683"/>
      <c r="H1846" s="683"/>
      <c r="I1846" s="683"/>
      <c r="J1846" s="683"/>
      <c r="K1846" s="683"/>
      <c r="L1846" s="685"/>
      <c r="M1846" s="685"/>
      <c r="N1846" s="687"/>
      <c r="O1846" s="683"/>
      <c r="P1846" s="683"/>
      <c r="Q1846" s="686"/>
      <c r="R1846" s="686"/>
      <c r="S1846" s="686"/>
      <c r="T1846" s="686"/>
      <c r="U1846" s="686"/>
      <c r="V1846" s="686"/>
      <c r="W1846" s="686"/>
      <c r="X1846" s="686"/>
      <c r="Y1846" s="686"/>
      <c r="Z1846" s="686"/>
      <c r="AA1846" s="686"/>
      <c r="AB1846" s="686"/>
      <c r="AC1846" s="686"/>
      <c r="AD1846" s="686"/>
      <c r="AE1846" s="686"/>
      <c r="AF1846" s="686"/>
    </row>
    <row r="1847" ht="15.75" customHeight="1">
      <c r="A1847" s="683"/>
      <c r="B1847" s="683"/>
      <c r="C1847" s="684"/>
      <c r="D1847" s="684"/>
      <c r="E1847" s="684"/>
      <c r="F1847" s="683"/>
      <c r="G1847" s="683"/>
      <c r="H1847" s="683"/>
      <c r="I1847" s="683"/>
      <c r="J1847" s="683"/>
      <c r="K1847" s="683"/>
      <c r="L1847" s="685"/>
      <c r="M1847" s="685"/>
      <c r="N1847" s="687"/>
      <c r="O1847" s="683"/>
      <c r="P1847" s="683"/>
      <c r="Q1847" s="686"/>
      <c r="R1847" s="686"/>
      <c r="S1847" s="686"/>
      <c r="T1847" s="686"/>
      <c r="U1847" s="686"/>
      <c r="V1847" s="686"/>
      <c r="W1847" s="686"/>
      <c r="X1847" s="686"/>
      <c r="Y1847" s="686"/>
      <c r="Z1847" s="686"/>
      <c r="AA1847" s="686"/>
      <c r="AB1847" s="686"/>
      <c r="AC1847" s="686"/>
      <c r="AD1847" s="686"/>
      <c r="AE1847" s="686"/>
      <c r="AF1847" s="686"/>
    </row>
    <row r="1848" ht="15.75" customHeight="1">
      <c r="A1848" s="683"/>
      <c r="B1848" s="683"/>
      <c r="C1848" s="684"/>
      <c r="D1848" s="684"/>
      <c r="E1848" s="684"/>
      <c r="F1848" s="683"/>
      <c r="G1848" s="683"/>
      <c r="H1848" s="683"/>
      <c r="I1848" s="683"/>
      <c r="J1848" s="683"/>
      <c r="K1848" s="683"/>
      <c r="L1848" s="685"/>
      <c r="M1848" s="685"/>
      <c r="N1848" s="687"/>
      <c r="O1848" s="683"/>
      <c r="P1848" s="683"/>
      <c r="Q1848" s="686"/>
      <c r="R1848" s="686"/>
      <c r="S1848" s="686"/>
      <c r="T1848" s="686"/>
      <c r="U1848" s="686"/>
      <c r="V1848" s="686"/>
      <c r="W1848" s="686"/>
      <c r="X1848" s="686"/>
      <c r="Y1848" s="686"/>
      <c r="Z1848" s="686"/>
      <c r="AA1848" s="686"/>
      <c r="AB1848" s="686"/>
      <c r="AC1848" s="686"/>
      <c r="AD1848" s="686"/>
      <c r="AE1848" s="686"/>
      <c r="AF1848" s="686"/>
    </row>
    <row r="1849" ht="15.75" customHeight="1">
      <c r="A1849" s="683"/>
      <c r="B1849" s="683"/>
      <c r="C1849" s="684"/>
      <c r="D1849" s="684"/>
      <c r="E1849" s="684"/>
      <c r="F1849" s="683"/>
      <c r="G1849" s="683"/>
      <c r="H1849" s="683"/>
      <c r="I1849" s="683"/>
      <c r="J1849" s="683"/>
      <c r="K1849" s="683"/>
      <c r="L1849" s="685"/>
      <c r="M1849" s="685"/>
      <c r="N1849" s="687"/>
      <c r="O1849" s="683"/>
      <c r="P1849" s="683"/>
      <c r="Q1849" s="686"/>
      <c r="R1849" s="686"/>
      <c r="S1849" s="686"/>
      <c r="T1849" s="686"/>
      <c r="U1849" s="686"/>
      <c r="V1849" s="686"/>
      <c r="W1849" s="686"/>
      <c r="X1849" s="686"/>
      <c r="Y1849" s="686"/>
      <c r="Z1849" s="686"/>
      <c r="AA1849" s="686"/>
      <c r="AB1849" s="686"/>
      <c r="AC1849" s="686"/>
      <c r="AD1849" s="686"/>
      <c r="AE1849" s="686"/>
      <c r="AF1849" s="686"/>
    </row>
    <row r="1850" ht="15.75" customHeight="1">
      <c r="A1850" s="683"/>
      <c r="B1850" s="683"/>
      <c r="C1850" s="684"/>
      <c r="D1850" s="684"/>
      <c r="E1850" s="684"/>
      <c r="F1850" s="683"/>
      <c r="G1850" s="683"/>
      <c r="H1850" s="683"/>
      <c r="I1850" s="683"/>
      <c r="J1850" s="683"/>
      <c r="K1850" s="683"/>
      <c r="L1850" s="685"/>
      <c r="M1850" s="685"/>
      <c r="N1850" s="687"/>
      <c r="O1850" s="683"/>
      <c r="P1850" s="683"/>
      <c r="Q1850" s="686"/>
      <c r="R1850" s="686"/>
      <c r="S1850" s="686"/>
      <c r="T1850" s="686"/>
      <c r="U1850" s="686"/>
      <c r="V1850" s="686"/>
      <c r="W1850" s="686"/>
      <c r="X1850" s="686"/>
      <c r="Y1850" s="686"/>
      <c r="Z1850" s="686"/>
      <c r="AA1850" s="686"/>
      <c r="AB1850" s="686"/>
      <c r="AC1850" s="686"/>
      <c r="AD1850" s="686"/>
      <c r="AE1850" s="686"/>
      <c r="AF1850" s="686"/>
    </row>
    <row r="1851" ht="15.75" customHeight="1">
      <c r="A1851" s="683"/>
      <c r="B1851" s="683"/>
      <c r="C1851" s="684"/>
      <c r="D1851" s="684"/>
      <c r="E1851" s="684"/>
      <c r="F1851" s="683"/>
      <c r="G1851" s="683"/>
      <c r="H1851" s="683"/>
      <c r="I1851" s="683"/>
      <c r="J1851" s="683"/>
      <c r="K1851" s="683"/>
      <c r="L1851" s="685"/>
      <c r="M1851" s="685"/>
      <c r="N1851" s="687"/>
      <c r="O1851" s="683"/>
      <c r="P1851" s="683"/>
      <c r="Q1851" s="686"/>
      <c r="R1851" s="686"/>
      <c r="S1851" s="686"/>
      <c r="T1851" s="686"/>
      <c r="U1851" s="686"/>
      <c r="V1851" s="686"/>
      <c r="W1851" s="686"/>
      <c r="X1851" s="686"/>
      <c r="Y1851" s="686"/>
      <c r="Z1851" s="686"/>
      <c r="AA1851" s="686"/>
      <c r="AB1851" s="686"/>
      <c r="AC1851" s="686"/>
      <c r="AD1851" s="686"/>
      <c r="AE1851" s="686"/>
      <c r="AF1851" s="686"/>
    </row>
    <row r="1852" ht="15.75" customHeight="1">
      <c r="A1852" s="683"/>
      <c r="B1852" s="683"/>
      <c r="C1852" s="684"/>
      <c r="D1852" s="684"/>
      <c r="E1852" s="684"/>
      <c r="F1852" s="683"/>
      <c r="G1852" s="683"/>
      <c r="H1852" s="683"/>
      <c r="I1852" s="683"/>
      <c r="J1852" s="683"/>
      <c r="K1852" s="683"/>
      <c r="L1852" s="685"/>
      <c r="M1852" s="685"/>
      <c r="N1852" s="687"/>
      <c r="O1852" s="683"/>
      <c r="P1852" s="683"/>
      <c r="Q1852" s="686"/>
      <c r="R1852" s="686"/>
      <c r="S1852" s="686"/>
      <c r="T1852" s="686"/>
      <c r="U1852" s="686"/>
      <c r="V1852" s="686"/>
      <c r="W1852" s="686"/>
      <c r="X1852" s="686"/>
      <c r="Y1852" s="686"/>
      <c r="Z1852" s="686"/>
      <c r="AA1852" s="686"/>
      <c r="AB1852" s="686"/>
      <c r="AC1852" s="686"/>
      <c r="AD1852" s="686"/>
      <c r="AE1852" s="686"/>
      <c r="AF1852" s="686"/>
    </row>
    <row r="1853" ht="15.75" customHeight="1">
      <c r="A1853" s="683"/>
      <c r="B1853" s="683"/>
      <c r="C1853" s="684"/>
      <c r="D1853" s="684"/>
      <c r="E1853" s="684"/>
      <c r="F1853" s="683"/>
      <c r="G1853" s="683"/>
      <c r="H1853" s="683"/>
      <c r="I1853" s="683"/>
      <c r="J1853" s="683"/>
      <c r="K1853" s="683"/>
      <c r="L1853" s="685"/>
      <c r="M1853" s="685"/>
      <c r="N1853" s="687"/>
      <c r="O1853" s="683"/>
      <c r="P1853" s="683"/>
      <c r="Q1853" s="686"/>
      <c r="R1853" s="686"/>
      <c r="S1853" s="686"/>
      <c r="T1853" s="686"/>
      <c r="U1853" s="686"/>
      <c r="V1853" s="686"/>
      <c r="W1853" s="686"/>
      <c r="X1853" s="686"/>
      <c r="Y1853" s="686"/>
      <c r="Z1853" s="686"/>
      <c r="AA1853" s="686"/>
      <c r="AB1853" s="686"/>
      <c r="AC1853" s="686"/>
      <c r="AD1853" s="686"/>
      <c r="AE1853" s="686"/>
      <c r="AF1853" s="686"/>
    </row>
    <row r="1854" ht="15.75" customHeight="1">
      <c r="A1854" s="683"/>
      <c r="B1854" s="683"/>
      <c r="C1854" s="684"/>
      <c r="D1854" s="684"/>
      <c r="E1854" s="684"/>
      <c r="F1854" s="683"/>
      <c r="G1854" s="683"/>
      <c r="H1854" s="683"/>
      <c r="I1854" s="683"/>
      <c r="J1854" s="683"/>
      <c r="K1854" s="683"/>
      <c r="L1854" s="685"/>
      <c r="M1854" s="685"/>
      <c r="N1854" s="687"/>
      <c r="O1854" s="683"/>
      <c r="P1854" s="683"/>
      <c r="Q1854" s="686"/>
      <c r="R1854" s="686"/>
      <c r="S1854" s="686"/>
      <c r="T1854" s="686"/>
      <c r="U1854" s="686"/>
      <c r="V1854" s="686"/>
      <c r="W1854" s="686"/>
      <c r="X1854" s="686"/>
      <c r="Y1854" s="686"/>
      <c r="Z1854" s="686"/>
      <c r="AA1854" s="686"/>
      <c r="AB1854" s="686"/>
      <c r="AC1854" s="686"/>
      <c r="AD1854" s="686"/>
      <c r="AE1854" s="686"/>
      <c r="AF1854" s="686"/>
    </row>
    <row r="1855" ht="15.75" customHeight="1">
      <c r="A1855" s="683"/>
      <c r="B1855" s="683"/>
      <c r="C1855" s="684"/>
      <c r="D1855" s="684"/>
      <c r="E1855" s="684"/>
      <c r="F1855" s="683"/>
      <c r="G1855" s="683"/>
      <c r="H1855" s="683"/>
      <c r="I1855" s="683"/>
      <c r="J1855" s="683"/>
      <c r="K1855" s="683"/>
      <c r="L1855" s="685"/>
      <c r="M1855" s="685"/>
      <c r="N1855" s="687"/>
      <c r="O1855" s="683"/>
      <c r="P1855" s="683"/>
      <c r="Q1855" s="686"/>
      <c r="R1855" s="686"/>
      <c r="S1855" s="686"/>
      <c r="T1855" s="686"/>
      <c r="U1855" s="686"/>
      <c r="V1855" s="686"/>
      <c r="W1855" s="686"/>
      <c r="X1855" s="686"/>
      <c r="Y1855" s="686"/>
      <c r="Z1855" s="686"/>
      <c r="AA1855" s="686"/>
      <c r="AB1855" s="686"/>
      <c r="AC1855" s="686"/>
      <c r="AD1855" s="686"/>
      <c r="AE1855" s="686"/>
      <c r="AF1855" s="686"/>
    </row>
    <row r="1856" ht="15.75" customHeight="1">
      <c r="A1856" s="683"/>
      <c r="B1856" s="683"/>
      <c r="C1856" s="684"/>
      <c r="D1856" s="684"/>
      <c r="E1856" s="684"/>
      <c r="F1856" s="683"/>
      <c r="G1856" s="683"/>
      <c r="H1856" s="683"/>
      <c r="I1856" s="683"/>
      <c r="J1856" s="683"/>
      <c r="K1856" s="683"/>
      <c r="L1856" s="685"/>
      <c r="M1856" s="685"/>
      <c r="N1856" s="687"/>
      <c r="O1856" s="683"/>
      <c r="P1856" s="683"/>
      <c r="Q1856" s="686"/>
      <c r="R1856" s="686"/>
      <c r="S1856" s="686"/>
      <c r="T1856" s="686"/>
      <c r="U1856" s="686"/>
      <c r="V1856" s="686"/>
      <c r="W1856" s="686"/>
      <c r="X1856" s="686"/>
      <c r="Y1856" s="686"/>
      <c r="Z1856" s="686"/>
      <c r="AA1856" s="686"/>
      <c r="AB1856" s="686"/>
      <c r="AC1856" s="686"/>
      <c r="AD1856" s="686"/>
      <c r="AE1856" s="686"/>
      <c r="AF1856" s="686"/>
    </row>
    <row r="1857" ht="15.75" customHeight="1">
      <c r="A1857" s="683"/>
      <c r="B1857" s="683"/>
      <c r="C1857" s="684"/>
      <c r="D1857" s="684"/>
      <c r="E1857" s="684"/>
      <c r="F1857" s="683"/>
      <c r="G1857" s="683"/>
      <c r="H1857" s="683"/>
      <c r="I1857" s="683"/>
      <c r="J1857" s="683"/>
      <c r="K1857" s="683"/>
      <c r="L1857" s="685"/>
      <c r="M1857" s="685"/>
      <c r="N1857" s="687"/>
      <c r="O1857" s="683"/>
      <c r="P1857" s="683"/>
      <c r="Q1857" s="686"/>
      <c r="R1857" s="686"/>
      <c r="S1857" s="686"/>
      <c r="T1857" s="686"/>
      <c r="U1857" s="686"/>
      <c r="V1857" s="686"/>
      <c r="W1857" s="686"/>
      <c r="X1857" s="686"/>
      <c r="Y1857" s="686"/>
      <c r="Z1857" s="686"/>
      <c r="AA1857" s="686"/>
      <c r="AB1857" s="686"/>
      <c r="AC1857" s="686"/>
      <c r="AD1857" s="686"/>
      <c r="AE1857" s="686"/>
      <c r="AF1857" s="686"/>
    </row>
    <row r="1858" ht="15.75" customHeight="1">
      <c r="A1858" s="683"/>
      <c r="B1858" s="683"/>
      <c r="C1858" s="684"/>
      <c r="D1858" s="684"/>
      <c r="E1858" s="684"/>
      <c r="F1858" s="683"/>
      <c r="G1858" s="683"/>
      <c r="H1858" s="683"/>
      <c r="I1858" s="683"/>
      <c r="J1858" s="683"/>
      <c r="K1858" s="683"/>
      <c r="L1858" s="685"/>
      <c r="M1858" s="685"/>
      <c r="N1858" s="687"/>
      <c r="O1858" s="683"/>
      <c r="P1858" s="683"/>
      <c r="Q1858" s="686"/>
      <c r="R1858" s="686"/>
      <c r="S1858" s="686"/>
      <c r="T1858" s="686"/>
      <c r="U1858" s="686"/>
      <c r="V1858" s="686"/>
      <c r="W1858" s="686"/>
      <c r="X1858" s="686"/>
      <c r="Y1858" s="686"/>
      <c r="Z1858" s="686"/>
      <c r="AA1858" s="686"/>
      <c r="AB1858" s="686"/>
      <c r="AC1858" s="686"/>
      <c r="AD1858" s="686"/>
      <c r="AE1858" s="686"/>
      <c r="AF1858" s="686"/>
    </row>
    <row r="1859" ht="15.75" customHeight="1">
      <c r="A1859" s="683"/>
      <c r="B1859" s="683"/>
      <c r="C1859" s="684"/>
      <c r="D1859" s="684"/>
      <c r="E1859" s="684"/>
      <c r="F1859" s="683"/>
      <c r="G1859" s="683"/>
      <c r="H1859" s="683"/>
      <c r="I1859" s="683"/>
      <c r="J1859" s="683"/>
      <c r="K1859" s="683"/>
      <c r="L1859" s="685"/>
      <c r="M1859" s="685"/>
      <c r="N1859" s="687"/>
      <c r="O1859" s="683"/>
      <c r="P1859" s="683"/>
      <c r="Q1859" s="686"/>
      <c r="R1859" s="686"/>
      <c r="S1859" s="686"/>
      <c r="T1859" s="686"/>
      <c r="U1859" s="686"/>
      <c r="V1859" s="686"/>
      <c r="W1859" s="686"/>
      <c r="X1859" s="686"/>
      <c r="Y1859" s="686"/>
      <c r="Z1859" s="686"/>
      <c r="AA1859" s="686"/>
      <c r="AB1859" s="686"/>
      <c r="AC1859" s="686"/>
      <c r="AD1859" s="686"/>
      <c r="AE1859" s="686"/>
      <c r="AF1859" s="686"/>
    </row>
    <row r="1860" ht="15.75" customHeight="1">
      <c r="A1860" s="683"/>
      <c r="B1860" s="683"/>
      <c r="C1860" s="684"/>
      <c r="D1860" s="684"/>
      <c r="E1860" s="684"/>
      <c r="F1860" s="683"/>
      <c r="G1860" s="683"/>
      <c r="H1860" s="683"/>
      <c r="I1860" s="683"/>
      <c r="J1860" s="683"/>
      <c r="K1860" s="683"/>
      <c r="L1860" s="685"/>
      <c r="M1860" s="685"/>
      <c r="N1860" s="687"/>
      <c r="O1860" s="683"/>
      <c r="P1860" s="683"/>
      <c r="Q1860" s="686"/>
      <c r="R1860" s="686"/>
      <c r="S1860" s="686"/>
      <c r="T1860" s="686"/>
      <c r="U1860" s="686"/>
      <c r="V1860" s="686"/>
      <c r="W1860" s="686"/>
      <c r="X1860" s="686"/>
      <c r="Y1860" s="686"/>
      <c r="Z1860" s="686"/>
      <c r="AA1860" s="686"/>
      <c r="AB1860" s="686"/>
      <c r="AC1860" s="686"/>
      <c r="AD1860" s="686"/>
      <c r="AE1860" s="686"/>
      <c r="AF1860" s="686"/>
    </row>
    <row r="1861" ht="15.75" customHeight="1">
      <c r="A1861" s="683"/>
      <c r="B1861" s="683"/>
      <c r="C1861" s="684"/>
      <c r="D1861" s="684"/>
      <c r="E1861" s="684"/>
      <c r="F1861" s="683"/>
      <c r="G1861" s="683"/>
      <c r="H1861" s="683"/>
      <c r="I1861" s="683"/>
      <c r="J1861" s="683"/>
      <c r="K1861" s="683"/>
      <c r="L1861" s="685"/>
      <c r="M1861" s="685"/>
      <c r="N1861" s="687"/>
      <c r="O1861" s="683"/>
      <c r="P1861" s="683"/>
      <c r="Q1861" s="686"/>
      <c r="R1861" s="686"/>
      <c r="S1861" s="686"/>
      <c r="T1861" s="686"/>
      <c r="U1861" s="686"/>
      <c r="V1861" s="686"/>
      <c r="W1861" s="686"/>
      <c r="X1861" s="686"/>
      <c r="Y1861" s="686"/>
      <c r="Z1861" s="686"/>
      <c r="AA1861" s="686"/>
      <c r="AB1861" s="686"/>
      <c r="AC1861" s="686"/>
      <c r="AD1861" s="686"/>
      <c r="AE1861" s="686"/>
      <c r="AF1861" s="686"/>
    </row>
    <row r="1862" ht="15.75" customHeight="1">
      <c r="A1862" s="683"/>
      <c r="B1862" s="683"/>
      <c r="C1862" s="684"/>
      <c r="D1862" s="684"/>
      <c r="E1862" s="684"/>
      <c r="F1862" s="683"/>
      <c r="G1862" s="683"/>
      <c r="H1862" s="683"/>
      <c r="I1862" s="683"/>
      <c r="J1862" s="683"/>
      <c r="K1862" s="683"/>
      <c r="L1862" s="685"/>
      <c r="M1862" s="685"/>
      <c r="N1862" s="687"/>
      <c r="O1862" s="683"/>
      <c r="P1862" s="683"/>
      <c r="Q1862" s="686"/>
      <c r="R1862" s="686"/>
      <c r="S1862" s="686"/>
      <c r="T1862" s="686"/>
      <c r="U1862" s="686"/>
      <c r="V1862" s="686"/>
      <c r="W1862" s="686"/>
      <c r="X1862" s="686"/>
      <c r="Y1862" s="686"/>
      <c r="Z1862" s="686"/>
      <c r="AA1862" s="686"/>
      <c r="AB1862" s="686"/>
      <c r="AC1862" s="686"/>
      <c r="AD1862" s="686"/>
      <c r="AE1862" s="686"/>
      <c r="AF1862" s="686"/>
    </row>
    <row r="1863" ht="15.75" customHeight="1">
      <c r="A1863" s="683"/>
      <c r="B1863" s="683"/>
      <c r="C1863" s="684"/>
      <c r="D1863" s="684"/>
      <c r="E1863" s="684"/>
      <c r="F1863" s="683"/>
      <c r="G1863" s="683"/>
      <c r="H1863" s="683"/>
      <c r="I1863" s="683"/>
      <c r="J1863" s="683"/>
      <c r="K1863" s="683"/>
      <c r="L1863" s="685"/>
      <c r="M1863" s="685"/>
      <c r="N1863" s="687"/>
      <c r="O1863" s="683"/>
      <c r="P1863" s="683"/>
      <c r="Q1863" s="686"/>
      <c r="R1863" s="686"/>
      <c r="S1863" s="686"/>
      <c r="T1863" s="686"/>
      <c r="U1863" s="686"/>
      <c r="V1863" s="686"/>
      <c r="W1863" s="686"/>
      <c r="X1863" s="686"/>
      <c r="Y1863" s="686"/>
      <c r="Z1863" s="686"/>
      <c r="AA1863" s="686"/>
      <c r="AB1863" s="686"/>
      <c r="AC1863" s="686"/>
      <c r="AD1863" s="686"/>
      <c r="AE1863" s="686"/>
      <c r="AF1863" s="686"/>
    </row>
    <row r="1864" ht="15.75" customHeight="1">
      <c r="A1864" s="683"/>
      <c r="B1864" s="683"/>
      <c r="C1864" s="684"/>
      <c r="D1864" s="684"/>
      <c r="E1864" s="684"/>
      <c r="F1864" s="683"/>
      <c r="G1864" s="683"/>
      <c r="H1864" s="683"/>
      <c r="I1864" s="683"/>
      <c r="J1864" s="683"/>
      <c r="K1864" s="683"/>
      <c r="L1864" s="685"/>
      <c r="M1864" s="685"/>
      <c r="N1864" s="687"/>
      <c r="O1864" s="683"/>
      <c r="P1864" s="683"/>
      <c r="Q1864" s="686"/>
      <c r="R1864" s="686"/>
      <c r="S1864" s="686"/>
      <c r="T1864" s="686"/>
      <c r="U1864" s="686"/>
      <c r="V1864" s="686"/>
      <c r="W1864" s="686"/>
      <c r="X1864" s="686"/>
      <c r="Y1864" s="686"/>
      <c r="Z1864" s="686"/>
      <c r="AA1864" s="686"/>
      <c r="AB1864" s="686"/>
      <c r="AC1864" s="686"/>
      <c r="AD1864" s="686"/>
      <c r="AE1864" s="686"/>
      <c r="AF1864" s="686"/>
    </row>
    <row r="1865" ht="15.75" customHeight="1">
      <c r="A1865" s="683"/>
      <c r="B1865" s="683"/>
      <c r="C1865" s="684"/>
      <c r="D1865" s="684"/>
      <c r="E1865" s="684"/>
      <c r="F1865" s="683"/>
      <c r="G1865" s="683"/>
      <c r="H1865" s="683"/>
      <c r="I1865" s="683"/>
      <c r="J1865" s="683"/>
      <c r="K1865" s="683"/>
      <c r="L1865" s="685"/>
      <c r="M1865" s="685"/>
      <c r="N1865" s="687"/>
      <c r="O1865" s="683"/>
      <c r="P1865" s="683"/>
      <c r="Q1865" s="686"/>
      <c r="R1865" s="686"/>
      <c r="S1865" s="686"/>
      <c r="T1865" s="686"/>
      <c r="U1865" s="686"/>
      <c r="V1865" s="686"/>
      <c r="W1865" s="686"/>
      <c r="X1865" s="686"/>
      <c r="Y1865" s="686"/>
      <c r="Z1865" s="686"/>
      <c r="AA1865" s="686"/>
      <c r="AB1865" s="686"/>
      <c r="AC1865" s="686"/>
      <c r="AD1865" s="686"/>
      <c r="AE1865" s="686"/>
      <c r="AF1865" s="686"/>
    </row>
    <row r="1866" ht="15.75" customHeight="1">
      <c r="A1866" s="683"/>
      <c r="B1866" s="683"/>
      <c r="C1866" s="684"/>
      <c r="D1866" s="684"/>
      <c r="E1866" s="684"/>
      <c r="F1866" s="683"/>
      <c r="G1866" s="683"/>
      <c r="H1866" s="683"/>
      <c r="I1866" s="683"/>
      <c r="J1866" s="683"/>
      <c r="K1866" s="683"/>
      <c r="L1866" s="685"/>
      <c r="M1866" s="685"/>
      <c r="N1866" s="687"/>
      <c r="O1866" s="683"/>
      <c r="P1866" s="683"/>
      <c r="Q1866" s="686"/>
      <c r="R1866" s="686"/>
      <c r="S1866" s="686"/>
      <c r="T1866" s="686"/>
      <c r="U1866" s="686"/>
      <c r="V1866" s="686"/>
      <c r="W1866" s="686"/>
      <c r="X1866" s="686"/>
      <c r="Y1866" s="686"/>
      <c r="Z1866" s="686"/>
      <c r="AA1866" s="686"/>
      <c r="AB1866" s="686"/>
      <c r="AC1866" s="686"/>
      <c r="AD1866" s="686"/>
      <c r="AE1866" s="686"/>
      <c r="AF1866" s="686"/>
    </row>
    <row r="1867" ht="15.75" customHeight="1">
      <c r="A1867" s="683"/>
      <c r="B1867" s="683"/>
      <c r="C1867" s="684"/>
      <c r="D1867" s="684"/>
      <c r="E1867" s="684"/>
      <c r="F1867" s="683"/>
      <c r="G1867" s="683"/>
      <c r="H1867" s="683"/>
      <c r="I1867" s="683"/>
      <c r="J1867" s="683"/>
      <c r="K1867" s="683"/>
      <c r="L1867" s="685"/>
      <c r="M1867" s="685"/>
      <c r="N1867" s="687"/>
      <c r="O1867" s="683"/>
      <c r="P1867" s="683"/>
      <c r="Q1867" s="686"/>
      <c r="R1867" s="686"/>
      <c r="S1867" s="686"/>
      <c r="T1867" s="686"/>
      <c r="U1867" s="686"/>
      <c r="V1867" s="686"/>
      <c r="W1867" s="686"/>
      <c r="X1867" s="686"/>
      <c r="Y1867" s="686"/>
      <c r="Z1867" s="686"/>
      <c r="AA1867" s="686"/>
      <c r="AB1867" s="686"/>
      <c r="AC1867" s="686"/>
      <c r="AD1867" s="686"/>
      <c r="AE1867" s="686"/>
      <c r="AF1867" s="686"/>
    </row>
    <row r="1868" ht="15.75" customHeight="1">
      <c r="A1868" s="683"/>
      <c r="B1868" s="683"/>
      <c r="C1868" s="684"/>
      <c r="D1868" s="684"/>
      <c r="E1868" s="684"/>
      <c r="F1868" s="683"/>
      <c r="G1868" s="683"/>
      <c r="H1868" s="683"/>
      <c r="I1868" s="683"/>
      <c r="J1868" s="683"/>
      <c r="K1868" s="683"/>
      <c r="L1868" s="685"/>
      <c r="M1868" s="685"/>
      <c r="N1868" s="687"/>
      <c r="O1868" s="683"/>
      <c r="P1868" s="683"/>
      <c r="Q1868" s="686"/>
      <c r="R1868" s="686"/>
      <c r="S1868" s="686"/>
      <c r="T1868" s="686"/>
      <c r="U1868" s="686"/>
      <c r="V1868" s="686"/>
      <c r="W1868" s="686"/>
      <c r="X1868" s="686"/>
      <c r="Y1868" s="686"/>
      <c r="Z1868" s="686"/>
      <c r="AA1868" s="686"/>
      <c r="AB1868" s="686"/>
      <c r="AC1868" s="686"/>
      <c r="AD1868" s="686"/>
      <c r="AE1868" s="686"/>
      <c r="AF1868" s="686"/>
    </row>
    <row r="1869" ht="15.75" customHeight="1">
      <c r="A1869" s="683"/>
      <c r="B1869" s="683"/>
      <c r="C1869" s="684"/>
      <c r="D1869" s="684"/>
      <c r="E1869" s="684"/>
      <c r="F1869" s="683"/>
      <c r="G1869" s="683"/>
      <c r="H1869" s="683"/>
      <c r="I1869" s="683"/>
      <c r="J1869" s="683"/>
      <c r="K1869" s="683"/>
      <c r="L1869" s="685"/>
      <c r="M1869" s="685"/>
      <c r="N1869" s="687"/>
      <c r="O1869" s="683"/>
      <c r="P1869" s="683"/>
      <c r="Q1869" s="686"/>
      <c r="R1869" s="686"/>
      <c r="S1869" s="686"/>
      <c r="T1869" s="686"/>
      <c r="U1869" s="686"/>
      <c r="V1869" s="686"/>
      <c r="W1869" s="686"/>
      <c r="X1869" s="686"/>
      <c r="Y1869" s="686"/>
      <c r="Z1869" s="686"/>
      <c r="AA1869" s="686"/>
      <c r="AB1869" s="686"/>
      <c r="AC1869" s="686"/>
      <c r="AD1869" s="686"/>
      <c r="AE1869" s="686"/>
      <c r="AF1869" s="686"/>
    </row>
    <row r="1870" ht="15.75" customHeight="1">
      <c r="A1870" s="683"/>
      <c r="B1870" s="683"/>
      <c r="C1870" s="684"/>
      <c r="D1870" s="684"/>
      <c r="E1870" s="684"/>
      <c r="F1870" s="683"/>
      <c r="G1870" s="683"/>
      <c r="H1870" s="683"/>
      <c r="I1870" s="683"/>
      <c r="J1870" s="683"/>
      <c r="K1870" s="683"/>
      <c r="L1870" s="685"/>
      <c r="M1870" s="685"/>
      <c r="N1870" s="687"/>
      <c r="O1870" s="683"/>
      <c r="P1870" s="683"/>
      <c r="Q1870" s="686"/>
      <c r="R1870" s="686"/>
      <c r="S1870" s="686"/>
      <c r="T1870" s="686"/>
      <c r="U1870" s="686"/>
      <c r="V1870" s="686"/>
      <c r="W1870" s="686"/>
      <c r="X1870" s="686"/>
      <c r="Y1870" s="686"/>
      <c r="Z1870" s="686"/>
      <c r="AA1870" s="686"/>
      <c r="AB1870" s="686"/>
      <c r="AC1870" s="686"/>
      <c r="AD1870" s="686"/>
      <c r="AE1870" s="686"/>
      <c r="AF1870" s="686"/>
    </row>
    <row r="1871" ht="15.75" customHeight="1">
      <c r="A1871" s="683"/>
      <c r="B1871" s="683"/>
      <c r="C1871" s="684"/>
      <c r="D1871" s="684"/>
      <c r="E1871" s="684"/>
      <c r="F1871" s="683"/>
      <c r="G1871" s="683"/>
      <c r="H1871" s="683"/>
      <c r="I1871" s="683"/>
      <c r="J1871" s="683"/>
      <c r="K1871" s="683"/>
      <c r="L1871" s="685"/>
      <c r="M1871" s="685"/>
      <c r="N1871" s="687"/>
      <c r="O1871" s="683"/>
      <c r="P1871" s="683"/>
      <c r="Q1871" s="686"/>
      <c r="R1871" s="686"/>
      <c r="S1871" s="686"/>
      <c r="T1871" s="686"/>
      <c r="U1871" s="686"/>
      <c r="V1871" s="686"/>
      <c r="W1871" s="686"/>
      <c r="X1871" s="686"/>
      <c r="Y1871" s="686"/>
      <c r="Z1871" s="686"/>
      <c r="AA1871" s="686"/>
      <c r="AB1871" s="686"/>
      <c r="AC1871" s="686"/>
      <c r="AD1871" s="686"/>
      <c r="AE1871" s="686"/>
      <c r="AF1871" s="686"/>
    </row>
    <row r="1872" ht="15.75" customHeight="1">
      <c r="A1872" s="683"/>
      <c r="B1872" s="683"/>
      <c r="C1872" s="684"/>
      <c r="D1872" s="684"/>
      <c r="E1872" s="684"/>
      <c r="F1872" s="683"/>
      <c r="G1872" s="683"/>
      <c r="H1872" s="683"/>
      <c r="I1872" s="683"/>
      <c r="J1872" s="683"/>
      <c r="K1872" s="683"/>
      <c r="L1872" s="685"/>
      <c r="M1872" s="685"/>
      <c r="N1872" s="687"/>
      <c r="O1872" s="683"/>
      <c r="P1872" s="683"/>
      <c r="Q1872" s="686"/>
      <c r="R1872" s="686"/>
      <c r="S1872" s="686"/>
      <c r="T1872" s="686"/>
      <c r="U1872" s="686"/>
      <c r="V1872" s="686"/>
      <c r="W1872" s="686"/>
      <c r="X1872" s="686"/>
      <c r="Y1872" s="686"/>
      <c r="Z1872" s="686"/>
      <c r="AA1872" s="686"/>
      <c r="AB1872" s="686"/>
      <c r="AC1872" s="686"/>
      <c r="AD1872" s="686"/>
      <c r="AE1872" s="686"/>
      <c r="AF1872" s="686"/>
    </row>
    <row r="1873" ht="15.75" customHeight="1">
      <c r="A1873" s="683"/>
      <c r="B1873" s="683"/>
      <c r="C1873" s="684"/>
      <c r="D1873" s="684"/>
      <c r="E1873" s="684"/>
      <c r="F1873" s="683"/>
      <c r="G1873" s="683"/>
      <c r="H1873" s="683"/>
      <c r="I1873" s="683"/>
      <c r="J1873" s="683"/>
      <c r="K1873" s="683"/>
      <c r="L1873" s="685"/>
      <c r="M1873" s="685"/>
      <c r="N1873" s="687"/>
      <c r="O1873" s="683"/>
      <c r="P1873" s="683"/>
      <c r="Q1873" s="686"/>
      <c r="R1873" s="686"/>
      <c r="S1873" s="686"/>
      <c r="T1873" s="686"/>
      <c r="U1873" s="686"/>
      <c r="V1873" s="686"/>
      <c r="W1873" s="686"/>
      <c r="X1873" s="686"/>
      <c r="Y1873" s="686"/>
      <c r="Z1873" s="686"/>
      <c r="AA1873" s="686"/>
      <c r="AB1873" s="686"/>
      <c r="AC1873" s="686"/>
      <c r="AD1873" s="686"/>
      <c r="AE1873" s="686"/>
      <c r="AF1873" s="686"/>
    </row>
    <row r="1874" ht="15.75" customHeight="1">
      <c r="A1874" s="683"/>
      <c r="B1874" s="683"/>
      <c r="C1874" s="684"/>
      <c r="D1874" s="684"/>
      <c r="E1874" s="684"/>
      <c r="F1874" s="683"/>
      <c r="G1874" s="683"/>
      <c r="H1874" s="683"/>
      <c r="I1874" s="683"/>
      <c r="J1874" s="683"/>
      <c r="K1874" s="683"/>
      <c r="L1874" s="685"/>
      <c r="M1874" s="685"/>
      <c r="N1874" s="687"/>
      <c r="O1874" s="683"/>
      <c r="P1874" s="683"/>
      <c r="Q1874" s="686"/>
      <c r="R1874" s="686"/>
      <c r="S1874" s="686"/>
      <c r="T1874" s="686"/>
      <c r="U1874" s="686"/>
      <c r="V1874" s="686"/>
      <c r="W1874" s="686"/>
      <c r="X1874" s="686"/>
      <c r="Y1874" s="686"/>
      <c r="Z1874" s="686"/>
      <c r="AA1874" s="686"/>
      <c r="AB1874" s="686"/>
      <c r="AC1874" s="686"/>
      <c r="AD1874" s="686"/>
      <c r="AE1874" s="686"/>
      <c r="AF1874" s="686"/>
    </row>
    <row r="1875" ht="15.75" customHeight="1">
      <c r="A1875" s="683"/>
      <c r="B1875" s="683"/>
      <c r="C1875" s="684"/>
      <c r="D1875" s="684"/>
      <c r="E1875" s="684"/>
      <c r="F1875" s="683"/>
      <c r="G1875" s="683"/>
      <c r="H1875" s="683"/>
      <c r="I1875" s="683"/>
      <c r="J1875" s="683"/>
      <c r="K1875" s="683"/>
      <c r="L1875" s="685"/>
      <c r="M1875" s="685"/>
      <c r="N1875" s="687"/>
      <c r="O1875" s="683"/>
      <c r="P1875" s="683"/>
      <c r="Q1875" s="686"/>
      <c r="R1875" s="686"/>
      <c r="S1875" s="686"/>
      <c r="T1875" s="686"/>
      <c r="U1875" s="686"/>
      <c r="V1875" s="686"/>
      <c r="W1875" s="686"/>
      <c r="X1875" s="686"/>
      <c r="Y1875" s="686"/>
      <c r="Z1875" s="686"/>
      <c r="AA1875" s="686"/>
      <c r="AB1875" s="686"/>
      <c r="AC1875" s="686"/>
      <c r="AD1875" s="686"/>
      <c r="AE1875" s="686"/>
      <c r="AF1875" s="686"/>
    </row>
    <row r="1876" ht="15.75" customHeight="1">
      <c r="A1876" s="683"/>
      <c r="B1876" s="683"/>
      <c r="C1876" s="684"/>
      <c r="D1876" s="684"/>
      <c r="E1876" s="684"/>
      <c r="F1876" s="683"/>
      <c r="G1876" s="683"/>
      <c r="H1876" s="683"/>
      <c r="I1876" s="683"/>
      <c r="J1876" s="683"/>
      <c r="K1876" s="683"/>
      <c r="L1876" s="685"/>
      <c r="M1876" s="685"/>
      <c r="N1876" s="687"/>
      <c r="O1876" s="683"/>
      <c r="P1876" s="683"/>
      <c r="Q1876" s="686"/>
      <c r="R1876" s="686"/>
      <c r="S1876" s="686"/>
      <c r="T1876" s="686"/>
      <c r="U1876" s="686"/>
      <c r="V1876" s="686"/>
      <c r="W1876" s="686"/>
      <c r="X1876" s="686"/>
      <c r="Y1876" s="686"/>
      <c r="Z1876" s="686"/>
      <c r="AA1876" s="686"/>
      <c r="AB1876" s="686"/>
      <c r="AC1876" s="686"/>
      <c r="AD1876" s="686"/>
      <c r="AE1876" s="686"/>
      <c r="AF1876" s="686"/>
    </row>
    <row r="1877" ht="15.75" customHeight="1">
      <c r="A1877" s="683"/>
      <c r="B1877" s="683"/>
      <c r="C1877" s="684"/>
      <c r="D1877" s="684"/>
      <c r="E1877" s="684"/>
      <c r="F1877" s="683"/>
      <c r="G1877" s="683"/>
      <c r="H1877" s="683"/>
      <c r="I1877" s="683"/>
      <c r="J1877" s="683"/>
      <c r="K1877" s="683"/>
      <c r="L1877" s="685"/>
      <c r="M1877" s="685"/>
      <c r="N1877" s="687"/>
      <c r="O1877" s="683"/>
      <c r="P1877" s="683"/>
      <c r="Q1877" s="686"/>
      <c r="R1877" s="686"/>
      <c r="S1877" s="686"/>
      <c r="T1877" s="686"/>
      <c r="U1877" s="686"/>
      <c r="V1877" s="686"/>
      <c r="W1877" s="686"/>
      <c r="X1877" s="686"/>
      <c r="Y1877" s="686"/>
      <c r="Z1877" s="686"/>
      <c r="AA1877" s="686"/>
      <c r="AB1877" s="686"/>
      <c r="AC1877" s="686"/>
      <c r="AD1877" s="686"/>
      <c r="AE1877" s="686"/>
      <c r="AF1877" s="686"/>
    </row>
    <row r="1878" ht="15.75" customHeight="1">
      <c r="A1878" s="683"/>
      <c r="B1878" s="683"/>
      <c r="C1878" s="684"/>
      <c r="D1878" s="684"/>
      <c r="E1878" s="684"/>
      <c r="F1878" s="683"/>
      <c r="G1878" s="683"/>
      <c r="H1878" s="683"/>
      <c r="I1878" s="683"/>
      <c r="J1878" s="683"/>
      <c r="K1878" s="683"/>
      <c r="L1878" s="685"/>
      <c r="M1878" s="685"/>
      <c r="N1878" s="687"/>
      <c r="O1878" s="683"/>
      <c r="P1878" s="683"/>
      <c r="Q1878" s="686"/>
      <c r="R1878" s="686"/>
      <c r="S1878" s="686"/>
      <c r="T1878" s="686"/>
      <c r="U1878" s="686"/>
      <c r="V1878" s="686"/>
      <c r="W1878" s="686"/>
      <c r="X1878" s="686"/>
      <c r="Y1878" s="686"/>
      <c r="Z1878" s="686"/>
      <c r="AA1878" s="686"/>
      <c r="AB1878" s="686"/>
      <c r="AC1878" s="686"/>
      <c r="AD1878" s="686"/>
      <c r="AE1878" s="686"/>
      <c r="AF1878" s="686"/>
    </row>
    <row r="1879" ht="15.75" customHeight="1">
      <c r="A1879" s="683"/>
      <c r="B1879" s="683"/>
      <c r="C1879" s="684"/>
      <c r="D1879" s="684"/>
      <c r="E1879" s="684"/>
      <c r="F1879" s="683"/>
      <c r="G1879" s="683"/>
      <c r="H1879" s="683"/>
      <c r="I1879" s="683"/>
      <c r="J1879" s="683"/>
      <c r="K1879" s="683"/>
      <c r="L1879" s="685"/>
      <c r="M1879" s="685"/>
      <c r="N1879" s="687"/>
      <c r="O1879" s="683"/>
      <c r="P1879" s="683"/>
      <c r="Q1879" s="686"/>
      <c r="R1879" s="686"/>
      <c r="S1879" s="686"/>
      <c r="T1879" s="686"/>
      <c r="U1879" s="686"/>
      <c r="V1879" s="686"/>
      <c r="W1879" s="686"/>
      <c r="X1879" s="686"/>
      <c r="Y1879" s="686"/>
      <c r="Z1879" s="686"/>
      <c r="AA1879" s="686"/>
      <c r="AB1879" s="686"/>
      <c r="AC1879" s="686"/>
      <c r="AD1879" s="686"/>
      <c r="AE1879" s="686"/>
      <c r="AF1879" s="686"/>
    </row>
    <row r="1880" ht="15.75" customHeight="1">
      <c r="A1880" s="683"/>
      <c r="B1880" s="683"/>
      <c r="C1880" s="684"/>
      <c r="D1880" s="684"/>
      <c r="E1880" s="684"/>
      <c r="F1880" s="683"/>
      <c r="G1880" s="683"/>
      <c r="H1880" s="683"/>
      <c r="I1880" s="683"/>
      <c r="J1880" s="683"/>
      <c r="K1880" s="683"/>
      <c r="L1880" s="685"/>
      <c r="M1880" s="685"/>
      <c r="N1880" s="687"/>
      <c r="O1880" s="683"/>
      <c r="P1880" s="683"/>
      <c r="Q1880" s="686"/>
      <c r="R1880" s="686"/>
      <c r="S1880" s="686"/>
      <c r="T1880" s="686"/>
      <c r="U1880" s="686"/>
      <c r="V1880" s="686"/>
      <c r="W1880" s="686"/>
      <c r="X1880" s="686"/>
      <c r="Y1880" s="686"/>
      <c r="Z1880" s="686"/>
      <c r="AA1880" s="686"/>
      <c r="AB1880" s="686"/>
      <c r="AC1880" s="686"/>
      <c r="AD1880" s="686"/>
      <c r="AE1880" s="686"/>
      <c r="AF1880" s="686"/>
    </row>
    <row r="1881" ht="15.75" customHeight="1">
      <c r="A1881" s="683"/>
      <c r="B1881" s="683"/>
      <c r="C1881" s="684"/>
      <c r="D1881" s="684"/>
      <c r="E1881" s="684"/>
      <c r="F1881" s="683"/>
      <c r="G1881" s="683"/>
      <c r="H1881" s="683"/>
      <c r="I1881" s="683"/>
      <c r="J1881" s="683"/>
      <c r="K1881" s="683"/>
      <c r="L1881" s="685"/>
      <c r="M1881" s="685"/>
      <c r="N1881" s="687"/>
      <c r="O1881" s="683"/>
      <c r="P1881" s="683"/>
      <c r="Q1881" s="686"/>
      <c r="R1881" s="686"/>
      <c r="S1881" s="686"/>
      <c r="T1881" s="686"/>
      <c r="U1881" s="686"/>
      <c r="V1881" s="686"/>
      <c r="W1881" s="686"/>
      <c r="X1881" s="686"/>
      <c r="Y1881" s="686"/>
      <c r="Z1881" s="686"/>
      <c r="AA1881" s="686"/>
      <c r="AB1881" s="686"/>
      <c r="AC1881" s="686"/>
      <c r="AD1881" s="686"/>
      <c r="AE1881" s="686"/>
      <c r="AF1881" s="686"/>
    </row>
    <row r="1882" ht="15.75" customHeight="1">
      <c r="A1882" s="683"/>
      <c r="B1882" s="683"/>
      <c r="C1882" s="684"/>
      <c r="D1882" s="684"/>
      <c r="E1882" s="684"/>
      <c r="F1882" s="683"/>
      <c r="G1882" s="683"/>
      <c r="H1882" s="683"/>
      <c r="I1882" s="683"/>
      <c r="J1882" s="683"/>
      <c r="K1882" s="683"/>
      <c r="L1882" s="685"/>
      <c r="M1882" s="685"/>
      <c r="N1882" s="687"/>
      <c r="O1882" s="683"/>
      <c r="P1882" s="683"/>
      <c r="Q1882" s="686"/>
      <c r="R1882" s="686"/>
      <c r="S1882" s="686"/>
      <c r="T1882" s="686"/>
      <c r="U1882" s="686"/>
      <c r="V1882" s="686"/>
      <c r="W1882" s="686"/>
      <c r="X1882" s="686"/>
      <c r="Y1882" s="686"/>
      <c r="Z1882" s="686"/>
      <c r="AA1882" s="686"/>
      <c r="AB1882" s="686"/>
      <c r="AC1882" s="686"/>
      <c r="AD1882" s="686"/>
      <c r="AE1882" s="686"/>
      <c r="AF1882" s="686"/>
    </row>
    <row r="1883" ht="15.75" customHeight="1">
      <c r="A1883" s="683"/>
      <c r="B1883" s="683"/>
      <c r="C1883" s="684"/>
      <c r="D1883" s="684"/>
      <c r="E1883" s="684"/>
      <c r="F1883" s="683"/>
      <c r="G1883" s="683"/>
      <c r="H1883" s="683"/>
      <c r="I1883" s="683"/>
      <c r="J1883" s="683"/>
      <c r="K1883" s="683"/>
      <c r="L1883" s="685"/>
      <c r="M1883" s="685"/>
      <c r="N1883" s="687"/>
      <c r="O1883" s="683"/>
      <c r="P1883" s="683"/>
      <c r="Q1883" s="686"/>
      <c r="R1883" s="686"/>
      <c r="S1883" s="686"/>
      <c r="T1883" s="686"/>
      <c r="U1883" s="686"/>
      <c r="V1883" s="686"/>
      <c r="W1883" s="686"/>
      <c r="X1883" s="686"/>
      <c r="Y1883" s="686"/>
      <c r="Z1883" s="686"/>
      <c r="AA1883" s="686"/>
      <c r="AB1883" s="686"/>
      <c r="AC1883" s="686"/>
      <c r="AD1883" s="686"/>
      <c r="AE1883" s="686"/>
      <c r="AF1883" s="686"/>
    </row>
    <row r="1884" ht="15.75" customHeight="1">
      <c r="A1884" s="683"/>
      <c r="B1884" s="683"/>
      <c r="C1884" s="684"/>
      <c r="D1884" s="684"/>
      <c r="E1884" s="684"/>
      <c r="F1884" s="683"/>
      <c r="G1884" s="683"/>
      <c r="H1884" s="683"/>
      <c r="I1884" s="683"/>
      <c r="J1884" s="683"/>
      <c r="K1884" s="683"/>
      <c r="L1884" s="685"/>
      <c r="M1884" s="685"/>
      <c r="N1884" s="687"/>
      <c r="O1884" s="683"/>
      <c r="P1884" s="683"/>
      <c r="Q1884" s="686"/>
      <c r="R1884" s="686"/>
      <c r="S1884" s="686"/>
      <c r="T1884" s="686"/>
      <c r="U1884" s="686"/>
      <c r="V1884" s="686"/>
      <c r="W1884" s="686"/>
      <c r="X1884" s="686"/>
      <c r="Y1884" s="686"/>
      <c r="Z1884" s="686"/>
      <c r="AA1884" s="686"/>
      <c r="AB1884" s="686"/>
      <c r="AC1884" s="686"/>
      <c r="AD1884" s="686"/>
      <c r="AE1884" s="686"/>
      <c r="AF1884" s="686"/>
    </row>
    <row r="1885" ht="15.75" customHeight="1">
      <c r="A1885" s="683"/>
      <c r="B1885" s="683"/>
      <c r="C1885" s="684"/>
      <c r="D1885" s="684"/>
      <c r="E1885" s="684"/>
      <c r="F1885" s="683"/>
      <c r="G1885" s="683"/>
      <c r="H1885" s="683"/>
      <c r="I1885" s="683"/>
      <c r="J1885" s="683"/>
      <c r="K1885" s="683"/>
      <c r="L1885" s="685"/>
      <c r="M1885" s="685"/>
      <c r="N1885" s="687"/>
      <c r="O1885" s="683"/>
      <c r="P1885" s="683"/>
      <c r="Q1885" s="686"/>
      <c r="R1885" s="686"/>
      <c r="S1885" s="686"/>
      <c r="T1885" s="686"/>
      <c r="U1885" s="686"/>
      <c r="V1885" s="686"/>
      <c r="W1885" s="686"/>
      <c r="X1885" s="686"/>
      <c r="Y1885" s="686"/>
      <c r="Z1885" s="686"/>
      <c r="AA1885" s="686"/>
      <c r="AB1885" s="686"/>
      <c r="AC1885" s="686"/>
      <c r="AD1885" s="686"/>
      <c r="AE1885" s="686"/>
      <c r="AF1885" s="686"/>
    </row>
    <row r="1886" ht="15.75" customHeight="1">
      <c r="A1886" s="683"/>
      <c r="B1886" s="683"/>
      <c r="C1886" s="684"/>
      <c r="D1886" s="684"/>
      <c r="E1886" s="684"/>
      <c r="F1886" s="683"/>
      <c r="G1886" s="683"/>
      <c r="H1886" s="683"/>
      <c r="I1886" s="683"/>
      <c r="J1886" s="683"/>
      <c r="K1886" s="683"/>
      <c r="L1886" s="685"/>
      <c r="M1886" s="685"/>
      <c r="N1886" s="687"/>
      <c r="O1886" s="683"/>
      <c r="P1886" s="683"/>
      <c r="Q1886" s="686"/>
      <c r="R1886" s="686"/>
      <c r="S1886" s="686"/>
      <c r="T1886" s="686"/>
      <c r="U1886" s="686"/>
      <c r="V1886" s="686"/>
      <c r="W1886" s="686"/>
      <c r="X1886" s="686"/>
      <c r="Y1886" s="686"/>
      <c r="Z1886" s="686"/>
      <c r="AA1886" s="686"/>
      <c r="AB1886" s="686"/>
      <c r="AC1886" s="686"/>
      <c r="AD1886" s="686"/>
      <c r="AE1886" s="686"/>
      <c r="AF1886" s="686"/>
    </row>
    <row r="1887" ht="15.75" customHeight="1">
      <c r="A1887" s="683"/>
      <c r="B1887" s="683"/>
      <c r="C1887" s="684"/>
      <c r="D1887" s="684"/>
      <c r="E1887" s="684"/>
      <c r="F1887" s="683"/>
      <c r="G1887" s="683"/>
      <c r="H1887" s="683"/>
      <c r="I1887" s="683"/>
      <c r="J1887" s="683"/>
      <c r="K1887" s="683"/>
      <c r="L1887" s="685"/>
      <c r="M1887" s="685"/>
      <c r="N1887" s="687"/>
      <c r="O1887" s="683"/>
      <c r="P1887" s="683"/>
      <c r="Q1887" s="686"/>
      <c r="R1887" s="686"/>
      <c r="S1887" s="686"/>
      <c r="T1887" s="686"/>
      <c r="U1887" s="686"/>
      <c r="V1887" s="686"/>
      <c r="W1887" s="686"/>
      <c r="X1887" s="686"/>
      <c r="Y1887" s="686"/>
      <c r="Z1887" s="686"/>
      <c r="AA1887" s="686"/>
      <c r="AB1887" s="686"/>
      <c r="AC1887" s="686"/>
      <c r="AD1887" s="686"/>
      <c r="AE1887" s="686"/>
      <c r="AF1887" s="686"/>
    </row>
    <row r="1888" ht="15.75" customHeight="1">
      <c r="A1888" s="683"/>
      <c r="B1888" s="683"/>
      <c r="C1888" s="684"/>
      <c r="D1888" s="684"/>
      <c r="E1888" s="684"/>
      <c r="F1888" s="683"/>
      <c r="G1888" s="683"/>
      <c r="H1888" s="683"/>
      <c r="I1888" s="683"/>
      <c r="J1888" s="683"/>
      <c r="K1888" s="683"/>
      <c r="L1888" s="685"/>
      <c r="M1888" s="685"/>
      <c r="N1888" s="687"/>
      <c r="O1888" s="683"/>
      <c r="P1888" s="683"/>
      <c r="Q1888" s="686"/>
      <c r="R1888" s="686"/>
      <c r="S1888" s="686"/>
      <c r="T1888" s="686"/>
      <c r="U1888" s="686"/>
      <c r="V1888" s="686"/>
      <c r="W1888" s="686"/>
      <c r="X1888" s="686"/>
      <c r="Y1888" s="686"/>
      <c r="Z1888" s="686"/>
      <c r="AA1888" s="686"/>
      <c r="AB1888" s="686"/>
      <c r="AC1888" s="686"/>
      <c r="AD1888" s="686"/>
      <c r="AE1888" s="686"/>
      <c r="AF1888" s="686"/>
    </row>
    <row r="1889" ht="15.75" customHeight="1">
      <c r="A1889" s="683"/>
      <c r="B1889" s="683"/>
      <c r="C1889" s="684"/>
      <c r="D1889" s="684"/>
      <c r="E1889" s="684"/>
      <c r="F1889" s="683"/>
      <c r="G1889" s="683"/>
      <c r="H1889" s="683"/>
      <c r="I1889" s="683"/>
      <c r="J1889" s="683"/>
      <c r="K1889" s="683"/>
      <c r="L1889" s="685"/>
      <c r="M1889" s="685"/>
      <c r="N1889" s="687"/>
      <c r="O1889" s="683"/>
      <c r="P1889" s="683"/>
      <c r="Q1889" s="686"/>
      <c r="R1889" s="686"/>
      <c r="S1889" s="686"/>
      <c r="T1889" s="686"/>
      <c r="U1889" s="686"/>
      <c r="V1889" s="686"/>
      <c r="W1889" s="686"/>
      <c r="X1889" s="686"/>
      <c r="Y1889" s="686"/>
      <c r="Z1889" s="686"/>
      <c r="AA1889" s="686"/>
      <c r="AB1889" s="686"/>
      <c r="AC1889" s="686"/>
      <c r="AD1889" s="686"/>
      <c r="AE1889" s="686"/>
      <c r="AF1889" s="686"/>
    </row>
    <row r="1890" ht="15.75" customHeight="1">
      <c r="A1890" s="683"/>
      <c r="B1890" s="683"/>
      <c r="C1890" s="684"/>
      <c r="D1890" s="684"/>
      <c r="E1890" s="684"/>
      <c r="F1890" s="683"/>
      <c r="G1890" s="683"/>
      <c r="H1890" s="683"/>
      <c r="I1890" s="683"/>
      <c r="J1890" s="683"/>
      <c r="K1890" s="683"/>
      <c r="L1890" s="685"/>
      <c r="M1890" s="685"/>
      <c r="N1890" s="687"/>
      <c r="O1890" s="683"/>
      <c r="P1890" s="683"/>
      <c r="Q1890" s="686"/>
      <c r="R1890" s="686"/>
      <c r="S1890" s="686"/>
      <c r="T1890" s="686"/>
      <c r="U1890" s="686"/>
      <c r="V1890" s="686"/>
      <c r="W1890" s="686"/>
      <c r="X1890" s="686"/>
      <c r="Y1890" s="686"/>
      <c r="Z1890" s="686"/>
      <c r="AA1890" s="686"/>
      <c r="AB1890" s="686"/>
      <c r="AC1890" s="686"/>
      <c r="AD1890" s="686"/>
      <c r="AE1890" s="686"/>
      <c r="AF1890" s="686"/>
    </row>
    <row r="1891" ht="15.75" customHeight="1">
      <c r="A1891" s="683"/>
      <c r="B1891" s="683"/>
      <c r="C1891" s="684"/>
      <c r="D1891" s="684"/>
      <c r="E1891" s="684"/>
      <c r="F1891" s="683"/>
      <c r="G1891" s="683"/>
      <c r="H1891" s="683"/>
      <c r="I1891" s="683"/>
      <c r="J1891" s="683"/>
      <c r="K1891" s="683"/>
      <c r="L1891" s="685"/>
      <c r="M1891" s="685"/>
      <c r="N1891" s="687"/>
      <c r="O1891" s="683"/>
      <c r="P1891" s="683"/>
      <c r="Q1891" s="686"/>
      <c r="R1891" s="686"/>
      <c r="S1891" s="686"/>
      <c r="T1891" s="686"/>
      <c r="U1891" s="686"/>
      <c r="V1891" s="686"/>
      <c r="W1891" s="686"/>
      <c r="X1891" s="686"/>
      <c r="Y1891" s="686"/>
      <c r="Z1891" s="686"/>
      <c r="AA1891" s="686"/>
      <c r="AB1891" s="686"/>
      <c r="AC1891" s="686"/>
      <c r="AD1891" s="686"/>
      <c r="AE1891" s="686"/>
      <c r="AF1891" s="686"/>
    </row>
    <row r="1892" ht="15.75" customHeight="1">
      <c r="A1892" s="683"/>
      <c r="B1892" s="683"/>
      <c r="C1892" s="684"/>
      <c r="D1892" s="684"/>
      <c r="E1892" s="684"/>
      <c r="F1892" s="683"/>
      <c r="G1892" s="683"/>
      <c r="H1892" s="683"/>
      <c r="I1892" s="683"/>
      <c r="J1892" s="683"/>
      <c r="K1892" s="683"/>
      <c r="L1892" s="685"/>
      <c r="M1892" s="685"/>
      <c r="N1892" s="687"/>
      <c r="O1892" s="683"/>
      <c r="P1892" s="683"/>
      <c r="Q1892" s="686"/>
      <c r="R1892" s="686"/>
      <c r="S1892" s="686"/>
      <c r="T1892" s="686"/>
      <c r="U1892" s="686"/>
      <c r="V1892" s="686"/>
      <c r="W1892" s="686"/>
      <c r="X1892" s="686"/>
      <c r="Y1892" s="686"/>
      <c r="Z1892" s="686"/>
      <c r="AA1892" s="686"/>
      <c r="AB1892" s="686"/>
      <c r="AC1892" s="686"/>
      <c r="AD1892" s="686"/>
      <c r="AE1892" s="686"/>
      <c r="AF1892" s="686"/>
    </row>
    <row r="1893" ht="15.75" customHeight="1">
      <c r="A1893" s="683"/>
      <c r="B1893" s="683"/>
      <c r="C1893" s="684"/>
      <c r="D1893" s="684"/>
      <c r="E1893" s="684"/>
      <c r="F1893" s="683"/>
      <c r="G1893" s="683"/>
      <c r="H1893" s="683"/>
      <c r="I1893" s="683"/>
      <c r="J1893" s="683"/>
      <c r="K1893" s="683"/>
      <c r="L1893" s="685"/>
      <c r="M1893" s="685"/>
      <c r="N1893" s="687"/>
      <c r="O1893" s="683"/>
      <c r="P1893" s="683"/>
      <c r="Q1893" s="686"/>
      <c r="R1893" s="686"/>
      <c r="S1893" s="686"/>
      <c r="T1893" s="686"/>
      <c r="U1893" s="686"/>
      <c r="V1893" s="686"/>
      <c r="W1893" s="686"/>
      <c r="X1893" s="686"/>
      <c r="Y1893" s="686"/>
      <c r="Z1893" s="686"/>
      <c r="AA1893" s="686"/>
      <c r="AB1893" s="686"/>
      <c r="AC1893" s="686"/>
      <c r="AD1893" s="686"/>
      <c r="AE1893" s="686"/>
      <c r="AF1893" s="686"/>
    </row>
    <row r="1894" ht="15.75" customHeight="1">
      <c r="A1894" s="683"/>
      <c r="B1894" s="683"/>
      <c r="C1894" s="684"/>
      <c r="D1894" s="684"/>
      <c r="E1894" s="684"/>
      <c r="F1894" s="683"/>
      <c r="G1894" s="683"/>
      <c r="H1894" s="683"/>
      <c r="I1894" s="683"/>
      <c r="J1894" s="683"/>
      <c r="K1894" s="683"/>
      <c r="L1894" s="685"/>
      <c r="M1894" s="685"/>
      <c r="N1894" s="687"/>
      <c r="O1894" s="683"/>
      <c r="P1894" s="683"/>
      <c r="Q1894" s="686"/>
      <c r="R1894" s="686"/>
      <c r="S1894" s="686"/>
      <c r="T1894" s="686"/>
      <c r="U1894" s="686"/>
      <c r="V1894" s="686"/>
      <c r="W1894" s="686"/>
      <c r="X1894" s="686"/>
      <c r="Y1894" s="686"/>
      <c r="Z1894" s="686"/>
      <c r="AA1894" s="686"/>
      <c r="AB1894" s="686"/>
      <c r="AC1894" s="686"/>
      <c r="AD1894" s="686"/>
      <c r="AE1894" s="686"/>
      <c r="AF1894" s="686"/>
    </row>
    <row r="1895" ht="15.75" customHeight="1">
      <c r="A1895" s="683"/>
      <c r="B1895" s="683"/>
      <c r="C1895" s="684"/>
      <c r="D1895" s="684"/>
      <c r="E1895" s="684"/>
      <c r="F1895" s="683"/>
      <c r="G1895" s="683"/>
      <c r="H1895" s="683"/>
      <c r="I1895" s="683"/>
      <c r="J1895" s="683"/>
      <c r="K1895" s="683"/>
      <c r="L1895" s="685"/>
      <c r="M1895" s="685"/>
      <c r="N1895" s="687"/>
      <c r="O1895" s="683"/>
      <c r="P1895" s="683"/>
      <c r="Q1895" s="686"/>
      <c r="R1895" s="686"/>
      <c r="S1895" s="686"/>
      <c r="T1895" s="686"/>
      <c r="U1895" s="686"/>
      <c r="V1895" s="686"/>
      <c r="W1895" s="686"/>
      <c r="X1895" s="686"/>
      <c r="Y1895" s="686"/>
      <c r="Z1895" s="686"/>
      <c r="AA1895" s="686"/>
      <c r="AB1895" s="686"/>
      <c r="AC1895" s="686"/>
      <c r="AD1895" s="686"/>
      <c r="AE1895" s="686"/>
      <c r="AF1895" s="686"/>
    </row>
    <row r="1896" ht="15.75" customHeight="1">
      <c r="A1896" s="683"/>
      <c r="B1896" s="683"/>
      <c r="C1896" s="684"/>
      <c r="D1896" s="684"/>
      <c r="E1896" s="684"/>
      <c r="F1896" s="683"/>
      <c r="G1896" s="683"/>
      <c r="H1896" s="683"/>
      <c r="I1896" s="683"/>
      <c r="J1896" s="683"/>
      <c r="K1896" s="683"/>
      <c r="L1896" s="685"/>
      <c r="M1896" s="685"/>
      <c r="N1896" s="687"/>
      <c r="O1896" s="683"/>
      <c r="P1896" s="683"/>
      <c r="Q1896" s="686"/>
      <c r="R1896" s="686"/>
      <c r="S1896" s="686"/>
      <c r="T1896" s="686"/>
      <c r="U1896" s="686"/>
      <c r="V1896" s="686"/>
      <c r="W1896" s="686"/>
      <c r="X1896" s="686"/>
      <c r="Y1896" s="686"/>
      <c r="Z1896" s="686"/>
      <c r="AA1896" s="686"/>
      <c r="AB1896" s="686"/>
      <c r="AC1896" s="686"/>
      <c r="AD1896" s="686"/>
      <c r="AE1896" s="686"/>
      <c r="AF1896" s="686"/>
    </row>
    <row r="1897" ht="15.75" customHeight="1">
      <c r="A1897" s="683"/>
      <c r="B1897" s="683"/>
      <c r="C1897" s="684"/>
      <c r="D1897" s="684"/>
      <c r="E1897" s="684"/>
      <c r="F1897" s="683"/>
      <c r="G1897" s="683"/>
      <c r="H1897" s="683"/>
      <c r="I1897" s="683"/>
      <c r="J1897" s="683"/>
      <c r="K1897" s="683"/>
      <c r="L1897" s="685"/>
      <c r="M1897" s="685"/>
      <c r="N1897" s="687"/>
      <c r="O1897" s="683"/>
      <c r="P1897" s="683"/>
      <c r="Q1897" s="686"/>
      <c r="R1897" s="686"/>
      <c r="S1897" s="686"/>
      <c r="T1897" s="686"/>
      <c r="U1897" s="686"/>
      <c r="V1897" s="686"/>
      <c r="W1897" s="686"/>
      <c r="X1897" s="686"/>
      <c r="Y1897" s="686"/>
      <c r="Z1897" s="686"/>
      <c r="AA1897" s="686"/>
      <c r="AB1897" s="686"/>
      <c r="AC1897" s="686"/>
      <c r="AD1897" s="686"/>
      <c r="AE1897" s="686"/>
      <c r="AF1897" s="686"/>
    </row>
    <row r="1898" ht="15.75" customHeight="1">
      <c r="A1898" s="683"/>
      <c r="B1898" s="683"/>
      <c r="C1898" s="684"/>
      <c r="D1898" s="684"/>
      <c r="E1898" s="684"/>
      <c r="F1898" s="683"/>
      <c r="G1898" s="683"/>
      <c r="H1898" s="683"/>
      <c r="I1898" s="683"/>
      <c r="J1898" s="683"/>
      <c r="K1898" s="683"/>
      <c r="L1898" s="685"/>
      <c r="M1898" s="685"/>
      <c r="N1898" s="687"/>
      <c r="O1898" s="683"/>
      <c r="P1898" s="683"/>
      <c r="Q1898" s="686"/>
      <c r="R1898" s="686"/>
      <c r="S1898" s="686"/>
      <c r="T1898" s="686"/>
      <c r="U1898" s="686"/>
      <c r="V1898" s="686"/>
      <c r="W1898" s="686"/>
      <c r="X1898" s="686"/>
      <c r="Y1898" s="686"/>
      <c r="Z1898" s="686"/>
      <c r="AA1898" s="686"/>
      <c r="AB1898" s="686"/>
      <c r="AC1898" s="686"/>
      <c r="AD1898" s="686"/>
      <c r="AE1898" s="686"/>
      <c r="AF1898" s="686"/>
    </row>
    <row r="1899" ht="15.75" customHeight="1">
      <c r="A1899" s="683"/>
      <c r="B1899" s="683"/>
      <c r="C1899" s="684"/>
      <c r="D1899" s="684"/>
      <c r="E1899" s="684"/>
      <c r="F1899" s="683"/>
      <c r="G1899" s="683"/>
      <c r="H1899" s="683"/>
      <c r="I1899" s="683"/>
      <c r="J1899" s="683"/>
      <c r="K1899" s="683"/>
      <c r="L1899" s="685"/>
      <c r="M1899" s="685"/>
      <c r="N1899" s="687"/>
      <c r="O1899" s="683"/>
      <c r="P1899" s="683"/>
      <c r="Q1899" s="686"/>
      <c r="R1899" s="686"/>
      <c r="S1899" s="686"/>
      <c r="T1899" s="686"/>
      <c r="U1899" s="686"/>
      <c r="V1899" s="686"/>
      <c r="W1899" s="686"/>
      <c r="X1899" s="686"/>
      <c r="Y1899" s="686"/>
      <c r="Z1899" s="686"/>
      <c r="AA1899" s="686"/>
      <c r="AB1899" s="686"/>
      <c r="AC1899" s="686"/>
      <c r="AD1899" s="686"/>
      <c r="AE1899" s="686"/>
      <c r="AF1899" s="686"/>
    </row>
    <row r="1900" ht="15.75" customHeight="1">
      <c r="A1900" s="683"/>
      <c r="B1900" s="683"/>
      <c r="C1900" s="684"/>
      <c r="D1900" s="684"/>
      <c r="E1900" s="684"/>
      <c r="F1900" s="683"/>
      <c r="G1900" s="683"/>
      <c r="H1900" s="683"/>
      <c r="I1900" s="683"/>
      <c r="J1900" s="683"/>
      <c r="K1900" s="683"/>
      <c r="L1900" s="685"/>
      <c r="M1900" s="685"/>
      <c r="N1900" s="687"/>
      <c r="O1900" s="683"/>
      <c r="P1900" s="683"/>
      <c r="Q1900" s="686"/>
      <c r="R1900" s="686"/>
      <c r="S1900" s="686"/>
      <c r="T1900" s="686"/>
      <c r="U1900" s="686"/>
      <c r="V1900" s="686"/>
      <c r="W1900" s="686"/>
      <c r="X1900" s="686"/>
      <c r="Y1900" s="686"/>
      <c r="Z1900" s="686"/>
      <c r="AA1900" s="686"/>
      <c r="AB1900" s="686"/>
      <c r="AC1900" s="686"/>
      <c r="AD1900" s="686"/>
      <c r="AE1900" s="686"/>
      <c r="AF1900" s="686"/>
    </row>
    <row r="1901" ht="15.75" customHeight="1">
      <c r="A1901" s="683"/>
      <c r="B1901" s="683"/>
      <c r="C1901" s="684"/>
      <c r="D1901" s="684"/>
      <c r="E1901" s="684"/>
      <c r="F1901" s="683"/>
      <c r="G1901" s="683"/>
      <c r="H1901" s="683"/>
      <c r="I1901" s="683"/>
      <c r="J1901" s="683"/>
      <c r="K1901" s="683"/>
      <c r="L1901" s="685"/>
      <c r="M1901" s="685"/>
      <c r="N1901" s="687"/>
      <c r="O1901" s="683"/>
      <c r="P1901" s="683"/>
      <c r="Q1901" s="686"/>
      <c r="R1901" s="686"/>
      <c r="S1901" s="686"/>
      <c r="T1901" s="686"/>
      <c r="U1901" s="686"/>
      <c r="V1901" s="686"/>
      <c r="W1901" s="686"/>
      <c r="X1901" s="686"/>
      <c r="Y1901" s="686"/>
      <c r="Z1901" s="686"/>
      <c r="AA1901" s="686"/>
      <c r="AB1901" s="686"/>
      <c r="AC1901" s="686"/>
      <c r="AD1901" s="686"/>
      <c r="AE1901" s="686"/>
      <c r="AF1901" s="686"/>
    </row>
    <row r="1902" ht="15.75" customHeight="1">
      <c r="A1902" s="683"/>
      <c r="B1902" s="683"/>
      <c r="C1902" s="684"/>
      <c r="D1902" s="684"/>
      <c r="E1902" s="684"/>
      <c r="F1902" s="683"/>
      <c r="G1902" s="683"/>
      <c r="H1902" s="683"/>
      <c r="I1902" s="683"/>
      <c r="J1902" s="683"/>
      <c r="K1902" s="683"/>
      <c r="L1902" s="685"/>
      <c r="M1902" s="685"/>
      <c r="N1902" s="687"/>
      <c r="O1902" s="683"/>
      <c r="P1902" s="683"/>
      <c r="Q1902" s="686"/>
      <c r="R1902" s="686"/>
      <c r="S1902" s="686"/>
      <c r="T1902" s="686"/>
      <c r="U1902" s="686"/>
      <c r="V1902" s="686"/>
      <c r="W1902" s="686"/>
      <c r="X1902" s="686"/>
      <c r="Y1902" s="686"/>
      <c r="Z1902" s="686"/>
      <c r="AA1902" s="686"/>
      <c r="AB1902" s="686"/>
      <c r="AC1902" s="686"/>
      <c r="AD1902" s="686"/>
      <c r="AE1902" s="686"/>
      <c r="AF1902" s="686"/>
    </row>
    <row r="1903" ht="15.75" customHeight="1">
      <c r="A1903" s="683"/>
      <c r="B1903" s="683"/>
      <c r="C1903" s="684"/>
      <c r="D1903" s="684"/>
      <c r="E1903" s="684"/>
      <c r="F1903" s="683"/>
      <c r="G1903" s="683"/>
      <c r="H1903" s="683"/>
      <c r="I1903" s="683"/>
      <c r="J1903" s="683"/>
      <c r="K1903" s="683"/>
      <c r="L1903" s="685"/>
      <c r="M1903" s="685"/>
      <c r="N1903" s="687"/>
      <c r="O1903" s="683"/>
      <c r="P1903" s="683"/>
      <c r="Q1903" s="686"/>
      <c r="R1903" s="686"/>
      <c r="S1903" s="686"/>
      <c r="T1903" s="686"/>
      <c r="U1903" s="686"/>
      <c r="V1903" s="686"/>
      <c r="W1903" s="686"/>
      <c r="X1903" s="686"/>
      <c r="Y1903" s="686"/>
      <c r="Z1903" s="686"/>
      <c r="AA1903" s="686"/>
      <c r="AB1903" s="686"/>
      <c r="AC1903" s="686"/>
      <c r="AD1903" s="686"/>
      <c r="AE1903" s="686"/>
      <c r="AF1903" s="686"/>
    </row>
    <row r="1904" ht="15.75" customHeight="1">
      <c r="A1904" s="683"/>
      <c r="B1904" s="683"/>
      <c r="C1904" s="684"/>
      <c r="D1904" s="684"/>
      <c r="E1904" s="684"/>
      <c r="F1904" s="683"/>
      <c r="G1904" s="683"/>
      <c r="H1904" s="683"/>
      <c r="I1904" s="683"/>
      <c r="J1904" s="683"/>
      <c r="K1904" s="683"/>
      <c r="L1904" s="685"/>
      <c r="M1904" s="685"/>
      <c r="N1904" s="687"/>
      <c r="O1904" s="683"/>
      <c r="P1904" s="683"/>
      <c r="Q1904" s="686"/>
      <c r="R1904" s="686"/>
      <c r="S1904" s="686"/>
      <c r="T1904" s="686"/>
      <c r="U1904" s="686"/>
      <c r="V1904" s="686"/>
      <c r="W1904" s="686"/>
      <c r="X1904" s="686"/>
      <c r="Y1904" s="686"/>
      <c r="Z1904" s="686"/>
      <c r="AA1904" s="686"/>
      <c r="AB1904" s="686"/>
      <c r="AC1904" s="686"/>
      <c r="AD1904" s="686"/>
      <c r="AE1904" s="686"/>
      <c r="AF1904" s="686"/>
    </row>
    <row r="1905" ht="15.75" customHeight="1">
      <c r="A1905" s="683"/>
      <c r="B1905" s="683"/>
      <c r="C1905" s="684"/>
      <c r="D1905" s="684"/>
      <c r="E1905" s="684"/>
      <c r="F1905" s="683"/>
      <c r="G1905" s="683"/>
      <c r="H1905" s="683"/>
      <c r="I1905" s="683"/>
      <c r="J1905" s="683"/>
      <c r="K1905" s="683"/>
      <c r="L1905" s="685"/>
      <c r="M1905" s="685"/>
      <c r="N1905" s="687"/>
      <c r="O1905" s="683"/>
      <c r="P1905" s="683"/>
      <c r="Q1905" s="686"/>
      <c r="R1905" s="686"/>
      <c r="S1905" s="686"/>
      <c r="T1905" s="686"/>
      <c r="U1905" s="686"/>
      <c r="V1905" s="686"/>
      <c r="W1905" s="686"/>
      <c r="X1905" s="686"/>
      <c r="Y1905" s="686"/>
      <c r="Z1905" s="686"/>
      <c r="AA1905" s="686"/>
      <c r="AB1905" s="686"/>
      <c r="AC1905" s="686"/>
      <c r="AD1905" s="686"/>
      <c r="AE1905" s="686"/>
      <c r="AF1905" s="686"/>
    </row>
    <row r="1906" ht="15.75" customHeight="1">
      <c r="A1906" s="683"/>
      <c r="B1906" s="683"/>
      <c r="C1906" s="684"/>
      <c r="D1906" s="684"/>
      <c r="E1906" s="684"/>
      <c r="F1906" s="683"/>
      <c r="G1906" s="683"/>
      <c r="H1906" s="683"/>
      <c r="I1906" s="683"/>
      <c r="J1906" s="683"/>
      <c r="K1906" s="683"/>
      <c r="L1906" s="685"/>
      <c r="M1906" s="685"/>
      <c r="N1906" s="687"/>
      <c r="O1906" s="683"/>
      <c r="P1906" s="683"/>
      <c r="Q1906" s="686"/>
      <c r="R1906" s="686"/>
      <c r="S1906" s="686"/>
      <c r="T1906" s="686"/>
      <c r="U1906" s="686"/>
      <c r="V1906" s="686"/>
      <c r="W1906" s="686"/>
      <c r="X1906" s="686"/>
      <c r="Y1906" s="686"/>
      <c r="Z1906" s="686"/>
      <c r="AA1906" s="686"/>
      <c r="AB1906" s="686"/>
      <c r="AC1906" s="686"/>
      <c r="AD1906" s="686"/>
      <c r="AE1906" s="686"/>
      <c r="AF1906" s="686"/>
    </row>
    <row r="1907" ht="15.75" customHeight="1">
      <c r="A1907" s="683"/>
      <c r="B1907" s="683"/>
      <c r="C1907" s="684"/>
      <c r="D1907" s="684"/>
      <c r="E1907" s="684"/>
      <c r="F1907" s="683"/>
      <c r="G1907" s="683"/>
      <c r="H1907" s="683"/>
      <c r="I1907" s="683"/>
      <c r="J1907" s="683"/>
      <c r="K1907" s="683"/>
      <c r="L1907" s="685"/>
      <c r="M1907" s="685"/>
      <c r="N1907" s="687"/>
      <c r="O1907" s="683"/>
      <c r="P1907" s="683"/>
      <c r="Q1907" s="686"/>
      <c r="R1907" s="686"/>
      <c r="S1907" s="686"/>
      <c r="T1907" s="686"/>
      <c r="U1907" s="686"/>
      <c r="V1907" s="686"/>
      <c r="W1907" s="686"/>
      <c r="X1907" s="686"/>
      <c r="Y1907" s="686"/>
      <c r="Z1907" s="686"/>
      <c r="AA1907" s="686"/>
      <c r="AB1907" s="686"/>
      <c r="AC1907" s="686"/>
      <c r="AD1907" s="686"/>
      <c r="AE1907" s="686"/>
      <c r="AF1907" s="686"/>
    </row>
    <row r="1908" ht="15.75" customHeight="1">
      <c r="A1908" s="683"/>
      <c r="B1908" s="683"/>
      <c r="C1908" s="684"/>
      <c r="D1908" s="684"/>
      <c r="E1908" s="684"/>
      <c r="F1908" s="683"/>
      <c r="G1908" s="683"/>
      <c r="H1908" s="683"/>
      <c r="I1908" s="683"/>
      <c r="J1908" s="683"/>
      <c r="K1908" s="683"/>
      <c r="L1908" s="685"/>
      <c r="M1908" s="685"/>
      <c r="N1908" s="687"/>
      <c r="O1908" s="683"/>
      <c r="P1908" s="683"/>
      <c r="Q1908" s="686"/>
      <c r="R1908" s="686"/>
      <c r="S1908" s="686"/>
      <c r="T1908" s="686"/>
      <c r="U1908" s="686"/>
      <c r="V1908" s="686"/>
      <c r="W1908" s="686"/>
      <c r="X1908" s="686"/>
      <c r="Y1908" s="686"/>
      <c r="Z1908" s="686"/>
      <c r="AA1908" s="686"/>
      <c r="AB1908" s="686"/>
      <c r="AC1908" s="686"/>
      <c r="AD1908" s="686"/>
      <c r="AE1908" s="686"/>
      <c r="AF1908" s="686"/>
    </row>
    <row r="1909" ht="15.75" customHeight="1">
      <c r="A1909" s="683"/>
      <c r="B1909" s="683"/>
      <c r="C1909" s="684"/>
      <c r="D1909" s="684"/>
      <c r="E1909" s="684"/>
      <c r="F1909" s="683"/>
      <c r="G1909" s="683"/>
      <c r="H1909" s="683"/>
      <c r="I1909" s="683"/>
      <c r="J1909" s="683"/>
      <c r="K1909" s="683"/>
      <c r="L1909" s="685"/>
      <c r="M1909" s="685"/>
      <c r="N1909" s="687"/>
      <c r="O1909" s="683"/>
      <c r="P1909" s="683"/>
      <c r="Q1909" s="686"/>
      <c r="R1909" s="686"/>
      <c r="S1909" s="686"/>
      <c r="T1909" s="686"/>
      <c r="U1909" s="686"/>
      <c r="V1909" s="686"/>
      <c r="W1909" s="686"/>
      <c r="X1909" s="686"/>
      <c r="Y1909" s="686"/>
      <c r="Z1909" s="686"/>
      <c r="AA1909" s="686"/>
      <c r="AB1909" s="686"/>
      <c r="AC1909" s="686"/>
      <c r="AD1909" s="686"/>
      <c r="AE1909" s="686"/>
      <c r="AF1909" s="686"/>
    </row>
    <row r="1910" ht="15.75" customHeight="1">
      <c r="A1910" s="683"/>
      <c r="B1910" s="683"/>
      <c r="C1910" s="684"/>
      <c r="D1910" s="684"/>
      <c r="E1910" s="684"/>
      <c r="F1910" s="683"/>
      <c r="G1910" s="683"/>
      <c r="H1910" s="683"/>
      <c r="I1910" s="683"/>
      <c r="J1910" s="683"/>
      <c r="K1910" s="683"/>
      <c r="L1910" s="685"/>
      <c r="M1910" s="685"/>
      <c r="N1910" s="687"/>
      <c r="O1910" s="683"/>
      <c r="P1910" s="683"/>
      <c r="Q1910" s="686"/>
      <c r="R1910" s="686"/>
      <c r="S1910" s="686"/>
      <c r="T1910" s="686"/>
      <c r="U1910" s="686"/>
      <c r="V1910" s="686"/>
      <c r="W1910" s="686"/>
      <c r="X1910" s="686"/>
      <c r="Y1910" s="686"/>
      <c r="Z1910" s="686"/>
      <c r="AA1910" s="686"/>
      <c r="AB1910" s="686"/>
      <c r="AC1910" s="686"/>
      <c r="AD1910" s="686"/>
      <c r="AE1910" s="686"/>
      <c r="AF1910" s="686"/>
    </row>
    <row r="1911" ht="15.75" customHeight="1">
      <c r="A1911" s="683"/>
      <c r="B1911" s="683"/>
      <c r="C1911" s="684"/>
      <c r="D1911" s="684"/>
      <c r="E1911" s="684"/>
      <c r="F1911" s="683"/>
      <c r="G1911" s="683"/>
      <c r="H1911" s="683"/>
      <c r="I1911" s="683"/>
      <c r="J1911" s="683"/>
      <c r="K1911" s="683"/>
      <c r="L1911" s="685"/>
      <c r="M1911" s="685"/>
      <c r="N1911" s="687"/>
      <c r="O1911" s="683"/>
      <c r="P1911" s="683"/>
      <c r="Q1911" s="686"/>
      <c r="R1911" s="686"/>
      <c r="S1911" s="686"/>
      <c r="T1911" s="686"/>
      <c r="U1911" s="686"/>
      <c r="V1911" s="686"/>
      <c r="W1911" s="686"/>
      <c r="X1911" s="686"/>
      <c r="Y1911" s="686"/>
      <c r="Z1911" s="686"/>
      <c r="AA1911" s="686"/>
      <c r="AB1911" s="686"/>
      <c r="AC1911" s="686"/>
      <c r="AD1911" s="686"/>
      <c r="AE1911" s="686"/>
      <c r="AF1911" s="686"/>
    </row>
    <row r="1912" ht="15.75" customHeight="1">
      <c r="A1912" s="683"/>
      <c r="B1912" s="683"/>
      <c r="C1912" s="684"/>
      <c r="D1912" s="684"/>
      <c r="E1912" s="684"/>
      <c r="F1912" s="683"/>
      <c r="G1912" s="683"/>
      <c r="H1912" s="683"/>
      <c r="I1912" s="683"/>
      <c r="J1912" s="683"/>
      <c r="K1912" s="683"/>
      <c r="L1912" s="685"/>
      <c r="M1912" s="685"/>
      <c r="N1912" s="687"/>
      <c r="O1912" s="683"/>
      <c r="P1912" s="683"/>
      <c r="Q1912" s="686"/>
      <c r="R1912" s="686"/>
      <c r="S1912" s="686"/>
      <c r="T1912" s="686"/>
      <c r="U1912" s="686"/>
      <c r="V1912" s="686"/>
      <c r="W1912" s="686"/>
      <c r="X1912" s="686"/>
      <c r="Y1912" s="686"/>
      <c r="Z1912" s="686"/>
      <c r="AA1912" s="686"/>
      <c r="AB1912" s="686"/>
      <c r="AC1912" s="686"/>
      <c r="AD1912" s="686"/>
      <c r="AE1912" s="686"/>
      <c r="AF1912" s="686"/>
    </row>
    <row r="1913" ht="15.75" customHeight="1">
      <c r="A1913" s="683"/>
      <c r="B1913" s="683"/>
      <c r="C1913" s="684"/>
      <c r="D1913" s="684"/>
      <c r="E1913" s="684"/>
      <c r="F1913" s="683"/>
      <c r="G1913" s="683"/>
      <c r="H1913" s="683"/>
      <c r="I1913" s="683"/>
      <c r="J1913" s="683"/>
      <c r="K1913" s="683"/>
      <c r="L1913" s="685"/>
      <c r="M1913" s="685"/>
      <c r="N1913" s="687"/>
      <c r="O1913" s="683"/>
      <c r="P1913" s="683"/>
      <c r="Q1913" s="686"/>
      <c r="R1913" s="686"/>
      <c r="S1913" s="686"/>
      <c r="T1913" s="686"/>
      <c r="U1913" s="686"/>
      <c r="V1913" s="686"/>
      <c r="W1913" s="686"/>
      <c r="X1913" s="686"/>
      <c r="Y1913" s="686"/>
      <c r="Z1913" s="686"/>
      <c r="AA1913" s="686"/>
      <c r="AB1913" s="686"/>
      <c r="AC1913" s="686"/>
      <c r="AD1913" s="686"/>
      <c r="AE1913" s="686"/>
      <c r="AF1913" s="686"/>
    </row>
    <row r="1914" ht="15.75" customHeight="1">
      <c r="A1914" s="683"/>
      <c r="B1914" s="683"/>
      <c r="C1914" s="684"/>
      <c r="D1914" s="684"/>
      <c r="E1914" s="684"/>
      <c r="F1914" s="683"/>
      <c r="G1914" s="683"/>
      <c r="H1914" s="683"/>
      <c r="I1914" s="683"/>
      <c r="J1914" s="683"/>
      <c r="K1914" s="683"/>
      <c r="L1914" s="685"/>
      <c r="M1914" s="685"/>
      <c r="N1914" s="687"/>
      <c r="O1914" s="683"/>
      <c r="P1914" s="683"/>
      <c r="Q1914" s="686"/>
      <c r="R1914" s="686"/>
      <c r="S1914" s="686"/>
      <c r="T1914" s="686"/>
      <c r="U1914" s="686"/>
      <c r="V1914" s="686"/>
      <c r="W1914" s="686"/>
      <c r="X1914" s="686"/>
      <c r="Y1914" s="686"/>
      <c r="Z1914" s="686"/>
      <c r="AA1914" s="686"/>
      <c r="AB1914" s="686"/>
      <c r="AC1914" s="686"/>
      <c r="AD1914" s="686"/>
      <c r="AE1914" s="686"/>
      <c r="AF1914" s="686"/>
    </row>
    <row r="1915" ht="15.75" customHeight="1">
      <c r="A1915" s="683"/>
      <c r="B1915" s="683"/>
      <c r="C1915" s="684"/>
      <c r="D1915" s="684"/>
      <c r="E1915" s="684"/>
      <c r="F1915" s="683"/>
      <c r="G1915" s="683"/>
      <c r="H1915" s="683"/>
      <c r="I1915" s="683"/>
      <c r="J1915" s="683"/>
      <c r="K1915" s="683"/>
      <c r="L1915" s="685"/>
      <c r="M1915" s="685"/>
      <c r="N1915" s="687"/>
      <c r="O1915" s="683"/>
      <c r="P1915" s="683"/>
      <c r="Q1915" s="686"/>
      <c r="R1915" s="686"/>
      <c r="S1915" s="686"/>
      <c r="T1915" s="686"/>
      <c r="U1915" s="686"/>
      <c r="V1915" s="686"/>
      <c r="W1915" s="686"/>
      <c r="X1915" s="686"/>
      <c r="Y1915" s="686"/>
      <c r="Z1915" s="686"/>
      <c r="AA1915" s="686"/>
      <c r="AB1915" s="686"/>
      <c r="AC1915" s="686"/>
      <c r="AD1915" s="686"/>
      <c r="AE1915" s="686"/>
      <c r="AF1915" s="686"/>
    </row>
    <row r="1916" ht="15.75" customHeight="1">
      <c r="A1916" s="683"/>
      <c r="B1916" s="683"/>
      <c r="C1916" s="684"/>
      <c r="D1916" s="684"/>
      <c r="E1916" s="684"/>
      <c r="F1916" s="683"/>
      <c r="G1916" s="683"/>
      <c r="H1916" s="683"/>
      <c r="I1916" s="683"/>
      <c r="J1916" s="683"/>
      <c r="K1916" s="683"/>
      <c r="L1916" s="685"/>
      <c r="M1916" s="685"/>
      <c r="N1916" s="687"/>
      <c r="O1916" s="683"/>
      <c r="P1916" s="683"/>
      <c r="Q1916" s="686"/>
      <c r="R1916" s="686"/>
      <c r="S1916" s="686"/>
      <c r="T1916" s="686"/>
      <c r="U1916" s="686"/>
      <c r="V1916" s="686"/>
      <c r="W1916" s="686"/>
      <c r="X1916" s="686"/>
      <c r="Y1916" s="686"/>
      <c r="Z1916" s="686"/>
      <c r="AA1916" s="686"/>
      <c r="AB1916" s="686"/>
      <c r="AC1916" s="686"/>
      <c r="AD1916" s="686"/>
      <c r="AE1916" s="686"/>
      <c r="AF1916" s="686"/>
    </row>
    <row r="1917" ht="15.75" customHeight="1">
      <c r="A1917" s="683"/>
      <c r="B1917" s="683"/>
      <c r="C1917" s="684"/>
      <c r="D1917" s="684"/>
      <c r="E1917" s="684"/>
      <c r="F1917" s="683"/>
      <c r="G1917" s="683"/>
      <c r="H1917" s="683"/>
      <c r="I1917" s="683"/>
      <c r="J1917" s="683"/>
      <c r="K1917" s="683"/>
      <c r="L1917" s="685"/>
      <c r="M1917" s="685"/>
      <c r="N1917" s="687"/>
      <c r="O1917" s="683"/>
      <c r="P1917" s="683"/>
      <c r="Q1917" s="686"/>
      <c r="R1917" s="686"/>
      <c r="S1917" s="686"/>
      <c r="T1917" s="686"/>
      <c r="U1917" s="686"/>
      <c r="V1917" s="686"/>
      <c r="W1917" s="686"/>
      <c r="X1917" s="686"/>
      <c r="Y1917" s="686"/>
      <c r="Z1917" s="686"/>
      <c r="AA1917" s="686"/>
      <c r="AB1917" s="686"/>
      <c r="AC1917" s="686"/>
      <c r="AD1917" s="686"/>
      <c r="AE1917" s="686"/>
      <c r="AF1917" s="686"/>
    </row>
    <row r="1918" ht="15.75" customHeight="1">
      <c r="A1918" s="683"/>
      <c r="B1918" s="683"/>
      <c r="C1918" s="684"/>
      <c r="D1918" s="684"/>
      <c r="E1918" s="684"/>
      <c r="F1918" s="683"/>
      <c r="G1918" s="683"/>
      <c r="H1918" s="683"/>
      <c r="I1918" s="683"/>
      <c r="J1918" s="683"/>
      <c r="K1918" s="683"/>
      <c r="L1918" s="685"/>
      <c r="M1918" s="685"/>
      <c r="N1918" s="687"/>
      <c r="O1918" s="683"/>
      <c r="P1918" s="683"/>
      <c r="Q1918" s="686"/>
      <c r="R1918" s="686"/>
      <c r="S1918" s="686"/>
      <c r="T1918" s="686"/>
      <c r="U1918" s="686"/>
      <c r="V1918" s="686"/>
      <c r="W1918" s="686"/>
      <c r="X1918" s="686"/>
      <c r="Y1918" s="686"/>
      <c r="Z1918" s="686"/>
      <c r="AA1918" s="686"/>
      <c r="AB1918" s="686"/>
      <c r="AC1918" s="686"/>
      <c r="AD1918" s="686"/>
      <c r="AE1918" s="686"/>
      <c r="AF1918" s="686"/>
    </row>
    <row r="1919" ht="15.75" customHeight="1">
      <c r="A1919" s="683"/>
      <c r="B1919" s="683"/>
      <c r="C1919" s="684"/>
      <c r="D1919" s="684"/>
      <c r="E1919" s="684"/>
      <c r="F1919" s="683"/>
      <c r="G1919" s="683"/>
      <c r="H1919" s="683"/>
      <c r="I1919" s="683"/>
      <c r="J1919" s="683"/>
      <c r="K1919" s="683"/>
      <c r="L1919" s="685"/>
      <c r="M1919" s="685"/>
      <c r="N1919" s="687"/>
      <c r="O1919" s="683"/>
      <c r="P1919" s="683"/>
      <c r="Q1919" s="686"/>
      <c r="R1919" s="686"/>
      <c r="S1919" s="686"/>
      <c r="T1919" s="686"/>
      <c r="U1919" s="686"/>
      <c r="V1919" s="686"/>
      <c r="W1919" s="686"/>
      <c r="X1919" s="686"/>
      <c r="Y1919" s="686"/>
      <c r="Z1919" s="686"/>
      <c r="AA1919" s="686"/>
      <c r="AB1919" s="686"/>
      <c r="AC1919" s="686"/>
      <c r="AD1919" s="686"/>
      <c r="AE1919" s="686"/>
      <c r="AF1919" s="686"/>
    </row>
    <row r="1920" ht="15.75" customHeight="1">
      <c r="A1920" s="683"/>
      <c r="B1920" s="683"/>
      <c r="C1920" s="684"/>
      <c r="D1920" s="684"/>
      <c r="E1920" s="684"/>
      <c r="F1920" s="683"/>
      <c r="G1920" s="683"/>
      <c r="H1920" s="683"/>
      <c r="I1920" s="683"/>
      <c r="J1920" s="683"/>
      <c r="K1920" s="683"/>
      <c r="L1920" s="685"/>
      <c r="M1920" s="685"/>
      <c r="N1920" s="687"/>
      <c r="O1920" s="683"/>
      <c r="P1920" s="683"/>
      <c r="Q1920" s="686"/>
      <c r="R1920" s="686"/>
      <c r="S1920" s="686"/>
      <c r="T1920" s="686"/>
      <c r="U1920" s="686"/>
      <c r="V1920" s="686"/>
      <c r="W1920" s="686"/>
      <c r="X1920" s="686"/>
      <c r="Y1920" s="686"/>
      <c r="Z1920" s="686"/>
      <c r="AA1920" s="686"/>
      <c r="AB1920" s="686"/>
      <c r="AC1920" s="686"/>
      <c r="AD1920" s="686"/>
      <c r="AE1920" s="686"/>
      <c r="AF1920" s="686"/>
    </row>
    <row r="1921" ht="15.75" customHeight="1">
      <c r="A1921" s="683"/>
      <c r="B1921" s="683"/>
      <c r="C1921" s="684"/>
      <c r="D1921" s="684"/>
      <c r="E1921" s="684"/>
      <c r="F1921" s="683"/>
      <c r="G1921" s="683"/>
      <c r="H1921" s="683"/>
      <c r="I1921" s="683"/>
      <c r="J1921" s="683"/>
      <c r="K1921" s="683"/>
      <c r="L1921" s="685"/>
      <c r="M1921" s="685"/>
      <c r="N1921" s="687"/>
      <c r="O1921" s="683"/>
      <c r="P1921" s="683"/>
      <c r="Q1921" s="686"/>
      <c r="R1921" s="686"/>
      <c r="S1921" s="686"/>
      <c r="T1921" s="686"/>
      <c r="U1921" s="686"/>
      <c r="V1921" s="686"/>
      <c r="W1921" s="686"/>
      <c r="X1921" s="686"/>
      <c r="Y1921" s="686"/>
      <c r="Z1921" s="686"/>
      <c r="AA1921" s="686"/>
      <c r="AB1921" s="686"/>
      <c r="AC1921" s="686"/>
      <c r="AD1921" s="686"/>
      <c r="AE1921" s="686"/>
      <c r="AF1921" s="686"/>
    </row>
    <row r="1922" ht="15.75" customHeight="1">
      <c r="A1922" s="683"/>
      <c r="B1922" s="683"/>
      <c r="C1922" s="684"/>
      <c r="D1922" s="684"/>
      <c r="E1922" s="684"/>
      <c r="F1922" s="683"/>
      <c r="G1922" s="683"/>
      <c r="H1922" s="683"/>
      <c r="I1922" s="683"/>
      <c r="J1922" s="683"/>
      <c r="K1922" s="683"/>
      <c r="L1922" s="685"/>
      <c r="M1922" s="685"/>
      <c r="N1922" s="687"/>
      <c r="O1922" s="683"/>
      <c r="P1922" s="683"/>
      <c r="Q1922" s="686"/>
      <c r="R1922" s="686"/>
      <c r="S1922" s="686"/>
      <c r="T1922" s="686"/>
      <c r="U1922" s="686"/>
      <c r="V1922" s="686"/>
      <c r="W1922" s="686"/>
      <c r="X1922" s="686"/>
      <c r="Y1922" s="686"/>
      <c r="Z1922" s="686"/>
      <c r="AA1922" s="686"/>
      <c r="AB1922" s="686"/>
      <c r="AC1922" s="686"/>
      <c r="AD1922" s="686"/>
      <c r="AE1922" s="686"/>
      <c r="AF1922" s="686"/>
    </row>
    <row r="1923" ht="15.75" customHeight="1">
      <c r="A1923" s="683"/>
      <c r="B1923" s="683"/>
      <c r="C1923" s="684"/>
      <c r="D1923" s="684"/>
      <c r="E1923" s="684"/>
      <c r="F1923" s="683"/>
      <c r="G1923" s="683"/>
      <c r="H1923" s="683"/>
      <c r="I1923" s="683"/>
      <c r="J1923" s="683"/>
      <c r="K1923" s="683"/>
      <c r="L1923" s="685"/>
      <c r="M1923" s="685"/>
      <c r="N1923" s="687"/>
      <c r="O1923" s="683"/>
      <c r="P1923" s="683"/>
      <c r="Q1923" s="686"/>
      <c r="R1923" s="686"/>
      <c r="S1923" s="686"/>
      <c r="T1923" s="686"/>
      <c r="U1923" s="686"/>
      <c r="V1923" s="686"/>
      <c r="W1923" s="686"/>
      <c r="X1923" s="686"/>
      <c r="Y1923" s="686"/>
      <c r="Z1923" s="686"/>
      <c r="AA1923" s="686"/>
      <c r="AB1923" s="686"/>
      <c r="AC1923" s="686"/>
      <c r="AD1923" s="686"/>
      <c r="AE1923" s="686"/>
      <c r="AF1923" s="686"/>
    </row>
    <row r="1924" ht="15.75" customHeight="1">
      <c r="A1924" s="683"/>
      <c r="B1924" s="683"/>
      <c r="C1924" s="684"/>
      <c r="D1924" s="684"/>
      <c r="E1924" s="684"/>
      <c r="F1924" s="683"/>
      <c r="G1924" s="683"/>
      <c r="H1924" s="683"/>
      <c r="I1924" s="683"/>
      <c r="J1924" s="683"/>
      <c r="K1924" s="683"/>
      <c r="L1924" s="685"/>
      <c r="M1924" s="685"/>
      <c r="N1924" s="687"/>
      <c r="O1924" s="683"/>
      <c r="P1924" s="683"/>
      <c r="Q1924" s="686"/>
      <c r="R1924" s="686"/>
      <c r="S1924" s="686"/>
      <c r="T1924" s="686"/>
      <c r="U1924" s="686"/>
      <c r="V1924" s="686"/>
      <c r="W1924" s="686"/>
      <c r="X1924" s="686"/>
      <c r="Y1924" s="686"/>
      <c r="Z1924" s="686"/>
      <c r="AA1924" s="686"/>
      <c r="AB1924" s="686"/>
      <c r="AC1924" s="686"/>
      <c r="AD1924" s="686"/>
      <c r="AE1924" s="686"/>
      <c r="AF1924" s="686"/>
    </row>
    <row r="1925" ht="15.75" customHeight="1">
      <c r="A1925" s="683"/>
      <c r="B1925" s="683"/>
      <c r="C1925" s="684"/>
      <c r="D1925" s="684"/>
      <c r="E1925" s="684"/>
      <c r="F1925" s="683"/>
      <c r="G1925" s="683"/>
      <c r="H1925" s="683"/>
      <c r="I1925" s="683"/>
      <c r="J1925" s="683"/>
      <c r="K1925" s="683"/>
      <c r="L1925" s="685"/>
      <c r="M1925" s="685"/>
      <c r="N1925" s="687"/>
      <c r="O1925" s="683"/>
      <c r="P1925" s="683"/>
      <c r="Q1925" s="686"/>
      <c r="R1925" s="686"/>
      <c r="S1925" s="686"/>
      <c r="T1925" s="686"/>
      <c r="U1925" s="686"/>
      <c r="V1925" s="686"/>
      <c r="W1925" s="686"/>
      <c r="X1925" s="686"/>
      <c r="Y1925" s="686"/>
      <c r="Z1925" s="686"/>
      <c r="AA1925" s="686"/>
      <c r="AB1925" s="686"/>
      <c r="AC1925" s="686"/>
      <c r="AD1925" s="686"/>
      <c r="AE1925" s="686"/>
      <c r="AF1925" s="686"/>
    </row>
    <row r="1926" ht="15.75" customHeight="1">
      <c r="A1926" s="683"/>
      <c r="B1926" s="683"/>
      <c r="C1926" s="684"/>
      <c r="D1926" s="684"/>
      <c r="E1926" s="684"/>
      <c r="F1926" s="683"/>
      <c r="G1926" s="683"/>
      <c r="H1926" s="683"/>
      <c r="I1926" s="683"/>
      <c r="J1926" s="683"/>
      <c r="K1926" s="683"/>
      <c r="L1926" s="685"/>
      <c r="M1926" s="685"/>
      <c r="N1926" s="687"/>
      <c r="O1926" s="683"/>
      <c r="P1926" s="683"/>
      <c r="Q1926" s="686"/>
      <c r="R1926" s="686"/>
      <c r="S1926" s="686"/>
      <c r="T1926" s="686"/>
      <c r="U1926" s="686"/>
      <c r="V1926" s="686"/>
      <c r="W1926" s="686"/>
      <c r="X1926" s="686"/>
      <c r="Y1926" s="686"/>
      <c r="Z1926" s="686"/>
      <c r="AA1926" s="686"/>
      <c r="AB1926" s="686"/>
      <c r="AC1926" s="686"/>
      <c r="AD1926" s="686"/>
      <c r="AE1926" s="686"/>
      <c r="AF1926" s="686"/>
    </row>
    <row r="1927" ht="15.75" customHeight="1">
      <c r="A1927" s="683"/>
      <c r="B1927" s="683"/>
      <c r="C1927" s="684"/>
      <c r="D1927" s="684"/>
      <c r="E1927" s="684"/>
      <c r="F1927" s="683"/>
      <c r="G1927" s="683"/>
      <c r="H1927" s="683"/>
      <c r="I1927" s="683"/>
      <c r="J1927" s="683"/>
      <c r="K1927" s="683"/>
      <c r="L1927" s="685"/>
      <c r="M1927" s="685"/>
      <c r="N1927" s="687"/>
      <c r="O1927" s="683"/>
      <c r="P1927" s="683"/>
      <c r="Q1927" s="686"/>
      <c r="R1927" s="686"/>
      <c r="S1927" s="686"/>
      <c r="T1927" s="686"/>
      <c r="U1927" s="686"/>
      <c r="V1927" s="686"/>
      <c r="W1927" s="686"/>
      <c r="X1927" s="686"/>
      <c r="Y1927" s="686"/>
      <c r="Z1927" s="686"/>
      <c r="AA1927" s="686"/>
      <c r="AB1927" s="686"/>
      <c r="AC1927" s="686"/>
      <c r="AD1927" s="686"/>
      <c r="AE1927" s="686"/>
      <c r="AF1927" s="686"/>
    </row>
    <row r="1928" ht="15.75" customHeight="1">
      <c r="A1928" s="683"/>
      <c r="B1928" s="683"/>
      <c r="C1928" s="684"/>
      <c r="D1928" s="684"/>
      <c r="E1928" s="684"/>
      <c r="F1928" s="683"/>
      <c r="G1928" s="683"/>
      <c r="H1928" s="683"/>
      <c r="I1928" s="683"/>
      <c r="J1928" s="683"/>
      <c r="K1928" s="683"/>
      <c r="L1928" s="685"/>
      <c r="M1928" s="685"/>
      <c r="N1928" s="687"/>
      <c r="O1928" s="683"/>
      <c r="P1928" s="683"/>
      <c r="Q1928" s="686"/>
      <c r="R1928" s="686"/>
      <c r="S1928" s="686"/>
      <c r="T1928" s="686"/>
      <c r="U1928" s="686"/>
      <c r="V1928" s="686"/>
      <c r="W1928" s="686"/>
      <c r="X1928" s="686"/>
      <c r="Y1928" s="686"/>
      <c r="Z1928" s="686"/>
      <c r="AA1928" s="686"/>
      <c r="AB1928" s="686"/>
      <c r="AC1928" s="686"/>
      <c r="AD1928" s="686"/>
      <c r="AE1928" s="686"/>
      <c r="AF1928" s="686"/>
    </row>
    <row r="1929" ht="15.75" customHeight="1">
      <c r="A1929" s="683"/>
      <c r="B1929" s="683"/>
      <c r="C1929" s="684"/>
      <c r="D1929" s="684"/>
      <c r="E1929" s="684"/>
      <c r="F1929" s="683"/>
      <c r="G1929" s="683"/>
      <c r="H1929" s="683"/>
      <c r="I1929" s="683"/>
      <c r="J1929" s="683"/>
      <c r="K1929" s="683"/>
      <c r="L1929" s="685"/>
      <c r="M1929" s="685"/>
      <c r="N1929" s="687"/>
      <c r="O1929" s="683"/>
      <c r="P1929" s="683"/>
      <c r="Q1929" s="686"/>
      <c r="R1929" s="686"/>
      <c r="S1929" s="686"/>
      <c r="T1929" s="686"/>
      <c r="U1929" s="686"/>
      <c r="V1929" s="686"/>
      <c r="W1929" s="686"/>
      <c r="X1929" s="686"/>
      <c r="Y1929" s="686"/>
      <c r="Z1929" s="686"/>
      <c r="AA1929" s="686"/>
      <c r="AB1929" s="686"/>
      <c r="AC1929" s="686"/>
      <c r="AD1929" s="686"/>
      <c r="AE1929" s="686"/>
      <c r="AF1929" s="686"/>
    </row>
    <row r="1930" ht="15.75" customHeight="1">
      <c r="A1930" s="683"/>
      <c r="B1930" s="683"/>
      <c r="C1930" s="684"/>
      <c r="D1930" s="684"/>
      <c r="E1930" s="684"/>
      <c r="F1930" s="683"/>
      <c r="G1930" s="683"/>
      <c r="H1930" s="683"/>
      <c r="I1930" s="683"/>
      <c r="J1930" s="683"/>
      <c r="K1930" s="683"/>
      <c r="L1930" s="685"/>
      <c r="M1930" s="685"/>
      <c r="N1930" s="687"/>
      <c r="O1930" s="683"/>
      <c r="P1930" s="683"/>
      <c r="Q1930" s="686"/>
      <c r="R1930" s="686"/>
      <c r="S1930" s="686"/>
      <c r="T1930" s="686"/>
      <c r="U1930" s="686"/>
      <c r="V1930" s="686"/>
      <c r="W1930" s="686"/>
      <c r="X1930" s="686"/>
      <c r="Y1930" s="686"/>
      <c r="Z1930" s="686"/>
      <c r="AA1930" s="686"/>
      <c r="AB1930" s="686"/>
      <c r="AC1930" s="686"/>
      <c r="AD1930" s="686"/>
      <c r="AE1930" s="686"/>
      <c r="AF1930" s="686"/>
    </row>
    <row r="1931" ht="15.75" customHeight="1">
      <c r="A1931" s="683"/>
      <c r="B1931" s="683"/>
      <c r="C1931" s="684"/>
      <c r="D1931" s="684"/>
      <c r="E1931" s="684"/>
      <c r="F1931" s="683"/>
      <c r="G1931" s="683"/>
      <c r="H1931" s="683"/>
      <c r="I1931" s="683"/>
      <c r="J1931" s="683"/>
      <c r="K1931" s="683"/>
      <c r="L1931" s="685"/>
      <c r="M1931" s="685"/>
      <c r="N1931" s="687"/>
      <c r="O1931" s="683"/>
      <c r="P1931" s="683"/>
      <c r="Q1931" s="686"/>
      <c r="R1931" s="686"/>
      <c r="S1931" s="686"/>
      <c r="T1931" s="686"/>
      <c r="U1931" s="686"/>
      <c r="V1931" s="686"/>
      <c r="W1931" s="686"/>
      <c r="X1931" s="686"/>
      <c r="Y1931" s="686"/>
      <c r="Z1931" s="686"/>
      <c r="AA1931" s="686"/>
      <c r="AB1931" s="686"/>
      <c r="AC1931" s="686"/>
      <c r="AD1931" s="686"/>
      <c r="AE1931" s="686"/>
      <c r="AF1931" s="686"/>
    </row>
    <row r="1932" ht="15.75" customHeight="1">
      <c r="A1932" s="683"/>
      <c r="B1932" s="683"/>
      <c r="C1932" s="684"/>
      <c r="D1932" s="684"/>
      <c r="E1932" s="684"/>
      <c r="F1932" s="683"/>
      <c r="G1932" s="683"/>
      <c r="H1932" s="683"/>
      <c r="I1932" s="683"/>
      <c r="J1932" s="683"/>
      <c r="K1932" s="683"/>
      <c r="L1932" s="685"/>
      <c r="M1932" s="685"/>
      <c r="N1932" s="687"/>
      <c r="O1932" s="683"/>
      <c r="P1932" s="683"/>
      <c r="Q1932" s="686"/>
      <c r="R1932" s="686"/>
      <c r="S1932" s="686"/>
      <c r="T1932" s="686"/>
      <c r="U1932" s="686"/>
      <c r="V1932" s="686"/>
      <c r="W1932" s="686"/>
      <c r="X1932" s="686"/>
      <c r="Y1932" s="686"/>
      <c r="Z1932" s="686"/>
      <c r="AA1932" s="686"/>
      <c r="AB1932" s="686"/>
      <c r="AC1932" s="686"/>
      <c r="AD1932" s="686"/>
      <c r="AE1932" s="686"/>
      <c r="AF1932" s="686"/>
    </row>
    <row r="1933" ht="15.75" customHeight="1">
      <c r="A1933" s="683"/>
      <c r="B1933" s="683"/>
      <c r="C1933" s="684"/>
      <c r="D1933" s="684"/>
      <c r="E1933" s="684"/>
      <c r="F1933" s="683"/>
      <c r="G1933" s="683"/>
      <c r="H1933" s="683"/>
      <c r="I1933" s="683"/>
      <c r="J1933" s="683"/>
      <c r="K1933" s="683"/>
      <c r="L1933" s="685"/>
      <c r="M1933" s="685"/>
      <c r="N1933" s="687"/>
      <c r="O1933" s="683"/>
      <c r="P1933" s="683"/>
      <c r="Q1933" s="686"/>
      <c r="R1933" s="686"/>
      <c r="S1933" s="686"/>
      <c r="T1933" s="686"/>
      <c r="U1933" s="686"/>
      <c r="V1933" s="686"/>
      <c r="W1933" s="686"/>
      <c r="X1933" s="686"/>
      <c r="Y1933" s="686"/>
      <c r="Z1933" s="686"/>
      <c r="AA1933" s="686"/>
      <c r="AB1933" s="686"/>
      <c r="AC1933" s="686"/>
      <c r="AD1933" s="686"/>
      <c r="AE1933" s="686"/>
      <c r="AF1933" s="686"/>
    </row>
    <row r="1934" ht="15.75" customHeight="1">
      <c r="A1934" s="683"/>
      <c r="B1934" s="683"/>
      <c r="C1934" s="684"/>
      <c r="D1934" s="684"/>
      <c r="E1934" s="684"/>
      <c r="F1934" s="683"/>
      <c r="G1934" s="683"/>
      <c r="H1934" s="683"/>
      <c r="I1934" s="683"/>
      <c r="J1934" s="683"/>
      <c r="K1934" s="683"/>
      <c r="L1934" s="685"/>
      <c r="M1934" s="685"/>
      <c r="N1934" s="687"/>
      <c r="O1934" s="683"/>
      <c r="P1934" s="683"/>
      <c r="Q1934" s="686"/>
      <c r="R1934" s="686"/>
      <c r="S1934" s="686"/>
      <c r="T1934" s="686"/>
      <c r="U1934" s="686"/>
      <c r="V1934" s="686"/>
      <c r="W1934" s="686"/>
      <c r="X1934" s="686"/>
      <c r="Y1934" s="686"/>
      <c r="Z1934" s="686"/>
      <c r="AA1934" s="686"/>
      <c r="AB1934" s="686"/>
      <c r="AC1934" s="686"/>
      <c r="AD1934" s="686"/>
      <c r="AE1934" s="686"/>
      <c r="AF1934" s="686"/>
    </row>
    <row r="1935" ht="15.75" customHeight="1">
      <c r="A1935" s="683"/>
      <c r="B1935" s="683"/>
      <c r="C1935" s="684"/>
      <c r="D1935" s="684"/>
      <c r="E1935" s="684"/>
      <c r="F1935" s="683"/>
      <c r="G1935" s="683"/>
      <c r="H1935" s="683"/>
      <c r="I1935" s="683"/>
      <c r="J1935" s="683"/>
      <c r="K1935" s="683"/>
      <c r="L1935" s="685"/>
      <c r="M1935" s="685"/>
      <c r="N1935" s="687"/>
      <c r="O1935" s="683"/>
      <c r="P1935" s="683"/>
      <c r="Q1935" s="686"/>
      <c r="R1935" s="686"/>
      <c r="S1935" s="686"/>
      <c r="T1935" s="686"/>
      <c r="U1935" s="686"/>
      <c r="V1935" s="686"/>
      <c r="W1935" s="686"/>
      <c r="X1935" s="686"/>
      <c r="Y1935" s="686"/>
      <c r="Z1935" s="686"/>
      <c r="AA1935" s="686"/>
      <c r="AB1935" s="686"/>
      <c r="AC1935" s="686"/>
      <c r="AD1935" s="686"/>
      <c r="AE1935" s="686"/>
      <c r="AF1935" s="686"/>
    </row>
    <row r="1936" ht="15.75" customHeight="1">
      <c r="A1936" s="683"/>
      <c r="B1936" s="683"/>
      <c r="C1936" s="684"/>
      <c r="D1936" s="684"/>
      <c r="E1936" s="684"/>
      <c r="F1936" s="683"/>
      <c r="G1936" s="683"/>
      <c r="H1936" s="683"/>
      <c r="I1936" s="683"/>
      <c r="J1936" s="683"/>
      <c r="K1936" s="683"/>
      <c r="L1936" s="685"/>
      <c r="M1936" s="685"/>
      <c r="N1936" s="687"/>
      <c r="O1936" s="683"/>
      <c r="P1936" s="683"/>
      <c r="Q1936" s="686"/>
      <c r="R1936" s="686"/>
      <c r="S1936" s="686"/>
      <c r="T1936" s="686"/>
      <c r="U1936" s="686"/>
      <c r="V1936" s="686"/>
      <c r="W1936" s="686"/>
      <c r="X1936" s="686"/>
      <c r="Y1936" s="686"/>
      <c r="Z1936" s="686"/>
      <c r="AA1936" s="686"/>
      <c r="AB1936" s="686"/>
      <c r="AC1936" s="686"/>
      <c r="AD1936" s="686"/>
      <c r="AE1936" s="686"/>
      <c r="AF1936" s="686"/>
    </row>
    <row r="1937" ht="15.75" customHeight="1">
      <c r="A1937" s="683"/>
      <c r="B1937" s="683"/>
      <c r="C1937" s="684"/>
      <c r="D1937" s="684"/>
      <c r="E1937" s="684"/>
      <c r="F1937" s="683"/>
      <c r="G1937" s="683"/>
      <c r="H1937" s="683"/>
      <c r="I1937" s="683"/>
      <c r="J1937" s="683"/>
      <c r="K1937" s="683"/>
      <c r="L1937" s="685"/>
      <c r="M1937" s="685"/>
      <c r="N1937" s="687"/>
      <c r="O1937" s="683"/>
      <c r="P1937" s="683"/>
      <c r="Q1937" s="686"/>
      <c r="R1937" s="686"/>
      <c r="S1937" s="686"/>
      <c r="T1937" s="686"/>
      <c r="U1937" s="686"/>
      <c r="V1937" s="686"/>
      <c r="W1937" s="686"/>
      <c r="X1937" s="686"/>
      <c r="Y1937" s="686"/>
      <c r="Z1937" s="686"/>
      <c r="AA1937" s="686"/>
      <c r="AB1937" s="686"/>
      <c r="AC1937" s="686"/>
      <c r="AD1937" s="686"/>
      <c r="AE1937" s="686"/>
      <c r="AF1937" s="686"/>
    </row>
    <row r="1938" ht="15.75" customHeight="1">
      <c r="A1938" s="683"/>
      <c r="B1938" s="683"/>
      <c r="C1938" s="684"/>
      <c r="D1938" s="684"/>
      <c r="E1938" s="684"/>
      <c r="F1938" s="683"/>
      <c r="G1938" s="683"/>
      <c r="H1938" s="683"/>
      <c r="I1938" s="683"/>
      <c r="J1938" s="683"/>
      <c r="K1938" s="683"/>
      <c r="L1938" s="685"/>
      <c r="M1938" s="685"/>
      <c r="N1938" s="687"/>
      <c r="O1938" s="683"/>
      <c r="P1938" s="685"/>
      <c r="Q1938" s="686"/>
      <c r="R1938" s="686"/>
      <c r="S1938" s="686"/>
      <c r="T1938" s="686"/>
      <c r="U1938" s="686"/>
      <c r="V1938" s="686"/>
      <c r="W1938" s="686"/>
      <c r="X1938" s="686"/>
      <c r="Y1938" s="686"/>
      <c r="Z1938" s="686"/>
      <c r="AA1938" s="686"/>
      <c r="AB1938" s="686"/>
      <c r="AC1938" s="686"/>
      <c r="AD1938" s="686"/>
      <c r="AE1938" s="686"/>
      <c r="AF1938" s="686"/>
    </row>
    <row r="1939" ht="15.75" customHeight="1">
      <c r="A1939" s="683"/>
      <c r="B1939" s="683"/>
      <c r="C1939" s="684"/>
      <c r="D1939" s="684"/>
      <c r="E1939" s="684"/>
      <c r="F1939" s="683"/>
      <c r="G1939" s="683"/>
      <c r="H1939" s="683"/>
      <c r="I1939" s="683"/>
      <c r="J1939" s="683"/>
      <c r="K1939" s="683"/>
      <c r="L1939" s="685"/>
      <c r="M1939" s="685"/>
      <c r="N1939" s="687"/>
      <c r="O1939" s="683"/>
      <c r="P1939" s="683"/>
      <c r="Q1939" s="686"/>
      <c r="R1939" s="686"/>
      <c r="S1939" s="686"/>
      <c r="T1939" s="686"/>
      <c r="U1939" s="686"/>
      <c r="V1939" s="686"/>
      <c r="W1939" s="686"/>
      <c r="X1939" s="686"/>
      <c r="Y1939" s="686"/>
      <c r="Z1939" s="686"/>
      <c r="AA1939" s="686"/>
      <c r="AB1939" s="686"/>
      <c r="AC1939" s="686"/>
      <c r="AD1939" s="686"/>
      <c r="AE1939" s="686"/>
      <c r="AF1939" s="686"/>
    </row>
    <row r="1940" ht="15.75" customHeight="1">
      <c r="A1940" s="683"/>
      <c r="B1940" s="683"/>
      <c r="C1940" s="684"/>
      <c r="D1940" s="684"/>
      <c r="E1940" s="684"/>
      <c r="F1940" s="683"/>
      <c r="G1940" s="683"/>
      <c r="H1940" s="683"/>
      <c r="I1940" s="683"/>
      <c r="J1940" s="683"/>
      <c r="K1940" s="683"/>
      <c r="L1940" s="685"/>
      <c r="M1940" s="685"/>
      <c r="N1940" s="687"/>
      <c r="O1940" s="683"/>
      <c r="P1940" s="683"/>
      <c r="Q1940" s="686"/>
      <c r="R1940" s="686"/>
      <c r="S1940" s="686"/>
      <c r="T1940" s="686"/>
      <c r="U1940" s="686"/>
      <c r="V1940" s="686"/>
      <c r="W1940" s="686"/>
      <c r="X1940" s="686"/>
      <c r="Y1940" s="686"/>
      <c r="Z1940" s="686"/>
      <c r="AA1940" s="686"/>
      <c r="AB1940" s="686"/>
      <c r="AC1940" s="686"/>
      <c r="AD1940" s="686"/>
      <c r="AE1940" s="686"/>
      <c r="AF1940" s="686"/>
    </row>
    <row r="1941" ht="15.75" customHeight="1">
      <c r="A1941" s="683"/>
      <c r="B1941" s="683"/>
      <c r="C1941" s="684"/>
      <c r="D1941" s="684"/>
      <c r="E1941" s="684"/>
      <c r="F1941" s="683"/>
      <c r="G1941" s="683"/>
      <c r="H1941" s="683"/>
      <c r="I1941" s="683"/>
      <c r="J1941" s="683"/>
      <c r="K1941" s="683"/>
      <c r="L1941" s="685"/>
      <c r="M1941" s="685"/>
      <c r="N1941" s="687"/>
      <c r="O1941" s="683"/>
      <c r="P1941" s="683"/>
      <c r="Q1941" s="686"/>
      <c r="R1941" s="686"/>
      <c r="S1941" s="686"/>
      <c r="T1941" s="686"/>
      <c r="U1941" s="686"/>
      <c r="V1941" s="686"/>
      <c r="W1941" s="686"/>
      <c r="X1941" s="686"/>
      <c r="Y1941" s="686"/>
      <c r="Z1941" s="686"/>
      <c r="AA1941" s="686"/>
      <c r="AB1941" s="686"/>
      <c r="AC1941" s="686"/>
      <c r="AD1941" s="686"/>
      <c r="AE1941" s="686"/>
      <c r="AF1941" s="686"/>
    </row>
    <row r="1942" ht="15.75" customHeight="1">
      <c r="A1942" s="683"/>
      <c r="B1942" s="683"/>
      <c r="C1942" s="684"/>
      <c r="D1942" s="684"/>
      <c r="E1942" s="684"/>
      <c r="F1942" s="683"/>
      <c r="G1942" s="683"/>
      <c r="H1942" s="683"/>
      <c r="I1942" s="683"/>
      <c r="J1942" s="683"/>
      <c r="K1942" s="683"/>
      <c r="L1942" s="685"/>
      <c r="M1942" s="685"/>
      <c r="N1942" s="687"/>
      <c r="O1942" s="683"/>
      <c r="P1942" s="683"/>
      <c r="Q1942" s="686"/>
      <c r="R1942" s="686"/>
      <c r="S1942" s="686"/>
      <c r="T1942" s="686"/>
      <c r="U1942" s="686"/>
      <c r="V1942" s="686"/>
      <c r="W1942" s="686"/>
      <c r="X1942" s="686"/>
      <c r="Y1942" s="686"/>
      <c r="Z1942" s="686"/>
      <c r="AA1942" s="686"/>
      <c r="AB1942" s="686"/>
      <c r="AC1942" s="686"/>
      <c r="AD1942" s="686"/>
      <c r="AE1942" s="686"/>
      <c r="AF1942" s="686"/>
    </row>
    <row r="1943" ht="15.75" customHeight="1">
      <c r="A1943" s="683"/>
      <c r="B1943" s="683"/>
      <c r="C1943" s="684"/>
      <c r="D1943" s="684"/>
      <c r="E1943" s="684"/>
      <c r="F1943" s="683"/>
      <c r="G1943" s="683"/>
      <c r="H1943" s="683"/>
      <c r="I1943" s="683"/>
      <c r="J1943" s="683"/>
      <c r="K1943" s="683"/>
      <c r="L1943" s="685"/>
      <c r="M1943" s="685"/>
      <c r="N1943" s="687"/>
      <c r="O1943" s="683"/>
      <c r="P1943" s="683"/>
      <c r="Q1943" s="686"/>
      <c r="R1943" s="686"/>
      <c r="S1943" s="686"/>
      <c r="T1943" s="686"/>
      <c r="U1943" s="686"/>
      <c r="V1943" s="686"/>
      <c r="W1943" s="686"/>
      <c r="X1943" s="686"/>
      <c r="Y1943" s="686"/>
      <c r="Z1943" s="686"/>
      <c r="AA1943" s="686"/>
      <c r="AB1943" s="686"/>
      <c r="AC1943" s="686"/>
      <c r="AD1943" s="686"/>
      <c r="AE1943" s="686"/>
      <c r="AF1943" s="686"/>
    </row>
    <row r="1944" ht="15.75" customHeight="1">
      <c r="A1944" s="683"/>
      <c r="B1944" s="683"/>
      <c r="C1944" s="684"/>
      <c r="D1944" s="684"/>
      <c r="E1944" s="684"/>
      <c r="F1944" s="683"/>
      <c r="G1944" s="683"/>
      <c r="H1944" s="683"/>
      <c r="I1944" s="683"/>
      <c r="J1944" s="683"/>
      <c r="K1944" s="683"/>
      <c r="L1944" s="685"/>
      <c r="M1944" s="685"/>
      <c r="N1944" s="687"/>
      <c r="O1944" s="683"/>
      <c r="P1944" s="683"/>
      <c r="Q1944" s="686"/>
      <c r="R1944" s="686"/>
      <c r="S1944" s="686"/>
      <c r="T1944" s="686"/>
      <c r="U1944" s="686"/>
      <c r="V1944" s="686"/>
      <c r="W1944" s="686"/>
      <c r="X1944" s="686"/>
      <c r="Y1944" s="686"/>
      <c r="Z1944" s="686"/>
      <c r="AA1944" s="686"/>
      <c r="AB1944" s="686"/>
      <c r="AC1944" s="686"/>
      <c r="AD1944" s="686"/>
      <c r="AE1944" s="686"/>
      <c r="AF1944" s="686"/>
    </row>
    <row r="1945" ht="15.75" customHeight="1">
      <c r="A1945" s="683"/>
      <c r="B1945" s="683"/>
      <c r="C1945" s="684"/>
      <c r="D1945" s="684"/>
      <c r="E1945" s="684"/>
      <c r="F1945" s="683"/>
      <c r="G1945" s="683"/>
      <c r="H1945" s="683"/>
      <c r="I1945" s="683"/>
      <c r="J1945" s="683"/>
      <c r="K1945" s="683"/>
      <c r="L1945" s="685"/>
      <c r="M1945" s="685"/>
      <c r="N1945" s="687"/>
      <c r="O1945" s="683"/>
      <c r="P1945" s="683"/>
      <c r="Q1945" s="686"/>
      <c r="R1945" s="686"/>
      <c r="S1945" s="686"/>
      <c r="T1945" s="686"/>
      <c r="U1945" s="686"/>
      <c r="V1945" s="686"/>
      <c r="W1945" s="686"/>
      <c r="X1945" s="686"/>
      <c r="Y1945" s="686"/>
      <c r="Z1945" s="686"/>
      <c r="AA1945" s="686"/>
      <c r="AB1945" s="686"/>
      <c r="AC1945" s="686"/>
      <c r="AD1945" s="686"/>
      <c r="AE1945" s="686"/>
      <c r="AF1945" s="686"/>
    </row>
    <row r="1946" ht="15.75" customHeight="1">
      <c r="A1946" s="683"/>
      <c r="B1946" s="683"/>
      <c r="C1946" s="684"/>
      <c r="D1946" s="684"/>
      <c r="E1946" s="684"/>
      <c r="F1946" s="683"/>
      <c r="G1946" s="683"/>
      <c r="H1946" s="683"/>
      <c r="I1946" s="683"/>
      <c r="J1946" s="683"/>
      <c r="K1946" s="683"/>
      <c r="L1946" s="685"/>
      <c r="M1946" s="685"/>
      <c r="N1946" s="687"/>
      <c r="O1946" s="683"/>
      <c r="P1946" s="683"/>
      <c r="Q1946" s="686"/>
      <c r="R1946" s="686"/>
      <c r="S1946" s="686"/>
      <c r="T1946" s="686"/>
      <c r="U1946" s="686"/>
      <c r="V1946" s="686"/>
      <c r="W1946" s="686"/>
      <c r="X1946" s="686"/>
      <c r="Y1946" s="686"/>
      <c r="Z1946" s="686"/>
      <c r="AA1946" s="686"/>
      <c r="AB1946" s="686"/>
      <c r="AC1946" s="686"/>
      <c r="AD1946" s="686"/>
      <c r="AE1946" s="686"/>
      <c r="AF1946" s="686"/>
    </row>
    <row r="1947" ht="15.75" customHeight="1">
      <c r="A1947" s="683"/>
      <c r="B1947" s="683"/>
      <c r="C1947" s="684"/>
      <c r="D1947" s="684"/>
      <c r="E1947" s="684"/>
      <c r="F1947" s="683"/>
      <c r="G1947" s="683"/>
      <c r="H1947" s="683"/>
      <c r="I1947" s="683"/>
      <c r="J1947" s="683"/>
      <c r="K1947" s="683"/>
      <c r="L1947" s="685"/>
      <c r="M1947" s="685"/>
      <c r="N1947" s="687"/>
      <c r="O1947" s="683"/>
      <c r="P1947" s="683"/>
      <c r="Q1947" s="686"/>
      <c r="R1947" s="686"/>
      <c r="S1947" s="686"/>
      <c r="T1947" s="686"/>
      <c r="U1947" s="686"/>
      <c r="V1947" s="686"/>
      <c r="W1947" s="686"/>
      <c r="X1947" s="686"/>
      <c r="Y1947" s="686"/>
      <c r="Z1947" s="686"/>
      <c r="AA1947" s="686"/>
      <c r="AB1947" s="686"/>
      <c r="AC1947" s="686"/>
      <c r="AD1947" s="686"/>
      <c r="AE1947" s="686"/>
      <c r="AF1947" s="686"/>
    </row>
    <row r="1948" ht="15.75" customHeight="1">
      <c r="A1948" s="683"/>
      <c r="B1948" s="683"/>
      <c r="C1948" s="684"/>
      <c r="D1948" s="684"/>
      <c r="E1948" s="684"/>
      <c r="F1948" s="683"/>
      <c r="G1948" s="683"/>
      <c r="H1948" s="683"/>
      <c r="I1948" s="683"/>
      <c r="J1948" s="683"/>
      <c r="K1948" s="683"/>
      <c r="L1948" s="685"/>
      <c r="M1948" s="685"/>
      <c r="N1948" s="687"/>
      <c r="O1948" s="683"/>
      <c r="P1948" s="683"/>
      <c r="Q1948" s="686"/>
      <c r="R1948" s="686"/>
      <c r="S1948" s="686"/>
      <c r="T1948" s="686"/>
      <c r="U1948" s="686"/>
      <c r="V1948" s="686"/>
      <c r="W1948" s="686"/>
      <c r="X1948" s="686"/>
      <c r="Y1948" s="686"/>
      <c r="Z1948" s="686"/>
      <c r="AA1948" s="686"/>
      <c r="AB1948" s="686"/>
      <c r="AC1948" s="686"/>
      <c r="AD1948" s="686"/>
      <c r="AE1948" s="686"/>
      <c r="AF1948" s="686"/>
    </row>
    <row r="1949" ht="15.75" customHeight="1">
      <c r="A1949" s="683"/>
      <c r="B1949" s="683"/>
      <c r="C1949" s="684"/>
      <c r="D1949" s="684"/>
      <c r="E1949" s="684"/>
      <c r="F1949" s="683"/>
      <c r="G1949" s="683"/>
      <c r="H1949" s="683"/>
      <c r="I1949" s="683"/>
      <c r="J1949" s="683"/>
      <c r="K1949" s="683"/>
      <c r="L1949" s="685"/>
      <c r="M1949" s="685"/>
      <c r="N1949" s="687"/>
      <c r="O1949" s="683"/>
      <c r="P1949" s="683"/>
      <c r="Q1949" s="686"/>
      <c r="R1949" s="686"/>
      <c r="S1949" s="686"/>
      <c r="T1949" s="686"/>
      <c r="U1949" s="686"/>
      <c r="V1949" s="686"/>
      <c r="W1949" s="686"/>
      <c r="X1949" s="686"/>
      <c r="Y1949" s="686"/>
      <c r="Z1949" s="686"/>
      <c r="AA1949" s="686"/>
      <c r="AB1949" s="686"/>
      <c r="AC1949" s="686"/>
      <c r="AD1949" s="686"/>
      <c r="AE1949" s="686"/>
      <c r="AF1949" s="686"/>
    </row>
    <row r="1950" ht="15.75" customHeight="1">
      <c r="A1950" s="683"/>
      <c r="B1950" s="683"/>
      <c r="C1950" s="684"/>
      <c r="D1950" s="684"/>
      <c r="E1950" s="684"/>
      <c r="F1950" s="683"/>
      <c r="G1950" s="683"/>
      <c r="H1950" s="683"/>
      <c r="I1950" s="683"/>
      <c r="J1950" s="683"/>
      <c r="K1950" s="683"/>
      <c r="L1950" s="685"/>
      <c r="M1950" s="685"/>
      <c r="N1950" s="687"/>
      <c r="O1950" s="683"/>
      <c r="P1950" s="683"/>
      <c r="Q1950" s="686"/>
      <c r="R1950" s="686"/>
      <c r="S1950" s="686"/>
      <c r="T1950" s="686"/>
      <c r="U1950" s="686"/>
      <c r="V1950" s="686"/>
      <c r="W1950" s="686"/>
      <c r="X1950" s="686"/>
      <c r="Y1950" s="686"/>
      <c r="Z1950" s="686"/>
      <c r="AA1950" s="686"/>
      <c r="AB1950" s="686"/>
      <c r="AC1950" s="686"/>
      <c r="AD1950" s="686"/>
      <c r="AE1950" s="686"/>
      <c r="AF1950" s="686"/>
    </row>
    <row r="1951" ht="15.75" customHeight="1">
      <c r="A1951" s="683"/>
      <c r="B1951" s="683"/>
      <c r="C1951" s="684"/>
      <c r="D1951" s="684"/>
      <c r="E1951" s="684"/>
      <c r="F1951" s="683"/>
      <c r="G1951" s="683"/>
      <c r="H1951" s="683"/>
      <c r="I1951" s="683"/>
      <c r="J1951" s="683"/>
      <c r="K1951" s="683"/>
      <c r="L1951" s="685"/>
      <c r="M1951" s="685"/>
      <c r="N1951" s="687"/>
      <c r="O1951" s="683"/>
      <c r="P1951" s="683"/>
      <c r="Q1951" s="686"/>
      <c r="R1951" s="686"/>
      <c r="S1951" s="686"/>
      <c r="T1951" s="686"/>
      <c r="U1951" s="686"/>
      <c r="V1951" s="686"/>
      <c r="W1951" s="686"/>
      <c r="X1951" s="686"/>
      <c r="Y1951" s="686"/>
      <c r="Z1951" s="686"/>
      <c r="AA1951" s="686"/>
      <c r="AB1951" s="686"/>
      <c r="AC1951" s="686"/>
      <c r="AD1951" s="686"/>
      <c r="AE1951" s="686"/>
      <c r="AF1951" s="686"/>
    </row>
    <row r="1952" ht="15.75" customHeight="1">
      <c r="A1952" s="683"/>
      <c r="B1952" s="683"/>
      <c r="C1952" s="684"/>
      <c r="D1952" s="684"/>
      <c r="E1952" s="684"/>
      <c r="F1952" s="683"/>
      <c r="G1952" s="683"/>
      <c r="H1952" s="683"/>
      <c r="I1952" s="683"/>
      <c r="J1952" s="683"/>
      <c r="K1952" s="683"/>
      <c r="L1952" s="685"/>
      <c r="M1952" s="685"/>
      <c r="N1952" s="687"/>
      <c r="O1952" s="683"/>
      <c r="P1952" s="683"/>
      <c r="Q1952" s="686"/>
      <c r="R1952" s="686"/>
      <c r="S1952" s="686"/>
      <c r="T1952" s="686"/>
      <c r="U1952" s="686"/>
      <c r="V1952" s="686"/>
      <c r="W1952" s="686"/>
      <c r="X1952" s="686"/>
      <c r="Y1952" s="686"/>
      <c r="Z1952" s="686"/>
      <c r="AA1952" s="686"/>
      <c r="AB1952" s="686"/>
      <c r="AC1952" s="686"/>
      <c r="AD1952" s="686"/>
      <c r="AE1952" s="686"/>
      <c r="AF1952" s="686"/>
    </row>
    <row r="1953" ht="15.75" customHeight="1">
      <c r="A1953" s="683"/>
      <c r="B1953" s="683"/>
      <c r="C1953" s="684"/>
      <c r="D1953" s="684"/>
      <c r="E1953" s="684"/>
      <c r="F1953" s="683"/>
      <c r="G1953" s="683"/>
      <c r="H1953" s="683"/>
      <c r="I1953" s="683"/>
      <c r="J1953" s="683"/>
      <c r="K1953" s="683"/>
      <c r="L1953" s="685"/>
      <c r="M1953" s="685"/>
      <c r="N1953" s="687"/>
      <c r="O1953" s="683"/>
      <c r="P1953" s="683"/>
      <c r="Q1953" s="686"/>
      <c r="R1953" s="686"/>
      <c r="S1953" s="686"/>
      <c r="T1953" s="686"/>
      <c r="U1953" s="686"/>
      <c r="V1953" s="686"/>
      <c r="W1953" s="686"/>
      <c r="X1953" s="686"/>
      <c r="Y1953" s="686"/>
      <c r="Z1953" s="686"/>
      <c r="AA1953" s="686"/>
      <c r="AB1953" s="686"/>
      <c r="AC1953" s="686"/>
      <c r="AD1953" s="686"/>
      <c r="AE1953" s="686"/>
      <c r="AF1953" s="686"/>
    </row>
    <row r="1954" ht="15.75" customHeight="1">
      <c r="A1954" s="683"/>
      <c r="B1954" s="683"/>
      <c r="C1954" s="684"/>
      <c r="D1954" s="684"/>
      <c r="E1954" s="684"/>
      <c r="F1954" s="683"/>
      <c r="G1954" s="683"/>
      <c r="H1954" s="683"/>
      <c r="I1954" s="683"/>
      <c r="J1954" s="683"/>
      <c r="K1954" s="683"/>
      <c r="L1954" s="685"/>
      <c r="M1954" s="685"/>
      <c r="N1954" s="687"/>
      <c r="O1954" s="683"/>
      <c r="P1954" s="683"/>
      <c r="Q1954" s="686"/>
      <c r="R1954" s="686"/>
      <c r="S1954" s="686"/>
      <c r="T1954" s="686"/>
      <c r="U1954" s="686"/>
      <c r="V1954" s="686"/>
      <c r="W1954" s="686"/>
      <c r="X1954" s="686"/>
      <c r="Y1954" s="686"/>
      <c r="Z1954" s="686"/>
      <c r="AA1954" s="686"/>
      <c r="AB1954" s="686"/>
      <c r="AC1954" s="686"/>
      <c r="AD1954" s="686"/>
      <c r="AE1954" s="686"/>
      <c r="AF1954" s="686"/>
    </row>
    <row r="1955" ht="15.75" customHeight="1">
      <c r="A1955" s="683"/>
      <c r="B1955" s="683"/>
      <c r="C1955" s="684"/>
      <c r="D1955" s="684"/>
      <c r="E1955" s="684"/>
      <c r="F1955" s="683"/>
      <c r="G1955" s="683"/>
      <c r="H1955" s="683"/>
      <c r="I1955" s="683"/>
      <c r="J1955" s="683"/>
      <c r="K1955" s="683"/>
      <c r="L1955" s="685"/>
      <c r="M1955" s="685"/>
      <c r="N1955" s="687"/>
      <c r="O1955" s="683"/>
      <c r="P1955" s="683"/>
      <c r="Q1955" s="686"/>
      <c r="R1955" s="686"/>
      <c r="S1955" s="686"/>
      <c r="T1955" s="686"/>
      <c r="U1955" s="686"/>
      <c r="V1955" s="686"/>
      <c r="W1955" s="686"/>
      <c r="X1955" s="686"/>
      <c r="Y1955" s="686"/>
      <c r="Z1955" s="686"/>
      <c r="AA1955" s="686"/>
      <c r="AB1955" s="686"/>
      <c r="AC1955" s="686"/>
      <c r="AD1955" s="686"/>
      <c r="AE1955" s="686"/>
      <c r="AF1955" s="686"/>
    </row>
    <row r="1956" ht="15.75" customHeight="1">
      <c r="A1956" s="683"/>
      <c r="B1956" s="683"/>
      <c r="C1956" s="684"/>
      <c r="D1956" s="684"/>
      <c r="E1956" s="684"/>
      <c r="F1956" s="683"/>
      <c r="G1956" s="683"/>
      <c r="H1956" s="683"/>
      <c r="I1956" s="683"/>
      <c r="J1956" s="683"/>
      <c r="K1956" s="683"/>
      <c r="L1956" s="685"/>
      <c r="M1956" s="685"/>
      <c r="N1956" s="687"/>
      <c r="O1956" s="683"/>
      <c r="P1956" s="683"/>
      <c r="Q1956" s="686"/>
      <c r="R1956" s="686"/>
      <c r="S1956" s="686"/>
      <c r="T1956" s="686"/>
      <c r="U1956" s="686"/>
      <c r="V1956" s="686"/>
      <c r="W1956" s="686"/>
      <c r="X1956" s="686"/>
      <c r="Y1956" s="686"/>
      <c r="Z1956" s="686"/>
      <c r="AA1956" s="686"/>
      <c r="AB1956" s="686"/>
      <c r="AC1956" s="686"/>
      <c r="AD1956" s="686"/>
      <c r="AE1956" s="686"/>
      <c r="AF1956" s="686"/>
    </row>
    <row r="1957" ht="15.75" customHeight="1">
      <c r="A1957" s="683"/>
      <c r="B1957" s="683"/>
      <c r="C1957" s="684"/>
      <c r="D1957" s="684"/>
      <c r="E1957" s="684"/>
      <c r="F1957" s="683"/>
      <c r="G1957" s="683"/>
      <c r="H1957" s="683"/>
      <c r="I1957" s="683"/>
      <c r="J1957" s="683"/>
      <c r="K1957" s="683"/>
      <c r="L1957" s="685"/>
      <c r="M1957" s="685"/>
      <c r="N1957" s="687"/>
      <c r="O1957" s="683"/>
      <c r="P1957" s="683"/>
      <c r="Q1957" s="686"/>
      <c r="R1957" s="686"/>
      <c r="S1957" s="686"/>
      <c r="T1957" s="686"/>
      <c r="U1957" s="686"/>
      <c r="V1957" s="686"/>
      <c r="W1957" s="686"/>
      <c r="X1957" s="686"/>
      <c r="Y1957" s="686"/>
      <c r="Z1957" s="686"/>
      <c r="AA1957" s="686"/>
      <c r="AB1957" s="686"/>
      <c r="AC1957" s="686"/>
      <c r="AD1957" s="686"/>
      <c r="AE1957" s="686"/>
      <c r="AF1957" s="686"/>
    </row>
    <row r="1958" ht="15.75" customHeight="1">
      <c r="A1958" s="683"/>
      <c r="B1958" s="683"/>
      <c r="C1958" s="684"/>
      <c r="D1958" s="684"/>
      <c r="E1958" s="684"/>
      <c r="F1958" s="683"/>
      <c r="G1958" s="683"/>
      <c r="H1958" s="683"/>
      <c r="I1958" s="683"/>
      <c r="J1958" s="683"/>
      <c r="K1958" s="683"/>
      <c r="L1958" s="685"/>
      <c r="M1958" s="685"/>
      <c r="N1958" s="687"/>
      <c r="O1958" s="683"/>
      <c r="P1958" s="683"/>
      <c r="Q1958" s="686"/>
      <c r="R1958" s="686"/>
      <c r="S1958" s="686"/>
      <c r="T1958" s="686"/>
      <c r="U1958" s="686"/>
      <c r="V1958" s="686"/>
      <c r="W1958" s="686"/>
      <c r="X1958" s="686"/>
      <c r="Y1958" s="686"/>
      <c r="Z1958" s="686"/>
      <c r="AA1958" s="686"/>
      <c r="AB1958" s="686"/>
      <c r="AC1958" s="686"/>
      <c r="AD1958" s="686"/>
      <c r="AE1958" s="686"/>
      <c r="AF1958" s="686"/>
    </row>
    <row r="1959" ht="15.75" customHeight="1">
      <c r="A1959" s="683"/>
      <c r="B1959" s="683"/>
      <c r="C1959" s="684"/>
      <c r="D1959" s="684"/>
      <c r="E1959" s="684"/>
      <c r="F1959" s="683"/>
      <c r="G1959" s="683"/>
      <c r="H1959" s="683"/>
      <c r="I1959" s="683"/>
      <c r="J1959" s="683"/>
      <c r="K1959" s="683"/>
      <c r="L1959" s="685"/>
      <c r="M1959" s="685"/>
      <c r="N1959" s="687"/>
      <c r="O1959" s="683"/>
      <c r="P1959" s="683"/>
      <c r="Q1959" s="686"/>
      <c r="R1959" s="686"/>
      <c r="S1959" s="686"/>
      <c r="T1959" s="686"/>
      <c r="U1959" s="686"/>
      <c r="V1959" s="686"/>
      <c r="W1959" s="686"/>
      <c r="X1959" s="686"/>
      <c r="Y1959" s="686"/>
      <c r="Z1959" s="686"/>
      <c r="AA1959" s="686"/>
      <c r="AB1959" s="686"/>
      <c r="AC1959" s="686"/>
      <c r="AD1959" s="686"/>
      <c r="AE1959" s="686"/>
      <c r="AF1959" s="686"/>
    </row>
    <row r="1960" ht="15.75" customHeight="1">
      <c r="A1960" s="683"/>
      <c r="B1960" s="683"/>
      <c r="C1960" s="684"/>
      <c r="D1960" s="684"/>
      <c r="E1960" s="684"/>
      <c r="F1960" s="683"/>
      <c r="G1960" s="683"/>
      <c r="H1960" s="683"/>
      <c r="I1960" s="683"/>
      <c r="J1960" s="683"/>
      <c r="K1960" s="683"/>
      <c r="L1960" s="685"/>
      <c r="M1960" s="685"/>
      <c r="N1960" s="687"/>
      <c r="O1960" s="683"/>
      <c r="P1960" s="683"/>
      <c r="Q1960" s="686"/>
      <c r="R1960" s="686"/>
      <c r="S1960" s="686"/>
      <c r="T1960" s="686"/>
      <c r="U1960" s="686"/>
      <c r="V1960" s="686"/>
      <c r="W1960" s="686"/>
      <c r="X1960" s="686"/>
      <c r="Y1960" s="686"/>
      <c r="Z1960" s="686"/>
      <c r="AA1960" s="686"/>
      <c r="AB1960" s="686"/>
      <c r="AC1960" s="686"/>
      <c r="AD1960" s="686"/>
      <c r="AE1960" s="686"/>
      <c r="AF1960" s="686"/>
    </row>
    <row r="1961" ht="15.75" customHeight="1">
      <c r="A1961" s="683"/>
      <c r="B1961" s="683"/>
      <c r="C1961" s="684"/>
      <c r="D1961" s="684"/>
      <c r="E1961" s="684"/>
      <c r="F1961" s="683"/>
      <c r="G1961" s="683"/>
      <c r="H1961" s="683"/>
      <c r="I1961" s="683"/>
      <c r="J1961" s="683"/>
      <c r="K1961" s="683"/>
      <c r="L1961" s="685"/>
      <c r="M1961" s="685"/>
      <c r="N1961" s="687"/>
      <c r="O1961" s="683"/>
      <c r="P1961" s="683"/>
      <c r="Q1961" s="686"/>
      <c r="R1961" s="686"/>
      <c r="S1961" s="686"/>
      <c r="T1961" s="686"/>
      <c r="U1961" s="686"/>
      <c r="V1961" s="686"/>
      <c r="W1961" s="686"/>
      <c r="X1961" s="686"/>
      <c r="Y1961" s="686"/>
      <c r="Z1961" s="686"/>
      <c r="AA1961" s="686"/>
      <c r="AB1961" s="686"/>
      <c r="AC1961" s="686"/>
      <c r="AD1961" s="686"/>
      <c r="AE1961" s="686"/>
      <c r="AF1961" s="686"/>
    </row>
    <row r="1962" ht="15.75" customHeight="1">
      <c r="A1962" s="683"/>
      <c r="B1962" s="683"/>
      <c r="C1962" s="684"/>
      <c r="D1962" s="684"/>
      <c r="E1962" s="684"/>
      <c r="F1962" s="683"/>
      <c r="G1962" s="683"/>
      <c r="H1962" s="683"/>
      <c r="I1962" s="683"/>
      <c r="J1962" s="683"/>
      <c r="K1962" s="683"/>
      <c r="L1962" s="685"/>
      <c r="M1962" s="685"/>
      <c r="N1962" s="687"/>
      <c r="O1962" s="683"/>
      <c r="P1962" s="683"/>
      <c r="Q1962" s="686"/>
      <c r="R1962" s="686"/>
      <c r="S1962" s="686"/>
      <c r="T1962" s="686"/>
      <c r="U1962" s="686"/>
      <c r="V1962" s="686"/>
      <c r="W1962" s="686"/>
      <c r="X1962" s="686"/>
      <c r="Y1962" s="686"/>
      <c r="Z1962" s="686"/>
      <c r="AA1962" s="686"/>
      <c r="AB1962" s="686"/>
      <c r="AC1962" s="686"/>
      <c r="AD1962" s="686"/>
      <c r="AE1962" s="686"/>
      <c r="AF1962" s="686"/>
    </row>
    <row r="1963" ht="15.75" customHeight="1">
      <c r="A1963" s="683"/>
      <c r="B1963" s="683"/>
      <c r="C1963" s="684"/>
      <c r="D1963" s="684"/>
      <c r="E1963" s="684"/>
      <c r="F1963" s="683"/>
      <c r="G1963" s="683"/>
      <c r="H1963" s="683"/>
      <c r="I1963" s="683"/>
      <c r="J1963" s="683"/>
      <c r="K1963" s="683"/>
      <c r="L1963" s="685"/>
      <c r="M1963" s="685"/>
      <c r="N1963" s="687"/>
      <c r="O1963" s="683"/>
      <c r="P1963" s="683"/>
      <c r="Q1963" s="686"/>
      <c r="R1963" s="686"/>
      <c r="S1963" s="686"/>
      <c r="T1963" s="686"/>
      <c r="U1963" s="686"/>
      <c r="V1963" s="686"/>
      <c r="W1963" s="686"/>
      <c r="X1963" s="686"/>
      <c r="Y1963" s="686"/>
      <c r="Z1963" s="686"/>
      <c r="AA1963" s="686"/>
      <c r="AB1963" s="686"/>
      <c r="AC1963" s="686"/>
      <c r="AD1963" s="686"/>
      <c r="AE1963" s="686"/>
      <c r="AF1963" s="686"/>
    </row>
    <row r="1964" ht="15.75" customHeight="1">
      <c r="A1964" s="683"/>
      <c r="B1964" s="683"/>
      <c r="C1964" s="684"/>
      <c r="D1964" s="684"/>
      <c r="E1964" s="684"/>
      <c r="F1964" s="683"/>
      <c r="G1964" s="683"/>
      <c r="H1964" s="683"/>
      <c r="I1964" s="683"/>
      <c r="J1964" s="683"/>
      <c r="K1964" s="683"/>
      <c r="L1964" s="685"/>
      <c r="M1964" s="685"/>
      <c r="N1964" s="687"/>
      <c r="O1964" s="683"/>
      <c r="P1964" s="683"/>
      <c r="Q1964" s="686"/>
      <c r="R1964" s="686"/>
      <c r="S1964" s="686"/>
      <c r="T1964" s="686"/>
      <c r="U1964" s="686"/>
      <c r="V1964" s="686"/>
      <c r="W1964" s="686"/>
      <c r="X1964" s="686"/>
      <c r="Y1964" s="686"/>
      <c r="Z1964" s="686"/>
      <c r="AA1964" s="686"/>
      <c r="AB1964" s="686"/>
      <c r="AC1964" s="686"/>
      <c r="AD1964" s="686"/>
      <c r="AE1964" s="686"/>
      <c r="AF1964" s="686"/>
    </row>
    <row r="1965" ht="15.75" customHeight="1">
      <c r="A1965" s="683"/>
      <c r="B1965" s="683"/>
      <c r="C1965" s="684"/>
      <c r="D1965" s="684"/>
      <c r="E1965" s="684"/>
      <c r="F1965" s="683"/>
      <c r="G1965" s="683"/>
      <c r="H1965" s="683"/>
      <c r="I1965" s="683"/>
      <c r="J1965" s="683"/>
      <c r="K1965" s="683"/>
      <c r="L1965" s="685"/>
      <c r="M1965" s="685"/>
      <c r="N1965" s="687"/>
      <c r="O1965" s="683"/>
      <c r="P1965" s="683"/>
      <c r="Q1965" s="686"/>
      <c r="R1965" s="686"/>
      <c r="S1965" s="686"/>
      <c r="T1965" s="686"/>
      <c r="U1965" s="686"/>
      <c r="V1965" s="686"/>
      <c r="W1965" s="686"/>
      <c r="X1965" s="686"/>
      <c r="Y1965" s="686"/>
      <c r="Z1965" s="686"/>
      <c r="AA1965" s="686"/>
      <c r="AB1965" s="686"/>
      <c r="AC1965" s="686"/>
      <c r="AD1965" s="686"/>
      <c r="AE1965" s="686"/>
      <c r="AF1965" s="686"/>
    </row>
    <row r="1966" ht="15.75" customHeight="1">
      <c r="A1966" s="683"/>
      <c r="B1966" s="683"/>
      <c r="C1966" s="684"/>
      <c r="D1966" s="684"/>
      <c r="E1966" s="684"/>
      <c r="F1966" s="683"/>
      <c r="G1966" s="683"/>
      <c r="H1966" s="683"/>
      <c r="I1966" s="683"/>
      <c r="J1966" s="683"/>
      <c r="K1966" s="683"/>
      <c r="L1966" s="685"/>
      <c r="M1966" s="685"/>
      <c r="N1966" s="687"/>
      <c r="O1966" s="683"/>
      <c r="P1966" s="685"/>
      <c r="Q1966" s="686"/>
      <c r="R1966" s="686"/>
      <c r="S1966" s="686"/>
      <c r="T1966" s="686"/>
      <c r="U1966" s="686"/>
      <c r="V1966" s="686"/>
      <c r="W1966" s="686"/>
      <c r="X1966" s="686"/>
      <c r="Y1966" s="686"/>
      <c r="Z1966" s="686"/>
      <c r="AA1966" s="686"/>
      <c r="AB1966" s="686"/>
      <c r="AC1966" s="686"/>
      <c r="AD1966" s="686"/>
      <c r="AE1966" s="686"/>
      <c r="AF1966" s="686"/>
    </row>
    <row r="1967" ht="15.75" customHeight="1">
      <c r="A1967" s="683"/>
      <c r="B1967" s="683"/>
      <c r="C1967" s="684"/>
      <c r="D1967" s="684"/>
      <c r="E1967" s="684"/>
      <c r="F1967" s="683"/>
      <c r="G1967" s="683"/>
      <c r="H1967" s="683"/>
      <c r="I1967" s="683"/>
      <c r="J1967" s="683"/>
      <c r="K1967" s="683"/>
      <c r="L1967" s="685"/>
      <c r="M1967" s="685"/>
      <c r="N1967" s="687"/>
      <c r="O1967" s="683"/>
      <c r="P1967" s="683"/>
      <c r="Q1967" s="686"/>
      <c r="R1967" s="686"/>
      <c r="S1967" s="686"/>
      <c r="T1967" s="686"/>
      <c r="U1967" s="686"/>
      <c r="V1967" s="686"/>
      <c r="W1967" s="686"/>
      <c r="X1967" s="686"/>
      <c r="Y1967" s="686"/>
      <c r="Z1967" s="686"/>
      <c r="AA1967" s="686"/>
      <c r="AB1967" s="686"/>
      <c r="AC1967" s="686"/>
      <c r="AD1967" s="686"/>
      <c r="AE1967" s="686"/>
      <c r="AF1967" s="686"/>
    </row>
    <row r="1968" ht="15.75" customHeight="1">
      <c r="A1968" s="683"/>
      <c r="B1968" s="683"/>
      <c r="C1968" s="684"/>
      <c r="D1968" s="684"/>
      <c r="E1968" s="684"/>
      <c r="F1968" s="683"/>
      <c r="G1968" s="683"/>
      <c r="H1968" s="683"/>
      <c r="I1968" s="683"/>
      <c r="J1968" s="683"/>
      <c r="K1968" s="683"/>
      <c r="L1968" s="685"/>
      <c r="M1968" s="685"/>
      <c r="N1968" s="687"/>
      <c r="O1968" s="683"/>
      <c r="P1968" s="683"/>
      <c r="Q1968" s="686"/>
      <c r="R1968" s="686"/>
      <c r="S1968" s="686"/>
      <c r="T1968" s="686"/>
      <c r="U1968" s="686"/>
      <c r="V1968" s="686"/>
      <c r="W1968" s="686"/>
      <c r="X1968" s="686"/>
      <c r="Y1968" s="686"/>
      <c r="Z1968" s="686"/>
      <c r="AA1968" s="686"/>
      <c r="AB1968" s="686"/>
      <c r="AC1968" s="686"/>
      <c r="AD1968" s="686"/>
      <c r="AE1968" s="686"/>
      <c r="AF1968" s="686"/>
    </row>
    <row r="1969" ht="15.75" customHeight="1">
      <c r="A1969" s="683"/>
      <c r="B1969" s="683"/>
      <c r="C1969" s="684"/>
      <c r="D1969" s="684"/>
      <c r="E1969" s="684"/>
      <c r="F1969" s="683"/>
      <c r="G1969" s="683"/>
      <c r="H1969" s="683"/>
      <c r="I1969" s="683"/>
      <c r="J1969" s="683"/>
      <c r="K1969" s="683"/>
      <c r="L1969" s="685"/>
      <c r="M1969" s="685"/>
      <c r="N1969" s="687"/>
      <c r="O1969" s="683"/>
      <c r="P1969" s="683"/>
      <c r="Q1969" s="686"/>
      <c r="R1969" s="686"/>
      <c r="S1969" s="686"/>
      <c r="T1969" s="686"/>
      <c r="U1969" s="686"/>
      <c r="V1969" s="686"/>
      <c r="W1969" s="686"/>
      <c r="X1969" s="686"/>
      <c r="Y1969" s="686"/>
      <c r="Z1969" s="686"/>
      <c r="AA1969" s="686"/>
      <c r="AB1969" s="686"/>
      <c r="AC1969" s="686"/>
      <c r="AD1969" s="686"/>
      <c r="AE1969" s="686"/>
      <c r="AF1969" s="686"/>
    </row>
    <row r="1970" ht="15.75" customHeight="1">
      <c r="A1970" s="683"/>
      <c r="B1970" s="683"/>
      <c r="C1970" s="684"/>
      <c r="D1970" s="684"/>
      <c r="E1970" s="684"/>
      <c r="F1970" s="683"/>
      <c r="G1970" s="683"/>
      <c r="H1970" s="683"/>
      <c r="I1970" s="683"/>
      <c r="J1970" s="683"/>
      <c r="K1970" s="683"/>
      <c r="L1970" s="685"/>
      <c r="M1970" s="685"/>
      <c r="N1970" s="687"/>
      <c r="O1970" s="683"/>
      <c r="P1970" s="683"/>
      <c r="Q1970" s="686"/>
      <c r="R1970" s="686"/>
      <c r="S1970" s="686"/>
      <c r="T1970" s="686"/>
      <c r="U1970" s="686"/>
      <c r="V1970" s="686"/>
      <c r="W1970" s="686"/>
      <c r="X1970" s="686"/>
      <c r="Y1970" s="686"/>
      <c r="Z1970" s="686"/>
      <c r="AA1970" s="686"/>
      <c r="AB1970" s="686"/>
      <c r="AC1970" s="686"/>
      <c r="AD1970" s="686"/>
      <c r="AE1970" s="686"/>
      <c r="AF1970" s="686"/>
    </row>
    <row r="1971" ht="15.75" customHeight="1">
      <c r="A1971" s="683"/>
      <c r="B1971" s="683"/>
      <c r="C1971" s="684"/>
      <c r="D1971" s="684"/>
      <c r="E1971" s="684"/>
      <c r="F1971" s="683"/>
      <c r="G1971" s="683"/>
      <c r="H1971" s="683"/>
      <c r="I1971" s="683"/>
      <c r="J1971" s="683"/>
      <c r="K1971" s="683"/>
      <c r="L1971" s="685"/>
      <c r="M1971" s="685"/>
      <c r="N1971" s="687"/>
      <c r="O1971" s="683"/>
      <c r="P1971" s="683"/>
      <c r="Q1971" s="686"/>
      <c r="R1971" s="686"/>
      <c r="S1971" s="686"/>
      <c r="T1971" s="686"/>
      <c r="U1971" s="686"/>
      <c r="V1971" s="686"/>
      <c r="W1971" s="686"/>
      <c r="X1971" s="686"/>
      <c r="Y1971" s="686"/>
      <c r="Z1971" s="686"/>
      <c r="AA1971" s="686"/>
      <c r="AB1971" s="686"/>
      <c r="AC1971" s="686"/>
      <c r="AD1971" s="686"/>
      <c r="AE1971" s="686"/>
      <c r="AF1971" s="686"/>
    </row>
    <row r="1972" ht="15.75" customHeight="1">
      <c r="A1972" s="683"/>
      <c r="B1972" s="683"/>
      <c r="C1972" s="684"/>
      <c r="D1972" s="684"/>
      <c r="E1972" s="684"/>
      <c r="F1972" s="683"/>
      <c r="G1972" s="683"/>
      <c r="H1972" s="683"/>
      <c r="I1972" s="683"/>
      <c r="J1972" s="683"/>
      <c r="K1972" s="683"/>
      <c r="L1972" s="685"/>
      <c r="M1972" s="685"/>
      <c r="N1972" s="687"/>
      <c r="O1972" s="683"/>
      <c r="P1972" s="683"/>
      <c r="Q1972" s="686"/>
      <c r="R1972" s="686"/>
      <c r="S1972" s="686"/>
      <c r="T1972" s="686"/>
      <c r="U1972" s="686"/>
      <c r="V1972" s="686"/>
      <c r="W1972" s="686"/>
      <c r="X1972" s="686"/>
      <c r="Y1972" s="686"/>
      <c r="Z1972" s="686"/>
      <c r="AA1972" s="686"/>
      <c r="AB1972" s="686"/>
      <c r="AC1972" s="686"/>
      <c r="AD1972" s="686"/>
      <c r="AE1972" s="686"/>
      <c r="AF1972" s="686"/>
    </row>
    <row r="1973" ht="15.75" customHeight="1">
      <c r="A1973" s="683"/>
      <c r="B1973" s="683"/>
      <c r="C1973" s="684"/>
      <c r="D1973" s="684"/>
      <c r="E1973" s="684"/>
      <c r="F1973" s="683"/>
      <c r="G1973" s="683"/>
      <c r="H1973" s="683"/>
      <c r="I1973" s="683"/>
      <c r="J1973" s="683"/>
      <c r="K1973" s="683"/>
      <c r="L1973" s="685"/>
      <c r="M1973" s="685"/>
      <c r="N1973" s="687"/>
      <c r="O1973" s="683"/>
      <c r="P1973" s="683"/>
      <c r="Q1973" s="686"/>
      <c r="R1973" s="686"/>
      <c r="S1973" s="686"/>
      <c r="T1973" s="686"/>
      <c r="U1973" s="686"/>
      <c r="V1973" s="686"/>
      <c r="W1973" s="686"/>
      <c r="X1973" s="686"/>
      <c r="Y1973" s="686"/>
      <c r="Z1973" s="686"/>
      <c r="AA1973" s="686"/>
      <c r="AB1973" s="686"/>
      <c r="AC1973" s="686"/>
      <c r="AD1973" s="686"/>
      <c r="AE1973" s="686"/>
      <c r="AF1973" s="686"/>
    </row>
    <row r="1974" ht="15.75" customHeight="1">
      <c r="A1974" s="683"/>
      <c r="B1974" s="683"/>
      <c r="C1974" s="684"/>
      <c r="D1974" s="684"/>
      <c r="E1974" s="684"/>
      <c r="F1974" s="683"/>
      <c r="G1974" s="683"/>
      <c r="H1974" s="683"/>
      <c r="I1974" s="683"/>
      <c r="J1974" s="683"/>
      <c r="K1974" s="683"/>
      <c r="L1974" s="685"/>
      <c r="M1974" s="685"/>
      <c r="N1974" s="687"/>
      <c r="O1974" s="683"/>
      <c r="P1974" s="683"/>
      <c r="Q1974" s="686"/>
      <c r="R1974" s="686"/>
      <c r="S1974" s="686"/>
      <c r="T1974" s="686"/>
      <c r="U1974" s="686"/>
      <c r="V1974" s="686"/>
      <c r="W1974" s="686"/>
      <c r="X1974" s="686"/>
      <c r="Y1974" s="686"/>
      <c r="Z1974" s="686"/>
      <c r="AA1974" s="686"/>
      <c r="AB1974" s="686"/>
      <c r="AC1974" s="686"/>
      <c r="AD1974" s="686"/>
      <c r="AE1974" s="686"/>
      <c r="AF1974" s="686"/>
    </row>
    <row r="1975" ht="15.75" customHeight="1">
      <c r="A1975" s="683"/>
      <c r="B1975" s="683"/>
      <c r="C1975" s="684"/>
      <c r="D1975" s="684"/>
      <c r="E1975" s="684"/>
      <c r="F1975" s="683"/>
      <c r="G1975" s="683"/>
      <c r="H1975" s="683"/>
      <c r="I1975" s="683"/>
      <c r="J1975" s="683"/>
      <c r="K1975" s="683"/>
      <c r="L1975" s="685"/>
      <c r="M1975" s="685"/>
      <c r="N1975" s="687"/>
      <c r="O1975" s="683"/>
      <c r="P1975" s="683"/>
      <c r="Q1975" s="686"/>
      <c r="R1975" s="686"/>
      <c r="S1975" s="686"/>
      <c r="T1975" s="686"/>
      <c r="U1975" s="686"/>
      <c r="V1975" s="686"/>
      <c r="W1975" s="686"/>
      <c r="X1975" s="686"/>
      <c r="Y1975" s="686"/>
      <c r="Z1975" s="686"/>
      <c r="AA1975" s="686"/>
      <c r="AB1975" s="686"/>
      <c r="AC1975" s="686"/>
      <c r="AD1975" s="686"/>
      <c r="AE1975" s="686"/>
      <c r="AF1975" s="686"/>
    </row>
    <row r="1976" ht="15.75" customHeight="1">
      <c r="A1976" s="683"/>
      <c r="B1976" s="683"/>
      <c r="C1976" s="684"/>
      <c r="D1976" s="684"/>
      <c r="E1976" s="684"/>
      <c r="F1976" s="683"/>
      <c r="G1976" s="683"/>
      <c r="H1976" s="683"/>
      <c r="I1976" s="683"/>
      <c r="J1976" s="683"/>
      <c r="K1976" s="683"/>
      <c r="L1976" s="685"/>
      <c r="M1976" s="685"/>
      <c r="N1976" s="687"/>
      <c r="O1976" s="683"/>
      <c r="P1976" s="683"/>
      <c r="Q1976" s="686"/>
      <c r="R1976" s="686"/>
      <c r="S1976" s="686"/>
      <c r="T1976" s="686"/>
      <c r="U1976" s="686"/>
      <c r="V1976" s="686"/>
      <c r="W1976" s="686"/>
      <c r="X1976" s="686"/>
      <c r="Y1976" s="686"/>
      <c r="Z1976" s="686"/>
      <c r="AA1976" s="686"/>
      <c r="AB1976" s="686"/>
      <c r="AC1976" s="686"/>
      <c r="AD1976" s="686"/>
      <c r="AE1976" s="686"/>
      <c r="AF1976" s="686"/>
    </row>
    <row r="1977" ht="15.75" customHeight="1">
      <c r="A1977" s="683"/>
      <c r="B1977" s="683"/>
      <c r="C1977" s="684"/>
      <c r="D1977" s="684"/>
      <c r="E1977" s="684"/>
      <c r="F1977" s="683"/>
      <c r="G1977" s="683"/>
      <c r="H1977" s="683"/>
      <c r="I1977" s="683"/>
      <c r="J1977" s="683"/>
      <c r="K1977" s="683"/>
      <c r="L1977" s="685"/>
      <c r="M1977" s="685"/>
      <c r="N1977" s="687"/>
      <c r="O1977" s="683"/>
      <c r="P1977" s="683"/>
      <c r="Q1977" s="686"/>
      <c r="R1977" s="686"/>
      <c r="S1977" s="686"/>
      <c r="T1977" s="686"/>
      <c r="U1977" s="686"/>
      <c r="V1977" s="686"/>
      <c r="W1977" s="686"/>
      <c r="X1977" s="686"/>
      <c r="Y1977" s="686"/>
      <c r="Z1977" s="686"/>
      <c r="AA1977" s="686"/>
      <c r="AB1977" s="686"/>
      <c r="AC1977" s="686"/>
      <c r="AD1977" s="686"/>
      <c r="AE1977" s="686"/>
      <c r="AF1977" s="686"/>
    </row>
    <row r="1978" ht="15.75" customHeight="1">
      <c r="A1978" s="683"/>
      <c r="B1978" s="683"/>
      <c r="C1978" s="684"/>
      <c r="D1978" s="684"/>
      <c r="E1978" s="684"/>
      <c r="F1978" s="683"/>
      <c r="G1978" s="683"/>
      <c r="H1978" s="683"/>
      <c r="I1978" s="683"/>
      <c r="J1978" s="683"/>
      <c r="K1978" s="683"/>
      <c r="L1978" s="685"/>
      <c r="M1978" s="685"/>
      <c r="N1978" s="687"/>
      <c r="O1978" s="683"/>
      <c r="P1978" s="683"/>
      <c r="Q1978" s="686"/>
      <c r="R1978" s="686"/>
      <c r="S1978" s="686"/>
      <c r="T1978" s="686"/>
      <c r="U1978" s="686"/>
      <c r="V1978" s="686"/>
      <c r="W1978" s="686"/>
      <c r="X1978" s="686"/>
      <c r="Y1978" s="686"/>
      <c r="Z1978" s="686"/>
      <c r="AA1978" s="686"/>
      <c r="AB1978" s="686"/>
      <c r="AC1978" s="686"/>
      <c r="AD1978" s="686"/>
      <c r="AE1978" s="686"/>
      <c r="AF1978" s="686"/>
    </row>
    <row r="1979" ht="15.75" customHeight="1">
      <c r="A1979" s="683"/>
      <c r="B1979" s="683"/>
      <c r="C1979" s="684"/>
      <c r="D1979" s="684"/>
      <c r="E1979" s="684"/>
      <c r="F1979" s="683"/>
      <c r="G1979" s="683"/>
      <c r="H1979" s="683"/>
      <c r="I1979" s="683"/>
      <c r="J1979" s="683"/>
      <c r="K1979" s="683"/>
      <c r="L1979" s="685"/>
      <c r="M1979" s="685"/>
      <c r="N1979" s="687"/>
      <c r="O1979" s="683"/>
      <c r="P1979" s="683"/>
      <c r="Q1979" s="686"/>
      <c r="R1979" s="686"/>
      <c r="S1979" s="686"/>
      <c r="T1979" s="686"/>
      <c r="U1979" s="686"/>
      <c r="V1979" s="686"/>
      <c r="W1979" s="686"/>
      <c r="X1979" s="686"/>
      <c r="Y1979" s="686"/>
      <c r="Z1979" s="686"/>
      <c r="AA1979" s="686"/>
      <c r="AB1979" s="686"/>
      <c r="AC1979" s="686"/>
      <c r="AD1979" s="686"/>
      <c r="AE1979" s="686"/>
      <c r="AF1979" s="686"/>
    </row>
    <row r="1980" ht="15.75" customHeight="1">
      <c r="A1980" s="683"/>
      <c r="B1980" s="683"/>
      <c r="C1980" s="684"/>
      <c r="D1980" s="684"/>
      <c r="E1980" s="684"/>
      <c r="F1980" s="683"/>
      <c r="G1980" s="683"/>
      <c r="H1980" s="683"/>
      <c r="I1980" s="683"/>
      <c r="J1980" s="683"/>
      <c r="K1980" s="683"/>
      <c r="L1980" s="685"/>
      <c r="M1980" s="685"/>
      <c r="N1980" s="687"/>
      <c r="O1980" s="683"/>
      <c r="P1980" s="683"/>
      <c r="Q1980" s="686"/>
      <c r="R1980" s="686"/>
      <c r="S1980" s="686"/>
      <c r="T1980" s="686"/>
      <c r="U1980" s="686"/>
      <c r="V1980" s="686"/>
      <c r="W1980" s="686"/>
      <c r="X1980" s="686"/>
      <c r="Y1980" s="686"/>
      <c r="Z1980" s="686"/>
      <c r="AA1980" s="686"/>
      <c r="AB1980" s="686"/>
      <c r="AC1980" s="686"/>
      <c r="AD1980" s="686"/>
      <c r="AE1980" s="686"/>
      <c r="AF1980" s="686"/>
    </row>
    <row r="1981" ht="15.75" customHeight="1">
      <c r="A1981" s="683"/>
      <c r="B1981" s="683"/>
      <c r="C1981" s="684"/>
      <c r="D1981" s="684"/>
      <c r="E1981" s="684"/>
      <c r="F1981" s="683"/>
      <c r="G1981" s="683"/>
      <c r="H1981" s="683"/>
      <c r="I1981" s="683"/>
      <c r="J1981" s="683"/>
      <c r="K1981" s="683"/>
      <c r="L1981" s="685"/>
      <c r="M1981" s="685"/>
      <c r="N1981" s="687"/>
      <c r="O1981" s="683"/>
      <c r="P1981" s="683"/>
      <c r="Q1981" s="686"/>
      <c r="R1981" s="686"/>
      <c r="S1981" s="686"/>
      <c r="T1981" s="686"/>
      <c r="U1981" s="686"/>
      <c r="V1981" s="686"/>
      <c r="W1981" s="686"/>
      <c r="X1981" s="686"/>
      <c r="Y1981" s="686"/>
      <c r="Z1981" s="686"/>
      <c r="AA1981" s="686"/>
      <c r="AB1981" s="686"/>
      <c r="AC1981" s="686"/>
      <c r="AD1981" s="686"/>
      <c r="AE1981" s="686"/>
      <c r="AF1981" s="686"/>
    </row>
    <row r="1982" ht="15.75" customHeight="1">
      <c r="A1982" s="683"/>
      <c r="B1982" s="683"/>
      <c r="C1982" s="684"/>
      <c r="D1982" s="684"/>
      <c r="E1982" s="684"/>
      <c r="F1982" s="683"/>
      <c r="G1982" s="683"/>
      <c r="H1982" s="683"/>
      <c r="I1982" s="683"/>
      <c r="J1982" s="683"/>
      <c r="K1982" s="683"/>
      <c r="L1982" s="685"/>
      <c r="M1982" s="685"/>
      <c r="N1982" s="687"/>
      <c r="O1982" s="683"/>
      <c r="P1982" s="683"/>
      <c r="Q1982" s="686"/>
      <c r="R1982" s="686"/>
      <c r="S1982" s="686"/>
      <c r="T1982" s="686"/>
      <c r="U1982" s="686"/>
      <c r="V1982" s="686"/>
      <c r="W1982" s="686"/>
      <c r="X1982" s="686"/>
      <c r="Y1982" s="686"/>
      <c r="Z1982" s="686"/>
      <c r="AA1982" s="686"/>
      <c r="AB1982" s="686"/>
      <c r="AC1982" s="686"/>
      <c r="AD1982" s="686"/>
      <c r="AE1982" s="686"/>
      <c r="AF1982" s="686"/>
    </row>
    <row r="1983" ht="15.75" customHeight="1">
      <c r="A1983" s="683"/>
      <c r="B1983" s="683"/>
      <c r="C1983" s="684"/>
      <c r="D1983" s="684"/>
      <c r="E1983" s="684"/>
      <c r="F1983" s="683"/>
      <c r="G1983" s="683"/>
      <c r="H1983" s="683"/>
      <c r="I1983" s="683"/>
      <c r="J1983" s="683"/>
      <c r="K1983" s="683"/>
      <c r="L1983" s="685"/>
      <c r="M1983" s="685"/>
      <c r="N1983" s="687"/>
      <c r="O1983" s="683"/>
      <c r="P1983" s="683"/>
      <c r="Q1983" s="686"/>
      <c r="R1983" s="686"/>
      <c r="S1983" s="686"/>
      <c r="T1983" s="686"/>
      <c r="U1983" s="686"/>
      <c r="V1983" s="686"/>
      <c r="W1983" s="686"/>
      <c r="X1983" s="686"/>
      <c r="Y1983" s="686"/>
      <c r="Z1983" s="686"/>
      <c r="AA1983" s="686"/>
      <c r="AB1983" s="686"/>
      <c r="AC1983" s="686"/>
      <c r="AD1983" s="686"/>
      <c r="AE1983" s="686"/>
      <c r="AF1983" s="686"/>
    </row>
    <row r="1984" ht="15.75" customHeight="1">
      <c r="A1984" s="683"/>
      <c r="B1984" s="683"/>
      <c r="C1984" s="684"/>
      <c r="D1984" s="684"/>
      <c r="E1984" s="684"/>
      <c r="F1984" s="683"/>
      <c r="G1984" s="683"/>
      <c r="H1984" s="683"/>
      <c r="I1984" s="683"/>
      <c r="J1984" s="683"/>
      <c r="K1984" s="683"/>
      <c r="L1984" s="685"/>
      <c r="M1984" s="685"/>
      <c r="N1984" s="687"/>
      <c r="O1984" s="683"/>
      <c r="P1984" s="683"/>
      <c r="Q1984" s="686"/>
      <c r="R1984" s="686"/>
      <c r="S1984" s="686"/>
      <c r="T1984" s="686"/>
      <c r="U1984" s="686"/>
      <c r="V1984" s="686"/>
      <c r="W1984" s="686"/>
      <c r="X1984" s="686"/>
      <c r="Y1984" s="686"/>
      <c r="Z1984" s="686"/>
      <c r="AA1984" s="686"/>
      <c r="AB1984" s="686"/>
      <c r="AC1984" s="686"/>
      <c r="AD1984" s="686"/>
      <c r="AE1984" s="686"/>
      <c r="AF1984" s="686"/>
    </row>
    <row r="1985" ht="15.75" customHeight="1">
      <c r="A1985" s="683"/>
      <c r="B1985" s="683"/>
      <c r="C1985" s="684"/>
      <c r="D1985" s="684"/>
      <c r="E1985" s="684"/>
      <c r="F1985" s="683"/>
      <c r="G1985" s="683"/>
      <c r="H1985" s="683"/>
      <c r="I1985" s="683"/>
      <c r="J1985" s="683"/>
      <c r="K1985" s="683"/>
      <c r="L1985" s="685"/>
      <c r="M1985" s="685"/>
      <c r="N1985" s="687"/>
      <c r="O1985" s="683"/>
      <c r="P1985" s="683"/>
      <c r="Q1985" s="686"/>
      <c r="R1985" s="686"/>
      <c r="S1985" s="686"/>
      <c r="T1985" s="686"/>
      <c r="U1985" s="686"/>
      <c r="V1985" s="686"/>
      <c r="W1985" s="686"/>
      <c r="X1985" s="686"/>
      <c r="Y1985" s="686"/>
      <c r="Z1985" s="686"/>
      <c r="AA1985" s="686"/>
      <c r="AB1985" s="686"/>
      <c r="AC1985" s="686"/>
      <c r="AD1985" s="686"/>
      <c r="AE1985" s="686"/>
      <c r="AF1985" s="686"/>
    </row>
    <row r="1986" ht="15.75" customHeight="1">
      <c r="A1986" s="683"/>
      <c r="B1986" s="683"/>
      <c r="C1986" s="684"/>
      <c r="D1986" s="684"/>
      <c r="E1986" s="684"/>
      <c r="F1986" s="683"/>
      <c r="G1986" s="683"/>
      <c r="H1986" s="683"/>
      <c r="I1986" s="683"/>
      <c r="J1986" s="683"/>
      <c r="K1986" s="683"/>
      <c r="L1986" s="685"/>
      <c r="M1986" s="685"/>
      <c r="N1986" s="687"/>
      <c r="O1986" s="683"/>
      <c r="P1986" s="683"/>
      <c r="Q1986" s="686"/>
      <c r="R1986" s="686"/>
      <c r="S1986" s="686"/>
      <c r="T1986" s="686"/>
      <c r="U1986" s="686"/>
      <c r="V1986" s="686"/>
      <c r="W1986" s="686"/>
      <c r="X1986" s="686"/>
      <c r="Y1986" s="686"/>
      <c r="Z1986" s="686"/>
      <c r="AA1986" s="686"/>
      <c r="AB1986" s="686"/>
      <c r="AC1986" s="686"/>
      <c r="AD1986" s="686"/>
      <c r="AE1986" s="686"/>
      <c r="AF1986" s="686"/>
    </row>
    <row r="1987" ht="15.75" customHeight="1">
      <c r="A1987" s="683"/>
      <c r="B1987" s="683"/>
      <c r="C1987" s="684"/>
      <c r="D1987" s="684"/>
      <c r="E1987" s="684"/>
      <c r="F1987" s="683"/>
      <c r="G1987" s="683"/>
      <c r="H1987" s="683"/>
      <c r="I1987" s="683"/>
      <c r="J1987" s="683"/>
      <c r="K1987" s="683"/>
      <c r="L1987" s="685"/>
      <c r="M1987" s="685"/>
      <c r="N1987" s="687"/>
      <c r="O1987" s="683"/>
      <c r="P1987" s="683"/>
      <c r="Q1987" s="686"/>
      <c r="R1987" s="686"/>
      <c r="S1987" s="686"/>
      <c r="T1987" s="686"/>
      <c r="U1987" s="686"/>
      <c r="V1987" s="686"/>
      <c r="W1987" s="686"/>
      <c r="X1987" s="686"/>
      <c r="Y1987" s="686"/>
      <c r="Z1987" s="686"/>
      <c r="AA1987" s="686"/>
      <c r="AB1987" s="686"/>
      <c r="AC1987" s="686"/>
      <c r="AD1987" s="686"/>
      <c r="AE1987" s="686"/>
      <c r="AF1987" s="686"/>
    </row>
    <row r="1988" ht="15.75" customHeight="1">
      <c r="A1988" s="683"/>
      <c r="B1988" s="683"/>
      <c r="C1988" s="684"/>
      <c r="D1988" s="684"/>
      <c r="E1988" s="684"/>
      <c r="F1988" s="683"/>
      <c r="G1988" s="683"/>
      <c r="H1988" s="683"/>
      <c r="I1988" s="683"/>
      <c r="J1988" s="683"/>
      <c r="K1988" s="683"/>
      <c r="L1988" s="685"/>
      <c r="M1988" s="685"/>
      <c r="N1988" s="687"/>
      <c r="O1988" s="683"/>
      <c r="P1988" s="683"/>
      <c r="Q1988" s="686"/>
      <c r="R1988" s="686"/>
      <c r="S1988" s="686"/>
      <c r="T1988" s="686"/>
      <c r="U1988" s="686"/>
      <c r="V1988" s="686"/>
      <c r="W1988" s="686"/>
      <c r="X1988" s="686"/>
      <c r="Y1988" s="686"/>
      <c r="Z1988" s="686"/>
      <c r="AA1988" s="686"/>
      <c r="AB1988" s="686"/>
      <c r="AC1988" s="686"/>
      <c r="AD1988" s="686"/>
      <c r="AE1988" s="686"/>
      <c r="AF1988" s="686"/>
    </row>
    <row r="1989" ht="15.75" customHeight="1">
      <c r="A1989" s="683"/>
      <c r="B1989" s="683"/>
      <c r="C1989" s="684"/>
      <c r="D1989" s="684"/>
      <c r="E1989" s="684"/>
      <c r="F1989" s="683"/>
      <c r="G1989" s="683"/>
      <c r="H1989" s="683"/>
      <c r="I1989" s="683"/>
      <c r="J1989" s="683"/>
      <c r="K1989" s="683"/>
      <c r="L1989" s="685"/>
      <c r="M1989" s="685"/>
      <c r="N1989" s="687"/>
      <c r="O1989" s="683"/>
      <c r="P1989" s="683"/>
      <c r="Q1989" s="686"/>
      <c r="R1989" s="686"/>
      <c r="S1989" s="686"/>
      <c r="T1989" s="686"/>
      <c r="U1989" s="686"/>
      <c r="V1989" s="686"/>
      <c r="W1989" s="686"/>
      <c r="X1989" s="686"/>
      <c r="Y1989" s="686"/>
      <c r="Z1989" s="686"/>
      <c r="AA1989" s="686"/>
      <c r="AB1989" s="686"/>
      <c r="AC1989" s="686"/>
      <c r="AD1989" s="686"/>
      <c r="AE1989" s="686"/>
      <c r="AF1989" s="686"/>
    </row>
    <row r="1990" ht="15.75" customHeight="1">
      <c r="A1990" s="683"/>
      <c r="B1990" s="683"/>
      <c r="C1990" s="684"/>
      <c r="D1990" s="684"/>
      <c r="E1990" s="684"/>
      <c r="F1990" s="683"/>
      <c r="G1990" s="683"/>
      <c r="H1990" s="683"/>
      <c r="I1990" s="683"/>
      <c r="J1990" s="683"/>
      <c r="K1990" s="683"/>
      <c r="L1990" s="685"/>
      <c r="M1990" s="685"/>
      <c r="N1990" s="687"/>
      <c r="O1990" s="683"/>
      <c r="P1990" s="683"/>
      <c r="Q1990" s="686"/>
      <c r="R1990" s="686"/>
      <c r="S1990" s="686"/>
      <c r="T1990" s="686"/>
      <c r="U1990" s="686"/>
      <c r="V1990" s="686"/>
      <c r="W1990" s="686"/>
      <c r="X1990" s="686"/>
      <c r="Y1990" s="686"/>
      <c r="Z1990" s="686"/>
      <c r="AA1990" s="686"/>
      <c r="AB1990" s="686"/>
      <c r="AC1990" s="686"/>
      <c r="AD1990" s="686"/>
      <c r="AE1990" s="686"/>
      <c r="AF1990" s="686"/>
    </row>
    <row r="1991" ht="15.75" customHeight="1">
      <c r="A1991" s="683"/>
      <c r="B1991" s="683"/>
      <c r="C1991" s="684"/>
      <c r="D1991" s="684"/>
      <c r="E1991" s="684"/>
      <c r="F1991" s="683"/>
      <c r="G1991" s="683"/>
      <c r="H1991" s="683"/>
      <c r="I1991" s="683"/>
      <c r="J1991" s="683"/>
      <c r="K1991" s="683"/>
      <c r="L1991" s="685"/>
      <c r="M1991" s="685"/>
      <c r="N1991" s="687"/>
      <c r="O1991" s="683"/>
      <c r="P1991" s="683"/>
      <c r="Q1991" s="686"/>
      <c r="R1991" s="686"/>
      <c r="S1991" s="686"/>
      <c r="T1991" s="686"/>
      <c r="U1991" s="686"/>
      <c r="V1991" s="686"/>
      <c r="W1991" s="686"/>
      <c r="X1991" s="686"/>
      <c r="Y1991" s="686"/>
      <c r="Z1991" s="686"/>
      <c r="AA1991" s="686"/>
      <c r="AB1991" s="686"/>
      <c r="AC1991" s="686"/>
      <c r="AD1991" s="686"/>
      <c r="AE1991" s="686"/>
      <c r="AF1991" s="686"/>
    </row>
    <row r="1992" ht="15.75" customHeight="1">
      <c r="A1992" s="683"/>
      <c r="B1992" s="683"/>
      <c r="C1992" s="684"/>
      <c r="D1992" s="684"/>
      <c r="E1992" s="684"/>
      <c r="F1992" s="683"/>
      <c r="G1992" s="683"/>
      <c r="H1992" s="683"/>
      <c r="I1992" s="683"/>
      <c r="J1992" s="683"/>
      <c r="K1992" s="683"/>
      <c r="L1992" s="685"/>
      <c r="M1992" s="685"/>
      <c r="N1992" s="687"/>
      <c r="O1992" s="683"/>
      <c r="P1992" s="683"/>
      <c r="Q1992" s="686"/>
      <c r="R1992" s="686"/>
      <c r="S1992" s="686"/>
      <c r="T1992" s="686"/>
      <c r="U1992" s="686"/>
      <c r="V1992" s="686"/>
      <c r="W1992" s="686"/>
      <c r="X1992" s="686"/>
      <c r="Y1992" s="686"/>
      <c r="Z1992" s="686"/>
      <c r="AA1992" s="686"/>
      <c r="AB1992" s="686"/>
      <c r="AC1992" s="686"/>
      <c r="AD1992" s="686"/>
      <c r="AE1992" s="686"/>
      <c r="AF1992" s="686"/>
    </row>
    <row r="1993" ht="15.75" customHeight="1">
      <c r="A1993" s="683"/>
      <c r="B1993" s="683"/>
      <c r="C1993" s="684"/>
      <c r="D1993" s="684"/>
      <c r="E1993" s="684"/>
      <c r="F1993" s="683"/>
      <c r="G1993" s="683"/>
      <c r="H1993" s="683"/>
      <c r="I1993" s="683"/>
      <c r="J1993" s="683"/>
      <c r="K1993" s="683"/>
      <c r="L1993" s="685"/>
      <c r="M1993" s="685"/>
      <c r="N1993" s="687"/>
      <c r="O1993" s="683"/>
      <c r="P1993" s="683"/>
      <c r="Q1993" s="686"/>
      <c r="R1993" s="686"/>
      <c r="S1993" s="686"/>
      <c r="T1993" s="686"/>
      <c r="U1993" s="686"/>
      <c r="V1993" s="686"/>
      <c r="W1993" s="686"/>
      <c r="X1993" s="686"/>
      <c r="Y1993" s="686"/>
      <c r="Z1993" s="686"/>
      <c r="AA1993" s="686"/>
      <c r="AB1993" s="686"/>
      <c r="AC1993" s="686"/>
      <c r="AD1993" s="686"/>
      <c r="AE1993" s="686"/>
      <c r="AF1993" s="686"/>
    </row>
    <row r="1994" ht="15.75" customHeight="1">
      <c r="A1994" s="683"/>
      <c r="B1994" s="683"/>
      <c r="C1994" s="684"/>
      <c r="D1994" s="684"/>
      <c r="E1994" s="684"/>
      <c r="F1994" s="683"/>
      <c r="G1994" s="683"/>
      <c r="H1994" s="683"/>
      <c r="I1994" s="683"/>
      <c r="J1994" s="683"/>
      <c r="K1994" s="683"/>
      <c r="L1994" s="685"/>
      <c r="M1994" s="685"/>
      <c r="N1994" s="687"/>
      <c r="O1994" s="683"/>
      <c r="P1994" s="683"/>
      <c r="Q1994" s="686"/>
      <c r="R1994" s="686"/>
      <c r="S1994" s="686"/>
      <c r="T1994" s="686"/>
      <c r="U1994" s="686"/>
      <c r="V1994" s="686"/>
      <c r="W1994" s="686"/>
      <c r="X1994" s="686"/>
      <c r="Y1994" s="686"/>
      <c r="Z1994" s="686"/>
      <c r="AA1994" s="686"/>
      <c r="AB1994" s="686"/>
      <c r="AC1994" s="686"/>
      <c r="AD1994" s="686"/>
      <c r="AE1994" s="686"/>
      <c r="AF1994" s="686"/>
    </row>
    <row r="1995" ht="15.75" customHeight="1">
      <c r="A1995" s="683"/>
      <c r="B1995" s="683"/>
      <c r="C1995" s="684"/>
      <c r="D1995" s="684"/>
      <c r="E1995" s="684"/>
      <c r="F1995" s="683"/>
      <c r="G1995" s="683"/>
      <c r="H1995" s="683"/>
      <c r="I1995" s="683"/>
      <c r="J1995" s="683"/>
      <c r="K1995" s="683"/>
      <c r="L1995" s="685"/>
      <c r="M1995" s="685"/>
      <c r="N1995" s="687"/>
      <c r="O1995" s="683"/>
      <c r="P1995" s="683"/>
      <c r="Q1995" s="686"/>
      <c r="R1995" s="686"/>
      <c r="S1995" s="686"/>
      <c r="T1995" s="686"/>
      <c r="U1995" s="686"/>
      <c r="V1995" s="686"/>
      <c r="W1995" s="686"/>
      <c r="X1995" s="686"/>
      <c r="Y1995" s="686"/>
      <c r="Z1995" s="686"/>
      <c r="AA1995" s="686"/>
      <c r="AB1995" s="686"/>
      <c r="AC1995" s="686"/>
      <c r="AD1995" s="686"/>
      <c r="AE1995" s="686"/>
      <c r="AF1995" s="686"/>
    </row>
    <row r="1996" ht="15.75" customHeight="1">
      <c r="A1996" s="683"/>
      <c r="B1996" s="683"/>
      <c r="C1996" s="684"/>
      <c r="D1996" s="684"/>
      <c r="E1996" s="684"/>
      <c r="F1996" s="683"/>
      <c r="G1996" s="683"/>
      <c r="H1996" s="683"/>
      <c r="I1996" s="683"/>
      <c r="J1996" s="683"/>
      <c r="K1996" s="683"/>
      <c r="L1996" s="685"/>
      <c r="M1996" s="685"/>
      <c r="N1996" s="687"/>
      <c r="O1996" s="683"/>
      <c r="P1996" s="683"/>
      <c r="Q1996" s="686"/>
      <c r="R1996" s="686"/>
      <c r="S1996" s="686"/>
      <c r="T1996" s="686"/>
      <c r="U1996" s="686"/>
      <c r="V1996" s="686"/>
      <c r="W1996" s="686"/>
      <c r="X1996" s="686"/>
      <c r="Y1996" s="686"/>
      <c r="Z1996" s="686"/>
      <c r="AA1996" s="686"/>
      <c r="AB1996" s="686"/>
      <c r="AC1996" s="686"/>
      <c r="AD1996" s="686"/>
      <c r="AE1996" s="686"/>
      <c r="AF1996" s="686"/>
    </row>
    <row r="1997" ht="15.75" customHeight="1">
      <c r="A1997" s="683"/>
      <c r="B1997" s="683"/>
      <c r="C1997" s="684"/>
      <c r="D1997" s="684"/>
      <c r="E1997" s="684"/>
      <c r="F1997" s="683"/>
      <c r="G1997" s="683"/>
      <c r="H1997" s="683"/>
      <c r="I1997" s="683"/>
      <c r="J1997" s="683"/>
      <c r="K1997" s="683"/>
      <c r="L1997" s="685"/>
      <c r="M1997" s="685"/>
      <c r="N1997" s="687"/>
      <c r="O1997" s="683"/>
      <c r="P1997" s="683"/>
      <c r="Q1997" s="686"/>
      <c r="R1997" s="686"/>
      <c r="S1997" s="686"/>
      <c r="T1997" s="686"/>
      <c r="U1997" s="686"/>
      <c r="V1997" s="686"/>
      <c r="W1997" s="686"/>
      <c r="X1997" s="686"/>
      <c r="Y1997" s="686"/>
      <c r="Z1997" s="686"/>
      <c r="AA1997" s="686"/>
      <c r="AB1997" s="686"/>
      <c r="AC1997" s="686"/>
      <c r="AD1997" s="686"/>
      <c r="AE1997" s="686"/>
      <c r="AF1997" s="686"/>
    </row>
    <row r="1998" ht="15.75" customHeight="1">
      <c r="A1998" s="683"/>
      <c r="B1998" s="683"/>
      <c r="C1998" s="684"/>
      <c r="D1998" s="684"/>
      <c r="E1998" s="684"/>
      <c r="F1998" s="683"/>
      <c r="G1998" s="683"/>
      <c r="H1998" s="683"/>
      <c r="I1998" s="683"/>
      <c r="J1998" s="683"/>
      <c r="K1998" s="683"/>
      <c r="L1998" s="685"/>
      <c r="M1998" s="685"/>
      <c r="N1998" s="687"/>
      <c r="O1998" s="683"/>
      <c r="P1998" s="683"/>
      <c r="Q1998" s="686"/>
      <c r="R1998" s="686"/>
      <c r="S1998" s="686"/>
      <c r="T1998" s="686"/>
      <c r="U1998" s="686"/>
      <c r="V1998" s="686"/>
      <c r="W1998" s="686"/>
      <c r="X1998" s="686"/>
      <c r="Y1998" s="686"/>
      <c r="Z1998" s="686"/>
      <c r="AA1998" s="686"/>
      <c r="AB1998" s="686"/>
      <c r="AC1998" s="686"/>
      <c r="AD1998" s="686"/>
      <c r="AE1998" s="686"/>
      <c r="AF1998" s="686"/>
    </row>
    <row r="1999" ht="15.75" customHeight="1">
      <c r="A1999" s="683"/>
      <c r="B1999" s="683"/>
      <c r="C1999" s="684"/>
      <c r="D1999" s="684"/>
      <c r="E1999" s="684"/>
      <c r="F1999" s="683"/>
      <c r="G1999" s="683"/>
      <c r="H1999" s="683"/>
      <c r="I1999" s="683"/>
      <c r="J1999" s="683"/>
      <c r="K1999" s="683"/>
      <c r="L1999" s="685"/>
      <c r="M1999" s="685"/>
      <c r="N1999" s="687"/>
      <c r="O1999" s="683"/>
      <c r="P1999" s="683"/>
      <c r="Q1999" s="686"/>
      <c r="R1999" s="686"/>
      <c r="S1999" s="686"/>
      <c r="T1999" s="686"/>
      <c r="U1999" s="686"/>
      <c r="V1999" s="686"/>
      <c r="W1999" s="686"/>
      <c r="X1999" s="686"/>
      <c r="Y1999" s="686"/>
      <c r="Z1999" s="686"/>
      <c r="AA1999" s="686"/>
      <c r="AB1999" s="686"/>
      <c r="AC1999" s="686"/>
      <c r="AD1999" s="686"/>
      <c r="AE1999" s="686"/>
      <c r="AF1999" s="686"/>
    </row>
    <row r="2000" ht="15.75" customHeight="1">
      <c r="A2000" s="683"/>
      <c r="B2000" s="683"/>
      <c r="C2000" s="684"/>
      <c r="D2000" s="684"/>
      <c r="E2000" s="684"/>
      <c r="F2000" s="683"/>
      <c r="G2000" s="683"/>
      <c r="H2000" s="683"/>
      <c r="I2000" s="683"/>
      <c r="J2000" s="683"/>
      <c r="K2000" s="683"/>
      <c r="L2000" s="685"/>
      <c r="M2000" s="685"/>
      <c r="N2000" s="687"/>
      <c r="O2000" s="683"/>
      <c r="P2000" s="683"/>
      <c r="Q2000" s="686"/>
      <c r="R2000" s="686"/>
      <c r="S2000" s="686"/>
      <c r="T2000" s="686"/>
      <c r="U2000" s="686"/>
      <c r="V2000" s="686"/>
      <c r="W2000" s="686"/>
      <c r="X2000" s="686"/>
      <c r="Y2000" s="686"/>
      <c r="Z2000" s="686"/>
      <c r="AA2000" s="686"/>
      <c r="AB2000" s="686"/>
      <c r="AC2000" s="686"/>
      <c r="AD2000" s="686"/>
      <c r="AE2000" s="686"/>
      <c r="AF2000" s="686"/>
    </row>
    <row r="2001" ht="15.75" customHeight="1">
      <c r="A2001" s="683"/>
      <c r="B2001" s="683"/>
      <c r="C2001" s="684"/>
      <c r="D2001" s="684"/>
      <c r="E2001" s="684"/>
      <c r="F2001" s="683"/>
      <c r="G2001" s="683"/>
      <c r="H2001" s="683"/>
      <c r="I2001" s="683"/>
      <c r="J2001" s="683"/>
      <c r="K2001" s="683"/>
      <c r="L2001" s="685"/>
      <c r="M2001" s="685"/>
      <c r="N2001" s="687"/>
      <c r="O2001" s="683"/>
      <c r="P2001" s="683"/>
      <c r="Q2001" s="686"/>
      <c r="R2001" s="686"/>
      <c r="S2001" s="686"/>
      <c r="T2001" s="686"/>
      <c r="U2001" s="686"/>
      <c r="V2001" s="686"/>
      <c r="W2001" s="686"/>
      <c r="X2001" s="686"/>
      <c r="Y2001" s="686"/>
      <c r="Z2001" s="686"/>
      <c r="AA2001" s="686"/>
      <c r="AB2001" s="686"/>
      <c r="AC2001" s="686"/>
      <c r="AD2001" s="686"/>
      <c r="AE2001" s="686"/>
      <c r="AF2001" s="686"/>
    </row>
    <row r="2002" ht="15.75" customHeight="1">
      <c r="A2002" s="683"/>
      <c r="B2002" s="683"/>
      <c r="C2002" s="684"/>
      <c r="D2002" s="684"/>
      <c r="E2002" s="684"/>
      <c r="F2002" s="683"/>
      <c r="G2002" s="683"/>
      <c r="H2002" s="683"/>
      <c r="I2002" s="683"/>
      <c r="J2002" s="683"/>
      <c r="K2002" s="683"/>
      <c r="L2002" s="685"/>
      <c r="M2002" s="685"/>
      <c r="N2002" s="687"/>
      <c r="O2002" s="683"/>
      <c r="P2002" s="683"/>
      <c r="Q2002" s="686"/>
      <c r="R2002" s="686"/>
      <c r="S2002" s="686"/>
      <c r="T2002" s="686"/>
      <c r="U2002" s="686"/>
      <c r="V2002" s="686"/>
      <c r="W2002" s="686"/>
      <c r="X2002" s="686"/>
      <c r="Y2002" s="686"/>
      <c r="Z2002" s="686"/>
      <c r="AA2002" s="686"/>
      <c r="AB2002" s="686"/>
      <c r="AC2002" s="686"/>
      <c r="AD2002" s="686"/>
      <c r="AE2002" s="686"/>
      <c r="AF2002" s="686"/>
    </row>
    <row r="2003" ht="15.75" customHeight="1">
      <c r="A2003" s="683"/>
      <c r="B2003" s="683"/>
      <c r="C2003" s="684"/>
      <c r="D2003" s="684"/>
      <c r="E2003" s="684"/>
      <c r="F2003" s="683"/>
      <c r="G2003" s="683"/>
      <c r="H2003" s="683"/>
      <c r="I2003" s="683"/>
      <c r="J2003" s="683"/>
      <c r="K2003" s="683"/>
      <c r="L2003" s="685"/>
      <c r="M2003" s="685"/>
      <c r="N2003" s="687"/>
      <c r="O2003" s="683"/>
      <c r="P2003" s="683"/>
      <c r="Q2003" s="686"/>
      <c r="R2003" s="686"/>
      <c r="S2003" s="686"/>
      <c r="T2003" s="686"/>
      <c r="U2003" s="686"/>
      <c r="V2003" s="686"/>
      <c r="W2003" s="686"/>
      <c r="X2003" s="686"/>
      <c r="Y2003" s="686"/>
      <c r="Z2003" s="686"/>
      <c r="AA2003" s="686"/>
      <c r="AB2003" s="686"/>
      <c r="AC2003" s="686"/>
      <c r="AD2003" s="686"/>
      <c r="AE2003" s="686"/>
      <c r="AF2003" s="686"/>
    </row>
    <row r="2004" ht="15.75" customHeight="1">
      <c r="A2004" s="683"/>
      <c r="B2004" s="683"/>
      <c r="C2004" s="684"/>
      <c r="D2004" s="684"/>
      <c r="E2004" s="684"/>
      <c r="F2004" s="683"/>
      <c r="G2004" s="683"/>
      <c r="H2004" s="683"/>
      <c r="I2004" s="683"/>
      <c r="J2004" s="683"/>
      <c r="K2004" s="683"/>
      <c r="L2004" s="685"/>
      <c r="M2004" s="685"/>
      <c r="N2004" s="687"/>
      <c r="O2004" s="683"/>
      <c r="P2004" s="683"/>
      <c r="Q2004" s="686"/>
      <c r="R2004" s="686"/>
      <c r="S2004" s="686"/>
      <c r="T2004" s="686"/>
      <c r="U2004" s="686"/>
      <c r="V2004" s="686"/>
      <c r="W2004" s="686"/>
      <c r="X2004" s="686"/>
      <c r="Y2004" s="686"/>
      <c r="Z2004" s="686"/>
      <c r="AA2004" s="686"/>
      <c r="AB2004" s="686"/>
      <c r="AC2004" s="686"/>
      <c r="AD2004" s="686"/>
      <c r="AE2004" s="686"/>
      <c r="AF2004" s="686"/>
    </row>
    <row r="2005" ht="15.75" customHeight="1">
      <c r="A2005" s="683"/>
      <c r="B2005" s="683"/>
      <c r="C2005" s="684"/>
      <c r="D2005" s="684"/>
      <c r="E2005" s="684"/>
      <c r="F2005" s="683"/>
      <c r="G2005" s="683"/>
      <c r="H2005" s="683"/>
      <c r="I2005" s="683"/>
      <c r="J2005" s="683"/>
      <c r="K2005" s="683"/>
      <c r="L2005" s="685"/>
      <c r="M2005" s="685"/>
      <c r="N2005" s="687"/>
      <c r="O2005" s="683"/>
      <c r="P2005" s="683"/>
      <c r="Q2005" s="686"/>
      <c r="R2005" s="686"/>
      <c r="S2005" s="686"/>
      <c r="T2005" s="686"/>
      <c r="U2005" s="686"/>
      <c r="V2005" s="686"/>
      <c r="W2005" s="686"/>
      <c r="X2005" s="686"/>
      <c r="Y2005" s="686"/>
      <c r="Z2005" s="686"/>
      <c r="AA2005" s="686"/>
      <c r="AB2005" s="686"/>
      <c r="AC2005" s="686"/>
      <c r="AD2005" s="686"/>
      <c r="AE2005" s="686"/>
      <c r="AF2005" s="686"/>
    </row>
    <row r="2006" ht="15.75" customHeight="1">
      <c r="A2006" s="683"/>
      <c r="B2006" s="683"/>
      <c r="C2006" s="684"/>
      <c r="D2006" s="684"/>
      <c r="E2006" s="684"/>
      <c r="F2006" s="683"/>
      <c r="G2006" s="683"/>
      <c r="H2006" s="683"/>
      <c r="I2006" s="683"/>
      <c r="J2006" s="683"/>
      <c r="K2006" s="683"/>
      <c r="L2006" s="685"/>
      <c r="M2006" s="685"/>
      <c r="N2006" s="687"/>
      <c r="O2006" s="683"/>
      <c r="P2006" s="683"/>
      <c r="Q2006" s="686"/>
      <c r="R2006" s="686"/>
      <c r="S2006" s="686"/>
      <c r="T2006" s="686"/>
      <c r="U2006" s="686"/>
      <c r="V2006" s="686"/>
      <c r="W2006" s="686"/>
      <c r="X2006" s="686"/>
      <c r="Y2006" s="686"/>
      <c r="Z2006" s="686"/>
      <c r="AA2006" s="686"/>
      <c r="AB2006" s="686"/>
      <c r="AC2006" s="686"/>
      <c r="AD2006" s="686"/>
      <c r="AE2006" s="686"/>
      <c r="AF2006" s="686"/>
    </row>
    <row r="2007" ht="15.75" customHeight="1">
      <c r="A2007" s="683"/>
      <c r="B2007" s="683"/>
      <c r="C2007" s="684"/>
      <c r="D2007" s="684"/>
      <c r="E2007" s="684"/>
      <c r="F2007" s="683"/>
      <c r="G2007" s="683"/>
      <c r="H2007" s="683"/>
      <c r="I2007" s="683"/>
      <c r="J2007" s="683"/>
      <c r="K2007" s="683"/>
      <c r="L2007" s="685"/>
      <c r="M2007" s="685"/>
      <c r="N2007" s="687"/>
      <c r="O2007" s="683"/>
      <c r="P2007" s="683"/>
      <c r="Q2007" s="686"/>
      <c r="R2007" s="686"/>
      <c r="S2007" s="686"/>
      <c r="T2007" s="686"/>
      <c r="U2007" s="686"/>
      <c r="V2007" s="686"/>
      <c r="W2007" s="686"/>
      <c r="X2007" s="686"/>
      <c r="Y2007" s="686"/>
      <c r="Z2007" s="686"/>
      <c r="AA2007" s="686"/>
      <c r="AB2007" s="686"/>
      <c r="AC2007" s="686"/>
      <c r="AD2007" s="686"/>
      <c r="AE2007" s="686"/>
      <c r="AF2007" s="686"/>
    </row>
    <row r="2008" ht="15.75" customHeight="1">
      <c r="A2008" s="683"/>
      <c r="B2008" s="683"/>
      <c r="C2008" s="684"/>
      <c r="D2008" s="684"/>
      <c r="E2008" s="684"/>
      <c r="F2008" s="683"/>
      <c r="G2008" s="683"/>
      <c r="H2008" s="683"/>
      <c r="I2008" s="683"/>
      <c r="J2008" s="683"/>
      <c r="K2008" s="683"/>
      <c r="L2008" s="685"/>
      <c r="M2008" s="685"/>
      <c r="N2008" s="687"/>
      <c r="O2008" s="683"/>
      <c r="P2008" s="683"/>
      <c r="Q2008" s="686"/>
      <c r="R2008" s="686"/>
      <c r="S2008" s="686"/>
      <c r="T2008" s="686"/>
      <c r="U2008" s="686"/>
      <c r="V2008" s="686"/>
      <c r="W2008" s="686"/>
      <c r="X2008" s="686"/>
      <c r="Y2008" s="686"/>
      <c r="Z2008" s="686"/>
      <c r="AA2008" s="686"/>
      <c r="AB2008" s="686"/>
      <c r="AC2008" s="686"/>
      <c r="AD2008" s="686"/>
      <c r="AE2008" s="686"/>
      <c r="AF2008" s="686"/>
    </row>
    <row r="2009" ht="15.75" customHeight="1">
      <c r="A2009" s="683"/>
      <c r="B2009" s="683"/>
      <c r="C2009" s="684"/>
      <c r="D2009" s="684"/>
      <c r="E2009" s="684"/>
      <c r="F2009" s="683"/>
      <c r="G2009" s="683"/>
      <c r="H2009" s="683"/>
      <c r="I2009" s="683"/>
      <c r="J2009" s="683"/>
      <c r="K2009" s="683"/>
      <c r="L2009" s="685"/>
      <c r="M2009" s="685"/>
      <c r="N2009" s="687"/>
      <c r="O2009" s="683"/>
      <c r="P2009" s="683"/>
      <c r="Q2009" s="686"/>
      <c r="R2009" s="686"/>
      <c r="S2009" s="686"/>
      <c r="T2009" s="686"/>
      <c r="U2009" s="686"/>
      <c r="V2009" s="686"/>
      <c r="W2009" s="686"/>
      <c r="X2009" s="686"/>
      <c r="Y2009" s="686"/>
      <c r="Z2009" s="686"/>
      <c r="AA2009" s="686"/>
      <c r="AB2009" s="686"/>
      <c r="AC2009" s="686"/>
      <c r="AD2009" s="686"/>
      <c r="AE2009" s="686"/>
      <c r="AF2009" s="686"/>
    </row>
    <row r="2010" ht="15.75" customHeight="1">
      <c r="A2010" s="683"/>
      <c r="B2010" s="683"/>
      <c r="C2010" s="684"/>
      <c r="D2010" s="684"/>
      <c r="E2010" s="684"/>
      <c r="F2010" s="683"/>
      <c r="G2010" s="683"/>
      <c r="H2010" s="683"/>
      <c r="I2010" s="683"/>
      <c r="J2010" s="683"/>
      <c r="K2010" s="683"/>
      <c r="L2010" s="685"/>
      <c r="M2010" s="685"/>
      <c r="N2010" s="687"/>
      <c r="O2010" s="683"/>
      <c r="P2010" s="683"/>
      <c r="Q2010" s="686"/>
      <c r="R2010" s="686"/>
      <c r="S2010" s="686"/>
      <c r="T2010" s="686"/>
      <c r="U2010" s="686"/>
      <c r="V2010" s="686"/>
      <c r="W2010" s="686"/>
      <c r="X2010" s="686"/>
      <c r="Y2010" s="686"/>
      <c r="Z2010" s="686"/>
      <c r="AA2010" s="686"/>
      <c r="AB2010" s="686"/>
      <c r="AC2010" s="686"/>
      <c r="AD2010" s="686"/>
      <c r="AE2010" s="686"/>
      <c r="AF2010" s="686"/>
    </row>
    <row r="2011" ht="15.75" customHeight="1">
      <c r="A2011" s="683"/>
      <c r="B2011" s="683"/>
      <c r="C2011" s="684"/>
      <c r="D2011" s="684"/>
      <c r="E2011" s="684"/>
      <c r="F2011" s="683"/>
      <c r="G2011" s="683"/>
      <c r="H2011" s="683"/>
      <c r="I2011" s="683"/>
      <c r="J2011" s="683"/>
      <c r="K2011" s="683"/>
      <c r="L2011" s="685"/>
      <c r="M2011" s="685"/>
      <c r="N2011" s="687"/>
      <c r="O2011" s="683"/>
      <c r="P2011" s="683"/>
      <c r="Q2011" s="686"/>
      <c r="R2011" s="686"/>
      <c r="S2011" s="686"/>
      <c r="T2011" s="686"/>
      <c r="U2011" s="686"/>
      <c r="V2011" s="686"/>
      <c r="W2011" s="686"/>
      <c r="X2011" s="686"/>
      <c r="Y2011" s="686"/>
      <c r="Z2011" s="686"/>
      <c r="AA2011" s="686"/>
      <c r="AB2011" s="686"/>
      <c r="AC2011" s="686"/>
      <c r="AD2011" s="686"/>
      <c r="AE2011" s="686"/>
      <c r="AF2011" s="686"/>
    </row>
    <row r="2012" ht="15.75" customHeight="1">
      <c r="A2012" s="683"/>
      <c r="B2012" s="683"/>
      <c r="C2012" s="684"/>
      <c r="D2012" s="684"/>
      <c r="E2012" s="684"/>
      <c r="F2012" s="683"/>
      <c r="G2012" s="683"/>
      <c r="H2012" s="683"/>
      <c r="I2012" s="683"/>
      <c r="J2012" s="683"/>
      <c r="K2012" s="683"/>
      <c r="L2012" s="685"/>
      <c r="M2012" s="685"/>
      <c r="N2012" s="687"/>
      <c r="O2012" s="683"/>
      <c r="P2012" s="683"/>
      <c r="Q2012" s="686"/>
      <c r="R2012" s="686"/>
      <c r="S2012" s="686"/>
      <c r="T2012" s="686"/>
      <c r="U2012" s="686"/>
      <c r="V2012" s="686"/>
      <c r="W2012" s="686"/>
      <c r="X2012" s="686"/>
      <c r="Y2012" s="686"/>
      <c r="Z2012" s="686"/>
      <c r="AA2012" s="686"/>
      <c r="AB2012" s="686"/>
      <c r="AC2012" s="686"/>
      <c r="AD2012" s="686"/>
      <c r="AE2012" s="686"/>
      <c r="AF2012" s="686"/>
    </row>
    <row r="2013" ht="15.75" customHeight="1">
      <c r="A2013" s="683"/>
      <c r="B2013" s="683"/>
      <c r="C2013" s="684"/>
      <c r="D2013" s="684"/>
      <c r="E2013" s="684"/>
      <c r="F2013" s="683"/>
      <c r="G2013" s="683"/>
      <c r="H2013" s="683"/>
      <c r="I2013" s="683"/>
      <c r="J2013" s="683"/>
      <c r="K2013" s="683"/>
      <c r="L2013" s="685"/>
      <c r="M2013" s="685"/>
      <c r="N2013" s="687"/>
      <c r="O2013" s="683"/>
      <c r="P2013" s="683"/>
      <c r="Q2013" s="686"/>
      <c r="R2013" s="686"/>
      <c r="S2013" s="686"/>
      <c r="T2013" s="686"/>
      <c r="U2013" s="686"/>
      <c r="V2013" s="686"/>
      <c r="W2013" s="686"/>
      <c r="X2013" s="686"/>
      <c r="Y2013" s="686"/>
      <c r="Z2013" s="686"/>
      <c r="AA2013" s="686"/>
      <c r="AB2013" s="686"/>
      <c r="AC2013" s="686"/>
      <c r="AD2013" s="686"/>
      <c r="AE2013" s="686"/>
      <c r="AF2013" s="686"/>
    </row>
    <row r="2014" ht="15.75" customHeight="1">
      <c r="A2014" s="683"/>
      <c r="B2014" s="683"/>
      <c r="C2014" s="684"/>
      <c r="D2014" s="684"/>
      <c r="E2014" s="684"/>
      <c r="F2014" s="683"/>
      <c r="G2014" s="683"/>
      <c r="H2014" s="683"/>
      <c r="I2014" s="683"/>
      <c r="J2014" s="683"/>
      <c r="K2014" s="683"/>
      <c r="L2014" s="685"/>
      <c r="M2014" s="685"/>
      <c r="N2014" s="687"/>
      <c r="O2014" s="683"/>
      <c r="P2014" s="683"/>
      <c r="Q2014" s="686"/>
      <c r="R2014" s="686"/>
      <c r="S2014" s="686"/>
      <c r="T2014" s="686"/>
      <c r="U2014" s="686"/>
      <c r="V2014" s="686"/>
      <c r="W2014" s="686"/>
      <c r="X2014" s="686"/>
      <c r="Y2014" s="686"/>
      <c r="Z2014" s="686"/>
      <c r="AA2014" s="686"/>
      <c r="AB2014" s="686"/>
      <c r="AC2014" s="686"/>
      <c r="AD2014" s="686"/>
      <c r="AE2014" s="686"/>
      <c r="AF2014" s="686"/>
    </row>
    <row r="2015" ht="15.75" customHeight="1">
      <c r="A2015" s="683"/>
      <c r="B2015" s="683"/>
      <c r="C2015" s="684"/>
      <c r="D2015" s="684"/>
      <c r="E2015" s="684"/>
      <c r="F2015" s="683"/>
      <c r="G2015" s="683"/>
      <c r="H2015" s="683"/>
      <c r="I2015" s="683"/>
      <c r="J2015" s="683"/>
      <c r="K2015" s="683"/>
      <c r="L2015" s="685"/>
      <c r="M2015" s="685"/>
      <c r="N2015" s="687"/>
      <c r="O2015" s="683"/>
      <c r="P2015" s="683"/>
      <c r="Q2015" s="686"/>
      <c r="R2015" s="686"/>
      <c r="S2015" s="686"/>
      <c r="T2015" s="686"/>
      <c r="U2015" s="686"/>
      <c r="V2015" s="686"/>
      <c r="W2015" s="686"/>
      <c r="X2015" s="686"/>
      <c r="Y2015" s="686"/>
      <c r="Z2015" s="686"/>
      <c r="AA2015" s="686"/>
      <c r="AB2015" s="686"/>
      <c r="AC2015" s="686"/>
      <c r="AD2015" s="686"/>
      <c r="AE2015" s="686"/>
      <c r="AF2015" s="686"/>
    </row>
    <row r="2016" ht="15.75" customHeight="1">
      <c r="A2016" s="683"/>
      <c r="B2016" s="683"/>
      <c r="C2016" s="684"/>
      <c r="D2016" s="684"/>
      <c r="E2016" s="684"/>
      <c r="F2016" s="683"/>
      <c r="G2016" s="683"/>
      <c r="H2016" s="683"/>
      <c r="I2016" s="683"/>
      <c r="J2016" s="683"/>
      <c r="K2016" s="683"/>
      <c r="L2016" s="685"/>
      <c r="M2016" s="685"/>
      <c r="N2016" s="687"/>
      <c r="O2016" s="683"/>
      <c r="P2016" s="683"/>
      <c r="Q2016" s="686"/>
      <c r="R2016" s="686"/>
      <c r="S2016" s="686"/>
      <c r="T2016" s="686"/>
      <c r="U2016" s="686"/>
      <c r="V2016" s="686"/>
      <c r="W2016" s="686"/>
      <c r="X2016" s="686"/>
      <c r="Y2016" s="686"/>
      <c r="Z2016" s="686"/>
      <c r="AA2016" s="686"/>
      <c r="AB2016" s="686"/>
      <c r="AC2016" s="686"/>
      <c r="AD2016" s="686"/>
      <c r="AE2016" s="686"/>
      <c r="AF2016" s="686"/>
    </row>
    <row r="2017" ht="15.75" customHeight="1">
      <c r="A2017" s="683"/>
      <c r="B2017" s="683"/>
      <c r="C2017" s="684"/>
      <c r="D2017" s="684"/>
      <c r="E2017" s="684"/>
      <c r="F2017" s="683"/>
      <c r="G2017" s="683"/>
      <c r="H2017" s="683"/>
      <c r="I2017" s="683"/>
      <c r="J2017" s="683"/>
      <c r="K2017" s="683"/>
      <c r="L2017" s="685"/>
      <c r="M2017" s="685"/>
      <c r="N2017" s="687"/>
      <c r="O2017" s="683"/>
      <c r="P2017" s="683"/>
      <c r="Q2017" s="686"/>
      <c r="R2017" s="686"/>
      <c r="S2017" s="686"/>
      <c r="T2017" s="686"/>
      <c r="U2017" s="686"/>
      <c r="V2017" s="686"/>
      <c r="W2017" s="686"/>
      <c r="X2017" s="686"/>
      <c r="Y2017" s="686"/>
      <c r="Z2017" s="686"/>
      <c r="AA2017" s="686"/>
      <c r="AB2017" s="686"/>
      <c r="AC2017" s="686"/>
      <c r="AD2017" s="686"/>
      <c r="AE2017" s="686"/>
      <c r="AF2017" s="686"/>
    </row>
    <row r="2018" ht="15.75" customHeight="1">
      <c r="A2018" s="683"/>
      <c r="B2018" s="683"/>
      <c r="C2018" s="684"/>
      <c r="D2018" s="684"/>
      <c r="E2018" s="684"/>
      <c r="F2018" s="683"/>
      <c r="G2018" s="683"/>
      <c r="H2018" s="683"/>
      <c r="I2018" s="683"/>
      <c r="J2018" s="683"/>
      <c r="K2018" s="683"/>
      <c r="L2018" s="685"/>
      <c r="M2018" s="685"/>
      <c r="N2018" s="687"/>
      <c r="O2018" s="683"/>
      <c r="P2018" s="683"/>
      <c r="Q2018" s="686"/>
      <c r="R2018" s="686"/>
      <c r="S2018" s="686"/>
      <c r="T2018" s="686"/>
      <c r="U2018" s="686"/>
      <c r="V2018" s="686"/>
      <c r="W2018" s="686"/>
      <c r="X2018" s="686"/>
      <c r="Y2018" s="686"/>
      <c r="Z2018" s="686"/>
      <c r="AA2018" s="686"/>
      <c r="AB2018" s="686"/>
      <c r="AC2018" s="686"/>
      <c r="AD2018" s="686"/>
      <c r="AE2018" s="686"/>
      <c r="AF2018" s="686"/>
    </row>
    <row r="2019" ht="15.75" customHeight="1">
      <c r="A2019" s="683"/>
      <c r="B2019" s="683"/>
      <c r="C2019" s="684"/>
      <c r="D2019" s="684"/>
      <c r="E2019" s="684"/>
      <c r="F2019" s="683"/>
      <c r="G2019" s="683"/>
      <c r="H2019" s="683"/>
      <c r="I2019" s="683"/>
      <c r="J2019" s="683"/>
      <c r="K2019" s="683"/>
      <c r="L2019" s="685"/>
      <c r="M2019" s="685"/>
      <c r="N2019" s="687"/>
      <c r="O2019" s="683"/>
      <c r="P2019" s="683"/>
      <c r="Q2019" s="686"/>
      <c r="R2019" s="686"/>
      <c r="S2019" s="686"/>
      <c r="T2019" s="686"/>
      <c r="U2019" s="686"/>
      <c r="V2019" s="686"/>
      <c r="W2019" s="686"/>
      <c r="X2019" s="686"/>
      <c r="Y2019" s="686"/>
      <c r="Z2019" s="686"/>
      <c r="AA2019" s="686"/>
      <c r="AB2019" s="686"/>
      <c r="AC2019" s="686"/>
      <c r="AD2019" s="686"/>
      <c r="AE2019" s="686"/>
      <c r="AF2019" s="686"/>
    </row>
    <row r="2020" ht="15.75" customHeight="1">
      <c r="A2020" s="683"/>
      <c r="B2020" s="683"/>
      <c r="C2020" s="684"/>
      <c r="D2020" s="684"/>
      <c r="E2020" s="684"/>
      <c r="F2020" s="683"/>
      <c r="G2020" s="683"/>
      <c r="H2020" s="683"/>
      <c r="I2020" s="683"/>
      <c r="J2020" s="683"/>
      <c r="K2020" s="683"/>
      <c r="L2020" s="685"/>
      <c r="M2020" s="685"/>
      <c r="N2020" s="687"/>
      <c r="O2020" s="683"/>
      <c r="P2020" s="685"/>
      <c r="Q2020" s="686"/>
      <c r="R2020" s="686"/>
      <c r="S2020" s="686"/>
      <c r="T2020" s="686"/>
      <c r="U2020" s="686"/>
      <c r="V2020" s="686"/>
      <c r="W2020" s="686"/>
      <c r="X2020" s="686"/>
      <c r="Y2020" s="686"/>
      <c r="Z2020" s="686"/>
      <c r="AA2020" s="686"/>
      <c r="AB2020" s="686"/>
      <c r="AC2020" s="686"/>
      <c r="AD2020" s="686"/>
      <c r="AE2020" s="686"/>
      <c r="AF2020" s="686"/>
    </row>
    <row r="2021" ht="15.75" customHeight="1">
      <c r="A2021" s="683"/>
      <c r="B2021" s="683"/>
      <c r="C2021" s="684"/>
      <c r="D2021" s="684"/>
      <c r="E2021" s="684"/>
      <c r="F2021" s="683"/>
      <c r="G2021" s="683"/>
      <c r="H2021" s="683"/>
      <c r="I2021" s="683"/>
      <c r="J2021" s="683"/>
      <c r="K2021" s="683"/>
      <c r="L2021" s="685"/>
      <c r="M2021" s="685"/>
      <c r="N2021" s="687"/>
      <c r="O2021" s="683"/>
      <c r="P2021" s="683"/>
      <c r="Q2021" s="686"/>
      <c r="R2021" s="686"/>
      <c r="S2021" s="686"/>
      <c r="T2021" s="686"/>
      <c r="U2021" s="686"/>
      <c r="V2021" s="686"/>
      <c r="W2021" s="686"/>
      <c r="X2021" s="686"/>
      <c r="Y2021" s="686"/>
      <c r="Z2021" s="686"/>
      <c r="AA2021" s="686"/>
      <c r="AB2021" s="686"/>
      <c r="AC2021" s="686"/>
      <c r="AD2021" s="686"/>
      <c r="AE2021" s="686"/>
      <c r="AF2021" s="686"/>
    </row>
    <row r="2022" ht="15.75" customHeight="1">
      <c r="A2022" s="683"/>
      <c r="B2022" s="683"/>
      <c r="C2022" s="684"/>
      <c r="D2022" s="684"/>
      <c r="E2022" s="684"/>
      <c r="F2022" s="683"/>
      <c r="G2022" s="683"/>
      <c r="H2022" s="683"/>
      <c r="I2022" s="683"/>
      <c r="J2022" s="683"/>
      <c r="K2022" s="683"/>
      <c r="L2022" s="685"/>
      <c r="M2022" s="685"/>
      <c r="N2022" s="687"/>
      <c r="O2022" s="683"/>
      <c r="P2022" s="683"/>
      <c r="Q2022" s="686"/>
      <c r="R2022" s="686"/>
      <c r="S2022" s="686"/>
      <c r="T2022" s="686"/>
      <c r="U2022" s="686"/>
      <c r="V2022" s="686"/>
      <c r="W2022" s="686"/>
      <c r="X2022" s="686"/>
      <c r="Y2022" s="686"/>
      <c r="Z2022" s="686"/>
      <c r="AA2022" s="686"/>
      <c r="AB2022" s="686"/>
      <c r="AC2022" s="686"/>
      <c r="AD2022" s="686"/>
      <c r="AE2022" s="686"/>
      <c r="AF2022" s="686"/>
    </row>
    <row r="2023" ht="15.75" customHeight="1">
      <c r="A2023" s="683"/>
      <c r="B2023" s="683"/>
      <c r="C2023" s="684"/>
      <c r="D2023" s="684"/>
      <c r="E2023" s="684"/>
      <c r="F2023" s="683"/>
      <c r="G2023" s="683"/>
      <c r="H2023" s="683"/>
      <c r="I2023" s="683"/>
      <c r="J2023" s="683"/>
      <c r="K2023" s="683"/>
      <c r="L2023" s="685"/>
      <c r="M2023" s="685"/>
      <c r="N2023" s="687"/>
      <c r="O2023" s="683"/>
      <c r="P2023" s="683"/>
      <c r="Q2023" s="686"/>
      <c r="R2023" s="686"/>
      <c r="S2023" s="686"/>
      <c r="T2023" s="686"/>
      <c r="U2023" s="686"/>
      <c r="V2023" s="686"/>
      <c r="W2023" s="686"/>
      <c r="X2023" s="686"/>
      <c r="Y2023" s="686"/>
      <c r="Z2023" s="686"/>
      <c r="AA2023" s="686"/>
      <c r="AB2023" s="686"/>
      <c r="AC2023" s="686"/>
      <c r="AD2023" s="686"/>
      <c r="AE2023" s="686"/>
      <c r="AF2023" s="686"/>
    </row>
    <row r="2024" ht="15.75" customHeight="1">
      <c r="A2024" s="683"/>
      <c r="B2024" s="683"/>
      <c r="C2024" s="684"/>
      <c r="D2024" s="684"/>
      <c r="E2024" s="684"/>
      <c r="F2024" s="683"/>
      <c r="G2024" s="683"/>
      <c r="H2024" s="683"/>
      <c r="I2024" s="683"/>
      <c r="J2024" s="683"/>
      <c r="K2024" s="683"/>
      <c r="L2024" s="685"/>
      <c r="M2024" s="685"/>
      <c r="N2024" s="687"/>
      <c r="O2024" s="683"/>
      <c r="P2024" s="683"/>
      <c r="Q2024" s="686"/>
      <c r="R2024" s="686"/>
      <c r="S2024" s="686"/>
      <c r="T2024" s="686"/>
      <c r="U2024" s="686"/>
      <c r="V2024" s="686"/>
      <c r="W2024" s="686"/>
      <c r="X2024" s="686"/>
      <c r="Y2024" s="686"/>
      <c r="Z2024" s="686"/>
      <c r="AA2024" s="686"/>
      <c r="AB2024" s="686"/>
      <c r="AC2024" s="686"/>
      <c r="AD2024" s="686"/>
      <c r="AE2024" s="686"/>
      <c r="AF2024" s="686"/>
    </row>
    <row r="2025" ht="15.75" customHeight="1">
      <c r="A2025" s="683"/>
      <c r="B2025" s="683"/>
      <c r="C2025" s="684"/>
      <c r="D2025" s="684"/>
      <c r="E2025" s="684"/>
      <c r="F2025" s="683"/>
      <c r="G2025" s="683"/>
      <c r="H2025" s="683"/>
      <c r="I2025" s="683"/>
      <c r="J2025" s="683"/>
      <c r="K2025" s="683"/>
      <c r="L2025" s="685"/>
      <c r="M2025" s="685"/>
      <c r="N2025" s="687"/>
      <c r="O2025" s="683"/>
      <c r="P2025" s="683"/>
      <c r="Q2025" s="686"/>
      <c r="R2025" s="686"/>
      <c r="S2025" s="686"/>
      <c r="T2025" s="686"/>
      <c r="U2025" s="686"/>
      <c r="V2025" s="686"/>
      <c r="W2025" s="686"/>
      <c r="X2025" s="686"/>
      <c r="Y2025" s="686"/>
      <c r="Z2025" s="686"/>
      <c r="AA2025" s="686"/>
      <c r="AB2025" s="686"/>
      <c r="AC2025" s="686"/>
      <c r="AD2025" s="686"/>
      <c r="AE2025" s="686"/>
      <c r="AF2025" s="686"/>
    </row>
    <row r="2026" ht="15.75" customHeight="1">
      <c r="A2026" s="683"/>
      <c r="B2026" s="683"/>
      <c r="C2026" s="684"/>
      <c r="D2026" s="684"/>
      <c r="E2026" s="684"/>
      <c r="F2026" s="683"/>
      <c r="G2026" s="683"/>
      <c r="H2026" s="683"/>
      <c r="I2026" s="683"/>
      <c r="J2026" s="683"/>
      <c r="K2026" s="683"/>
      <c r="L2026" s="685"/>
      <c r="M2026" s="685"/>
      <c r="N2026" s="687"/>
      <c r="O2026" s="683"/>
      <c r="P2026" s="685"/>
      <c r="Q2026" s="686"/>
      <c r="R2026" s="686"/>
      <c r="S2026" s="686"/>
      <c r="T2026" s="686"/>
      <c r="U2026" s="686"/>
      <c r="V2026" s="686"/>
      <c r="W2026" s="686"/>
      <c r="X2026" s="686"/>
      <c r="Y2026" s="686"/>
      <c r="Z2026" s="686"/>
      <c r="AA2026" s="686"/>
      <c r="AB2026" s="686"/>
      <c r="AC2026" s="686"/>
      <c r="AD2026" s="686"/>
      <c r="AE2026" s="686"/>
      <c r="AF2026" s="686"/>
    </row>
    <row r="2027" ht="15.75" customHeight="1">
      <c r="A2027" s="683"/>
      <c r="B2027" s="683"/>
      <c r="C2027" s="684"/>
      <c r="D2027" s="684"/>
      <c r="E2027" s="684"/>
      <c r="F2027" s="683"/>
      <c r="G2027" s="683"/>
      <c r="H2027" s="683"/>
      <c r="I2027" s="683"/>
      <c r="J2027" s="683"/>
      <c r="K2027" s="683"/>
      <c r="L2027" s="685"/>
      <c r="M2027" s="685"/>
      <c r="N2027" s="687"/>
      <c r="O2027" s="683"/>
      <c r="P2027" s="683"/>
      <c r="Q2027" s="686"/>
      <c r="R2027" s="686"/>
      <c r="S2027" s="686"/>
      <c r="T2027" s="686"/>
      <c r="U2027" s="686"/>
      <c r="V2027" s="686"/>
      <c r="W2027" s="686"/>
      <c r="X2027" s="686"/>
      <c r="Y2027" s="686"/>
      <c r="Z2027" s="686"/>
      <c r="AA2027" s="686"/>
      <c r="AB2027" s="686"/>
      <c r="AC2027" s="686"/>
      <c r="AD2027" s="686"/>
      <c r="AE2027" s="686"/>
      <c r="AF2027" s="686"/>
    </row>
    <row r="2028" ht="15.75" customHeight="1">
      <c r="A2028" s="683"/>
      <c r="B2028" s="683"/>
      <c r="C2028" s="684"/>
      <c r="D2028" s="684"/>
      <c r="E2028" s="684"/>
      <c r="F2028" s="683"/>
      <c r="G2028" s="683"/>
      <c r="H2028" s="683"/>
      <c r="I2028" s="683"/>
      <c r="J2028" s="683"/>
      <c r="K2028" s="683"/>
      <c r="L2028" s="685"/>
      <c r="M2028" s="685"/>
      <c r="N2028" s="687"/>
      <c r="O2028" s="683"/>
      <c r="P2028" s="683"/>
      <c r="Q2028" s="686"/>
      <c r="R2028" s="686"/>
      <c r="S2028" s="686"/>
      <c r="T2028" s="686"/>
      <c r="U2028" s="686"/>
      <c r="V2028" s="686"/>
      <c r="W2028" s="686"/>
      <c r="X2028" s="686"/>
      <c r="Y2028" s="686"/>
      <c r="Z2028" s="686"/>
      <c r="AA2028" s="686"/>
      <c r="AB2028" s="686"/>
      <c r="AC2028" s="686"/>
      <c r="AD2028" s="686"/>
      <c r="AE2028" s="686"/>
      <c r="AF2028" s="686"/>
    </row>
    <row r="2029" ht="15.75" customHeight="1">
      <c r="A2029" s="683"/>
      <c r="B2029" s="683"/>
      <c r="C2029" s="684"/>
      <c r="D2029" s="684"/>
      <c r="E2029" s="684"/>
      <c r="F2029" s="683"/>
      <c r="G2029" s="683"/>
      <c r="H2029" s="683"/>
      <c r="I2029" s="683"/>
      <c r="J2029" s="683"/>
      <c r="K2029" s="683"/>
      <c r="L2029" s="685"/>
      <c r="M2029" s="685"/>
      <c r="N2029" s="687"/>
      <c r="O2029" s="683"/>
      <c r="P2029" s="683"/>
      <c r="Q2029" s="686"/>
      <c r="R2029" s="686"/>
      <c r="S2029" s="686"/>
      <c r="T2029" s="686"/>
      <c r="U2029" s="686"/>
      <c r="V2029" s="686"/>
      <c r="W2029" s="686"/>
      <c r="X2029" s="686"/>
      <c r="Y2029" s="686"/>
      <c r="Z2029" s="686"/>
      <c r="AA2029" s="686"/>
      <c r="AB2029" s="686"/>
      <c r="AC2029" s="686"/>
      <c r="AD2029" s="686"/>
      <c r="AE2029" s="686"/>
      <c r="AF2029" s="686"/>
    </row>
    <row r="2030" ht="15.75" customHeight="1">
      <c r="A2030" s="683"/>
      <c r="B2030" s="683"/>
      <c r="C2030" s="684"/>
      <c r="D2030" s="684"/>
      <c r="E2030" s="684"/>
      <c r="F2030" s="683"/>
      <c r="G2030" s="683"/>
      <c r="H2030" s="683"/>
      <c r="I2030" s="683"/>
      <c r="J2030" s="683"/>
      <c r="K2030" s="683"/>
      <c r="L2030" s="685"/>
      <c r="M2030" s="685"/>
      <c r="N2030" s="687"/>
      <c r="O2030" s="683"/>
      <c r="P2030" s="683"/>
      <c r="Q2030" s="686"/>
      <c r="R2030" s="686"/>
      <c r="S2030" s="686"/>
      <c r="T2030" s="686"/>
      <c r="U2030" s="686"/>
      <c r="V2030" s="686"/>
      <c r="W2030" s="686"/>
      <c r="X2030" s="686"/>
      <c r="Y2030" s="686"/>
      <c r="Z2030" s="686"/>
      <c r="AA2030" s="686"/>
      <c r="AB2030" s="686"/>
      <c r="AC2030" s="686"/>
      <c r="AD2030" s="686"/>
      <c r="AE2030" s="686"/>
      <c r="AF2030" s="686"/>
    </row>
    <row r="2031" ht="15.75" customHeight="1">
      <c r="A2031" s="683"/>
      <c r="B2031" s="683"/>
      <c r="C2031" s="684"/>
      <c r="D2031" s="684"/>
      <c r="E2031" s="684"/>
      <c r="F2031" s="683"/>
      <c r="G2031" s="683"/>
      <c r="H2031" s="683"/>
      <c r="I2031" s="683"/>
      <c r="J2031" s="683"/>
      <c r="K2031" s="683"/>
      <c r="L2031" s="685"/>
      <c r="M2031" s="685"/>
      <c r="N2031" s="687"/>
      <c r="O2031" s="683"/>
      <c r="P2031" s="683"/>
      <c r="Q2031" s="686"/>
      <c r="R2031" s="686"/>
      <c r="S2031" s="686"/>
      <c r="T2031" s="686"/>
      <c r="U2031" s="686"/>
      <c r="V2031" s="686"/>
      <c r="W2031" s="686"/>
      <c r="X2031" s="686"/>
      <c r="Y2031" s="686"/>
      <c r="Z2031" s="686"/>
      <c r="AA2031" s="686"/>
      <c r="AB2031" s="686"/>
      <c r="AC2031" s="686"/>
      <c r="AD2031" s="686"/>
      <c r="AE2031" s="686"/>
      <c r="AF2031" s="686"/>
    </row>
    <row r="2032" ht="15.75" customHeight="1">
      <c r="A2032" s="683"/>
      <c r="B2032" s="683"/>
      <c r="C2032" s="684"/>
      <c r="D2032" s="684"/>
      <c r="E2032" s="684"/>
      <c r="F2032" s="683"/>
      <c r="G2032" s="683"/>
      <c r="H2032" s="683"/>
      <c r="I2032" s="683"/>
      <c r="J2032" s="683"/>
      <c r="K2032" s="683"/>
      <c r="L2032" s="685"/>
      <c r="M2032" s="685"/>
      <c r="N2032" s="687"/>
      <c r="O2032" s="683"/>
      <c r="P2032" s="683"/>
      <c r="Q2032" s="686"/>
      <c r="R2032" s="686"/>
      <c r="S2032" s="686"/>
      <c r="T2032" s="686"/>
      <c r="U2032" s="686"/>
      <c r="V2032" s="686"/>
      <c r="W2032" s="686"/>
      <c r="X2032" s="686"/>
      <c r="Y2032" s="686"/>
      <c r="Z2032" s="686"/>
      <c r="AA2032" s="686"/>
      <c r="AB2032" s="686"/>
      <c r="AC2032" s="686"/>
      <c r="AD2032" s="686"/>
      <c r="AE2032" s="686"/>
      <c r="AF2032" s="686"/>
    </row>
    <row r="2033" ht="15.75" customHeight="1">
      <c r="A2033" s="683"/>
      <c r="B2033" s="683"/>
      <c r="C2033" s="684"/>
      <c r="D2033" s="684"/>
      <c r="E2033" s="684"/>
      <c r="F2033" s="683"/>
      <c r="G2033" s="683"/>
      <c r="H2033" s="683"/>
      <c r="I2033" s="683"/>
      <c r="J2033" s="683"/>
      <c r="K2033" s="683"/>
      <c r="L2033" s="685"/>
      <c r="M2033" s="685"/>
      <c r="N2033" s="687"/>
      <c r="O2033" s="683"/>
      <c r="P2033" s="683"/>
      <c r="Q2033" s="686"/>
      <c r="R2033" s="686"/>
      <c r="S2033" s="686"/>
      <c r="T2033" s="686"/>
      <c r="U2033" s="686"/>
      <c r="V2033" s="686"/>
      <c r="W2033" s="686"/>
      <c r="X2033" s="686"/>
      <c r="Y2033" s="686"/>
      <c r="Z2033" s="686"/>
      <c r="AA2033" s="686"/>
      <c r="AB2033" s="686"/>
      <c r="AC2033" s="686"/>
      <c r="AD2033" s="686"/>
      <c r="AE2033" s="686"/>
      <c r="AF2033" s="686"/>
    </row>
    <row r="2034" ht="15.75" customHeight="1">
      <c r="A2034" s="683"/>
      <c r="B2034" s="683"/>
      <c r="C2034" s="684"/>
      <c r="D2034" s="684"/>
      <c r="E2034" s="684"/>
      <c r="F2034" s="683"/>
      <c r="G2034" s="683"/>
      <c r="H2034" s="683"/>
      <c r="I2034" s="683"/>
      <c r="J2034" s="683"/>
      <c r="K2034" s="683"/>
      <c r="L2034" s="685"/>
      <c r="M2034" s="685"/>
      <c r="N2034" s="687"/>
      <c r="O2034" s="683"/>
      <c r="P2034" s="683"/>
      <c r="Q2034" s="686"/>
      <c r="R2034" s="686"/>
      <c r="S2034" s="686"/>
      <c r="T2034" s="686"/>
      <c r="U2034" s="686"/>
      <c r="V2034" s="686"/>
      <c r="W2034" s="686"/>
      <c r="X2034" s="686"/>
      <c r="Y2034" s="686"/>
      <c r="Z2034" s="686"/>
      <c r="AA2034" s="686"/>
      <c r="AB2034" s="686"/>
      <c r="AC2034" s="686"/>
      <c r="AD2034" s="686"/>
      <c r="AE2034" s="686"/>
      <c r="AF2034" s="686"/>
    </row>
    <row r="2035" ht="15.75" customHeight="1">
      <c r="A2035" s="683"/>
      <c r="B2035" s="683"/>
      <c r="C2035" s="684"/>
      <c r="D2035" s="684"/>
      <c r="E2035" s="684"/>
      <c r="F2035" s="683"/>
      <c r="G2035" s="683"/>
      <c r="H2035" s="683"/>
      <c r="I2035" s="683"/>
      <c r="J2035" s="683"/>
      <c r="K2035" s="683"/>
      <c r="L2035" s="685"/>
      <c r="M2035" s="685"/>
      <c r="N2035" s="687"/>
      <c r="O2035" s="683"/>
      <c r="P2035" s="683"/>
      <c r="Q2035" s="686"/>
      <c r="R2035" s="686"/>
      <c r="S2035" s="686"/>
      <c r="T2035" s="686"/>
      <c r="U2035" s="686"/>
      <c r="V2035" s="686"/>
      <c r="W2035" s="686"/>
      <c r="X2035" s="686"/>
      <c r="Y2035" s="686"/>
      <c r="Z2035" s="686"/>
      <c r="AA2035" s="686"/>
      <c r="AB2035" s="686"/>
      <c r="AC2035" s="686"/>
      <c r="AD2035" s="686"/>
      <c r="AE2035" s="686"/>
      <c r="AF2035" s="686"/>
    </row>
    <row r="2036" ht="15.75" customHeight="1">
      <c r="A2036" s="683"/>
      <c r="B2036" s="683"/>
      <c r="C2036" s="684"/>
      <c r="D2036" s="684"/>
      <c r="E2036" s="684"/>
      <c r="F2036" s="683"/>
      <c r="G2036" s="683"/>
      <c r="H2036" s="683"/>
      <c r="I2036" s="683"/>
      <c r="J2036" s="683"/>
      <c r="K2036" s="683"/>
      <c r="L2036" s="685"/>
      <c r="M2036" s="685"/>
      <c r="N2036" s="687"/>
      <c r="O2036" s="683"/>
      <c r="P2036" s="683"/>
      <c r="Q2036" s="686"/>
      <c r="R2036" s="686"/>
      <c r="S2036" s="686"/>
      <c r="T2036" s="686"/>
      <c r="U2036" s="686"/>
      <c r="V2036" s="686"/>
      <c r="W2036" s="686"/>
      <c r="X2036" s="686"/>
      <c r="Y2036" s="686"/>
      <c r="Z2036" s="686"/>
      <c r="AA2036" s="686"/>
      <c r="AB2036" s="686"/>
      <c r="AC2036" s="686"/>
      <c r="AD2036" s="686"/>
      <c r="AE2036" s="686"/>
      <c r="AF2036" s="686"/>
    </row>
    <row r="2037" ht="15.75" customHeight="1">
      <c r="A2037" s="683"/>
      <c r="B2037" s="683"/>
      <c r="C2037" s="684"/>
      <c r="D2037" s="684"/>
      <c r="E2037" s="684"/>
      <c r="F2037" s="683"/>
      <c r="G2037" s="683"/>
      <c r="H2037" s="683"/>
      <c r="I2037" s="683"/>
      <c r="J2037" s="683"/>
      <c r="K2037" s="683"/>
      <c r="L2037" s="685"/>
      <c r="M2037" s="685"/>
      <c r="N2037" s="687"/>
      <c r="O2037" s="683"/>
      <c r="P2037" s="683"/>
      <c r="Q2037" s="686"/>
      <c r="R2037" s="686"/>
      <c r="S2037" s="686"/>
      <c r="T2037" s="686"/>
      <c r="U2037" s="686"/>
      <c r="V2037" s="686"/>
      <c r="W2037" s="686"/>
      <c r="X2037" s="686"/>
      <c r="Y2037" s="686"/>
      <c r="Z2037" s="686"/>
      <c r="AA2037" s="686"/>
      <c r="AB2037" s="686"/>
      <c r="AC2037" s="686"/>
      <c r="AD2037" s="686"/>
      <c r="AE2037" s="686"/>
      <c r="AF2037" s="686"/>
    </row>
    <row r="2038" ht="15.75" customHeight="1">
      <c r="A2038" s="683"/>
      <c r="B2038" s="683"/>
      <c r="C2038" s="684"/>
      <c r="D2038" s="684"/>
      <c r="E2038" s="684"/>
      <c r="F2038" s="683"/>
      <c r="G2038" s="683"/>
      <c r="H2038" s="683"/>
      <c r="I2038" s="683"/>
      <c r="J2038" s="683"/>
      <c r="K2038" s="683"/>
      <c r="L2038" s="685"/>
      <c r="M2038" s="685"/>
      <c r="N2038" s="687"/>
      <c r="O2038" s="683"/>
      <c r="P2038" s="683"/>
      <c r="Q2038" s="686"/>
      <c r="R2038" s="686"/>
      <c r="S2038" s="686"/>
      <c r="T2038" s="686"/>
      <c r="U2038" s="686"/>
      <c r="V2038" s="686"/>
      <c r="W2038" s="686"/>
      <c r="X2038" s="686"/>
      <c r="Y2038" s="686"/>
      <c r="Z2038" s="686"/>
      <c r="AA2038" s="686"/>
      <c r="AB2038" s="686"/>
      <c r="AC2038" s="686"/>
      <c r="AD2038" s="686"/>
      <c r="AE2038" s="686"/>
      <c r="AF2038" s="686"/>
    </row>
    <row r="2039" ht="15.75" customHeight="1">
      <c r="A2039" s="683"/>
      <c r="B2039" s="683"/>
      <c r="C2039" s="684"/>
      <c r="D2039" s="684"/>
      <c r="E2039" s="684"/>
      <c r="F2039" s="683"/>
      <c r="G2039" s="683"/>
      <c r="H2039" s="683"/>
      <c r="I2039" s="683"/>
      <c r="J2039" s="683"/>
      <c r="K2039" s="683"/>
      <c r="L2039" s="685"/>
      <c r="M2039" s="685"/>
      <c r="N2039" s="687"/>
      <c r="O2039" s="683"/>
      <c r="P2039" s="683"/>
      <c r="Q2039" s="686"/>
      <c r="R2039" s="686"/>
      <c r="S2039" s="686"/>
      <c r="T2039" s="686"/>
      <c r="U2039" s="686"/>
      <c r="V2039" s="686"/>
      <c r="W2039" s="686"/>
      <c r="X2039" s="686"/>
      <c r="Y2039" s="686"/>
      <c r="Z2039" s="686"/>
      <c r="AA2039" s="686"/>
      <c r="AB2039" s="686"/>
      <c r="AC2039" s="686"/>
      <c r="AD2039" s="686"/>
      <c r="AE2039" s="686"/>
      <c r="AF2039" s="686"/>
    </row>
    <row r="2040" ht="15.75" customHeight="1">
      <c r="A2040" s="683"/>
      <c r="B2040" s="683"/>
      <c r="C2040" s="684"/>
      <c r="D2040" s="684"/>
      <c r="E2040" s="684"/>
      <c r="F2040" s="683"/>
      <c r="G2040" s="683"/>
      <c r="H2040" s="683"/>
      <c r="I2040" s="683"/>
      <c r="J2040" s="683"/>
      <c r="K2040" s="683"/>
      <c r="L2040" s="685"/>
      <c r="M2040" s="685"/>
      <c r="N2040" s="687"/>
      <c r="O2040" s="683"/>
      <c r="P2040" s="683"/>
      <c r="Q2040" s="686"/>
      <c r="R2040" s="686"/>
      <c r="S2040" s="686"/>
      <c r="T2040" s="686"/>
      <c r="U2040" s="686"/>
      <c r="V2040" s="686"/>
      <c r="W2040" s="686"/>
      <c r="X2040" s="686"/>
      <c r="Y2040" s="686"/>
      <c r="Z2040" s="686"/>
      <c r="AA2040" s="686"/>
      <c r="AB2040" s="686"/>
      <c r="AC2040" s="686"/>
      <c r="AD2040" s="686"/>
      <c r="AE2040" s="686"/>
      <c r="AF2040" s="686"/>
    </row>
    <row r="2041" ht="15.75" customHeight="1">
      <c r="A2041" s="683"/>
      <c r="B2041" s="683"/>
      <c r="C2041" s="684"/>
      <c r="D2041" s="684"/>
      <c r="E2041" s="684"/>
      <c r="F2041" s="683"/>
      <c r="G2041" s="683"/>
      <c r="H2041" s="683"/>
      <c r="I2041" s="683"/>
      <c r="J2041" s="683"/>
      <c r="K2041" s="683"/>
      <c r="L2041" s="685"/>
      <c r="M2041" s="685"/>
      <c r="N2041" s="687"/>
      <c r="O2041" s="683"/>
      <c r="P2041" s="683"/>
      <c r="Q2041" s="686"/>
      <c r="R2041" s="686"/>
      <c r="S2041" s="686"/>
      <c r="T2041" s="686"/>
      <c r="U2041" s="686"/>
      <c r="V2041" s="686"/>
      <c r="W2041" s="686"/>
      <c r="X2041" s="686"/>
      <c r="Y2041" s="686"/>
      <c r="Z2041" s="686"/>
      <c r="AA2041" s="686"/>
      <c r="AB2041" s="686"/>
      <c r="AC2041" s="686"/>
      <c r="AD2041" s="686"/>
      <c r="AE2041" s="686"/>
      <c r="AF2041" s="686"/>
    </row>
    <row r="2042" ht="15.75" customHeight="1">
      <c r="A2042" s="683"/>
      <c r="B2042" s="683"/>
      <c r="C2042" s="684"/>
      <c r="D2042" s="684"/>
      <c r="E2042" s="684"/>
      <c r="F2042" s="683"/>
      <c r="G2042" s="683"/>
      <c r="H2042" s="683"/>
      <c r="I2042" s="683"/>
      <c r="J2042" s="683"/>
      <c r="K2042" s="683"/>
      <c r="L2042" s="685"/>
      <c r="M2042" s="685"/>
      <c r="N2042" s="687"/>
      <c r="O2042" s="683"/>
      <c r="P2042" s="683"/>
      <c r="Q2042" s="686"/>
      <c r="R2042" s="686"/>
      <c r="S2042" s="686"/>
      <c r="T2042" s="686"/>
      <c r="U2042" s="686"/>
      <c r="V2042" s="686"/>
      <c r="W2042" s="686"/>
      <c r="X2042" s="686"/>
      <c r="Y2042" s="686"/>
      <c r="Z2042" s="686"/>
      <c r="AA2042" s="686"/>
      <c r="AB2042" s="686"/>
      <c r="AC2042" s="686"/>
      <c r="AD2042" s="686"/>
      <c r="AE2042" s="686"/>
      <c r="AF2042" s="686"/>
    </row>
    <row r="2043" ht="15.75" customHeight="1">
      <c r="A2043" s="683"/>
      <c r="B2043" s="683"/>
      <c r="C2043" s="684"/>
      <c r="D2043" s="684"/>
      <c r="E2043" s="684"/>
      <c r="F2043" s="683"/>
      <c r="G2043" s="683"/>
      <c r="H2043" s="683"/>
      <c r="I2043" s="683"/>
      <c r="J2043" s="683"/>
      <c r="K2043" s="683"/>
      <c r="L2043" s="685"/>
      <c r="M2043" s="685"/>
      <c r="N2043" s="687"/>
      <c r="O2043" s="683"/>
      <c r="P2043" s="683"/>
      <c r="Q2043" s="686"/>
      <c r="R2043" s="686"/>
      <c r="S2043" s="686"/>
      <c r="T2043" s="686"/>
      <c r="U2043" s="686"/>
      <c r="V2043" s="686"/>
      <c r="W2043" s="686"/>
      <c r="X2043" s="686"/>
      <c r="Y2043" s="686"/>
      <c r="Z2043" s="686"/>
      <c r="AA2043" s="686"/>
      <c r="AB2043" s="686"/>
      <c r="AC2043" s="686"/>
      <c r="AD2043" s="686"/>
      <c r="AE2043" s="686"/>
      <c r="AF2043" s="686"/>
    </row>
    <row r="2044" ht="15.75" customHeight="1">
      <c r="A2044" s="683"/>
      <c r="B2044" s="683"/>
      <c r="C2044" s="684"/>
      <c r="D2044" s="684"/>
      <c r="E2044" s="684"/>
      <c r="F2044" s="683"/>
      <c r="G2044" s="683"/>
      <c r="H2044" s="683"/>
      <c r="I2044" s="683"/>
      <c r="J2044" s="683"/>
      <c r="K2044" s="683"/>
      <c r="L2044" s="685"/>
      <c r="M2044" s="685"/>
      <c r="N2044" s="687"/>
      <c r="O2044" s="683"/>
      <c r="P2044" s="683"/>
      <c r="Q2044" s="686"/>
      <c r="R2044" s="686"/>
      <c r="S2044" s="686"/>
      <c r="T2044" s="686"/>
      <c r="U2044" s="686"/>
      <c r="V2044" s="686"/>
      <c r="W2044" s="686"/>
      <c r="X2044" s="686"/>
      <c r="Y2044" s="686"/>
      <c r="Z2044" s="686"/>
      <c r="AA2044" s="686"/>
      <c r="AB2044" s="686"/>
      <c r="AC2044" s="686"/>
      <c r="AD2044" s="686"/>
      <c r="AE2044" s="686"/>
      <c r="AF2044" s="686"/>
    </row>
    <row r="2045" ht="15.75" customHeight="1">
      <c r="A2045" s="683"/>
      <c r="B2045" s="683"/>
      <c r="C2045" s="684"/>
      <c r="D2045" s="684"/>
      <c r="E2045" s="684"/>
      <c r="F2045" s="683"/>
      <c r="G2045" s="683"/>
      <c r="H2045" s="683"/>
      <c r="I2045" s="683"/>
      <c r="J2045" s="683"/>
      <c r="K2045" s="683"/>
      <c r="L2045" s="685"/>
      <c r="M2045" s="685"/>
      <c r="N2045" s="687"/>
      <c r="O2045" s="683"/>
      <c r="P2045" s="683"/>
      <c r="Q2045" s="686"/>
      <c r="R2045" s="686"/>
      <c r="S2045" s="686"/>
      <c r="T2045" s="686"/>
      <c r="U2045" s="686"/>
      <c r="V2045" s="686"/>
      <c r="W2045" s="686"/>
      <c r="X2045" s="686"/>
      <c r="Y2045" s="686"/>
      <c r="Z2045" s="686"/>
      <c r="AA2045" s="686"/>
      <c r="AB2045" s="686"/>
      <c r="AC2045" s="686"/>
      <c r="AD2045" s="686"/>
      <c r="AE2045" s="686"/>
      <c r="AF2045" s="686"/>
    </row>
    <row r="2046" ht="15.75" customHeight="1">
      <c r="A2046" s="683"/>
      <c r="B2046" s="683"/>
      <c r="C2046" s="684"/>
      <c r="D2046" s="684"/>
      <c r="E2046" s="684"/>
      <c r="F2046" s="683"/>
      <c r="G2046" s="683"/>
      <c r="H2046" s="683"/>
      <c r="I2046" s="683"/>
      <c r="J2046" s="683"/>
      <c r="K2046" s="683"/>
      <c r="L2046" s="685"/>
      <c r="M2046" s="685"/>
      <c r="N2046" s="687"/>
      <c r="O2046" s="683"/>
      <c r="P2046" s="683"/>
      <c r="Q2046" s="686"/>
      <c r="R2046" s="686"/>
      <c r="S2046" s="686"/>
      <c r="T2046" s="686"/>
      <c r="U2046" s="686"/>
      <c r="V2046" s="686"/>
      <c r="W2046" s="686"/>
      <c r="X2046" s="686"/>
      <c r="Y2046" s="686"/>
      <c r="Z2046" s="686"/>
      <c r="AA2046" s="686"/>
      <c r="AB2046" s="686"/>
      <c r="AC2046" s="686"/>
      <c r="AD2046" s="686"/>
      <c r="AE2046" s="686"/>
      <c r="AF2046" s="686"/>
    </row>
    <row r="2047" ht="15.75" customHeight="1">
      <c r="A2047" s="683"/>
      <c r="B2047" s="683"/>
      <c r="C2047" s="684"/>
      <c r="D2047" s="684"/>
      <c r="E2047" s="684"/>
      <c r="F2047" s="683"/>
      <c r="G2047" s="683"/>
      <c r="H2047" s="683"/>
      <c r="I2047" s="683"/>
      <c r="J2047" s="683"/>
      <c r="K2047" s="683"/>
      <c r="L2047" s="685"/>
      <c r="M2047" s="685"/>
      <c r="N2047" s="687"/>
      <c r="O2047" s="683"/>
      <c r="P2047" s="683"/>
      <c r="Q2047" s="686"/>
      <c r="R2047" s="686"/>
      <c r="S2047" s="686"/>
      <c r="T2047" s="686"/>
      <c r="U2047" s="686"/>
      <c r="V2047" s="686"/>
      <c r="W2047" s="686"/>
      <c r="X2047" s="686"/>
      <c r="Y2047" s="686"/>
      <c r="Z2047" s="686"/>
      <c r="AA2047" s="686"/>
      <c r="AB2047" s="686"/>
      <c r="AC2047" s="686"/>
      <c r="AD2047" s="686"/>
      <c r="AE2047" s="686"/>
      <c r="AF2047" s="686"/>
    </row>
    <row r="2048" ht="15.75" customHeight="1">
      <c r="A2048" s="683"/>
      <c r="B2048" s="683"/>
      <c r="C2048" s="684"/>
      <c r="D2048" s="684"/>
      <c r="E2048" s="684"/>
      <c r="F2048" s="683"/>
      <c r="G2048" s="683"/>
      <c r="H2048" s="683"/>
      <c r="I2048" s="683"/>
      <c r="J2048" s="683"/>
      <c r="K2048" s="683"/>
      <c r="L2048" s="685"/>
      <c r="M2048" s="685"/>
      <c r="N2048" s="687"/>
      <c r="O2048" s="683"/>
      <c r="P2048" s="683"/>
      <c r="Q2048" s="686"/>
      <c r="R2048" s="686"/>
      <c r="S2048" s="686"/>
      <c r="T2048" s="686"/>
      <c r="U2048" s="686"/>
      <c r="V2048" s="686"/>
      <c r="W2048" s="686"/>
      <c r="X2048" s="686"/>
      <c r="Y2048" s="686"/>
      <c r="Z2048" s="686"/>
      <c r="AA2048" s="686"/>
      <c r="AB2048" s="686"/>
      <c r="AC2048" s="686"/>
      <c r="AD2048" s="686"/>
      <c r="AE2048" s="686"/>
      <c r="AF2048" s="686"/>
    </row>
    <row r="2049" ht="15.75" customHeight="1">
      <c r="A2049" s="683"/>
      <c r="B2049" s="683"/>
      <c r="C2049" s="684"/>
      <c r="D2049" s="684"/>
      <c r="E2049" s="684"/>
      <c r="F2049" s="683"/>
      <c r="G2049" s="683"/>
      <c r="H2049" s="683"/>
      <c r="I2049" s="683"/>
      <c r="J2049" s="683"/>
      <c r="K2049" s="683"/>
      <c r="L2049" s="685"/>
      <c r="M2049" s="685"/>
      <c r="N2049" s="687"/>
      <c r="O2049" s="683"/>
      <c r="P2049" s="683"/>
      <c r="Q2049" s="686"/>
      <c r="R2049" s="686"/>
      <c r="S2049" s="686"/>
      <c r="T2049" s="686"/>
      <c r="U2049" s="686"/>
      <c r="V2049" s="686"/>
      <c r="W2049" s="686"/>
      <c r="X2049" s="686"/>
      <c r="Y2049" s="686"/>
      <c r="Z2049" s="686"/>
      <c r="AA2049" s="686"/>
      <c r="AB2049" s="686"/>
      <c r="AC2049" s="686"/>
      <c r="AD2049" s="686"/>
      <c r="AE2049" s="686"/>
      <c r="AF2049" s="686"/>
    </row>
    <row r="2050" ht="15.75" customHeight="1">
      <c r="A2050" s="683"/>
      <c r="B2050" s="683"/>
      <c r="C2050" s="684"/>
      <c r="D2050" s="684"/>
      <c r="E2050" s="684"/>
      <c r="F2050" s="683"/>
      <c r="G2050" s="683"/>
      <c r="H2050" s="683"/>
      <c r="I2050" s="683"/>
      <c r="J2050" s="683"/>
      <c r="K2050" s="683"/>
      <c r="L2050" s="685"/>
      <c r="M2050" s="685"/>
      <c r="N2050" s="687"/>
      <c r="O2050" s="683"/>
      <c r="P2050" s="683"/>
      <c r="Q2050" s="686"/>
      <c r="R2050" s="686"/>
      <c r="S2050" s="686"/>
      <c r="T2050" s="686"/>
      <c r="U2050" s="686"/>
      <c r="V2050" s="686"/>
      <c r="W2050" s="686"/>
      <c r="X2050" s="686"/>
      <c r="Y2050" s="686"/>
      <c r="Z2050" s="686"/>
      <c r="AA2050" s="686"/>
      <c r="AB2050" s="686"/>
      <c r="AC2050" s="686"/>
      <c r="AD2050" s="686"/>
      <c r="AE2050" s="686"/>
      <c r="AF2050" s="686"/>
    </row>
    <row r="2051" ht="15.75" customHeight="1">
      <c r="A2051" s="683"/>
      <c r="B2051" s="683"/>
      <c r="C2051" s="684"/>
      <c r="D2051" s="684"/>
      <c r="E2051" s="684"/>
      <c r="F2051" s="683"/>
      <c r="G2051" s="683"/>
      <c r="H2051" s="683"/>
      <c r="I2051" s="683"/>
      <c r="J2051" s="683"/>
      <c r="K2051" s="683"/>
      <c r="L2051" s="685"/>
      <c r="M2051" s="685"/>
      <c r="N2051" s="687"/>
      <c r="O2051" s="683"/>
      <c r="P2051" s="683"/>
      <c r="Q2051" s="686"/>
      <c r="R2051" s="686"/>
      <c r="S2051" s="686"/>
      <c r="T2051" s="686"/>
      <c r="U2051" s="686"/>
      <c r="V2051" s="686"/>
      <c r="W2051" s="686"/>
      <c r="X2051" s="686"/>
      <c r="Y2051" s="686"/>
      <c r="Z2051" s="686"/>
      <c r="AA2051" s="686"/>
      <c r="AB2051" s="686"/>
      <c r="AC2051" s="686"/>
      <c r="AD2051" s="686"/>
      <c r="AE2051" s="686"/>
      <c r="AF2051" s="686"/>
    </row>
    <row r="2052" ht="15.75" customHeight="1">
      <c r="A2052" s="683"/>
      <c r="B2052" s="683"/>
      <c r="C2052" s="684"/>
      <c r="D2052" s="684"/>
      <c r="E2052" s="684"/>
      <c r="F2052" s="683"/>
      <c r="G2052" s="683"/>
      <c r="H2052" s="683"/>
      <c r="I2052" s="683"/>
      <c r="J2052" s="683"/>
      <c r="K2052" s="683"/>
      <c r="L2052" s="685"/>
      <c r="M2052" s="685"/>
      <c r="N2052" s="687"/>
      <c r="O2052" s="683"/>
      <c r="P2052" s="683"/>
      <c r="Q2052" s="686"/>
      <c r="R2052" s="686"/>
      <c r="S2052" s="686"/>
      <c r="T2052" s="686"/>
      <c r="U2052" s="686"/>
      <c r="V2052" s="686"/>
      <c r="W2052" s="686"/>
      <c r="X2052" s="686"/>
      <c r="Y2052" s="686"/>
      <c r="Z2052" s="686"/>
      <c r="AA2052" s="686"/>
      <c r="AB2052" s="686"/>
      <c r="AC2052" s="686"/>
      <c r="AD2052" s="686"/>
      <c r="AE2052" s="686"/>
      <c r="AF2052" s="686"/>
    </row>
    <row r="2053" ht="15.75" customHeight="1">
      <c r="A2053" s="683"/>
      <c r="B2053" s="683"/>
      <c r="C2053" s="684"/>
      <c r="D2053" s="684"/>
      <c r="E2053" s="684"/>
      <c r="F2053" s="683"/>
      <c r="G2053" s="683"/>
      <c r="H2053" s="683"/>
      <c r="I2053" s="683"/>
      <c r="J2053" s="683"/>
      <c r="K2053" s="683"/>
      <c r="L2053" s="685"/>
      <c r="M2053" s="685"/>
      <c r="N2053" s="687"/>
      <c r="O2053" s="683"/>
      <c r="P2053" s="683"/>
      <c r="Q2053" s="686"/>
      <c r="R2053" s="686"/>
      <c r="S2053" s="686"/>
      <c r="T2053" s="686"/>
      <c r="U2053" s="686"/>
      <c r="V2053" s="686"/>
      <c r="W2053" s="686"/>
      <c r="X2053" s="686"/>
      <c r="Y2053" s="686"/>
      <c r="Z2053" s="686"/>
      <c r="AA2053" s="686"/>
      <c r="AB2053" s="686"/>
      <c r="AC2053" s="686"/>
      <c r="AD2053" s="686"/>
      <c r="AE2053" s="686"/>
      <c r="AF2053" s="686"/>
    </row>
    <row r="2054" ht="15.75" customHeight="1">
      <c r="A2054" s="683"/>
      <c r="B2054" s="683"/>
      <c r="C2054" s="684"/>
      <c r="D2054" s="684"/>
      <c r="E2054" s="684"/>
      <c r="F2054" s="683"/>
      <c r="G2054" s="683"/>
      <c r="H2054" s="683"/>
      <c r="I2054" s="683"/>
      <c r="J2054" s="683"/>
      <c r="K2054" s="683"/>
      <c r="L2054" s="685"/>
      <c r="M2054" s="685"/>
      <c r="N2054" s="687"/>
      <c r="O2054" s="683"/>
      <c r="P2054" s="683"/>
      <c r="Q2054" s="686"/>
      <c r="R2054" s="686"/>
      <c r="S2054" s="686"/>
      <c r="T2054" s="686"/>
      <c r="U2054" s="686"/>
      <c r="V2054" s="686"/>
      <c r="W2054" s="686"/>
      <c r="X2054" s="686"/>
      <c r="Y2054" s="686"/>
      <c r="Z2054" s="686"/>
      <c r="AA2054" s="686"/>
      <c r="AB2054" s="686"/>
      <c r="AC2054" s="686"/>
      <c r="AD2054" s="686"/>
      <c r="AE2054" s="686"/>
      <c r="AF2054" s="686"/>
    </row>
    <row r="2055" ht="15.75" customHeight="1">
      <c r="A2055" s="683"/>
      <c r="B2055" s="683"/>
      <c r="C2055" s="684"/>
      <c r="D2055" s="684"/>
      <c r="E2055" s="684"/>
      <c r="F2055" s="683"/>
      <c r="G2055" s="683"/>
      <c r="H2055" s="683"/>
      <c r="I2055" s="683"/>
      <c r="J2055" s="683"/>
      <c r="K2055" s="683"/>
      <c r="L2055" s="685"/>
      <c r="M2055" s="685"/>
      <c r="N2055" s="687"/>
      <c r="O2055" s="683"/>
      <c r="P2055" s="683"/>
      <c r="Q2055" s="686"/>
      <c r="R2055" s="686"/>
      <c r="S2055" s="686"/>
      <c r="T2055" s="686"/>
      <c r="U2055" s="686"/>
      <c r="V2055" s="686"/>
      <c r="W2055" s="686"/>
      <c r="X2055" s="686"/>
      <c r="Y2055" s="686"/>
      <c r="Z2055" s="686"/>
      <c r="AA2055" s="686"/>
      <c r="AB2055" s="686"/>
      <c r="AC2055" s="686"/>
      <c r="AD2055" s="686"/>
      <c r="AE2055" s="686"/>
      <c r="AF2055" s="686"/>
    </row>
    <row r="2056" ht="15.75" customHeight="1">
      <c r="A2056" s="683"/>
      <c r="B2056" s="683"/>
      <c r="C2056" s="684"/>
      <c r="D2056" s="684"/>
      <c r="E2056" s="684"/>
      <c r="F2056" s="683"/>
      <c r="G2056" s="683"/>
      <c r="H2056" s="683"/>
      <c r="I2056" s="683"/>
      <c r="J2056" s="683"/>
      <c r="K2056" s="683"/>
      <c r="L2056" s="685"/>
      <c r="M2056" s="685"/>
      <c r="N2056" s="687"/>
      <c r="O2056" s="683"/>
      <c r="P2056" s="683"/>
      <c r="Q2056" s="686"/>
      <c r="R2056" s="686"/>
      <c r="S2056" s="686"/>
      <c r="T2056" s="686"/>
      <c r="U2056" s="686"/>
      <c r="V2056" s="686"/>
      <c r="W2056" s="686"/>
      <c r="X2056" s="686"/>
      <c r="Y2056" s="686"/>
      <c r="Z2056" s="686"/>
      <c r="AA2056" s="686"/>
      <c r="AB2056" s="686"/>
      <c r="AC2056" s="686"/>
      <c r="AD2056" s="686"/>
      <c r="AE2056" s="686"/>
      <c r="AF2056" s="686"/>
    </row>
    <row r="2057" ht="15.75" customHeight="1">
      <c r="A2057" s="683"/>
      <c r="B2057" s="683"/>
      <c r="C2057" s="684"/>
      <c r="D2057" s="684"/>
      <c r="E2057" s="684"/>
      <c r="F2057" s="683"/>
      <c r="G2057" s="683"/>
      <c r="H2057" s="683"/>
      <c r="I2057" s="683"/>
      <c r="J2057" s="683"/>
      <c r="K2057" s="683"/>
      <c r="L2057" s="685"/>
      <c r="M2057" s="685"/>
      <c r="N2057" s="687"/>
      <c r="O2057" s="683"/>
      <c r="P2057" s="683"/>
      <c r="Q2057" s="686"/>
      <c r="R2057" s="686"/>
      <c r="S2057" s="686"/>
      <c r="T2057" s="686"/>
      <c r="U2057" s="686"/>
      <c r="V2057" s="686"/>
      <c r="W2057" s="686"/>
      <c r="X2057" s="686"/>
      <c r="Y2057" s="686"/>
      <c r="Z2057" s="686"/>
      <c r="AA2057" s="686"/>
      <c r="AB2057" s="686"/>
      <c r="AC2057" s="686"/>
      <c r="AD2057" s="686"/>
      <c r="AE2057" s="686"/>
      <c r="AF2057" s="686"/>
    </row>
    <row r="2058" ht="15.75" customHeight="1">
      <c r="A2058" s="683"/>
      <c r="B2058" s="683"/>
      <c r="C2058" s="684"/>
      <c r="D2058" s="684"/>
      <c r="E2058" s="684"/>
      <c r="F2058" s="683"/>
      <c r="G2058" s="683"/>
      <c r="H2058" s="683"/>
      <c r="I2058" s="683"/>
      <c r="J2058" s="683"/>
      <c r="K2058" s="683"/>
      <c r="L2058" s="685"/>
      <c r="M2058" s="685"/>
      <c r="N2058" s="687"/>
      <c r="O2058" s="683"/>
      <c r="P2058" s="683"/>
      <c r="Q2058" s="686"/>
      <c r="R2058" s="686"/>
      <c r="S2058" s="686"/>
      <c r="T2058" s="686"/>
      <c r="U2058" s="686"/>
      <c r="V2058" s="686"/>
      <c r="W2058" s="686"/>
      <c r="X2058" s="686"/>
      <c r="Y2058" s="686"/>
      <c r="Z2058" s="686"/>
      <c r="AA2058" s="686"/>
      <c r="AB2058" s="686"/>
      <c r="AC2058" s="686"/>
      <c r="AD2058" s="686"/>
      <c r="AE2058" s="686"/>
      <c r="AF2058" s="686"/>
    </row>
    <row r="2059" ht="15.75" customHeight="1">
      <c r="A2059" s="683"/>
      <c r="B2059" s="683"/>
      <c r="C2059" s="684"/>
      <c r="D2059" s="684"/>
      <c r="E2059" s="684"/>
      <c r="F2059" s="683"/>
      <c r="G2059" s="683"/>
      <c r="H2059" s="683"/>
      <c r="I2059" s="683"/>
      <c r="J2059" s="683"/>
      <c r="K2059" s="683"/>
      <c r="L2059" s="685"/>
      <c r="M2059" s="685"/>
      <c r="N2059" s="687"/>
      <c r="O2059" s="683"/>
      <c r="P2059" s="683"/>
      <c r="Q2059" s="686"/>
      <c r="R2059" s="686"/>
      <c r="S2059" s="686"/>
      <c r="T2059" s="686"/>
      <c r="U2059" s="686"/>
      <c r="V2059" s="686"/>
      <c r="W2059" s="686"/>
      <c r="X2059" s="686"/>
      <c r="Y2059" s="686"/>
      <c r="Z2059" s="686"/>
      <c r="AA2059" s="686"/>
      <c r="AB2059" s="686"/>
      <c r="AC2059" s="686"/>
      <c r="AD2059" s="686"/>
      <c r="AE2059" s="686"/>
      <c r="AF2059" s="686"/>
    </row>
    <row r="2060" ht="15.75" customHeight="1">
      <c r="A2060" s="683"/>
      <c r="B2060" s="683"/>
      <c r="C2060" s="684"/>
      <c r="D2060" s="684"/>
      <c r="E2060" s="684"/>
      <c r="F2060" s="683"/>
      <c r="G2060" s="683"/>
      <c r="H2060" s="683"/>
      <c r="I2060" s="683"/>
      <c r="J2060" s="683"/>
      <c r="K2060" s="683"/>
      <c r="L2060" s="685"/>
      <c r="M2060" s="685"/>
      <c r="N2060" s="687"/>
      <c r="O2060" s="683"/>
      <c r="P2060" s="683"/>
      <c r="Q2060" s="686"/>
      <c r="R2060" s="686"/>
      <c r="S2060" s="686"/>
      <c r="T2060" s="686"/>
      <c r="U2060" s="686"/>
      <c r="V2060" s="686"/>
      <c r="W2060" s="686"/>
      <c r="X2060" s="686"/>
      <c r="Y2060" s="686"/>
      <c r="Z2060" s="686"/>
      <c r="AA2060" s="686"/>
      <c r="AB2060" s="686"/>
      <c r="AC2060" s="686"/>
      <c r="AD2060" s="686"/>
      <c r="AE2060" s="686"/>
      <c r="AF2060" s="686"/>
    </row>
    <row r="2061" ht="15.75" customHeight="1">
      <c r="A2061" s="683"/>
      <c r="B2061" s="683"/>
      <c r="C2061" s="684"/>
      <c r="D2061" s="684"/>
      <c r="E2061" s="684"/>
      <c r="F2061" s="683"/>
      <c r="G2061" s="683"/>
      <c r="H2061" s="683"/>
      <c r="I2061" s="683"/>
      <c r="J2061" s="683"/>
      <c r="K2061" s="683"/>
      <c r="L2061" s="685"/>
      <c r="M2061" s="685"/>
      <c r="N2061" s="687"/>
      <c r="O2061" s="683"/>
      <c r="P2061" s="683"/>
      <c r="Q2061" s="686"/>
      <c r="R2061" s="686"/>
      <c r="S2061" s="686"/>
      <c r="T2061" s="686"/>
      <c r="U2061" s="686"/>
      <c r="V2061" s="686"/>
      <c r="W2061" s="686"/>
      <c r="X2061" s="686"/>
      <c r="Y2061" s="686"/>
      <c r="Z2061" s="686"/>
      <c r="AA2061" s="686"/>
      <c r="AB2061" s="686"/>
      <c r="AC2061" s="686"/>
      <c r="AD2061" s="686"/>
      <c r="AE2061" s="686"/>
      <c r="AF2061" s="686"/>
    </row>
    <row r="2062" ht="15.75" customHeight="1">
      <c r="A2062" s="683"/>
      <c r="B2062" s="683"/>
      <c r="C2062" s="684"/>
      <c r="D2062" s="684"/>
      <c r="E2062" s="684"/>
      <c r="F2062" s="683"/>
      <c r="G2062" s="683"/>
      <c r="H2062" s="683"/>
      <c r="I2062" s="683"/>
      <c r="J2062" s="683"/>
      <c r="K2062" s="683"/>
      <c r="L2062" s="685"/>
      <c r="M2062" s="685"/>
      <c r="N2062" s="687"/>
      <c r="O2062" s="683"/>
      <c r="P2062" s="683"/>
      <c r="Q2062" s="686"/>
      <c r="R2062" s="686"/>
      <c r="S2062" s="686"/>
      <c r="T2062" s="686"/>
      <c r="U2062" s="686"/>
      <c r="V2062" s="686"/>
      <c r="W2062" s="686"/>
      <c r="X2062" s="686"/>
      <c r="Y2062" s="686"/>
      <c r="Z2062" s="686"/>
      <c r="AA2062" s="686"/>
      <c r="AB2062" s="686"/>
      <c r="AC2062" s="686"/>
      <c r="AD2062" s="686"/>
      <c r="AE2062" s="686"/>
      <c r="AF2062" s="686"/>
    </row>
    <row r="2063" ht="15.75" customHeight="1">
      <c r="A2063" s="683"/>
      <c r="B2063" s="683"/>
      <c r="C2063" s="684"/>
      <c r="D2063" s="684"/>
      <c r="E2063" s="684"/>
      <c r="F2063" s="683"/>
      <c r="G2063" s="683"/>
      <c r="H2063" s="683"/>
      <c r="I2063" s="683"/>
      <c r="J2063" s="683"/>
      <c r="K2063" s="683"/>
      <c r="L2063" s="685"/>
      <c r="M2063" s="685"/>
      <c r="N2063" s="687"/>
      <c r="O2063" s="683"/>
      <c r="P2063" s="683"/>
      <c r="Q2063" s="686"/>
      <c r="R2063" s="686"/>
      <c r="S2063" s="686"/>
      <c r="T2063" s="686"/>
      <c r="U2063" s="686"/>
      <c r="V2063" s="686"/>
      <c r="W2063" s="686"/>
      <c r="X2063" s="686"/>
      <c r="Y2063" s="686"/>
      <c r="Z2063" s="686"/>
      <c r="AA2063" s="686"/>
      <c r="AB2063" s="686"/>
      <c r="AC2063" s="686"/>
      <c r="AD2063" s="686"/>
      <c r="AE2063" s="686"/>
      <c r="AF2063" s="686"/>
    </row>
    <row r="2064" ht="15.75" customHeight="1">
      <c r="A2064" s="683"/>
      <c r="B2064" s="683"/>
      <c r="C2064" s="684"/>
      <c r="D2064" s="684"/>
      <c r="E2064" s="684"/>
      <c r="F2064" s="683"/>
      <c r="G2064" s="683"/>
      <c r="H2064" s="683"/>
      <c r="I2064" s="683"/>
      <c r="J2064" s="683"/>
      <c r="K2064" s="683"/>
      <c r="L2064" s="685"/>
      <c r="M2064" s="685"/>
      <c r="N2064" s="687"/>
      <c r="O2064" s="683"/>
      <c r="P2064" s="683"/>
      <c r="Q2064" s="686"/>
      <c r="R2064" s="686"/>
      <c r="S2064" s="686"/>
      <c r="T2064" s="686"/>
      <c r="U2064" s="686"/>
      <c r="V2064" s="686"/>
      <c r="W2064" s="686"/>
      <c r="X2064" s="686"/>
      <c r="Y2064" s="686"/>
      <c r="Z2064" s="686"/>
      <c r="AA2064" s="686"/>
      <c r="AB2064" s="686"/>
      <c r="AC2064" s="686"/>
      <c r="AD2064" s="686"/>
      <c r="AE2064" s="686"/>
      <c r="AF2064" s="686"/>
    </row>
    <row r="2065" ht="15.75" customHeight="1">
      <c r="A2065" s="683"/>
      <c r="B2065" s="683"/>
      <c r="C2065" s="684"/>
      <c r="D2065" s="684"/>
      <c r="E2065" s="684"/>
      <c r="F2065" s="683"/>
      <c r="G2065" s="683"/>
      <c r="H2065" s="683"/>
      <c r="I2065" s="683"/>
      <c r="J2065" s="683"/>
      <c r="K2065" s="683"/>
      <c r="L2065" s="685"/>
      <c r="M2065" s="685"/>
      <c r="N2065" s="687"/>
      <c r="O2065" s="683"/>
      <c r="P2065" s="683"/>
      <c r="Q2065" s="686"/>
      <c r="R2065" s="686"/>
      <c r="S2065" s="686"/>
      <c r="T2065" s="686"/>
      <c r="U2065" s="686"/>
      <c r="V2065" s="686"/>
      <c r="W2065" s="686"/>
      <c r="X2065" s="686"/>
      <c r="Y2065" s="686"/>
      <c r="Z2065" s="686"/>
      <c r="AA2065" s="686"/>
      <c r="AB2065" s="686"/>
      <c r="AC2065" s="686"/>
      <c r="AD2065" s="686"/>
      <c r="AE2065" s="686"/>
      <c r="AF2065" s="686"/>
    </row>
    <row r="2066" ht="15.75" customHeight="1">
      <c r="A2066" s="683"/>
      <c r="B2066" s="683"/>
      <c r="C2066" s="684"/>
      <c r="D2066" s="684"/>
      <c r="E2066" s="684"/>
      <c r="F2066" s="683"/>
      <c r="G2066" s="683"/>
      <c r="H2066" s="683"/>
      <c r="I2066" s="683"/>
      <c r="J2066" s="683"/>
      <c r="K2066" s="683"/>
      <c r="L2066" s="685"/>
      <c r="M2066" s="685"/>
      <c r="N2066" s="687"/>
      <c r="O2066" s="683"/>
      <c r="P2066" s="683"/>
      <c r="Q2066" s="686"/>
      <c r="R2066" s="686"/>
      <c r="S2066" s="686"/>
      <c r="T2066" s="686"/>
      <c r="U2066" s="686"/>
      <c r="V2066" s="686"/>
      <c r="W2066" s="686"/>
      <c r="X2066" s="686"/>
      <c r="Y2066" s="686"/>
      <c r="Z2066" s="686"/>
      <c r="AA2066" s="686"/>
      <c r="AB2066" s="686"/>
      <c r="AC2066" s="686"/>
      <c r="AD2066" s="686"/>
      <c r="AE2066" s="686"/>
      <c r="AF2066" s="686"/>
    </row>
    <row r="2067" ht="15.75" customHeight="1">
      <c r="A2067" s="683"/>
      <c r="B2067" s="683"/>
      <c r="C2067" s="684"/>
      <c r="D2067" s="684"/>
      <c r="E2067" s="684"/>
      <c r="F2067" s="683"/>
      <c r="G2067" s="683"/>
      <c r="H2067" s="683"/>
      <c r="I2067" s="683"/>
      <c r="J2067" s="683"/>
      <c r="K2067" s="683"/>
      <c r="L2067" s="685"/>
      <c r="M2067" s="685"/>
      <c r="N2067" s="687"/>
      <c r="O2067" s="683"/>
      <c r="P2067" s="683"/>
      <c r="Q2067" s="686"/>
      <c r="R2067" s="686"/>
      <c r="S2067" s="686"/>
      <c r="T2067" s="686"/>
      <c r="U2067" s="686"/>
      <c r="V2067" s="686"/>
      <c r="W2067" s="686"/>
      <c r="X2067" s="686"/>
      <c r="Y2067" s="686"/>
      <c r="Z2067" s="686"/>
      <c r="AA2067" s="686"/>
      <c r="AB2067" s="686"/>
      <c r="AC2067" s="686"/>
      <c r="AD2067" s="686"/>
      <c r="AE2067" s="686"/>
      <c r="AF2067" s="686"/>
    </row>
    <row r="2068" ht="15.75" customHeight="1">
      <c r="A2068" s="683"/>
      <c r="B2068" s="683"/>
      <c r="C2068" s="684"/>
      <c r="D2068" s="684"/>
      <c r="E2068" s="684"/>
      <c r="F2068" s="683"/>
      <c r="G2068" s="683"/>
      <c r="H2068" s="683"/>
      <c r="I2068" s="683"/>
      <c r="J2068" s="683"/>
      <c r="K2068" s="683"/>
      <c r="L2068" s="685"/>
      <c r="M2068" s="685"/>
      <c r="N2068" s="687"/>
      <c r="O2068" s="683"/>
      <c r="P2068" s="683"/>
      <c r="Q2068" s="686"/>
      <c r="R2068" s="686"/>
      <c r="S2068" s="686"/>
      <c r="T2068" s="686"/>
      <c r="U2068" s="686"/>
      <c r="V2068" s="686"/>
      <c r="W2068" s="686"/>
      <c r="X2068" s="686"/>
      <c r="Y2068" s="686"/>
      <c r="Z2068" s="686"/>
      <c r="AA2068" s="686"/>
      <c r="AB2068" s="686"/>
      <c r="AC2068" s="686"/>
      <c r="AD2068" s="686"/>
      <c r="AE2068" s="686"/>
      <c r="AF2068" s="686"/>
    </row>
    <row r="2069" ht="15.75" customHeight="1">
      <c r="A2069" s="683"/>
      <c r="B2069" s="683"/>
      <c r="C2069" s="684"/>
      <c r="D2069" s="684"/>
      <c r="E2069" s="684"/>
      <c r="F2069" s="683"/>
      <c r="G2069" s="683"/>
      <c r="H2069" s="683"/>
      <c r="I2069" s="683"/>
      <c r="J2069" s="683"/>
      <c r="K2069" s="683"/>
      <c r="L2069" s="685"/>
      <c r="M2069" s="685"/>
      <c r="N2069" s="687"/>
      <c r="O2069" s="683"/>
      <c r="P2069" s="683"/>
      <c r="Q2069" s="686"/>
      <c r="R2069" s="686"/>
      <c r="S2069" s="686"/>
      <c r="T2069" s="686"/>
      <c r="U2069" s="686"/>
      <c r="V2069" s="686"/>
      <c r="W2069" s="686"/>
      <c r="X2069" s="686"/>
      <c r="Y2069" s="686"/>
      <c r="Z2069" s="686"/>
      <c r="AA2069" s="686"/>
      <c r="AB2069" s="686"/>
      <c r="AC2069" s="686"/>
      <c r="AD2069" s="686"/>
      <c r="AE2069" s="686"/>
      <c r="AF2069" s="686"/>
    </row>
    <row r="2070" ht="15.75" customHeight="1">
      <c r="A2070" s="683"/>
      <c r="B2070" s="683"/>
      <c r="C2070" s="684"/>
      <c r="D2070" s="684"/>
      <c r="E2070" s="684"/>
      <c r="F2070" s="683"/>
      <c r="G2070" s="683"/>
      <c r="H2070" s="683"/>
      <c r="I2070" s="683"/>
      <c r="J2070" s="683"/>
      <c r="K2070" s="683"/>
      <c r="L2070" s="685"/>
      <c r="M2070" s="685"/>
      <c r="N2070" s="687"/>
      <c r="O2070" s="683"/>
      <c r="P2070" s="683"/>
      <c r="Q2070" s="686"/>
      <c r="R2070" s="686"/>
      <c r="S2070" s="686"/>
      <c r="T2070" s="686"/>
      <c r="U2070" s="686"/>
      <c r="V2070" s="686"/>
      <c r="W2070" s="686"/>
      <c r="X2070" s="686"/>
      <c r="Y2070" s="686"/>
      <c r="Z2070" s="686"/>
      <c r="AA2070" s="686"/>
      <c r="AB2070" s="686"/>
      <c r="AC2070" s="686"/>
      <c r="AD2070" s="686"/>
      <c r="AE2070" s="686"/>
      <c r="AF2070" s="686"/>
    </row>
    <row r="2071" ht="15.75" customHeight="1">
      <c r="A2071" s="683"/>
      <c r="B2071" s="683"/>
      <c r="C2071" s="684"/>
      <c r="D2071" s="684"/>
      <c r="E2071" s="684"/>
      <c r="F2071" s="683"/>
      <c r="G2071" s="683"/>
      <c r="H2071" s="683"/>
      <c r="I2071" s="683"/>
      <c r="J2071" s="683"/>
      <c r="K2071" s="683"/>
      <c r="L2071" s="685"/>
      <c r="M2071" s="685"/>
      <c r="N2071" s="687"/>
      <c r="O2071" s="683"/>
      <c r="P2071" s="683"/>
      <c r="Q2071" s="686"/>
      <c r="R2071" s="686"/>
      <c r="S2071" s="686"/>
      <c r="T2071" s="686"/>
      <c r="U2071" s="686"/>
      <c r="V2071" s="686"/>
      <c r="W2071" s="686"/>
      <c r="X2071" s="686"/>
      <c r="Y2071" s="686"/>
      <c r="Z2071" s="686"/>
      <c r="AA2071" s="686"/>
      <c r="AB2071" s="686"/>
      <c r="AC2071" s="686"/>
      <c r="AD2071" s="686"/>
      <c r="AE2071" s="686"/>
      <c r="AF2071" s="686"/>
    </row>
    <row r="2072" ht="15.75" customHeight="1">
      <c r="A2072" s="683"/>
      <c r="B2072" s="683"/>
      <c r="C2072" s="684"/>
      <c r="D2072" s="684"/>
      <c r="E2072" s="684"/>
      <c r="F2072" s="683"/>
      <c r="G2072" s="683"/>
      <c r="H2072" s="683"/>
      <c r="I2072" s="683"/>
      <c r="J2072" s="683"/>
      <c r="K2072" s="683"/>
      <c r="L2072" s="685"/>
      <c r="M2072" s="685"/>
      <c r="N2072" s="687"/>
      <c r="O2072" s="683"/>
      <c r="P2072" s="683"/>
      <c r="Q2072" s="686"/>
      <c r="R2072" s="686"/>
      <c r="S2072" s="686"/>
      <c r="T2072" s="686"/>
      <c r="U2072" s="686"/>
      <c r="V2072" s="686"/>
      <c r="W2072" s="686"/>
      <c r="X2072" s="686"/>
      <c r="Y2072" s="686"/>
      <c r="Z2072" s="686"/>
      <c r="AA2072" s="686"/>
      <c r="AB2072" s="686"/>
      <c r="AC2072" s="686"/>
      <c r="AD2072" s="686"/>
      <c r="AE2072" s="686"/>
      <c r="AF2072" s="686"/>
    </row>
    <row r="2073" ht="15.75" customHeight="1">
      <c r="A2073" s="683"/>
      <c r="B2073" s="683"/>
      <c r="C2073" s="684"/>
      <c r="D2073" s="684"/>
      <c r="E2073" s="684"/>
      <c r="F2073" s="683"/>
      <c r="G2073" s="683"/>
      <c r="H2073" s="683"/>
      <c r="I2073" s="683"/>
      <c r="J2073" s="683"/>
      <c r="K2073" s="683"/>
      <c r="L2073" s="685"/>
      <c r="M2073" s="685"/>
      <c r="N2073" s="687"/>
      <c r="O2073" s="683"/>
      <c r="P2073" s="683"/>
      <c r="Q2073" s="686"/>
      <c r="R2073" s="686"/>
      <c r="S2073" s="686"/>
      <c r="T2073" s="686"/>
      <c r="U2073" s="686"/>
      <c r="V2073" s="686"/>
      <c r="W2073" s="686"/>
      <c r="X2073" s="686"/>
      <c r="Y2073" s="686"/>
      <c r="Z2073" s="686"/>
      <c r="AA2073" s="686"/>
      <c r="AB2073" s="686"/>
      <c r="AC2073" s="686"/>
      <c r="AD2073" s="686"/>
      <c r="AE2073" s="686"/>
      <c r="AF2073" s="686"/>
    </row>
    <row r="2074" ht="15.75" customHeight="1">
      <c r="A2074" s="683"/>
      <c r="B2074" s="683"/>
      <c r="C2074" s="684"/>
      <c r="D2074" s="684"/>
      <c r="E2074" s="684"/>
      <c r="F2074" s="683"/>
      <c r="G2074" s="683"/>
      <c r="H2074" s="683"/>
      <c r="I2074" s="683"/>
      <c r="J2074" s="683"/>
      <c r="K2074" s="683"/>
      <c r="L2074" s="685"/>
      <c r="M2074" s="685"/>
      <c r="N2074" s="687"/>
      <c r="O2074" s="683"/>
      <c r="P2074" s="683"/>
      <c r="Q2074" s="686"/>
      <c r="R2074" s="686"/>
      <c r="S2074" s="686"/>
      <c r="T2074" s="686"/>
      <c r="U2074" s="686"/>
      <c r="V2074" s="686"/>
      <c r="W2074" s="686"/>
      <c r="X2074" s="686"/>
      <c r="Y2074" s="686"/>
      <c r="Z2074" s="686"/>
      <c r="AA2074" s="686"/>
      <c r="AB2074" s="686"/>
      <c r="AC2074" s="686"/>
      <c r="AD2074" s="686"/>
      <c r="AE2074" s="686"/>
      <c r="AF2074" s="686"/>
    </row>
    <row r="2075" ht="15.75" customHeight="1">
      <c r="A2075" s="683"/>
      <c r="B2075" s="683"/>
      <c r="C2075" s="684"/>
      <c r="D2075" s="684"/>
      <c r="E2075" s="684"/>
      <c r="F2075" s="683"/>
      <c r="G2075" s="683"/>
      <c r="H2075" s="683"/>
      <c r="I2075" s="683"/>
      <c r="J2075" s="683"/>
      <c r="K2075" s="683"/>
      <c r="L2075" s="685"/>
      <c r="M2075" s="685"/>
      <c r="N2075" s="687"/>
      <c r="O2075" s="683"/>
      <c r="P2075" s="683"/>
      <c r="Q2075" s="686"/>
      <c r="R2075" s="686"/>
      <c r="S2075" s="686"/>
      <c r="T2075" s="686"/>
      <c r="U2075" s="686"/>
      <c r="V2075" s="686"/>
      <c r="W2075" s="686"/>
      <c r="X2075" s="686"/>
      <c r="Y2075" s="686"/>
      <c r="Z2075" s="686"/>
      <c r="AA2075" s="686"/>
      <c r="AB2075" s="686"/>
      <c r="AC2075" s="686"/>
      <c r="AD2075" s="686"/>
      <c r="AE2075" s="686"/>
      <c r="AF2075" s="686"/>
    </row>
    <row r="2076" ht="15.75" customHeight="1">
      <c r="A2076" s="683"/>
      <c r="B2076" s="683"/>
      <c r="C2076" s="684"/>
      <c r="D2076" s="684"/>
      <c r="E2076" s="684"/>
      <c r="F2076" s="683"/>
      <c r="G2076" s="683"/>
      <c r="H2076" s="683"/>
      <c r="I2076" s="683"/>
      <c r="J2076" s="683"/>
      <c r="K2076" s="683"/>
      <c r="L2076" s="685"/>
      <c r="M2076" s="685"/>
      <c r="N2076" s="687"/>
      <c r="O2076" s="683"/>
      <c r="P2076" s="683"/>
      <c r="Q2076" s="686"/>
      <c r="R2076" s="686"/>
      <c r="S2076" s="686"/>
      <c r="T2076" s="686"/>
      <c r="U2076" s="686"/>
      <c r="V2076" s="686"/>
      <c r="W2076" s="686"/>
      <c r="X2076" s="686"/>
      <c r="Y2076" s="686"/>
      <c r="Z2076" s="686"/>
      <c r="AA2076" s="686"/>
      <c r="AB2076" s="686"/>
      <c r="AC2076" s="686"/>
      <c r="AD2076" s="686"/>
      <c r="AE2076" s="686"/>
      <c r="AF2076" s="686"/>
    </row>
    <row r="2077" ht="15.75" customHeight="1">
      <c r="A2077" s="683"/>
      <c r="B2077" s="683"/>
      <c r="C2077" s="684"/>
      <c r="D2077" s="684"/>
      <c r="E2077" s="684"/>
      <c r="F2077" s="683"/>
      <c r="G2077" s="683"/>
      <c r="H2077" s="683"/>
      <c r="I2077" s="683"/>
      <c r="J2077" s="683"/>
      <c r="K2077" s="683"/>
      <c r="L2077" s="685"/>
      <c r="M2077" s="685"/>
      <c r="N2077" s="687"/>
      <c r="O2077" s="683"/>
      <c r="P2077" s="683"/>
      <c r="Q2077" s="686"/>
      <c r="R2077" s="686"/>
      <c r="S2077" s="686"/>
      <c r="T2077" s="686"/>
      <c r="U2077" s="686"/>
      <c r="V2077" s="686"/>
      <c r="W2077" s="686"/>
      <c r="X2077" s="686"/>
      <c r="Y2077" s="686"/>
      <c r="Z2077" s="686"/>
      <c r="AA2077" s="686"/>
      <c r="AB2077" s="686"/>
      <c r="AC2077" s="686"/>
      <c r="AD2077" s="686"/>
      <c r="AE2077" s="686"/>
      <c r="AF2077" s="686"/>
    </row>
    <row r="2078" ht="15.75" customHeight="1">
      <c r="A2078" s="683"/>
      <c r="B2078" s="683"/>
      <c r="C2078" s="684"/>
      <c r="D2078" s="684"/>
      <c r="E2078" s="684"/>
      <c r="F2078" s="683"/>
      <c r="G2078" s="683"/>
      <c r="H2078" s="683"/>
      <c r="I2078" s="683"/>
      <c r="J2078" s="683"/>
      <c r="K2078" s="683"/>
      <c r="L2078" s="685"/>
      <c r="M2078" s="685"/>
      <c r="N2078" s="687"/>
      <c r="O2078" s="683"/>
      <c r="P2078" s="683"/>
      <c r="Q2078" s="686"/>
      <c r="R2078" s="686"/>
      <c r="S2078" s="686"/>
      <c r="T2078" s="686"/>
      <c r="U2078" s="686"/>
      <c r="V2078" s="686"/>
      <c r="W2078" s="686"/>
      <c r="X2078" s="686"/>
      <c r="Y2078" s="686"/>
      <c r="Z2078" s="686"/>
      <c r="AA2078" s="686"/>
      <c r="AB2078" s="686"/>
      <c r="AC2078" s="686"/>
      <c r="AD2078" s="686"/>
      <c r="AE2078" s="686"/>
      <c r="AF2078" s="686"/>
    </row>
    <row r="2079" ht="15.75" customHeight="1">
      <c r="A2079" s="683"/>
      <c r="B2079" s="683"/>
      <c r="C2079" s="684"/>
      <c r="D2079" s="684"/>
      <c r="E2079" s="684"/>
      <c r="F2079" s="683"/>
      <c r="G2079" s="683"/>
      <c r="H2079" s="683"/>
      <c r="I2079" s="683"/>
      <c r="J2079" s="683"/>
      <c r="K2079" s="683"/>
      <c r="L2079" s="685"/>
      <c r="M2079" s="685"/>
      <c r="N2079" s="687"/>
      <c r="O2079" s="683"/>
      <c r="P2079" s="683"/>
      <c r="Q2079" s="686"/>
      <c r="R2079" s="686"/>
      <c r="S2079" s="686"/>
      <c r="T2079" s="686"/>
      <c r="U2079" s="686"/>
      <c r="V2079" s="686"/>
      <c r="W2079" s="686"/>
      <c r="X2079" s="686"/>
      <c r="Y2079" s="686"/>
      <c r="Z2079" s="686"/>
      <c r="AA2079" s="686"/>
      <c r="AB2079" s="686"/>
      <c r="AC2079" s="686"/>
      <c r="AD2079" s="686"/>
      <c r="AE2079" s="686"/>
      <c r="AF2079" s="686"/>
    </row>
    <row r="2080" ht="15.75" customHeight="1">
      <c r="A2080" s="683"/>
      <c r="B2080" s="683"/>
      <c r="C2080" s="684"/>
      <c r="D2080" s="684"/>
      <c r="E2080" s="684"/>
      <c r="F2080" s="683"/>
      <c r="G2080" s="683"/>
      <c r="H2080" s="683"/>
      <c r="I2080" s="683"/>
      <c r="J2080" s="683"/>
      <c r="K2080" s="683"/>
      <c r="L2080" s="685"/>
      <c r="M2080" s="685"/>
      <c r="N2080" s="687"/>
      <c r="O2080" s="683"/>
      <c r="P2080" s="683"/>
      <c r="Q2080" s="686"/>
      <c r="R2080" s="686"/>
      <c r="S2080" s="686"/>
      <c r="T2080" s="686"/>
      <c r="U2080" s="686"/>
      <c r="V2080" s="686"/>
      <c r="W2080" s="686"/>
      <c r="X2080" s="686"/>
      <c r="Y2080" s="686"/>
      <c r="Z2080" s="686"/>
      <c r="AA2080" s="686"/>
      <c r="AB2080" s="686"/>
      <c r="AC2080" s="686"/>
      <c r="AD2080" s="686"/>
      <c r="AE2080" s="686"/>
      <c r="AF2080" s="686"/>
    </row>
    <row r="2081" ht="15.75" customHeight="1">
      <c r="A2081" s="683"/>
      <c r="B2081" s="683"/>
      <c r="C2081" s="684"/>
      <c r="D2081" s="684"/>
      <c r="E2081" s="684"/>
      <c r="F2081" s="683"/>
      <c r="G2081" s="683"/>
      <c r="H2081" s="683"/>
      <c r="I2081" s="683"/>
      <c r="J2081" s="683"/>
      <c r="K2081" s="683"/>
      <c r="L2081" s="685"/>
      <c r="M2081" s="685"/>
      <c r="N2081" s="687"/>
      <c r="O2081" s="683"/>
      <c r="P2081" s="683"/>
      <c r="Q2081" s="686"/>
      <c r="R2081" s="686"/>
      <c r="S2081" s="686"/>
      <c r="T2081" s="686"/>
      <c r="U2081" s="686"/>
      <c r="V2081" s="686"/>
      <c r="W2081" s="686"/>
      <c r="X2081" s="686"/>
      <c r="Y2081" s="686"/>
      <c r="Z2081" s="686"/>
      <c r="AA2081" s="686"/>
      <c r="AB2081" s="686"/>
      <c r="AC2081" s="686"/>
      <c r="AD2081" s="686"/>
      <c r="AE2081" s="686"/>
      <c r="AF2081" s="686"/>
    </row>
    <row r="2082" ht="15.75" customHeight="1">
      <c r="A2082" s="683"/>
      <c r="B2082" s="683"/>
      <c r="C2082" s="684"/>
      <c r="D2082" s="684"/>
      <c r="E2082" s="684"/>
      <c r="F2082" s="683"/>
      <c r="G2082" s="683"/>
      <c r="H2082" s="683"/>
      <c r="I2082" s="683"/>
      <c r="J2082" s="683"/>
      <c r="K2082" s="683"/>
      <c r="L2082" s="685"/>
      <c r="M2082" s="685"/>
      <c r="N2082" s="687"/>
      <c r="O2082" s="683"/>
      <c r="P2082" s="683"/>
      <c r="Q2082" s="686"/>
      <c r="R2082" s="686"/>
      <c r="S2082" s="686"/>
      <c r="T2082" s="686"/>
      <c r="U2082" s="686"/>
      <c r="V2082" s="686"/>
      <c r="W2082" s="686"/>
      <c r="X2082" s="686"/>
      <c r="Y2082" s="686"/>
      <c r="Z2082" s="686"/>
      <c r="AA2082" s="686"/>
      <c r="AB2082" s="686"/>
      <c r="AC2082" s="686"/>
      <c r="AD2082" s="686"/>
      <c r="AE2082" s="686"/>
      <c r="AF2082" s="686"/>
    </row>
    <row r="2083" ht="15.75" customHeight="1">
      <c r="A2083" s="683"/>
      <c r="B2083" s="683"/>
      <c r="C2083" s="684"/>
      <c r="D2083" s="684"/>
      <c r="E2083" s="684"/>
      <c r="F2083" s="683"/>
      <c r="G2083" s="683"/>
      <c r="H2083" s="683"/>
      <c r="I2083" s="683"/>
      <c r="J2083" s="683"/>
      <c r="K2083" s="683"/>
      <c r="L2083" s="685"/>
      <c r="M2083" s="685"/>
      <c r="N2083" s="687"/>
      <c r="O2083" s="683"/>
      <c r="P2083" s="683"/>
      <c r="Q2083" s="686"/>
      <c r="R2083" s="686"/>
      <c r="S2083" s="686"/>
      <c r="T2083" s="686"/>
      <c r="U2083" s="686"/>
      <c r="V2083" s="686"/>
      <c r="W2083" s="686"/>
      <c r="X2083" s="686"/>
      <c r="Y2083" s="686"/>
      <c r="Z2083" s="686"/>
      <c r="AA2083" s="686"/>
      <c r="AB2083" s="686"/>
      <c r="AC2083" s="686"/>
      <c r="AD2083" s="686"/>
      <c r="AE2083" s="686"/>
      <c r="AF2083" s="686"/>
    </row>
    <row r="2084" ht="15.75" customHeight="1">
      <c r="A2084" s="683"/>
      <c r="B2084" s="683"/>
      <c r="C2084" s="684"/>
      <c r="D2084" s="684"/>
      <c r="E2084" s="684"/>
      <c r="F2084" s="683"/>
      <c r="G2084" s="683"/>
      <c r="H2084" s="683"/>
      <c r="I2084" s="683"/>
      <c r="J2084" s="683"/>
      <c r="K2084" s="683"/>
      <c r="L2084" s="685"/>
      <c r="M2084" s="685"/>
      <c r="N2084" s="687"/>
      <c r="O2084" s="683"/>
      <c r="P2084" s="683"/>
      <c r="Q2084" s="686"/>
      <c r="R2084" s="686"/>
      <c r="S2084" s="686"/>
      <c r="T2084" s="686"/>
      <c r="U2084" s="686"/>
      <c r="V2084" s="686"/>
      <c r="W2084" s="686"/>
      <c r="X2084" s="686"/>
      <c r="Y2084" s="686"/>
      <c r="Z2084" s="686"/>
      <c r="AA2084" s="686"/>
      <c r="AB2084" s="686"/>
      <c r="AC2084" s="686"/>
      <c r="AD2084" s="686"/>
      <c r="AE2084" s="686"/>
      <c r="AF2084" s="686"/>
    </row>
    <row r="2085" ht="15.75" customHeight="1">
      <c r="A2085" s="683"/>
      <c r="B2085" s="683"/>
      <c r="C2085" s="684"/>
      <c r="D2085" s="684"/>
      <c r="E2085" s="684"/>
      <c r="F2085" s="683"/>
      <c r="G2085" s="683"/>
      <c r="H2085" s="683"/>
      <c r="I2085" s="683"/>
      <c r="J2085" s="683"/>
      <c r="K2085" s="683"/>
      <c r="L2085" s="685"/>
      <c r="M2085" s="685"/>
      <c r="N2085" s="687"/>
      <c r="O2085" s="683"/>
      <c r="P2085" s="683"/>
      <c r="Q2085" s="686"/>
      <c r="R2085" s="686"/>
      <c r="S2085" s="686"/>
      <c r="T2085" s="686"/>
      <c r="U2085" s="686"/>
      <c r="V2085" s="686"/>
      <c r="W2085" s="686"/>
      <c r="X2085" s="686"/>
      <c r="Y2085" s="686"/>
      <c r="Z2085" s="686"/>
      <c r="AA2085" s="686"/>
      <c r="AB2085" s="686"/>
      <c r="AC2085" s="686"/>
      <c r="AD2085" s="686"/>
      <c r="AE2085" s="686"/>
      <c r="AF2085" s="686"/>
    </row>
    <row r="2086" ht="15.75" customHeight="1">
      <c r="A2086" s="683"/>
      <c r="B2086" s="683"/>
      <c r="C2086" s="684"/>
      <c r="D2086" s="684"/>
      <c r="E2086" s="684"/>
      <c r="F2086" s="683"/>
      <c r="G2086" s="683"/>
      <c r="H2086" s="683"/>
      <c r="I2086" s="683"/>
      <c r="J2086" s="683"/>
      <c r="K2086" s="683"/>
      <c r="L2086" s="685"/>
      <c r="M2086" s="685"/>
      <c r="N2086" s="687"/>
      <c r="O2086" s="683"/>
      <c r="P2086" s="683"/>
      <c r="Q2086" s="686"/>
      <c r="R2086" s="686"/>
      <c r="S2086" s="686"/>
      <c r="T2086" s="686"/>
      <c r="U2086" s="686"/>
      <c r="V2086" s="686"/>
      <c r="W2086" s="686"/>
      <c r="X2086" s="686"/>
      <c r="Y2086" s="686"/>
      <c r="Z2086" s="686"/>
      <c r="AA2086" s="686"/>
      <c r="AB2086" s="686"/>
      <c r="AC2086" s="686"/>
      <c r="AD2086" s="686"/>
      <c r="AE2086" s="686"/>
      <c r="AF2086" s="686"/>
    </row>
    <row r="2087" ht="15.75" customHeight="1">
      <c r="A2087" s="683"/>
      <c r="B2087" s="683"/>
      <c r="C2087" s="684"/>
      <c r="D2087" s="684"/>
      <c r="E2087" s="684"/>
      <c r="F2087" s="683"/>
      <c r="G2087" s="683"/>
      <c r="H2087" s="683"/>
      <c r="I2087" s="683"/>
      <c r="J2087" s="683"/>
      <c r="K2087" s="683"/>
      <c r="L2087" s="685"/>
      <c r="M2087" s="685"/>
      <c r="N2087" s="687"/>
      <c r="O2087" s="683"/>
      <c r="P2087" s="683"/>
      <c r="Q2087" s="686"/>
      <c r="R2087" s="686"/>
      <c r="S2087" s="686"/>
      <c r="T2087" s="686"/>
      <c r="U2087" s="686"/>
      <c r="V2087" s="686"/>
      <c r="W2087" s="686"/>
      <c r="X2087" s="686"/>
      <c r="Y2087" s="686"/>
      <c r="Z2087" s="686"/>
      <c r="AA2087" s="686"/>
      <c r="AB2087" s="686"/>
      <c r="AC2087" s="686"/>
      <c r="AD2087" s="686"/>
      <c r="AE2087" s="686"/>
      <c r="AF2087" s="686"/>
    </row>
    <row r="2088" ht="15.75" customHeight="1">
      <c r="A2088" s="683"/>
      <c r="B2088" s="683"/>
      <c r="C2088" s="684"/>
      <c r="D2088" s="684"/>
      <c r="E2088" s="684"/>
      <c r="F2088" s="683"/>
      <c r="G2088" s="683"/>
      <c r="H2088" s="683"/>
      <c r="I2088" s="683"/>
      <c r="J2088" s="683"/>
      <c r="K2088" s="683"/>
      <c r="L2088" s="685"/>
      <c r="M2088" s="685"/>
      <c r="N2088" s="687"/>
      <c r="O2088" s="683"/>
      <c r="P2088" s="683"/>
      <c r="Q2088" s="686"/>
      <c r="R2088" s="686"/>
      <c r="S2088" s="686"/>
      <c r="T2088" s="686"/>
      <c r="U2088" s="686"/>
      <c r="V2088" s="686"/>
      <c r="W2088" s="686"/>
      <c r="X2088" s="686"/>
      <c r="Y2088" s="686"/>
      <c r="Z2088" s="686"/>
      <c r="AA2088" s="686"/>
      <c r="AB2088" s="686"/>
      <c r="AC2088" s="686"/>
      <c r="AD2088" s="686"/>
      <c r="AE2088" s="686"/>
      <c r="AF2088" s="686"/>
    </row>
    <row r="2089" ht="15.75" customHeight="1">
      <c r="A2089" s="683"/>
      <c r="B2089" s="683"/>
      <c r="C2089" s="684"/>
      <c r="D2089" s="684"/>
      <c r="E2089" s="684"/>
      <c r="F2089" s="683"/>
      <c r="G2089" s="683"/>
      <c r="H2089" s="683"/>
      <c r="I2089" s="683"/>
      <c r="J2089" s="683"/>
      <c r="K2089" s="683"/>
      <c r="L2089" s="685"/>
      <c r="M2089" s="685"/>
      <c r="N2089" s="687"/>
      <c r="O2089" s="683"/>
      <c r="P2089" s="683"/>
      <c r="Q2089" s="686"/>
      <c r="R2089" s="686"/>
      <c r="S2089" s="686"/>
      <c r="T2089" s="686"/>
      <c r="U2089" s="686"/>
      <c r="V2089" s="686"/>
      <c r="W2089" s="686"/>
      <c r="X2089" s="686"/>
      <c r="Y2089" s="686"/>
      <c r="Z2089" s="686"/>
      <c r="AA2089" s="686"/>
      <c r="AB2089" s="686"/>
      <c r="AC2089" s="686"/>
      <c r="AD2089" s="686"/>
      <c r="AE2089" s="686"/>
      <c r="AF2089" s="686"/>
    </row>
    <row r="2090" ht="15.75" customHeight="1">
      <c r="A2090" s="683"/>
      <c r="B2090" s="683"/>
      <c r="C2090" s="684"/>
      <c r="D2090" s="684"/>
      <c r="E2090" s="684"/>
      <c r="F2090" s="683"/>
      <c r="G2090" s="683"/>
      <c r="H2090" s="683"/>
      <c r="I2090" s="683"/>
      <c r="J2090" s="683"/>
      <c r="K2090" s="683"/>
      <c r="L2090" s="685"/>
      <c r="M2090" s="685"/>
      <c r="N2090" s="687"/>
      <c r="O2090" s="683"/>
      <c r="P2090" s="683"/>
      <c r="Q2090" s="686"/>
      <c r="R2090" s="686"/>
      <c r="S2090" s="686"/>
      <c r="T2090" s="686"/>
      <c r="U2090" s="686"/>
      <c r="V2090" s="686"/>
      <c r="W2090" s="686"/>
      <c r="X2090" s="686"/>
      <c r="Y2090" s="686"/>
      <c r="Z2090" s="686"/>
      <c r="AA2090" s="686"/>
      <c r="AB2090" s="686"/>
      <c r="AC2090" s="686"/>
      <c r="AD2090" s="686"/>
      <c r="AE2090" s="686"/>
      <c r="AF2090" s="686"/>
    </row>
    <row r="2091" ht="15.75" customHeight="1">
      <c r="A2091" s="683"/>
      <c r="B2091" s="683"/>
      <c r="C2091" s="684"/>
      <c r="D2091" s="684"/>
      <c r="E2091" s="684"/>
      <c r="F2091" s="683"/>
      <c r="G2091" s="683"/>
      <c r="H2091" s="683"/>
      <c r="I2091" s="683"/>
      <c r="J2091" s="683"/>
      <c r="K2091" s="683"/>
      <c r="L2091" s="685"/>
      <c r="M2091" s="685"/>
      <c r="N2091" s="687"/>
      <c r="O2091" s="683"/>
      <c r="P2091" s="683"/>
      <c r="Q2091" s="686"/>
      <c r="R2091" s="686"/>
      <c r="S2091" s="686"/>
      <c r="T2091" s="686"/>
      <c r="U2091" s="686"/>
      <c r="V2091" s="686"/>
      <c r="W2091" s="686"/>
      <c r="X2091" s="686"/>
      <c r="Y2091" s="686"/>
      <c r="Z2091" s="686"/>
      <c r="AA2091" s="686"/>
      <c r="AB2091" s="686"/>
      <c r="AC2091" s="686"/>
      <c r="AD2091" s="686"/>
      <c r="AE2091" s="686"/>
      <c r="AF2091" s="686"/>
    </row>
    <row r="2092" ht="15.75" customHeight="1">
      <c r="A2092" s="683"/>
      <c r="B2092" s="683"/>
      <c r="C2092" s="684"/>
      <c r="D2092" s="684"/>
      <c r="E2092" s="684"/>
      <c r="F2092" s="683"/>
      <c r="G2092" s="683"/>
      <c r="H2092" s="683"/>
      <c r="I2092" s="683"/>
      <c r="J2092" s="683"/>
      <c r="K2092" s="683"/>
      <c r="L2092" s="685"/>
      <c r="M2092" s="685"/>
      <c r="N2092" s="687"/>
      <c r="O2092" s="683"/>
      <c r="P2092" s="683"/>
      <c r="Q2092" s="686"/>
      <c r="R2092" s="686"/>
      <c r="S2092" s="686"/>
      <c r="T2092" s="686"/>
      <c r="U2092" s="686"/>
      <c r="V2092" s="686"/>
      <c r="W2092" s="686"/>
      <c r="X2092" s="686"/>
      <c r="Y2092" s="686"/>
      <c r="Z2092" s="686"/>
      <c r="AA2092" s="686"/>
      <c r="AB2092" s="686"/>
      <c r="AC2092" s="686"/>
      <c r="AD2092" s="686"/>
      <c r="AE2092" s="686"/>
      <c r="AF2092" s="686"/>
    </row>
    <row r="2093" ht="15.75" customHeight="1">
      <c r="A2093" s="683"/>
      <c r="B2093" s="683"/>
      <c r="C2093" s="684"/>
      <c r="D2093" s="684"/>
      <c r="E2093" s="684"/>
      <c r="F2093" s="683"/>
      <c r="G2093" s="683"/>
      <c r="H2093" s="683"/>
      <c r="I2093" s="683"/>
      <c r="J2093" s="683"/>
      <c r="K2093" s="683"/>
      <c r="L2093" s="685"/>
      <c r="M2093" s="685"/>
      <c r="N2093" s="687"/>
      <c r="O2093" s="683"/>
      <c r="P2093" s="683"/>
      <c r="Q2093" s="686"/>
      <c r="R2093" s="686"/>
      <c r="S2093" s="686"/>
      <c r="T2093" s="686"/>
      <c r="U2093" s="686"/>
      <c r="V2093" s="686"/>
      <c r="W2093" s="686"/>
      <c r="X2093" s="686"/>
      <c r="Y2093" s="686"/>
      <c r="Z2093" s="686"/>
      <c r="AA2093" s="686"/>
      <c r="AB2093" s="686"/>
      <c r="AC2093" s="686"/>
      <c r="AD2093" s="686"/>
      <c r="AE2093" s="686"/>
      <c r="AF2093" s="686"/>
    </row>
    <row r="2094" ht="15.75" customHeight="1">
      <c r="A2094" s="683"/>
      <c r="B2094" s="683"/>
      <c r="C2094" s="684"/>
      <c r="D2094" s="684"/>
      <c r="E2094" s="684"/>
      <c r="F2094" s="683"/>
      <c r="G2094" s="683"/>
      <c r="H2094" s="683"/>
      <c r="I2094" s="683"/>
      <c r="J2094" s="683"/>
      <c r="K2094" s="683"/>
      <c r="L2094" s="685"/>
      <c r="M2094" s="685"/>
      <c r="N2094" s="687"/>
      <c r="O2094" s="683"/>
      <c r="P2094" s="683"/>
      <c r="Q2094" s="686"/>
      <c r="R2094" s="686"/>
      <c r="S2094" s="686"/>
      <c r="T2094" s="686"/>
      <c r="U2094" s="686"/>
      <c r="V2094" s="686"/>
      <c r="W2094" s="686"/>
      <c r="X2094" s="686"/>
      <c r="Y2094" s="686"/>
      <c r="Z2094" s="686"/>
      <c r="AA2094" s="686"/>
      <c r="AB2094" s="686"/>
      <c r="AC2094" s="686"/>
      <c r="AD2094" s="686"/>
      <c r="AE2094" s="686"/>
      <c r="AF2094" s="686"/>
    </row>
    <row r="2095" ht="15.75" customHeight="1">
      <c r="A2095" s="683"/>
      <c r="B2095" s="683"/>
      <c r="C2095" s="684"/>
      <c r="D2095" s="684"/>
      <c r="E2095" s="684"/>
      <c r="F2095" s="683"/>
      <c r="G2095" s="683"/>
      <c r="H2095" s="683"/>
      <c r="I2095" s="683"/>
      <c r="J2095" s="683"/>
      <c r="K2095" s="683"/>
      <c r="L2095" s="685"/>
      <c r="M2095" s="685"/>
      <c r="N2095" s="687"/>
      <c r="O2095" s="683"/>
      <c r="P2095" s="685"/>
      <c r="Q2095" s="686"/>
      <c r="R2095" s="686"/>
      <c r="S2095" s="686"/>
      <c r="T2095" s="686"/>
      <c r="U2095" s="686"/>
      <c r="V2095" s="686"/>
      <c r="W2095" s="686"/>
      <c r="X2095" s="686"/>
      <c r="Y2095" s="686"/>
      <c r="Z2095" s="686"/>
      <c r="AA2095" s="686"/>
      <c r="AB2095" s="686"/>
      <c r="AC2095" s="686"/>
      <c r="AD2095" s="686"/>
      <c r="AE2095" s="686"/>
      <c r="AF2095" s="686"/>
    </row>
    <row r="2096" ht="15.75" customHeight="1">
      <c r="A2096" s="683"/>
      <c r="B2096" s="683"/>
      <c r="C2096" s="684"/>
      <c r="D2096" s="684"/>
      <c r="E2096" s="684"/>
      <c r="F2096" s="683"/>
      <c r="G2096" s="683"/>
      <c r="H2096" s="683"/>
      <c r="I2096" s="683"/>
      <c r="J2096" s="683"/>
      <c r="K2096" s="683"/>
      <c r="L2096" s="685"/>
      <c r="M2096" s="685"/>
      <c r="N2096" s="687"/>
      <c r="O2096" s="683"/>
      <c r="P2096" s="683"/>
      <c r="Q2096" s="686"/>
      <c r="R2096" s="686"/>
      <c r="S2096" s="686"/>
      <c r="T2096" s="686"/>
      <c r="U2096" s="686"/>
      <c r="V2096" s="686"/>
      <c r="W2096" s="686"/>
      <c r="X2096" s="686"/>
      <c r="Y2096" s="686"/>
      <c r="Z2096" s="686"/>
      <c r="AA2096" s="686"/>
      <c r="AB2096" s="686"/>
      <c r="AC2096" s="686"/>
      <c r="AD2096" s="686"/>
      <c r="AE2096" s="686"/>
      <c r="AF2096" s="686"/>
    </row>
    <row r="2097" ht="15.75" customHeight="1">
      <c r="A2097" s="683"/>
      <c r="B2097" s="683"/>
      <c r="C2097" s="684"/>
      <c r="D2097" s="684"/>
      <c r="E2097" s="684"/>
      <c r="F2097" s="683"/>
      <c r="G2097" s="683"/>
      <c r="H2097" s="683"/>
      <c r="I2097" s="683"/>
      <c r="J2097" s="683"/>
      <c r="K2097" s="683"/>
      <c r="L2097" s="685"/>
      <c r="M2097" s="685"/>
      <c r="N2097" s="687"/>
      <c r="O2097" s="683"/>
      <c r="P2097" s="683"/>
      <c r="Q2097" s="686"/>
      <c r="R2097" s="686"/>
      <c r="S2097" s="686"/>
      <c r="T2097" s="686"/>
      <c r="U2097" s="686"/>
      <c r="V2097" s="686"/>
      <c r="W2097" s="686"/>
      <c r="X2097" s="686"/>
      <c r="Y2097" s="686"/>
      <c r="Z2097" s="686"/>
      <c r="AA2097" s="686"/>
      <c r="AB2097" s="686"/>
      <c r="AC2097" s="686"/>
      <c r="AD2097" s="686"/>
      <c r="AE2097" s="686"/>
      <c r="AF2097" s="686"/>
    </row>
    <row r="2098" ht="15.75" customHeight="1">
      <c r="A2098" s="683"/>
      <c r="B2098" s="683"/>
      <c r="C2098" s="684"/>
      <c r="D2098" s="684"/>
      <c r="E2098" s="684"/>
      <c r="F2098" s="683"/>
      <c r="G2098" s="683"/>
      <c r="H2098" s="683"/>
      <c r="I2098" s="683"/>
      <c r="J2098" s="683"/>
      <c r="K2098" s="683"/>
      <c r="L2098" s="685"/>
      <c r="M2098" s="685"/>
      <c r="N2098" s="687"/>
      <c r="O2098" s="683"/>
      <c r="P2098" s="683"/>
      <c r="Q2098" s="686"/>
      <c r="R2098" s="686"/>
      <c r="S2098" s="686"/>
      <c r="T2098" s="686"/>
      <c r="U2098" s="686"/>
      <c r="V2098" s="686"/>
      <c r="W2098" s="686"/>
      <c r="X2098" s="686"/>
      <c r="Y2098" s="686"/>
      <c r="Z2098" s="686"/>
      <c r="AA2098" s="686"/>
      <c r="AB2098" s="686"/>
      <c r="AC2098" s="686"/>
      <c r="AD2098" s="686"/>
      <c r="AE2098" s="686"/>
      <c r="AF2098" s="686"/>
    </row>
    <row r="2099" ht="15.75" customHeight="1">
      <c r="A2099" s="683"/>
      <c r="B2099" s="683"/>
      <c r="C2099" s="684"/>
      <c r="D2099" s="684"/>
      <c r="E2099" s="684"/>
      <c r="F2099" s="683"/>
      <c r="G2099" s="683"/>
      <c r="H2099" s="683"/>
      <c r="I2099" s="683"/>
      <c r="J2099" s="683"/>
      <c r="K2099" s="683"/>
      <c r="L2099" s="685"/>
      <c r="M2099" s="685"/>
      <c r="N2099" s="687"/>
      <c r="O2099" s="683"/>
      <c r="P2099" s="683"/>
      <c r="Q2099" s="686"/>
      <c r="R2099" s="686"/>
      <c r="S2099" s="686"/>
      <c r="T2099" s="686"/>
      <c r="U2099" s="686"/>
      <c r="V2099" s="686"/>
      <c r="W2099" s="686"/>
      <c r="X2099" s="686"/>
      <c r="Y2099" s="686"/>
      <c r="Z2099" s="686"/>
      <c r="AA2099" s="686"/>
      <c r="AB2099" s="686"/>
      <c r="AC2099" s="686"/>
      <c r="AD2099" s="686"/>
      <c r="AE2099" s="686"/>
      <c r="AF2099" s="686"/>
    </row>
    <row r="2100" ht="15.75" customHeight="1">
      <c r="A2100" s="683"/>
      <c r="B2100" s="683"/>
      <c r="C2100" s="684"/>
      <c r="D2100" s="684"/>
      <c r="E2100" s="684"/>
      <c r="F2100" s="683"/>
      <c r="G2100" s="683"/>
      <c r="H2100" s="683"/>
      <c r="I2100" s="683"/>
      <c r="J2100" s="683"/>
      <c r="K2100" s="683"/>
      <c r="L2100" s="685"/>
      <c r="M2100" s="685"/>
      <c r="N2100" s="687"/>
      <c r="O2100" s="683"/>
      <c r="P2100" s="683"/>
      <c r="Q2100" s="686"/>
      <c r="R2100" s="686"/>
      <c r="S2100" s="686"/>
      <c r="T2100" s="686"/>
      <c r="U2100" s="686"/>
      <c r="V2100" s="686"/>
      <c r="W2100" s="686"/>
      <c r="X2100" s="686"/>
      <c r="Y2100" s="686"/>
      <c r="Z2100" s="686"/>
      <c r="AA2100" s="686"/>
      <c r="AB2100" s="686"/>
      <c r="AC2100" s="686"/>
      <c r="AD2100" s="686"/>
      <c r="AE2100" s="686"/>
      <c r="AF2100" s="686"/>
    </row>
    <row r="2101" ht="15.75" customHeight="1">
      <c r="A2101" s="683"/>
      <c r="B2101" s="683"/>
      <c r="C2101" s="684"/>
      <c r="D2101" s="684"/>
      <c r="E2101" s="684"/>
      <c r="F2101" s="683"/>
      <c r="G2101" s="683"/>
      <c r="H2101" s="683"/>
      <c r="I2101" s="683"/>
      <c r="J2101" s="683"/>
      <c r="K2101" s="683"/>
      <c r="L2101" s="685"/>
      <c r="M2101" s="685"/>
      <c r="N2101" s="687"/>
      <c r="O2101" s="683"/>
      <c r="P2101" s="683"/>
      <c r="Q2101" s="686"/>
      <c r="R2101" s="686"/>
      <c r="S2101" s="686"/>
      <c r="T2101" s="686"/>
      <c r="U2101" s="686"/>
      <c r="V2101" s="686"/>
      <c r="W2101" s="686"/>
      <c r="X2101" s="686"/>
      <c r="Y2101" s="686"/>
      <c r="Z2101" s="686"/>
      <c r="AA2101" s="686"/>
      <c r="AB2101" s="686"/>
      <c r="AC2101" s="686"/>
      <c r="AD2101" s="686"/>
      <c r="AE2101" s="686"/>
      <c r="AF2101" s="686"/>
    </row>
    <row r="2102" ht="15.75" customHeight="1">
      <c r="A2102" s="683"/>
      <c r="B2102" s="683"/>
      <c r="C2102" s="684"/>
      <c r="D2102" s="684"/>
      <c r="E2102" s="684"/>
      <c r="F2102" s="683"/>
      <c r="G2102" s="683"/>
      <c r="H2102" s="683"/>
      <c r="I2102" s="683"/>
      <c r="J2102" s="683"/>
      <c r="K2102" s="683"/>
      <c r="L2102" s="685"/>
      <c r="M2102" s="685"/>
      <c r="N2102" s="687"/>
      <c r="O2102" s="683"/>
      <c r="P2102" s="683"/>
      <c r="Q2102" s="686"/>
      <c r="R2102" s="686"/>
      <c r="S2102" s="686"/>
      <c r="T2102" s="686"/>
      <c r="U2102" s="686"/>
      <c r="V2102" s="686"/>
      <c r="W2102" s="686"/>
      <c r="X2102" s="686"/>
      <c r="Y2102" s="686"/>
      <c r="Z2102" s="686"/>
      <c r="AA2102" s="686"/>
      <c r="AB2102" s="686"/>
      <c r="AC2102" s="686"/>
      <c r="AD2102" s="686"/>
      <c r="AE2102" s="686"/>
      <c r="AF2102" s="686"/>
    </row>
    <row r="2103" ht="15.75" customHeight="1">
      <c r="A2103" s="683"/>
      <c r="B2103" s="683"/>
      <c r="C2103" s="684"/>
      <c r="D2103" s="684"/>
      <c r="E2103" s="684"/>
      <c r="F2103" s="683"/>
      <c r="G2103" s="683"/>
      <c r="H2103" s="683"/>
      <c r="I2103" s="683"/>
      <c r="J2103" s="683"/>
      <c r="K2103" s="683"/>
      <c r="L2103" s="685"/>
      <c r="M2103" s="685"/>
      <c r="N2103" s="687"/>
      <c r="O2103" s="683"/>
      <c r="P2103" s="683"/>
      <c r="Q2103" s="686"/>
      <c r="R2103" s="686"/>
      <c r="S2103" s="686"/>
      <c r="T2103" s="686"/>
      <c r="U2103" s="686"/>
      <c r="V2103" s="686"/>
      <c r="W2103" s="686"/>
      <c r="X2103" s="686"/>
      <c r="Y2103" s="686"/>
      <c r="Z2103" s="686"/>
      <c r="AA2103" s="686"/>
      <c r="AB2103" s="686"/>
      <c r="AC2103" s="686"/>
      <c r="AD2103" s="686"/>
      <c r="AE2103" s="686"/>
      <c r="AF2103" s="686"/>
    </row>
    <row r="2104" ht="15.75" customHeight="1">
      <c r="A2104" s="683"/>
      <c r="B2104" s="683"/>
      <c r="C2104" s="684"/>
      <c r="D2104" s="684"/>
      <c r="E2104" s="684"/>
      <c r="F2104" s="683"/>
      <c r="G2104" s="683"/>
      <c r="H2104" s="683"/>
      <c r="I2104" s="683"/>
      <c r="J2104" s="683"/>
      <c r="K2104" s="683"/>
      <c r="L2104" s="685"/>
      <c r="M2104" s="685"/>
      <c r="N2104" s="687"/>
      <c r="O2104" s="683"/>
      <c r="P2104" s="683"/>
      <c r="Q2104" s="686"/>
      <c r="R2104" s="686"/>
      <c r="S2104" s="686"/>
      <c r="T2104" s="686"/>
      <c r="U2104" s="686"/>
      <c r="V2104" s="686"/>
      <c r="W2104" s="686"/>
      <c r="X2104" s="686"/>
      <c r="Y2104" s="686"/>
      <c r="Z2104" s="686"/>
      <c r="AA2104" s="686"/>
      <c r="AB2104" s="686"/>
      <c r="AC2104" s="686"/>
      <c r="AD2104" s="686"/>
      <c r="AE2104" s="686"/>
      <c r="AF2104" s="686"/>
    </row>
    <row r="2105" ht="15.75" customHeight="1">
      <c r="A2105" s="683"/>
      <c r="B2105" s="683"/>
      <c r="C2105" s="684"/>
      <c r="D2105" s="684"/>
      <c r="E2105" s="684"/>
      <c r="F2105" s="683"/>
      <c r="G2105" s="683"/>
      <c r="H2105" s="683"/>
      <c r="I2105" s="683"/>
      <c r="J2105" s="683"/>
      <c r="K2105" s="683"/>
      <c r="L2105" s="685"/>
      <c r="M2105" s="685"/>
      <c r="N2105" s="687"/>
      <c r="O2105" s="683"/>
      <c r="P2105" s="683"/>
      <c r="Q2105" s="686"/>
      <c r="R2105" s="686"/>
      <c r="S2105" s="686"/>
      <c r="T2105" s="686"/>
      <c r="U2105" s="686"/>
      <c r="V2105" s="686"/>
      <c r="W2105" s="686"/>
      <c r="X2105" s="686"/>
      <c r="Y2105" s="686"/>
      <c r="Z2105" s="686"/>
      <c r="AA2105" s="686"/>
      <c r="AB2105" s="686"/>
      <c r="AC2105" s="686"/>
      <c r="AD2105" s="686"/>
      <c r="AE2105" s="686"/>
      <c r="AF2105" s="686"/>
    </row>
    <row r="2106" ht="15.75" customHeight="1">
      <c r="A2106" s="683"/>
      <c r="B2106" s="683"/>
      <c r="C2106" s="684"/>
      <c r="D2106" s="684"/>
      <c r="E2106" s="684"/>
      <c r="F2106" s="683"/>
      <c r="G2106" s="683"/>
      <c r="H2106" s="683"/>
      <c r="I2106" s="683"/>
      <c r="J2106" s="683"/>
      <c r="K2106" s="683"/>
      <c r="L2106" s="685"/>
      <c r="M2106" s="685"/>
      <c r="N2106" s="687"/>
      <c r="O2106" s="683"/>
      <c r="P2106" s="683"/>
      <c r="Q2106" s="686"/>
      <c r="R2106" s="686"/>
      <c r="S2106" s="686"/>
      <c r="T2106" s="686"/>
      <c r="U2106" s="686"/>
      <c r="V2106" s="686"/>
      <c r="W2106" s="686"/>
      <c r="X2106" s="686"/>
      <c r="Y2106" s="686"/>
      <c r="Z2106" s="686"/>
      <c r="AA2106" s="686"/>
      <c r="AB2106" s="686"/>
      <c r="AC2106" s="686"/>
      <c r="AD2106" s="686"/>
      <c r="AE2106" s="686"/>
      <c r="AF2106" s="686"/>
    </row>
    <row r="2107" ht="15.75" customHeight="1">
      <c r="A2107" s="683"/>
      <c r="B2107" s="683"/>
      <c r="C2107" s="684"/>
      <c r="D2107" s="684"/>
      <c r="E2107" s="684"/>
      <c r="F2107" s="683"/>
      <c r="G2107" s="683"/>
      <c r="H2107" s="683"/>
      <c r="I2107" s="683"/>
      <c r="J2107" s="683"/>
      <c r="K2107" s="683"/>
      <c r="L2107" s="685"/>
      <c r="M2107" s="685"/>
      <c r="N2107" s="687"/>
      <c r="O2107" s="683"/>
      <c r="P2107" s="683"/>
      <c r="Q2107" s="686"/>
      <c r="R2107" s="686"/>
      <c r="S2107" s="686"/>
      <c r="T2107" s="686"/>
      <c r="U2107" s="686"/>
      <c r="V2107" s="686"/>
      <c r="W2107" s="686"/>
      <c r="X2107" s="686"/>
      <c r="Y2107" s="686"/>
      <c r="Z2107" s="686"/>
      <c r="AA2107" s="686"/>
      <c r="AB2107" s="686"/>
      <c r="AC2107" s="686"/>
      <c r="AD2107" s="686"/>
      <c r="AE2107" s="686"/>
      <c r="AF2107" s="686"/>
    </row>
    <row r="2108" ht="15.75" customHeight="1">
      <c r="A2108" s="683"/>
      <c r="B2108" s="683"/>
      <c r="C2108" s="684"/>
      <c r="D2108" s="684"/>
      <c r="E2108" s="684"/>
      <c r="F2108" s="683"/>
      <c r="G2108" s="683"/>
      <c r="H2108" s="683"/>
      <c r="I2108" s="683"/>
      <c r="J2108" s="683"/>
      <c r="K2108" s="683"/>
      <c r="L2108" s="685"/>
      <c r="M2108" s="685"/>
      <c r="N2108" s="687"/>
      <c r="O2108" s="683"/>
      <c r="P2108" s="683"/>
      <c r="Q2108" s="686"/>
      <c r="R2108" s="686"/>
      <c r="S2108" s="686"/>
      <c r="T2108" s="686"/>
      <c r="U2108" s="686"/>
      <c r="V2108" s="686"/>
      <c r="W2108" s="686"/>
      <c r="X2108" s="686"/>
      <c r="Y2108" s="686"/>
      <c r="Z2108" s="686"/>
      <c r="AA2108" s="686"/>
      <c r="AB2108" s="686"/>
      <c r="AC2108" s="686"/>
      <c r="AD2108" s="686"/>
      <c r="AE2108" s="686"/>
      <c r="AF2108" s="686"/>
    </row>
    <row r="2109" ht="15.75" customHeight="1">
      <c r="A2109" s="683"/>
      <c r="B2109" s="683"/>
      <c r="C2109" s="684"/>
      <c r="D2109" s="684"/>
      <c r="E2109" s="684"/>
      <c r="F2109" s="683"/>
      <c r="G2109" s="683"/>
      <c r="H2109" s="683"/>
      <c r="I2109" s="683"/>
      <c r="J2109" s="683"/>
      <c r="K2109" s="683"/>
      <c r="L2109" s="685"/>
      <c r="M2109" s="685"/>
      <c r="N2109" s="687"/>
      <c r="O2109" s="683"/>
      <c r="P2109" s="683"/>
      <c r="Q2109" s="686"/>
      <c r="R2109" s="686"/>
      <c r="S2109" s="686"/>
      <c r="T2109" s="686"/>
      <c r="U2109" s="686"/>
      <c r="V2109" s="686"/>
      <c r="W2109" s="686"/>
      <c r="X2109" s="686"/>
      <c r="Y2109" s="686"/>
      <c r="Z2109" s="686"/>
      <c r="AA2109" s="686"/>
      <c r="AB2109" s="686"/>
      <c r="AC2109" s="686"/>
      <c r="AD2109" s="686"/>
      <c r="AE2109" s="686"/>
      <c r="AF2109" s="686"/>
    </row>
    <row r="2110" ht="15.75" customHeight="1">
      <c r="A2110" s="683"/>
      <c r="B2110" s="683"/>
      <c r="C2110" s="684"/>
      <c r="D2110" s="684"/>
      <c r="E2110" s="684"/>
      <c r="F2110" s="683"/>
      <c r="G2110" s="683"/>
      <c r="H2110" s="683"/>
      <c r="I2110" s="683"/>
      <c r="J2110" s="683"/>
      <c r="K2110" s="683"/>
      <c r="L2110" s="685"/>
      <c r="M2110" s="685"/>
      <c r="N2110" s="687"/>
      <c r="O2110" s="683"/>
      <c r="P2110" s="683"/>
      <c r="Q2110" s="686"/>
      <c r="R2110" s="686"/>
      <c r="S2110" s="686"/>
      <c r="T2110" s="686"/>
      <c r="U2110" s="686"/>
      <c r="V2110" s="686"/>
      <c r="W2110" s="686"/>
      <c r="X2110" s="686"/>
      <c r="Y2110" s="686"/>
      <c r="Z2110" s="686"/>
      <c r="AA2110" s="686"/>
      <c r="AB2110" s="686"/>
      <c r="AC2110" s="686"/>
      <c r="AD2110" s="686"/>
      <c r="AE2110" s="686"/>
      <c r="AF2110" s="686"/>
    </row>
    <row r="2111" ht="15.75" customHeight="1">
      <c r="A2111" s="683"/>
      <c r="B2111" s="683"/>
      <c r="C2111" s="684"/>
      <c r="D2111" s="684"/>
      <c r="E2111" s="684"/>
      <c r="F2111" s="683"/>
      <c r="G2111" s="683"/>
      <c r="H2111" s="683"/>
      <c r="I2111" s="683"/>
      <c r="J2111" s="683"/>
      <c r="K2111" s="683"/>
      <c r="L2111" s="685"/>
      <c r="M2111" s="685"/>
      <c r="N2111" s="687"/>
      <c r="O2111" s="683"/>
      <c r="P2111" s="683"/>
      <c r="Q2111" s="686"/>
      <c r="R2111" s="686"/>
      <c r="S2111" s="686"/>
      <c r="T2111" s="686"/>
      <c r="U2111" s="686"/>
      <c r="V2111" s="686"/>
      <c r="W2111" s="686"/>
      <c r="X2111" s="686"/>
      <c r="Y2111" s="686"/>
      <c r="Z2111" s="686"/>
      <c r="AA2111" s="686"/>
      <c r="AB2111" s="686"/>
      <c r="AC2111" s="686"/>
      <c r="AD2111" s="686"/>
      <c r="AE2111" s="686"/>
      <c r="AF2111" s="686"/>
    </row>
    <row r="2112" ht="15.75" customHeight="1">
      <c r="A2112" s="683"/>
      <c r="B2112" s="683"/>
      <c r="C2112" s="684"/>
      <c r="D2112" s="684"/>
      <c r="E2112" s="684"/>
      <c r="F2112" s="683"/>
      <c r="G2112" s="683"/>
      <c r="H2112" s="683"/>
      <c r="I2112" s="683"/>
      <c r="J2112" s="683"/>
      <c r="K2112" s="683"/>
      <c r="L2112" s="685"/>
      <c r="M2112" s="685"/>
      <c r="N2112" s="687"/>
      <c r="O2112" s="683"/>
      <c r="P2112" s="683"/>
      <c r="Q2112" s="686"/>
      <c r="R2112" s="686"/>
      <c r="S2112" s="686"/>
      <c r="T2112" s="686"/>
      <c r="U2112" s="686"/>
      <c r="V2112" s="686"/>
      <c r="W2112" s="686"/>
      <c r="X2112" s="686"/>
      <c r="Y2112" s="686"/>
      <c r="Z2112" s="686"/>
      <c r="AA2112" s="686"/>
      <c r="AB2112" s="686"/>
      <c r="AC2112" s="686"/>
      <c r="AD2112" s="686"/>
      <c r="AE2112" s="686"/>
      <c r="AF2112" s="686"/>
    </row>
    <row r="2113" ht="15.75" customHeight="1">
      <c r="A2113" s="683"/>
      <c r="B2113" s="683"/>
      <c r="C2113" s="684"/>
      <c r="D2113" s="684"/>
      <c r="E2113" s="684"/>
      <c r="F2113" s="683"/>
      <c r="G2113" s="683"/>
      <c r="H2113" s="683"/>
      <c r="I2113" s="683"/>
      <c r="J2113" s="683"/>
      <c r="K2113" s="683"/>
      <c r="L2113" s="685"/>
      <c r="M2113" s="685"/>
      <c r="N2113" s="687"/>
      <c r="O2113" s="683"/>
      <c r="P2113" s="683"/>
      <c r="Q2113" s="686"/>
      <c r="R2113" s="686"/>
      <c r="S2113" s="686"/>
      <c r="T2113" s="686"/>
      <c r="U2113" s="686"/>
      <c r="V2113" s="686"/>
      <c r="W2113" s="686"/>
      <c r="X2113" s="686"/>
      <c r="Y2113" s="686"/>
      <c r="Z2113" s="686"/>
      <c r="AA2113" s="686"/>
      <c r="AB2113" s="686"/>
      <c r="AC2113" s="686"/>
      <c r="AD2113" s="686"/>
      <c r="AE2113" s="686"/>
      <c r="AF2113" s="686"/>
    </row>
    <row r="2114" ht="15.75" customHeight="1">
      <c r="A2114" s="683"/>
      <c r="B2114" s="683"/>
      <c r="C2114" s="684"/>
      <c r="D2114" s="684"/>
      <c r="E2114" s="684"/>
      <c r="F2114" s="683"/>
      <c r="G2114" s="683"/>
      <c r="H2114" s="683"/>
      <c r="I2114" s="683"/>
      <c r="J2114" s="683"/>
      <c r="K2114" s="683"/>
      <c r="L2114" s="685"/>
      <c r="M2114" s="685"/>
      <c r="N2114" s="687"/>
      <c r="O2114" s="683"/>
      <c r="P2114" s="683"/>
      <c r="Q2114" s="686"/>
      <c r="R2114" s="686"/>
      <c r="S2114" s="686"/>
      <c r="T2114" s="686"/>
      <c r="U2114" s="686"/>
      <c r="V2114" s="686"/>
      <c r="W2114" s="686"/>
      <c r="X2114" s="686"/>
      <c r="Y2114" s="686"/>
      <c r="Z2114" s="686"/>
      <c r="AA2114" s="686"/>
      <c r="AB2114" s="686"/>
      <c r="AC2114" s="686"/>
      <c r="AD2114" s="686"/>
      <c r="AE2114" s="686"/>
      <c r="AF2114" s="686"/>
    </row>
    <row r="2115" ht="15.75" customHeight="1">
      <c r="A2115" s="683"/>
      <c r="B2115" s="683"/>
      <c r="C2115" s="684"/>
      <c r="D2115" s="684"/>
      <c r="E2115" s="684"/>
      <c r="F2115" s="683"/>
      <c r="G2115" s="683"/>
      <c r="H2115" s="683"/>
      <c r="I2115" s="683"/>
      <c r="J2115" s="683"/>
      <c r="K2115" s="683"/>
      <c r="L2115" s="685"/>
      <c r="M2115" s="685"/>
      <c r="N2115" s="687"/>
      <c r="O2115" s="683"/>
      <c r="P2115" s="683"/>
      <c r="Q2115" s="686"/>
      <c r="R2115" s="686"/>
      <c r="S2115" s="686"/>
      <c r="T2115" s="686"/>
      <c r="U2115" s="686"/>
      <c r="V2115" s="686"/>
      <c r="W2115" s="686"/>
      <c r="X2115" s="686"/>
      <c r="Y2115" s="686"/>
      <c r="Z2115" s="686"/>
      <c r="AA2115" s="686"/>
      <c r="AB2115" s="686"/>
      <c r="AC2115" s="686"/>
      <c r="AD2115" s="686"/>
      <c r="AE2115" s="686"/>
      <c r="AF2115" s="686"/>
    </row>
    <row r="2116" ht="15.75" customHeight="1">
      <c r="A2116" s="683"/>
      <c r="B2116" s="683"/>
      <c r="C2116" s="684"/>
      <c r="D2116" s="684"/>
      <c r="E2116" s="684"/>
      <c r="F2116" s="683"/>
      <c r="G2116" s="683"/>
      <c r="H2116" s="683"/>
      <c r="I2116" s="683"/>
      <c r="J2116" s="683"/>
      <c r="K2116" s="683"/>
      <c r="L2116" s="685"/>
      <c r="M2116" s="685"/>
      <c r="N2116" s="687"/>
      <c r="O2116" s="683"/>
      <c r="P2116" s="683"/>
      <c r="Q2116" s="686"/>
      <c r="R2116" s="686"/>
      <c r="S2116" s="686"/>
      <c r="T2116" s="686"/>
      <c r="U2116" s="686"/>
      <c r="V2116" s="686"/>
      <c r="W2116" s="686"/>
      <c r="X2116" s="686"/>
      <c r="Y2116" s="686"/>
      <c r="Z2116" s="686"/>
      <c r="AA2116" s="686"/>
      <c r="AB2116" s="686"/>
      <c r="AC2116" s="686"/>
      <c r="AD2116" s="686"/>
      <c r="AE2116" s="686"/>
      <c r="AF2116" s="686"/>
    </row>
    <row r="2117" ht="15.75" customHeight="1">
      <c r="A2117" s="683"/>
      <c r="B2117" s="683"/>
      <c r="C2117" s="684"/>
      <c r="D2117" s="684"/>
      <c r="E2117" s="684"/>
      <c r="F2117" s="683"/>
      <c r="G2117" s="683"/>
      <c r="H2117" s="683"/>
      <c r="I2117" s="683"/>
      <c r="J2117" s="683"/>
      <c r="K2117" s="683"/>
      <c r="L2117" s="685"/>
      <c r="M2117" s="685"/>
      <c r="N2117" s="687"/>
      <c r="O2117" s="683"/>
      <c r="P2117" s="683"/>
      <c r="Q2117" s="686"/>
      <c r="R2117" s="686"/>
      <c r="S2117" s="686"/>
      <c r="T2117" s="686"/>
      <c r="U2117" s="686"/>
      <c r="V2117" s="686"/>
      <c r="W2117" s="686"/>
      <c r="X2117" s="686"/>
      <c r="Y2117" s="686"/>
      <c r="Z2117" s="686"/>
      <c r="AA2117" s="686"/>
      <c r="AB2117" s="686"/>
      <c r="AC2117" s="686"/>
      <c r="AD2117" s="686"/>
      <c r="AE2117" s="686"/>
      <c r="AF2117" s="686"/>
    </row>
    <row r="2118" ht="15.75" customHeight="1">
      <c r="A2118" s="683"/>
      <c r="B2118" s="683"/>
      <c r="C2118" s="684"/>
      <c r="D2118" s="684"/>
      <c r="E2118" s="684"/>
      <c r="F2118" s="683"/>
      <c r="G2118" s="683"/>
      <c r="H2118" s="683"/>
      <c r="I2118" s="683"/>
      <c r="J2118" s="683"/>
      <c r="K2118" s="683"/>
      <c r="L2118" s="685"/>
      <c r="M2118" s="685"/>
      <c r="N2118" s="687"/>
      <c r="O2118" s="683"/>
      <c r="P2118" s="683"/>
      <c r="Q2118" s="686"/>
      <c r="R2118" s="686"/>
      <c r="S2118" s="686"/>
      <c r="T2118" s="686"/>
      <c r="U2118" s="686"/>
      <c r="V2118" s="686"/>
      <c r="W2118" s="686"/>
      <c r="X2118" s="686"/>
      <c r="Y2118" s="686"/>
      <c r="Z2118" s="686"/>
      <c r="AA2118" s="686"/>
      <c r="AB2118" s="686"/>
      <c r="AC2118" s="686"/>
      <c r="AD2118" s="686"/>
      <c r="AE2118" s="686"/>
      <c r="AF2118" s="686"/>
    </row>
    <row r="2119" ht="15.75" customHeight="1">
      <c r="A2119" s="683"/>
      <c r="B2119" s="683"/>
      <c r="C2119" s="684"/>
      <c r="D2119" s="684"/>
      <c r="E2119" s="684"/>
      <c r="F2119" s="683"/>
      <c r="G2119" s="683"/>
      <c r="H2119" s="683"/>
      <c r="I2119" s="683"/>
      <c r="J2119" s="683"/>
      <c r="K2119" s="683"/>
      <c r="L2119" s="685"/>
      <c r="M2119" s="685"/>
      <c r="N2119" s="687"/>
      <c r="O2119" s="683"/>
      <c r="P2119" s="683"/>
      <c r="Q2119" s="686"/>
      <c r="R2119" s="686"/>
      <c r="S2119" s="686"/>
      <c r="T2119" s="686"/>
      <c r="U2119" s="686"/>
      <c r="V2119" s="686"/>
      <c r="W2119" s="686"/>
      <c r="X2119" s="686"/>
      <c r="Y2119" s="686"/>
      <c r="Z2119" s="686"/>
      <c r="AA2119" s="686"/>
      <c r="AB2119" s="686"/>
      <c r="AC2119" s="686"/>
      <c r="AD2119" s="686"/>
      <c r="AE2119" s="686"/>
      <c r="AF2119" s="686"/>
    </row>
    <row r="2120" ht="15.75" customHeight="1">
      <c r="A2120" s="683"/>
      <c r="B2120" s="683"/>
      <c r="C2120" s="684"/>
      <c r="D2120" s="684"/>
      <c r="E2120" s="684"/>
      <c r="F2120" s="683"/>
      <c r="G2120" s="683"/>
      <c r="H2120" s="683"/>
      <c r="I2120" s="683"/>
      <c r="J2120" s="683"/>
      <c r="K2120" s="683"/>
      <c r="L2120" s="685"/>
      <c r="M2120" s="685"/>
      <c r="N2120" s="687"/>
      <c r="O2120" s="683"/>
      <c r="P2120" s="683"/>
      <c r="Q2120" s="686"/>
      <c r="R2120" s="686"/>
      <c r="S2120" s="686"/>
      <c r="T2120" s="686"/>
      <c r="U2120" s="686"/>
      <c r="V2120" s="686"/>
      <c r="W2120" s="686"/>
      <c r="X2120" s="686"/>
      <c r="Y2120" s="686"/>
      <c r="Z2120" s="686"/>
      <c r="AA2120" s="686"/>
      <c r="AB2120" s="686"/>
      <c r="AC2120" s="686"/>
      <c r="AD2120" s="686"/>
      <c r="AE2120" s="686"/>
      <c r="AF2120" s="686"/>
    </row>
    <row r="2121" ht="15.75" customHeight="1">
      <c r="A2121" s="683"/>
      <c r="B2121" s="683"/>
      <c r="C2121" s="684"/>
      <c r="D2121" s="684"/>
      <c r="E2121" s="684"/>
      <c r="F2121" s="683"/>
      <c r="G2121" s="683"/>
      <c r="H2121" s="683"/>
      <c r="I2121" s="683"/>
      <c r="J2121" s="683"/>
      <c r="K2121" s="683"/>
      <c r="L2121" s="685"/>
      <c r="M2121" s="685"/>
      <c r="N2121" s="687"/>
      <c r="O2121" s="683"/>
      <c r="P2121" s="685"/>
      <c r="Q2121" s="686"/>
      <c r="R2121" s="686"/>
      <c r="S2121" s="686"/>
      <c r="T2121" s="686"/>
      <c r="U2121" s="686"/>
      <c r="V2121" s="686"/>
      <c r="W2121" s="686"/>
      <c r="X2121" s="686"/>
      <c r="Y2121" s="686"/>
      <c r="Z2121" s="686"/>
      <c r="AA2121" s="686"/>
      <c r="AB2121" s="686"/>
      <c r="AC2121" s="686"/>
      <c r="AD2121" s="686"/>
      <c r="AE2121" s="686"/>
      <c r="AF2121" s="686"/>
    </row>
    <row r="2122" ht="15.75" customHeight="1">
      <c r="A2122" s="683"/>
      <c r="B2122" s="683"/>
      <c r="C2122" s="684"/>
      <c r="D2122" s="684"/>
      <c r="E2122" s="684"/>
      <c r="F2122" s="683"/>
      <c r="G2122" s="683"/>
      <c r="H2122" s="683"/>
      <c r="I2122" s="683"/>
      <c r="J2122" s="683"/>
      <c r="K2122" s="683"/>
      <c r="L2122" s="685"/>
      <c r="M2122" s="685"/>
      <c r="N2122" s="687"/>
      <c r="O2122" s="683"/>
      <c r="P2122" s="683"/>
      <c r="Q2122" s="686"/>
      <c r="R2122" s="686"/>
      <c r="S2122" s="686"/>
      <c r="T2122" s="686"/>
      <c r="U2122" s="686"/>
      <c r="V2122" s="686"/>
      <c r="W2122" s="686"/>
      <c r="X2122" s="686"/>
      <c r="Y2122" s="686"/>
      <c r="Z2122" s="686"/>
      <c r="AA2122" s="686"/>
      <c r="AB2122" s="686"/>
      <c r="AC2122" s="686"/>
      <c r="AD2122" s="686"/>
      <c r="AE2122" s="686"/>
      <c r="AF2122" s="686"/>
    </row>
    <row r="2123" ht="15.75" customHeight="1">
      <c r="A2123" s="683"/>
      <c r="B2123" s="683"/>
      <c r="C2123" s="684"/>
      <c r="D2123" s="684"/>
      <c r="E2123" s="684"/>
      <c r="F2123" s="683"/>
      <c r="G2123" s="683"/>
      <c r="H2123" s="683"/>
      <c r="I2123" s="683"/>
      <c r="J2123" s="683"/>
      <c r="K2123" s="683"/>
      <c r="L2123" s="685"/>
      <c r="M2123" s="685"/>
      <c r="N2123" s="687"/>
      <c r="O2123" s="683"/>
      <c r="P2123" s="683"/>
      <c r="Q2123" s="686"/>
      <c r="R2123" s="686"/>
      <c r="S2123" s="686"/>
      <c r="T2123" s="686"/>
      <c r="U2123" s="686"/>
      <c r="V2123" s="686"/>
      <c r="W2123" s="686"/>
      <c r="X2123" s="686"/>
      <c r="Y2123" s="686"/>
      <c r="Z2123" s="686"/>
      <c r="AA2123" s="686"/>
      <c r="AB2123" s="686"/>
      <c r="AC2123" s="686"/>
      <c r="AD2123" s="686"/>
      <c r="AE2123" s="686"/>
      <c r="AF2123" s="686"/>
    </row>
    <row r="2124" ht="15.75" customHeight="1">
      <c r="A2124" s="683"/>
      <c r="B2124" s="683"/>
      <c r="C2124" s="684"/>
      <c r="D2124" s="684"/>
      <c r="E2124" s="684"/>
      <c r="F2124" s="683"/>
      <c r="G2124" s="683"/>
      <c r="H2124" s="683"/>
      <c r="I2124" s="683"/>
      <c r="J2124" s="683"/>
      <c r="K2124" s="683"/>
      <c r="L2124" s="685"/>
      <c r="M2124" s="685"/>
      <c r="N2124" s="687"/>
      <c r="O2124" s="683"/>
      <c r="P2124" s="683"/>
      <c r="Q2124" s="686"/>
      <c r="R2124" s="686"/>
      <c r="S2124" s="686"/>
      <c r="T2124" s="686"/>
      <c r="U2124" s="686"/>
      <c r="V2124" s="686"/>
      <c r="W2124" s="686"/>
      <c r="X2124" s="686"/>
      <c r="Y2124" s="686"/>
      <c r="Z2124" s="686"/>
      <c r="AA2124" s="686"/>
      <c r="AB2124" s="686"/>
      <c r="AC2124" s="686"/>
      <c r="AD2124" s="686"/>
      <c r="AE2124" s="686"/>
      <c r="AF2124" s="686"/>
    </row>
    <row r="2125" ht="15.75" customHeight="1">
      <c r="A2125" s="683"/>
      <c r="B2125" s="683"/>
      <c r="C2125" s="684"/>
      <c r="D2125" s="684"/>
      <c r="E2125" s="684"/>
      <c r="F2125" s="683"/>
      <c r="G2125" s="683"/>
      <c r="H2125" s="683"/>
      <c r="I2125" s="683"/>
      <c r="J2125" s="683"/>
      <c r="K2125" s="683"/>
      <c r="L2125" s="685"/>
      <c r="M2125" s="685"/>
      <c r="N2125" s="687"/>
      <c r="O2125" s="683"/>
      <c r="P2125" s="683"/>
      <c r="Q2125" s="686"/>
      <c r="R2125" s="686"/>
      <c r="S2125" s="686"/>
      <c r="T2125" s="686"/>
      <c r="U2125" s="686"/>
      <c r="V2125" s="686"/>
      <c r="W2125" s="686"/>
      <c r="X2125" s="686"/>
      <c r="Y2125" s="686"/>
      <c r="Z2125" s="686"/>
      <c r="AA2125" s="686"/>
      <c r="AB2125" s="686"/>
      <c r="AC2125" s="686"/>
      <c r="AD2125" s="686"/>
      <c r="AE2125" s="686"/>
      <c r="AF2125" s="686"/>
    </row>
    <row r="2126" ht="15.75" customHeight="1">
      <c r="A2126" s="683"/>
      <c r="B2126" s="683"/>
      <c r="C2126" s="684"/>
      <c r="D2126" s="684"/>
      <c r="E2126" s="684"/>
      <c r="F2126" s="683"/>
      <c r="G2126" s="683"/>
      <c r="H2126" s="683"/>
      <c r="I2126" s="683"/>
      <c r="J2126" s="683"/>
      <c r="K2126" s="683"/>
      <c r="L2126" s="685"/>
      <c r="M2126" s="685"/>
      <c r="N2126" s="687"/>
      <c r="O2126" s="683"/>
      <c r="P2126" s="683"/>
      <c r="Q2126" s="686"/>
      <c r="R2126" s="686"/>
      <c r="S2126" s="686"/>
      <c r="T2126" s="686"/>
      <c r="U2126" s="686"/>
      <c r="V2126" s="686"/>
      <c r="W2126" s="686"/>
      <c r="X2126" s="686"/>
      <c r="Y2126" s="686"/>
      <c r="Z2126" s="686"/>
      <c r="AA2126" s="686"/>
      <c r="AB2126" s="686"/>
      <c r="AC2126" s="686"/>
      <c r="AD2126" s="686"/>
      <c r="AE2126" s="686"/>
      <c r="AF2126" s="686"/>
    </row>
    <row r="2127" ht="15.75" customHeight="1">
      <c r="A2127" s="683"/>
      <c r="B2127" s="683"/>
      <c r="C2127" s="684"/>
      <c r="D2127" s="684"/>
      <c r="E2127" s="684"/>
      <c r="F2127" s="683"/>
      <c r="G2127" s="683"/>
      <c r="H2127" s="683"/>
      <c r="I2127" s="683"/>
      <c r="J2127" s="683"/>
      <c r="K2127" s="683"/>
      <c r="L2127" s="685"/>
      <c r="M2127" s="685"/>
      <c r="N2127" s="687"/>
      <c r="O2127" s="683"/>
      <c r="P2127" s="683"/>
      <c r="Q2127" s="686"/>
      <c r="R2127" s="686"/>
      <c r="S2127" s="686"/>
      <c r="T2127" s="686"/>
      <c r="U2127" s="686"/>
      <c r="V2127" s="686"/>
      <c r="W2127" s="686"/>
      <c r="X2127" s="686"/>
      <c r="Y2127" s="686"/>
      <c r="Z2127" s="686"/>
      <c r="AA2127" s="686"/>
      <c r="AB2127" s="686"/>
      <c r="AC2127" s="686"/>
      <c r="AD2127" s="686"/>
      <c r="AE2127" s="686"/>
      <c r="AF2127" s="686"/>
    </row>
    <row r="2128" ht="15.75" customHeight="1">
      <c r="A2128" s="683"/>
      <c r="B2128" s="683"/>
      <c r="C2128" s="684"/>
      <c r="D2128" s="684"/>
      <c r="E2128" s="684"/>
      <c r="F2128" s="683"/>
      <c r="G2128" s="683"/>
      <c r="H2128" s="683"/>
      <c r="I2128" s="683"/>
      <c r="J2128" s="683"/>
      <c r="K2128" s="683"/>
      <c r="L2128" s="685"/>
      <c r="M2128" s="685"/>
      <c r="N2128" s="687"/>
      <c r="O2128" s="683"/>
      <c r="P2128" s="683"/>
      <c r="Q2128" s="686"/>
      <c r="R2128" s="686"/>
      <c r="S2128" s="686"/>
      <c r="T2128" s="686"/>
      <c r="U2128" s="686"/>
      <c r="V2128" s="686"/>
      <c r="W2128" s="686"/>
      <c r="X2128" s="686"/>
      <c r="Y2128" s="686"/>
      <c r="Z2128" s="686"/>
      <c r="AA2128" s="686"/>
      <c r="AB2128" s="686"/>
      <c r="AC2128" s="686"/>
      <c r="AD2128" s="686"/>
      <c r="AE2128" s="686"/>
      <c r="AF2128" s="686"/>
    </row>
    <row r="2129" ht="15.75" customHeight="1">
      <c r="A2129" s="683"/>
      <c r="B2129" s="683"/>
      <c r="C2129" s="684"/>
      <c r="D2129" s="684"/>
      <c r="E2129" s="684"/>
      <c r="F2129" s="683"/>
      <c r="G2129" s="683"/>
      <c r="H2129" s="683"/>
      <c r="I2129" s="683"/>
      <c r="J2129" s="683"/>
      <c r="K2129" s="683"/>
      <c r="L2129" s="685"/>
      <c r="M2129" s="685"/>
      <c r="N2129" s="687"/>
      <c r="O2129" s="683"/>
      <c r="P2129" s="683"/>
      <c r="Q2129" s="686"/>
      <c r="R2129" s="686"/>
      <c r="S2129" s="686"/>
      <c r="T2129" s="686"/>
      <c r="U2129" s="686"/>
      <c r="V2129" s="686"/>
      <c r="W2129" s="686"/>
      <c r="X2129" s="686"/>
      <c r="Y2129" s="686"/>
      <c r="Z2129" s="686"/>
      <c r="AA2129" s="686"/>
      <c r="AB2129" s="686"/>
      <c r="AC2129" s="686"/>
      <c r="AD2129" s="686"/>
      <c r="AE2129" s="686"/>
      <c r="AF2129" s="686"/>
    </row>
    <row r="2130" ht="15.75" customHeight="1">
      <c r="A2130" s="683"/>
      <c r="B2130" s="683"/>
      <c r="C2130" s="684"/>
      <c r="D2130" s="684"/>
      <c r="E2130" s="684"/>
      <c r="F2130" s="683"/>
      <c r="G2130" s="683"/>
      <c r="H2130" s="683"/>
      <c r="I2130" s="683"/>
      <c r="J2130" s="683"/>
      <c r="K2130" s="683"/>
      <c r="L2130" s="685"/>
      <c r="M2130" s="685"/>
      <c r="N2130" s="687"/>
      <c r="O2130" s="683"/>
      <c r="P2130" s="683"/>
      <c r="Q2130" s="686"/>
      <c r="R2130" s="686"/>
      <c r="S2130" s="686"/>
      <c r="T2130" s="686"/>
      <c r="U2130" s="686"/>
      <c r="V2130" s="686"/>
      <c r="W2130" s="686"/>
      <c r="X2130" s="686"/>
      <c r="Y2130" s="686"/>
      <c r="Z2130" s="686"/>
      <c r="AA2130" s="686"/>
      <c r="AB2130" s="686"/>
      <c r="AC2130" s="686"/>
      <c r="AD2130" s="686"/>
      <c r="AE2130" s="686"/>
      <c r="AF2130" s="686"/>
    </row>
    <row r="2131" ht="15.75" customHeight="1">
      <c r="A2131" s="683"/>
      <c r="B2131" s="683"/>
      <c r="C2131" s="684"/>
      <c r="D2131" s="684"/>
      <c r="E2131" s="684"/>
      <c r="F2131" s="683"/>
      <c r="G2131" s="683"/>
      <c r="H2131" s="683"/>
      <c r="I2131" s="683"/>
      <c r="J2131" s="683"/>
      <c r="K2131" s="683"/>
      <c r="L2131" s="685"/>
      <c r="M2131" s="685"/>
      <c r="N2131" s="687"/>
      <c r="O2131" s="683"/>
      <c r="P2131" s="683"/>
      <c r="Q2131" s="686"/>
      <c r="R2131" s="686"/>
      <c r="S2131" s="686"/>
      <c r="T2131" s="686"/>
      <c r="U2131" s="686"/>
      <c r="V2131" s="686"/>
      <c r="W2131" s="686"/>
      <c r="X2131" s="686"/>
      <c r="Y2131" s="686"/>
      <c r="Z2131" s="686"/>
      <c r="AA2131" s="686"/>
      <c r="AB2131" s="686"/>
      <c r="AC2131" s="686"/>
      <c r="AD2131" s="686"/>
      <c r="AE2131" s="686"/>
      <c r="AF2131" s="686"/>
    </row>
    <row r="2132" ht="15.75" customHeight="1">
      <c r="A2132" s="683"/>
      <c r="B2132" s="683"/>
      <c r="C2132" s="684"/>
      <c r="D2132" s="684"/>
      <c r="E2132" s="684"/>
      <c r="F2132" s="683"/>
      <c r="G2132" s="683"/>
      <c r="H2132" s="683"/>
      <c r="I2132" s="683"/>
      <c r="J2132" s="683"/>
      <c r="K2132" s="683"/>
      <c r="L2132" s="685"/>
      <c r="M2132" s="685"/>
      <c r="N2132" s="687"/>
      <c r="O2132" s="683"/>
      <c r="P2132" s="683"/>
      <c r="Q2132" s="686"/>
      <c r="R2132" s="686"/>
      <c r="S2132" s="686"/>
      <c r="T2132" s="686"/>
      <c r="U2132" s="686"/>
      <c r="V2132" s="686"/>
      <c r="W2132" s="686"/>
      <c r="X2132" s="686"/>
      <c r="Y2132" s="686"/>
      <c r="Z2132" s="686"/>
      <c r="AA2132" s="686"/>
      <c r="AB2132" s="686"/>
      <c r="AC2132" s="686"/>
      <c r="AD2132" s="686"/>
      <c r="AE2132" s="686"/>
      <c r="AF2132" s="686"/>
    </row>
    <row r="2133" ht="15.75" customHeight="1">
      <c r="A2133" s="683"/>
      <c r="B2133" s="683"/>
      <c r="C2133" s="684"/>
      <c r="D2133" s="684"/>
      <c r="E2133" s="684"/>
      <c r="F2133" s="683"/>
      <c r="G2133" s="683"/>
      <c r="H2133" s="683"/>
      <c r="I2133" s="683"/>
      <c r="J2133" s="683"/>
      <c r="K2133" s="683"/>
      <c r="L2133" s="685"/>
      <c r="M2133" s="685"/>
      <c r="N2133" s="687"/>
      <c r="O2133" s="683"/>
      <c r="P2133" s="683"/>
      <c r="Q2133" s="686"/>
      <c r="R2133" s="686"/>
      <c r="S2133" s="686"/>
      <c r="T2133" s="686"/>
      <c r="U2133" s="686"/>
      <c r="V2133" s="686"/>
      <c r="W2133" s="686"/>
      <c r="X2133" s="686"/>
      <c r="Y2133" s="686"/>
      <c r="Z2133" s="686"/>
      <c r="AA2133" s="686"/>
      <c r="AB2133" s="686"/>
      <c r="AC2133" s="686"/>
      <c r="AD2133" s="686"/>
      <c r="AE2133" s="686"/>
      <c r="AF2133" s="686"/>
    </row>
    <row r="2134" ht="15.75" customHeight="1">
      <c r="A2134" s="683"/>
      <c r="B2134" s="683"/>
      <c r="C2134" s="684"/>
      <c r="D2134" s="684"/>
      <c r="E2134" s="684"/>
      <c r="F2134" s="683"/>
      <c r="G2134" s="683"/>
      <c r="H2134" s="683"/>
      <c r="I2134" s="683"/>
      <c r="J2134" s="683"/>
      <c r="K2134" s="683"/>
      <c r="L2134" s="685"/>
      <c r="M2134" s="685"/>
      <c r="N2134" s="687"/>
      <c r="O2134" s="683"/>
      <c r="P2134" s="683"/>
      <c r="Q2134" s="686"/>
      <c r="R2134" s="686"/>
      <c r="S2134" s="686"/>
      <c r="T2134" s="686"/>
      <c r="U2134" s="686"/>
      <c r="V2134" s="686"/>
      <c r="W2134" s="686"/>
      <c r="X2134" s="686"/>
      <c r="Y2134" s="686"/>
      <c r="Z2134" s="686"/>
      <c r="AA2134" s="686"/>
      <c r="AB2134" s="686"/>
      <c r="AC2134" s="686"/>
      <c r="AD2134" s="686"/>
      <c r="AE2134" s="686"/>
      <c r="AF2134" s="686"/>
    </row>
    <row r="2135" ht="15.75" customHeight="1">
      <c r="A2135" s="683"/>
      <c r="B2135" s="683"/>
      <c r="C2135" s="684"/>
      <c r="D2135" s="684"/>
      <c r="E2135" s="684"/>
      <c r="F2135" s="683"/>
      <c r="G2135" s="683"/>
      <c r="H2135" s="683"/>
      <c r="I2135" s="683"/>
      <c r="J2135" s="683"/>
      <c r="K2135" s="683"/>
      <c r="L2135" s="685"/>
      <c r="M2135" s="685"/>
      <c r="N2135" s="687"/>
      <c r="O2135" s="683"/>
      <c r="P2135" s="683"/>
      <c r="Q2135" s="686"/>
      <c r="R2135" s="686"/>
      <c r="S2135" s="686"/>
      <c r="T2135" s="686"/>
      <c r="U2135" s="686"/>
      <c r="V2135" s="686"/>
      <c r="W2135" s="686"/>
      <c r="X2135" s="686"/>
      <c r="Y2135" s="686"/>
      <c r="Z2135" s="686"/>
      <c r="AA2135" s="686"/>
      <c r="AB2135" s="686"/>
      <c r="AC2135" s="686"/>
      <c r="AD2135" s="686"/>
      <c r="AE2135" s="686"/>
      <c r="AF2135" s="686"/>
    </row>
    <row r="2136" ht="15.75" customHeight="1">
      <c r="A2136" s="683"/>
      <c r="B2136" s="683"/>
      <c r="C2136" s="684"/>
      <c r="D2136" s="684"/>
      <c r="E2136" s="684"/>
      <c r="F2136" s="683"/>
      <c r="G2136" s="683"/>
      <c r="H2136" s="683"/>
      <c r="I2136" s="683"/>
      <c r="J2136" s="683"/>
      <c r="K2136" s="683"/>
      <c r="L2136" s="685"/>
      <c r="M2136" s="685"/>
      <c r="N2136" s="687"/>
      <c r="O2136" s="683"/>
      <c r="P2136" s="683"/>
      <c r="Q2136" s="686"/>
      <c r="R2136" s="686"/>
      <c r="S2136" s="686"/>
      <c r="T2136" s="686"/>
      <c r="U2136" s="686"/>
      <c r="V2136" s="686"/>
      <c r="W2136" s="686"/>
      <c r="X2136" s="686"/>
      <c r="Y2136" s="686"/>
      <c r="Z2136" s="686"/>
      <c r="AA2136" s="686"/>
      <c r="AB2136" s="686"/>
      <c r="AC2136" s="686"/>
      <c r="AD2136" s="686"/>
      <c r="AE2136" s="686"/>
      <c r="AF2136" s="686"/>
    </row>
    <row r="2137" ht="15.75" customHeight="1">
      <c r="A2137" s="683"/>
      <c r="B2137" s="683"/>
      <c r="C2137" s="684"/>
      <c r="D2137" s="684"/>
      <c r="E2137" s="684"/>
      <c r="F2137" s="683"/>
      <c r="G2137" s="683"/>
      <c r="H2137" s="683"/>
      <c r="I2137" s="683"/>
      <c r="J2137" s="683"/>
      <c r="K2137" s="683"/>
      <c r="L2137" s="685"/>
      <c r="M2137" s="685"/>
      <c r="N2137" s="687"/>
      <c r="O2137" s="683"/>
      <c r="P2137" s="683"/>
      <c r="Q2137" s="686"/>
      <c r="R2137" s="686"/>
      <c r="S2137" s="686"/>
      <c r="T2137" s="686"/>
      <c r="U2137" s="686"/>
      <c r="V2137" s="686"/>
      <c r="W2137" s="686"/>
      <c r="X2137" s="686"/>
      <c r="Y2137" s="686"/>
      <c r="Z2137" s="686"/>
      <c r="AA2137" s="686"/>
      <c r="AB2137" s="686"/>
      <c r="AC2137" s="686"/>
      <c r="AD2137" s="686"/>
      <c r="AE2137" s="686"/>
      <c r="AF2137" s="686"/>
    </row>
    <row r="2138" ht="15.75" customHeight="1">
      <c r="A2138" s="683"/>
      <c r="B2138" s="683"/>
      <c r="C2138" s="684"/>
      <c r="D2138" s="684"/>
      <c r="E2138" s="684"/>
      <c r="F2138" s="683"/>
      <c r="G2138" s="683"/>
      <c r="H2138" s="683"/>
      <c r="I2138" s="683"/>
      <c r="J2138" s="683"/>
      <c r="K2138" s="683"/>
      <c r="L2138" s="685"/>
      <c r="M2138" s="685"/>
      <c r="N2138" s="687"/>
      <c r="O2138" s="683"/>
      <c r="P2138" s="683"/>
      <c r="Q2138" s="686"/>
      <c r="R2138" s="686"/>
      <c r="S2138" s="686"/>
      <c r="T2138" s="686"/>
      <c r="U2138" s="686"/>
      <c r="V2138" s="686"/>
      <c r="W2138" s="686"/>
      <c r="X2138" s="686"/>
      <c r="Y2138" s="686"/>
      <c r="Z2138" s="686"/>
      <c r="AA2138" s="686"/>
      <c r="AB2138" s="686"/>
      <c r="AC2138" s="686"/>
      <c r="AD2138" s="686"/>
      <c r="AE2138" s="686"/>
      <c r="AF2138" s="686"/>
    </row>
    <row r="2139" ht="15.75" customHeight="1">
      <c r="A2139" s="683"/>
      <c r="B2139" s="683"/>
      <c r="C2139" s="684"/>
      <c r="D2139" s="684"/>
      <c r="E2139" s="684"/>
      <c r="F2139" s="683"/>
      <c r="G2139" s="683"/>
      <c r="H2139" s="683"/>
      <c r="I2139" s="683"/>
      <c r="J2139" s="683"/>
      <c r="K2139" s="683"/>
      <c r="L2139" s="685"/>
      <c r="M2139" s="685"/>
      <c r="N2139" s="687"/>
      <c r="O2139" s="683"/>
      <c r="P2139" s="683"/>
      <c r="Q2139" s="686"/>
      <c r="R2139" s="686"/>
      <c r="S2139" s="686"/>
      <c r="T2139" s="686"/>
      <c r="U2139" s="686"/>
      <c r="V2139" s="686"/>
      <c r="W2139" s="686"/>
      <c r="X2139" s="686"/>
      <c r="Y2139" s="686"/>
      <c r="Z2139" s="686"/>
      <c r="AA2139" s="686"/>
      <c r="AB2139" s="686"/>
      <c r="AC2139" s="686"/>
      <c r="AD2139" s="686"/>
      <c r="AE2139" s="686"/>
      <c r="AF2139" s="686"/>
    </row>
    <row r="2140" ht="15.75" customHeight="1">
      <c r="A2140" s="683"/>
      <c r="B2140" s="683"/>
      <c r="C2140" s="684"/>
      <c r="D2140" s="684"/>
      <c r="E2140" s="684"/>
      <c r="F2140" s="683"/>
      <c r="G2140" s="683"/>
      <c r="H2140" s="683"/>
      <c r="I2140" s="683"/>
      <c r="J2140" s="683"/>
      <c r="K2140" s="683"/>
      <c r="L2140" s="685"/>
      <c r="M2140" s="685"/>
      <c r="N2140" s="687"/>
      <c r="O2140" s="683"/>
      <c r="P2140" s="683"/>
      <c r="Q2140" s="686"/>
      <c r="R2140" s="686"/>
      <c r="S2140" s="686"/>
      <c r="T2140" s="686"/>
      <c r="U2140" s="686"/>
      <c r="V2140" s="686"/>
      <c r="W2140" s="686"/>
      <c r="X2140" s="686"/>
      <c r="Y2140" s="686"/>
      <c r="Z2140" s="686"/>
      <c r="AA2140" s="686"/>
      <c r="AB2140" s="686"/>
      <c r="AC2140" s="686"/>
      <c r="AD2140" s="686"/>
      <c r="AE2140" s="686"/>
      <c r="AF2140" s="686"/>
    </row>
    <row r="2141" ht="15.75" customHeight="1">
      <c r="A2141" s="683"/>
      <c r="B2141" s="683"/>
      <c r="C2141" s="684"/>
      <c r="D2141" s="684"/>
      <c r="E2141" s="684"/>
      <c r="F2141" s="683"/>
      <c r="G2141" s="683"/>
      <c r="H2141" s="683"/>
      <c r="I2141" s="683"/>
      <c r="J2141" s="683"/>
      <c r="K2141" s="683"/>
      <c r="L2141" s="685"/>
      <c r="M2141" s="685"/>
      <c r="N2141" s="687"/>
      <c r="O2141" s="683"/>
      <c r="P2141" s="683"/>
      <c r="Q2141" s="686"/>
      <c r="R2141" s="686"/>
      <c r="S2141" s="686"/>
      <c r="T2141" s="686"/>
      <c r="U2141" s="686"/>
      <c r="V2141" s="686"/>
      <c r="W2141" s="686"/>
      <c r="X2141" s="686"/>
      <c r="Y2141" s="686"/>
      <c r="Z2141" s="686"/>
      <c r="AA2141" s="686"/>
      <c r="AB2141" s="686"/>
      <c r="AC2141" s="686"/>
      <c r="AD2141" s="686"/>
      <c r="AE2141" s="686"/>
      <c r="AF2141" s="686"/>
    </row>
    <row r="2142" ht="15.75" customHeight="1">
      <c r="A2142" s="683"/>
      <c r="B2142" s="683"/>
      <c r="C2142" s="684"/>
      <c r="D2142" s="684"/>
      <c r="E2142" s="684"/>
      <c r="F2142" s="683"/>
      <c r="G2142" s="683"/>
      <c r="H2142" s="683"/>
      <c r="I2142" s="683"/>
      <c r="J2142" s="683"/>
      <c r="K2142" s="683"/>
      <c r="L2142" s="685"/>
      <c r="M2142" s="685"/>
      <c r="N2142" s="687"/>
      <c r="O2142" s="683"/>
      <c r="P2142" s="683"/>
      <c r="Q2142" s="686"/>
      <c r="R2142" s="686"/>
      <c r="S2142" s="686"/>
      <c r="T2142" s="686"/>
      <c r="U2142" s="686"/>
      <c r="V2142" s="686"/>
      <c r="W2142" s="686"/>
      <c r="X2142" s="686"/>
      <c r="Y2142" s="686"/>
      <c r="Z2142" s="686"/>
      <c r="AA2142" s="686"/>
      <c r="AB2142" s="686"/>
      <c r="AC2142" s="686"/>
      <c r="AD2142" s="686"/>
      <c r="AE2142" s="686"/>
      <c r="AF2142" s="686"/>
    </row>
    <row r="2143" ht="15.75" customHeight="1">
      <c r="A2143" s="683"/>
      <c r="B2143" s="683"/>
      <c r="C2143" s="684"/>
      <c r="D2143" s="684"/>
      <c r="E2143" s="684"/>
      <c r="F2143" s="683"/>
      <c r="G2143" s="683"/>
      <c r="H2143" s="683"/>
      <c r="I2143" s="683"/>
      <c r="J2143" s="683"/>
      <c r="K2143" s="683"/>
      <c r="L2143" s="685"/>
      <c r="M2143" s="685"/>
      <c r="N2143" s="687"/>
      <c r="O2143" s="683"/>
      <c r="P2143" s="683"/>
      <c r="Q2143" s="686"/>
      <c r="R2143" s="686"/>
      <c r="S2143" s="686"/>
      <c r="T2143" s="686"/>
      <c r="U2143" s="686"/>
      <c r="V2143" s="686"/>
      <c r="W2143" s="686"/>
      <c r="X2143" s="686"/>
      <c r="Y2143" s="686"/>
      <c r="Z2143" s="686"/>
      <c r="AA2143" s="686"/>
      <c r="AB2143" s="686"/>
      <c r="AC2143" s="686"/>
      <c r="AD2143" s="686"/>
      <c r="AE2143" s="686"/>
      <c r="AF2143" s="686"/>
    </row>
    <row r="2144" ht="15.75" customHeight="1">
      <c r="A2144" s="683"/>
      <c r="B2144" s="683"/>
      <c r="C2144" s="684"/>
      <c r="D2144" s="684"/>
      <c r="E2144" s="684"/>
      <c r="F2144" s="683"/>
      <c r="G2144" s="683"/>
      <c r="H2144" s="683"/>
      <c r="I2144" s="683"/>
      <c r="J2144" s="683"/>
      <c r="K2144" s="683"/>
      <c r="L2144" s="685"/>
      <c r="M2144" s="685"/>
      <c r="N2144" s="687"/>
      <c r="O2144" s="683"/>
      <c r="P2144" s="683"/>
      <c r="Q2144" s="686"/>
      <c r="R2144" s="686"/>
      <c r="S2144" s="686"/>
      <c r="T2144" s="686"/>
      <c r="U2144" s="686"/>
      <c r="V2144" s="686"/>
      <c r="W2144" s="686"/>
      <c r="X2144" s="686"/>
      <c r="Y2144" s="686"/>
      <c r="Z2144" s="686"/>
      <c r="AA2144" s="686"/>
      <c r="AB2144" s="686"/>
      <c r="AC2144" s="686"/>
      <c r="AD2144" s="686"/>
      <c r="AE2144" s="686"/>
      <c r="AF2144" s="686"/>
    </row>
    <row r="2145" ht="15.75" customHeight="1">
      <c r="A2145" s="683"/>
      <c r="B2145" s="683"/>
      <c r="C2145" s="684"/>
      <c r="D2145" s="684"/>
      <c r="E2145" s="684"/>
      <c r="F2145" s="683"/>
      <c r="G2145" s="683"/>
      <c r="H2145" s="683"/>
      <c r="I2145" s="683"/>
      <c r="J2145" s="683"/>
      <c r="K2145" s="683"/>
      <c r="L2145" s="685"/>
      <c r="M2145" s="685"/>
      <c r="N2145" s="687"/>
      <c r="O2145" s="683"/>
      <c r="P2145" s="683"/>
      <c r="Q2145" s="686"/>
      <c r="R2145" s="686"/>
      <c r="S2145" s="686"/>
      <c r="T2145" s="686"/>
      <c r="U2145" s="686"/>
      <c r="V2145" s="686"/>
      <c r="W2145" s="686"/>
      <c r="X2145" s="686"/>
      <c r="Y2145" s="686"/>
      <c r="Z2145" s="686"/>
      <c r="AA2145" s="686"/>
      <c r="AB2145" s="686"/>
      <c r="AC2145" s="686"/>
      <c r="AD2145" s="686"/>
      <c r="AE2145" s="686"/>
      <c r="AF2145" s="686"/>
    </row>
    <row r="2146" ht="15.75" customHeight="1">
      <c r="A2146" s="683"/>
      <c r="B2146" s="683"/>
      <c r="C2146" s="684"/>
      <c r="D2146" s="684"/>
      <c r="E2146" s="684"/>
      <c r="F2146" s="683"/>
      <c r="G2146" s="683"/>
      <c r="H2146" s="683"/>
      <c r="I2146" s="683"/>
      <c r="J2146" s="683"/>
      <c r="K2146" s="683"/>
      <c r="L2146" s="685"/>
      <c r="M2146" s="685"/>
      <c r="N2146" s="687"/>
      <c r="O2146" s="683"/>
      <c r="P2146" s="683"/>
      <c r="Q2146" s="686"/>
      <c r="R2146" s="686"/>
      <c r="S2146" s="686"/>
      <c r="T2146" s="686"/>
      <c r="U2146" s="686"/>
      <c r="V2146" s="686"/>
      <c r="W2146" s="686"/>
      <c r="X2146" s="686"/>
      <c r="Y2146" s="686"/>
      <c r="Z2146" s="686"/>
      <c r="AA2146" s="686"/>
      <c r="AB2146" s="686"/>
      <c r="AC2146" s="686"/>
      <c r="AD2146" s="686"/>
      <c r="AE2146" s="686"/>
      <c r="AF2146" s="686"/>
    </row>
    <row r="2147" ht="15.75" customHeight="1">
      <c r="A2147" s="683"/>
      <c r="B2147" s="683"/>
      <c r="C2147" s="684"/>
      <c r="D2147" s="684"/>
      <c r="E2147" s="684"/>
      <c r="F2147" s="683"/>
      <c r="G2147" s="683"/>
      <c r="H2147" s="683"/>
      <c r="I2147" s="683"/>
      <c r="J2147" s="683"/>
      <c r="K2147" s="683"/>
      <c r="L2147" s="685"/>
      <c r="M2147" s="685"/>
      <c r="N2147" s="687"/>
      <c r="O2147" s="683"/>
      <c r="P2147" s="683"/>
      <c r="Q2147" s="686"/>
      <c r="R2147" s="686"/>
      <c r="S2147" s="686"/>
      <c r="T2147" s="686"/>
      <c r="U2147" s="686"/>
      <c r="V2147" s="686"/>
      <c r="W2147" s="686"/>
      <c r="X2147" s="686"/>
      <c r="Y2147" s="686"/>
      <c r="Z2147" s="686"/>
      <c r="AA2147" s="686"/>
      <c r="AB2147" s="686"/>
      <c r="AC2147" s="686"/>
      <c r="AD2147" s="686"/>
      <c r="AE2147" s="686"/>
      <c r="AF2147" s="686"/>
    </row>
    <row r="2148" ht="15.75" customHeight="1">
      <c r="A2148" s="683"/>
      <c r="B2148" s="683"/>
      <c r="C2148" s="684"/>
      <c r="D2148" s="684"/>
      <c r="E2148" s="684"/>
      <c r="F2148" s="683"/>
      <c r="G2148" s="683"/>
      <c r="H2148" s="683"/>
      <c r="I2148" s="683"/>
      <c r="J2148" s="683"/>
      <c r="K2148" s="683"/>
      <c r="L2148" s="685"/>
      <c r="M2148" s="685"/>
      <c r="N2148" s="687"/>
      <c r="O2148" s="683"/>
      <c r="P2148" s="683"/>
      <c r="Q2148" s="686"/>
      <c r="R2148" s="686"/>
      <c r="S2148" s="686"/>
      <c r="T2148" s="686"/>
      <c r="U2148" s="686"/>
      <c r="V2148" s="686"/>
      <c r="W2148" s="686"/>
      <c r="X2148" s="686"/>
      <c r="Y2148" s="686"/>
      <c r="Z2148" s="686"/>
      <c r="AA2148" s="686"/>
      <c r="AB2148" s="686"/>
      <c r="AC2148" s="686"/>
      <c r="AD2148" s="686"/>
      <c r="AE2148" s="686"/>
      <c r="AF2148" s="686"/>
    </row>
    <row r="2149" ht="15.75" customHeight="1">
      <c r="A2149" s="683"/>
      <c r="B2149" s="683"/>
      <c r="C2149" s="684"/>
      <c r="D2149" s="684"/>
      <c r="E2149" s="684"/>
      <c r="F2149" s="683"/>
      <c r="G2149" s="683"/>
      <c r="H2149" s="683"/>
      <c r="I2149" s="683"/>
      <c r="J2149" s="683"/>
      <c r="K2149" s="683"/>
      <c r="L2149" s="685"/>
      <c r="M2149" s="685"/>
      <c r="N2149" s="687"/>
      <c r="O2149" s="683"/>
      <c r="P2149" s="683"/>
      <c r="Q2149" s="686"/>
      <c r="R2149" s="686"/>
      <c r="S2149" s="686"/>
      <c r="T2149" s="686"/>
      <c r="U2149" s="686"/>
      <c r="V2149" s="686"/>
      <c r="W2149" s="686"/>
      <c r="X2149" s="686"/>
      <c r="Y2149" s="686"/>
      <c r="Z2149" s="686"/>
      <c r="AA2149" s="686"/>
      <c r="AB2149" s="686"/>
      <c r="AC2149" s="686"/>
      <c r="AD2149" s="686"/>
      <c r="AE2149" s="686"/>
      <c r="AF2149" s="686"/>
    </row>
    <row r="2150" ht="15.75" customHeight="1">
      <c r="A2150" s="683"/>
      <c r="B2150" s="683"/>
      <c r="C2150" s="684"/>
      <c r="D2150" s="684"/>
      <c r="E2150" s="684"/>
      <c r="F2150" s="683"/>
      <c r="G2150" s="683"/>
      <c r="H2150" s="683"/>
      <c r="I2150" s="683"/>
      <c r="J2150" s="683"/>
      <c r="K2150" s="683"/>
      <c r="L2150" s="685"/>
      <c r="M2150" s="685"/>
      <c r="N2150" s="687"/>
      <c r="O2150" s="683"/>
      <c r="P2150" s="683"/>
      <c r="Q2150" s="686"/>
      <c r="R2150" s="686"/>
      <c r="S2150" s="686"/>
      <c r="T2150" s="686"/>
      <c r="U2150" s="686"/>
      <c r="V2150" s="686"/>
      <c r="W2150" s="686"/>
      <c r="X2150" s="686"/>
      <c r="Y2150" s="686"/>
      <c r="Z2150" s="686"/>
      <c r="AA2150" s="686"/>
      <c r="AB2150" s="686"/>
      <c r="AC2150" s="686"/>
      <c r="AD2150" s="686"/>
      <c r="AE2150" s="686"/>
      <c r="AF2150" s="686"/>
    </row>
    <row r="2151" ht="15.75" customHeight="1">
      <c r="A2151" s="683"/>
      <c r="B2151" s="683"/>
      <c r="C2151" s="684"/>
      <c r="D2151" s="684"/>
      <c r="E2151" s="684"/>
      <c r="F2151" s="683"/>
      <c r="G2151" s="683"/>
      <c r="H2151" s="683"/>
      <c r="I2151" s="683"/>
      <c r="J2151" s="683"/>
      <c r="K2151" s="683"/>
      <c r="L2151" s="685"/>
      <c r="M2151" s="685"/>
      <c r="N2151" s="687"/>
      <c r="O2151" s="683"/>
      <c r="P2151" s="683"/>
      <c r="Q2151" s="686"/>
      <c r="R2151" s="686"/>
      <c r="S2151" s="686"/>
      <c r="T2151" s="686"/>
      <c r="U2151" s="686"/>
      <c r="V2151" s="686"/>
      <c r="W2151" s="686"/>
      <c r="X2151" s="686"/>
      <c r="Y2151" s="686"/>
      <c r="Z2151" s="686"/>
      <c r="AA2151" s="686"/>
      <c r="AB2151" s="686"/>
      <c r="AC2151" s="686"/>
      <c r="AD2151" s="686"/>
      <c r="AE2151" s="686"/>
      <c r="AF2151" s="686"/>
    </row>
    <row r="2152" ht="15.75" customHeight="1">
      <c r="A2152" s="683"/>
      <c r="B2152" s="683"/>
      <c r="C2152" s="684"/>
      <c r="D2152" s="684"/>
      <c r="E2152" s="684"/>
      <c r="F2152" s="683"/>
      <c r="G2152" s="683"/>
      <c r="H2152" s="683"/>
      <c r="I2152" s="683"/>
      <c r="J2152" s="683"/>
      <c r="K2152" s="683"/>
      <c r="L2152" s="685"/>
      <c r="M2152" s="685"/>
      <c r="N2152" s="687"/>
      <c r="O2152" s="683"/>
      <c r="P2152" s="683"/>
      <c r="Q2152" s="686"/>
      <c r="R2152" s="686"/>
      <c r="S2152" s="686"/>
      <c r="T2152" s="686"/>
      <c r="U2152" s="686"/>
      <c r="V2152" s="686"/>
      <c r="W2152" s="686"/>
      <c r="X2152" s="686"/>
      <c r="Y2152" s="686"/>
      <c r="Z2152" s="686"/>
      <c r="AA2152" s="686"/>
      <c r="AB2152" s="686"/>
      <c r="AC2152" s="686"/>
      <c r="AD2152" s="686"/>
      <c r="AE2152" s="686"/>
      <c r="AF2152" s="686"/>
    </row>
    <row r="2153" ht="15.75" customHeight="1">
      <c r="A2153" s="683"/>
      <c r="B2153" s="683"/>
      <c r="C2153" s="684"/>
      <c r="D2153" s="684"/>
      <c r="E2153" s="684"/>
      <c r="F2153" s="683"/>
      <c r="G2153" s="683"/>
      <c r="H2153" s="683"/>
      <c r="I2153" s="683"/>
      <c r="J2153" s="683"/>
      <c r="K2153" s="683"/>
      <c r="L2153" s="685"/>
      <c r="M2153" s="685"/>
      <c r="N2153" s="687"/>
      <c r="O2153" s="683"/>
      <c r="P2153" s="683"/>
      <c r="Q2153" s="686"/>
      <c r="R2153" s="686"/>
      <c r="S2153" s="686"/>
      <c r="T2153" s="686"/>
      <c r="U2153" s="686"/>
      <c r="V2153" s="686"/>
      <c r="W2153" s="686"/>
      <c r="X2153" s="686"/>
      <c r="Y2153" s="686"/>
      <c r="Z2153" s="686"/>
      <c r="AA2153" s="686"/>
      <c r="AB2153" s="686"/>
      <c r="AC2153" s="686"/>
      <c r="AD2153" s="686"/>
      <c r="AE2153" s="686"/>
      <c r="AF2153" s="686"/>
    </row>
    <row r="2154" ht="15.75" customHeight="1">
      <c r="A2154" s="683"/>
      <c r="B2154" s="683"/>
      <c r="C2154" s="684"/>
      <c r="D2154" s="684"/>
      <c r="E2154" s="684"/>
      <c r="F2154" s="683"/>
      <c r="G2154" s="683"/>
      <c r="H2154" s="683"/>
      <c r="I2154" s="683"/>
      <c r="J2154" s="683"/>
      <c r="K2154" s="683"/>
      <c r="L2154" s="685"/>
      <c r="M2154" s="685"/>
      <c r="N2154" s="687"/>
      <c r="O2154" s="683"/>
      <c r="P2154" s="683"/>
      <c r="Q2154" s="686"/>
      <c r="R2154" s="686"/>
      <c r="S2154" s="686"/>
      <c r="T2154" s="686"/>
      <c r="U2154" s="686"/>
      <c r="V2154" s="686"/>
      <c r="W2154" s="686"/>
      <c r="X2154" s="686"/>
      <c r="Y2154" s="686"/>
      <c r="Z2154" s="686"/>
      <c r="AA2154" s="686"/>
      <c r="AB2154" s="686"/>
      <c r="AC2154" s="686"/>
      <c r="AD2154" s="686"/>
      <c r="AE2154" s="686"/>
      <c r="AF2154" s="686"/>
    </row>
    <row r="2155" ht="15.75" customHeight="1">
      <c r="A2155" s="683"/>
      <c r="B2155" s="683"/>
      <c r="C2155" s="684"/>
      <c r="D2155" s="684"/>
      <c r="E2155" s="684"/>
      <c r="F2155" s="683"/>
      <c r="G2155" s="683"/>
      <c r="H2155" s="683"/>
      <c r="I2155" s="683"/>
      <c r="J2155" s="683"/>
      <c r="K2155" s="683"/>
      <c r="L2155" s="685"/>
      <c r="M2155" s="685"/>
      <c r="N2155" s="687"/>
      <c r="O2155" s="683"/>
      <c r="P2155" s="683"/>
      <c r="Q2155" s="686"/>
      <c r="R2155" s="686"/>
      <c r="S2155" s="686"/>
      <c r="T2155" s="686"/>
      <c r="U2155" s="686"/>
      <c r="V2155" s="686"/>
      <c r="W2155" s="686"/>
      <c r="X2155" s="686"/>
      <c r="Y2155" s="686"/>
      <c r="Z2155" s="686"/>
      <c r="AA2155" s="686"/>
      <c r="AB2155" s="686"/>
      <c r="AC2155" s="686"/>
      <c r="AD2155" s="686"/>
      <c r="AE2155" s="686"/>
      <c r="AF2155" s="686"/>
    </row>
    <row r="2156" ht="15.75" customHeight="1">
      <c r="A2156" s="683"/>
      <c r="B2156" s="683"/>
      <c r="C2156" s="684"/>
      <c r="D2156" s="684"/>
      <c r="E2156" s="684"/>
      <c r="F2156" s="683"/>
      <c r="G2156" s="683"/>
      <c r="H2156" s="683"/>
      <c r="I2156" s="683"/>
      <c r="J2156" s="683"/>
      <c r="K2156" s="683"/>
      <c r="L2156" s="685"/>
      <c r="M2156" s="685"/>
      <c r="N2156" s="687"/>
      <c r="O2156" s="683"/>
      <c r="P2156" s="683"/>
      <c r="Q2156" s="686"/>
      <c r="R2156" s="686"/>
      <c r="S2156" s="686"/>
      <c r="T2156" s="686"/>
      <c r="U2156" s="686"/>
      <c r="V2156" s="686"/>
      <c r="W2156" s="686"/>
      <c r="X2156" s="686"/>
      <c r="Y2156" s="686"/>
      <c r="Z2156" s="686"/>
      <c r="AA2156" s="686"/>
      <c r="AB2156" s="686"/>
      <c r="AC2156" s="686"/>
      <c r="AD2156" s="686"/>
      <c r="AE2156" s="686"/>
      <c r="AF2156" s="686"/>
    </row>
    <row r="2157" ht="15.75" customHeight="1">
      <c r="A2157" s="683"/>
      <c r="B2157" s="683"/>
      <c r="C2157" s="684"/>
      <c r="D2157" s="684"/>
      <c r="E2157" s="684"/>
      <c r="F2157" s="683"/>
      <c r="G2157" s="683"/>
      <c r="H2157" s="683"/>
      <c r="I2157" s="683"/>
      <c r="J2157" s="683"/>
      <c r="K2157" s="683"/>
      <c r="L2157" s="685"/>
      <c r="M2157" s="685"/>
      <c r="N2157" s="687"/>
      <c r="O2157" s="683"/>
      <c r="P2157" s="683"/>
      <c r="Q2157" s="686"/>
      <c r="R2157" s="686"/>
      <c r="S2157" s="686"/>
      <c r="T2157" s="686"/>
      <c r="U2157" s="686"/>
      <c r="V2157" s="686"/>
      <c r="W2157" s="686"/>
      <c r="X2157" s="686"/>
      <c r="Y2157" s="686"/>
      <c r="Z2157" s="686"/>
      <c r="AA2157" s="686"/>
      <c r="AB2157" s="686"/>
      <c r="AC2157" s="686"/>
      <c r="AD2157" s="686"/>
      <c r="AE2157" s="686"/>
      <c r="AF2157" s="686"/>
    </row>
    <row r="2158" ht="15.75" customHeight="1">
      <c r="A2158" s="683"/>
      <c r="B2158" s="683"/>
      <c r="C2158" s="684"/>
      <c r="D2158" s="684"/>
      <c r="E2158" s="684"/>
      <c r="F2158" s="683"/>
      <c r="G2158" s="683"/>
      <c r="H2158" s="683"/>
      <c r="I2158" s="683"/>
      <c r="J2158" s="683"/>
      <c r="K2158" s="683"/>
      <c r="L2158" s="685"/>
      <c r="M2158" s="685"/>
      <c r="N2158" s="687"/>
      <c r="O2158" s="683"/>
      <c r="P2158" s="683"/>
      <c r="Q2158" s="686"/>
      <c r="R2158" s="686"/>
      <c r="S2158" s="686"/>
      <c r="T2158" s="686"/>
      <c r="U2158" s="686"/>
      <c r="V2158" s="686"/>
      <c r="W2158" s="686"/>
      <c r="X2158" s="686"/>
      <c r="Y2158" s="686"/>
      <c r="Z2158" s="686"/>
      <c r="AA2158" s="686"/>
      <c r="AB2158" s="686"/>
      <c r="AC2158" s="686"/>
      <c r="AD2158" s="686"/>
      <c r="AE2158" s="686"/>
      <c r="AF2158" s="686"/>
    </row>
    <row r="2159" ht="15.75" customHeight="1">
      <c r="A2159" s="683"/>
      <c r="B2159" s="683"/>
      <c r="C2159" s="684"/>
      <c r="D2159" s="684"/>
      <c r="E2159" s="684"/>
      <c r="F2159" s="683"/>
      <c r="G2159" s="683"/>
      <c r="H2159" s="683"/>
      <c r="I2159" s="683"/>
      <c r="J2159" s="683"/>
      <c r="K2159" s="683"/>
      <c r="L2159" s="685"/>
      <c r="M2159" s="685"/>
      <c r="N2159" s="687"/>
      <c r="O2159" s="683"/>
      <c r="P2159" s="683"/>
      <c r="Q2159" s="686"/>
      <c r="R2159" s="686"/>
      <c r="S2159" s="686"/>
      <c r="T2159" s="686"/>
      <c r="U2159" s="686"/>
      <c r="V2159" s="686"/>
      <c r="W2159" s="686"/>
      <c r="X2159" s="686"/>
      <c r="Y2159" s="686"/>
      <c r="Z2159" s="686"/>
      <c r="AA2159" s="686"/>
      <c r="AB2159" s="686"/>
      <c r="AC2159" s="686"/>
      <c r="AD2159" s="686"/>
      <c r="AE2159" s="686"/>
      <c r="AF2159" s="686"/>
    </row>
    <row r="2160" ht="15.75" customHeight="1">
      <c r="A2160" s="683"/>
      <c r="B2160" s="683"/>
      <c r="C2160" s="684"/>
      <c r="D2160" s="684"/>
      <c r="E2160" s="684"/>
      <c r="F2160" s="683"/>
      <c r="G2160" s="683"/>
      <c r="H2160" s="683"/>
      <c r="I2160" s="683"/>
      <c r="J2160" s="683"/>
      <c r="K2160" s="683"/>
      <c r="L2160" s="685"/>
      <c r="M2160" s="685"/>
      <c r="N2160" s="687"/>
      <c r="O2160" s="683"/>
      <c r="P2160" s="683"/>
      <c r="Q2160" s="686"/>
      <c r="R2160" s="686"/>
      <c r="S2160" s="686"/>
      <c r="T2160" s="686"/>
      <c r="U2160" s="686"/>
      <c r="V2160" s="686"/>
      <c r="W2160" s="686"/>
      <c r="X2160" s="686"/>
      <c r="Y2160" s="686"/>
      <c r="Z2160" s="686"/>
      <c r="AA2160" s="686"/>
      <c r="AB2160" s="686"/>
      <c r="AC2160" s="686"/>
      <c r="AD2160" s="686"/>
      <c r="AE2160" s="686"/>
      <c r="AF2160" s="686"/>
    </row>
    <row r="2161" ht="15.75" customHeight="1">
      <c r="A2161" s="683"/>
      <c r="B2161" s="683"/>
      <c r="C2161" s="684"/>
      <c r="D2161" s="684"/>
      <c r="E2161" s="684"/>
      <c r="F2161" s="683"/>
      <c r="G2161" s="683"/>
      <c r="H2161" s="683"/>
      <c r="I2161" s="683"/>
      <c r="J2161" s="683"/>
      <c r="K2161" s="683"/>
      <c r="L2161" s="685"/>
      <c r="M2161" s="685"/>
      <c r="N2161" s="687"/>
      <c r="O2161" s="683"/>
      <c r="P2161" s="683"/>
      <c r="Q2161" s="686"/>
      <c r="R2161" s="686"/>
      <c r="S2161" s="686"/>
      <c r="T2161" s="686"/>
      <c r="U2161" s="686"/>
      <c r="V2161" s="686"/>
      <c r="W2161" s="686"/>
      <c r="X2161" s="686"/>
      <c r="Y2161" s="686"/>
      <c r="Z2161" s="686"/>
      <c r="AA2161" s="686"/>
      <c r="AB2161" s="686"/>
      <c r="AC2161" s="686"/>
      <c r="AD2161" s="686"/>
      <c r="AE2161" s="686"/>
      <c r="AF2161" s="686"/>
    </row>
    <row r="2162" ht="15.75" customHeight="1">
      <c r="A2162" s="683"/>
      <c r="B2162" s="683"/>
      <c r="C2162" s="684"/>
      <c r="D2162" s="684"/>
      <c r="E2162" s="684"/>
      <c r="F2162" s="683"/>
      <c r="G2162" s="683"/>
      <c r="H2162" s="683"/>
      <c r="I2162" s="683"/>
      <c r="J2162" s="683"/>
      <c r="K2162" s="683"/>
      <c r="L2162" s="685"/>
      <c r="M2162" s="685"/>
      <c r="N2162" s="687"/>
      <c r="O2162" s="683"/>
      <c r="P2162" s="683"/>
      <c r="Q2162" s="686"/>
      <c r="R2162" s="686"/>
      <c r="S2162" s="686"/>
      <c r="T2162" s="686"/>
      <c r="U2162" s="686"/>
      <c r="V2162" s="686"/>
      <c r="W2162" s="686"/>
      <c r="X2162" s="686"/>
      <c r="Y2162" s="686"/>
      <c r="Z2162" s="686"/>
      <c r="AA2162" s="686"/>
      <c r="AB2162" s="686"/>
      <c r="AC2162" s="686"/>
      <c r="AD2162" s="686"/>
      <c r="AE2162" s="686"/>
      <c r="AF2162" s="686"/>
    </row>
    <row r="2163" ht="15.75" customHeight="1">
      <c r="A2163" s="683"/>
      <c r="B2163" s="683"/>
      <c r="C2163" s="684"/>
      <c r="D2163" s="684"/>
      <c r="E2163" s="684"/>
      <c r="F2163" s="683"/>
      <c r="G2163" s="683"/>
      <c r="H2163" s="683"/>
      <c r="I2163" s="683"/>
      <c r="J2163" s="683"/>
      <c r="K2163" s="683"/>
      <c r="L2163" s="685"/>
      <c r="M2163" s="685"/>
      <c r="N2163" s="687"/>
      <c r="O2163" s="683"/>
      <c r="P2163" s="683"/>
      <c r="Q2163" s="686"/>
      <c r="R2163" s="686"/>
      <c r="S2163" s="686"/>
      <c r="T2163" s="686"/>
      <c r="U2163" s="686"/>
      <c r="V2163" s="686"/>
      <c r="W2163" s="686"/>
      <c r="X2163" s="686"/>
      <c r="Y2163" s="686"/>
      <c r="Z2163" s="686"/>
      <c r="AA2163" s="686"/>
      <c r="AB2163" s="686"/>
      <c r="AC2163" s="686"/>
      <c r="AD2163" s="686"/>
      <c r="AE2163" s="686"/>
      <c r="AF2163" s="686"/>
    </row>
    <row r="2164" ht="15.75" customHeight="1">
      <c r="A2164" s="683"/>
      <c r="B2164" s="683"/>
      <c r="C2164" s="684"/>
      <c r="D2164" s="684"/>
      <c r="E2164" s="684"/>
      <c r="F2164" s="683"/>
      <c r="G2164" s="683"/>
      <c r="H2164" s="683"/>
      <c r="I2164" s="683"/>
      <c r="J2164" s="683"/>
      <c r="K2164" s="683"/>
      <c r="L2164" s="685"/>
      <c r="M2164" s="685"/>
      <c r="N2164" s="687"/>
      <c r="O2164" s="683"/>
      <c r="P2164" s="683"/>
      <c r="Q2164" s="686"/>
      <c r="R2164" s="686"/>
      <c r="S2164" s="686"/>
      <c r="T2164" s="686"/>
      <c r="U2164" s="686"/>
      <c r="V2164" s="686"/>
      <c r="W2164" s="686"/>
      <c r="X2164" s="686"/>
      <c r="Y2164" s="686"/>
      <c r="Z2164" s="686"/>
      <c r="AA2164" s="686"/>
      <c r="AB2164" s="686"/>
      <c r="AC2164" s="686"/>
      <c r="AD2164" s="686"/>
      <c r="AE2164" s="686"/>
      <c r="AF2164" s="686"/>
    </row>
    <row r="2165" ht="15.75" customHeight="1">
      <c r="A2165" s="683"/>
      <c r="B2165" s="683"/>
      <c r="C2165" s="684"/>
      <c r="D2165" s="684"/>
      <c r="E2165" s="684"/>
      <c r="F2165" s="683"/>
      <c r="G2165" s="683"/>
      <c r="H2165" s="683"/>
      <c r="I2165" s="683"/>
      <c r="J2165" s="683"/>
      <c r="K2165" s="683"/>
      <c r="L2165" s="685"/>
      <c r="M2165" s="685"/>
      <c r="N2165" s="687"/>
      <c r="O2165" s="683"/>
      <c r="P2165" s="683"/>
      <c r="Q2165" s="686"/>
      <c r="R2165" s="686"/>
      <c r="S2165" s="686"/>
      <c r="T2165" s="686"/>
      <c r="U2165" s="686"/>
      <c r="V2165" s="686"/>
      <c r="W2165" s="686"/>
      <c r="X2165" s="686"/>
      <c r="Y2165" s="686"/>
      <c r="Z2165" s="686"/>
      <c r="AA2165" s="686"/>
      <c r="AB2165" s="686"/>
      <c r="AC2165" s="686"/>
      <c r="AD2165" s="686"/>
      <c r="AE2165" s="686"/>
      <c r="AF2165" s="686"/>
    </row>
    <row r="2166" ht="15.75" customHeight="1">
      <c r="A2166" s="683"/>
      <c r="B2166" s="683"/>
      <c r="C2166" s="684"/>
      <c r="D2166" s="684"/>
      <c r="E2166" s="684"/>
      <c r="F2166" s="683"/>
      <c r="G2166" s="683"/>
      <c r="H2166" s="683"/>
      <c r="I2166" s="683"/>
      <c r="J2166" s="683"/>
      <c r="K2166" s="683"/>
      <c r="L2166" s="685"/>
      <c r="M2166" s="685"/>
      <c r="N2166" s="687"/>
      <c r="O2166" s="683"/>
      <c r="P2166" s="683"/>
      <c r="Q2166" s="686"/>
      <c r="R2166" s="686"/>
      <c r="S2166" s="686"/>
      <c r="T2166" s="686"/>
      <c r="U2166" s="686"/>
      <c r="V2166" s="686"/>
      <c r="W2166" s="686"/>
      <c r="X2166" s="686"/>
      <c r="Y2166" s="686"/>
      <c r="Z2166" s="686"/>
      <c r="AA2166" s="686"/>
      <c r="AB2166" s="686"/>
      <c r="AC2166" s="686"/>
      <c r="AD2166" s="686"/>
      <c r="AE2166" s="686"/>
      <c r="AF2166" s="686"/>
    </row>
    <row r="2167" ht="15.75" customHeight="1">
      <c r="A2167" s="683"/>
      <c r="B2167" s="683"/>
      <c r="C2167" s="684"/>
      <c r="D2167" s="684"/>
      <c r="E2167" s="684"/>
      <c r="F2167" s="683"/>
      <c r="G2167" s="683"/>
      <c r="H2167" s="683"/>
      <c r="I2167" s="683"/>
      <c r="J2167" s="683"/>
      <c r="K2167" s="683"/>
      <c r="L2167" s="685"/>
      <c r="M2167" s="685"/>
      <c r="N2167" s="687"/>
      <c r="O2167" s="683"/>
      <c r="P2167" s="683"/>
      <c r="Q2167" s="686"/>
      <c r="R2167" s="686"/>
      <c r="S2167" s="686"/>
      <c r="T2167" s="686"/>
      <c r="U2167" s="686"/>
      <c r="V2167" s="686"/>
      <c r="W2167" s="686"/>
      <c r="X2167" s="686"/>
      <c r="Y2167" s="686"/>
      <c r="Z2167" s="686"/>
      <c r="AA2167" s="686"/>
      <c r="AB2167" s="686"/>
      <c r="AC2167" s="686"/>
      <c r="AD2167" s="686"/>
      <c r="AE2167" s="686"/>
      <c r="AF2167" s="686"/>
    </row>
    <row r="2168" ht="15.75" customHeight="1">
      <c r="A2168" s="683"/>
      <c r="B2168" s="683"/>
      <c r="C2168" s="684"/>
      <c r="D2168" s="684"/>
      <c r="E2168" s="684"/>
      <c r="F2168" s="683"/>
      <c r="G2168" s="683"/>
      <c r="H2168" s="683"/>
      <c r="I2168" s="683"/>
      <c r="J2168" s="683"/>
      <c r="K2168" s="683"/>
      <c r="L2168" s="685"/>
      <c r="M2168" s="685"/>
      <c r="N2168" s="687"/>
      <c r="O2168" s="683"/>
      <c r="P2168" s="683"/>
      <c r="Q2168" s="686"/>
      <c r="R2168" s="686"/>
      <c r="S2168" s="686"/>
      <c r="T2168" s="686"/>
      <c r="U2168" s="686"/>
      <c r="V2168" s="686"/>
      <c r="W2168" s="686"/>
      <c r="X2168" s="686"/>
      <c r="Y2168" s="686"/>
      <c r="Z2168" s="686"/>
      <c r="AA2168" s="686"/>
      <c r="AB2168" s="686"/>
      <c r="AC2168" s="686"/>
      <c r="AD2168" s="686"/>
      <c r="AE2168" s="686"/>
      <c r="AF2168" s="686"/>
    </row>
    <row r="2169" ht="15.75" customHeight="1">
      <c r="A2169" s="683"/>
      <c r="B2169" s="683"/>
      <c r="C2169" s="684"/>
      <c r="D2169" s="684"/>
      <c r="E2169" s="684"/>
      <c r="F2169" s="683"/>
      <c r="G2169" s="683"/>
      <c r="H2169" s="683"/>
      <c r="I2169" s="683"/>
      <c r="J2169" s="683"/>
      <c r="K2169" s="683"/>
      <c r="L2169" s="685"/>
      <c r="M2169" s="685"/>
      <c r="N2169" s="687"/>
      <c r="O2169" s="683"/>
      <c r="P2169" s="683"/>
      <c r="Q2169" s="686"/>
      <c r="R2169" s="686"/>
      <c r="S2169" s="686"/>
      <c r="T2169" s="686"/>
      <c r="U2169" s="686"/>
      <c r="V2169" s="686"/>
      <c r="W2169" s="686"/>
      <c r="X2169" s="686"/>
      <c r="Y2169" s="686"/>
      <c r="Z2169" s="686"/>
      <c r="AA2169" s="686"/>
      <c r="AB2169" s="686"/>
      <c r="AC2169" s="686"/>
      <c r="AD2169" s="686"/>
      <c r="AE2169" s="686"/>
      <c r="AF2169" s="686"/>
    </row>
    <row r="2170" ht="15.75" customHeight="1">
      <c r="A2170" s="683"/>
      <c r="B2170" s="683"/>
      <c r="C2170" s="684"/>
      <c r="D2170" s="684"/>
      <c r="E2170" s="684"/>
      <c r="F2170" s="683"/>
      <c r="G2170" s="683"/>
      <c r="H2170" s="683"/>
      <c r="I2170" s="683"/>
      <c r="J2170" s="683"/>
      <c r="K2170" s="683"/>
      <c r="L2170" s="685"/>
      <c r="M2170" s="685"/>
      <c r="N2170" s="687"/>
      <c r="O2170" s="683"/>
      <c r="P2170" s="683"/>
      <c r="Q2170" s="686"/>
      <c r="R2170" s="686"/>
      <c r="S2170" s="686"/>
      <c r="T2170" s="686"/>
      <c r="U2170" s="686"/>
      <c r="V2170" s="686"/>
      <c r="W2170" s="686"/>
      <c r="X2170" s="686"/>
      <c r="Y2170" s="686"/>
      <c r="Z2170" s="686"/>
      <c r="AA2170" s="686"/>
      <c r="AB2170" s="686"/>
      <c r="AC2170" s="686"/>
      <c r="AD2170" s="686"/>
      <c r="AE2170" s="686"/>
      <c r="AF2170" s="686"/>
    </row>
    <row r="2171" ht="15.75" customHeight="1">
      <c r="A2171" s="683"/>
      <c r="B2171" s="683"/>
      <c r="C2171" s="684"/>
      <c r="D2171" s="684"/>
      <c r="E2171" s="684"/>
      <c r="F2171" s="683"/>
      <c r="G2171" s="683"/>
      <c r="H2171" s="683"/>
      <c r="I2171" s="683"/>
      <c r="J2171" s="683"/>
      <c r="K2171" s="683"/>
      <c r="L2171" s="685"/>
      <c r="M2171" s="685"/>
      <c r="N2171" s="687"/>
      <c r="O2171" s="683"/>
      <c r="P2171" s="683"/>
      <c r="Q2171" s="686"/>
      <c r="R2171" s="686"/>
      <c r="S2171" s="686"/>
      <c r="T2171" s="686"/>
      <c r="U2171" s="686"/>
      <c r="V2171" s="686"/>
      <c r="W2171" s="686"/>
      <c r="X2171" s="686"/>
      <c r="Y2171" s="686"/>
      <c r="Z2171" s="686"/>
      <c r="AA2171" s="686"/>
      <c r="AB2171" s="686"/>
      <c r="AC2171" s="686"/>
      <c r="AD2171" s="686"/>
      <c r="AE2171" s="686"/>
      <c r="AF2171" s="686"/>
    </row>
    <row r="2172" ht="15.75" customHeight="1">
      <c r="A2172" s="683"/>
      <c r="B2172" s="683"/>
      <c r="C2172" s="684"/>
      <c r="D2172" s="684"/>
      <c r="E2172" s="684"/>
      <c r="F2172" s="683"/>
      <c r="G2172" s="683"/>
      <c r="H2172" s="683"/>
      <c r="I2172" s="683"/>
      <c r="J2172" s="683"/>
      <c r="K2172" s="683"/>
      <c r="L2172" s="685"/>
      <c r="M2172" s="685"/>
      <c r="N2172" s="687"/>
      <c r="O2172" s="683"/>
      <c r="P2172" s="683"/>
      <c r="Q2172" s="686"/>
      <c r="R2172" s="686"/>
      <c r="S2172" s="686"/>
      <c r="T2172" s="686"/>
      <c r="U2172" s="686"/>
      <c r="V2172" s="686"/>
      <c r="W2172" s="686"/>
      <c r="X2172" s="686"/>
      <c r="Y2172" s="686"/>
      <c r="Z2172" s="686"/>
      <c r="AA2172" s="686"/>
      <c r="AB2172" s="686"/>
      <c r="AC2172" s="686"/>
      <c r="AD2172" s="686"/>
      <c r="AE2172" s="686"/>
      <c r="AF2172" s="686"/>
    </row>
    <row r="2173" ht="15.75" customHeight="1">
      <c r="A2173" s="683"/>
      <c r="B2173" s="683"/>
      <c r="C2173" s="684"/>
      <c r="D2173" s="684"/>
      <c r="E2173" s="684"/>
      <c r="F2173" s="683"/>
      <c r="G2173" s="683"/>
      <c r="H2173" s="683"/>
      <c r="I2173" s="683"/>
      <c r="J2173" s="683"/>
      <c r="K2173" s="683"/>
      <c r="L2173" s="685"/>
      <c r="M2173" s="685"/>
      <c r="N2173" s="687"/>
      <c r="O2173" s="683"/>
      <c r="P2173" s="683"/>
      <c r="Q2173" s="686"/>
      <c r="R2173" s="686"/>
      <c r="S2173" s="686"/>
      <c r="T2173" s="686"/>
      <c r="U2173" s="686"/>
      <c r="V2173" s="686"/>
      <c r="W2173" s="686"/>
      <c r="X2173" s="686"/>
      <c r="Y2173" s="686"/>
      <c r="Z2173" s="686"/>
      <c r="AA2173" s="686"/>
      <c r="AB2173" s="686"/>
      <c r="AC2173" s="686"/>
      <c r="AD2173" s="686"/>
      <c r="AE2173" s="686"/>
      <c r="AF2173" s="686"/>
    </row>
    <row r="2174" ht="15.75" customHeight="1">
      <c r="A2174" s="683"/>
      <c r="B2174" s="683"/>
      <c r="C2174" s="684"/>
      <c r="D2174" s="684"/>
      <c r="E2174" s="684"/>
      <c r="F2174" s="683"/>
      <c r="G2174" s="683"/>
      <c r="H2174" s="683"/>
      <c r="I2174" s="683"/>
      <c r="J2174" s="683"/>
      <c r="K2174" s="683"/>
      <c r="L2174" s="685"/>
      <c r="M2174" s="685"/>
      <c r="N2174" s="687"/>
      <c r="O2174" s="683"/>
      <c r="P2174" s="683"/>
      <c r="Q2174" s="686"/>
      <c r="R2174" s="686"/>
      <c r="S2174" s="686"/>
      <c r="T2174" s="686"/>
      <c r="U2174" s="686"/>
      <c r="V2174" s="686"/>
      <c r="W2174" s="686"/>
      <c r="X2174" s="686"/>
      <c r="Y2174" s="686"/>
      <c r="Z2174" s="686"/>
      <c r="AA2174" s="686"/>
      <c r="AB2174" s="686"/>
      <c r="AC2174" s="686"/>
      <c r="AD2174" s="686"/>
      <c r="AE2174" s="686"/>
      <c r="AF2174" s="686"/>
    </row>
    <row r="2175" ht="15.75" customHeight="1">
      <c r="A2175" s="683"/>
      <c r="B2175" s="683"/>
      <c r="C2175" s="684"/>
      <c r="D2175" s="684"/>
      <c r="E2175" s="684"/>
      <c r="F2175" s="683"/>
      <c r="G2175" s="683"/>
      <c r="H2175" s="683"/>
      <c r="I2175" s="683"/>
      <c r="J2175" s="683"/>
      <c r="K2175" s="683"/>
      <c r="L2175" s="685"/>
      <c r="M2175" s="685"/>
      <c r="N2175" s="687"/>
      <c r="O2175" s="683"/>
      <c r="P2175" s="683"/>
      <c r="Q2175" s="686"/>
      <c r="R2175" s="686"/>
      <c r="S2175" s="686"/>
      <c r="T2175" s="686"/>
      <c r="U2175" s="686"/>
      <c r="V2175" s="686"/>
      <c r="W2175" s="686"/>
      <c r="X2175" s="686"/>
      <c r="Y2175" s="686"/>
      <c r="Z2175" s="686"/>
      <c r="AA2175" s="686"/>
      <c r="AB2175" s="686"/>
      <c r="AC2175" s="686"/>
      <c r="AD2175" s="686"/>
      <c r="AE2175" s="686"/>
      <c r="AF2175" s="686"/>
    </row>
    <row r="2176" ht="15.75" customHeight="1">
      <c r="A2176" s="683"/>
      <c r="B2176" s="683"/>
      <c r="C2176" s="684"/>
      <c r="D2176" s="684"/>
      <c r="E2176" s="684"/>
      <c r="F2176" s="683"/>
      <c r="G2176" s="683"/>
      <c r="H2176" s="683"/>
      <c r="I2176" s="683"/>
      <c r="J2176" s="683"/>
      <c r="K2176" s="683"/>
      <c r="L2176" s="685"/>
      <c r="M2176" s="685"/>
      <c r="N2176" s="687"/>
      <c r="O2176" s="683"/>
      <c r="P2176" s="683"/>
      <c r="Q2176" s="686"/>
      <c r="R2176" s="686"/>
      <c r="S2176" s="686"/>
      <c r="T2176" s="686"/>
      <c r="U2176" s="686"/>
      <c r="V2176" s="686"/>
      <c r="W2176" s="686"/>
      <c r="X2176" s="686"/>
      <c r="Y2176" s="686"/>
      <c r="Z2176" s="686"/>
      <c r="AA2176" s="686"/>
      <c r="AB2176" s="686"/>
      <c r="AC2176" s="686"/>
      <c r="AD2176" s="686"/>
      <c r="AE2176" s="686"/>
      <c r="AF2176" s="686"/>
    </row>
    <row r="2177" ht="15.75" customHeight="1">
      <c r="A2177" s="683"/>
      <c r="B2177" s="683"/>
      <c r="C2177" s="684"/>
      <c r="D2177" s="684"/>
      <c r="E2177" s="684"/>
      <c r="F2177" s="683"/>
      <c r="G2177" s="683"/>
      <c r="H2177" s="683"/>
      <c r="I2177" s="683"/>
      <c r="J2177" s="683"/>
      <c r="K2177" s="683"/>
      <c r="L2177" s="685"/>
      <c r="M2177" s="685"/>
      <c r="N2177" s="687"/>
      <c r="O2177" s="683"/>
      <c r="P2177" s="683"/>
      <c r="Q2177" s="686"/>
      <c r="R2177" s="686"/>
      <c r="S2177" s="686"/>
      <c r="T2177" s="686"/>
      <c r="U2177" s="686"/>
      <c r="V2177" s="686"/>
      <c r="W2177" s="686"/>
      <c r="X2177" s="686"/>
      <c r="Y2177" s="686"/>
      <c r="Z2177" s="686"/>
      <c r="AA2177" s="686"/>
      <c r="AB2177" s="686"/>
      <c r="AC2177" s="686"/>
      <c r="AD2177" s="686"/>
      <c r="AE2177" s="686"/>
      <c r="AF2177" s="686"/>
    </row>
    <row r="2178" ht="15.75" customHeight="1">
      <c r="A2178" s="683"/>
      <c r="B2178" s="683"/>
      <c r="C2178" s="684"/>
      <c r="D2178" s="684"/>
      <c r="E2178" s="684"/>
      <c r="F2178" s="683"/>
      <c r="G2178" s="683"/>
      <c r="H2178" s="683"/>
      <c r="I2178" s="683"/>
      <c r="J2178" s="683"/>
      <c r="K2178" s="683"/>
      <c r="L2178" s="685"/>
      <c r="M2178" s="685"/>
      <c r="N2178" s="687"/>
      <c r="O2178" s="683"/>
      <c r="P2178" s="683"/>
      <c r="Q2178" s="686"/>
      <c r="R2178" s="686"/>
      <c r="S2178" s="686"/>
      <c r="T2178" s="686"/>
      <c r="U2178" s="686"/>
      <c r="V2178" s="686"/>
      <c r="W2178" s="686"/>
      <c r="X2178" s="686"/>
      <c r="Y2178" s="686"/>
      <c r="Z2178" s="686"/>
      <c r="AA2178" s="686"/>
      <c r="AB2178" s="686"/>
      <c r="AC2178" s="686"/>
      <c r="AD2178" s="686"/>
      <c r="AE2178" s="686"/>
      <c r="AF2178" s="686"/>
    </row>
    <row r="2179" ht="15.75" customHeight="1">
      <c r="A2179" s="683"/>
      <c r="B2179" s="683"/>
      <c r="C2179" s="684"/>
      <c r="D2179" s="684"/>
      <c r="E2179" s="684"/>
      <c r="F2179" s="683"/>
      <c r="G2179" s="683"/>
      <c r="H2179" s="683"/>
      <c r="I2179" s="683"/>
      <c r="J2179" s="683"/>
      <c r="K2179" s="683"/>
      <c r="L2179" s="685"/>
      <c r="M2179" s="685"/>
      <c r="N2179" s="687"/>
      <c r="O2179" s="683"/>
      <c r="P2179" s="683"/>
      <c r="Q2179" s="686"/>
      <c r="R2179" s="686"/>
      <c r="S2179" s="686"/>
      <c r="T2179" s="686"/>
      <c r="U2179" s="686"/>
      <c r="V2179" s="686"/>
      <c r="W2179" s="686"/>
      <c r="X2179" s="686"/>
      <c r="Y2179" s="686"/>
      <c r="Z2179" s="686"/>
      <c r="AA2179" s="686"/>
      <c r="AB2179" s="686"/>
      <c r="AC2179" s="686"/>
      <c r="AD2179" s="686"/>
      <c r="AE2179" s="686"/>
      <c r="AF2179" s="686"/>
    </row>
    <row r="2180" ht="15.75" customHeight="1">
      <c r="A2180" s="683"/>
      <c r="B2180" s="683"/>
      <c r="C2180" s="684"/>
      <c r="D2180" s="684"/>
      <c r="E2180" s="684"/>
      <c r="F2180" s="683"/>
      <c r="G2180" s="683"/>
      <c r="H2180" s="683"/>
      <c r="I2180" s="683"/>
      <c r="J2180" s="683"/>
      <c r="K2180" s="683"/>
      <c r="L2180" s="685"/>
      <c r="M2180" s="685"/>
      <c r="N2180" s="687"/>
      <c r="O2180" s="683"/>
      <c r="P2180" s="683"/>
      <c r="Q2180" s="686"/>
      <c r="R2180" s="686"/>
      <c r="S2180" s="686"/>
      <c r="T2180" s="686"/>
      <c r="U2180" s="686"/>
      <c r="V2180" s="686"/>
      <c r="W2180" s="686"/>
      <c r="X2180" s="686"/>
      <c r="Y2180" s="686"/>
      <c r="Z2180" s="686"/>
      <c r="AA2180" s="686"/>
      <c r="AB2180" s="686"/>
      <c r="AC2180" s="686"/>
      <c r="AD2180" s="686"/>
      <c r="AE2180" s="686"/>
      <c r="AF2180" s="686"/>
    </row>
    <row r="2181" ht="15.75" customHeight="1">
      <c r="A2181" s="683"/>
      <c r="B2181" s="683"/>
      <c r="C2181" s="684"/>
      <c r="D2181" s="684"/>
      <c r="E2181" s="684"/>
      <c r="F2181" s="683"/>
      <c r="G2181" s="683"/>
      <c r="H2181" s="683"/>
      <c r="I2181" s="683"/>
      <c r="J2181" s="683"/>
      <c r="K2181" s="683"/>
      <c r="L2181" s="685"/>
      <c r="M2181" s="685"/>
      <c r="N2181" s="687"/>
      <c r="O2181" s="683"/>
      <c r="P2181" s="683"/>
      <c r="Q2181" s="686"/>
      <c r="R2181" s="686"/>
      <c r="S2181" s="686"/>
      <c r="T2181" s="686"/>
      <c r="U2181" s="686"/>
      <c r="V2181" s="686"/>
      <c r="W2181" s="686"/>
      <c r="X2181" s="686"/>
      <c r="Y2181" s="686"/>
      <c r="Z2181" s="686"/>
      <c r="AA2181" s="686"/>
      <c r="AB2181" s="686"/>
      <c r="AC2181" s="686"/>
      <c r="AD2181" s="686"/>
      <c r="AE2181" s="686"/>
      <c r="AF2181" s="686"/>
    </row>
    <row r="2182" ht="15.75" customHeight="1">
      <c r="A2182" s="683"/>
      <c r="B2182" s="683"/>
      <c r="C2182" s="684"/>
      <c r="D2182" s="684"/>
      <c r="E2182" s="684"/>
      <c r="F2182" s="683"/>
      <c r="G2182" s="683"/>
      <c r="H2182" s="683"/>
      <c r="I2182" s="683"/>
      <c r="J2182" s="683"/>
      <c r="K2182" s="683"/>
      <c r="L2182" s="685"/>
      <c r="M2182" s="685"/>
      <c r="N2182" s="687"/>
      <c r="O2182" s="683"/>
      <c r="P2182" s="683"/>
      <c r="Q2182" s="686"/>
      <c r="R2182" s="686"/>
      <c r="S2182" s="686"/>
      <c r="T2182" s="686"/>
      <c r="U2182" s="686"/>
      <c r="V2182" s="686"/>
      <c r="W2182" s="686"/>
      <c r="X2182" s="686"/>
      <c r="Y2182" s="686"/>
      <c r="Z2182" s="686"/>
      <c r="AA2182" s="686"/>
      <c r="AB2182" s="686"/>
      <c r="AC2182" s="686"/>
      <c r="AD2182" s="686"/>
      <c r="AE2182" s="686"/>
      <c r="AF2182" s="686"/>
    </row>
    <row r="2183" ht="15.75" customHeight="1">
      <c r="A2183" s="683"/>
      <c r="B2183" s="683"/>
      <c r="C2183" s="684"/>
      <c r="D2183" s="684"/>
      <c r="E2183" s="684"/>
      <c r="F2183" s="683"/>
      <c r="G2183" s="683"/>
      <c r="H2183" s="683"/>
      <c r="I2183" s="683"/>
      <c r="J2183" s="683"/>
      <c r="K2183" s="683"/>
      <c r="L2183" s="685"/>
      <c r="M2183" s="685"/>
      <c r="N2183" s="687"/>
      <c r="O2183" s="683"/>
      <c r="P2183" s="683"/>
      <c r="Q2183" s="686"/>
      <c r="R2183" s="686"/>
      <c r="S2183" s="686"/>
      <c r="T2183" s="686"/>
      <c r="U2183" s="686"/>
      <c r="V2183" s="686"/>
      <c r="W2183" s="686"/>
      <c r="X2183" s="686"/>
      <c r="Y2183" s="686"/>
      <c r="Z2183" s="686"/>
      <c r="AA2183" s="686"/>
      <c r="AB2183" s="686"/>
      <c r="AC2183" s="686"/>
      <c r="AD2183" s="686"/>
      <c r="AE2183" s="686"/>
      <c r="AF2183" s="686"/>
    </row>
    <row r="2184" ht="15.75" customHeight="1">
      <c r="A2184" s="683"/>
      <c r="B2184" s="683"/>
      <c r="C2184" s="684"/>
      <c r="D2184" s="684"/>
      <c r="E2184" s="684"/>
      <c r="F2184" s="683"/>
      <c r="G2184" s="683"/>
      <c r="H2184" s="683"/>
      <c r="I2184" s="683"/>
      <c r="J2184" s="683"/>
      <c r="K2184" s="683"/>
      <c r="L2184" s="685"/>
      <c r="M2184" s="685"/>
      <c r="N2184" s="687"/>
      <c r="O2184" s="683"/>
      <c r="P2184" s="683"/>
      <c r="Q2184" s="686"/>
      <c r="R2184" s="686"/>
      <c r="S2184" s="686"/>
      <c r="T2184" s="686"/>
      <c r="U2184" s="686"/>
      <c r="V2184" s="686"/>
      <c r="W2184" s="686"/>
      <c r="X2184" s="686"/>
      <c r="Y2184" s="686"/>
      <c r="Z2184" s="686"/>
      <c r="AA2184" s="686"/>
      <c r="AB2184" s="686"/>
      <c r="AC2184" s="686"/>
      <c r="AD2184" s="686"/>
      <c r="AE2184" s="686"/>
      <c r="AF2184" s="686"/>
    </row>
    <row r="2185" ht="15.75" customHeight="1">
      <c r="A2185" s="683"/>
      <c r="B2185" s="683"/>
      <c r="C2185" s="684"/>
      <c r="D2185" s="684"/>
      <c r="E2185" s="684"/>
      <c r="F2185" s="683"/>
      <c r="G2185" s="683"/>
      <c r="H2185" s="683"/>
      <c r="I2185" s="683"/>
      <c r="J2185" s="683"/>
      <c r="K2185" s="683"/>
      <c r="L2185" s="685"/>
      <c r="M2185" s="685"/>
      <c r="N2185" s="687"/>
      <c r="O2185" s="683"/>
      <c r="P2185" s="683"/>
      <c r="Q2185" s="686"/>
      <c r="R2185" s="686"/>
      <c r="S2185" s="686"/>
      <c r="T2185" s="686"/>
      <c r="U2185" s="686"/>
      <c r="V2185" s="686"/>
      <c r="W2185" s="686"/>
      <c r="X2185" s="686"/>
      <c r="Y2185" s="686"/>
      <c r="Z2185" s="686"/>
      <c r="AA2185" s="686"/>
      <c r="AB2185" s="686"/>
      <c r="AC2185" s="686"/>
      <c r="AD2185" s="686"/>
      <c r="AE2185" s="686"/>
      <c r="AF2185" s="686"/>
    </row>
    <row r="2186" ht="15.75" customHeight="1">
      <c r="A2186" s="683"/>
      <c r="B2186" s="683"/>
      <c r="C2186" s="684"/>
      <c r="D2186" s="684"/>
      <c r="E2186" s="684"/>
      <c r="F2186" s="683"/>
      <c r="G2186" s="683"/>
      <c r="H2186" s="683"/>
      <c r="I2186" s="683"/>
      <c r="J2186" s="683"/>
      <c r="K2186" s="683"/>
      <c r="L2186" s="685"/>
      <c r="M2186" s="685"/>
      <c r="N2186" s="687"/>
      <c r="O2186" s="683"/>
      <c r="P2186" s="683"/>
      <c r="Q2186" s="686"/>
      <c r="R2186" s="686"/>
      <c r="S2186" s="686"/>
      <c r="T2186" s="686"/>
      <c r="U2186" s="686"/>
      <c r="V2186" s="686"/>
      <c r="W2186" s="686"/>
      <c r="X2186" s="686"/>
      <c r="Y2186" s="686"/>
      <c r="Z2186" s="686"/>
      <c r="AA2186" s="686"/>
      <c r="AB2186" s="686"/>
      <c r="AC2186" s="686"/>
      <c r="AD2186" s="686"/>
      <c r="AE2186" s="686"/>
      <c r="AF2186" s="686"/>
    </row>
    <row r="2187" ht="15.75" customHeight="1">
      <c r="A2187" s="683"/>
      <c r="B2187" s="683"/>
      <c r="C2187" s="684"/>
      <c r="D2187" s="684"/>
      <c r="E2187" s="684"/>
      <c r="F2187" s="683"/>
      <c r="G2187" s="683"/>
      <c r="H2187" s="683"/>
      <c r="I2187" s="683"/>
      <c r="J2187" s="683"/>
      <c r="K2187" s="683"/>
      <c r="L2187" s="685"/>
      <c r="M2187" s="685"/>
      <c r="N2187" s="687"/>
      <c r="O2187" s="683"/>
      <c r="P2187" s="683"/>
      <c r="Q2187" s="686"/>
      <c r="R2187" s="686"/>
      <c r="S2187" s="686"/>
      <c r="T2187" s="686"/>
      <c r="U2187" s="686"/>
      <c r="V2187" s="686"/>
      <c r="W2187" s="686"/>
      <c r="X2187" s="686"/>
      <c r="Y2187" s="686"/>
      <c r="Z2187" s="686"/>
      <c r="AA2187" s="686"/>
      <c r="AB2187" s="686"/>
      <c r="AC2187" s="686"/>
      <c r="AD2187" s="686"/>
      <c r="AE2187" s="686"/>
      <c r="AF2187" s="686"/>
    </row>
    <row r="2188" ht="15.75" customHeight="1">
      <c r="A2188" s="683"/>
      <c r="B2188" s="683"/>
      <c r="C2188" s="684"/>
      <c r="D2188" s="684"/>
      <c r="E2188" s="684"/>
      <c r="F2188" s="683"/>
      <c r="G2188" s="683"/>
      <c r="H2188" s="683"/>
      <c r="I2188" s="683"/>
      <c r="J2188" s="683"/>
      <c r="K2188" s="683"/>
      <c r="L2188" s="685"/>
      <c r="M2188" s="685"/>
      <c r="N2188" s="687"/>
      <c r="O2188" s="683"/>
      <c r="P2188" s="683"/>
      <c r="Q2188" s="686"/>
      <c r="R2188" s="686"/>
      <c r="S2188" s="686"/>
      <c r="T2188" s="686"/>
      <c r="U2188" s="686"/>
      <c r="V2188" s="686"/>
      <c r="W2188" s="686"/>
      <c r="X2188" s="686"/>
      <c r="Y2188" s="686"/>
      <c r="Z2188" s="686"/>
      <c r="AA2188" s="686"/>
      <c r="AB2188" s="686"/>
      <c r="AC2188" s="686"/>
      <c r="AD2188" s="686"/>
      <c r="AE2188" s="686"/>
      <c r="AF2188" s="686"/>
    </row>
    <row r="2189" ht="15.75" customHeight="1">
      <c r="A2189" s="683"/>
      <c r="B2189" s="683"/>
      <c r="C2189" s="684"/>
      <c r="D2189" s="684"/>
      <c r="E2189" s="684"/>
      <c r="F2189" s="683"/>
      <c r="G2189" s="683"/>
      <c r="H2189" s="683"/>
      <c r="I2189" s="683"/>
      <c r="J2189" s="683"/>
      <c r="K2189" s="683"/>
      <c r="L2189" s="685"/>
      <c r="M2189" s="685"/>
      <c r="N2189" s="687"/>
      <c r="O2189" s="683"/>
      <c r="P2189" s="683"/>
      <c r="Q2189" s="686"/>
      <c r="R2189" s="686"/>
      <c r="S2189" s="686"/>
      <c r="T2189" s="686"/>
      <c r="U2189" s="686"/>
      <c r="V2189" s="686"/>
      <c r="W2189" s="686"/>
      <c r="X2189" s="686"/>
      <c r="Y2189" s="686"/>
      <c r="Z2189" s="686"/>
      <c r="AA2189" s="686"/>
      <c r="AB2189" s="686"/>
      <c r="AC2189" s="686"/>
      <c r="AD2189" s="686"/>
      <c r="AE2189" s="686"/>
      <c r="AF2189" s="686"/>
    </row>
    <row r="2190" ht="15.75" customHeight="1">
      <c r="A2190" s="683"/>
      <c r="B2190" s="683"/>
      <c r="C2190" s="684"/>
      <c r="D2190" s="684"/>
      <c r="E2190" s="684"/>
      <c r="F2190" s="683"/>
      <c r="G2190" s="683"/>
      <c r="H2190" s="683"/>
      <c r="I2190" s="683"/>
      <c r="J2190" s="683"/>
      <c r="K2190" s="683"/>
      <c r="L2190" s="685"/>
      <c r="M2190" s="685"/>
      <c r="N2190" s="687"/>
      <c r="O2190" s="683"/>
      <c r="P2190" s="683"/>
      <c r="Q2190" s="686"/>
      <c r="R2190" s="686"/>
      <c r="S2190" s="686"/>
      <c r="T2190" s="686"/>
      <c r="U2190" s="686"/>
      <c r="V2190" s="686"/>
      <c r="W2190" s="686"/>
      <c r="X2190" s="686"/>
      <c r="Y2190" s="686"/>
      <c r="Z2190" s="686"/>
      <c r="AA2190" s="686"/>
      <c r="AB2190" s="686"/>
      <c r="AC2190" s="686"/>
      <c r="AD2190" s="686"/>
      <c r="AE2190" s="686"/>
      <c r="AF2190" s="686"/>
    </row>
    <row r="2191" ht="15.75" customHeight="1">
      <c r="A2191" s="683"/>
      <c r="B2191" s="683"/>
      <c r="C2191" s="684"/>
      <c r="D2191" s="684"/>
      <c r="E2191" s="684"/>
      <c r="F2191" s="683"/>
      <c r="G2191" s="683"/>
      <c r="H2191" s="683"/>
      <c r="I2191" s="683"/>
      <c r="J2191" s="683"/>
      <c r="K2191" s="683"/>
      <c r="L2191" s="685"/>
      <c r="M2191" s="685"/>
      <c r="N2191" s="687"/>
      <c r="O2191" s="683"/>
      <c r="P2191" s="683"/>
      <c r="Q2191" s="686"/>
      <c r="R2191" s="686"/>
      <c r="S2191" s="686"/>
      <c r="T2191" s="686"/>
      <c r="U2191" s="686"/>
      <c r="V2191" s="686"/>
      <c r="W2191" s="686"/>
      <c r="X2191" s="686"/>
      <c r="Y2191" s="686"/>
      <c r="Z2191" s="686"/>
      <c r="AA2191" s="686"/>
      <c r="AB2191" s="686"/>
      <c r="AC2191" s="686"/>
      <c r="AD2191" s="686"/>
      <c r="AE2191" s="686"/>
      <c r="AF2191" s="686"/>
    </row>
    <row r="2192" ht="15.75" customHeight="1">
      <c r="A2192" s="683"/>
      <c r="B2192" s="683"/>
      <c r="C2192" s="684"/>
      <c r="D2192" s="684"/>
      <c r="E2192" s="684"/>
      <c r="F2192" s="683"/>
      <c r="G2192" s="683"/>
      <c r="H2192" s="683"/>
      <c r="I2192" s="683"/>
      <c r="J2192" s="683"/>
      <c r="K2192" s="683"/>
      <c r="L2192" s="685"/>
      <c r="M2192" s="685"/>
      <c r="N2192" s="687"/>
      <c r="O2192" s="683"/>
      <c r="P2192" s="683"/>
      <c r="Q2192" s="686"/>
      <c r="R2192" s="686"/>
      <c r="S2192" s="686"/>
      <c r="T2192" s="686"/>
      <c r="U2192" s="686"/>
      <c r="V2192" s="686"/>
      <c r="W2192" s="686"/>
      <c r="X2192" s="686"/>
      <c r="Y2192" s="686"/>
      <c r="Z2192" s="686"/>
      <c r="AA2192" s="686"/>
      <c r="AB2192" s="686"/>
      <c r="AC2192" s="686"/>
      <c r="AD2192" s="686"/>
      <c r="AE2192" s="686"/>
      <c r="AF2192" s="686"/>
    </row>
    <row r="2193" ht="15.75" customHeight="1">
      <c r="A2193" s="683"/>
      <c r="B2193" s="683"/>
      <c r="C2193" s="684"/>
      <c r="D2193" s="684"/>
      <c r="E2193" s="684"/>
      <c r="F2193" s="683"/>
      <c r="G2193" s="683"/>
      <c r="H2193" s="683"/>
      <c r="I2193" s="683"/>
      <c r="J2193" s="683"/>
      <c r="K2193" s="683"/>
      <c r="L2193" s="685"/>
      <c r="M2193" s="685"/>
      <c r="N2193" s="687"/>
      <c r="O2193" s="683"/>
      <c r="P2193" s="683"/>
      <c r="Q2193" s="686"/>
      <c r="R2193" s="686"/>
      <c r="S2193" s="686"/>
      <c r="T2193" s="686"/>
      <c r="U2193" s="686"/>
      <c r="V2193" s="686"/>
      <c r="W2193" s="686"/>
      <c r="X2193" s="686"/>
      <c r="Y2193" s="686"/>
      <c r="Z2193" s="686"/>
      <c r="AA2193" s="686"/>
      <c r="AB2193" s="686"/>
      <c r="AC2193" s="686"/>
      <c r="AD2193" s="686"/>
      <c r="AE2193" s="686"/>
      <c r="AF2193" s="686"/>
    </row>
    <row r="2194" ht="15.75" customHeight="1">
      <c r="A2194" s="683"/>
      <c r="B2194" s="683"/>
      <c r="C2194" s="684"/>
      <c r="D2194" s="684"/>
      <c r="E2194" s="684"/>
      <c r="F2194" s="683"/>
      <c r="G2194" s="683"/>
      <c r="H2194" s="683"/>
      <c r="I2194" s="683"/>
      <c r="J2194" s="683"/>
      <c r="K2194" s="683"/>
      <c r="L2194" s="685"/>
      <c r="M2194" s="685"/>
      <c r="N2194" s="687"/>
      <c r="O2194" s="683"/>
      <c r="P2194" s="683"/>
      <c r="Q2194" s="686"/>
      <c r="R2194" s="686"/>
      <c r="S2194" s="686"/>
      <c r="T2194" s="686"/>
      <c r="U2194" s="686"/>
      <c r="V2194" s="686"/>
      <c r="W2194" s="686"/>
      <c r="X2194" s="686"/>
      <c r="Y2194" s="686"/>
      <c r="Z2194" s="686"/>
      <c r="AA2194" s="686"/>
      <c r="AB2194" s="686"/>
      <c r="AC2194" s="686"/>
      <c r="AD2194" s="686"/>
      <c r="AE2194" s="686"/>
      <c r="AF2194" s="686"/>
    </row>
    <row r="2195" ht="15.75" customHeight="1">
      <c r="A2195" s="683"/>
      <c r="B2195" s="683"/>
      <c r="C2195" s="684"/>
      <c r="D2195" s="684"/>
      <c r="E2195" s="684"/>
      <c r="F2195" s="683"/>
      <c r="G2195" s="683"/>
      <c r="H2195" s="683"/>
      <c r="I2195" s="683"/>
      <c r="J2195" s="683"/>
      <c r="K2195" s="683"/>
      <c r="L2195" s="685"/>
      <c r="M2195" s="685"/>
      <c r="N2195" s="687"/>
      <c r="O2195" s="683"/>
      <c r="P2195" s="683"/>
      <c r="Q2195" s="686"/>
      <c r="R2195" s="686"/>
      <c r="S2195" s="686"/>
      <c r="T2195" s="686"/>
      <c r="U2195" s="686"/>
      <c r="V2195" s="686"/>
      <c r="W2195" s="686"/>
      <c r="X2195" s="686"/>
      <c r="Y2195" s="686"/>
      <c r="Z2195" s="686"/>
      <c r="AA2195" s="686"/>
      <c r="AB2195" s="686"/>
      <c r="AC2195" s="686"/>
      <c r="AD2195" s="686"/>
      <c r="AE2195" s="686"/>
      <c r="AF2195" s="686"/>
    </row>
    <row r="2196" ht="15.75" customHeight="1">
      <c r="A2196" s="683"/>
      <c r="B2196" s="683"/>
      <c r="C2196" s="684"/>
      <c r="D2196" s="684"/>
      <c r="E2196" s="684"/>
      <c r="F2196" s="683"/>
      <c r="G2196" s="683"/>
      <c r="H2196" s="683"/>
      <c r="I2196" s="683"/>
      <c r="J2196" s="683"/>
      <c r="K2196" s="683"/>
      <c r="L2196" s="685"/>
      <c r="M2196" s="685"/>
      <c r="N2196" s="687"/>
      <c r="O2196" s="683"/>
      <c r="P2196" s="683"/>
      <c r="Q2196" s="686"/>
      <c r="R2196" s="686"/>
      <c r="S2196" s="686"/>
      <c r="T2196" s="686"/>
      <c r="U2196" s="686"/>
      <c r="V2196" s="686"/>
      <c r="W2196" s="686"/>
      <c r="X2196" s="686"/>
      <c r="Y2196" s="686"/>
      <c r="Z2196" s="686"/>
      <c r="AA2196" s="686"/>
      <c r="AB2196" s="686"/>
      <c r="AC2196" s="686"/>
      <c r="AD2196" s="686"/>
      <c r="AE2196" s="686"/>
      <c r="AF2196" s="686"/>
    </row>
    <row r="2197" ht="15.75" customHeight="1">
      <c r="A2197" s="683"/>
      <c r="B2197" s="683"/>
      <c r="C2197" s="684"/>
      <c r="D2197" s="684"/>
      <c r="E2197" s="684"/>
      <c r="F2197" s="683"/>
      <c r="G2197" s="683"/>
      <c r="H2197" s="683"/>
      <c r="I2197" s="683"/>
      <c r="J2197" s="683"/>
      <c r="K2197" s="683"/>
      <c r="L2197" s="685"/>
      <c r="M2197" s="685"/>
      <c r="N2197" s="687"/>
      <c r="O2197" s="683"/>
      <c r="P2197" s="683"/>
      <c r="Q2197" s="686"/>
      <c r="R2197" s="686"/>
      <c r="S2197" s="686"/>
      <c r="T2197" s="686"/>
      <c r="U2197" s="686"/>
      <c r="V2197" s="686"/>
      <c r="W2197" s="686"/>
      <c r="X2197" s="686"/>
      <c r="Y2197" s="686"/>
      <c r="Z2197" s="686"/>
      <c r="AA2197" s="686"/>
      <c r="AB2197" s="686"/>
      <c r="AC2197" s="686"/>
      <c r="AD2197" s="686"/>
      <c r="AE2197" s="686"/>
      <c r="AF2197" s="686"/>
    </row>
    <row r="2198" ht="15.75" customHeight="1">
      <c r="A2198" s="683"/>
      <c r="B2198" s="683"/>
      <c r="C2198" s="684"/>
      <c r="D2198" s="684"/>
      <c r="E2198" s="684"/>
      <c r="F2198" s="683"/>
      <c r="G2198" s="683"/>
      <c r="H2198" s="683"/>
      <c r="I2198" s="683"/>
      <c r="J2198" s="683"/>
      <c r="K2198" s="683"/>
      <c r="L2198" s="685"/>
      <c r="M2198" s="685"/>
      <c r="N2198" s="687"/>
      <c r="O2198" s="683"/>
      <c r="P2198" s="683"/>
      <c r="Q2198" s="686"/>
      <c r="R2198" s="686"/>
      <c r="S2198" s="686"/>
      <c r="T2198" s="686"/>
      <c r="U2198" s="686"/>
      <c r="V2198" s="686"/>
      <c r="W2198" s="686"/>
      <c r="X2198" s="686"/>
      <c r="Y2198" s="686"/>
      <c r="Z2198" s="686"/>
      <c r="AA2198" s="686"/>
      <c r="AB2198" s="686"/>
      <c r="AC2198" s="686"/>
      <c r="AD2198" s="686"/>
      <c r="AE2198" s="686"/>
      <c r="AF2198" s="686"/>
    </row>
    <row r="2199" ht="15.75" customHeight="1">
      <c r="A2199" s="683"/>
      <c r="B2199" s="683"/>
      <c r="C2199" s="684"/>
      <c r="D2199" s="684"/>
      <c r="E2199" s="684"/>
      <c r="F2199" s="683"/>
      <c r="G2199" s="683"/>
      <c r="H2199" s="683"/>
      <c r="I2199" s="683"/>
      <c r="J2199" s="683"/>
      <c r="K2199" s="683"/>
      <c r="L2199" s="685"/>
      <c r="M2199" s="685"/>
      <c r="N2199" s="687"/>
      <c r="O2199" s="683"/>
      <c r="P2199" s="683"/>
      <c r="Q2199" s="686"/>
      <c r="R2199" s="686"/>
      <c r="S2199" s="686"/>
      <c r="T2199" s="686"/>
      <c r="U2199" s="686"/>
      <c r="V2199" s="686"/>
      <c r="W2199" s="686"/>
      <c r="X2199" s="686"/>
      <c r="Y2199" s="686"/>
      <c r="Z2199" s="686"/>
      <c r="AA2199" s="686"/>
      <c r="AB2199" s="686"/>
      <c r="AC2199" s="686"/>
      <c r="AD2199" s="686"/>
      <c r="AE2199" s="686"/>
      <c r="AF2199" s="686"/>
    </row>
    <row r="2200" ht="15.75" customHeight="1">
      <c r="A2200" s="683"/>
      <c r="B2200" s="683"/>
      <c r="C2200" s="684"/>
      <c r="D2200" s="684"/>
      <c r="E2200" s="684"/>
      <c r="F2200" s="683"/>
      <c r="G2200" s="683"/>
      <c r="H2200" s="683"/>
      <c r="I2200" s="683"/>
      <c r="J2200" s="683"/>
      <c r="K2200" s="683"/>
      <c r="L2200" s="685"/>
      <c r="M2200" s="685"/>
      <c r="N2200" s="687"/>
      <c r="O2200" s="683"/>
      <c r="P2200" s="683"/>
      <c r="Q2200" s="686"/>
      <c r="R2200" s="686"/>
      <c r="S2200" s="686"/>
      <c r="T2200" s="686"/>
      <c r="U2200" s="686"/>
      <c r="V2200" s="686"/>
      <c r="W2200" s="686"/>
      <c r="X2200" s="686"/>
      <c r="Y2200" s="686"/>
      <c r="Z2200" s="686"/>
      <c r="AA2200" s="686"/>
      <c r="AB2200" s="686"/>
      <c r="AC2200" s="686"/>
      <c r="AD2200" s="686"/>
      <c r="AE2200" s="686"/>
      <c r="AF2200" s="686"/>
    </row>
    <row r="2201" ht="15.75" customHeight="1">
      <c r="A2201" s="683"/>
      <c r="B2201" s="683"/>
      <c r="C2201" s="684"/>
      <c r="D2201" s="684"/>
      <c r="E2201" s="684"/>
      <c r="F2201" s="683"/>
      <c r="G2201" s="683"/>
      <c r="H2201" s="683"/>
      <c r="I2201" s="683"/>
      <c r="J2201" s="683"/>
      <c r="K2201" s="683"/>
      <c r="L2201" s="685"/>
      <c r="M2201" s="685"/>
      <c r="N2201" s="687"/>
      <c r="O2201" s="683"/>
      <c r="P2201" s="683"/>
      <c r="Q2201" s="686"/>
      <c r="R2201" s="686"/>
      <c r="S2201" s="686"/>
      <c r="T2201" s="686"/>
      <c r="U2201" s="686"/>
      <c r="V2201" s="686"/>
      <c r="W2201" s="686"/>
      <c r="X2201" s="686"/>
      <c r="Y2201" s="686"/>
      <c r="Z2201" s="686"/>
      <c r="AA2201" s="686"/>
      <c r="AB2201" s="686"/>
      <c r="AC2201" s="686"/>
      <c r="AD2201" s="686"/>
      <c r="AE2201" s="686"/>
      <c r="AF2201" s="686"/>
    </row>
    <row r="2202" ht="15.75" customHeight="1">
      <c r="A2202" s="683"/>
      <c r="B2202" s="683"/>
      <c r="C2202" s="684"/>
      <c r="D2202" s="684"/>
      <c r="E2202" s="684"/>
      <c r="F2202" s="683"/>
      <c r="G2202" s="683"/>
      <c r="H2202" s="683"/>
      <c r="I2202" s="683"/>
      <c r="J2202" s="683"/>
      <c r="K2202" s="683"/>
      <c r="L2202" s="685"/>
      <c r="M2202" s="685"/>
      <c r="N2202" s="687"/>
      <c r="O2202" s="683"/>
      <c r="P2202" s="683"/>
      <c r="Q2202" s="686"/>
      <c r="R2202" s="686"/>
      <c r="S2202" s="686"/>
      <c r="T2202" s="686"/>
      <c r="U2202" s="686"/>
      <c r="V2202" s="686"/>
      <c r="W2202" s="686"/>
      <c r="X2202" s="686"/>
      <c r="Y2202" s="686"/>
      <c r="Z2202" s="686"/>
      <c r="AA2202" s="686"/>
      <c r="AB2202" s="686"/>
      <c r="AC2202" s="686"/>
      <c r="AD2202" s="686"/>
      <c r="AE2202" s="686"/>
      <c r="AF2202" s="686"/>
    </row>
    <row r="2203" ht="15.75" customHeight="1">
      <c r="A2203" s="683"/>
      <c r="B2203" s="683"/>
      <c r="C2203" s="684"/>
      <c r="D2203" s="684"/>
      <c r="E2203" s="684"/>
      <c r="F2203" s="683"/>
      <c r="G2203" s="683"/>
      <c r="H2203" s="683"/>
      <c r="I2203" s="683"/>
      <c r="J2203" s="683"/>
      <c r="K2203" s="683"/>
      <c r="L2203" s="685"/>
      <c r="M2203" s="685"/>
      <c r="N2203" s="687"/>
      <c r="O2203" s="683"/>
      <c r="P2203" s="683"/>
      <c r="Q2203" s="686"/>
      <c r="R2203" s="686"/>
      <c r="S2203" s="686"/>
      <c r="T2203" s="686"/>
      <c r="U2203" s="686"/>
      <c r="V2203" s="686"/>
      <c r="W2203" s="686"/>
      <c r="X2203" s="686"/>
      <c r="Y2203" s="686"/>
      <c r="Z2203" s="686"/>
      <c r="AA2203" s="686"/>
      <c r="AB2203" s="686"/>
      <c r="AC2203" s="686"/>
      <c r="AD2203" s="686"/>
      <c r="AE2203" s="686"/>
      <c r="AF2203" s="686"/>
    </row>
    <row r="2204" ht="15.75" customHeight="1">
      <c r="A2204" s="683"/>
      <c r="B2204" s="683"/>
      <c r="C2204" s="684"/>
      <c r="D2204" s="684"/>
      <c r="E2204" s="684"/>
      <c r="F2204" s="683"/>
      <c r="G2204" s="683"/>
      <c r="H2204" s="683"/>
      <c r="I2204" s="683"/>
      <c r="J2204" s="683"/>
      <c r="K2204" s="683"/>
      <c r="L2204" s="685"/>
      <c r="M2204" s="685"/>
      <c r="N2204" s="687"/>
      <c r="O2204" s="683"/>
      <c r="P2204" s="683"/>
      <c r="Q2204" s="686"/>
      <c r="R2204" s="686"/>
      <c r="S2204" s="686"/>
      <c r="T2204" s="686"/>
      <c r="U2204" s="686"/>
      <c r="V2204" s="686"/>
      <c r="W2204" s="686"/>
      <c r="X2204" s="686"/>
      <c r="Y2204" s="686"/>
      <c r="Z2204" s="686"/>
      <c r="AA2204" s="686"/>
      <c r="AB2204" s="686"/>
      <c r="AC2204" s="686"/>
      <c r="AD2204" s="686"/>
      <c r="AE2204" s="686"/>
      <c r="AF2204" s="686"/>
    </row>
    <row r="2205" ht="15.75" customHeight="1">
      <c r="A2205" s="683"/>
      <c r="B2205" s="683"/>
      <c r="C2205" s="684"/>
      <c r="D2205" s="684"/>
      <c r="E2205" s="684"/>
      <c r="F2205" s="683"/>
      <c r="G2205" s="683"/>
      <c r="H2205" s="683"/>
      <c r="I2205" s="683"/>
      <c r="J2205" s="683"/>
      <c r="K2205" s="683"/>
      <c r="L2205" s="685"/>
      <c r="M2205" s="685"/>
      <c r="N2205" s="687"/>
      <c r="O2205" s="683"/>
      <c r="P2205" s="683"/>
      <c r="Q2205" s="686"/>
      <c r="R2205" s="686"/>
      <c r="S2205" s="686"/>
      <c r="T2205" s="686"/>
      <c r="U2205" s="686"/>
      <c r="V2205" s="686"/>
      <c r="W2205" s="686"/>
      <c r="X2205" s="686"/>
      <c r="Y2205" s="686"/>
      <c r="Z2205" s="686"/>
      <c r="AA2205" s="686"/>
      <c r="AB2205" s="686"/>
      <c r="AC2205" s="686"/>
      <c r="AD2205" s="686"/>
      <c r="AE2205" s="686"/>
      <c r="AF2205" s="686"/>
    </row>
    <row r="2206" ht="15.75" customHeight="1">
      <c r="A2206" s="683"/>
      <c r="B2206" s="683"/>
      <c r="C2206" s="684"/>
      <c r="D2206" s="684"/>
      <c r="E2206" s="684"/>
      <c r="F2206" s="683"/>
      <c r="G2206" s="683"/>
      <c r="H2206" s="683"/>
      <c r="I2206" s="683"/>
      <c r="J2206" s="683"/>
      <c r="K2206" s="683"/>
      <c r="L2206" s="685"/>
      <c r="M2206" s="685"/>
      <c r="N2206" s="687"/>
      <c r="O2206" s="683"/>
      <c r="P2206" s="683"/>
      <c r="Q2206" s="686"/>
      <c r="R2206" s="686"/>
      <c r="S2206" s="686"/>
      <c r="T2206" s="686"/>
      <c r="U2206" s="686"/>
      <c r="V2206" s="686"/>
      <c r="W2206" s="686"/>
      <c r="X2206" s="686"/>
      <c r="Y2206" s="686"/>
      <c r="Z2206" s="686"/>
      <c r="AA2206" s="686"/>
      <c r="AB2206" s="686"/>
      <c r="AC2206" s="686"/>
      <c r="AD2206" s="686"/>
      <c r="AE2206" s="686"/>
      <c r="AF2206" s="686"/>
    </row>
    <row r="2207" ht="15.75" customHeight="1">
      <c r="A2207" s="683"/>
      <c r="B2207" s="683"/>
      <c r="C2207" s="684"/>
      <c r="D2207" s="684"/>
      <c r="E2207" s="684"/>
      <c r="F2207" s="683"/>
      <c r="G2207" s="683"/>
      <c r="H2207" s="683"/>
      <c r="I2207" s="683"/>
      <c r="J2207" s="683"/>
      <c r="K2207" s="683"/>
      <c r="L2207" s="685"/>
      <c r="M2207" s="685"/>
      <c r="N2207" s="687"/>
      <c r="O2207" s="683"/>
      <c r="P2207" s="683"/>
      <c r="Q2207" s="686"/>
      <c r="R2207" s="686"/>
      <c r="S2207" s="686"/>
      <c r="T2207" s="686"/>
      <c r="U2207" s="686"/>
      <c r="V2207" s="686"/>
      <c r="W2207" s="686"/>
      <c r="X2207" s="686"/>
      <c r="Y2207" s="686"/>
      <c r="Z2207" s="686"/>
      <c r="AA2207" s="686"/>
      <c r="AB2207" s="686"/>
      <c r="AC2207" s="686"/>
      <c r="AD2207" s="686"/>
      <c r="AE2207" s="686"/>
      <c r="AF2207" s="686"/>
    </row>
    <row r="2208" ht="15.75" customHeight="1">
      <c r="A2208" s="683"/>
      <c r="B2208" s="683"/>
      <c r="C2208" s="684"/>
      <c r="D2208" s="684"/>
      <c r="E2208" s="684"/>
      <c r="F2208" s="683"/>
      <c r="G2208" s="683"/>
      <c r="H2208" s="683"/>
      <c r="I2208" s="683"/>
      <c r="J2208" s="683"/>
      <c r="K2208" s="683"/>
      <c r="L2208" s="685"/>
      <c r="M2208" s="685"/>
      <c r="N2208" s="687"/>
      <c r="O2208" s="683"/>
      <c r="P2208" s="683"/>
      <c r="Q2208" s="686"/>
      <c r="R2208" s="686"/>
      <c r="S2208" s="686"/>
      <c r="T2208" s="686"/>
      <c r="U2208" s="686"/>
      <c r="V2208" s="686"/>
      <c r="W2208" s="686"/>
      <c r="X2208" s="686"/>
      <c r="Y2208" s="686"/>
      <c r="Z2208" s="686"/>
      <c r="AA2208" s="686"/>
      <c r="AB2208" s="686"/>
      <c r="AC2208" s="686"/>
      <c r="AD2208" s="686"/>
      <c r="AE2208" s="686"/>
      <c r="AF2208" s="686"/>
    </row>
    <row r="2209" ht="15.75" customHeight="1">
      <c r="A2209" s="683"/>
      <c r="B2209" s="683"/>
      <c r="C2209" s="684"/>
      <c r="D2209" s="684"/>
      <c r="E2209" s="684"/>
      <c r="F2209" s="683"/>
      <c r="G2209" s="683"/>
      <c r="H2209" s="683"/>
      <c r="I2209" s="683"/>
      <c r="J2209" s="683"/>
      <c r="K2209" s="683"/>
      <c r="L2209" s="685"/>
      <c r="M2209" s="685"/>
      <c r="N2209" s="687"/>
      <c r="O2209" s="683"/>
      <c r="P2209" s="683"/>
      <c r="Q2209" s="686"/>
      <c r="R2209" s="686"/>
      <c r="S2209" s="686"/>
      <c r="T2209" s="686"/>
      <c r="U2209" s="686"/>
      <c r="V2209" s="686"/>
      <c r="W2209" s="686"/>
      <c r="X2209" s="686"/>
      <c r="Y2209" s="686"/>
      <c r="Z2209" s="686"/>
      <c r="AA2209" s="686"/>
      <c r="AB2209" s="686"/>
      <c r="AC2209" s="686"/>
      <c r="AD2209" s="686"/>
      <c r="AE2209" s="686"/>
      <c r="AF2209" s="686"/>
    </row>
    <row r="2210" ht="15.75" customHeight="1">
      <c r="A2210" s="683"/>
      <c r="B2210" s="683"/>
      <c r="C2210" s="684"/>
      <c r="D2210" s="684"/>
      <c r="E2210" s="684"/>
      <c r="F2210" s="683"/>
      <c r="G2210" s="683"/>
      <c r="H2210" s="683"/>
      <c r="I2210" s="683"/>
      <c r="J2210" s="683"/>
      <c r="K2210" s="683"/>
      <c r="L2210" s="685"/>
      <c r="M2210" s="685"/>
      <c r="N2210" s="687"/>
      <c r="O2210" s="683"/>
      <c r="P2210" s="683"/>
      <c r="Q2210" s="686"/>
      <c r="R2210" s="686"/>
      <c r="S2210" s="686"/>
      <c r="T2210" s="686"/>
      <c r="U2210" s="686"/>
      <c r="V2210" s="686"/>
      <c r="W2210" s="686"/>
      <c r="X2210" s="686"/>
      <c r="Y2210" s="686"/>
      <c r="Z2210" s="686"/>
      <c r="AA2210" s="686"/>
      <c r="AB2210" s="686"/>
      <c r="AC2210" s="686"/>
      <c r="AD2210" s="686"/>
      <c r="AE2210" s="686"/>
      <c r="AF2210" s="686"/>
    </row>
    <row r="2211" ht="15.75" customHeight="1">
      <c r="A2211" s="683"/>
      <c r="B2211" s="683"/>
      <c r="C2211" s="684"/>
      <c r="D2211" s="684"/>
      <c r="E2211" s="684"/>
      <c r="F2211" s="683"/>
      <c r="G2211" s="683"/>
      <c r="H2211" s="683"/>
      <c r="I2211" s="683"/>
      <c r="J2211" s="683"/>
      <c r="K2211" s="683"/>
      <c r="L2211" s="685"/>
      <c r="M2211" s="685"/>
      <c r="N2211" s="687"/>
      <c r="O2211" s="683"/>
      <c r="P2211" s="683"/>
      <c r="Q2211" s="686"/>
      <c r="R2211" s="686"/>
      <c r="S2211" s="686"/>
      <c r="T2211" s="686"/>
      <c r="U2211" s="686"/>
      <c r="V2211" s="686"/>
      <c r="W2211" s="686"/>
      <c r="X2211" s="686"/>
      <c r="Y2211" s="686"/>
      <c r="Z2211" s="686"/>
      <c r="AA2211" s="686"/>
      <c r="AB2211" s="686"/>
      <c r="AC2211" s="686"/>
      <c r="AD2211" s="686"/>
      <c r="AE2211" s="686"/>
      <c r="AF2211" s="686"/>
    </row>
    <row r="2212" ht="15.75" customHeight="1">
      <c r="A2212" s="683"/>
      <c r="B2212" s="683"/>
      <c r="C2212" s="684"/>
      <c r="D2212" s="684"/>
      <c r="E2212" s="684"/>
      <c r="F2212" s="683"/>
      <c r="G2212" s="683"/>
      <c r="H2212" s="683"/>
      <c r="I2212" s="683"/>
      <c r="J2212" s="683"/>
      <c r="K2212" s="683"/>
      <c r="L2212" s="685"/>
      <c r="M2212" s="685"/>
      <c r="N2212" s="687"/>
      <c r="O2212" s="683"/>
      <c r="P2212" s="683"/>
      <c r="Q2212" s="686"/>
      <c r="R2212" s="686"/>
      <c r="S2212" s="686"/>
      <c r="T2212" s="686"/>
      <c r="U2212" s="686"/>
      <c r="V2212" s="686"/>
      <c r="W2212" s="686"/>
      <c r="X2212" s="686"/>
      <c r="Y2212" s="686"/>
      <c r="Z2212" s="686"/>
      <c r="AA2212" s="686"/>
      <c r="AB2212" s="686"/>
      <c r="AC2212" s="686"/>
      <c r="AD2212" s="686"/>
      <c r="AE2212" s="686"/>
      <c r="AF2212" s="686"/>
    </row>
    <row r="2213" ht="15.75" customHeight="1">
      <c r="A2213" s="683"/>
      <c r="B2213" s="683"/>
      <c r="C2213" s="684"/>
      <c r="D2213" s="684"/>
      <c r="E2213" s="684"/>
      <c r="F2213" s="683"/>
      <c r="G2213" s="683"/>
      <c r="H2213" s="683"/>
      <c r="I2213" s="683"/>
      <c r="J2213" s="683"/>
      <c r="K2213" s="683"/>
      <c r="L2213" s="685"/>
      <c r="M2213" s="685"/>
      <c r="N2213" s="687"/>
      <c r="O2213" s="683"/>
      <c r="P2213" s="683"/>
      <c r="Q2213" s="686"/>
      <c r="R2213" s="686"/>
      <c r="S2213" s="686"/>
      <c r="T2213" s="686"/>
      <c r="U2213" s="686"/>
      <c r="V2213" s="686"/>
      <c r="W2213" s="686"/>
      <c r="X2213" s="686"/>
      <c r="Y2213" s="686"/>
      <c r="Z2213" s="686"/>
      <c r="AA2213" s="686"/>
      <c r="AB2213" s="686"/>
      <c r="AC2213" s="686"/>
      <c r="AD2213" s="686"/>
      <c r="AE2213" s="686"/>
      <c r="AF2213" s="686"/>
    </row>
    <row r="2214" ht="15.75" customHeight="1">
      <c r="A2214" s="683"/>
      <c r="B2214" s="683"/>
      <c r="C2214" s="684"/>
      <c r="D2214" s="684"/>
      <c r="E2214" s="684"/>
      <c r="F2214" s="683"/>
      <c r="G2214" s="683"/>
      <c r="H2214" s="683"/>
      <c r="I2214" s="683"/>
      <c r="J2214" s="683"/>
      <c r="K2214" s="683"/>
      <c r="L2214" s="685"/>
      <c r="M2214" s="685"/>
      <c r="N2214" s="687"/>
      <c r="O2214" s="683"/>
      <c r="P2214" s="683"/>
      <c r="Q2214" s="686"/>
      <c r="R2214" s="686"/>
      <c r="S2214" s="686"/>
      <c r="T2214" s="686"/>
      <c r="U2214" s="686"/>
      <c r="V2214" s="686"/>
      <c r="W2214" s="686"/>
      <c r="X2214" s="686"/>
      <c r="Y2214" s="686"/>
      <c r="Z2214" s="686"/>
      <c r="AA2214" s="686"/>
      <c r="AB2214" s="686"/>
      <c r="AC2214" s="686"/>
      <c r="AD2214" s="686"/>
      <c r="AE2214" s="686"/>
      <c r="AF2214" s="686"/>
    </row>
    <row r="2215" ht="15.75" customHeight="1">
      <c r="A2215" s="683"/>
      <c r="B2215" s="683"/>
      <c r="C2215" s="684"/>
      <c r="D2215" s="684"/>
      <c r="E2215" s="684"/>
      <c r="F2215" s="683"/>
      <c r="G2215" s="683"/>
      <c r="H2215" s="683"/>
      <c r="I2215" s="683"/>
      <c r="J2215" s="683"/>
      <c r="K2215" s="683"/>
      <c r="L2215" s="685"/>
      <c r="M2215" s="685"/>
      <c r="N2215" s="687"/>
      <c r="O2215" s="683"/>
      <c r="P2215" s="683"/>
      <c r="Q2215" s="686"/>
      <c r="R2215" s="686"/>
      <c r="S2215" s="686"/>
      <c r="T2215" s="686"/>
      <c r="U2215" s="686"/>
      <c r="V2215" s="686"/>
      <c r="W2215" s="686"/>
      <c r="X2215" s="686"/>
      <c r="Y2215" s="686"/>
      <c r="Z2215" s="686"/>
      <c r="AA2215" s="686"/>
      <c r="AB2215" s="686"/>
      <c r="AC2215" s="686"/>
      <c r="AD2215" s="686"/>
      <c r="AE2215" s="686"/>
      <c r="AF2215" s="686"/>
    </row>
    <row r="2216" ht="15.75" customHeight="1">
      <c r="A2216" s="683"/>
      <c r="B2216" s="683"/>
      <c r="C2216" s="684"/>
      <c r="D2216" s="684"/>
      <c r="E2216" s="684"/>
      <c r="F2216" s="683"/>
      <c r="G2216" s="683"/>
      <c r="H2216" s="683"/>
      <c r="I2216" s="683"/>
      <c r="J2216" s="683"/>
      <c r="K2216" s="683"/>
      <c r="L2216" s="685"/>
      <c r="M2216" s="685"/>
      <c r="N2216" s="687"/>
      <c r="O2216" s="683"/>
      <c r="P2216" s="683"/>
      <c r="Q2216" s="686"/>
      <c r="R2216" s="686"/>
      <c r="S2216" s="686"/>
      <c r="T2216" s="686"/>
      <c r="U2216" s="686"/>
      <c r="V2216" s="686"/>
      <c r="W2216" s="686"/>
      <c r="X2216" s="686"/>
      <c r="Y2216" s="686"/>
      <c r="Z2216" s="686"/>
      <c r="AA2216" s="686"/>
      <c r="AB2216" s="686"/>
      <c r="AC2216" s="686"/>
      <c r="AD2216" s="686"/>
      <c r="AE2216" s="686"/>
      <c r="AF2216" s="686"/>
    </row>
    <row r="2217" ht="15.75" customHeight="1">
      <c r="A2217" s="683"/>
      <c r="B2217" s="683"/>
      <c r="C2217" s="684"/>
      <c r="D2217" s="684"/>
      <c r="E2217" s="684"/>
      <c r="F2217" s="683"/>
      <c r="G2217" s="683"/>
      <c r="H2217" s="683"/>
      <c r="I2217" s="683"/>
      <c r="J2217" s="683"/>
      <c r="K2217" s="683"/>
      <c r="L2217" s="685"/>
      <c r="M2217" s="685"/>
      <c r="N2217" s="687"/>
      <c r="O2217" s="683"/>
      <c r="P2217" s="683"/>
      <c r="Q2217" s="686"/>
      <c r="R2217" s="686"/>
      <c r="S2217" s="686"/>
      <c r="T2217" s="686"/>
      <c r="U2217" s="686"/>
      <c r="V2217" s="686"/>
      <c r="W2217" s="686"/>
      <c r="X2217" s="686"/>
      <c r="Y2217" s="686"/>
      <c r="Z2217" s="686"/>
      <c r="AA2217" s="686"/>
      <c r="AB2217" s="686"/>
      <c r="AC2217" s="686"/>
      <c r="AD2217" s="686"/>
      <c r="AE2217" s="686"/>
      <c r="AF2217" s="686"/>
    </row>
    <row r="2218" ht="15.75" customHeight="1">
      <c r="A2218" s="683"/>
      <c r="B2218" s="683"/>
      <c r="C2218" s="684"/>
      <c r="D2218" s="684"/>
      <c r="E2218" s="684"/>
      <c r="F2218" s="683"/>
      <c r="G2218" s="683"/>
      <c r="H2218" s="683"/>
      <c r="I2218" s="683"/>
      <c r="J2218" s="683"/>
      <c r="K2218" s="683"/>
      <c r="L2218" s="685"/>
      <c r="M2218" s="685"/>
      <c r="N2218" s="687"/>
      <c r="O2218" s="683"/>
      <c r="P2218" s="683"/>
      <c r="Q2218" s="686"/>
      <c r="R2218" s="686"/>
      <c r="S2218" s="686"/>
      <c r="T2218" s="686"/>
      <c r="U2218" s="686"/>
      <c r="V2218" s="686"/>
      <c r="W2218" s="686"/>
      <c r="X2218" s="686"/>
      <c r="Y2218" s="686"/>
      <c r="Z2218" s="686"/>
      <c r="AA2218" s="686"/>
      <c r="AB2218" s="686"/>
      <c r="AC2218" s="686"/>
      <c r="AD2218" s="686"/>
      <c r="AE2218" s="686"/>
      <c r="AF2218" s="686"/>
    </row>
    <row r="2219" ht="15.75" customHeight="1">
      <c r="A2219" s="683"/>
      <c r="B2219" s="683"/>
      <c r="C2219" s="684"/>
      <c r="D2219" s="684"/>
      <c r="E2219" s="684"/>
      <c r="F2219" s="683"/>
      <c r="G2219" s="683"/>
      <c r="H2219" s="683"/>
      <c r="I2219" s="683"/>
      <c r="J2219" s="683"/>
      <c r="K2219" s="683"/>
      <c r="L2219" s="685"/>
      <c r="M2219" s="685"/>
      <c r="N2219" s="687"/>
      <c r="O2219" s="683"/>
      <c r="P2219" s="683"/>
      <c r="Q2219" s="686"/>
      <c r="R2219" s="686"/>
      <c r="S2219" s="686"/>
      <c r="T2219" s="686"/>
      <c r="U2219" s="686"/>
      <c r="V2219" s="686"/>
      <c r="W2219" s="686"/>
      <c r="X2219" s="686"/>
      <c r="Y2219" s="686"/>
      <c r="Z2219" s="686"/>
      <c r="AA2219" s="686"/>
      <c r="AB2219" s="686"/>
      <c r="AC2219" s="686"/>
      <c r="AD2219" s="686"/>
      <c r="AE2219" s="686"/>
      <c r="AF2219" s="686"/>
    </row>
    <row r="2220" ht="15.75" customHeight="1">
      <c r="A2220" s="683"/>
      <c r="B2220" s="683"/>
      <c r="C2220" s="684"/>
      <c r="D2220" s="684"/>
      <c r="E2220" s="684"/>
      <c r="F2220" s="683"/>
      <c r="G2220" s="683"/>
      <c r="H2220" s="683"/>
      <c r="I2220" s="683"/>
      <c r="J2220" s="683"/>
      <c r="K2220" s="683"/>
      <c r="L2220" s="685"/>
      <c r="M2220" s="685"/>
      <c r="N2220" s="687"/>
      <c r="O2220" s="683"/>
      <c r="P2220" s="683"/>
      <c r="Q2220" s="686"/>
      <c r="R2220" s="686"/>
      <c r="S2220" s="686"/>
      <c r="T2220" s="686"/>
      <c r="U2220" s="686"/>
      <c r="V2220" s="686"/>
      <c r="W2220" s="686"/>
      <c r="X2220" s="686"/>
      <c r="Y2220" s="686"/>
      <c r="Z2220" s="686"/>
      <c r="AA2220" s="686"/>
      <c r="AB2220" s="686"/>
      <c r="AC2220" s="686"/>
      <c r="AD2220" s="686"/>
      <c r="AE2220" s="686"/>
      <c r="AF2220" s="686"/>
    </row>
    <row r="2221" ht="15.75" customHeight="1">
      <c r="A2221" s="683"/>
      <c r="B2221" s="683"/>
      <c r="C2221" s="684"/>
      <c r="D2221" s="684"/>
      <c r="E2221" s="684"/>
      <c r="F2221" s="683"/>
      <c r="G2221" s="683"/>
      <c r="H2221" s="683"/>
      <c r="I2221" s="683"/>
      <c r="J2221" s="683"/>
      <c r="K2221" s="683"/>
      <c r="L2221" s="685"/>
      <c r="M2221" s="685"/>
      <c r="N2221" s="687"/>
      <c r="O2221" s="683"/>
      <c r="P2221" s="683"/>
      <c r="Q2221" s="686"/>
      <c r="R2221" s="686"/>
      <c r="S2221" s="686"/>
      <c r="T2221" s="686"/>
      <c r="U2221" s="686"/>
      <c r="V2221" s="686"/>
      <c r="W2221" s="686"/>
      <c r="X2221" s="686"/>
      <c r="Y2221" s="686"/>
      <c r="Z2221" s="686"/>
      <c r="AA2221" s="686"/>
      <c r="AB2221" s="686"/>
      <c r="AC2221" s="686"/>
      <c r="AD2221" s="686"/>
      <c r="AE2221" s="686"/>
      <c r="AF2221" s="686"/>
    </row>
    <row r="2222" ht="15.75" customHeight="1">
      <c r="A2222" s="683"/>
      <c r="B2222" s="683"/>
      <c r="C2222" s="684"/>
      <c r="D2222" s="684"/>
      <c r="E2222" s="684"/>
      <c r="F2222" s="683"/>
      <c r="G2222" s="683"/>
      <c r="H2222" s="683"/>
      <c r="I2222" s="683"/>
      <c r="J2222" s="683"/>
      <c r="K2222" s="683"/>
      <c r="L2222" s="685"/>
      <c r="M2222" s="685"/>
      <c r="N2222" s="687"/>
      <c r="O2222" s="683"/>
      <c r="P2222" s="683"/>
      <c r="Q2222" s="686"/>
      <c r="R2222" s="686"/>
      <c r="S2222" s="686"/>
      <c r="T2222" s="686"/>
      <c r="U2222" s="686"/>
      <c r="V2222" s="686"/>
      <c r="W2222" s="686"/>
      <c r="X2222" s="686"/>
      <c r="Y2222" s="686"/>
      <c r="Z2222" s="686"/>
      <c r="AA2222" s="686"/>
      <c r="AB2222" s="686"/>
      <c r="AC2222" s="686"/>
      <c r="AD2222" s="686"/>
      <c r="AE2222" s="686"/>
      <c r="AF2222" s="686"/>
    </row>
    <row r="2223" ht="15.75" customHeight="1">
      <c r="A2223" s="683"/>
      <c r="B2223" s="683"/>
      <c r="C2223" s="684"/>
      <c r="D2223" s="684"/>
      <c r="E2223" s="684"/>
      <c r="F2223" s="683"/>
      <c r="G2223" s="683"/>
      <c r="H2223" s="683"/>
      <c r="I2223" s="683"/>
      <c r="J2223" s="683"/>
      <c r="K2223" s="683"/>
      <c r="L2223" s="685"/>
      <c r="M2223" s="685"/>
      <c r="N2223" s="687"/>
      <c r="O2223" s="683"/>
      <c r="P2223" s="683"/>
      <c r="Q2223" s="686"/>
      <c r="R2223" s="686"/>
      <c r="S2223" s="686"/>
      <c r="T2223" s="686"/>
      <c r="U2223" s="686"/>
      <c r="V2223" s="686"/>
      <c r="W2223" s="686"/>
      <c r="X2223" s="686"/>
      <c r="Y2223" s="686"/>
      <c r="Z2223" s="686"/>
      <c r="AA2223" s="686"/>
      <c r="AB2223" s="686"/>
      <c r="AC2223" s="686"/>
      <c r="AD2223" s="686"/>
      <c r="AE2223" s="686"/>
      <c r="AF2223" s="686"/>
    </row>
    <row r="2224" ht="15.75" customHeight="1">
      <c r="A2224" s="683"/>
      <c r="B2224" s="683"/>
      <c r="C2224" s="684"/>
      <c r="D2224" s="684"/>
      <c r="E2224" s="684"/>
      <c r="F2224" s="683"/>
      <c r="G2224" s="683"/>
      <c r="H2224" s="683"/>
      <c r="I2224" s="683"/>
      <c r="J2224" s="683"/>
      <c r="K2224" s="683"/>
      <c r="L2224" s="685"/>
      <c r="M2224" s="685"/>
      <c r="N2224" s="687"/>
      <c r="O2224" s="683"/>
      <c r="P2224" s="683"/>
      <c r="Q2224" s="686"/>
      <c r="R2224" s="686"/>
      <c r="S2224" s="686"/>
      <c r="T2224" s="686"/>
      <c r="U2224" s="686"/>
      <c r="V2224" s="686"/>
      <c r="W2224" s="686"/>
      <c r="X2224" s="686"/>
      <c r="Y2224" s="686"/>
      <c r="Z2224" s="686"/>
      <c r="AA2224" s="686"/>
      <c r="AB2224" s="686"/>
      <c r="AC2224" s="686"/>
      <c r="AD2224" s="686"/>
      <c r="AE2224" s="686"/>
      <c r="AF2224" s="686"/>
    </row>
    <row r="2225" ht="15.75" customHeight="1">
      <c r="A2225" s="683"/>
      <c r="B2225" s="683"/>
      <c r="C2225" s="684"/>
      <c r="D2225" s="684"/>
      <c r="E2225" s="684"/>
      <c r="F2225" s="683"/>
      <c r="G2225" s="683"/>
      <c r="H2225" s="683"/>
      <c r="I2225" s="683"/>
      <c r="J2225" s="683"/>
      <c r="K2225" s="683"/>
      <c r="L2225" s="685"/>
      <c r="M2225" s="685"/>
      <c r="N2225" s="687"/>
      <c r="O2225" s="683"/>
      <c r="P2225" s="683"/>
      <c r="Q2225" s="686"/>
      <c r="R2225" s="686"/>
      <c r="S2225" s="686"/>
      <c r="T2225" s="686"/>
      <c r="U2225" s="686"/>
      <c r="V2225" s="686"/>
      <c r="W2225" s="686"/>
      <c r="X2225" s="686"/>
      <c r="Y2225" s="686"/>
      <c r="Z2225" s="686"/>
      <c r="AA2225" s="686"/>
      <c r="AB2225" s="686"/>
      <c r="AC2225" s="686"/>
      <c r="AD2225" s="686"/>
      <c r="AE2225" s="686"/>
      <c r="AF2225" s="686"/>
    </row>
    <row r="2226" ht="15.75" customHeight="1">
      <c r="A2226" s="683"/>
      <c r="B2226" s="683"/>
      <c r="C2226" s="684"/>
      <c r="D2226" s="684"/>
      <c r="E2226" s="684"/>
      <c r="F2226" s="683"/>
      <c r="G2226" s="683"/>
      <c r="H2226" s="683"/>
      <c r="I2226" s="683"/>
      <c r="J2226" s="683"/>
      <c r="K2226" s="683"/>
      <c r="L2226" s="685"/>
      <c r="M2226" s="685"/>
      <c r="N2226" s="687"/>
      <c r="O2226" s="683"/>
      <c r="P2226" s="683"/>
      <c r="Q2226" s="686"/>
      <c r="R2226" s="686"/>
      <c r="S2226" s="686"/>
      <c r="T2226" s="686"/>
      <c r="U2226" s="686"/>
      <c r="V2226" s="686"/>
      <c r="W2226" s="686"/>
      <c r="X2226" s="686"/>
      <c r="Y2226" s="686"/>
      <c r="Z2226" s="686"/>
      <c r="AA2226" s="686"/>
      <c r="AB2226" s="686"/>
      <c r="AC2226" s="686"/>
      <c r="AD2226" s="686"/>
      <c r="AE2226" s="686"/>
      <c r="AF2226" s="686"/>
    </row>
    <row r="2227" ht="15.75" customHeight="1">
      <c r="A2227" s="683"/>
      <c r="B2227" s="683"/>
      <c r="C2227" s="684"/>
      <c r="D2227" s="684"/>
      <c r="E2227" s="684"/>
      <c r="F2227" s="683"/>
      <c r="G2227" s="683"/>
      <c r="H2227" s="683"/>
      <c r="I2227" s="683"/>
      <c r="J2227" s="683"/>
      <c r="K2227" s="683"/>
      <c r="L2227" s="685"/>
      <c r="M2227" s="685"/>
      <c r="N2227" s="687"/>
      <c r="O2227" s="683"/>
      <c r="P2227" s="683"/>
      <c r="Q2227" s="686"/>
      <c r="R2227" s="686"/>
      <c r="S2227" s="686"/>
      <c r="T2227" s="686"/>
      <c r="U2227" s="686"/>
      <c r="V2227" s="686"/>
      <c r="W2227" s="686"/>
      <c r="X2227" s="686"/>
      <c r="Y2227" s="686"/>
      <c r="Z2227" s="686"/>
      <c r="AA2227" s="686"/>
      <c r="AB2227" s="686"/>
      <c r="AC2227" s="686"/>
      <c r="AD2227" s="686"/>
      <c r="AE2227" s="686"/>
      <c r="AF2227" s="686"/>
    </row>
    <row r="2228" ht="15.75" customHeight="1">
      <c r="A2228" s="683"/>
      <c r="B2228" s="683"/>
      <c r="C2228" s="684"/>
      <c r="D2228" s="684"/>
      <c r="E2228" s="684"/>
      <c r="F2228" s="683"/>
      <c r="G2228" s="683"/>
      <c r="H2228" s="683"/>
      <c r="I2228" s="683"/>
      <c r="J2228" s="683"/>
      <c r="K2228" s="683"/>
      <c r="L2228" s="685"/>
      <c r="M2228" s="685"/>
      <c r="N2228" s="687"/>
      <c r="O2228" s="683"/>
      <c r="P2228" s="683"/>
      <c r="Q2228" s="686"/>
      <c r="R2228" s="686"/>
      <c r="S2228" s="686"/>
      <c r="T2228" s="686"/>
      <c r="U2228" s="686"/>
      <c r="V2228" s="686"/>
      <c r="W2228" s="686"/>
      <c r="X2228" s="686"/>
      <c r="Y2228" s="686"/>
      <c r="Z2228" s="686"/>
      <c r="AA2228" s="686"/>
      <c r="AB2228" s="686"/>
      <c r="AC2228" s="686"/>
      <c r="AD2228" s="686"/>
      <c r="AE2228" s="686"/>
      <c r="AF2228" s="686"/>
    </row>
    <row r="2229" ht="15.75" customHeight="1">
      <c r="A2229" s="683"/>
      <c r="B2229" s="683"/>
      <c r="C2229" s="684"/>
      <c r="D2229" s="684"/>
      <c r="E2229" s="684"/>
      <c r="F2229" s="683"/>
      <c r="G2229" s="683"/>
      <c r="H2229" s="683"/>
      <c r="I2229" s="683"/>
      <c r="J2229" s="683"/>
      <c r="K2229" s="683"/>
      <c r="L2229" s="685"/>
      <c r="M2229" s="685"/>
      <c r="N2229" s="687"/>
      <c r="O2229" s="683"/>
      <c r="P2229" s="683"/>
      <c r="Q2229" s="686"/>
      <c r="R2229" s="686"/>
      <c r="S2229" s="686"/>
      <c r="T2229" s="686"/>
      <c r="U2229" s="686"/>
      <c r="V2229" s="686"/>
      <c r="W2229" s="686"/>
      <c r="X2229" s="686"/>
      <c r="Y2229" s="686"/>
      <c r="Z2229" s="686"/>
      <c r="AA2229" s="686"/>
      <c r="AB2229" s="686"/>
      <c r="AC2229" s="686"/>
      <c r="AD2229" s="686"/>
      <c r="AE2229" s="686"/>
      <c r="AF2229" s="686"/>
    </row>
    <row r="2230" ht="15.75" customHeight="1">
      <c r="A2230" s="683"/>
      <c r="B2230" s="683"/>
      <c r="C2230" s="684"/>
      <c r="D2230" s="684"/>
      <c r="E2230" s="684"/>
      <c r="F2230" s="683"/>
      <c r="G2230" s="683"/>
      <c r="H2230" s="683"/>
      <c r="I2230" s="683"/>
      <c r="J2230" s="683"/>
      <c r="K2230" s="683"/>
      <c r="L2230" s="685"/>
      <c r="M2230" s="685"/>
      <c r="N2230" s="687"/>
      <c r="O2230" s="683"/>
      <c r="P2230" s="683"/>
      <c r="Q2230" s="686"/>
      <c r="R2230" s="686"/>
      <c r="S2230" s="686"/>
      <c r="T2230" s="686"/>
      <c r="U2230" s="686"/>
      <c r="V2230" s="686"/>
      <c r="W2230" s="686"/>
      <c r="X2230" s="686"/>
      <c r="Y2230" s="686"/>
      <c r="Z2230" s="686"/>
      <c r="AA2230" s="686"/>
      <c r="AB2230" s="686"/>
      <c r="AC2230" s="686"/>
      <c r="AD2230" s="686"/>
      <c r="AE2230" s="686"/>
      <c r="AF2230" s="686"/>
    </row>
    <row r="2231" ht="15.75" customHeight="1">
      <c r="A2231" s="683"/>
      <c r="B2231" s="683"/>
      <c r="C2231" s="684"/>
      <c r="D2231" s="684"/>
      <c r="E2231" s="684"/>
      <c r="F2231" s="683"/>
      <c r="G2231" s="683"/>
      <c r="H2231" s="683"/>
      <c r="I2231" s="683"/>
      <c r="J2231" s="683"/>
      <c r="K2231" s="683"/>
      <c r="L2231" s="685"/>
      <c r="M2231" s="685"/>
      <c r="N2231" s="687"/>
      <c r="O2231" s="683"/>
      <c r="P2231" s="683"/>
      <c r="Q2231" s="686"/>
      <c r="R2231" s="686"/>
      <c r="S2231" s="686"/>
      <c r="T2231" s="686"/>
      <c r="U2231" s="686"/>
      <c r="V2231" s="686"/>
      <c r="W2231" s="686"/>
      <c r="X2231" s="686"/>
      <c r="Y2231" s="686"/>
      <c r="Z2231" s="686"/>
      <c r="AA2231" s="686"/>
      <c r="AB2231" s="686"/>
      <c r="AC2231" s="686"/>
      <c r="AD2231" s="686"/>
      <c r="AE2231" s="686"/>
      <c r="AF2231" s="686"/>
    </row>
    <row r="2232" ht="15.75" customHeight="1">
      <c r="A2232" s="683"/>
      <c r="B2232" s="683"/>
      <c r="C2232" s="684"/>
      <c r="D2232" s="684"/>
      <c r="E2232" s="684"/>
      <c r="F2232" s="683"/>
      <c r="G2232" s="683"/>
      <c r="H2232" s="683"/>
      <c r="I2232" s="683"/>
      <c r="J2232" s="683"/>
      <c r="K2232" s="683"/>
      <c r="L2232" s="685"/>
      <c r="M2232" s="685"/>
      <c r="N2232" s="687"/>
      <c r="O2232" s="683"/>
      <c r="P2232" s="683"/>
      <c r="Q2232" s="686"/>
      <c r="R2232" s="686"/>
      <c r="S2232" s="686"/>
      <c r="T2232" s="686"/>
      <c r="U2232" s="686"/>
      <c r="V2232" s="686"/>
      <c r="W2232" s="686"/>
      <c r="X2232" s="686"/>
      <c r="Y2232" s="686"/>
      <c r="Z2232" s="686"/>
      <c r="AA2232" s="686"/>
      <c r="AB2232" s="686"/>
      <c r="AC2232" s="686"/>
      <c r="AD2232" s="686"/>
      <c r="AE2232" s="686"/>
      <c r="AF2232" s="686"/>
    </row>
    <row r="2233" ht="15.75" customHeight="1">
      <c r="A2233" s="683"/>
      <c r="B2233" s="683"/>
      <c r="C2233" s="684"/>
      <c r="D2233" s="684"/>
      <c r="E2233" s="684"/>
      <c r="F2233" s="683"/>
      <c r="G2233" s="683"/>
      <c r="H2233" s="683"/>
      <c r="I2233" s="683"/>
      <c r="J2233" s="683"/>
      <c r="K2233" s="683"/>
      <c r="L2233" s="685"/>
      <c r="M2233" s="685"/>
      <c r="N2233" s="687"/>
      <c r="O2233" s="683"/>
      <c r="P2233" s="683"/>
      <c r="Q2233" s="686"/>
      <c r="R2233" s="686"/>
      <c r="S2233" s="686"/>
      <c r="T2233" s="686"/>
      <c r="U2233" s="686"/>
      <c r="V2233" s="686"/>
      <c r="W2233" s="686"/>
      <c r="X2233" s="686"/>
      <c r="Y2233" s="686"/>
      <c r="Z2233" s="686"/>
      <c r="AA2233" s="686"/>
      <c r="AB2233" s="686"/>
      <c r="AC2233" s="686"/>
      <c r="AD2233" s="686"/>
      <c r="AE2233" s="686"/>
      <c r="AF2233" s="686"/>
    </row>
    <row r="2234" ht="15.75" customHeight="1">
      <c r="A2234" s="683"/>
      <c r="B2234" s="683"/>
      <c r="C2234" s="684"/>
      <c r="D2234" s="684"/>
      <c r="E2234" s="684"/>
      <c r="F2234" s="683"/>
      <c r="G2234" s="683"/>
      <c r="H2234" s="683"/>
      <c r="I2234" s="683"/>
      <c r="J2234" s="683"/>
      <c r="K2234" s="683"/>
      <c r="L2234" s="685"/>
      <c r="M2234" s="685"/>
      <c r="N2234" s="687"/>
      <c r="O2234" s="683"/>
      <c r="P2234" s="683"/>
      <c r="Q2234" s="686"/>
      <c r="R2234" s="686"/>
      <c r="S2234" s="686"/>
      <c r="T2234" s="686"/>
      <c r="U2234" s="686"/>
      <c r="V2234" s="686"/>
      <c r="W2234" s="686"/>
      <c r="X2234" s="686"/>
      <c r="Y2234" s="686"/>
      <c r="Z2234" s="686"/>
      <c r="AA2234" s="686"/>
      <c r="AB2234" s="686"/>
      <c r="AC2234" s="686"/>
      <c r="AD2234" s="686"/>
      <c r="AE2234" s="686"/>
      <c r="AF2234" s="686"/>
    </row>
    <row r="2235" ht="15.75" customHeight="1">
      <c r="A2235" s="683"/>
      <c r="B2235" s="683"/>
      <c r="C2235" s="684"/>
      <c r="D2235" s="684"/>
      <c r="E2235" s="684"/>
      <c r="F2235" s="683"/>
      <c r="G2235" s="683"/>
      <c r="H2235" s="683"/>
      <c r="I2235" s="683"/>
      <c r="J2235" s="683"/>
      <c r="K2235" s="683"/>
      <c r="L2235" s="685"/>
      <c r="M2235" s="685"/>
      <c r="N2235" s="687"/>
      <c r="O2235" s="683"/>
      <c r="P2235" s="683"/>
      <c r="Q2235" s="686"/>
      <c r="R2235" s="686"/>
      <c r="S2235" s="686"/>
      <c r="T2235" s="686"/>
      <c r="U2235" s="686"/>
      <c r="V2235" s="686"/>
      <c r="W2235" s="686"/>
      <c r="X2235" s="686"/>
      <c r="Y2235" s="686"/>
      <c r="Z2235" s="686"/>
      <c r="AA2235" s="686"/>
      <c r="AB2235" s="686"/>
      <c r="AC2235" s="686"/>
      <c r="AD2235" s="686"/>
      <c r="AE2235" s="686"/>
      <c r="AF2235" s="686"/>
    </row>
    <row r="2236" ht="15.75" customHeight="1">
      <c r="A2236" s="683"/>
      <c r="B2236" s="683"/>
      <c r="C2236" s="684"/>
      <c r="D2236" s="684"/>
      <c r="E2236" s="684"/>
      <c r="F2236" s="683"/>
      <c r="G2236" s="683"/>
      <c r="H2236" s="683"/>
      <c r="I2236" s="683"/>
      <c r="J2236" s="683"/>
      <c r="K2236" s="683"/>
      <c r="L2236" s="685"/>
      <c r="M2236" s="685"/>
      <c r="N2236" s="687"/>
      <c r="O2236" s="683"/>
      <c r="P2236" s="683"/>
      <c r="Q2236" s="686"/>
      <c r="R2236" s="686"/>
      <c r="S2236" s="686"/>
      <c r="T2236" s="686"/>
      <c r="U2236" s="686"/>
      <c r="V2236" s="686"/>
      <c r="W2236" s="686"/>
      <c r="X2236" s="686"/>
      <c r="Y2236" s="686"/>
      <c r="Z2236" s="686"/>
      <c r="AA2236" s="686"/>
      <c r="AB2236" s="686"/>
      <c r="AC2236" s="686"/>
      <c r="AD2236" s="686"/>
      <c r="AE2236" s="686"/>
      <c r="AF2236" s="686"/>
    </row>
    <row r="2237" ht="15.75" customHeight="1">
      <c r="A2237" s="683"/>
      <c r="B2237" s="683"/>
      <c r="C2237" s="684"/>
      <c r="D2237" s="684"/>
      <c r="E2237" s="684"/>
      <c r="F2237" s="683"/>
      <c r="G2237" s="683"/>
      <c r="H2237" s="683"/>
      <c r="I2237" s="683"/>
      <c r="J2237" s="683"/>
      <c r="K2237" s="683"/>
      <c r="L2237" s="685"/>
      <c r="M2237" s="685"/>
      <c r="N2237" s="687"/>
      <c r="O2237" s="683"/>
      <c r="P2237" s="683"/>
      <c r="Q2237" s="686"/>
      <c r="R2237" s="686"/>
      <c r="S2237" s="686"/>
      <c r="T2237" s="686"/>
      <c r="U2237" s="686"/>
      <c r="V2237" s="686"/>
      <c r="W2237" s="686"/>
      <c r="X2237" s="686"/>
      <c r="Y2237" s="686"/>
      <c r="Z2237" s="686"/>
      <c r="AA2237" s="686"/>
      <c r="AB2237" s="686"/>
      <c r="AC2237" s="686"/>
      <c r="AD2237" s="686"/>
      <c r="AE2237" s="686"/>
      <c r="AF2237" s="686"/>
    </row>
    <row r="2238" ht="15.75" customHeight="1">
      <c r="A2238" s="683"/>
      <c r="B2238" s="683"/>
      <c r="C2238" s="684"/>
      <c r="D2238" s="684"/>
      <c r="E2238" s="684"/>
      <c r="F2238" s="683"/>
      <c r="G2238" s="683"/>
      <c r="H2238" s="683"/>
      <c r="I2238" s="683"/>
      <c r="J2238" s="683"/>
      <c r="K2238" s="683"/>
      <c r="L2238" s="685"/>
      <c r="M2238" s="685"/>
      <c r="N2238" s="687"/>
      <c r="O2238" s="683"/>
      <c r="P2238" s="683"/>
      <c r="Q2238" s="686"/>
      <c r="R2238" s="686"/>
      <c r="S2238" s="686"/>
      <c r="T2238" s="686"/>
      <c r="U2238" s="686"/>
      <c r="V2238" s="686"/>
      <c r="W2238" s="686"/>
      <c r="X2238" s="686"/>
      <c r="Y2238" s="686"/>
      <c r="Z2238" s="686"/>
      <c r="AA2238" s="686"/>
      <c r="AB2238" s="686"/>
      <c r="AC2238" s="686"/>
      <c r="AD2238" s="686"/>
      <c r="AE2238" s="686"/>
      <c r="AF2238" s="686"/>
    </row>
    <row r="2239" ht="15.75" customHeight="1">
      <c r="A2239" s="683"/>
      <c r="B2239" s="683"/>
      <c r="C2239" s="684"/>
      <c r="D2239" s="684"/>
      <c r="E2239" s="684"/>
      <c r="F2239" s="683"/>
      <c r="G2239" s="683"/>
      <c r="H2239" s="683"/>
      <c r="I2239" s="683"/>
      <c r="J2239" s="683"/>
      <c r="K2239" s="683"/>
      <c r="L2239" s="685"/>
      <c r="M2239" s="685"/>
      <c r="N2239" s="687"/>
      <c r="O2239" s="683"/>
      <c r="P2239" s="683"/>
      <c r="Q2239" s="686"/>
      <c r="R2239" s="686"/>
      <c r="S2239" s="686"/>
      <c r="T2239" s="686"/>
      <c r="U2239" s="686"/>
      <c r="V2239" s="686"/>
      <c r="W2239" s="686"/>
      <c r="X2239" s="686"/>
      <c r="Y2239" s="686"/>
      <c r="Z2239" s="686"/>
      <c r="AA2239" s="686"/>
      <c r="AB2239" s="686"/>
      <c r="AC2239" s="686"/>
      <c r="AD2239" s="686"/>
      <c r="AE2239" s="686"/>
      <c r="AF2239" s="686"/>
    </row>
    <row r="2240" ht="15.75" customHeight="1">
      <c r="A2240" s="683"/>
      <c r="B2240" s="683"/>
      <c r="C2240" s="684"/>
      <c r="D2240" s="684"/>
      <c r="E2240" s="684"/>
      <c r="F2240" s="683"/>
      <c r="G2240" s="683"/>
      <c r="H2240" s="683"/>
      <c r="I2240" s="683"/>
      <c r="J2240" s="683"/>
      <c r="K2240" s="683"/>
      <c r="L2240" s="685"/>
      <c r="M2240" s="685"/>
      <c r="N2240" s="687"/>
      <c r="O2240" s="683"/>
      <c r="P2240" s="683"/>
      <c r="Q2240" s="686"/>
      <c r="R2240" s="686"/>
      <c r="S2240" s="686"/>
      <c r="T2240" s="686"/>
      <c r="U2240" s="686"/>
      <c r="V2240" s="686"/>
      <c r="W2240" s="686"/>
      <c r="X2240" s="686"/>
      <c r="Y2240" s="686"/>
      <c r="Z2240" s="686"/>
      <c r="AA2240" s="686"/>
      <c r="AB2240" s="686"/>
      <c r="AC2240" s="686"/>
      <c r="AD2240" s="686"/>
      <c r="AE2240" s="686"/>
      <c r="AF2240" s="686"/>
    </row>
    <row r="2241" ht="15.75" customHeight="1">
      <c r="A2241" s="683"/>
      <c r="B2241" s="683"/>
      <c r="C2241" s="684"/>
      <c r="D2241" s="684"/>
      <c r="E2241" s="684"/>
      <c r="F2241" s="683"/>
      <c r="G2241" s="683"/>
      <c r="H2241" s="683"/>
      <c r="I2241" s="683"/>
      <c r="J2241" s="683"/>
      <c r="K2241" s="683"/>
      <c r="L2241" s="685"/>
      <c r="M2241" s="685"/>
      <c r="N2241" s="687"/>
      <c r="O2241" s="683"/>
      <c r="P2241" s="683"/>
      <c r="Q2241" s="686"/>
      <c r="R2241" s="686"/>
      <c r="S2241" s="686"/>
      <c r="T2241" s="686"/>
      <c r="U2241" s="686"/>
      <c r="V2241" s="686"/>
      <c r="W2241" s="686"/>
      <c r="X2241" s="686"/>
      <c r="Y2241" s="686"/>
      <c r="Z2241" s="686"/>
      <c r="AA2241" s="686"/>
      <c r="AB2241" s="686"/>
      <c r="AC2241" s="686"/>
      <c r="AD2241" s="686"/>
      <c r="AE2241" s="686"/>
      <c r="AF2241" s="686"/>
    </row>
    <row r="2242" ht="15.75" customHeight="1">
      <c r="A2242" s="683"/>
      <c r="B2242" s="683"/>
      <c r="C2242" s="684"/>
      <c r="D2242" s="684"/>
      <c r="E2242" s="684"/>
      <c r="F2242" s="683"/>
      <c r="G2242" s="683"/>
      <c r="H2242" s="683"/>
      <c r="I2242" s="683"/>
      <c r="J2242" s="683"/>
      <c r="K2242" s="683"/>
      <c r="L2242" s="685"/>
      <c r="M2242" s="685"/>
      <c r="N2242" s="687"/>
      <c r="O2242" s="683"/>
      <c r="P2242" s="683"/>
      <c r="Q2242" s="686"/>
      <c r="R2242" s="686"/>
      <c r="S2242" s="686"/>
      <c r="T2242" s="686"/>
      <c r="U2242" s="686"/>
      <c r="V2242" s="686"/>
      <c r="W2242" s="686"/>
      <c r="X2242" s="686"/>
      <c r="Y2242" s="686"/>
      <c r="Z2242" s="686"/>
      <c r="AA2242" s="686"/>
      <c r="AB2242" s="686"/>
      <c r="AC2242" s="686"/>
      <c r="AD2242" s="686"/>
      <c r="AE2242" s="686"/>
      <c r="AF2242" s="686"/>
    </row>
    <row r="2243" ht="15.75" customHeight="1">
      <c r="A2243" s="683"/>
      <c r="B2243" s="683"/>
      <c r="C2243" s="684"/>
      <c r="D2243" s="684"/>
      <c r="E2243" s="684"/>
      <c r="F2243" s="683"/>
      <c r="G2243" s="683"/>
      <c r="H2243" s="683"/>
      <c r="I2243" s="683"/>
      <c r="J2243" s="683"/>
      <c r="K2243" s="683"/>
      <c r="L2243" s="685"/>
      <c r="M2243" s="685"/>
      <c r="N2243" s="687"/>
      <c r="O2243" s="683"/>
      <c r="P2243" s="683"/>
      <c r="Q2243" s="686"/>
      <c r="R2243" s="686"/>
      <c r="S2243" s="686"/>
      <c r="T2243" s="686"/>
      <c r="U2243" s="686"/>
      <c r="V2243" s="686"/>
      <c r="W2243" s="686"/>
      <c r="X2243" s="686"/>
      <c r="Y2243" s="686"/>
      <c r="Z2243" s="686"/>
      <c r="AA2243" s="686"/>
      <c r="AB2243" s="686"/>
      <c r="AC2243" s="686"/>
      <c r="AD2243" s="686"/>
      <c r="AE2243" s="686"/>
      <c r="AF2243" s="686"/>
    </row>
    <row r="2244" ht="15.75" customHeight="1">
      <c r="A2244" s="683"/>
      <c r="B2244" s="683"/>
      <c r="C2244" s="684"/>
      <c r="D2244" s="684"/>
      <c r="E2244" s="684"/>
      <c r="F2244" s="683"/>
      <c r="G2244" s="683"/>
      <c r="H2244" s="683"/>
      <c r="I2244" s="683"/>
      <c r="J2244" s="683"/>
      <c r="K2244" s="683"/>
      <c r="L2244" s="685"/>
      <c r="M2244" s="685"/>
      <c r="N2244" s="687"/>
      <c r="O2244" s="683"/>
      <c r="P2244" s="683"/>
      <c r="Q2244" s="686"/>
      <c r="R2244" s="686"/>
      <c r="S2244" s="686"/>
      <c r="T2244" s="686"/>
      <c r="U2244" s="686"/>
      <c r="V2244" s="686"/>
      <c r="W2244" s="686"/>
      <c r="X2244" s="686"/>
      <c r="Y2244" s="686"/>
      <c r="Z2244" s="686"/>
      <c r="AA2244" s="686"/>
      <c r="AB2244" s="686"/>
      <c r="AC2244" s="686"/>
      <c r="AD2244" s="686"/>
      <c r="AE2244" s="686"/>
      <c r="AF2244" s="686"/>
    </row>
    <row r="2245" ht="15.75" customHeight="1">
      <c r="A2245" s="683"/>
      <c r="B2245" s="683"/>
      <c r="C2245" s="684"/>
      <c r="D2245" s="684"/>
      <c r="E2245" s="684"/>
      <c r="F2245" s="683"/>
      <c r="G2245" s="683"/>
      <c r="H2245" s="683"/>
      <c r="I2245" s="683"/>
      <c r="J2245" s="683"/>
      <c r="K2245" s="683"/>
      <c r="L2245" s="685"/>
      <c r="M2245" s="685"/>
      <c r="N2245" s="687"/>
      <c r="O2245" s="683"/>
      <c r="P2245" s="683"/>
      <c r="Q2245" s="686"/>
      <c r="R2245" s="686"/>
      <c r="S2245" s="686"/>
      <c r="T2245" s="686"/>
      <c r="U2245" s="686"/>
      <c r="V2245" s="686"/>
      <c r="W2245" s="686"/>
      <c r="X2245" s="686"/>
      <c r="Y2245" s="686"/>
      <c r="Z2245" s="686"/>
      <c r="AA2245" s="686"/>
      <c r="AB2245" s="686"/>
      <c r="AC2245" s="686"/>
      <c r="AD2245" s="686"/>
      <c r="AE2245" s="686"/>
      <c r="AF2245" s="686"/>
    </row>
    <row r="2246" ht="15.75" customHeight="1">
      <c r="A2246" s="683"/>
      <c r="B2246" s="683"/>
      <c r="C2246" s="684"/>
      <c r="D2246" s="684"/>
      <c r="E2246" s="684"/>
      <c r="F2246" s="683"/>
      <c r="G2246" s="683"/>
      <c r="H2246" s="683"/>
      <c r="I2246" s="683"/>
      <c r="J2246" s="683"/>
      <c r="K2246" s="683"/>
      <c r="L2246" s="685"/>
      <c r="M2246" s="685"/>
      <c r="N2246" s="687"/>
      <c r="O2246" s="683"/>
      <c r="P2246" s="683"/>
      <c r="Q2246" s="686"/>
      <c r="R2246" s="686"/>
      <c r="S2246" s="686"/>
      <c r="T2246" s="686"/>
      <c r="U2246" s="686"/>
      <c r="V2246" s="686"/>
      <c r="W2246" s="686"/>
      <c r="X2246" s="686"/>
      <c r="Y2246" s="686"/>
      <c r="Z2246" s="686"/>
      <c r="AA2246" s="686"/>
      <c r="AB2246" s="686"/>
      <c r="AC2246" s="686"/>
      <c r="AD2246" s="686"/>
      <c r="AE2246" s="686"/>
      <c r="AF2246" s="686"/>
    </row>
    <row r="2247" ht="15.75" customHeight="1">
      <c r="A2247" s="683"/>
      <c r="B2247" s="683"/>
      <c r="C2247" s="684"/>
      <c r="D2247" s="684"/>
      <c r="E2247" s="684"/>
      <c r="F2247" s="683"/>
      <c r="G2247" s="683"/>
      <c r="H2247" s="683"/>
      <c r="I2247" s="683"/>
      <c r="J2247" s="683"/>
      <c r="K2247" s="683"/>
      <c r="L2247" s="685"/>
      <c r="M2247" s="685"/>
      <c r="N2247" s="687"/>
      <c r="O2247" s="683"/>
      <c r="P2247" s="683"/>
      <c r="Q2247" s="686"/>
      <c r="R2247" s="686"/>
      <c r="S2247" s="686"/>
      <c r="T2247" s="686"/>
      <c r="U2247" s="686"/>
      <c r="V2247" s="686"/>
      <c r="W2247" s="686"/>
      <c r="X2247" s="686"/>
      <c r="Y2247" s="686"/>
      <c r="Z2247" s="686"/>
      <c r="AA2247" s="686"/>
      <c r="AB2247" s="686"/>
      <c r="AC2247" s="686"/>
      <c r="AD2247" s="686"/>
      <c r="AE2247" s="686"/>
      <c r="AF2247" s="686"/>
    </row>
    <row r="2248" ht="15.75" customHeight="1">
      <c r="A2248" s="683"/>
      <c r="B2248" s="683"/>
      <c r="C2248" s="684"/>
      <c r="D2248" s="684"/>
      <c r="E2248" s="684"/>
      <c r="F2248" s="683"/>
      <c r="G2248" s="683"/>
      <c r="H2248" s="683"/>
      <c r="I2248" s="683"/>
      <c r="J2248" s="683"/>
      <c r="K2248" s="683"/>
      <c r="L2248" s="685"/>
      <c r="M2248" s="685"/>
      <c r="N2248" s="687"/>
      <c r="O2248" s="683"/>
      <c r="P2248" s="683"/>
      <c r="Q2248" s="686"/>
      <c r="R2248" s="686"/>
      <c r="S2248" s="686"/>
      <c r="T2248" s="686"/>
      <c r="U2248" s="686"/>
      <c r="V2248" s="686"/>
      <c r="W2248" s="686"/>
      <c r="X2248" s="686"/>
      <c r="Y2248" s="686"/>
      <c r="Z2248" s="686"/>
      <c r="AA2248" s="686"/>
      <c r="AB2248" s="686"/>
      <c r="AC2248" s="686"/>
      <c r="AD2248" s="686"/>
      <c r="AE2248" s="686"/>
      <c r="AF2248" s="686"/>
    </row>
    <row r="2249" ht="15.75" customHeight="1">
      <c r="A2249" s="683"/>
      <c r="B2249" s="683"/>
      <c r="C2249" s="684"/>
      <c r="D2249" s="684"/>
      <c r="E2249" s="684"/>
      <c r="F2249" s="683"/>
      <c r="G2249" s="683"/>
      <c r="H2249" s="683"/>
      <c r="I2249" s="683"/>
      <c r="J2249" s="683"/>
      <c r="K2249" s="683"/>
      <c r="L2249" s="685"/>
      <c r="M2249" s="685"/>
      <c r="N2249" s="687"/>
      <c r="O2249" s="683"/>
      <c r="P2249" s="683"/>
      <c r="Q2249" s="686"/>
      <c r="R2249" s="686"/>
      <c r="S2249" s="686"/>
      <c r="T2249" s="686"/>
      <c r="U2249" s="686"/>
      <c r="V2249" s="686"/>
      <c r="W2249" s="686"/>
      <c r="X2249" s="686"/>
      <c r="Y2249" s="686"/>
      <c r="Z2249" s="686"/>
      <c r="AA2249" s="686"/>
      <c r="AB2249" s="686"/>
      <c r="AC2249" s="686"/>
      <c r="AD2249" s="686"/>
      <c r="AE2249" s="686"/>
      <c r="AF2249" s="686"/>
    </row>
    <row r="2250" ht="15.75" customHeight="1">
      <c r="A2250" s="683"/>
      <c r="B2250" s="683"/>
      <c r="C2250" s="684"/>
      <c r="D2250" s="684"/>
      <c r="E2250" s="684"/>
      <c r="F2250" s="683"/>
      <c r="G2250" s="683"/>
      <c r="H2250" s="683"/>
      <c r="I2250" s="683"/>
      <c r="J2250" s="683"/>
      <c r="K2250" s="683"/>
      <c r="L2250" s="685"/>
      <c r="M2250" s="685"/>
      <c r="N2250" s="687"/>
      <c r="O2250" s="683"/>
      <c r="P2250" s="683"/>
      <c r="Q2250" s="686"/>
      <c r="R2250" s="686"/>
      <c r="S2250" s="686"/>
      <c r="T2250" s="686"/>
      <c r="U2250" s="686"/>
      <c r="V2250" s="686"/>
      <c r="W2250" s="686"/>
      <c r="X2250" s="686"/>
      <c r="Y2250" s="686"/>
      <c r="Z2250" s="686"/>
      <c r="AA2250" s="686"/>
      <c r="AB2250" s="686"/>
      <c r="AC2250" s="686"/>
      <c r="AD2250" s="686"/>
      <c r="AE2250" s="686"/>
      <c r="AF2250" s="686"/>
    </row>
    <row r="2251" ht="15.75" customHeight="1">
      <c r="A2251" s="683"/>
      <c r="B2251" s="683"/>
      <c r="C2251" s="684"/>
      <c r="D2251" s="684"/>
      <c r="E2251" s="684"/>
      <c r="F2251" s="683"/>
      <c r="G2251" s="683"/>
      <c r="H2251" s="683"/>
      <c r="I2251" s="683"/>
      <c r="J2251" s="683"/>
      <c r="K2251" s="683"/>
      <c r="L2251" s="685"/>
      <c r="M2251" s="685"/>
      <c r="N2251" s="687"/>
      <c r="O2251" s="683"/>
      <c r="P2251" s="683"/>
      <c r="Q2251" s="686"/>
      <c r="R2251" s="686"/>
      <c r="S2251" s="686"/>
      <c r="T2251" s="686"/>
      <c r="U2251" s="686"/>
      <c r="V2251" s="686"/>
      <c r="W2251" s="686"/>
      <c r="X2251" s="686"/>
      <c r="Y2251" s="686"/>
      <c r="Z2251" s="686"/>
      <c r="AA2251" s="686"/>
      <c r="AB2251" s="686"/>
      <c r="AC2251" s="686"/>
      <c r="AD2251" s="686"/>
      <c r="AE2251" s="686"/>
      <c r="AF2251" s="686"/>
    </row>
    <row r="2252" ht="15.75" customHeight="1">
      <c r="A2252" s="683"/>
      <c r="B2252" s="683"/>
      <c r="C2252" s="684"/>
      <c r="D2252" s="684"/>
      <c r="E2252" s="684"/>
      <c r="F2252" s="683"/>
      <c r="G2252" s="683"/>
      <c r="H2252" s="683"/>
      <c r="I2252" s="683"/>
      <c r="J2252" s="683"/>
      <c r="K2252" s="683"/>
      <c r="L2252" s="685"/>
      <c r="M2252" s="685"/>
      <c r="N2252" s="687"/>
      <c r="O2252" s="683"/>
      <c r="P2252" s="683"/>
      <c r="Q2252" s="686"/>
      <c r="R2252" s="686"/>
      <c r="S2252" s="686"/>
      <c r="T2252" s="686"/>
      <c r="U2252" s="686"/>
      <c r="V2252" s="686"/>
      <c r="W2252" s="686"/>
      <c r="X2252" s="686"/>
      <c r="Y2252" s="686"/>
      <c r="Z2252" s="686"/>
      <c r="AA2252" s="686"/>
      <c r="AB2252" s="686"/>
      <c r="AC2252" s="686"/>
      <c r="AD2252" s="686"/>
      <c r="AE2252" s="686"/>
      <c r="AF2252" s="686"/>
    </row>
    <row r="2253" ht="15.75" customHeight="1">
      <c r="A2253" s="683"/>
      <c r="B2253" s="683"/>
      <c r="C2253" s="684"/>
      <c r="D2253" s="684"/>
      <c r="E2253" s="684"/>
      <c r="F2253" s="683"/>
      <c r="G2253" s="683"/>
      <c r="H2253" s="683"/>
      <c r="I2253" s="683"/>
      <c r="J2253" s="683"/>
      <c r="K2253" s="683"/>
      <c r="L2253" s="685"/>
      <c r="M2253" s="685"/>
      <c r="N2253" s="687"/>
      <c r="O2253" s="683"/>
      <c r="P2253" s="683"/>
      <c r="Q2253" s="686"/>
      <c r="R2253" s="686"/>
      <c r="S2253" s="686"/>
      <c r="T2253" s="686"/>
      <c r="U2253" s="686"/>
      <c r="V2253" s="686"/>
      <c r="W2253" s="686"/>
      <c r="X2253" s="686"/>
      <c r="Y2253" s="686"/>
      <c r="Z2253" s="686"/>
      <c r="AA2253" s="686"/>
      <c r="AB2253" s="686"/>
      <c r="AC2253" s="686"/>
      <c r="AD2253" s="686"/>
      <c r="AE2253" s="686"/>
      <c r="AF2253" s="686"/>
    </row>
    <row r="2254" ht="15.75" customHeight="1">
      <c r="A2254" s="683"/>
      <c r="B2254" s="683"/>
      <c r="C2254" s="684"/>
      <c r="D2254" s="684"/>
      <c r="E2254" s="684"/>
      <c r="F2254" s="683"/>
      <c r="G2254" s="683"/>
      <c r="H2254" s="683"/>
      <c r="I2254" s="683"/>
      <c r="J2254" s="683"/>
      <c r="K2254" s="683"/>
      <c r="L2254" s="685"/>
      <c r="M2254" s="685"/>
      <c r="N2254" s="687"/>
      <c r="O2254" s="683"/>
      <c r="P2254" s="683"/>
      <c r="Q2254" s="686"/>
      <c r="R2254" s="686"/>
      <c r="S2254" s="686"/>
      <c r="T2254" s="686"/>
      <c r="U2254" s="686"/>
      <c r="V2254" s="686"/>
      <c r="W2254" s="686"/>
      <c r="X2254" s="686"/>
      <c r="Y2254" s="686"/>
      <c r="Z2254" s="686"/>
      <c r="AA2254" s="686"/>
      <c r="AB2254" s="686"/>
      <c r="AC2254" s="686"/>
      <c r="AD2254" s="686"/>
      <c r="AE2254" s="686"/>
      <c r="AF2254" s="686"/>
    </row>
    <row r="2255" ht="15.75" customHeight="1">
      <c r="A2255" s="683"/>
      <c r="B2255" s="683"/>
      <c r="C2255" s="684"/>
      <c r="D2255" s="684"/>
      <c r="E2255" s="684"/>
      <c r="F2255" s="683"/>
      <c r="G2255" s="683"/>
      <c r="H2255" s="683"/>
      <c r="I2255" s="683"/>
      <c r="J2255" s="683"/>
      <c r="K2255" s="683"/>
      <c r="L2255" s="685"/>
      <c r="M2255" s="685"/>
      <c r="N2255" s="687"/>
      <c r="O2255" s="683"/>
      <c r="P2255" s="683"/>
      <c r="Q2255" s="686"/>
      <c r="R2255" s="686"/>
      <c r="S2255" s="686"/>
      <c r="T2255" s="686"/>
      <c r="U2255" s="686"/>
      <c r="V2255" s="686"/>
      <c r="W2255" s="686"/>
      <c r="X2255" s="686"/>
      <c r="Y2255" s="686"/>
      <c r="Z2255" s="686"/>
      <c r="AA2255" s="686"/>
      <c r="AB2255" s="686"/>
      <c r="AC2255" s="686"/>
      <c r="AD2255" s="686"/>
      <c r="AE2255" s="686"/>
      <c r="AF2255" s="686"/>
    </row>
    <row r="2256" ht="15.75" customHeight="1">
      <c r="A2256" s="683"/>
      <c r="B2256" s="683"/>
      <c r="C2256" s="684"/>
      <c r="D2256" s="684"/>
      <c r="E2256" s="684"/>
      <c r="F2256" s="683"/>
      <c r="G2256" s="683"/>
      <c r="H2256" s="683"/>
      <c r="I2256" s="683"/>
      <c r="J2256" s="683"/>
      <c r="K2256" s="683"/>
      <c r="L2256" s="685"/>
      <c r="M2256" s="685"/>
      <c r="N2256" s="687"/>
      <c r="O2256" s="683"/>
      <c r="P2256" s="683"/>
      <c r="Q2256" s="686"/>
      <c r="R2256" s="686"/>
      <c r="S2256" s="686"/>
      <c r="T2256" s="686"/>
      <c r="U2256" s="686"/>
      <c r="V2256" s="686"/>
      <c r="W2256" s="686"/>
      <c r="X2256" s="686"/>
      <c r="Y2256" s="686"/>
      <c r="Z2256" s="686"/>
      <c r="AA2256" s="686"/>
      <c r="AB2256" s="686"/>
      <c r="AC2256" s="686"/>
      <c r="AD2256" s="686"/>
      <c r="AE2256" s="686"/>
      <c r="AF2256" s="686"/>
    </row>
    <row r="2257" ht="15.75" customHeight="1">
      <c r="A2257" s="683"/>
      <c r="B2257" s="683"/>
      <c r="C2257" s="684"/>
      <c r="D2257" s="684"/>
      <c r="E2257" s="684"/>
      <c r="F2257" s="683"/>
      <c r="G2257" s="683"/>
      <c r="H2257" s="683"/>
      <c r="I2257" s="683"/>
      <c r="J2257" s="683"/>
      <c r="K2257" s="683"/>
      <c r="L2257" s="685"/>
      <c r="M2257" s="685"/>
      <c r="N2257" s="687"/>
      <c r="O2257" s="683"/>
      <c r="P2257" s="683"/>
      <c r="Q2257" s="686"/>
      <c r="R2257" s="686"/>
      <c r="S2257" s="686"/>
      <c r="T2257" s="686"/>
      <c r="U2257" s="686"/>
      <c r="V2257" s="686"/>
      <c r="W2257" s="686"/>
      <c r="X2257" s="686"/>
      <c r="Y2257" s="686"/>
      <c r="Z2257" s="686"/>
      <c r="AA2257" s="686"/>
      <c r="AB2257" s="686"/>
      <c r="AC2257" s="686"/>
      <c r="AD2257" s="686"/>
      <c r="AE2257" s="686"/>
      <c r="AF2257" s="686"/>
    </row>
    <row r="2258" ht="15.75" customHeight="1">
      <c r="A2258" s="683"/>
      <c r="B2258" s="683"/>
      <c r="C2258" s="684"/>
      <c r="D2258" s="684"/>
      <c r="E2258" s="684"/>
      <c r="F2258" s="683"/>
      <c r="G2258" s="683"/>
      <c r="H2258" s="683"/>
      <c r="I2258" s="683"/>
      <c r="J2258" s="683"/>
      <c r="K2258" s="683"/>
      <c r="L2258" s="685"/>
      <c r="M2258" s="685"/>
      <c r="N2258" s="687"/>
      <c r="O2258" s="683"/>
      <c r="P2258" s="683"/>
      <c r="Q2258" s="686"/>
      <c r="R2258" s="686"/>
      <c r="S2258" s="686"/>
      <c r="T2258" s="686"/>
      <c r="U2258" s="686"/>
      <c r="V2258" s="686"/>
      <c r="W2258" s="686"/>
      <c r="X2258" s="686"/>
      <c r="Y2258" s="686"/>
      <c r="Z2258" s="686"/>
      <c r="AA2258" s="686"/>
      <c r="AB2258" s="686"/>
      <c r="AC2258" s="686"/>
      <c r="AD2258" s="686"/>
      <c r="AE2258" s="686"/>
      <c r="AF2258" s="686"/>
    </row>
    <row r="2259" ht="15.75" customHeight="1">
      <c r="A2259" s="683"/>
      <c r="B2259" s="683"/>
      <c r="C2259" s="684"/>
      <c r="D2259" s="684"/>
      <c r="E2259" s="684"/>
      <c r="F2259" s="683"/>
      <c r="G2259" s="683"/>
      <c r="H2259" s="683"/>
      <c r="I2259" s="683"/>
      <c r="J2259" s="683"/>
      <c r="K2259" s="683"/>
      <c r="L2259" s="685"/>
      <c r="M2259" s="685"/>
      <c r="N2259" s="687"/>
      <c r="O2259" s="683"/>
      <c r="P2259" s="683"/>
      <c r="Q2259" s="686"/>
      <c r="R2259" s="686"/>
      <c r="S2259" s="686"/>
      <c r="T2259" s="686"/>
      <c r="U2259" s="686"/>
      <c r="V2259" s="686"/>
      <c r="W2259" s="686"/>
      <c r="X2259" s="686"/>
      <c r="Y2259" s="686"/>
      <c r="Z2259" s="686"/>
      <c r="AA2259" s="686"/>
      <c r="AB2259" s="686"/>
      <c r="AC2259" s="686"/>
      <c r="AD2259" s="686"/>
      <c r="AE2259" s="686"/>
      <c r="AF2259" s="686"/>
    </row>
    <row r="2260" ht="15.75" customHeight="1">
      <c r="A2260" s="683"/>
      <c r="B2260" s="683"/>
      <c r="C2260" s="684"/>
      <c r="D2260" s="684"/>
      <c r="E2260" s="684"/>
      <c r="F2260" s="683"/>
      <c r="G2260" s="683"/>
      <c r="H2260" s="683"/>
      <c r="I2260" s="683"/>
      <c r="J2260" s="683"/>
      <c r="K2260" s="683"/>
      <c r="L2260" s="685"/>
      <c r="M2260" s="685"/>
      <c r="N2260" s="687"/>
      <c r="O2260" s="683"/>
      <c r="P2260" s="683"/>
      <c r="Q2260" s="686"/>
      <c r="R2260" s="686"/>
      <c r="S2260" s="686"/>
      <c r="T2260" s="686"/>
      <c r="U2260" s="686"/>
      <c r="V2260" s="686"/>
      <c r="W2260" s="686"/>
      <c r="X2260" s="686"/>
      <c r="Y2260" s="686"/>
      <c r="Z2260" s="686"/>
      <c r="AA2260" s="686"/>
      <c r="AB2260" s="686"/>
      <c r="AC2260" s="686"/>
      <c r="AD2260" s="686"/>
      <c r="AE2260" s="686"/>
      <c r="AF2260" s="686"/>
    </row>
    <row r="2261" ht="15.75" customHeight="1">
      <c r="A2261" s="683"/>
      <c r="B2261" s="683"/>
      <c r="C2261" s="684"/>
      <c r="D2261" s="684"/>
      <c r="E2261" s="684"/>
      <c r="F2261" s="683"/>
      <c r="G2261" s="683"/>
      <c r="H2261" s="683"/>
      <c r="I2261" s="683"/>
      <c r="J2261" s="683"/>
      <c r="K2261" s="683"/>
      <c r="L2261" s="685"/>
      <c r="M2261" s="685"/>
      <c r="N2261" s="687"/>
      <c r="O2261" s="683"/>
      <c r="P2261" s="683"/>
      <c r="Q2261" s="686"/>
      <c r="R2261" s="686"/>
      <c r="S2261" s="686"/>
      <c r="T2261" s="686"/>
      <c r="U2261" s="686"/>
      <c r="V2261" s="686"/>
      <c r="W2261" s="686"/>
      <c r="X2261" s="686"/>
      <c r="Y2261" s="686"/>
      <c r="Z2261" s="686"/>
      <c r="AA2261" s="686"/>
      <c r="AB2261" s="686"/>
      <c r="AC2261" s="686"/>
      <c r="AD2261" s="686"/>
      <c r="AE2261" s="686"/>
      <c r="AF2261" s="686"/>
    </row>
    <row r="2262" ht="15.75" customHeight="1">
      <c r="A2262" s="683"/>
      <c r="B2262" s="683"/>
      <c r="C2262" s="684"/>
      <c r="D2262" s="684"/>
      <c r="E2262" s="684"/>
      <c r="F2262" s="683"/>
      <c r="G2262" s="683"/>
      <c r="H2262" s="683"/>
      <c r="I2262" s="683"/>
      <c r="J2262" s="683"/>
      <c r="K2262" s="683"/>
      <c r="L2262" s="685"/>
      <c r="M2262" s="685"/>
      <c r="N2262" s="687"/>
      <c r="O2262" s="683"/>
      <c r="P2262" s="683"/>
      <c r="Q2262" s="686"/>
      <c r="R2262" s="686"/>
      <c r="S2262" s="686"/>
      <c r="T2262" s="686"/>
      <c r="U2262" s="686"/>
      <c r="V2262" s="686"/>
      <c r="W2262" s="686"/>
      <c r="X2262" s="686"/>
      <c r="Y2262" s="686"/>
      <c r="Z2262" s="686"/>
      <c r="AA2262" s="686"/>
      <c r="AB2262" s="686"/>
      <c r="AC2262" s="686"/>
      <c r="AD2262" s="686"/>
      <c r="AE2262" s="686"/>
      <c r="AF2262" s="686"/>
    </row>
    <row r="2263" ht="15.75" customHeight="1">
      <c r="A2263" s="683"/>
      <c r="B2263" s="683"/>
      <c r="C2263" s="684"/>
      <c r="D2263" s="684"/>
      <c r="E2263" s="684"/>
      <c r="F2263" s="683"/>
      <c r="G2263" s="683"/>
      <c r="H2263" s="683"/>
      <c r="I2263" s="683"/>
      <c r="J2263" s="683"/>
      <c r="K2263" s="683"/>
      <c r="L2263" s="685"/>
      <c r="M2263" s="685"/>
      <c r="N2263" s="687"/>
      <c r="O2263" s="683"/>
      <c r="P2263" s="683"/>
      <c r="Q2263" s="686"/>
      <c r="R2263" s="686"/>
      <c r="S2263" s="686"/>
      <c r="T2263" s="686"/>
      <c r="U2263" s="686"/>
      <c r="V2263" s="686"/>
      <c r="W2263" s="686"/>
      <c r="X2263" s="686"/>
      <c r="Y2263" s="686"/>
      <c r="Z2263" s="686"/>
      <c r="AA2263" s="686"/>
      <c r="AB2263" s="686"/>
      <c r="AC2263" s="686"/>
      <c r="AD2263" s="686"/>
      <c r="AE2263" s="686"/>
      <c r="AF2263" s="686"/>
    </row>
    <row r="2264" ht="15.75" customHeight="1">
      <c r="A2264" s="683"/>
      <c r="B2264" s="683"/>
      <c r="C2264" s="684"/>
      <c r="D2264" s="684"/>
      <c r="E2264" s="684"/>
      <c r="F2264" s="683"/>
      <c r="G2264" s="683"/>
      <c r="H2264" s="683"/>
      <c r="I2264" s="683"/>
      <c r="J2264" s="683"/>
      <c r="K2264" s="683"/>
      <c r="L2264" s="685"/>
      <c r="M2264" s="685"/>
      <c r="N2264" s="687"/>
      <c r="O2264" s="683"/>
      <c r="P2264" s="683"/>
      <c r="Q2264" s="686"/>
      <c r="R2264" s="686"/>
      <c r="S2264" s="686"/>
      <c r="T2264" s="686"/>
      <c r="U2264" s="686"/>
      <c r="V2264" s="686"/>
      <c r="W2264" s="686"/>
      <c r="X2264" s="686"/>
      <c r="Y2264" s="686"/>
      <c r="Z2264" s="686"/>
      <c r="AA2264" s="686"/>
      <c r="AB2264" s="686"/>
      <c r="AC2264" s="686"/>
      <c r="AD2264" s="686"/>
      <c r="AE2264" s="686"/>
      <c r="AF2264" s="686"/>
    </row>
    <row r="2265" ht="15.75" customHeight="1">
      <c r="A2265" s="683"/>
      <c r="B2265" s="683"/>
      <c r="C2265" s="684"/>
      <c r="D2265" s="684"/>
      <c r="E2265" s="684"/>
      <c r="F2265" s="683"/>
      <c r="G2265" s="683"/>
      <c r="H2265" s="683"/>
      <c r="I2265" s="683"/>
      <c r="J2265" s="683"/>
      <c r="K2265" s="683"/>
      <c r="L2265" s="685"/>
      <c r="M2265" s="685"/>
      <c r="N2265" s="687"/>
      <c r="O2265" s="683"/>
      <c r="P2265" s="683"/>
      <c r="Q2265" s="686"/>
      <c r="R2265" s="686"/>
      <c r="S2265" s="686"/>
      <c r="T2265" s="686"/>
      <c r="U2265" s="686"/>
      <c r="V2265" s="686"/>
      <c r="W2265" s="686"/>
      <c r="X2265" s="686"/>
      <c r="Y2265" s="686"/>
      <c r="Z2265" s="686"/>
      <c r="AA2265" s="686"/>
      <c r="AB2265" s="686"/>
      <c r="AC2265" s="686"/>
      <c r="AD2265" s="686"/>
      <c r="AE2265" s="686"/>
      <c r="AF2265" s="686"/>
    </row>
    <row r="2266" ht="15.75" customHeight="1">
      <c r="A2266" s="683"/>
      <c r="B2266" s="683"/>
      <c r="C2266" s="684"/>
      <c r="D2266" s="684"/>
      <c r="E2266" s="684"/>
      <c r="F2266" s="683"/>
      <c r="G2266" s="683"/>
      <c r="H2266" s="683"/>
      <c r="I2266" s="683"/>
      <c r="J2266" s="683"/>
      <c r="K2266" s="683"/>
      <c r="L2266" s="685"/>
      <c r="M2266" s="685"/>
      <c r="N2266" s="687"/>
      <c r="O2266" s="683"/>
      <c r="P2266" s="683"/>
      <c r="Q2266" s="686"/>
      <c r="R2266" s="686"/>
      <c r="S2266" s="686"/>
      <c r="T2266" s="686"/>
      <c r="U2266" s="686"/>
      <c r="V2266" s="686"/>
      <c r="W2266" s="686"/>
      <c r="X2266" s="686"/>
      <c r="Y2266" s="686"/>
      <c r="Z2266" s="686"/>
      <c r="AA2266" s="686"/>
      <c r="AB2266" s="686"/>
      <c r="AC2266" s="686"/>
      <c r="AD2266" s="686"/>
      <c r="AE2266" s="686"/>
      <c r="AF2266" s="686"/>
    </row>
    <row r="2267" ht="15.75" customHeight="1">
      <c r="A2267" s="683"/>
      <c r="B2267" s="683"/>
      <c r="C2267" s="684"/>
      <c r="D2267" s="684"/>
      <c r="E2267" s="684"/>
      <c r="F2267" s="683"/>
      <c r="G2267" s="683"/>
      <c r="H2267" s="683"/>
      <c r="I2267" s="683"/>
      <c r="J2267" s="683"/>
      <c r="K2267" s="683"/>
      <c r="L2267" s="685"/>
      <c r="M2267" s="685"/>
      <c r="N2267" s="687"/>
      <c r="O2267" s="683"/>
      <c r="P2267" s="683"/>
      <c r="Q2267" s="686"/>
      <c r="R2267" s="686"/>
      <c r="S2267" s="686"/>
      <c r="T2267" s="686"/>
      <c r="U2267" s="686"/>
      <c r="V2267" s="686"/>
      <c r="W2267" s="686"/>
      <c r="X2267" s="686"/>
      <c r="Y2267" s="686"/>
      <c r="Z2267" s="686"/>
      <c r="AA2267" s="686"/>
      <c r="AB2267" s="686"/>
      <c r="AC2267" s="686"/>
      <c r="AD2267" s="686"/>
      <c r="AE2267" s="686"/>
      <c r="AF2267" s="686"/>
    </row>
    <row r="2268" ht="15.75" customHeight="1">
      <c r="A2268" s="683"/>
      <c r="B2268" s="683"/>
      <c r="C2268" s="684"/>
      <c r="D2268" s="684"/>
      <c r="E2268" s="684"/>
      <c r="F2268" s="683"/>
      <c r="G2268" s="683"/>
      <c r="H2268" s="683"/>
      <c r="I2268" s="683"/>
      <c r="J2268" s="683"/>
      <c r="K2268" s="683"/>
      <c r="L2268" s="685"/>
      <c r="M2268" s="685"/>
      <c r="N2268" s="687"/>
      <c r="O2268" s="683"/>
      <c r="P2268" s="683"/>
      <c r="Q2268" s="686"/>
      <c r="R2268" s="686"/>
      <c r="S2268" s="686"/>
      <c r="T2268" s="686"/>
      <c r="U2268" s="686"/>
      <c r="V2268" s="686"/>
      <c r="W2268" s="686"/>
      <c r="X2268" s="686"/>
      <c r="Y2268" s="686"/>
      <c r="Z2268" s="686"/>
      <c r="AA2268" s="686"/>
      <c r="AB2268" s="686"/>
      <c r="AC2268" s="686"/>
      <c r="AD2268" s="686"/>
      <c r="AE2268" s="686"/>
      <c r="AF2268" s="686"/>
    </row>
    <row r="2269" ht="15.75" customHeight="1">
      <c r="A2269" s="683"/>
      <c r="B2269" s="683"/>
      <c r="C2269" s="684"/>
      <c r="D2269" s="684"/>
      <c r="E2269" s="684"/>
      <c r="F2269" s="683"/>
      <c r="G2269" s="683"/>
      <c r="H2269" s="683"/>
      <c r="I2269" s="683"/>
      <c r="J2269" s="683"/>
      <c r="K2269" s="683"/>
      <c r="L2269" s="685"/>
      <c r="M2269" s="685"/>
      <c r="N2269" s="687"/>
      <c r="O2269" s="683"/>
      <c r="P2269" s="683"/>
      <c r="Q2269" s="686"/>
      <c r="R2269" s="686"/>
      <c r="S2269" s="686"/>
      <c r="T2269" s="686"/>
      <c r="U2269" s="686"/>
      <c r="V2269" s="686"/>
      <c r="W2269" s="686"/>
      <c r="X2269" s="686"/>
      <c r="Y2269" s="686"/>
      <c r="Z2269" s="686"/>
      <c r="AA2269" s="686"/>
      <c r="AB2269" s="686"/>
      <c r="AC2269" s="686"/>
      <c r="AD2269" s="686"/>
      <c r="AE2269" s="686"/>
      <c r="AF2269" s="686"/>
    </row>
    <row r="2270" ht="15.75" customHeight="1">
      <c r="A2270" s="683"/>
      <c r="B2270" s="683"/>
      <c r="C2270" s="684"/>
      <c r="D2270" s="684"/>
      <c r="E2270" s="684"/>
      <c r="F2270" s="683"/>
      <c r="G2270" s="683"/>
      <c r="H2270" s="683"/>
      <c r="I2270" s="683"/>
      <c r="J2270" s="683"/>
      <c r="K2270" s="683"/>
      <c r="L2270" s="685"/>
      <c r="M2270" s="685"/>
      <c r="N2270" s="687"/>
      <c r="O2270" s="683"/>
      <c r="P2270" s="683"/>
      <c r="Q2270" s="686"/>
      <c r="R2270" s="686"/>
      <c r="S2270" s="686"/>
      <c r="T2270" s="686"/>
      <c r="U2270" s="686"/>
      <c r="V2270" s="686"/>
      <c r="W2270" s="686"/>
      <c r="X2270" s="686"/>
      <c r="Y2270" s="686"/>
      <c r="Z2270" s="686"/>
      <c r="AA2270" s="686"/>
      <c r="AB2270" s="686"/>
      <c r="AC2270" s="686"/>
      <c r="AD2270" s="686"/>
      <c r="AE2270" s="686"/>
      <c r="AF2270" s="686"/>
    </row>
    <row r="2271" ht="15.75" customHeight="1">
      <c r="A2271" s="683"/>
      <c r="B2271" s="683"/>
      <c r="C2271" s="684"/>
      <c r="D2271" s="684"/>
      <c r="E2271" s="684"/>
      <c r="F2271" s="683"/>
      <c r="G2271" s="683"/>
      <c r="H2271" s="683"/>
      <c r="I2271" s="683"/>
      <c r="J2271" s="683"/>
      <c r="K2271" s="683"/>
      <c r="L2271" s="685"/>
      <c r="M2271" s="685"/>
      <c r="N2271" s="687"/>
      <c r="O2271" s="683"/>
      <c r="P2271" s="683"/>
      <c r="Q2271" s="686"/>
      <c r="R2271" s="686"/>
      <c r="S2271" s="686"/>
      <c r="T2271" s="686"/>
      <c r="U2271" s="686"/>
      <c r="V2271" s="686"/>
      <c r="W2271" s="686"/>
      <c r="X2271" s="686"/>
      <c r="Y2271" s="686"/>
      <c r="Z2271" s="686"/>
      <c r="AA2271" s="686"/>
      <c r="AB2271" s="686"/>
      <c r="AC2271" s="686"/>
      <c r="AD2271" s="686"/>
      <c r="AE2271" s="686"/>
      <c r="AF2271" s="686"/>
    </row>
    <row r="2272" ht="15.75" customHeight="1">
      <c r="A2272" s="683"/>
      <c r="B2272" s="683"/>
      <c r="C2272" s="684"/>
      <c r="D2272" s="684"/>
      <c r="E2272" s="684"/>
      <c r="F2272" s="683"/>
      <c r="G2272" s="683"/>
      <c r="H2272" s="683"/>
      <c r="I2272" s="683"/>
      <c r="J2272" s="683"/>
      <c r="K2272" s="683"/>
      <c r="L2272" s="685"/>
      <c r="M2272" s="685"/>
      <c r="N2272" s="687"/>
      <c r="O2272" s="683"/>
      <c r="P2272" s="683"/>
      <c r="Q2272" s="686"/>
      <c r="R2272" s="686"/>
      <c r="S2272" s="686"/>
      <c r="T2272" s="686"/>
      <c r="U2272" s="686"/>
      <c r="V2272" s="686"/>
      <c r="W2272" s="686"/>
      <c r="X2272" s="686"/>
      <c r="Y2272" s="686"/>
      <c r="Z2272" s="686"/>
      <c r="AA2272" s="686"/>
      <c r="AB2272" s="686"/>
      <c r="AC2272" s="686"/>
      <c r="AD2272" s="686"/>
      <c r="AE2272" s="686"/>
      <c r="AF2272" s="686"/>
    </row>
    <row r="2273" ht="15.75" customHeight="1">
      <c r="A2273" s="683"/>
      <c r="B2273" s="683"/>
      <c r="C2273" s="684"/>
      <c r="D2273" s="684"/>
      <c r="E2273" s="684"/>
      <c r="F2273" s="683"/>
      <c r="G2273" s="683"/>
      <c r="H2273" s="683"/>
      <c r="I2273" s="683"/>
      <c r="J2273" s="683"/>
      <c r="K2273" s="683"/>
      <c r="L2273" s="685"/>
      <c r="M2273" s="685"/>
      <c r="N2273" s="687"/>
      <c r="O2273" s="683"/>
      <c r="P2273" s="683"/>
      <c r="Q2273" s="686"/>
      <c r="R2273" s="686"/>
      <c r="S2273" s="686"/>
      <c r="T2273" s="686"/>
      <c r="U2273" s="686"/>
      <c r="V2273" s="686"/>
      <c r="W2273" s="686"/>
      <c r="X2273" s="686"/>
      <c r="Y2273" s="686"/>
      <c r="Z2273" s="686"/>
      <c r="AA2273" s="686"/>
      <c r="AB2273" s="686"/>
      <c r="AC2273" s="686"/>
      <c r="AD2273" s="686"/>
      <c r="AE2273" s="686"/>
      <c r="AF2273" s="686"/>
    </row>
    <row r="2274" ht="15.75" customHeight="1">
      <c r="A2274" s="683"/>
      <c r="B2274" s="683"/>
      <c r="C2274" s="684"/>
      <c r="D2274" s="684"/>
      <c r="E2274" s="684"/>
      <c r="F2274" s="683"/>
      <c r="G2274" s="683"/>
      <c r="H2274" s="683"/>
      <c r="I2274" s="683"/>
      <c r="J2274" s="683"/>
      <c r="K2274" s="683"/>
      <c r="L2274" s="685"/>
      <c r="M2274" s="685"/>
      <c r="N2274" s="687"/>
      <c r="O2274" s="683"/>
      <c r="P2274" s="683"/>
      <c r="Q2274" s="686"/>
      <c r="R2274" s="686"/>
      <c r="S2274" s="686"/>
      <c r="T2274" s="686"/>
      <c r="U2274" s="686"/>
      <c r="V2274" s="686"/>
      <c r="W2274" s="686"/>
      <c r="X2274" s="686"/>
      <c r="Y2274" s="686"/>
      <c r="Z2274" s="686"/>
      <c r="AA2274" s="686"/>
      <c r="AB2274" s="686"/>
      <c r="AC2274" s="686"/>
      <c r="AD2274" s="686"/>
      <c r="AE2274" s="686"/>
      <c r="AF2274" s="686"/>
    </row>
    <row r="2275" ht="15.75" customHeight="1">
      <c r="A2275" s="683"/>
      <c r="B2275" s="683"/>
      <c r="C2275" s="684"/>
      <c r="D2275" s="684"/>
      <c r="E2275" s="684"/>
      <c r="F2275" s="683"/>
      <c r="G2275" s="683"/>
      <c r="H2275" s="683"/>
      <c r="I2275" s="683"/>
      <c r="J2275" s="683"/>
      <c r="K2275" s="683"/>
      <c r="L2275" s="685"/>
      <c r="M2275" s="685"/>
      <c r="N2275" s="687"/>
      <c r="O2275" s="683"/>
      <c r="P2275" s="683"/>
      <c r="Q2275" s="686"/>
      <c r="R2275" s="686"/>
      <c r="S2275" s="686"/>
      <c r="T2275" s="686"/>
      <c r="U2275" s="686"/>
      <c r="V2275" s="686"/>
      <c r="W2275" s="686"/>
      <c r="X2275" s="686"/>
      <c r="Y2275" s="686"/>
      <c r="Z2275" s="686"/>
      <c r="AA2275" s="686"/>
      <c r="AB2275" s="686"/>
      <c r="AC2275" s="686"/>
      <c r="AD2275" s="686"/>
      <c r="AE2275" s="686"/>
      <c r="AF2275" s="686"/>
    </row>
    <row r="2276" ht="15.75" customHeight="1">
      <c r="A2276" s="683"/>
      <c r="B2276" s="683"/>
      <c r="C2276" s="684"/>
      <c r="D2276" s="684"/>
      <c r="E2276" s="684"/>
      <c r="F2276" s="683"/>
      <c r="G2276" s="683"/>
      <c r="H2276" s="683"/>
      <c r="I2276" s="683"/>
      <c r="J2276" s="683"/>
      <c r="K2276" s="683"/>
      <c r="L2276" s="685"/>
      <c r="M2276" s="685"/>
      <c r="N2276" s="687"/>
      <c r="O2276" s="683"/>
      <c r="P2276" s="683"/>
      <c r="Q2276" s="686"/>
      <c r="R2276" s="686"/>
      <c r="S2276" s="686"/>
      <c r="T2276" s="686"/>
      <c r="U2276" s="686"/>
      <c r="V2276" s="686"/>
      <c r="W2276" s="686"/>
      <c r="X2276" s="686"/>
      <c r="Y2276" s="686"/>
      <c r="Z2276" s="686"/>
      <c r="AA2276" s="686"/>
      <c r="AB2276" s="686"/>
      <c r="AC2276" s="686"/>
      <c r="AD2276" s="686"/>
      <c r="AE2276" s="686"/>
      <c r="AF2276" s="686"/>
    </row>
    <row r="2277" ht="15.75" customHeight="1">
      <c r="A2277" s="683"/>
      <c r="B2277" s="683"/>
      <c r="C2277" s="684"/>
      <c r="D2277" s="684"/>
      <c r="E2277" s="684"/>
      <c r="F2277" s="683"/>
      <c r="G2277" s="683"/>
      <c r="H2277" s="683"/>
      <c r="I2277" s="683"/>
      <c r="J2277" s="683"/>
      <c r="K2277" s="683"/>
      <c r="L2277" s="685"/>
      <c r="M2277" s="685"/>
      <c r="N2277" s="687"/>
      <c r="O2277" s="683"/>
      <c r="P2277" s="683"/>
      <c r="Q2277" s="686"/>
      <c r="R2277" s="686"/>
      <c r="S2277" s="686"/>
      <c r="T2277" s="686"/>
      <c r="U2277" s="686"/>
      <c r="V2277" s="686"/>
      <c r="W2277" s="686"/>
      <c r="X2277" s="686"/>
      <c r="Y2277" s="686"/>
      <c r="Z2277" s="686"/>
      <c r="AA2277" s="686"/>
      <c r="AB2277" s="686"/>
      <c r="AC2277" s="686"/>
      <c r="AD2277" s="686"/>
      <c r="AE2277" s="686"/>
      <c r="AF2277" s="686"/>
    </row>
    <row r="2278" ht="15.75" customHeight="1">
      <c r="A2278" s="683"/>
      <c r="B2278" s="683"/>
      <c r="C2278" s="684"/>
      <c r="D2278" s="684"/>
      <c r="E2278" s="684"/>
      <c r="F2278" s="683"/>
      <c r="G2278" s="683"/>
      <c r="H2278" s="683"/>
      <c r="I2278" s="683"/>
      <c r="J2278" s="683"/>
      <c r="K2278" s="683"/>
      <c r="L2278" s="685"/>
      <c r="M2278" s="685"/>
      <c r="N2278" s="687"/>
      <c r="O2278" s="683"/>
      <c r="P2278" s="683"/>
      <c r="Q2278" s="686"/>
      <c r="R2278" s="686"/>
      <c r="S2278" s="686"/>
      <c r="T2278" s="686"/>
      <c r="U2278" s="686"/>
      <c r="V2278" s="686"/>
      <c r="W2278" s="686"/>
      <c r="X2278" s="686"/>
      <c r="Y2278" s="686"/>
      <c r="Z2278" s="686"/>
      <c r="AA2278" s="686"/>
      <c r="AB2278" s="686"/>
      <c r="AC2278" s="686"/>
      <c r="AD2278" s="686"/>
      <c r="AE2278" s="686"/>
      <c r="AF2278" s="686"/>
    </row>
    <row r="2279" ht="15.75" customHeight="1">
      <c r="A2279" s="683"/>
      <c r="B2279" s="683"/>
      <c r="C2279" s="684"/>
      <c r="D2279" s="684"/>
      <c r="E2279" s="684"/>
      <c r="F2279" s="683"/>
      <c r="G2279" s="683"/>
      <c r="H2279" s="683"/>
      <c r="I2279" s="683"/>
      <c r="J2279" s="683"/>
      <c r="K2279" s="683"/>
      <c r="L2279" s="685"/>
      <c r="M2279" s="685"/>
      <c r="N2279" s="687"/>
      <c r="O2279" s="683"/>
      <c r="P2279" s="683"/>
      <c r="Q2279" s="686"/>
      <c r="R2279" s="686"/>
      <c r="S2279" s="686"/>
      <c r="T2279" s="686"/>
      <c r="U2279" s="686"/>
      <c r="V2279" s="686"/>
      <c r="W2279" s="686"/>
      <c r="X2279" s="686"/>
      <c r="Y2279" s="686"/>
      <c r="Z2279" s="686"/>
      <c r="AA2279" s="686"/>
      <c r="AB2279" s="686"/>
      <c r="AC2279" s="686"/>
      <c r="AD2279" s="686"/>
      <c r="AE2279" s="686"/>
      <c r="AF2279" s="686"/>
    </row>
    <row r="2280" ht="15.75" customHeight="1">
      <c r="A2280" s="683"/>
      <c r="B2280" s="683"/>
      <c r="C2280" s="684"/>
      <c r="D2280" s="684"/>
      <c r="E2280" s="684"/>
      <c r="F2280" s="683"/>
      <c r="G2280" s="683"/>
      <c r="H2280" s="683"/>
      <c r="I2280" s="683"/>
      <c r="J2280" s="683"/>
      <c r="K2280" s="683"/>
      <c r="L2280" s="685"/>
      <c r="M2280" s="685"/>
      <c r="N2280" s="687"/>
      <c r="O2280" s="683"/>
      <c r="P2280" s="683"/>
      <c r="Q2280" s="686"/>
      <c r="R2280" s="686"/>
      <c r="S2280" s="686"/>
      <c r="T2280" s="686"/>
      <c r="U2280" s="686"/>
      <c r="V2280" s="686"/>
      <c r="W2280" s="686"/>
      <c r="X2280" s="686"/>
      <c r="Y2280" s="686"/>
      <c r="Z2280" s="686"/>
      <c r="AA2280" s="686"/>
      <c r="AB2280" s="686"/>
      <c r="AC2280" s="686"/>
      <c r="AD2280" s="686"/>
      <c r="AE2280" s="686"/>
      <c r="AF2280" s="686"/>
    </row>
    <row r="2281" ht="15.75" customHeight="1">
      <c r="A2281" s="683"/>
      <c r="B2281" s="683"/>
      <c r="C2281" s="684"/>
      <c r="D2281" s="684"/>
      <c r="E2281" s="684"/>
      <c r="F2281" s="683"/>
      <c r="G2281" s="683"/>
      <c r="H2281" s="683"/>
      <c r="I2281" s="683"/>
      <c r="J2281" s="683"/>
      <c r="K2281" s="683"/>
      <c r="L2281" s="685"/>
      <c r="M2281" s="685"/>
      <c r="N2281" s="687"/>
      <c r="O2281" s="683"/>
      <c r="P2281" s="683"/>
      <c r="Q2281" s="686"/>
      <c r="R2281" s="686"/>
      <c r="S2281" s="686"/>
      <c r="T2281" s="686"/>
      <c r="U2281" s="686"/>
      <c r="V2281" s="686"/>
      <c r="W2281" s="686"/>
      <c r="X2281" s="686"/>
      <c r="Y2281" s="686"/>
      <c r="Z2281" s="686"/>
      <c r="AA2281" s="686"/>
      <c r="AB2281" s="686"/>
      <c r="AC2281" s="686"/>
      <c r="AD2281" s="686"/>
      <c r="AE2281" s="686"/>
      <c r="AF2281" s="686"/>
    </row>
    <row r="2282" ht="15.75" customHeight="1">
      <c r="A2282" s="683"/>
      <c r="B2282" s="683"/>
      <c r="C2282" s="684"/>
      <c r="D2282" s="684"/>
      <c r="E2282" s="684"/>
      <c r="F2282" s="683"/>
      <c r="G2282" s="683"/>
      <c r="H2282" s="683"/>
      <c r="I2282" s="683"/>
      <c r="J2282" s="683"/>
      <c r="K2282" s="683"/>
      <c r="L2282" s="685"/>
      <c r="M2282" s="685"/>
      <c r="N2282" s="687"/>
      <c r="O2282" s="683"/>
      <c r="P2282" s="683"/>
      <c r="Q2282" s="686"/>
      <c r="R2282" s="686"/>
      <c r="S2282" s="686"/>
      <c r="T2282" s="686"/>
      <c r="U2282" s="686"/>
      <c r="V2282" s="686"/>
      <c r="W2282" s="686"/>
      <c r="X2282" s="686"/>
      <c r="Y2282" s="686"/>
      <c r="Z2282" s="686"/>
      <c r="AA2282" s="686"/>
      <c r="AB2282" s="686"/>
      <c r="AC2282" s="686"/>
      <c r="AD2282" s="686"/>
      <c r="AE2282" s="686"/>
      <c r="AF2282" s="686"/>
    </row>
    <row r="2283" ht="15.75" customHeight="1">
      <c r="A2283" s="683"/>
      <c r="B2283" s="683"/>
      <c r="C2283" s="684"/>
      <c r="D2283" s="684"/>
      <c r="E2283" s="684"/>
      <c r="F2283" s="683"/>
      <c r="G2283" s="683"/>
      <c r="H2283" s="683"/>
      <c r="I2283" s="683"/>
      <c r="J2283" s="683"/>
      <c r="K2283" s="683"/>
      <c r="L2283" s="685"/>
      <c r="M2283" s="685"/>
      <c r="N2283" s="687"/>
      <c r="O2283" s="683"/>
      <c r="P2283" s="683"/>
      <c r="Q2283" s="686"/>
      <c r="R2283" s="686"/>
      <c r="S2283" s="686"/>
      <c r="T2283" s="686"/>
      <c r="U2283" s="686"/>
      <c r="V2283" s="686"/>
      <c r="W2283" s="686"/>
      <c r="X2283" s="686"/>
      <c r="Y2283" s="686"/>
      <c r="Z2283" s="686"/>
      <c r="AA2283" s="686"/>
      <c r="AB2283" s="686"/>
      <c r="AC2283" s="686"/>
      <c r="AD2283" s="686"/>
      <c r="AE2283" s="686"/>
      <c r="AF2283" s="686"/>
    </row>
    <row r="2284" ht="15.75" customHeight="1">
      <c r="A2284" s="683"/>
      <c r="B2284" s="683"/>
      <c r="C2284" s="684"/>
      <c r="D2284" s="684"/>
      <c r="E2284" s="684"/>
      <c r="F2284" s="683"/>
      <c r="G2284" s="683"/>
      <c r="H2284" s="683"/>
      <c r="I2284" s="683"/>
      <c r="J2284" s="683"/>
      <c r="K2284" s="683"/>
      <c r="L2284" s="685"/>
      <c r="M2284" s="685"/>
      <c r="N2284" s="687"/>
      <c r="O2284" s="683"/>
      <c r="P2284" s="683"/>
      <c r="Q2284" s="686"/>
      <c r="R2284" s="686"/>
      <c r="S2284" s="686"/>
      <c r="T2284" s="686"/>
      <c r="U2284" s="686"/>
      <c r="V2284" s="686"/>
      <c r="W2284" s="686"/>
      <c r="X2284" s="686"/>
      <c r="Y2284" s="686"/>
      <c r="Z2284" s="686"/>
      <c r="AA2284" s="686"/>
      <c r="AB2284" s="686"/>
      <c r="AC2284" s="686"/>
      <c r="AD2284" s="686"/>
      <c r="AE2284" s="686"/>
      <c r="AF2284" s="686"/>
    </row>
    <row r="2285" ht="15.75" customHeight="1">
      <c r="A2285" s="683"/>
      <c r="B2285" s="683"/>
      <c r="C2285" s="684"/>
      <c r="D2285" s="684"/>
      <c r="E2285" s="684"/>
      <c r="F2285" s="683"/>
      <c r="G2285" s="683"/>
      <c r="H2285" s="683"/>
      <c r="I2285" s="683"/>
      <c r="J2285" s="683"/>
      <c r="K2285" s="683"/>
      <c r="L2285" s="685"/>
      <c r="M2285" s="685"/>
      <c r="N2285" s="687"/>
      <c r="O2285" s="683"/>
      <c r="P2285" s="683"/>
      <c r="Q2285" s="686"/>
      <c r="R2285" s="686"/>
      <c r="S2285" s="686"/>
      <c r="T2285" s="686"/>
      <c r="U2285" s="686"/>
      <c r="V2285" s="686"/>
      <c r="W2285" s="686"/>
      <c r="X2285" s="686"/>
      <c r="Y2285" s="686"/>
      <c r="Z2285" s="686"/>
      <c r="AA2285" s="686"/>
      <c r="AB2285" s="686"/>
      <c r="AC2285" s="686"/>
      <c r="AD2285" s="686"/>
      <c r="AE2285" s="686"/>
      <c r="AF2285" s="686"/>
    </row>
    <row r="2286" ht="15.75" customHeight="1">
      <c r="A2286" s="683"/>
      <c r="B2286" s="683"/>
      <c r="C2286" s="684"/>
      <c r="D2286" s="684"/>
      <c r="E2286" s="684"/>
      <c r="F2286" s="683"/>
      <c r="G2286" s="683"/>
      <c r="H2286" s="683"/>
      <c r="I2286" s="683"/>
      <c r="J2286" s="683"/>
      <c r="K2286" s="683"/>
      <c r="L2286" s="685"/>
      <c r="M2286" s="685"/>
      <c r="N2286" s="687"/>
      <c r="O2286" s="683"/>
      <c r="P2286" s="683"/>
      <c r="Q2286" s="686"/>
      <c r="R2286" s="686"/>
      <c r="S2286" s="686"/>
      <c r="T2286" s="686"/>
      <c r="U2286" s="686"/>
      <c r="V2286" s="686"/>
      <c r="W2286" s="686"/>
      <c r="X2286" s="686"/>
      <c r="Y2286" s="686"/>
      <c r="Z2286" s="686"/>
      <c r="AA2286" s="686"/>
      <c r="AB2286" s="686"/>
      <c r="AC2286" s="686"/>
      <c r="AD2286" s="686"/>
      <c r="AE2286" s="686"/>
      <c r="AF2286" s="686"/>
    </row>
    <row r="2287" ht="15.75" customHeight="1">
      <c r="A2287" s="683"/>
      <c r="B2287" s="683"/>
      <c r="C2287" s="684"/>
      <c r="D2287" s="684"/>
      <c r="E2287" s="684"/>
      <c r="F2287" s="683"/>
      <c r="G2287" s="683"/>
      <c r="H2287" s="683"/>
      <c r="I2287" s="683"/>
      <c r="J2287" s="683"/>
      <c r="K2287" s="683"/>
      <c r="L2287" s="685"/>
      <c r="M2287" s="685"/>
      <c r="N2287" s="687"/>
      <c r="O2287" s="683"/>
      <c r="P2287" s="683"/>
      <c r="Q2287" s="686"/>
      <c r="R2287" s="686"/>
      <c r="S2287" s="686"/>
      <c r="T2287" s="686"/>
      <c r="U2287" s="686"/>
      <c r="V2287" s="686"/>
      <c r="W2287" s="686"/>
      <c r="X2287" s="686"/>
      <c r="Y2287" s="686"/>
      <c r="Z2287" s="686"/>
      <c r="AA2287" s="686"/>
      <c r="AB2287" s="686"/>
      <c r="AC2287" s="686"/>
      <c r="AD2287" s="686"/>
      <c r="AE2287" s="686"/>
      <c r="AF2287" s="686"/>
    </row>
    <row r="2288" ht="15.75" customHeight="1">
      <c r="A2288" s="683"/>
      <c r="B2288" s="683"/>
      <c r="C2288" s="684"/>
      <c r="D2288" s="684"/>
      <c r="E2288" s="684"/>
      <c r="F2288" s="683"/>
      <c r="G2288" s="683"/>
      <c r="H2288" s="683"/>
      <c r="I2288" s="683"/>
      <c r="J2288" s="683"/>
      <c r="K2288" s="683"/>
      <c r="L2288" s="685"/>
      <c r="M2288" s="685"/>
      <c r="N2288" s="687"/>
      <c r="O2288" s="683"/>
      <c r="P2288" s="683"/>
      <c r="Q2288" s="686"/>
      <c r="R2288" s="686"/>
      <c r="S2288" s="686"/>
      <c r="T2288" s="686"/>
      <c r="U2288" s="686"/>
      <c r="V2288" s="686"/>
      <c r="W2288" s="686"/>
      <c r="X2288" s="686"/>
      <c r="Y2288" s="686"/>
      <c r="Z2288" s="686"/>
      <c r="AA2288" s="686"/>
      <c r="AB2288" s="686"/>
      <c r="AC2288" s="686"/>
      <c r="AD2288" s="686"/>
      <c r="AE2288" s="686"/>
      <c r="AF2288" s="686"/>
    </row>
    <row r="2289" ht="15.75" customHeight="1">
      <c r="A2289" s="683"/>
      <c r="B2289" s="683"/>
      <c r="C2289" s="684"/>
      <c r="D2289" s="684"/>
      <c r="E2289" s="684"/>
      <c r="F2289" s="683"/>
      <c r="G2289" s="683"/>
      <c r="H2289" s="683"/>
      <c r="I2289" s="683"/>
      <c r="J2289" s="683"/>
      <c r="K2289" s="683"/>
      <c r="L2289" s="685"/>
      <c r="M2289" s="685"/>
      <c r="N2289" s="687"/>
      <c r="O2289" s="683"/>
      <c r="P2289" s="683"/>
      <c r="Q2289" s="686"/>
      <c r="R2289" s="686"/>
      <c r="S2289" s="686"/>
      <c r="T2289" s="686"/>
      <c r="U2289" s="686"/>
      <c r="V2289" s="686"/>
      <c r="W2289" s="686"/>
      <c r="X2289" s="686"/>
      <c r="Y2289" s="686"/>
      <c r="Z2289" s="686"/>
      <c r="AA2289" s="686"/>
      <c r="AB2289" s="686"/>
      <c r="AC2289" s="686"/>
      <c r="AD2289" s="686"/>
      <c r="AE2289" s="686"/>
      <c r="AF2289" s="686"/>
    </row>
    <row r="2290" ht="15.75" customHeight="1">
      <c r="A2290" s="683"/>
      <c r="B2290" s="683"/>
      <c r="C2290" s="684"/>
      <c r="D2290" s="684"/>
      <c r="E2290" s="684"/>
      <c r="F2290" s="683"/>
      <c r="G2290" s="683"/>
      <c r="H2290" s="683"/>
      <c r="I2290" s="683"/>
      <c r="J2290" s="683"/>
      <c r="K2290" s="683"/>
      <c r="L2290" s="685"/>
      <c r="M2290" s="685"/>
      <c r="N2290" s="687"/>
      <c r="O2290" s="683"/>
      <c r="P2290" s="683"/>
      <c r="Q2290" s="686"/>
      <c r="R2290" s="686"/>
      <c r="S2290" s="686"/>
      <c r="T2290" s="686"/>
      <c r="U2290" s="686"/>
      <c r="V2290" s="686"/>
      <c r="W2290" s="686"/>
      <c r="X2290" s="686"/>
      <c r="Y2290" s="686"/>
      <c r="Z2290" s="686"/>
      <c r="AA2290" s="686"/>
      <c r="AB2290" s="686"/>
      <c r="AC2290" s="686"/>
      <c r="AD2290" s="686"/>
      <c r="AE2290" s="686"/>
      <c r="AF2290" s="686"/>
    </row>
    <row r="2291" ht="15.75" customHeight="1">
      <c r="A2291" s="683"/>
      <c r="B2291" s="683"/>
      <c r="C2291" s="684"/>
      <c r="D2291" s="684"/>
      <c r="E2291" s="684"/>
      <c r="F2291" s="683"/>
      <c r="G2291" s="683"/>
      <c r="H2291" s="683"/>
      <c r="I2291" s="683"/>
      <c r="J2291" s="683"/>
      <c r="K2291" s="683"/>
      <c r="L2291" s="685"/>
      <c r="M2291" s="685"/>
      <c r="N2291" s="687"/>
      <c r="O2291" s="683"/>
      <c r="P2291" s="683"/>
      <c r="Q2291" s="686"/>
      <c r="R2291" s="686"/>
      <c r="S2291" s="686"/>
      <c r="T2291" s="686"/>
      <c r="U2291" s="686"/>
      <c r="V2291" s="686"/>
      <c r="W2291" s="686"/>
      <c r="X2291" s="686"/>
      <c r="Y2291" s="686"/>
      <c r="Z2291" s="686"/>
      <c r="AA2291" s="686"/>
      <c r="AB2291" s="686"/>
      <c r="AC2291" s="686"/>
      <c r="AD2291" s="686"/>
      <c r="AE2291" s="686"/>
      <c r="AF2291" s="686"/>
    </row>
    <row r="2292" ht="15.75" customHeight="1">
      <c r="A2292" s="683"/>
      <c r="B2292" s="683"/>
      <c r="C2292" s="684"/>
      <c r="D2292" s="684"/>
      <c r="E2292" s="684"/>
      <c r="F2292" s="683"/>
      <c r="G2292" s="683"/>
      <c r="H2292" s="683"/>
      <c r="I2292" s="683"/>
      <c r="J2292" s="683"/>
      <c r="K2292" s="683"/>
      <c r="L2292" s="685"/>
      <c r="M2292" s="685"/>
      <c r="N2292" s="687"/>
      <c r="O2292" s="683"/>
      <c r="P2292" s="683"/>
      <c r="Q2292" s="686"/>
      <c r="R2292" s="686"/>
      <c r="S2292" s="686"/>
      <c r="T2292" s="686"/>
      <c r="U2292" s="686"/>
      <c r="V2292" s="686"/>
      <c r="W2292" s="686"/>
      <c r="X2292" s="686"/>
      <c r="Y2292" s="686"/>
      <c r="Z2292" s="686"/>
      <c r="AA2292" s="686"/>
      <c r="AB2292" s="686"/>
      <c r="AC2292" s="686"/>
      <c r="AD2292" s="686"/>
      <c r="AE2292" s="686"/>
      <c r="AF2292" s="686"/>
    </row>
    <row r="2293" ht="15.75" customHeight="1">
      <c r="A2293" s="683"/>
      <c r="B2293" s="683"/>
      <c r="C2293" s="684"/>
      <c r="D2293" s="684"/>
      <c r="E2293" s="684"/>
      <c r="F2293" s="683"/>
      <c r="G2293" s="683"/>
      <c r="H2293" s="683"/>
      <c r="I2293" s="683"/>
      <c r="J2293" s="683"/>
      <c r="K2293" s="683"/>
      <c r="L2293" s="685"/>
      <c r="M2293" s="685"/>
      <c r="N2293" s="687"/>
      <c r="O2293" s="683"/>
      <c r="P2293" s="683"/>
      <c r="Q2293" s="686"/>
      <c r="R2293" s="686"/>
      <c r="S2293" s="686"/>
      <c r="T2293" s="686"/>
      <c r="U2293" s="686"/>
      <c r="V2293" s="686"/>
      <c r="W2293" s="686"/>
      <c r="X2293" s="686"/>
      <c r="Y2293" s="686"/>
      <c r="Z2293" s="686"/>
      <c r="AA2293" s="686"/>
      <c r="AB2293" s="686"/>
      <c r="AC2293" s="686"/>
      <c r="AD2293" s="686"/>
      <c r="AE2293" s="686"/>
      <c r="AF2293" s="686"/>
    </row>
    <row r="2294" ht="15.75" customHeight="1">
      <c r="A2294" s="683"/>
      <c r="B2294" s="683"/>
      <c r="C2294" s="684"/>
      <c r="D2294" s="684"/>
      <c r="E2294" s="684"/>
      <c r="F2294" s="683"/>
      <c r="G2294" s="683"/>
      <c r="H2294" s="683"/>
      <c r="I2294" s="683"/>
      <c r="J2294" s="683"/>
      <c r="K2294" s="683"/>
      <c r="L2294" s="685"/>
      <c r="M2294" s="685"/>
      <c r="N2294" s="687"/>
      <c r="O2294" s="683"/>
      <c r="P2294" s="683"/>
      <c r="Q2294" s="686"/>
      <c r="R2294" s="686"/>
      <c r="S2294" s="686"/>
      <c r="T2294" s="686"/>
      <c r="U2294" s="686"/>
      <c r="V2294" s="686"/>
      <c r="W2294" s="686"/>
      <c r="X2294" s="686"/>
      <c r="Y2294" s="686"/>
      <c r="Z2294" s="686"/>
      <c r="AA2294" s="686"/>
      <c r="AB2294" s="686"/>
      <c r="AC2294" s="686"/>
      <c r="AD2294" s="686"/>
      <c r="AE2294" s="686"/>
      <c r="AF2294" s="686"/>
    </row>
    <row r="2295" ht="15.75" customHeight="1">
      <c r="A2295" s="683"/>
      <c r="B2295" s="683"/>
      <c r="C2295" s="684"/>
      <c r="D2295" s="684"/>
      <c r="E2295" s="684"/>
      <c r="F2295" s="683"/>
      <c r="G2295" s="683"/>
      <c r="H2295" s="683"/>
      <c r="I2295" s="683"/>
      <c r="J2295" s="683"/>
      <c r="K2295" s="683"/>
      <c r="L2295" s="685"/>
      <c r="M2295" s="685"/>
      <c r="N2295" s="687"/>
      <c r="O2295" s="683"/>
      <c r="P2295" s="683"/>
      <c r="Q2295" s="686"/>
      <c r="R2295" s="686"/>
      <c r="S2295" s="686"/>
      <c r="T2295" s="686"/>
      <c r="U2295" s="686"/>
      <c r="V2295" s="686"/>
      <c r="W2295" s="686"/>
      <c r="X2295" s="686"/>
      <c r="Y2295" s="686"/>
      <c r="Z2295" s="686"/>
      <c r="AA2295" s="686"/>
      <c r="AB2295" s="686"/>
      <c r="AC2295" s="686"/>
      <c r="AD2295" s="686"/>
      <c r="AE2295" s="686"/>
      <c r="AF2295" s="686"/>
    </row>
    <row r="2296" ht="15.75" customHeight="1">
      <c r="A2296" s="683"/>
      <c r="B2296" s="683"/>
      <c r="C2296" s="684"/>
      <c r="D2296" s="684"/>
      <c r="E2296" s="684"/>
      <c r="F2296" s="683"/>
      <c r="G2296" s="683"/>
      <c r="H2296" s="683"/>
      <c r="I2296" s="683"/>
      <c r="J2296" s="683"/>
      <c r="K2296" s="683"/>
      <c r="L2296" s="685"/>
      <c r="M2296" s="685"/>
      <c r="N2296" s="687"/>
      <c r="O2296" s="683"/>
      <c r="P2296" s="683"/>
      <c r="Q2296" s="686"/>
      <c r="R2296" s="686"/>
      <c r="S2296" s="686"/>
      <c r="T2296" s="686"/>
      <c r="U2296" s="686"/>
      <c r="V2296" s="686"/>
      <c r="W2296" s="686"/>
      <c r="X2296" s="686"/>
      <c r="Y2296" s="686"/>
      <c r="Z2296" s="686"/>
      <c r="AA2296" s="686"/>
      <c r="AB2296" s="686"/>
      <c r="AC2296" s="686"/>
      <c r="AD2296" s="686"/>
      <c r="AE2296" s="686"/>
      <c r="AF2296" s="686"/>
    </row>
    <row r="2297" ht="15.75" customHeight="1">
      <c r="A2297" s="683"/>
      <c r="B2297" s="683"/>
      <c r="C2297" s="684"/>
      <c r="D2297" s="684"/>
      <c r="E2297" s="684"/>
      <c r="F2297" s="683"/>
      <c r="G2297" s="683"/>
      <c r="H2297" s="683"/>
      <c r="I2297" s="683"/>
      <c r="J2297" s="683"/>
      <c r="K2297" s="683"/>
      <c r="L2297" s="685"/>
      <c r="M2297" s="685"/>
      <c r="N2297" s="687"/>
      <c r="O2297" s="683"/>
      <c r="P2297" s="683"/>
      <c r="Q2297" s="686"/>
      <c r="R2297" s="686"/>
      <c r="S2297" s="686"/>
      <c r="T2297" s="686"/>
      <c r="U2297" s="686"/>
      <c r="V2297" s="686"/>
      <c r="W2297" s="686"/>
      <c r="X2297" s="686"/>
      <c r="Y2297" s="686"/>
      <c r="Z2297" s="686"/>
      <c r="AA2297" s="686"/>
      <c r="AB2297" s="686"/>
      <c r="AC2297" s="686"/>
      <c r="AD2297" s="686"/>
      <c r="AE2297" s="686"/>
      <c r="AF2297" s="686"/>
    </row>
    <row r="2298" ht="15.75" customHeight="1">
      <c r="A2298" s="683"/>
      <c r="B2298" s="683"/>
      <c r="C2298" s="684"/>
      <c r="D2298" s="684"/>
      <c r="E2298" s="684"/>
      <c r="F2298" s="683"/>
      <c r="G2298" s="683"/>
      <c r="H2298" s="683"/>
      <c r="I2298" s="683"/>
      <c r="J2298" s="683"/>
      <c r="K2298" s="683"/>
      <c r="L2298" s="685"/>
      <c r="M2298" s="685"/>
      <c r="N2298" s="687"/>
      <c r="O2298" s="683"/>
      <c r="P2298" s="683"/>
      <c r="Q2298" s="686"/>
      <c r="R2298" s="686"/>
      <c r="S2298" s="686"/>
      <c r="T2298" s="686"/>
      <c r="U2298" s="686"/>
      <c r="V2298" s="686"/>
      <c r="W2298" s="686"/>
      <c r="X2298" s="686"/>
      <c r="Y2298" s="686"/>
      <c r="Z2298" s="686"/>
      <c r="AA2298" s="686"/>
      <c r="AB2298" s="686"/>
      <c r="AC2298" s="686"/>
      <c r="AD2298" s="686"/>
      <c r="AE2298" s="686"/>
      <c r="AF2298" s="686"/>
    </row>
    <row r="2299" ht="15.75" customHeight="1">
      <c r="A2299" s="683"/>
      <c r="B2299" s="683"/>
      <c r="C2299" s="684"/>
      <c r="D2299" s="684"/>
      <c r="E2299" s="684"/>
      <c r="F2299" s="683"/>
      <c r="G2299" s="683"/>
      <c r="H2299" s="683"/>
      <c r="I2299" s="683"/>
      <c r="J2299" s="683"/>
      <c r="K2299" s="683"/>
      <c r="L2299" s="685"/>
      <c r="M2299" s="685"/>
      <c r="N2299" s="687"/>
      <c r="O2299" s="683"/>
      <c r="P2299" s="683"/>
      <c r="Q2299" s="686"/>
      <c r="R2299" s="686"/>
      <c r="S2299" s="686"/>
      <c r="T2299" s="686"/>
      <c r="U2299" s="686"/>
      <c r="V2299" s="686"/>
      <c r="W2299" s="686"/>
      <c r="X2299" s="686"/>
      <c r="Y2299" s="686"/>
      <c r="Z2299" s="686"/>
      <c r="AA2299" s="686"/>
      <c r="AB2299" s="686"/>
      <c r="AC2299" s="686"/>
      <c r="AD2299" s="686"/>
      <c r="AE2299" s="686"/>
      <c r="AF2299" s="686"/>
    </row>
    <row r="2300" ht="15.75" customHeight="1">
      <c r="A2300" s="683"/>
      <c r="B2300" s="683"/>
      <c r="C2300" s="684"/>
      <c r="D2300" s="684"/>
      <c r="E2300" s="684"/>
      <c r="F2300" s="683"/>
      <c r="G2300" s="683"/>
      <c r="H2300" s="683"/>
      <c r="I2300" s="683"/>
      <c r="J2300" s="683"/>
      <c r="K2300" s="683"/>
      <c r="L2300" s="685"/>
      <c r="M2300" s="685"/>
      <c r="N2300" s="687"/>
      <c r="O2300" s="683"/>
      <c r="P2300" s="683"/>
      <c r="Q2300" s="686"/>
      <c r="R2300" s="686"/>
      <c r="S2300" s="686"/>
      <c r="T2300" s="686"/>
      <c r="U2300" s="686"/>
      <c r="V2300" s="686"/>
      <c r="W2300" s="686"/>
      <c r="X2300" s="686"/>
      <c r="Y2300" s="686"/>
      <c r="Z2300" s="686"/>
      <c r="AA2300" s="686"/>
      <c r="AB2300" s="686"/>
      <c r="AC2300" s="686"/>
      <c r="AD2300" s="686"/>
      <c r="AE2300" s="686"/>
      <c r="AF2300" s="686"/>
    </row>
    <row r="2301" ht="15.75" customHeight="1">
      <c r="A2301" s="683"/>
      <c r="B2301" s="683"/>
      <c r="C2301" s="684"/>
      <c r="D2301" s="684"/>
      <c r="E2301" s="684"/>
      <c r="F2301" s="683"/>
      <c r="G2301" s="683"/>
      <c r="H2301" s="683"/>
      <c r="I2301" s="683"/>
      <c r="J2301" s="683"/>
      <c r="K2301" s="683"/>
      <c r="L2301" s="685"/>
      <c r="M2301" s="685"/>
      <c r="N2301" s="687"/>
      <c r="O2301" s="683"/>
      <c r="P2301" s="683"/>
      <c r="Q2301" s="686"/>
      <c r="R2301" s="686"/>
      <c r="S2301" s="686"/>
      <c r="T2301" s="686"/>
      <c r="U2301" s="686"/>
      <c r="V2301" s="686"/>
      <c r="W2301" s="686"/>
      <c r="X2301" s="686"/>
      <c r="Y2301" s="686"/>
      <c r="Z2301" s="686"/>
      <c r="AA2301" s="686"/>
      <c r="AB2301" s="686"/>
      <c r="AC2301" s="686"/>
      <c r="AD2301" s="686"/>
      <c r="AE2301" s="686"/>
      <c r="AF2301" s="686"/>
    </row>
    <row r="2302" ht="15.75" customHeight="1">
      <c r="A2302" s="683"/>
      <c r="B2302" s="683"/>
      <c r="C2302" s="684"/>
      <c r="D2302" s="684"/>
      <c r="E2302" s="684"/>
      <c r="F2302" s="683"/>
      <c r="G2302" s="683"/>
      <c r="H2302" s="683"/>
      <c r="I2302" s="683"/>
      <c r="J2302" s="683"/>
      <c r="K2302" s="683"/>
      <c r="L2302" s="685"/>
      <c r="M2302" s="685"/>
      <c r="N2302" s="687"/>
      <c r="O2302" s="683"/>
      <c r="P2302" s="683"/>
      <c r="Q2302" s="686"/>
      <c r="R2302" s="686"/>
      <c r="S2302" s="686"/>
      <c r="T2302" s="686"/>
      <c r="U2302" s="686"/>
      <c r="V2302" s="686"/>
      <c r="W2302" s="686"/>
      <c r="X2302" s="686"/>
      <c r="Y2302" s="686"/>
      <c r="Z2302" s="686"/>
      <c r="AA2302" s="686"/>
      <c r="AB2302" s="686"/>
      <c r="AC2302" s="686"/>
      <c r="AD2302" s="686"/>
      <c r="AE2302" s="686"/>
      <c r="AF2302" s="686"/>
    </row>
    <row r="2303" ht="15.75" customHeight="1">
      <c r="A2303" s="683"/>
      <c r="B2303" s="683"/>
      <c r="C2303" s="684"/>
      <c r="D2303" s="684"/>
      <c r="E2303" s="684"/>
      <c r="F2303" s="683"/>
      <c r="G2303" s="683"/>
      <c r="H2303" s="683"/>
      <c r="I2303" s="683"/>
      <c r="J2303" s="683"/>
      <c r="K2303" s="683"/>
      <c r="L2303" s="685"/>
      <c r="M2303" s="685"/>
      <c r="N2303" s="687"/>
      <c r="O2303" s="683"/>
      <c r="P2303" s="683"/>
      <c r="Q2303" s="686"/>
      <c r="R2303" s="686"/>
      <c r="S2303" s="686"/>
      <c r="T2303" s="686"/>
      <c r="U2303" s="686"/>
      <c r="V2303" s="686"/>
      <c r="W2303" s="686"/>
      <c r="X2303" s="686"/>
      <c r="Y2303" s="686"/>
      <c r="Z2303" s="686"/>
      <c r="AA2303" s="686"/>
      <c r="AB2303" s="686"/>
      <c r="AC2303" s="686"/>
      <c r="AD2303" s="686"/>
      <c r="AE2303" s="686"/>
      <c r="AF2303" s="686"/>
    </row>
    <row r="2304" ht="15.75" customHeight="1">
      <c r="A2304" s="683"/>
      <c r="B2304" s="683"/>
      <c r="C2304" s="684"/>
      <c r="D2304" s="684"/>
      <c r="E2304" s="684"/>
      <c r="F2304" s="683"/>
      <c r="G2304" s="683"/>
      <c r="H2304" s="683"/>
      <c r="I2304" s="683"/>
      <c r="J2304" s="683"/>
      <c r="K2304" s="683"/>
      <c r="L2304" s="685"/>
      <c r="M2304" s="685"/>
      <c r="N2304" s="687"/>
      <c r="O2304" s="683"/>
      <c r="P2304" s="683"/>
      <c r="Q2304" s="686"/>
      <c r="R2304" s="686"/>
      <c r="S2304" s="686"/>
      <c r="T2304" s="686"/>
      <c r="U2304" s="686"/>
      <c r="V2304" s="686"/>
      <c r="W2304" s="686"/>
      <c r="X2304" s="686"/>
      <c r="Y2304" s="686"/>
      <c r="Z2304" s="686"/>
      <c r="AA2304" s="686"/>
      <c r="AB2304" s="686"/>
      <c r="AC2304" s="686"/>
      <c r="AD2304" s="686"/>
      <c r="AE2304" s="686"/>
      <c r="AF2304" s="686"/>
    </row>
    <row r="2305" ht="15.75" customHeight="1">
      <c r="A2305" s="683"/>
      <c r="B2305" s="683"/>
      <c r="C2305" s="684"/>
      <c r="D2305" s="684"/>
      <c r="E2305" s="684"/>
      <c r="F2305" s="683"/>
      <c r="G2305" s="683"/>
      <c r="H2305" s="683"/>
      <c r="I2305" s="683"/>
      <c r="J2305" s="683"/>
      <c r="K2305" s="683"/>
      <c r="L2305" s="685"/>
      <c r="M2305" s="685"/>
      <c r="N2305" s="687"/>
      <c r="O2305" s="683"/>
      <c r="P2305" s="683"/>
      <c r="Q2305" s="686"/>
      <c r="R2305" s="686"/>
      <c r="S2305" s="686"/>
      <c r="T2305" s="686"/>
      <c r="U2305" s="686"/>
      <c r="V2305" s="686"/>
      <c r="W2305" s="686"/>
      <c r="X2305" s="686"/>
      <c r="Y2305" s="686"/>
      <c r="Z2305" s="686"/>
      <c r="AA2305" s="686"/>
      <c r="AB2305" s="686"/>
      <c r="AC2305" s="686"/>
      <c r="AD2305" s="686"/>
      <c r="AE2305" s="686"/>
      <c r="AF2305" s="686"/>
    </row>
    <row r="2306" ht="15.75" customHeight="1">
      <c r="A2306" s="683"/>
      <c r="B2306" s="683"/>
      <c r="C2306" s="684"/>
      <c r="D2306" s="684"/>
      <c r="E2306" s="684"/>
      <c r="F2306" s="683"/>
      <c r="G2306" s="683"/>
      <c r="H2306" s="683"/>
      <c r="I2306" s="683"/>
      <c r="J2306" s="683"/>
      <c r="K2306" s="683"/>
      <c r="L2306" s="685"/>
      <c r="M2306" s="685"/>
      <c r="N2306" s="687"/>
      <c r="O2306" s="683"/>
      <c r="P2306" s="683"/>
      <c r="Q2306" s="686"/>
      <c r="R2306" s="686"/>
      <c r="S2306" s="686"/>
      <c r="T2306" s="686"/>
      <c r="U2306" s="686"/>
      <c r="V2306" s="686"/>
      <c r="W2306" s="686"/>
      <c r="X2306" s="686"/>
      <c r="Y2306" s="686"/>
      <c r="Z2306" s="686"/>
      <c r="AA2306" s="686"/>
      <c r="AB2306" s="686"/>
      <c r="AC2306" s="686"/>
      <c r="AD2306" s="686"/>
      <c r="AE2306" s="686"/>
      <c r="AF2306" s="686"/>
    </row>
    <row r="2307" ht="15.75" customHeight="1">
      <c r="A2307" s="683"/>
      <c r="B2307" s="683"/>
      <c r="C2307" s="684"/>
      <c r="D2307" s="684"/>
      <c r="E2307" s="684"/>
      <c r="F2307" s="683"/>
      <c r="G2307" s="683"/>
      <c r="H2307" s="683"/>
      <c r="I2307" s="683"/>
      <c r="J2307" s="683"/>
      <c r="K2307" s="683"/>
      <c r="L2307" s="685"/>
      <c r="M2307" s="685"/>
      <c r="N2307" s="687"/>
      <c r="O2307" s="683"/>
      <c r="P2307" s="683"/>
      <c r="Q2307" s="686"/>
      <c r="R2307" s="686"/>
      <c r="S2307" s="686"/>
      <c r="T2307" s="686"/>
      <c r="U2307" s="686"/>
      <c r="V2307" s="686"/>
      <c r="W2307" s="686"/>
      <c r="X2307" s="686"/>
      <c r="Y2307" s="686"/>
      <c r="Z2307" s="686"/>
      <c r="AA2307" s="686"/>
      <c r="AB2307" s="686"/>
      <c r="AC2307" s="686"/>
      <c r="AD2307" s="686"/>
      <c r="AE2307" s="686"/>
      <c r="AF2307" s="686"/>
    </row>
    <row r="2308" ht="15.75" customHeight="1">
      <c r="A2308" s="683"/>
      <c r="B2308" s="683"/>
      <c r="C2308" s="684"/>
      <c r="D2308" s="684"/>
      <c r="E2308" s="684"/>
      <c r="F2308" s="683"/>
      <c r="G2308" s="683"/>
      <c r="H2308" s="683"/>
      <c r="I2308" s="683"/>
      <c r="J2308" s="683"/>
      <c r="K2308" s="683"/>
      <c r="L2308" s="685"/>
      <c r="M2308" s="685"/>
      <c r="N2308" s="687"/>
      <c r="O2308" s="683"/>
      <c r="P2308" s="683"/>
      <c r="Q2308" s="686"/>
      <c r="R2308" s="686"/>
      <c r="S2308" s="686"/>
      <c r="T2308" s="686"/>
      <c r="U2308" s="686"/>
      <c r="V2308" s="686"/>
      <c r="W2308" s="686"/>
      <c r="X2308" s="686"/>
      <c r="Y2308" s="686"/>
      <c r="Z2308" s="686"/>
      <c r="AA2308" s="686"/>
      <c r="AB2308" s="686"/>
      <c r="AC2308" s="686"/>
      <c r="AD2308" s="686"/>
      <c r="AE2308" s="686"/>
      <c r="AF2308" s="686"/>
    </row>
    <row r="2309" ht="15.75" customHeight="1">
      <c r="A2309" s="683"/>
      <c r="B2309" s="683"/>
      <c r="C2309" s="684"/>
      <c r="D2309" s="684"/>
      <c r="E2309" s="684"/>
      <c r="F2309" s="683"/>
      <c r="G2309" s="683"/>
      <c r="H2309" s="683"/>
      <c r="I2309" s="683"/>
      <c r="J2309" s="683"/>
      <c r="K2309" s="683"/>
      <c r="L2309" s="685"/>
      <c r="M2309" s="685"/>
      <c r="N2309" s="687"/>
      <c r="O2309" s="683"/>
      <c r="P2309" s="683"/>
      <c r="Q2309" s="686"/>
      <c r="R2309" s="686"/>
      <c r="S2309" s="686"/>
      <c r="T2309" s="686"/>
      <c r="U2309" s="686"/>
      <c r="V2309" s="686"/>
      <c r="W2309" s="686"/>
      <c r="X2309" s="686"/>
      <c r="Y2309" s="686"/>
      <c r="Z2309" s="686"/>
      <c r="AA2309" s="686"/>
      <c r="AB2309" s="686"/>
      <c r="AC2309" s="686"/>
      <c r="AD2309" s="686"/>
      <c r="AE2309" s="686"/>
      <c r="AF2309" s="686"/>
    </row>
    <row r="2310" ht="15.75" customHeight="1">
      <c r="A2310" s="683"/>
      <c r="B2310" s="683"/>
      <c r="C2310" s="684"/>
      <c r="D2310" s="684"/>
      <c r="E2310" s="684"/>
      <c r="F2310" s="683"/>
      <c r="G2310" s="683"/>
      <c r="H2310" s="683"/>
      <c r="I2310" s="683"/>
      <c r="J2310" s="683"/>
      <c r="K2310" s="683"/>
      <c r="L2310" s="685"/>
      <c r="M2310" s="685"/>
      <c r="N2310" s="687"/>
      <c r="O2310" s="683"/>
      <c r="P2310" s="683"/>
      <c r="Q2310" s="686"/>
      <c r="R2310" s="686"/>
      <c r="S2310" s="686"/>
      <c r="T2310" s="686"/>
      <c r="U2310" s="686"/>
      <c r="V2310" s="686"/>
      <c r="W2310" s="686"/>
      <c r="X2310" s="686"/>
      <c r="Y2310" s="686"/>
      <c r="Z2310" s="686"/>
      <c r="AA2310" s="686"/>
      <c r="AB2310" s="686"/>
      <c r="AC2310" s="686"/>
      <c r="AD2310" s="686"/>
      <c r="AE2310" s="686"/>
      <c r="AF2310" s="686"/>
    </row>
    <row r="2311" ht="15.75" customHeight="1">
      <c r="A2311" s="683"/>
      <c r="B2311" s="683"/>
      <c r="C2311" s="684"/>
      <c r="D2311" s="684"/>
      <c r="E2311" s="684"/>
      <c r="F2311" s="683"/>
      <c r="G2311" s="683"/>
      <c r="H2311" s="683"/>
      <c r="I2311" s="683"/>
      <c r="J2311" s="683"/>
      <c r="K2311" s="683"/>
      <c r="L2311" s="685"/>
      <c r="M2311" s="685"/>
      <c r="N2311" s="687"/>
      <c r="O2311" s="683"/>
      <c r="P2311" s="683"/>
      <c r="Q2311" s="686"/>
      <c r="R2311" s="686"/>
      <c r="S2311" s="686"/>
      <c r="T2311" s="686"/>
      <c r="U2311" s="686"/>
      <c r="V2311" s="686"/>
      <c r="W2311" s="686"/>
      <c r="X2311" s="686"/>
      <c r="Y2311" s="686"/>
      <c r="Z2311" s="686"/>
      <c r="AA2311" s="686"/>
      <c r="AB2311" s="686"/>
      <c r="AC2311" s="686"/>
      <c r="AD2311" s="686"/>
      <c r="AE2311" s="686"/>
      <c r="AF2311" s="686"/>
    </row>
    <row r="2312" ht="15.75" customHeight="1">
      <c r="A2312" s="683"/>
      <c r="B2312" s="683"/>
      <c r="C2312" s="684"/>
      <c r="D2312" s="684"/>
      <c r="E2312" s="684"/>
      <c r="F2312" s="683"/>
      <c r="G2312" s="683"/>
      <c r="H2312" s="683"/>
      <c r="I2312" s="683"/>
      <c r="J2312" s="683"/>
      <c r="K2312" s="683"/>
      <c r="L2312" s="685"/>
      <c r="M2312" s="685"/>
      <c r="N2312" s="687"/>
      <c r="O2312" s="683"/>
      <c r="P2312" s="683"/>
      <c r="Q2312" s="686"/>
      <c r="R2312" s="686"/>
      <c r="S2312" s="686"/>
      <c r="T2312" s="686"/>
      <c r="U2312" s="686"/>
      <c r="V2312" s="686"/>
      <c r="W2312" s="686"/>
      <c r="X2312" s="686"/>
      <c r="Y2312" s="686"/>
      <c r="Z2312" s="686"/>
      <c r="AA2312" s="686"/>
      <c r="AB2312" s="686"/>
      <c r="AC2312" s="686"/>
      <c r="AD2312" s="686"/>
      <c r="AE2312" s="686"/>
      <c r="AF2312" s="686"/>
    </row>
    <row r="2313" ht="15.75" customHeight="1">
      <c r="A2313" s="683"/>
      <c r="B2313" s="683"/>
      <c r="C2313" s="684"/>
      <c r="D2313" s="684"/>
      <c r="E2313" s="684"/>
      <c r="F2313" s="683"/>
      <c r="G2313" s="683"/>
      <c r="H2313" s="683"/>
      <c r="I2313" s="683"/>
      <c r="J2313" s="683"/>
      <c r="K2313" s="683"/>
      <c r="L2313" s="685"/>
      <c r="M2313" s="685"/>
      <c r="N2313" s="687"/>
      <c r="O2313" s="683"/>
      <c r="P2313" s="683"/>
      <c r="Q2313" s="686"/>
      <c r="R2313" s="686"/>
      <c r="S2313" s="686"/>
      <c r="T2313" s="686"/>
      <c r="U2313" s="686"/>
      <c r="V2313" s="686"/>
      <c r="W2313" s="686"/>
      <c r="X2313" s="686"/>
      <c r="Y2313" s="686"/>
      <c r="Z2313" s="686"/>
      <c r="AA2313" s="686"/>
      <c r="AB2313" s="686"/>
      <c r="AC2313" s="686"/>
      <c r="AD2313" s="686"/>
      <c r="AE2313" s="686"/>
      <c r="AF2313" s="686"/>
    </row>
    <row r="2314" ht="15.75" customHeight="1">
      <c r="A2314" s="683"/>
      <c r="B2314" s="683"/>
      <c r="C2314" s="684"/>
      <c r="D2314" s="684"/>
      <c r="E2314" s="684"/>
      <c r="F2314" s="683"/>
      <c r="G2314" s="683"/>
      <c r="H2314" s="683"/>
      <c r="I2314" s="683"/>
      <c r="J2314" s="683"/>
      <c r="K2314" s="683"/>
      <c r="L2314" s="685"/>
      <c r="M2314" s="685"/>
      <c r="N2314" s="687"/>
      <c r="O2314" s="683"/>
      <c r="P2314" s="683"/>
      <c r="Q2314" s="686"/>
      <c r="R2314" s="686"/>
      <c r="S2314" s="686"/>
      <c r="T2314" s="686"/>
      <c r="U2314" s="686"/>
      <c r="V2314" s="686"/>
      <c r="W2314" s="686"/>
      <c r="X2314" s="686"/>
      <c r="Y2314" s="686"/>
      <c r="Z2314" s="686"/>
      <c r="AA2314" s="686"/>
      <c r="AB2314" s="686"/>
      <c r="AC2314" s="686"/>
      <c r="AD2314" s="686"/>
      <c r="AE2314" s="686"/>
      <c r="AF2314" s="686"/>
    </row>
    <row r="2315" ht="15.75" customHeight="1">
      <c r="A2315" s="683"/>
      <c r="B2315" s="683"/>
      <c r="C2315" s="684"/>
      <c r="D2315" s="684"/>
      <c r="E2315" s="684"/>
      <c r="F2315" s="683"/>
      <c r="G2315" s="683"/>
      <c r="H2315" s="683"/>
      <c r="I2315" s="683"/>
      <c r="J2315" s="683"/>
      <c r="K2315" s="683"/>
      <c r="L2315" s="685"/>
      <c r="M2315" s="685"/>
      <c r="N2315" s="687"/>
      <c r="O2315" s="683"/>
      <c r="P2315" s="683"/>
      <c r="Q2315" s="686"/>
      <c r="R2315" s="686"/>
      <c r="S2315" s="686"/>
      <c r="T2315" s="686"/>
      <c r="U2315" s="686"/>
      <c r="V2315" s="686"/>
      <c r="W2315" s="686"/>
      <c r="X2315" s="686"/>
      <c r="Y2315" s="686"/>
      <c r="Z2315" s="686"/>
      <c r="AA2315" s="686"/>
      <c r="AB2315" s="686"/>
      <c r="AC2315" s="686"/>
      <c r="AD2315" s="686"/>
      <c r="AE2315" s="686"/>
      <c r="AF2315" s="686"/>
    </row>
    <row r="2316" ht="15.75" customHeight="1">
      <c r="A2316" s="683"/>
      <c r="B2316" s="683"/>
      <c r="C2316" s="684"/>
      <c r="D2316" s="684"/>
      <c r="E2316" s="684"/>
      <c r="F2316" s="683"/>
      <c r="G2316" s="683"/>
      <c r="H2316" s="683"/>
      <c r="I2316" s="683"/>
      <c r="J2316" s="683"/>
      <c r="K2316" s="683"/>
      <c r="L2316" s="685"/>
      <c r="M2316" s="685"/>
      <c r="N2316" s="687"/>
      <c r="O2316" s="683"/>
      <c r="P2316" s="683"/>
      <c r="Q2316" s="686"/>
      <c r="R2316" s="686"/>
      <c r="S2316" s="686"/>
      <c r="T2316" s="686"/>
      <c r="U2316" s="686"/>
      <c r="V2316" s="686"/>
      <c r="W2316" s="686"/>
      <c r="X2316" s="686"/>
      <c r="Y2316" s="686"/>
      <c r="Z2316" s="686"/>
      <c r="AA2316" s="686"/>
      <c r="AB2316" s="686"/>
      <c r="AC2316" s="686"/>
      <c r="AD2316" s="686"/>
      <c r="AE2316" s="686"/>
      <c r="AF2316" s="686"/>
    </row>
    <row r="2317" ht="15.75" customHeight="1">
      <c r="A2317" s="683"/>
      <c r="B2317" s="683"/>
      <c r="C2317" s="684"/>
      <c r="D2317" s="684"/>
      <c r="E2317" s="684"/>
      <c r="F2317" s="683"/>
      <c r="G2317" s="683"/>
      <c r="H2317" s="683"/>
      <c r="I2317" s="683"/>
      <c r="J2317" s="683"/>
      <c r="K2317" s="683"/>
      <c r="L2317" s="685"/>
      <c r="M2317" s="685"/>
      <c r="N2317" s="687"/>
      <c r="O2317" s="683"/>
      <c r="P2317" s="683"/>
      <c r="Q2317" s="686"/>
      <c r="R2317" s="686"/>
      <c r="S2317" s="686"/>
      <c r="T2317" s="686"/>
      <c r="U2317" s="686"/>
      <c r="V2317" s="686"/>
      <c r="W2317" s="686"/>
      <c r="X2317" s="686"/>
      <c r="Y2317" s="686"/>
      <c r="Z2317" s="686"/>
      <c r="AA2317" s="686"/>
      <c r="AB2317" s="686"/>
      <c r="AC2317" s="686"/>
      <c r="AD2317" s="686"/>
      <c r="AE2317" s="686"/>
      <c r="AF2317" s="686"/>
    </row>
    <row r="2318" ht="15.75" customHeight="1">
      <c r="A2318" s="683"/>
      <c r="B2318" s="683"/>
      <c r="C2318" s="684"/>
      <c r="D2318" s="684"/>
      <c r="E2318" s="684"/>
      <c r="F2318" s="683"/>
      <c r="G2318" s="683"/>
      <c r="H2318" s="683"/>
      <c r="I2318" s="683"/>
      <c r="J2318" s="683"/>
      <c r="K2318" s="683"/>
      <c r="L2318" s="685"/>
      <c r="M2318" s="685"/>
      <c r="N2318" s="687"/>
      <c r="O2318" s="683"/>
      <c r="P2318" s="683"/>
      <c r="Q2318" s="686"/>
      <c r="R2318" s="686"/>
      <c r="S2318" s="686"/>
      <c r="T2318" s="686"/>
      <c r="U2318" s="686"/>
      <c r="V2318" s="686"/>
      <c r="W2318" s="686"/>
      <c r="X2318" s="686"/>
      <c r="Y2318" s="686"/>
      <c r="Z2318" s="686"/>
      <c r="AA2318" s="686"/>
      <c r="AB2318" s="686"/>
      <c r="AC2318" s="686"/>
      <c r="AD2318" s="686"/>
      <c r="AE2318" s="686"/>
      <c r="AF2318" s="686"/>
    </row>
    <row r="2319" ht="15.75" customHeight="1">
      <c r="A2319" s="683"/>
      <c r="B2319" s="683"/>
      <c r="C2319" s="684"/>
      <c r="D2319" s="684"/>
      <c r="E2319" s="684"/>
      <c r="F2319" s="683"/>
      <c r="G2319" s="683"/>
      <c r="H2319" s="683"/>
      <c r="I2319" s="683"/>
      <c r="J2319" s="683"/>
      <c r="K2319" s="683"/>
      <c r="L2319" s="685"/>
      <c r="M2319" s="685"/>
      <c r="N2319" s="687"/>
      <c r="O2319" s="683"/>
      <c r="P2319" s="683"/>
      <c r="Q2319" s="686"/>
      <c r="R2319" s="686"/>
      <c r="S2319" s="686"/>
      <c r="T2319" s="686"/>
      <c r="U2319" s="686"/>
      <c r="V2319" s="686"/>
      <c r="W2319" s="686"/>
      <c r="X2319" s="686"/>
      <c r="Y2319" s="686"/>
      <c r="Z2319" s="686"/>
      <c r="AA2319" s="686"/>
      <c r="AB2319" s="686"/>
      <c r="AC2319" s="686"/>
      <c r="AD2319" s="686"/>
      <c r="AE2319" s="686"/>
      <c r="AF2319" s="686"/>
    </row>
    <row r="2320" ht="15.75" customHeight="1">
      <c r="A2320" s="683"/>
      <c r="B2320" s="683"/>
      <c r="C2320" s="684"/>
      <c r="D2320" s="684"/>
      <c r="E2320" s="684"/>
      <c r="F2320" s="683"/>
      <c r="G2320" s="683"/>
      <c r="H2320" s="683"/>
      <c r="I2320" s="683"/>
      <c r="J2320" s="683"/>
      <c r="K2320" s="683"/>
      <c r="L2320" s="685"/>
      <c r="M2320" s="685"/>
      <c r="N2320" s="687"/>
      <c r="O2320" s="683"/>
      <c r="P2320" s="683"/>
      <c r="Q2320" s="686"/>
      <c r="R2320" s="686"/>
      <c r="S2320" s="686"/>
      <c r="T2320" s="686"/>
      <c r="U2320" s="686"/>
      <c r="V2320" s="686"/>
      <c r="W2320" s="686"/>
      <c r="X2320" s="686"/>
      <c r="Y2320" s="686"/>
      <c r="Z2320" s="686"/>
      <c r="AA2320" s="686"/>
      <c r="AB2320" s="686"/>
      <c r="AC2320" s="686"/>
      <c r="AD2320" s="686"/>
      <c r="AE2320" s="686"/>
      <c r="AF2320" s="686"/>
    </row>
    <row r="2321" ht="15.75" customHeight="1">
      <c r="A2321" s="683"/>
      <c r="B2321" s="683"/>
      <c r="C2321" s="684"/>
      <c r="D2321" s="684"/>
      <c r="E2321" s="684"/>
      <c r="F2321" s="683"/>
      <c r="G2321" s="683"/>
      <c r="H2321" s="683"/>
      <c r="I2321" s="683"/>
      <c r="J2321" s="683"/>
      <c r="K2321" s="683"/>
      <c r="L2321" s="685"/>
      <c r="M2321" s="685"/>
      <c r="N2321" s="687"/>
      <c r="O2321" s="683"/>
      <c r="P2321" s="683"/>
      <c r="Q2321" s="686"/>
      <c r="R2321" s="686"/>
      <c r="S2321" s="686"/>
      <c r="T2321" s="686"/>
      <c r="U2321" s="686"/>
      <c r="V2321" s="686"/>
      <c r="W2321" s="686"/>
      <c r="X2321" s="686"/>
      <c r="Y2321" s="686"/>
      <c r="Z2321" s="686"/>
      <c r="AA2321" s="686"/>
      <c r="AB2321" s="686"/>
      <c r="AC2321" s="686"/>
      <c r="AD2321" s="686"/>
      <c r="AE2321" s="686"/>
      <c r="AF2321" s="686"/>
    </row>
    <row r="2322" ht="15.75" customHeight="1">
      <c r="A2322" s="683"/>
      <c r="B2322" s="683"/>
      <c r="C2322" s="684"/>
      <c r="D2322" s="684"/>
      <c r="E2322" s="684"/>
      <c r="F2322" s="683"/>
      <c r="G2322" s="683"/>
      <c r="H2322" s="683"/>
      <c r="I2322" s="683"/>
      <c r="J2322" s="683"/>
      <c r="K2322" s="683"/>
      <c r="L2322" s="685"/>
      <c r="M2322" s="685"/>
      <c r="N2322" s="687"/>
      <c r="O2322" s="683"/>
      <c r="P2322" s="683"/>
      <c r="Q2322" s="686"/>
      <c r="R2322" s="686"/>
      <c r="S2322" s="686"/>
      <c r="T2322" s="686"/>
      <c r="U2322" s="686"/>
      <c r="V2322" s="686"/>
      <c r="W2322" s="686"/>
      <c r="X2322" s="686"/>
      <c r="Y2322" s="686"/>
      <c r="Z2322" s="686"/>
      <c r="AA2322" s="686"/>
      <c r="AB2322" s="686"/>
      <c r="AC2322" s="686"/>
      <c r="AD2322" s="686"/>
      <c r="AE2322" s="686"/>
      <c r="AF2322" s="686"/>
    </row>
    <row r="2323" ht="15.75" customHeight="1">
      <c r="A2323" s="683"/>
      <c r="B2323" s="683"/>
      <c r="C2323" s="684"/>
      <c r="D2323" s="684"/>
      <c r="E2323" s="684"/>
      <c r="F2323" s="683"/>
      <c r="G2323" s="683"/>
      <c r="H2323" s="683"/>
      <c r="I2323" s="683"/>
      <c r="J2323" s="683"/>
      <c r="K2323" s="683"/>
      <c r="L2323" s="685"/>
      <c r="M2323" s="685"/>
      <c r="N2323" s="687"/>
      <c r="O2323" s="683"/>
      <c r="P2323" s="683"/>
      <c r="Q2323" s="686"/>
      <c r="R2323" s="686"/>
      <c r="S2323" s="686"/>
      <c r="T2323" s="686"/>
      <c r="U2323" s="686"/>
      <c r="V2323" s="686"/>
      <c r="W2323" s="686"/>
      <c r="X2323" s="686"/>
      <c r="Y2323" s="686"/>
      <c r="Z2323" s="686"/>
      <c r="AA2323" s="686"/>
      <c r="AB2323" s="686"/>
      <c r="AC2323" s="686"/>
      <c r="AD2323" s="686"/>
      <c r="AE2323" s="686"/>
      <c r="AF2323" s="686"/>
    </row>
    <row r="2324" ht="15.75" customHeight="1">
      <c r="A2324" s="683"/>
      <c r="B2324" s="683"/>
      <c r="C2324" s="684"/>
      <c r="D2324" s="684"/>
      <c r="E2324" s="684"/>
      <c r="F2324" s="683"/>
      <c r="G2324" s="683"/>
      <c r="H2324" s="683"/>
      <c r="I2324" s="683"/>
      <c r="J2324" s="683"/>
      <c r="K2324" s="683"/>
      <c r="L2324" s="685"/>
      <c r="M2324" s="685"/>
      <c r="N2324" s="687"/>
      <c r="O2324" s="683"/>
      <c r="P2324" s="683"/>
      <c r="Q2324" s="686"/>
      <c r="R2324" s="686"/>
      <c r="S2324" s="686"/>
      <c r="T2324" s="686"/>
      <c r="U2324" s="686"/>
      <c r="V2324" s="686"/>
      <c r="W2324" s="686"/>
      <c r="X2324" s="686"/>
      <c r="Y2324" s="686"/>
      <c r="Z2324" s="686"/>
      <c r="AA2324" s="686"/>
      <c r="AB2324" s="686"/>
      <c r="AC2324" s="686"/>
      <c r="AD2324" s="686"/>
      <c r="AE2324" s="686"/>
      <c r="AF2324" s="686"/>
    </row>
    <row r="2325" ht="15.75" customHeight="1">
      <c r="A2325" s="683"/>
      <c r="B2325" s="683"/>
      <c r="C2325" s="684"/>
      <c r="D2325" s="684"/>
      <c r="E2325" s="684"/>
      <c r="F2325" s="683"/>
      <c r="G2325" s="683"/>
      <c r="H2325" s="683"/>
      <c r="I2325" s="683"/>
      <c r="J2325" s="683"/>
      <c r="K2325" s="683"/>
      <c r="L2325" s="685"/>
      <c r="M2325" s="685"/>
      <c r="N2325" s="687"/>
      <c r="O2325" s="683"/>
      <c r="P2325" s="683"/>
      <c r="Q2325" s="686"/>
      <c r="R2325" s="686"/>
      <c r="S2325" s="686"/>
      <c r="T2325" s="686"/>
      <c r="U2325" s="686"/>
      <c r="V2325" s="686"/>
      <c r="W2325" s="686"/>
      <c r="X2325" s="686"/>
      <c r="Y2325" s="686"/>
      <c r="Z2325" s="686"/>
      <c r="AA2325" s="686"/>
      <c r="AB2325" s="686"/>
      <c r="AC2325" s="686"/>
      <c r="AD2325" s="686"/>
      <c r="AE2325" s="686"/>
      <c r="AF2325" s="686"/>
    </row>
    <row r="2326" ht="15.75" customHeight="1">
      <c r="A2326" s="683"/>
      <c r="B2326" s="683"/>
      <c r="C2326" s="684"/>
      <c r="D2326" s="684"/>
      <c r="E2326" s="684"/>
      <c r="F2326" s="683"/>
      <c r="G2326" s="683"/>
      <c r="H2326" s="683"/>
      <c r="I2326" s="683"/>
      <c r="J2326" s="683"/>
      <c r="K2326" s="683"/>
      <c r="L2326" s="685"/>
      <c r="M2326" s="685"/>
      <c r="N2326" s="687"/>
      <c r="O2326" s="683"/>
      <c r="P2326" s="683"/>
      <c r="Q2326" s="686"/>
      <c r="R2326" s="686"/>
      <c r="S2326" s="686"/>
      <c r="T2326" s="686"/>
      <c r="U2326" s="686"/>
      <c r="V2326" s="686"/>
      <c r="W2326" s="686"/>
      <c r="X2326" s="686"/>
      <c r="Y2326" s="686"/>
      <c r="Z2326" s="686"/>
      <c r="AA2326" s="686"/>
      <c r="AB2326" s="686"/>
      <c r="AC2326" s="686"/>
      <c r="AD2326" s="686"/>
      <c r="AE2326" s="686"/>
      <c r="AF2326" s="686"/>
    </row>
    <row r="2327" ht="15.75" customHeight="1">
      <c r="A2327" s="683"/>
      <c r="B2327" s="683"/>
      <c r="C2327" s="684"/>
      <c r="D2327" s="684"/>
      <c r="E2327" s="684"/>
      <c r="F2327" s="683"/>
      <c r="G2327" s="683"/>
      <c r="H2327" s="683"/>
      <c r="I2327" s="683"/>
      <c r="J2327" s="683"/>
      <c r="K2327" s="683"/>
      <c r="L2327" s="685"/>
      <c r="M2327" s="685"/>
      <c r="N2327" s="687"/>
      <c r="O2327" s="683"/>
      <c r="P2327" s="683"/>
      <c r="Q2327" s="686"/>
      <c r="R2327" s="686"/>
      <c r="S2327" s="686"/>
      <c r="T2327" s="686"/>
      <c r="U2327" s="686"/>
      <c r="V2327" s="686"/>
      <c r="W2327" s="686"/>
      <c r="X2327" s="686"/>
      <c r="Y2327" s="686"/>
      <c r="Z2327" s="686"/>
      <c r="AA2327" s="686"/>
      <c r="AB2327" s="686"/>
      <c r="AC2327" s="686"/>
      <c r="AD2327" s="686"/>
      <c r="AE2327" s="686"/>
      <c r="AF2327" s="686"/>
    </row>
    <row r="2328" ht="15.75" customHeight="1">
      <c r="A2328" s="683"/>
      <c r="B2328" s="683"/>
      <c r="C2328" s="684"/>
      <c r="D2328" s="684"/>
      <c r="E2328" s="684"/>
      <c r="F2328" s="683"/>
      <c r="G2328" s="683"/>
      <c r="H2328" s="683"/>
      <c r="I2328" s="683"/>
      <c r="J2328" s="683"/>
      <c r="K2328" s="683"/>
      <c r="L2328" s="685"/>
      <c r="M2328" s="685"/>
      <c r="N2328" s="687"/>
      <c r="O2328" s="683"/>
      <c r="P2328" s="683"/>
      <c r="Q2328" s="686"/>
      <c r="R2328" s="686"/>
      <c r="S2328" s="686"/>
      <c r="T2328" s="686"/>
      <c r="U2328" s="686"/>
      <c r="V2328" s="686"/>
      <c r="W2328" s="686"/>
      <c r="X2328" s="686"/>
      <c r="Y2328" s="686"/>
      <c r="Z2328" s="686"/>
      <c r="AA2328" s="686"/>
      <c r="AB2328" s="686"/>
      <c r="AC2328" s="686"/>
      <c r="AD2328" s="686"/>
      <c r="AE2328" s="686"/>
      <c r="AF2328" s="686"/>
    </row>
    <row r="2329" ht="15.75" customHeight="1">
      <c r="A2329" s="683"/>
      <c r="B2329" s="683"/>
      <c r="C2329" s="684"/>
      <c r="D2329" s="684"/>
      <c r="E2329" s="684"/>
      <c r="F2329" s="683"/>
      <c r="G2329" s="683"/>
      <c r="H2329" s="683"/>
      <c r="I2329" s="683"/>
      <c r="J2329" s="683"/>
      <c r="K2329" s="683"/>
      <c r="L2329" s="685"/>
      <c r="M2329" s="685"/>
      <c r="N2329" s="687"/>
      <c r="O2329" s="683"/>
      <c r="P2329" s="683"/>
      <c r="Q2329" s="686"/>
      <c r="R2329" s="686"/>
      <c r="S2329" s="686"/>
      <c r="T2329" s="686"/>
      <c r="U2329" s="686"/>
      <c r="V2329" s="686"/>
      <c r="W2329" s="686"/>
      <c r="X2329" s="686"/>
      <c r="Y2329" s="686"/>
      <c r="Z2329" s="686"/>
      <c r="AA2329" s="686"/>
      <c r="AB2329" s="686"/>
      <c r="AC2329" s="686"/>
      <c r="AD2329" s="686"/>
      <c r="AE2329" s="686"/>
      <c r="AF2329" s="686"/>
    </row>
    <row r="2330" ht="15.75" customHeight="1">
      <c r="A2330" s="683"/>
      <c r="B2330" s="683"/>
      <c r="C2330" s="684"/>
      <c r="D2330" s="684"/>
      <c r="E2330" s="684"/>
      <c r="F2330" s="683"/>
      <c r="G2330" s="683"/>
      <c r="H2330" s="683"/>
      <c r="I2330" s="683"/>
      <c r="J2330" s="683"/>
      <c r="K2330" s="683"/>
      <c r="L2330" s="685"/>
      <c r="M2330" s="685"/>
      <c r="N2330" s="687"/>
      <c r="O2330" s="683"/>
      <c r="P2330" s="683"/>
      <c r="Q2330" s="686"/>
      <c r="R2330" s="686"/>
      <c r="S2330" s="686"/>
      <c r="T2330" s="686"/>
      <c r="U2330" s="686"/>
      <c r="V2330" s="686"/>
      <c r="W2330" s="686"/>
      <c r="X2330" s="686"/>
      <c r="Y2330" s="686"/>
      <c r="Z2330" s="686"/>
      <c r="AA2330" s="686"/>
      <c r="AB2330" s="686"/>
      <c r="AC2330" s="686"/>
      <c r="AD2330" s="686"/>
      <c r="AE2330" s="686"/>
      <c r="AF2330" s="686"/>
    </row>
    <row r="2331" ht="15.75" customHeight="1">
      <c r="A2331" s="683"/>
      <c r="B2331" s="683"/>
      <c r="C2331" s="684"/>
      <c r="D2331" s="684"/>
      <c r="E2331" s="684"/>
      <c r="F2331" s="683"/>
      <c r="G2331" s="683"/>
      <c r="H2331" s="683"/>
      <c r="I2331" s="683"/>
      <c r="J2331" s="683"/>
      <c r="K2331" s="683"/>
      <c r="L2331" s="685"/>
      <c r="M2331" s="685"/>
      <c r="N2331" s="687"/>
      <c r="O2331" s="683"/>
      <c r="P2331" s="683"/>
      <c r="Q2331" s="686"/>
      <c r="R2331" s="686"/>
      <c r="S2331" s="686"/>
      <c r="T2331" s="686"/>
      <c r="U2331" s="686"/>
      <c r="V2331" s="686"/>
      <c r="W2331" s="686"/>
      <c r="X2331" s="686"/>
      <c r="Y2331" s="686"/>
      <c r="Z2331" s="686"/>
      <c r="AA2331" s="686"/>
      <c r="AB2331" s="686"/>
      <c r="AC2331" s="686"/>
      <c r="AD2331" s="686"/>
      <c r="AE2331" s="686"/>
      <c r="AF2331" s="686"/>
    </row>
    <row r="2332" ht="15.75" customHeight="1">
      <c r="A2332" s="683"/>
      <c r="B2332" s="683"/>
      <c r="C2332" s="684"/>
      <c r="D2332" s="684"/>
      <c r="E2332" s="684"/>
      <c r="F2332" s="683"/>
      <c r="G2332" s="683"/>
      <c r="H2332" s="683"/>
      <c r="I2332" s="683"/>
      <c r="J2332" s="683"/>
      <c r="K2332" s="683"/>
      <c r="L2332" s="685"/>
      <c r="M2332" s="685"/>
      <c r="N2332" s="687"/>
      <c r="O2332" s="683"/>
      <c r="P2332" s="683"/>
      <c r="Q2332" s="686"/>
      <c r="R2332" s="686"/>
      <c r="S2332" s="686"/>
      <c r="T2332" s="686"/>
      <c r="U2332" s="686"/>
      <c r="V2332" s="686"/>
      <c r="W2332" s="686"/>
      <c r="X2332" s="686"/>
      <c r="Y2332" s="686"/>
      <c r="Z2332" s="686"/>
      <c r="AA2332" s="686"/>
      <c r="AB2332" s="686"/>
      <c r="AC2332" s="686"/>
      <c r="AD2332" s="686"/>
      <c r="AE2332" s="686"/>
      <c r="AF2332" s="686"/>
    </row>
    <row r="2333" ht="15.75" customHeight="1">
      <c r="A2333" s="683"/>
      <c r="B2333" s="683"/>
      <c r="C2333" s="684"/>
      <c r="D2333" s="684"/>
      <c r="E2333" s="684"/>
      <c r="F2333" s="683"/>
      <c r="G2333" s="683"/>
      <c r="H2333" s="683"/>
      <c r="I2333" s="683"/>
      <c r="J2333" s="683"/>
      <c r="K2333" s="683"/>
      <c r="L2333" s="685"/>
      <c r="M2333" s="685"/>
      <c r="N2333" s="687"/>
      <c r="O2333" s="683"/>
      <c r="P2333" s="683"/>
      <c r="Q2333" s="686"/>
      <c r="R2333" s="686"/>
      <c r="S2333" s="686"/>
      <c r="T2333" s="686"/>
      <c r="U2333" s="686"/>
      <c r="V2333" s="686"/>
      <c r="W2333" s="686"/>
      <c r="X2333" s="686"/>
      <c r="Y2333" s="686"/>
      <c r="Z2333" s="686"/>
      <c r="AA2333" s="686"/>
      <c r="AB2333" s="686"/>
      <c r="AC2333" s="686"/>
      <c r="AD2333" s="686"/>
      <c r="AE2333" s="686"/>
      <c r="AF2333" s="686"/>
    </row>
    <row r="2334" ht="15.75" customHeight="1">
      <c r="A2334" s="683"/>
      <c r="B2334" s="683"/>
      <c r="C2334" s="684"/>
      <c r="D2334" s="684"/>
      <c r="E2334" s="684"/>
      <c r="F2334" s="683"/>
      <c r="G2334" s="683"/>
      <c r="H2334" s="683"/>
      <c r="I2334" s="683"/>
      <c r="J2334" s="683"/>
      <c r="K2334" s="683"/>
      <c r="L2334" s="685"/>
      <c r="M2334" s="685"/>
      <c r="N2334" s="687"/>
      <c r="O2334" s="683"/>
      <c r="P2334" s="683"/>
      <c r="Q2334" s="686"/>
      <c r="R2334" s="686"/>
      <c r="S2334" s="686"/>
      <c r="T2334" s="686"/>
      <c r="U2334" s="686"/>
      <c r="V2334" s="686"/>
      <c r="W2334" s="686"/>
      <c r="X2334" s="686"/>
      <c r="Y2334" s="686"/>
      <c r="Z2334" s="686"/>
      <c r="AA2334" s="686"/>
      <c r="AB2334" s="686"/>
      <c r="AC2334" s="686"/>
      <c r="AD2334" s="686"/>
      <c r="AE2334" s="686"/>
      <c r="AF2334" s="686"/>
    </row>
    <row r="2335" ht="15.75" customHeight="1">
      <c r="A2335" s="683"/>
      <c r="B2335" s="683"/>
      <c r="C2335" s="684"/>
      <c r="D2335" s="684"/>
      <c r="E2335" s="684"/>
      <c r="F2335" s="683"/>
      <c r="G2335" s="683"/>
      <c r="H2335" s="683"/>
      <c r="I2335" s="683"/>
      <c r="J2335" s="683"/>
      <c r="K2335" s="683"/>
      <c r="L2335" s="685"/>
      <c r="M2335" s="685"/>
      <c r="N2335" s="687"/>
      <c r="O2335" s="683"/>
      <c r="P2335" s="683"/>
      <c r="Q2335" s="686"/>
      <c r="R2335" s="686"/>
      <c r="S2335" s="686"/>
      <c r="T2335" s="686"/>
      <c r="U2335" s="686"/>
      <c r="V2335" s="686"/>
      <c r="W2335" s="686"/>
      <c r="X2335" s="686"/>
      <c r="Y2335" s="686"/>
      <c r="Z2335" s="686"/>
      <c r="AA2335" s="686"/>
      <c r="AB2335" s="686"/>
      <c r="AC2335" s="686"/>
      <c r="AD2335" s="686"/>
      <c r="AE2335" s="686"/>
      <c r="AF2335" s="686"/>
    </row>
    <row r="2336" ht="15.75" customHeight="1">
      <c r="A2336" s="683"/>
      <c r="B2336" s="683"/>
      <c r="C2336" s="684"/>
      <c r="D2336" s="684"/>
      <c r="E2336" s="684"/>
      <c r="F2336" s="683"/>
      <c r="G2336" s="683"/>
      <c r="H2336" s="683"/>
      <c r="I2336" s="683"/>
      <c r="J2336" s="683"/>
      <c r="K2336" s="683"/>
      <c r="L2336" s="685"/>
      <c r="M2336" s="685"/>
      <c r="N2336" s="687"/>
      <c r="O2336" s="683"/>
      <c r="P2336" s="683"/>
      <c r="Q2336" s="686"/>
      <c r="R2336" s="686"/>
      <c r="S2336" s="686"/>
      <c r="T2336" s="686"/>
      <c r="U2336" s="686"/>
      <c r="V2336" s="686"/>
      <c r="W2336" s="686"/>
      <c r="X2336" s="686"/>
      <c r="Y2336" s="686"/>
      <c r="Z2336" s="686"/>
      <c r="AA2336" s="686"/>
      <c r="AB2336" s="686"/>
      <c r="AC2336" s="686"/>
      <c r="AD2336" s="686"/>
      <c r="AE2336" s="686"/>
      <c r="AF2336" s="686"/>
    </row>
    <row r="2337" ht="15.75" customHeight="1">
      <c r="A2337" s="683"/>
      <c r="B2337" s="683"/>
      <c r="C2337" s="684"/>
      <c r="D2337" s="684"/>
      <c r="E2337" s="684"/>
      <c r="F2337" s="683"/>
      <c r="G2337" s="683"/>
      <c r="H2337" s="683"/>
      <c r="I2337" s="683"/>
      <c r="J2337" s="683"/>
      <c r="K2337" s="683"/>
      <c r="L2337" s="685"/>
      <c r="M2337" s="685"/>
      <c r="N2337" s="687"/>
      <c r="O2337" s="683"/>
      <c r="P2337" s="683"/>
      <c r="Q2337" s="686"/>
      <c r="R2337" s="686"/>
      <c r="S2337" s="686"/>
      <c r="T2337" s="686"/>
      <c r="U2337" s="686"/>
      <c r="V2337" s="686"/>
      <c r="W2337" s="686"/>
      <c r="X2337" s="686"/>
      <c r="Y2337" s="686"/>
      <c r="Z2337" s="686"/>
      <c r="AA2337" s="686"/>
      <c r="AB2337" s="686"/>
      <c r="AC2337" s="686"/>
      <c r="AD2337" s="686"/>
      <c r="AE2337" s="686"/>
      <c r="AF2337" s="686"/>
    </row>
    <row r="2338" ht="15.75" customHeight="1">
      <c r="A2338" s="683"/>
      <c r="B2338" s="683"/>
      <c r="C2338" s="684"/>
      <c r="D2338" s="684"/>
      <c r="E2338" s="684"/>
      <c r="F2338" s="683"/>
      <c r="G2338" s="683"/>
      <c r="H2338" s="683"/>
      <c r="I2338" s="683"/>
      <c r="J2338" s="683"/>
      <c r="K2338" s="683"/>
      <c r="L2338" s="685"/>
      <c r="M2338" s="685"/>
      <c r="N2338" s="687"/>
      <c r="O2338" s="683"/>
      <c r="P2338" s="683"/>
      <c r="Q2338" s="686"/>
      <c r="R2338" s="686"/>
      <c r="S2338" s="686"/>
      <c r="T2338" s="686"/>
      <c r="U2338" s="686"/>
      <c r="V2338" s="686"/>
      <c r="W2338" s="686"/>
      <c r="X2338" s="686"/>
      <c r="Y2338" s="686"/>
      <c r="Z2338" s="686"/>
      <c r="AA2338" s="686"/>
      <c r="AB2338" s="686"/>
      <c r="AC2338" s="686"/>
      <c r="AD2338" s="686"/>
      <c r="AE2338" s="686"/>
      <c r="AF2338" s="686"/>
    </row>
    <row r="2339" ht="15.75" customHeight="1">
      <c r="A2339" s="683"/>
      <c r="B2339" s="683"/>
      <c r="C2339" s="684"/>
      <c r="D2339" s="684"/>
      <c r="E2339" s="684"/>
      <c r="F2339" s="683"/>
      <c r="G2339" s="683"/>
      <c r="H2339" s="683"/>
      <c r="I2339" s="683"/>
      <c r="J2339" s="683"/>
      <c r="K2339" s="683"/>
      <c r="L2339" s="685"/>
      <c r="M2339" s="685"/>
      <c r="N2339" s="687"/>
      <c r="O2339" s="683"/>
      <c r="P2339" s="683"/>
      <c r="Q2339" s="686"/>
      <c r="R2339" s="686"/>
      <c r="S2339" s="686"/>
      <c r="T2339" s="686"/>
      <c r="U2339" s="686"/>
      <c r="V2339" s="686"/>
      <c r="W2339" s="686"/>
      <c r="X2339" s="686"/>
      <c r="Y2339" s="686"/>
      <c r="Z2339" s="686"/>
      <c r="AA2339" s="686"/>
      <c r="AB2339" s="686"/>
      <c r="AC2339" s="686"/>
      <c r="AD2339" s="686"/>
      <c r="AE2339" s="686"/>
      <c r="AF2339" s="686"/>
    </row>
    <row r="2340" ht="15.75" customHeight="1">
      <c r="A2340" s="683"/>
      <c r="B2340" s="683"/>
      <c r="C2340" s="684"/>
      <c r="D2340" s="684"/>
      <c r="E2340" s="684"/>
      <c r="F2340" s="683"/>
      <c r="G2340" s="683"/>
      <c r="H2340" s="683"/>
      <c r="I2340" s="683"/>
      <c r="J2340" s="683"/>
      <c r="K2340" s="683"/>
      <c r="L2340" s="685"/>
      <c r="M2340" s="685"/>
      <c r="N2340" s="687"/>
      <c r="O2340" s="683"/>
      <c r="P2340" s="683"/>
      <c r="Q2340" s="686"/>
      <c r="R2340" s="686"/>
      <c r="S2340" s="686"/>
      <c r="T2340" s="686"/>
      <c r="U2340" s="686"/>
      <c r="V2340" s="686"/>
      <c r="W2340" s="686"/>
      <c r="X2340" s="686"/>
      <c r="Y2340" s="686"/>
      <c r="Z2340" s="686"/>
      <c r="AA2340" s="686"/>
      <c r="AB2340" s="686"/>
      <c r="AC2340" s="686"/>
      <c r="AD2340" s="686"/>
      <c r="AE2340" s="686"/>
      <c r="AF2340" s="686"/>
    </row>
    <row r="2341" ht="15.75" customHeight="1">
      <c r="A2341" s="683"/>
      <c r="B2341" s="683"/>
      <c r="C2341" s="684"/>
      <c r="D2341" s="684"/>
      <c r="E2341" s="684"/>
      <c r="F2341" s="683"/>
      <c r="G2341" s="683"/>
      <c r="H2341" s="683"/>
      <c r="I2341" s="683"/>
      <c r="J2341" s="683"/>
      <c r="K2341" s="683"/>
      <c r="L2341" s="685"/>
      <c r="M2341" s="685"/>
      <c r="N2341" s="687"/>
      <c r="O2341" s="683"/>
      <c r="P2341" s="683"/>
      <c r="Q2341" s="686"/>
      <c r="R2341" s="686"/>
      <c r="S2341" s="686"/>
      <c r="T2341" s="686"/>
      <c r="U2341" s="686"/>
      <c r="V2341" s="686"/>
      <c r="W2341" s="686"/>
      <c r="X2341" s="686"/>
      <c r="Y2341" s="686"/>
      <c r="Z2341" s="686"/>
      <c r="AA2341" s="686"/>
      <c r="AB2341" s="686"/>
      <c r="AC2341" s="686"/>
      <c r="AD2341" s="686"/>
      <c r="AE2341" s="686"/>
      <c r="AF2341" s="686"/>
    </row>
    <row r="2342" ht="15.75" customHeight="1">
      <c r="A2342" s="683"/>
      <c r="B2342" s="683"/>
      <c r="C2342" s="684"/>
      <c r="D2342" s="684"/>
      <c r="E2342" s="684"/>
      <c r="F2342" s="683"/>
      <c r="G2342" s="683"/>
      <c r="H2342" s="683"/>
      <c r="I2342" s="683"/>
      <c r="J2342" s="683"/>
      <c r="K2342" s="683"/>
      <c r="L2342" s="685"/>
      <c r="M2342" s="685"/>
      <c r="N2342" s="687"/>
      <c r="O2342" s="683"/>
      <c r="P2342" s="683"/>
      <c r="Q2342" s="686"/>
      <c r="R2342" s="686"/>
      <c r="S2342" s="686"/>
      <c r="T2342" s="686"/>
      <c r="U2342" s="686"/>
      <c r="V2342" s="686"/>
      <c r="W2342" s="686"/>
      <c r="X2342" s="686"/>
      <c r="Y2342" s="686"/>
      <c r="Z2342" s="686"/>
      <c r="AA2342" s="686"/>
      <c r="AB2342" s="686"/>
      <c r="AC2342" s="686"/>
      <c r="AD2342" s="686"/>
      <c r="AE2342" s="686"/>
      <c r="AF2342" s="686"/>
    </row>
    <row r="2343" ht="15.75" customHeight="1">
      <c r="A2343" s="683"/>
      <c r="B2343" s="683"/>
      <c r="C2343" s="684"/>
      <c r="D2343" s="684"/>
      <c r="E2343" s="684"/>
      <c r="F2343" s="683"/>
      <c r="G2343" s="683"/>
      <c r="H2343" s="683"/>
      <c r="I2343" s="683"/>
      <c r="J2343" s="683"/>
      <c r="K2343" s="683"/>
      <c r="L2343" s="685"/>
      <c r="M2343" s="685"/>
      <c r="N2343" s="687"/>
      <c r="O2343" s="683"/>
      <c r="P2343" s="683"/>
      <c r="Q2343" s="686"/>
      <c r="R2343" s="686"/>
      <c r="S2343" s="686"/>
      <c r="T2343" s="686"/>
      <c r="U2343" s="686"/>
      <c r="V2343" s="686"/>
      <c r="W2343" s="686"/>
      <c r="X2343" s="686"/>
      <c r="Y2343" s="686"/>
      <c r="Z2343" s="686"/>
      <c r="AA2343" s="686"/>
      <c r="AB2343" s="686"/>
      <c r="AC2343" s="686"/>
      <c r="AD2343" s="686"/>
      <c r="AE2343" s="686"/>
      <c r="AF2343" s="686"/>
    </row>
    <row r="2344" ht="15.75" customHeight="1">
      <c r="A2344" s="683"/>
      <c r="B2344" s="683"/>
      <c r="C2344" s="684"/>
      <c r="D2344" s="684"/>
      <c r="E2344" s="684"/>
      <c r="F2344" s="683"/>
      <c r="G2344" s="683"/>
      <c r="H2344" s="683"/>
      <c r="I2344" s="683"/>
      <c r="J2344" s="683"/>
      <c r="K2344" s="683"/>
      <c r="L2344" s="685"/>
      <c r="M2344" s="685"/>
      <c r="N2344" s="687"/>
      <c r="O2344" s="683"/>
      <c r="P2344" s="683"/>
      <c r="Q2344" s="686"/>
      <c r="R2344" s="686"/>
      <c r="S2344" s="686"/>
      <c r="T2344" s="686"/>
      <c r="U2344" s="686"/>
      <c r="V2344" s="686"/>
      <c r="W2344" s="686"/>
      <c r="X2344" s="686"/>
      <c r="Y2344" s="686"/>
      <c r="Z2344" s="686"/>
      <c r="AA2344" s="686"/>
      <c r="AB2344" s="686"/>
      <c r="AC2344" s="686"/>
      <c r="AD2344" s="686"/>
      <c r="AE2344" s="686"/>
      <c r="AF2344" s="686"/>
    </row>
    <row r="2345" ht="15.75" customHeight="1">
      <c r="A2345" s="683"/>
      <c r="B2345" s="683"/>
      <c r="C2345" s="684"/>
      <c r="D2345" s="684"/>
      <c r="E2345" s="684"/>
      <c r="F2345" s="683"/>
      <c r="G2345" s="683"/>
      <c r="H2345" s="683"/>
      <c r="I2345" s="683"/>
      <c r="J2345" s="683"/>
      <c r="K2345" s="683"/>
      <c r="L2345" s="685"/>
      <c r="M2345" s="685"/>
      <c r="N2345" s="687"/>
      <c r="O2345" s="683"/>
      <c r="P2345" s="683"/>
      <c r="Q2345" s="686"/>
      <c r="R2345" s="686"/>
      <c r="S2345" s="686"/>
      <c r="T2345" s="686"/>
      <c r="U2345" s="686"/>
      <c r="V2345" s="686"/>
      <c r="W2345" s="686"/>
      <c r="X2345" s="686"/>
      <c r="Y2345" s="686"/>
      <c r="Z2345" s="686"/>
      <c r="AA2345" s="686"/>
      <c r="AB2345" s="686"/>
      <c r="AC2345" s="686"/>
      <c r="AD2345" s="686"/>
      <c r="AE2345" s="686"/>
      <c r="AF2345" s="686"/>
    </row>
    <row r="2346" ht="15.75" customHeight="1">
      <c r="A2346" s="683"/>
      <c r="B2346" s="683"/>
      <c r="C2346" s="684"/>
      <c r="D2346" s="684"/>
      <c r="E2346" s="684"/>
      <c r="F2346" s="683"/>
      <c r="G2346" s="683"/>
      <c r="H2346" s="683"/>
      <c r="I2346" s="683"/>
      <c r="J2346" s="683"/>
      <c r="K2346" s="683"/>
      <c r="L2346" s="685"/>
      <c r="M2346" s="685"/>
      <c r="N2346" s="687"/>
      <c r="O2346" s="683"/>
      <c r="P2346" s="683"/>
      <c r="Q2346" s="686"/>
      <c r="R2346" s="686"/>
      <c r="S2346" s="686"/>
      <c r="T2346" s="686"/>
      <c r="U2346" s="686"/>
      <c r="V2346" s="686"/>
      <c r="W2346" s="686"/>
      <c r="X2346" s="686"/>
      <c r="Y2346" s="686"/>
      <c r="Z2346" s="686"/>
      <c r="AA2346" s="686"/>
      <c r="AB2346" s="686"/>
      <c r="AC2346" s="686"/>
      <c r="AD2346" s="686"/>
      <c r="AE2346" s="686"/>
      <c r="AF2346" s="686"/>
    </row>
    <row r="2347" ht="15.75" customHeight="1">
      <c r="A2347" s="683"/>
      <c r="B2347" s="683"/>
      <c r="C2347" s="684"/>
      <c r="D2347" s="684"/>
      <c r="E2347" s="684"/>
      <c r="F2347" s="683"/>
      <c r="G2347" s="683"/>
      <c r="H2347" s="683"/>
      <c r="I2347" s="683"/>
      <c r="J2347" s="683"/>
      <c r="K2347" s="683"/>
      <c r="L2347" s="685"/>
      <c r="M2347" s="685"/>
      <c r="N2347" s="687"/>
      <c r="O2347" s="683"/>
      <c r="P2347" s="683"/>
      <c r="Q2347" s="686"/>
      <c r="R2347" s="686"/>
      <c r="S2347" s="686"/>
      <c r="T2347" s="686"/>
      <c r="U2347" s="686"/>
      <c r="V2347" s="686"/>
      <c r="W2347" s="686"/>
      <c r="X2347" s="686"/>
      <c r="Y2347" s="686"/>
      <c r="Z2347" s="686"/>
      <c r="AA2347" s="686"/>
      <c r="AB2347" s="686"/>
      <c r="AC2347" s="686"/>
      <c r="AD2347" s="686"/>
      <c r="AE2347" s="686"/>
      <c r="AF2347" s="686"/>
    </row>
    <row r="2348" ht="15.75" customHeight="1">
      <c r="A2348" s="683"/>
      <c r="B2348" s="683"/>
      <c r="C2348" s="684"/>
      <c r="D2348" s="684"/>
      <c r="E2348" s="684"/>
      <c r="F2348" s="683"/>
      <c r="G2348" s="683"/>
      <c r="H2348" s="683"/>
      <c r="I2348" s="683"/>
      <c r="J2348" s="683"/>
      <c r="K2348" s="683"/>
      <c r="L2348" s="685"/>
      <c r="M2348" s="685"/>
      <c r="N2348" s="687"/>
      <c r="O2348" s="683"/>
      <c r="P2348" s="683"/>
      <c r="Q2348" s="686"/>
      <c r="R2348" s="686"/>
      <c r="S2348" s="686"/>
      <c r="T2348" s="686"/>
      <c r="U2348" s="686"/>
      <c r="V2348" s="686"/>
      <c r="W2348" s="686"/>
      <c r="X2348" s="686"/>
      <c r="Y2348" s="686"/>
      <c r="Z2348" s="686"/>
      <c r="AA2348" s="686"/>
      <c r="AB2348" s="686"/>
      <c r="AC2348" s="686"/>
      <c r="AD2348" s="686"/>
      <c r="AE2348" s="686"/>
      <c r="AF2348" s="686"/>
    </row>
    <row r="2349" ht="15.75" customHeight="1">
      <c r="A2349" s="683"/>
      <c r="B2349" s="683"/>
      <c r="C2349" s="684"/>
      <c r="D2349" s="684"/>
      <c r="E2349" s="684"/>
      <c r="F2349" s="683"/>
      <c r="G2349" s="683"/>
      <c r="H2349" s="683"/>
      <c r="I2349" s="683"/>
      <c r="J2349" s="683"/>
      <c r="K2349" s="683"/>
      <c r="L2349" s="685"/>
      <c r="M2349" s="685"/>
      <c r="N2349" s="687"/>
      <c r="O2349" s="683"/>
      <c r="P2349" s="683"/>
      <c r="Q2349" s="686"/>
      <c r="R2349" s="686"/>
      <c r="S2349" s="686"/>
      <c r="T2349" s="686"/>
      <c r="U2349" s="686"/>
      <c r="V2349" s="686"/>
      <c r="W2349" s="686"/>
      <c r="X2349" s="686"/>
      <c r="Y2349" s="686"/>
      <c r="Z2349" s="686"/>
      <c r="AA2349" s="686"/>
      <c r="AB2349" s="686"/>
      <c r="AC2349" s="686"/>
      <c r="AD2349" s="686"/>
      <c r="AE2349" s="686"/>
      <c r="AF2349" s="686"/>
    </row>
    <row r="2350" ht="15.75" customHeight="1">
      <c r="A2350" s="683"/>
      <c r="B2350" s="683"/>
      <c r="C2350" s="684"/>
      <c r="D2350" s="684"/>
      <c r="E2350" s="684"/>
      <c r="F2350" s="683"/>
      <c r="G2350" s="683"/>
      <c r="H2350" s="683"/>
      <c r="I2350" s="683"/>
      <c r="J2350" s="683"/>
      <c r="K2350" s="683"/>
      <c r="L2350" s="685"/>
      <c r="M2350" s="685"/>
      <c r="N2350" s="687"/>
      <c r="O2350" s="683"/>
      <c r="P2350" s="683"/>
      <c r="Q2350" s="686"/>
      <c r="R2350" s="686"/>
      <c r="S2350" s="686"/>
      <c r="T2350" s="686"/>
      <c r="U2350" s="686"/>
      <c r="V2350" s="686"/>
      <c r="W2350" s="686"/>
      <c r="X2350" s="686"/>
      <c r="Y2350" s="686"/>
      <c r="Z2350" s="686"/>
      <c r="AA2350" s="686"/>
      <c r="AB2350" s="686"/>
      <c r="AC2350" s="686"/>
      <c r="AD2350" s="686"/>
      <c r="AE2350" s="686"/>
      <c r="AF2350" s="686"/>
    </row>
    <row r="2351" ht="15.75" customHeight="1">
      <c r="A2351" s="683"/>
      <c r="B2351" s="683"/>
      <c r="C2351" s="684"/>
      <c r="D2351" s="684"/>
      <c r="E2351" s="684"/>
      <c r="F2351" s="683"/>
      <c r="G2351" s="683"/>
      <c r="H2351" s="683"/>
      <c r="I2351" s="683"/>
      <c r="J2351" s="683"/>
      <c r="K2351" s="683"/>
      <c r="L2351" s="685"/>
      <c r="M2351" s="685"/>
      <c r="N2351" s="687"/>
      <c r="O2351" s="683"/>
      <c r="P2351" s="683"/>
      <c r="Q2351" s="686"/>
      <c r="R2351" s="686"/>
      <c r="S2351" s="686"/>
      <c r="T2351" s="686"/>
      <c r="U2351" s="686"/>
      <c r="V2351" s="686"/>
      <c r="W2351" s="686"/>
      <c r="X2351" s="686"/>
      <c r="Y2351" s="686"/>
      <c r="Z2351" s="686"/>
      <c r="AA2351" s="686"/>
      <c r="AB2351" s="686"/>
      <c r="AC2351" s="686"/>
      <c r="AD2351" s="686"/>
      <c r="AE2351" s="686"/>
      <c r="AF2351" s="686"/>
    </row>
    <row r="2352" ht="15.75" customHeight="1">
      <c r="A2352" s="683"/>
      <c r="B2352" s="683"/>
      <c r="C2352" s="684"/>
      <c r="D2352" s="684"/>
      <c r="E2352" s="684"/>
      <c r="F2352" s="683"/>
      <c r="G2352" s="683"/>
      <c r="H2352" s="683"/>
      <c r="I2352" s="683"/>
      <c r="J2352" s="683"/>
      <c r="K2352" s="683"/>
      <c r="L2352" s="685"/>
      <c r="M2352" s="685"/>
      <c r="N2352" s="687"/>
      <c r="O2352" s="683"/>
      <c r="P2352" s="683"/>
      <c r="Q2352" s="686"/>
      <c r="R2352" s="686"/>
      <c r="S2352" s="686"/>
      <c r="T2352" s="686"/>
      <c r="U2352" s="686"/>
      <c r="V2352" s="686"/>
      <c r="W2352" s="686"/>
      <c r="X2352" s="686"/>
      <c r="Y2352" s="686"/>
      <c r="Z2352" s="686"/>
      <c r="AA2352" s="686"/>
      <c r="AB2352" s="686"/>
      <c r="AC2352" s="686"/>
      <c r="AD2352" s="686"/>
      <c r="AE2352" s="686"/>
      <c r="AF2352" s="686"/>
    </row>
    <row r="2353" ht="15.75" customHeight="1">
      <c r="A2353" s="683"/>
      <c r="B2353" s="683"/>
      <c r="C2353" s="684"/>
      <c r="D2353" s="684"/>
      <c r="E2353" s="684"/>
      <c r="F2353" s="683"/>
      <c r="G2353" s="683"/>
      <c r="H2353" s="683"/>
      <c r="I2353" s="683"/>
      <c r="J2353" s="683"/>
      <c r="K2353" s="683"/>
      <c r="L2353" s="685"/>
      <c r="M2353" s="685"/>
      <c r="N2353" s="687"/>
      <c r="O2353" s="683"/>
      <c r="P2353" s="683"/>
      <c r="Q2353" s="686"/>
      <c r="R2353" s="686"/>
      <c r="S2353" s="686"/>
      <c r="T2353" s="686"/>
      <c r="U2353" s="686"/>
      <c r="V2353" s="686"/>
      <c r="W2353" s="686"/>
      <c r="X2353" s="686"/>
      <c r="Y2353" s="686"/>
      <c r="Z2353" s="686"/>
      <c r="AA2353" s="686"/>
      <c r="AB2353" s="686"/>
      <c r="AC2353" s="686"/>
      <c r="AD2353" s="686"/>
      <c r="AE2353" s="686"/>
      <c r="AF2353" s="686"/>
    </row>
    <row r="2354" ht="15.75" customHeight="1">
      <c r="A2354" s="683"/>
      <c r="B2354" s="683"/>
      <c r="C2354" s="684"/>
      <c r="D2354" s="684"/>
      <c r="E2354" s="684"/>
      <c r="F2354" s="683"/>
      <c r="G2354" s="683"/>
      <c r="H2354" s="683"/>
      <c r="I2354" s="683"/>
      <c r="J2354" s="683"/>
      <c r="K2354" s="683"/>
      <c r="L2354" s="685"/>
      <c r="M2354" s="685"/>
      <c r="N2354" s="687"/>
      <c r="O2354" s="683"/>
      <c r="P2354" s="683"/>
      <c r="Q2354" s="686"/>
      <c r="R2354" s="686"/>
      <c r="S2354" s="686"/>
      <c r="T2354" s="686"/>
      <c r="U2354" s="686"/>
      <c r="V2354" s="686"/>
      <c r="W2354" s="686"/>
      <c r="X2354" s="686"/>
      <c r="Y2354" s="686"/>
      <c r="Z2354" s="686"/>
      <c r="AA2354" s="686"/>
      <c r="AB2354" s="686"/>
      <c r="AC2354" s="686"/>
      <c r="AD2354" s="686"/>
      <c r="AE2354" s="686"/>
      <c r="AF2354" s="686"/>
    </row>
    <row r="2355" ht="15.75" customHeight="1">
      <c r="A2355" s="683"/>
      <c r="B2355" s="683"/>
      <c r="C2355" s="684"/>
      <c r="D2355" s="684"/>
      <c r="E2355" s="684"/>
      <c r="F2355" s="683"/>
      <c r="G2355" s="683"/>
      <c r="H2355" s="683"/>
      <c r="I2355" s="683"/>
      <c r="J2355" s="683"/>
      <c r="K2355" s="683"/>
      <c r="L2355" s="685"/>
      <c r="M2355" s="685"/>
      <c r="N2355" s="687"/>
      <c r="O2355" s="683"/>
      <c r="P2355" s="683"/>
      <c r="Q2355" s="686"/>
      <c r="R2355" s="686"/>
      <c r="S2355" s="686"/>
      <c r="T2355" s="686"/>
      <c r="U2355" s="686"/>
      <c r="V2355" s="686"/>
      <c r="W2355" s="686"/>
      <c r="X2355" s="686"/>
      <c r="Y2355" s="686"/>
      <c r="Z2355" s="686"/>
      <c r="AA2355" s="686"/>
      <c r="AB2355" s="686"/>
      <c r="AC2355" s="686"/>
      <c r="AD2355" s="686"/>
      <c r="AE2355" s="686"/>
      <c r="AF2355" s="686"/>
    </row>
    <row r="2356" ht="15.75" customHeight="1">
      <c r="A2356" s="683"/>
      <c r="B2356" s="683"/>
      <c r="C2356" s="684"/>
      <c r="D2356" s="684"/>
      <c r="E2356" s="684"/>
      <c r="F2356" s="683"/>
      <c r="G2356" s="683"/>
      <c r="H2356" s="683"/>
      <c r="I2356" s="683"/>
      <c r="J2356" s="683"/>
      <c r="K2356" s="683"/>
      <c r="L2356" s="685"/>
      <c r="M2356" s="685"/>
      <c r="N2356" s="687"/>
      <c r="O2356" s="683"/>
      <c r="P2356" s="683"/>
      <c r="Q2356" s="686"/>
      <c r="R2356" s="686"/>
      <c r="S2356" s="686"/>
      <c r="T2356" s="686"/>
      <c r="U2356" s="686"/>
      <c r="V2356" s="686"/>
      <c r="W2356" s="686"/>
      <c r="X2356" s="686"/>
      <c r="Y2356" s="686"/>
      <c r="Z2356" s="686"/>
      <c r="AA2356" s="686"/>
      <c r="AB2356" s="686"/>
      <c r="AC2356" s="686"/>
      <c r="AD2356" s="686"/>
      <c r="AE2356" s="686"/>
      <c r="AF2356" s="686"/>
    </row>
    <row r="2357" ht="15.75" customHeight="1">
      <c r="A2357" s="683"/>
      <c r="B2357" s="683"/>
      <c r="C2357" s="684"/>
      <c r="D2357" s="684"/>
      <c r="E2357" s="684"/>
      <c r="F2357" s="683"/>
      <c r="G2357" s="683"/>
      <c r="H2357" s="683"/>
      <c r="I2357" s="683"/>
      <c r="J2357" s="683"/>
      <c r="K2357" s="683"/>
      <c r="L2357" s="685"/>
      <c r="M2357" s="685"/>
      <c r="N2357" s="687"/>
      <c r="O2357" s="683"/>
      <c r="P2357" s="683"/>
      <c r="Q2357" s="686"/>
      <c r="R2357" s="686"/>
      <c r="S2357" s="686"/>
      <c r="T2357" s="686"/>
      <c r="U2357" s="686"/>
      <c r="V2357" s="686"/>
      <c r="W2357" s="686"/>
      <c r="X2357" s="686"/>
      <c r="Y2357" s="686"/>
      <c r="Z2357" s="686"/>
      <c r="AA2357" s="686"/>
      <c r="AB2357" s="686"/>
      <c r="AC2357" s="686"/>
      <c r="AD2357" s="686"/>
      <c r="AE2357" s="686"/>
      <c r="AF2357" s="686"/>
    </row>
    <row r="2358" ht="15.75" customHeight="1">
      <c r="A2358" s="683"/>
      <c r="B2358" s="683"/>
      <c r="C2358" s="684"/>
      <c r="D2358" s="684"/>
      <c r="E2358" s="684"/>
      <c r="F2358" s="683"/>
      <c r="G2358" s="683"/>
      <c r="H2358" s="683"/>
      <c r="I2358" s="683"/>
      <c r="J2358" s="683"/>
      <c r="K2358" s="683"/>
      <c r="L2358" s="685"/>
      <c r="M2358" s="685"/>
      <c r="N2358" s="687"/>
      <c r="O2358" s="683"/>
      <c r="P2358" s="683"/>
      <c r="Q2358" s="686"/>
      <c r="R2358" s="686"/>
      <c r="S2358" s="686"/>
      <c r="T2358" s="686"/>
      <c r="U2358" s="686"/>
      <c r="V2358" s="686"/>
      <c r="W2358" s="686"/>
      <c r="X2358" s="686"/>
      <c r="Y2358" s="686"/>
      <c r="Z2358" s="686"/>
      <c r="AA2358" s="686"/>
      <c r="AB2358" s="686"/>
      <c r="AC2358" s="686"/>
      <c r="AD2358" s="686"/>
      <c r="AE2358" s="686"/>
      <c r="AF2358" s="686"/>
    </row>
    <row r="2359" ht="15.75" customHeight="1">
      <c r="A2359" s="683"/>
      <c r="B2359" s="683"/>
      <c r="C2359" s="684"/>
      <c r="D2359" s="684"/>
      <c r="E2359" s="684"/>
      <c r="F2359" s="683"/>
      <c r="G2359" s="683"/>
      <c r="H2359" s="683"/>
      <c r="I2359" s="683"/>
      <c r="J2359" s="683"/>
      <c r="K2359" s="683"/>
      <c r="L2359" s="685"/>
      <c r="M2359" s="685"/>
      <c r="N2359" s="687"/>
      <c r="O2359" s="683"/>
      <c r="P2359" s="683"/>
      <c r="Q2359" s="686"/>
      <c r="R2359" s="686"/>
      <c r="S2359" s="686"/>
      <c r="T2359" s="686"/>
      <c r="U2359" s="686"/>
      <c r="V2359" s="686"/>
      <c r="W2359" s="686"/>
      <c r="X2359" s="686"/>
      <c r="Y2359" s="686"/>
      <c r="Z2359" s="686"/>
      <c r="AA2359" s="686"/>
      <c r="AB2359" s="686"/>
      <c r="AC2359" s="686"/>
      <c r="AD2359" s="686"/>
      <c r="AE2359" s="686"/>
      <c r="AF2359" s="686"/>
    </row>
    <row r="2360" ht="15.75" customHeight="1">
      <c r="A2360" s="683"/>
      <c r="B2360" s="683"/>
      <c r="C2360" s="684"/>
      <c r="D2360" s="684"/>
      <c r="E2360" s="684"/>
      <c r="F2360" s="683"/>
      <c r="G2360" s="683"/>
      <c r="H2360" s="683"/>
      <c r="I2360" s="683"/>
      <c r="J2360" s="683"/>
      <c r="K2360" s="683"/>
      <c r="L2360" s="685"/>
      <c r="M2360" s="685"/>
      <c r="N2360" s="687"/>
      <c r="O2360" s="683"/>
      <c r="P2360" s="683"/>
      <c r="Q2360" s="686"/>
      <c r="R2360" s="686"/>
      <c r="S2360" s="686"/>
      <c r="T2360" s="686"/>
      <c r="U2360" s="686"/>
      <c r="V2360" s="686"/>
      <c r="W2360" s="686"/>
      <c r="X2360" s="686"/>
      <c r="Y2360" s="686"/>
      <c r="Z2360" s="686"/>
      <c r="AA2360" s="686"/>
      <c r="AB2360" s="686"/>
      <c r="AC2360" s="686"/>
      <c r="AD2360" s="686"/>
      <c r="AE2360" s="686"/>
      <c r="AF2360" s="686"/>
    </row>
    <row r="2361" ht="15.75" customHeight="1">
      <c r="A2361" s="683"/>
      <c r="B2361" s="683"/>
      <c r="C2361" s="684"/>
      <c r="D2361" s="684"/>
      <c r="E2361" s="684"/>
      <c r="F2361" s="683"/>
      <c r="G2361" s="683"/>
      <c r="H2361" s="683"/>
      <c r="I2361" s="683"/>
      <c r="J2361" s="683"/>
      <c r="K2361" s="683"/>
      <c r="L2361" s="685"/>
      <c r="M2361" s="685"/>
      <c r="N2361" s="687"/>
      <c r="O2361" s="683"/>
      <c r="P2361" s="683"/>
      <c r="Q2361" s="686"/>
      <c r="R2361" s="686"/>
      <c r="S2361" s="686"/>
      <c r="T2361" s="686"/>
      <c r="U2361" s="686"/>
      <c r="V2361" s="686"/>
      <c r="W2361" s="686"/>
      <c r="X2361" s="686"/>
      <c r="Y2361" s="686"/>
      <c r="Z2361" s="686"/>
      <c r="AA2361" s="686"/>
      <c r="AB2361" s="686"/>
      <c r="AC2361" s="686"/>
      <c r="AD2361" s="686"/>
      <c r="AE2361" s="686"/>
      <c r="AF2361" s="686"/>
    </row>
    <row r="2362" ht="15.75" customHeight="1">
      <c r="A2362" s="683"/>
      <c r="B2362" s="683"/>
      <c r="C2362" s="684"/>
      <c r="D2362" s="684"/>
      <c r="E2362" s="684"/>
      <c r="F2362" s="683"/>
      <c r="G2362" s="683"/>
      <c r="H2362" s="683"/>
      <c r="I2362" s="683"/>
      <c r="J2362" s="683"/>
      <c r="K2362" s="683"/>
      <c r="L2362" s="685"/>
      <c r="M2362" s="685"/>
      <c r="N2362" s="687"/>
      <c r="O2362" s="683"/>
      <c r="P2362" s="683"/>
      <c r="Q2362" s="686"/>
      <c r="R2362" s="686"/>
      <c r="S2362" s="686"/>
      <c r="T2362" s="686"/>
      <c r="U2362" s="686"/>
      <c r="V2362" s="686"/>
      <c r="W2362" s="686"/>
      <c r="X2362" s="686"/>
      <c r="Y2362" s="686"/>
      <c r="Z2362" s="686"/>
      <c r="AA2362" s="686"/>
      <c r="AB2362" s="686"/>
      <c r="AC2362" s="686"/>
      <c r="AD2362" s="686"/>
      <c r="AE2362" s="686"/>
      <c r="AF2362" s="686"/>
    </row>
    <row r="2363" ht="15.75" customHeight="1">
      <c r="A2363" s="683"/>
      <c r="B2363" s="683"/>
      <c r="C2363" s="684"/>
      <c r="D2363" s="684"/>
      <c r="E2363" s="684"/>
      <c r="F2363" s="683"/>
      <c r="G2363" s="683"/>
      <c r="H2363" s="683"/>
      <c r="I2363" s="683"/>
      <c r="J2363" s="683"/>
      <c r="K2363" s="683"/>
      <c r="L2363" s="685"/>
      <c r="M2363" s="685"/>
      <c r="N2363" s="687"/>
      <c r="O2363" s="683"/>
      <c r="P2363" s="683"/>
      <c r="Q2363" s="686"/>
      <c r="R2363" s="686"/>
      <c r="S2363" s="686"/>
      <c r="T2363" s="686"/>
      <c r="U2363" s="686"/>
      <c r="V2363" s="686"/>
      <c r="W2363" s="686"/>
      <c r="X2363" s="686"/>
      <c r="Y2363" s="686"/>
      <c r="Z2363" s="686"/>
      <c r="AA2363" s="686"/>
      <c r="AB2363" s="686"/>
      <c r="AC2363" s="686"/>
      <c r="AD2363" s="686"/>
      <c r="AE2363" s="686"/>
      <c r="AF2363" s="686"/>
    </row>
    <row r="2364" ht="15.75" customHeight="1">
      <c r="A2364" s="683"/>
      <c r="B2364" s="683"/>
      <c r="C2364" s="684"/>
      <c r="D2364" s="684"/>
      <c r="E2364" s="684"/>
      <c r="F2364" s="683"/>
      <c r="G2364" s="683"/>
      <c r="H2364" s="683"/>
      <c r="I2364" s="683"/>
      <c r="J2364" s="683"/>
      <c r="K2364" s="683"/>
      <c r="L2364" s="685"/>
      <c r="M2364" s="685"/>
      <c r="N2364" s="687"/>
      <c r="O2364" s="683"/>
      <c r="P2364" s="683"/>
      <c r="Q2364" s="686"/>
      <c r="R2364" s="686"/>
      <c r="S2364" s="686"/>
      <c r="T2364" s="686"/>
      <c r="U2364" s="686"/>
      <c r="V2364" s="686"/>
      <c r="W2364" s="686"/>
      <c r="X2364" s="686"/>
      <c r="Y2364" s="686"/>
      <c r="Z2364" s="686"/>
      <c r="AA2364" s="686"/>
      <c r="AB2364" s="686"/>
      <c r="AC2364" s="686"/>
      <c r="AD2364" s="686"/>
      <c r="AE2364" s="686"/>
      <c r="AF2364" s="686"/>
    </row>
    <row r="2365" ht="15.75" customHeight="1">
      <c r="A2365" s="683"/>
      <c r="B2365" s="683"/>
      <c r="C2365" s="684"/>
      <c r="D2365" s="684"/>
      <c r="E2365" s="684"/>
      <c r="F2365" s="683"/>
      <c r="G2365" s="683"/>
      <c r="H2365" s="683"/>
      <c r="I2365" s="683"/>
      <c r="J2365" s="683"/>
      <c r="K2365" s="683"/>
      <c r="L2365" s="685"/>
      <c r="M2365" s="685"/>
      <c r="N2365" s="687"/>
      <c r="O2365" s="683"/>
      <c r="P2365" s="683"/>
      <c r="Q2365" s="686"/>
      <c r="R2365" s="686"/>
      <c r="S2365" s="686"/>
      <c r="T2365" s="686"/>
      <c r="U2365" s="686"/>
      <c r="V2365" s="686"/>
      <c r="W2365" s="686"/>
      <c r="X2365" s="686"/>
      <c r="Y2365" s="686"/>
      <c r="Z2365" s="686"/>
      <c r="AA2365" s="686"/>
      <c r="AB2365" s="686"/>
      <c r="AC2365" s="686"/>
      <c r="AD2365" s="686"/>
      <c r="AE2365" s="686"/>
      <c r="AF2365" s="686"/>
    </row>
    <row r="2366" ht="15.75" customHeight="1">
      <c r="A2366" s="683"/>
      <c r="B2366" s="683"/>
      <c r="C2366" s="684"/>
      <c r="D2366" s="684"/>
      <c r="E2366" s="684"/>
      <c r="F2366" s="683"/>
      <c r="G2366" s="683"/>
      <c r="H2366" s="683"/>
      <c r="I2366" s="683"/>
      <c r="J2366" s="683"/>
      <c r="K2366" s="683"/>
      <c r="L2366" s="685"/>
      <c r="M2366" s="685"/>
      <c r="N2366" s="687"/>
      <c r="O2366" s="683"/>
      <c r="P2366" s="683"/>
      <c r="Q2366" s="686"/>
      <c r="R2366" s="686"/>
      <c r="S2366" s="686"/>
      <c r="T2366" s="686"/>
      <c r="U2366" s="686"/>
      <c r="V2366" s="686"/>
      <c r="W2366" s="686"/>
      <c r="X2366" s="686"/>
      <c r="Y2366" s="686"/>
      <c r="Z2366" s="686"/>
      <c r="AA2366" s="686"/>
      <c r="AB2366" s="686"/>
      <c r="AC2366" s="686"/>
      <c r="AD2366" s="686"/>
      <c r="AE2366" s="686"/>
      <c r="AF2366" s="686"/>
    </row>
    <row r="2367" ht="15.75" customHeight="1">
      <c r="A2367" s="683"/>
      <c r="B2367" s="683"/>
      <c r="C2367" s="684"/>
      <c r="D2367" s="684"/>
      <c r="E2367" s="684"/>
      <c r="F2367" s="683"/>
      <c r="G2367" s="683"/>
      <c r="H2367" s="683"/>
      <c r="I2367" s="683"/>
      <c r="J2367" s="683"/>
      <c r="K2367" s="683"/>
      <c r="L2367" s="685"/>
      <c r="M2367" s="685"/>
      <c r="N2367" s="687"/>
      <c r="O2367" s="683"/>
      <c r="P2367" s="683"/>
      <c r="Q2367" s="686"/>
      <c r="R2367" s="686"/>
      <c r="S2367" s="686"/>
      <c r="T2367" s="686"/>
      <c r="U2367" s="686"/>
      <c r="V2367" s="686"/>
      <c r="W2367" s="686"/>
      <c r="X2367" s="686"/>
      <c r="Y2367" s="686"/>
      <c r="Z2367" s="686"/>
      <c r="AA2367" s="686"/>
      <c r="AB2367" s="686"/>
      <c r="AC2367" s="686"/>
      <c r="AD2367" s="686"/>
      <c r="AE2367" s="686"/>
      <c r="AF2367" s="686"/>
    </row>
    <row r="2368" ht="15.75" customHeight="1">
      <c r="A2368" s="683"/>
      <c r="B2368" s="683"/>
      <c r="C2368" s="684"/>
      <c r="D2368" s="684"/>
      <c r="E2368" s="684"/>
      <c r="F2368" s="683"/>
      <c r="G2368" s="683"/>
      <c r="H2368" s="683"/>
      <c r="I2368" s="683"/>
      <c r="J2368" s="683"/>
      <c r="K2368" s="683"/>
      <c r="L2368" s="685"/>
      <c r="M2368" s="685"/>
      <c r="N2368" s="687"/>
      <c r="O2368" s="683"/>
      <c r="P2368" s="683"/>
      <c r="Q2368" s="686"/>
      <c r="R2368" s="686"/>
      <c r="S2368" s="686"/>
      <c r="T2368" s="686"/>
      <c r="U2368" s="686"/>
      <c r="V2368" s="686"/>
      <c r="W2368" s="686"/>
      <c r="X2368" s="686"/>
      <c r="Y2368" s="686"/>
      <c r="Z2368" s="686"/>
      <c r="AA2368" s="686"/>
      <c r="AB2368" s="686"/>
      <c r="AC2368" s="686"/>
      <c r="AD2368" s="686"/>
      <c r="AE2368" s="686"/>
      <c r="AF2368" s="686"/>
    </row>
    <row r="2369" ht="15.75" customHeight="1">
      <c r="A2369" s="683"/>
      <c r="B2369" s="683"/>
      <c r="C2369" s="684"/>
      <c r="D2369" s="684"/>
      <c r="E2369" s="684"/>
      <c r="F2369" s="683"/>
      <c r="G2369" s="683"/>
      <c r="H2369" s="683"/>
      <c r="I2369" s="683"/>
      <c r="J2369" s="683"/>
      <c r="K2369" s="683"/>
      <c r="L2369" s="685"/>
      <c r="M2369" s="685"/>
      <c r="N2369" s="687"/>
      <c r="O2369" s="683"/>
      <c r="P2369" s="683"/>
      <c r="Q2369" s="686"/>
      <c r="R2369" s="686"/>
      <c r="S2369" s="686"/>
      <c r="T2369" s="686"/>
      <c r="U2369" s="686"/>
      <c r="V2369" s="686"/>
      <c r="W2369" s="686"/>
      <c r="X2369" s="686"/>
      <c r="Y2369" s="686"/>
      <c r="Z2369" s="686"/>
      <c r="AA2369" s="686"/>
      <c r="AB2369" s="686"/>
      <c r="AC2369" s="686"/>
      <c r="AD2369" s="686"/>
      <c r="AE2369" s="686"/>
      <c r="AF2369" s="686"/>
    </row>
    <row r="2370" ht="15.75" customHeight="1">
      <c r="A2370" s="683"/>
      <c r="B2370" s="683"/>
      <c r="C2370" s="684"/>
      <c r="D2370" s="684"/>
      <c r="E2370" s="684"/>
      <c r="F2370" s="683"/>
      <c r="G2370" s="683"/>
      <c r="H2370" s="683"/>
      <c r="I2370" s="683"/>
      <c r="J2370" s="683"/>
      <c r="K2370" s="683"/>
      <c r="L2370" s="685"/>
      <c r="M2370" s="685"/>
      <c r="N2370" s="687"/>
      <c r="O2370" s="683"/>
      <c r="P2370" s="683"/>
      <c r="Q2370" s="686"/>
      <c r="R2370" s="686"/>
      <c r="S2370" s="686"/>
      <c r="T2370" s="686"/>
      <c r="U2370" s="686"/>
      <c r="V2370" s="686"/>
      <c r="W2370" s="686"/>
      <c r="X2370" s="686"/>
      <c r="Y2370" s="686"/>
      <c r="Z2370" s="686"/>
      <c r="AA2370" s="686"/>
      <c r="AB2370" s="686"/>
      <c r="AC2370" s="686"/>
      <c r="AD2370" s="686"/>
      <c r="AE2370" s="686"/>
      <c r="AF2370" s="686"/>
    </row>
    <row r="2371" ht="15.75" customHeight="1">
      <c r="A2371" s="683"/>
      <c r="B2371" s="683"/>
      <c r="C2371" s="684"/>
      <c r="D2371" s="684"/>
      <c r="E2371" s="684"/>
      <c r="F2371" s="683"/>
      <c r="G2371" s="683"/>
      <c r="H2371" s="683"/>
      <c r="I2371" s="683"/>
      <c r="J2371" s="683"/>
      <c r="K2371" s="683"/>
      <c r="L2371" s="685"/>
      <c r="M2371" s="685"/>
      <c r="N2371" s="687"/>
      <c r="O2371" s="683"/>
      <c r="P2371" s="685"/>
      <c r="Q2371" s="686"/>
      <c r="R2371" s="686"/>
      <c r="S2371" s="686"/>
      <c r="T2371" s="686"/>
      <c r="U2371" s="686"/>
      <c r="V2371" s="686"/>
      <c r="W2371" s="686"/>
      <c r="X2371" s="686"/>
      <c r="Y2371" s="686"/>
      <c r="Z2371" s="686"/>
      <c r="AA2371" s="686"/>
      <c r="AB2371" s="686"/>
      <c r="AC2371" s="686"/>
      <c r="AD2371" s="686"/>
      <c r="AE2371" s="686"/>
      <c r="AF2371" s="686"/>
    </row>
    <row r="2372" ht="15.75" customHeight="1">
      <c r="A2372" s="683"/>
      <c r="B2372" s="683"/>
      <c r="C2372" s="684"/>
      <c r="D2372" s="684"/>
      <c r="E2372" s="684"/>
      <c r="F2372" s="683"/>
      <c r="G2372" s="683"/>
      <c r="H2372" s="683"/>
      <c r="I2372" s="683"/>
      <c r="J2372" s="683"/>
      <c r="K2372" s="683"/>
      <c r="L2372" s="685"/>
      <c r="M2372" s="685"/>
      <c r="N2372" s="687"/>
      <c r="O2372" s="683"/>
      <c r="P2372" s="683"/>
      <c r="Q2372" s="686"/>
      <c r="R2372" s="686"/>
      <c r="S2372" s="686"/>
      <c r="T2372" s="686"/>
      <c r="U2372" s="686"/>
      <c r="V2372" s="686"/>
      <c r="W2372" s="686"/>
      <c r="X2372" s="686"/>
      <c r="Y2372" s="686"/>
      <c r="Z2372" s="686"/>
      <c r="AA2372" s="686"/>
      <c r="AB2372" s="686"/>
      <c r="AC2372" s="686"/>
      <c r="AD2372" s="686"/>
      <c r="AE2372" s="686"/>
      <c r="AF2372" s="686"/>
    </row>
    <row r="2373" ht="15.75" customHeight="1">
      <c r="A2373" s="683"/>
      <c r="B2373" s="683"/>
      <c r="C2373" s="684"/>
      <c r="D2373" s="684"/>
      <c r="E2373" s="684"/>
      <c r="F2373" s="683"/>
      <c r="G2373" s="683"/>
      <c r="H2373" s="683"/>
      <c r="I2373" s="683"/>
      <c r="J2373" s="683"/>
      <c r="K2373" s="683"/>
      <c r="L2373" s="685"/>
      <c r="M2373" s="685"/>
      <c r="N2373" s="687"/>
      <c r="O2373" s="683"/>
      <c r="P2373" s="683"/>
      <c r="Q2373" s="686"/>
      <c r="R2373" s="686"/>
      <c r="S2373" s="686"/>
      <c r="T2373" s="686"/>
      <c r="U2373" s="686"/>
      <c r="V2373" s="686"/>
      <c r="W2373" s="686"/>
      <c r="X2373" s="686"/>
      <c r="Y2373" s="686"/>
      <c r="Z2373" s="686"/>
      <c r="AA2373" s="686"/>
      <c r="AB2373" s="686"/>
      <c r="AC2373" s="686"/>
      <c r="AD2373" s="686"/>
      <c r="AE2373" s="686"/>
      <c r="AF2373" s="686"/>
    </row>
    <row r="2374" ht="15.75" customHeight="1">
      <c r="A2374" s="683"/>
      <c r="B2374" s="683"/>
      <c r="C2374" s="684"/>
      <c r="D2374" s="684"/>
      <c r="E2374" s="684"/>
      <c r="F2374" s="683"/>
      <c r="G2374" s="683"/>
      <c r="H2374" s="683"/>
      <c r="I2374" s="683"/>
      <c r="J2374" s="683"/>
      <c r="K2374" s="683"/>
      <c r="L2374" s="685"/>
      <c r="M2374" s="685"/>
      <c r="N2374" s="687"/>
      <c r="O2374" s="683"/>
      <c r="P2374" s="683"/>
      <c r="Q2374" s="686"/>
      <c r="R2374" s="686"/>
      <c r="S2374" s="686"/>
      <c r="T2374" s="686"/>
      <c r="U2374" s="686"/>
      <c r="V2374" s="686"/>
      <c r="W2374" s="686"/>
      <c r="X2374" s="686"/>
      <c r="Y2374" s="686"/>
      <c r="Z2374" s="686"/>
      <c r="AA2374" s="686"/>
      <c r="AB2374" s="686"/>
      <c r="AC2374" s="686"/>
      <c r="AD2374" s="686"/>
      <c r="AE2374" s="686"/>
      <c r="AF2374" s="686"/>
    </row>
    <row r="2375" ht="15.75" customHeight="1">
      <c r="A2375" s="683"/>
      <c r="B2375" s="683"/>
      <c r="C2375" s="684"/>
      <c r="D2375" s="684"/>
      <c r="E2375" s="684"/>
      <c r="F2375" s="683"/>
      <c r="G2375" s="683"/>
      <c r="H2375" s="683"/>
      <c r="I2375" s="683"/>
      <c r="J2375" s="683"/>
      <c r="K2375" s="683"/>
      <c r="L2375" s="685"/>
      <c r="M2375" s="685"/>
      <c r="N2375" s="687"/>
      <c r="O2375" s="683"/>
      <c r="P2375" s="683"/>
      <c r="Q2375" s="686"/>
      <c r="R2375" s="686"/>
      <c r="S2375" s="686"/>
      <c r="T2375" s="686"/>
      <c r="U2375" s="686"/>
      <c r="V2375" s="686"/>
      <c r="W2375" s="686"/>
      <c r="X2375" s="686"/>
      <c r="Y2375" s="686"/>
      <c r="Z2375" s="686"/>
      <c r="AA2375" s="686"/>
      <c r="AB2375" s="686"/>
      <c r="AC2375" s="686"/>
      <c r="AD2375" s="686"/>
      <c r="AE2375" s="686"/>
      <c r="AF2375" s="686"/>
    </row>
    <row r="2376" ht="15.75" customHeight="1">
      <c r="A2376" s="683"/>
      <c r="B2376" s="683"/>
      <c r="C2376" s="684"/>
      <c r="D2376" s="684"/>
      <c r="E2376" s="684"/>
      <c r="F2376" s="683"/>
      <c r="G2376" s="683"/>
      <c r="H2376" s="683"/>
      <c r="I2376" s="683"/>
      <c r="J2376" s="683"/>
      <c r="K2376" s="683"/>
      <c r="L2376" s="685"/>
      <c r="M2376" s="685"/>
      <c r="N2376" s="687"/>
      <c r="O2376" s="683"/>
      <c r="P2376" s="683"/>
      <c r="Q2376" s="686"/>
      <c r="R2376" s="686"/>
      <c r="S2376" s="686"/>
      <c r="T2376" s="686"/>
      <c r="U2376" s="686"/>
      <c r="V2376" s="686"/>
      <c r="W2376" s="686"/>
      <c r="X2376" s="686"/>
      <c r="Y2376" s="686"/>
      <c r="Z2376" s="686"/>
      <c r="AA2376" s="686"/>
      <c r="AB2376" s="686"/>
      <c r="AC2376" s="686"/>
      <c r="AD2376" s="686"/>
      <c r="AE2376" s="686"/>
      <c r="AF2376" s="686"/>
    </row>
    <row r="2377" ht="15.75" customHeight="1">
      <c r="A2377" s="683"/>
      <c r="B2377" s="683"/>
      <c r="C2377" s="684"/>
      <c r="D2377" s="684"/>
      <c r="E2377" s="684"/>
      <c r="F2377" s="683"/>
      <c r="G2377" s="683"/>
      <c r="H2377" s="683"/>
      <c r="I2377" s="683"/>
      <c r="J2377" s="683"/>
      <c r="K2377" s="683"/>
      <c r="L2377" s="685"/>
      <c r="M2377" s="685"/>
      <c r="N2377" s="687"/>
      <c r="O2377" s="683"/>
      <c r="P2377" s="683"/>
      <c r="Q2377" s="686"/>
      <c r="R2377" s="686"/>
      <c r="S2377" s="686"/>
      <c r="T2377" s="686"/>
      <c r="U2377" s="686"/>
      <c r="V2377" s="686"/>
      <c r="W2377" s="686"/>
      <c r="X2377" s="686"/>
      <c r="Y2377" s="686"/>
      <c r="Z2377" s="686"/>
      <c r="AA2377" s="686"/>
      <c r="AB2377" s="686"/>
      <c r="AC2377" s="686"/>
      <c r="AD2377" s="686"/>
      <c r="AE2377" s="686"/>
      <c r="AF2377" s="686"/>
    </row>
    <row r="2378" ht="15.75" customHeight="1">
      <c r="A2378" s="683"/>
      <c r="B2378" s="683"/>
      <c r="C2378" s="684"/>
      <c r="D2378" s="684"/>
      <c r="E2378" s="684"/>
      <c r="F2378" s="683"/>
      <c r="G2378" s="683"/>
      <c r="H2378" s="683"/>
      <c r="I2378" s="683"/>
      <c r="J2378" s="683"/>
      <c r="K2378" s="683"/>
      <c r="L2378" s="685"/>
      <c r="M2378" s="685"/>
      <c r="N2378" s="687"/>
      <c r="O2378" s="683"/>
      <c r="P2378" s="683"/>
      <c r="Q2378" s="686"/>
      <c r="R2378" s="686"/>
      <c r="S2378" s="686"/>
      <c r="T2378" s="686"/>
      <c r="U2378" s="686"/>
      <c r="V2378" s="686"/>
      <c r="W2378" s="686"/>
      <c r="X2378" s="686"/>
      <c r="Y2378" s="686"/>
      <c r="Z2378" s="686"/>
      <c r="AA2378" s="686"/>
      <c r="AB2378" s="686"/>
      <c r="AC2378" s="686"/>
      <c r="AD2378" s="686"/>
      <c r="AE2378" s="686"/>
      <c r="AF2378" s="686"/>
    </row>
    <row r="2379" ht="15.75" customHeight="1">
      <c r="A2379" s="683"/>
      <c r="B2379" s="683"/>
      <c r="C2379" s="684"/>
      <c r="D2379" s="684"/>
      <c r="E2379" s="684"/>
      <c r="F2379" s="683"/>
      <c r="G2379" s="683"/>
      <c r="H2379" s="683"/>
      <c r="I2379" s="683"/>
      <c r="J2379" s="683"/>
      <c r="K2379" s="683"/>
      <c r="L2379" s="685"/>
      <c r="M2379" s="685"/>
      <c r="N2379" s="687"/>
      <c r="O2379" s="683"/>
      <c r="P2379" s="683"/>
      <c r="Q2379" s="686"/>
      <c r="R2379" s="686"/>
      <c r="S2379" s="686"/>
      <c r="T2379" s="686"/>
      <c r="U2379" s="686"/>
      <c r="V2379" s="686"/>
      <c r="W2379" s="686"/>
      <c r="X2379" s="686"/>
      <c r="Y2379" s="686"/>
      <c r="Z2379" s="686"/>
      <c r="AA2379" s="686"/>
      <c r="AB2379" s="686"/>
      <c r="AC2379" s="686"/>
      <c r="AD2379" s="686"/>
      <c r="AE2379" s="686"/>
      <c r="AF2379" s="686"/>
    </row>
    <row r="2380" ht="15.75" customHeight="1">
      <c r="A2380" s="683"/>
      <c r="B2380" s="683"/>
      <c r="C2380" s="684"/>
      <c r="D2380" s="684"/>
      <c r="E2380" s="684"/>
      <c r="F2380" s="683"/>
      <c r="G2380" s="683"/>
      <c r="H2380" s="683"/>
      <c r="I2380" s="683"/>
      <c r="J2380" s="683"/>
      <c r="K2380" s="683"/>
      <c r="L2380" s="685"/>
      <c r="M2380" s="685"/>
      <c r="N2380" s="687"/>
      <c r="O2380" s="683"/>
      <c r="P2380" s="683"/>
      <c r="Q2380" s="686"/>
      <c r="R2380" s="686"/>
      <c r="S2380" s="686"/>
      <c r="T2380" s="686"/>
      <c r="U2380" s="686"/>
      <c r="V2380" s="686"/>
      <c r="W2380" s="686"/>
      <c r="X2380" s="686"/>
      <c r="Y2380" s="686"/>
      <c r="Z2380" s="686"/>
      <c r="AA2380" s="686"/>
      <c r="AB2380" s="686"/>
      <c r="AC2380" s="686"/>
      <c r="AD2380" s="686"/>
      <c r="AE2380" s="686"/>
      <c r="AF2380" s="686"/>
    </row>
    <row r="2381" ht="15.75" customHeight="1">
      <c r="A2381" s="683"/>
      <c r="B2381" s="683"/>
      <c r="C2381" s="684"/>
      <c r="D2381" s="684"/>
      <c r="E2381" s="684"/>
      <c r="F2381" s="683"/>
      <c r="G2381" s="683"/>
      <c r="H2381" s="683"/>
      <c r="I2381" s="683"/>
      <c r="J2381" s="683"/>
      <c r="K2381" s="683"/>
      <c r="L2381" s="685"/>
      <c r="M2381" s="685"/>
      <c r="N2381" s="687"/>
      <c r="O2381" s="683"/>
      <c r="P2381" s="683"/>
      <c r="Q2381" s="686"/>
      <c r="R2381" s="686"/>
      <c r="S2381" s="686"/>
      <c r="T2381" s="686"/>
      <c r="U2381" s="686"/>
      <c r="V2381" s="686"/>
      <c r="W2381" s="686"/>
      <c r="X2381" s="686"/>
      <c r="Y2381" s="686"/>
      <c r="Z2381" s="686"/>
      <c r="AA2381" s="686"/>
      <c r="AB2381" s="686"/>
      <c r="AC2381" s="686"/>
      <c r="AD2381" s="686"/>
      <c r="AE2381" s="686"/>
      <c r="AF2381" s="686"/>
    </row>
    <row r="2382" ht="15.75" customHeight="1">
      <c r="A2382" s="683"/>
      <c r="B2382" s="683"/>
      <c r="C2382" s="684"/>
      <c r="D2382" s="684"/>
      <c r="E2382" s="684"/>
      <c r="F2382" s="683"/>
      <c r="G2382" s="683"/>
      <c r="H2382" s="683"/>
      <c r="I2382" s="683"/>
      <c r="J2382" s="683"/>
      <c r="K2382" s="683"/>
      <c r="L2382" s="685"/>
      <c r="M2382" s="685"/>
      <c r="N2382" s="687"/>
      <c r="O2382" s="683"/>
      <c r="P2382" s="683"/>
      <c r="Q2382" s="686"/>
      <c r="R2382" s="686"/>
      <c r="S2382" s="686"/>
      <c r="T2382" s="686"/>
      <c r="U2382" s="686"/>
      <c r="V2382" s="686"/>
      <c r="W2382" s="686"/>
      <c r="X2382" s="686"/>
      <c r="Y2382" s="686"/>
      <c r="Z2382" s="686"/>
      <c r="AA2382" s="686"/>
      <c r="AB2382" s="686"/>
      <c r="AC2382" s="686"/>
      <c r="AD2382" s="686"/>
      <c r="AE2382" s="686"/>
      <c r="AF2382" s="686"/>
    </row>
    <row r="2383" ht="15.75" customHeight="1">
      <c r="A2383" s="683"/>
      <c r="B2383" s="683"/>
      <c r="C2383" s="684"/>
      <c r="D2383" s="684"/>
      <c r="E2383" s="684"/>
      <c r="F2383" s="683"/>
      <c r="G2383" s="683"/>
      <c r="H2383" s="683"/>
      <c r="I2383" s="683"/>
      <c r="J2383" s="683"/>
      <c r="K2383" s="683"/>
      <c r="L2383" s="685"/>
      <c r="M2383" s="685"/>
      <c r="N2383" s="687"/>
      <c r="O2383" s="683"/>
      <c r="P2383" s="683"/>
      <c r="Q2383" s="686"/>
      <c r="R2383" s="686"/>
      <c r="S2383" s="686"/>
      <c r="T2383" s="686"/>
      <c r="U2383" s="686"/>
      <c r="V2383" s="686"/>
      <c r="W2383" s="686"/>
      <c r="X2383" s="686"/>
      <c r="Y2383" s="686"/>
      <c r="Z2383" s="686"/>
      <c r="AA2383" s="686"/>
      <c r="AB2383" s="686"/>
      <c r="AC2383" s="686"/>
      <c r="AD2383" s="686"/>
      <c r="AE2383" s="686"/>
      <c r="AF2383" s="686"/>
    </row>
    <row r="2384" ht="15.75" customHeight="1">
      <c r="A2384" s="683"/>
      <c r="B2384" s="683"/>
      <c r="C2384" s="684"/>
      <c r="D2384" s="684"/>
      <c r="E2384" s="684"/>
      <c r="F2384" s="683"/>
      <c r="G2384" s="683"/>
      <c r="H2384" s="683"/>
      <c r="I2384" s="683"/>
      <c r="J2384" s="683"/>
      <c r="K2384" s="683"/>
      <c r="L2384" s="685"/>
      <c r="M2384" s="685"/>
      <c r="N2384" s="687"/>
      <c r="O2384" s="683"/>
      <c r="P2384" s="683"/>
      <c r="Q2384" s="686"/>
      <c r="R2384" s="686"/>
      <c r="S2384" s="686"/>
      <c r="T2384" s="686"/>
      <c r="U2384" s="686"/>
      <c r="V2384" s="686"/>
      <c r="W2384" s="686"/>
      <c r="X2384" s="686"/>
      <c r="Y2384" s="686"/>
      <c r="Z2384" s="686"/>
      <c r="AA2384" s="686"/>
      <c r="AB2384" s="686"/>
      <c r="AC2384" s="686"/>
      <c r="AD2384" s="686"/>
      <c r="AE2384" s="686"/>
      <c r="AF2384" s="686"/>
    </row>
    <row r="2385" ht="15.75" customHeight="1">
      <c r="A2385" s="683"/>
      <c r="B2385" s="683"/>
      <c r="C2385" s="684"/>
      <c r="D2385" s="684"/>
      <c r="E2385" s="684"/>
      <c r="F2385" s="683"/>
      <c r="G2385" s="683"/>
      <c r="H2385" s="683"/>
      <c r="I2385" s="683"/>
      <c r="J2385" s="683"/>
      <c r="K2385" s="683"/>
      <c r="L2385" s="685"/>
      <c r="M2385" s="685"/>
      <c r="N2385" s="687"/>
      <c r="O2385" s="683"/>
      <c r="P2385" s="683"/>
      <c r="Q2385" s="686"/>
      <c r="R2385" s="686"/>
      <c r="S2385" s="686"/>
      <c r="T2385" s="686"/>
      <c r="U2385" s="686"/>
      <c r="V2385" s="686"/>
      <c r="W2385" s="686"/>
      <c r="X2385" s="686"/>
      <c r="Y2385" s="686"/>
      <c r="Z2385" s="686"/>
      <c r="AA2385" s="686"/>
      <c r="AB2385" s="686"/>
      <c r="AC2385" s="686"/>
      <c r="AD2385" s="686"/>
      <c r="AE2385" s="686"/>
      <c r="AF2385" s="686"/>
    </row>
    <row r="2386" ht="15.75" customHeight="1">
      <c r="A2386" s="683"/>
      <c r="B2386" s="683"/>
      <c r="C2386" s="684"/>
      <c r="D2386" s="684"/>
      <c r="E2386" s="684"/>
      <c r="F2386" s="683"/>
      <c r="G2386" s="683"/>
      <c r="H2386" s="683"/>
      <c r="I2386" s="683"/>
      <c r="J2386" s="683"/>
      <c r="K2386" s="683"/>
      <c r="L2386" s="685"/>
      <c r="M2386" s="685"/>
      <c r="N2386" s="687"/>
      <c r="O2386" s="683"/>
      <c r="P2386" s="683"/>
      <c r="Q2386" s="686"/>
      <c r="R2386" s="686"/>
      <c r="S2386" s="686"/>
      <c r="T2386" s="686"/>
      <c r="U2386" s="686"/>
      <c r="V2386" s="686"/>
      <c r="W2386" s="686"/>
      <c r="X2386" s="686"/>
      <c r="Y2386" s="686"/>
      <c r="Z2386" s="686"/>
      <c r="AA2386" s="686"/>
      <c r="AB2386" s="686"/>
      <c r="AC2386" s="686"/>
      <c r="AD2386" s="686"/>
      <c r="AE2386" s="686"/>
      <c r="AF2386" s="686"/>
    </row>
    <row r="2387" ht="15.75" customHeight="1">
      <c r="A2387" s="683"/>
      <c r="B2387" s="683"/>
      <c r="C2387" s="684"/>
      <c r="D2387" s="684"/>
      <c r="E2387" s="684"/>
      <c r="F2387" s="683"/>
      <c r="G2387" s="683"/>
      <c r="H2387" s="683"/>
      <c r="I2387" s="683"/>
      <c r="J2387" s="683"/>
      <c r="K2387" s="683"/>
      <c r="L2387" s="685"/>
      <c r="M2387" s="685"/>
      <c r="N2387" s="687"/>
      <c r="O2387" s="683"/>
      <c r="P2387" s="683"/>
      <c r="Q2387" s="686"/>
      <c r="R2387" s="686"/>
      <c r="S2387" s="686"/>
      <c r="T2387" s="686"/>
      <c r="U2387" s="686"/>
      <c r="V2387" s="686"/>
      <c r="W2387" s="686"/>
      <c r="X2387" s="686"/>
      <c r="Y2387" s="686"/>
      <c r="Z2387" s="686"/>
      <c r="AA2387" s="686"/>
      <c r="AB2387" s="686"/>
      <c r="AC2387" s="686"/>
      <c r="AD2387" s="686"/>
      <c r="AE2387" s="686"/>
      <c r="AF2387" s="686"/>
    </row>
    <row r="2388" ht="15.75" customHeight="1">
      <c r="A2388" s="683"/>
      <c r="B2388" s="683"/>
      <c r="C2388" s="684"/>
      <c r="D2388" s="684"/>
      <c r="E2388" s="684"/>
      <c r="F2388" s="683"/>
      <c r="G2388" s="683"/>
      <c r="H2388" s="683"/>
      <c r="I2388" s="683"/>
      <c r="J2388" s="683"/>
      <c r="K2388" s="683"/>
      <c r="L2388" s="685"/>
      <c r="M2388" s="685"/>
      <c r="N2388" s="687"/>
      <c r="O2388" s="683"/>
      <c r="P2388" s="683"/>
      <c r="Q2388" s="686"/>
      <c r="R2388" s="686"/>
      <c r="S2388" s="686"/>
      <c r="T2388" s="686"/>
      <c r="U2388" s="686"/>
      <c r="V2388" s="686"/>
      <c r="W2388" s="686"/>
      <c r="X2388" s="686"/>
      <c r="Y2388" s="686"/>
      <c r="Z2388" s="686"/>
      <c r="AA2388" s="686"/>
      <c r="AB2388" s="686"/>
      <c r="AC2388" s="686"/>
      <c r="AD2388" s="686"/>
      <c r="AE2388" s="686"/>
      <c r="AF2388" s="686"/>
    </row>
    <row r="2389" ht="15.75" customHeight="1">
      <c r="A2389" s="683"/>
      <c r="B2389" s="683"/>
      <c r="C2389" s="684"/>
      <c r="D2389" s="684"/>
      <c r="E2389" s="684"/>
      <c r="F2389" s="683"/>
      <c r="G2389" s="683"/>
      <c r="H2389" s="683"/>
      <c r="I2389" s="683"/>
      <c r="J2389" s="683"/>
      <c r="K2389" s="683"/>
      <c r="L2389" s="685"/>
      <c r="M2389" s="685"/>
      <c r="N2389" s="687"/>
      <c r="O2389" s="683"/>
      <c r="P2389" s="683"/>
      <c r="Q2389" s="686"/>
      <c r="R2389" s="686"/>
      <c r="S2389" s="686"/>
      <c r="T2389" s="686"/>
      <c r="U2389" s="686"/>
      <c r="V2389" s="686"/>
      <c r="W2389" s="686"/>
      <c r="X2389" s="686"/>
      <c r="Y2389" s="686"/>
      <c r="Z2389" s="686"/>
      <c r="AA2389" s="686"/>
      <c r="AB2389" s="686"/>
      <c r="AC2389" s="686"/>
      <c r="AD2389" s="686"/>
      <c r="AE2389" s="686"/>
      <c r="AF2389" s="686"/>
    </row>
    <row r="2390" ht="15.75" customHeight="1">
      <c r="A2390" s="683"/>
      <c r="B2390" s="683"/>
      <c r="C2390" s="684"/>
      <c r="D2390" s="684"/>
      <c r="E2390" s="684"/>
      <c r="F2390" s="683"/>
      <c r="G2390" s="683"/>
      <c r="H2390" s="683"/>
      <c r="I2390" s="683"/>
      <c r="J2390" s="683"/>
      <c r="K2390" s="683"/>
      <c r="L2390" s="685"/>
      <c r="M2390" s="685"/>
      <c r="N2390" s="687"/>
      <c r="O2390" s="683"/>
      <c r="P2390" s="683"/>
      <c r="Q2390" s="686"/>
      <c r="R2390" s="686"/>
      <c r="S2390" s="686"/>
      <c r="T2390" s="686"/>
      <c r="U2390" s="686"/>
      <c r="V2390" s="686"/>
      <c r="W2390" s="686"/>
      <c r="X2390" s="686"/>
      <c r="Y2390" s="686"/>
      <c r="Z2390" s="686"/>
      <c r="AA2390" s="686"/>
      <c r="AB2390" s="686"/>
      <c r="AC2390" s="686"/>
      <c r="AD2390" s="686"/>
      <c r="AE2390" s="686"/>
      <c r="AF2390" s="686"/>
    </row>
    <row r="2391" ht="15.75" customHeight="1">
      <c r="A2391" s="683"/>
      <c r="B2391" s="683"/>
      <c r="C2391" s="684"/>
      <c r="D2391" s="684"/>
      <c r="E2391" s="684"/>
      <c r="F2391" s="683"/>
      <c r="G2391" s="683"/>
      <c r="H2391" s="683"/>
      <c r="I2391" s="683"/>
      <c r="J2391" s="683"/>
      <c r="K2391" s="683"/>
      <c r="L2391" s="685"/>
      <c r="M2391" s="685"/>
      <c r="N2391" s="687"/>
      <c r="O2391" s="683"/>
      <c r="P2391" s="685"/>
      <c r="Q2391" s="686"/>
      <c r="R2391" s="686"/>
      <c r="S2391" s="686"/>
      <c r="T2391" s="686"/>
      <c r="U2391" s="686"/>
      <c r="V2391" s="686"/>
      <c r="W2391" s="686"/>
      <c r="X2391" s="686"/>
      <c r="Y2391" s="686"/>
      <c r="Z2391" s="686"/>
      <c r="AA2391" s="686"/>
      <c r="AB2391" s="686"/>
      <c r="AC2391" s="686"/>
      <c r="AD2391" s="686"/>
      <c r="AE2391" s="686"/>
      <c r="AF2391" s="686"/>
    </row>
    <row r="2392" ht="15.75" customHeight="1">
      <c r="A2392" s="683"/>
      <c r="B2392" s="683"/>
      <c r="C2392" s="684"/>
      <c r="D2392" s="684"/>
      <c r="E2392" s="684"/>
      <c r="F2392" s="683"/>
      <c r="G2392" s="683"/>
      <c r="H2392" s="683"/>
      <c r="I2392" s="683"/>
      <c r="J2392" s="683"/>
      <c r="K2392" s="683"/>
      <c r="L2392" s="685"/>
      <c r="M2392" s="685"/>
      <c r="N2392" s="687"/>
      <c r="O2392" s="683"/>
      <c r="P2392" s="683"/>
      <c r="Q2392" s="686"/>
      <c r="R2392" s="686"/>
      <c r="S2392" s="686"/>
      <c r="T2392" s="686"/>
      <c r="U2392" s="686"/>
      <c r="V2392" s="686"/>
      <c r="W2392" s="686"/>
      <c r="X2392" s="686"/>
      <c r="Y2392" s="686"/>
      <c r="Z2392" s="686"/>
      <c r="AA2392" s="686"/>
      <c r="AB2392" s="686"/>
      <c r="AC2392" s="686"/>
      <c r="AD2392" s="686"/>
      <c r="AE2392" s="686"/>
      <c r="AF2392" s="686"/>
    </row>
    <row r="2393" ht="15.75" customHeight="1">
      <c r="A2393" s="683"/>
      <c r="B2393" s="683"/>
      <c r="C2393" s="684"/>
      <c r="D2393" s="684"/>
      <c r="E2393" s="684"/>
      <c r="F2393" s="683"/>
      <c r="G2393" s="683"/>
      <c r="H2393" s="683"/>
      <c r="I2393" s="683"/>
      <c r="J2393" s="683"/>
      <c r="K2393" s="683"/>
      <c r="L2393" s="685"/>
      <c r="M2393" s="685"/>
      <c r="N2393" s="687"/>
      <c r="O2393" s="683"/>
      <c r="P2393" s="683"/>
      <c r="Q2393" s="686"/>
      <c r="R2393" s="686"/>
      <c r="S2393" s="686"/>
      <c r="T2393" s="686"/>
      <c r="U2393" s="686"/>
      <c r="V2393" s="686"/>
      <c r="W2393" s="686"/>
      <c r="X2393" s="686"/>
      <c r="Y2393" s="686"/>
      <c r="Z2393" s="686"/>
      <c r="AA2393" s="686"/>
      <c r="AB2393" s="686"/>
      <c r="AC2393" s="686"/>
      <c r="AD2393" s="686"/>
      <c r="AE2393" s="686"/>
      <c r="AF2393" s="686"/>
    </row>
    <row r="2394" ht="15.75" customHeight="1">
      <c r="A2394" s="683"/>
      <c r="B2394" s="683"/>
      <c r="C2394" s="684"/>
      <c r="D2394" s="684"/>
      <c r="E2394" s="684"/>
      <c r="F2394" s="683"/>
      <c r="G2394" s="683"/>
      <c r="H2394" s="683"/>
      <c r="I2394" s="683"/>
      <c r="J2394" s="683"/>
      <c r="K2394" s="683"/>
      <c r="L2394" s="685"/>
      <c r="M2394" s="685"/>
      <c r="N2394" s="687"/>
      <c r="O2394" s="683"/>
      <c r="P2394" s="683"/>
      <c r="Q2394" s="686"/>
      <c r="R2394" s="686"/>
      <c r="S2394" s="686"/>
      <c r="T2394" s="686"/>
      <c r="U2394" s="686"/>
      <c r="V2394" s="686"/>
      <c r="W2394" s="686"/>
      <c r="X2394" s="686"/>
      <c r="Y2394" s="686"/>
      <c r="Z2394" s="686"/>
      <c r="AA2394" s="686"/>
      <c r="AB2394" s="686"/>
      <c r="AC2394" s="686"/>
      <c r="AD2394" s="686"/>
      <c r="AE2394" s="686"/>
      <c r="AF2394" s="686"/>
    </row>
    <row r="2395" ht="15.75" customHeight="1">
      <c r="A2395" s="683"/>
      <c r="B2395" s="683"/>
      <c r="C2395" s="684"/>
      <c r="D2395" s="684"/>
      <c r="E2395" s="684"/>
      <c r="F2395" s="683"/>
      <c r="G2395" s="683"/>
      <c r="H2395" s="683"/>
      <c r="I2395" s="683"/>
      <c r="J2395" s="683"/>
      <c r="K2395" s="683"/>
      <c r="L2395" s="685"/>
      <c r="M2395" s="685"/>
      <c r="N2395" s="687"/>
      <c r="O2395" s="683"/>
      <c r="P2395" s="683"/>
      <c r="Q2395" s="686"/>
      <c r="R2395" s="686"/>
      <c r="S2395" s="686"/>
      <c r="T2395" s="686"/>
      <c r="U2395" s="686"/>
      <c r="V2395" s="686"/>
      <c r="W2395" s="686"/>
      <c r="X2395" s="686"/>
      <c r="Y2395" s="686"/>
      <c r="Z2395" s="686"/>
      <c r="AA2395" s="686"/>
      <c r="AB2395" s="686"/>
      <c r="AC2395" s="686"/>
      <c r="AD2395" s="686"/>
      <c r="AE2395" s="686"/>
      <c r="AF2395" s="686"/>
    </row>
    <row r="2396" ht="15.75" customHeight="1">
      <c r="A2396" s="683"/>
      <c r="B2396" s="683"/>
      <c r="C2396" s="684"/>
      <c r="D2396" s="684"/>
      <c r="E2396" s="684"/>
      <c r="F2396" s="683"/>
      <c r="G2396" s="683"/>
      <c r="H2396" s="683"/>
      <c r="I2396" s="683"/>
      <c r="J2396" s="683"/>
      <c r="K2396" s="683"/>
      <c r="L2396" s="685"/>
      <c r="M2396" s="685"/>
      <c r="N2396" s="687"/>
      <c r="O2396" s="683"/>
      <c r="P2396" s="683"/>
      <c r="Q2396" s="686"/>
      <c r="R2396" s="686"/>
      <c r="S2396" s="686"/>
      <c r="T2396" s="686"/>
      <c r="U2396" s="686"/>
      <c r="V2396" s="686"/>
      <c r="W2396" s="686"/>
      <c r="X2396" s="686"/>
      <c r="Y2396" s="686"/>
      <c r="Z2396" s="686"/>
      <c r="AA2396" s="686"/>
      <c r="AB2396" s="686"/>
      <c r="AC2396" s="686"/>
      <c r="AD2396" s="686"/>
      <c r="AE2396" s="686"/>
      <c r="AF2396" s="686"/>
    </row>
    <row r="2397" ht="15.75" customHeight="1">
      <c r="A2397" s="683"/>
      <c r="B2397" s="683"/>
      <c r="C2397" s="684"/>
      <c r="D2397" s="684"/>
      <c r="E2397" s="684"/>
      <c r="F2397" s="683"/>
      <c r="G2397" s="683"/>
      <c r="H2397" s="683"/>
      <c r="I2397" s="683"/>
      <c r="J2397" s="683"/>
      <c r="K2397" s="683"/>
      <c r="L2397" s="685"/>
      <c r="M2397" s="685"/>
      <c r="N2397" s="687"/>
      <c r="O2397" s="683"/>
      <c r="P2397" s="683"/>
      <c r="Q2397" s="686"/>
      <c r="R2397" s="686"/>
      <c r="S2397" s="686"/>
      <c r="T2397" s="686"/>
      <c r="U2397" s="686"/>
      <c r="V2397" s="686"/>
      <c r="W2397" s="686"/>
      <c r="X2397" s="686"/>
      <c r="Y2397" s="686"/>
      <c r="Z2397" s="686"/>
      <c r="AA2397" s="686"/>
      <c r="AB2397" s="686"/>
      <c r="AC2397" s="686"/>
      <c r="AD2397" s="686"/>
      <c r="AE2397" s="686"/>
      <c r="AF2397" s="686"/>
    </row>
    <row r="2398" ht="15.75" customHeight="1">
      <c r="A2398" s="683"/>
      <c r="B2398" s="683"/>
      <c r="C2398" s="684"/>
      <c r="D2398" s="684"/>
      <c r="E2398" s="684"/>
      <c r="F2398" s="683"/>
      <c r="G2398" s="683"/>
      <c r="H2398" s="683"/>
      <c r="I2398" s="683"/>
      <c r="J2398" s="683"/>
      <c r="K2398" s="683"/>
      <c r="L2398" s="685"/>
      <c r="M2398" s="685"/>
      <c r="N2398" s="687"/>
      <c r="O2398" s="683"/>
      <c r="P2398" s="685"/>
      <c r="Q2398" s="686"/>
      <c r="R2398" s="686"/>
      <c r="S2398" s="686"/>
      <c r="T2398" s="686"/>
      <c r="U2398" s="686"/>
      <c r="V2398" s="686"/>
      <c r="W2398" s="686"/>
      <c r="X2398" s="686"/>
      <c r="Y2398" s="686"/>
      <c r="Z2398" s="686"/>
      <c r="AA2398" s="686"/>
      <c r="AB2398" s="686"/>
      <c r="AC2398" s="686"/>
      <c r="AD2398" s="686"/>
      <c r="AE2398" s="686"/>
      <c r="AF2398" s="686"/>
    </row>
    <row r="2399" ht="15.75" customHeight="1">
      <c r="A2399" s="683"/>
      <c r="B2399" s="683"/>
      <c r="C2399" s="684"/>
      <c r="D2399" s="684"/>
      <c r="E2399" s="684"/>
      <c r="F2399" s="683"/>
      <c r="G2399" s="683"/>
      <c r="H2399" s="683"/>
      <c r="I2399" s="683"/>
      <c r="J2399" s="683"/>
      <c r="K2399" s="683"/>
      <c r="L2399" s="685"/>
      <c r="M2399" s="685"/>
      <c r="N2399" s="687"/>
      <c r="O2399" s="683"/>
      <c r="P2399" s="683"/>
      <c r="Q2399" s="686"/>
      <c r="R2399" s="686"/>
      <c r="S2399" s="686"/>
      <c r="T2399" s="686"/>
      <c r="U2399" s="686"/>
      <c r="V2399" s="686"/>
      <c r="W2399" s="686"/>
      <c r="X2399" s="686"/>
      <c r="Y2399" s="686"/>
      <c r="Z2399" s="686"/>
      <c r="AA2399" s="686"/>
      <c r="AB2399" s="686"/>
      <c r="AC2399" s="686"/>
      <c r="AD2399" s="686"/>
      <c r="AE2399" s="686"/>
      <c r="AF2399" s="686"/>
    </row>
    <row r="2400" ht="15.75" customHeight="1">
      <c r="A2400" s="683"/>
      <c r="B2400" s="683"/>
      <c r="C2400" s="684"/>
      <c r="D2400" s="684"/>
      <c r="E2400" s="684"/>
      <c r="F2400" s="683"/>
      <c r="G2400" s="683"/>
      <c r="H2400" s="683"/>
      <c r="I2400" s="683"/>
      <c r="J2400" s="683"/>
      <c r="K2400" s="683"/>
      <c r="L2400" s="685"/>
      <c r="M2400" s="685"/>
      <c r="N2400" s="687"/>
      <c r="O2400" s="683"/>
      <c r="P2400" s="683"/>
      <c r="Q2400" s="686"/>
      <c r="R2400" s="686"/>
      <c r="S2400" s="686"/>
      <c r="T2400" s="686"/>
      <c r="U2400" s="686"/>
      <c r="V2400" s="686"/>
      <c r="W2400" s="686"/>
      <c r="X2400" s="686"/>
      <c r="Y2400" s="686"/>
      <c r="Z2400" s="686"/>
      <c r="AA2400" s="686"/>
      <c r="AB2400" s="686"/>
      <c r="AC2400" s="686"/>
      <c r="AD2400" s="686"/>
      <c r="AE2400" s="686"/>
      <c r="AF2400" s="686"/>
    </row>
    <row r="2401" ht="15.75" customHeight="1">
      <c r="A2401" s="683"/>
      <c r="B2401" s="683"/>
      <c r="C2401" s="684"/>
      <c r="D2401" s="684"/>
      <c r="E2401" s="684"/>
      <c r="F2401" s="683"/>
      <c r="G2401" s="683"/>
      <c r="H2401" s="683"/>
      <c r="I2401" s="683"/>
      <c r="J2401" s="683"/>
      <c r="K2401" s="683"/>
      <c r="L2401" s="685"/>
      <c r="M2401" s="685"/>
      <c r="N2401" s="687"/>
      <c r="O2401" s="683"/>
      <c r="P2401" s="683"/>
      <c r="Q2401" s="686"/>
      <c r="R2401" s="686"/>
      <c r="S2401" s="686"/>
      <c r="T2401" s="686"/>
      <c r="U2401" s="686"/>
      <c r="V2401" s="686"/>
      <c r="W2401" s="686"/>
      <c r="X2401" s="686"/>
      <c r="Y2401" s="686"/>
      <c r="Z2401" s="686"/>
      <c r="AA2401" s="686"/>
      <c r="AB2401" s="686"/>
      <c r="AC2401" s="686"/>
      <c r="AD2401" s="686"/>
      <c r="AE2401" s="686"/>
      <c r="AF2401" s="686"/>
    </row>
    <row r="2402" ht="15.75" customHeight="1">
      <c r="A2402" s="683"/>
      <c r="B2402" s="683"/>
      <c r="C2402" s="684"/>
      <c r="D2402" s="684"/>
      <c r="E2402" s="684"/>
      <c r="F2402" s="683"/>
      <c r="G2402" s="683"/>
      <c r="H2402" s="683"/>
      <c r="I2402" s="683"/>
      <c r="J2402" s="683"/>
      <c r="K2402" s="683"/>
      <c r="L2402" s="685"/>
      <c r="M2402" s="685"/>
      <c r="N2402" s="687"/>
      <c r="O2402" s="683"/>
      <c r="P2402" s="683"/>
      <c r="Q2402" s="686"/>
      <c r="R2402" s="686"/>
      <c r="S2402" s="686"/>
      <c r="T2402" s="686"/>
      <c r="U2402" s="686"/>
      <c r="V2402" s="686"/>
      <c r="W2402" s="686"/>
      <c r="X2402" s="686"/>
      <c r="Y2402" s="686"/>
      <c r="Z2402" s="686"/>
      <c r="AA2402" s="686"/>
      <c r="AB2402" s="686"/>
      <c r="AC2402" s="686"/>
      <c r="AD2402" s="686"/>
      <c r="AE2402" s="686"/>
      <c r="AF2402" s="686"/>
    </row>
    <row r="2403" ht="15.75" customHeight="1">
      <c r="A2403" s="683"/>
      <c r="B2403" s="683"/>
      <c r="C2403" s="684"/>
      <c r="D2403" s="684"/>
      <c r="E2403" s="684"/>
      <c r="F2403" s="683"/>
      <c r="G2403" s="683"/>
      <c r="H2403" s="683"/>
      <c r="I2403" s="683"/>
      <c r="J2403" s="683"/>
      <c r="K2403" s="683"/>
      <c r="L2403" s="685"/>
      <c r="M2403" s="685"/>
      <c r="N2403" s="687"/>
      <c r="O2403" s="683"/>
      <c r="P2403" s="683"/>
      <c r="Q2403" s="686"/>
      <c r="R2403" s="686"/>
      <c r="S2403" s="686"/>
      <c r="T2403" s="686"/>
      <c r="U2403" s="686"/>
      <c r="V2403" s="686"/>
      <c r="W2403" s="686"/>
      <c r="X2403" s="686"/>
      <c r="Y2403" s="686"/>
      <c r="Z2403" s="686"/>
      <c r="AA2403" s="686"/>
      <c r="AB2403" s="686"/>
      <c r="AC2403" s="686"/>
      <c r="AD2403" s="686"/>
      <c r="AE2403" s="686"/>
      <c r="AF2403" s="686"/>
    </row>
    <row r="2404" ht="15.75" customHeight="1">
      <c r="A2404" s="683"/>
      <c r="B2404" s="683"/>
      <c r="C2404" s="684"/>
      <c r="D2404" s="684"/>
      <c r="E2404" s="684"/>
      <c r="F2404" s="683"/>
      <c r="G2404" s="683"/>
      <c r="H2404" s="683"/>
      <c r="I2404" s="683"/>
      <c r="J2404" s="683"/>
      <c r="K2404" s="683"/>
      <c r="L2404" s="685"/>
      <c r="M2404" s="685"/>
      <c r="N2404" s="687"/>
      <c r="O2404" s="683"/>
      <c r="P2404" s="683"/>
      <c r="Q2404" s="686"/>
      <c r="R2404" s="686"/>
      <c r="S2404" s="686"/>
      <c r="T2404" s="686"/>
      <c r="U2404" s="686"/>
      <c r="V2404" s="686"/>
      <c r="W2404" s="686"/>
      <c r="X2404" s="686"/>
      <c r="Y2404" s="686"/>
      <c r="Z2404" s="686"/>
      <c r="AA2404" s="686"/>
      <c r="AB2404" s="686"/>
      <c r="AC2404" s="686"/>
      <c r="AD2404" s="686"/>
      <c r="AE2404" s="686"/>
      <c r="AF2404" s="686"/>
    </row>
    <row r="2405" ht="15.75" customHeight="1">
      <c r="A2405" s="683"/>
      <c r="B2405" s="683"/>
      <c r="C2405" s="684"/>
      <c r="D2405" s="684"/>
      <c r="E2405" s="684"/>
      <c r="F2405" s="683"/>
      <c r="G2405" s="683"/>
      <c r="H2405" s="683"/>
      <c r="I2405" s="683"/>
      <c r="J2405" s="683"/>
      <c r="K2405" s="683"/>
      <c r="L2405" s="685"/>
      <c r="M2405" s="685"/>
      <c r="N2405" s="687"/>
      <c r="O2405" s="683"/>
      <c r="P2405" s="683"/>
      <c r="Q2405" s="686"/>
      <c r="R2405" s="686"/>
      <c r="S2405" s="686"/>
      <c r="T2405" s="686"/>
      <c r="U2405" s="686"/>
      <c r="V2405" s="686"/>
      <c r="W2405" s="686"/>
      <c r="X2405" s="686"/>
      <c r="Y2405" s="686"/>
      <c r="Z2405" s="686"/>
      <c r="AA2405" s="686"/>
      <c r="AB2405" s="686"/>
      <c r="AC2405" s="686"/>
      <c r="AD2405" s="686"/>
      <c r="AE2405" s="686"/>
      <c r="AF2405" s="686"/>
    </row>
    <row r="2406" ht="15.75" customHeight="1">
      <c r="A2406" s="683"/>
      <c r="B2406" s="683"/>
      <c r="C2406" s="684"/>
      <c r="D2406" s="684"/>
      <c r="E2406" s="684"/>
      <c r="F2406" s="683"/>
      <c r="G2406" s="683"/>
      <c r="H2406" s="683"/>
      <c r="I2406" s="683"/>
      <c r="J2406" s="683"/>
      <c r="K2406" s="683"/>
      <c r="L2406" s="685"/>
      <c r="M2406" s="685"/>
      <c r="N2406" s="687"/>
      <c r="O2406" s="683"/>
      <c r="P2406" s="683"/>
      <c r="Q2406" s="686"/>
      <c r="R2406" s="686"/>
      <c r="S2406" s="686"/>
      <c r="T2406" s="686"/>
      <c r="U2406" s="686"/>
      <c r="V2406" s="686"/>
      <c r="W2406" s="686"/>
      <c r="X2406" s="686"/>
      <c r="Y2406" s="686"/>
      <c r="Z2406" s="686"/>
      <c r="AA2406" s="686"/>
      <c r="AB2406" s="686"/>
      <c r="AC2406" s="686"/>
      <c r="AD2406" s="686"/>
      <c r="AE2406" s="686"/>
      <c r="AF2406" s="686"/>
    </row>
    <row r="2407" ht="15.75" customHeight="1">
      <c r="A2407" s="683"/>
      <c r="B2407" s="683"/>
      <c r="C2407" s="684"/>
      <c r="D2407" s="684"/>
      <c r="E2407" s="684"/>
      <c r="F2407" s="683"/>
      <c r="G2407" s="683"/>
      <c r="H2407" s="683"/>
      <c r="I2407" s="683"/>
      <c r="J2407" s="683"/>
      <c r="K2407" s="683"/>
      <c r="L2407" s="685"/>
      <c r="M2407" s="685"/>
      <c r="N2407" s="687"/>
      <c r="O2407" s="683"/>
      <c r="P2407" s="683"/>
      <c r="Q2407" s="686"/>
      <c r="R2407" s="686"/>
      <c r="S2407" s="686"/>
      <c r="T2407" s="686"/>
      <c r="U2407" s="686"/>
      <c r="V2407" s="686"/>
      <c r="W2407" s="686"/>
      <c r="X2407" s="686"/>
      <c r="Y2407" s="686"/>
      <c r="Z2407" s="686"/>
      <c r="AA2407" s="686"/>
      <c r="AB2407" s="686"/>
      <c r="AC2407" s="686"/>
      <c r="AD2407" s="686"/>
      <c r="AE2407" s="686"/>
      <c r="AF2407" s="686"/>
    </row>
    <row r="2408" ht="15.75" customHeight="1">
      <c r="A2408" s="683"/>
      <c r="B2408" s="683"/>
      <c r="C2408" s="684"/>
      <c r="D2408" s="684"/>
      <c r="E2408" s="684"/>
      <c r="F2408" s="683"/>
      <c r="G2408" s="683"/>
      <c r="H2408" s="683"/>
      <c r="I2408" s="683"/>
      <c r="J2408" s="683"/>
      <c r="K2408" s="683"/>
      <c r="L2408" s="685"/>
      <c r="M2408" s="685"/>
      <c r="N2408" s="687"/>
      <c r="O2408" s="683"/>
      <c r="P2408" s="683"/>
      <c r="Q2408" s="686"/>
      <c r="R2408" s="686"/>
      <c r="S2408" s="686"/>
      <c r="T2408" s="686"/>
      <c r="U2408" s="686"/>
      <c r="V2408" s="686"/>
      <c r="W2408" s="686"/>
      <c r="X2408" s="686"/>
      <c r="Y2408" s="686"/>
      <c r="Z2408" s="686"/>
      <c r="AA2408" s="686"/>
      <c r="AB2408" s="686"/>
      <c r="AC2408" s="686"/>
      <c r="AD2408" s="686"/>
      <c r="AE2408" s="686"/>
      <c r="AF2408" s="686"/>
    </row>
    <row r="2409" ht="15.75" customHeight="1">
      <c r="A2409" s="683"/>
      <c r="B2409" s="683"/>
      <c r="C2409" s="684"/>
      <c r="D2409" s="684"/>
      <c r="E2409" s="684"/>
      <c r="F2409" s="683"/>
      <c r="G2409" s="683"/>
      <c r="H2409" s="683"/>
      <c r="I2409" s="683"/>
      <c r="J2409" s="683"/>
      <c r="K2409" s="683"/>
      <c r="L2409" s="685"/>
      <c r="M2409" s="685"/>
      <c r="N2409" s="687"/>
      <c r="O2409" s="683"/>
      <c r="P2409" s="683"/>
      <c r="Q2409" s="686"/>
      <c r="R2409" s="686"/>
      <c r="S2409" s="686"/>
      <c r="T2409" s="686"/>
      <c r="U2409" s="686"/>
      <c r="V2409" s="686"/>
      <c r="W2409" s="686"/>
      <c r="X2409" s="686"/>
      <c r="Y2409" s="686"/>
      <c r="Z2409" s="686"/>
      <c r="AA2409" s="686"/>
      <c r="AB2409" s="686"/>
      <c r="AC2409" s="686"/>
      <c r="AD2409" s="686"/>
      <c r="AE2409" s="686"/>
      <c r="AF2409" s="686"/>
    </row>
    <row r="2410" ht="15.75" customHeight="1">
      <c r="A2410" s="683"/>
      <c r="B2410" s="683"/>
      <c r="C2410" s="684"/>
      <c r="D2410" s="684"/>
      <c r="E2410" s="684"/>
      <c r="F2410" s="683"/>
      <c r="G2410" s="683"/>
      <c r="H2410" s="683"/>
      <c r="I2410" s="683"/>
      <c r="J2410" s="683"/>
      <c r="K2410" s="683"/>
      <c r="L2410" s="685"/>
      <c r="M2410" s="685"/>
      <c r="N2410" s="687"/>
      <c r="O2410" s="683"/>
      <c r="P2410" s="683"/>
      <c r="Q2410" s="686"/>
      <c r="R2410" s="686"/>
      <c r="S2410" s="686"/>
      <c r="T2410" s="686"/>
      <c r="U2410" s="686"/>
      <c r="V2410" s="686"/>
      <c r="W2410" s="686"/>
      <c r="X2410" s="686"/>
      <c r="Y2410" s="686"/>
      <c r="Z2410" s="686"/>
      <c r="AA2410" s="686"/>
      <c r="AB2410" s="686"/>
      <c r="AC2410" s="686"/>
      <c r="AD2410" s="686"/>
      <c r="AE2410" s="686"/>
      <c r="AF2410" s="686"/>
    </row>
    <row r="2411" ht="15.75" customHeight="1">
      <c r="A2411" s="683"/>
      <c r="B2411" s="683"/>
      <c r="C2411" s="684"/>
      <c r="D2411" s="684"/>
      <c r="E2411" s="684"/>
      <c r="F2411" s="683"/>
      <c r="G2411" s="683"/>
      <c r="H2411" s="683"/>
      <c r="I2411" s="683"/>
      <c r="J2411" s="683"/>
      <c r="K2411" s="683"/>
      <c r="L2411" s="685"/>
      <c r="M2411" s="685"/>
      <c r="N2411" s="687"/>
      <c r="O2411" s="683"/>
      <c r="P2411" s="683"/>
      <c r="Q2411" s="686"/>
      <c r="R2411" s="686"/>
      <c r="S2411" s="686"/>
      <c r="T2411" s="686"/>
      <c r="U2411" s="686"/>
      <c r="V2411" s="686"/>
      <c r="W2411" s="686"/>
      <c r="X2411" s="686"/>
      <c r="Y2411" s="686"/>
      <c r="Z2411" s="686"/>
      <c r="AA2411" s="686"/>
      <c r="AB2411" s="686"/>
      <c r="AC2411" s="686"/>
      <c r="AD2411" s="686"/>
      <c r="AE2411" s="686"/>
      <c r="AF2411" s="686"/>
    </row>
    <row r="2412" ht="15.75" customHeight="1">
      <c r="A2412" s="683"/>
      <c r="B2412" s="683"/>
      <c r="C2412" s="684"/>
      <c r="D2412" s="684"/>
      <c r="E2412" s="684"/>
      <c r="F2412" s="683"/>
      <c r="G2412" s="683"/>
      <c r="H2412" s="683"/>
      <c r="I2412" s="683"/>
      <c r="J2412" s="683"/>
      <c r="K2412" s="683"/>
      <c r="L2412" s="685"/>
      <c r="M2412" s="685"/>
      <c r="N2412" s="687"/>
      <c r="O2412" s="683"/>
      <c r="P2412" s="683"/>
      <c r="Q2412" s="686"/>
      <c r="R2412" s="686"/>
      <c r="S2412" s="686"/>
      <c r="T2412" s="686"/>
      <c r="U2412" s="686"/>
      <c r="V2412" s="686"/>
      <c r="W2412" s="686"/>
      <c r="X2412" s="686"/>
      <c r="Y2412" s="686"/>
      <c r="Z2412" s="686"/>
      <c r="AA2412" s="686"/>
      <c r="AB2412" s="686"/>
      <c r="AC2412" s="686"/>
      <c r="AD2412" s="686"/>
      <c r="AE2412" s="686"/>
      <c r="AF2412" s="686"/>
    </row>
    <row r="2413" ht="15.75" customHeight="1">
      <c r="A2413" s="683"/>
      <c r="B2413" s="683"/>
      <c r="C2413" s="684"/>
      <c r="D2413" s="684"/>
      <c r="E2413" s="684"/>
      <c r="F2413" s="683"/>
      <c r="G2413" s="683"/>
      <c r="H2413" s="683"/>
      <c r="I2413" s="683"/>
      <c r="J2413" s="683"/>
      <c r="K2413" s="683"/>
      <c r="L2413" s="685"/>
      <c r="M2413" s="685"/>
      <c r="N2413" s="687"/>
      <c r="O2413" s="683"/>
      <c r="P2413" s="683"/>
      <c r="Q2413" s="686"/>
      <c r="R2413" s="686"/>
      <c r="S2413" s="686"/>
      <c r="T2413" s="686"/>
      <c r="U2413" s="686"/>
      <c r="V2413" s="686"/>
      <c r="W2413" s="686"/>
      <c r="X2413" s="686"/>
      <c r="Y2413" s="686"/>
      <c r="Z2413" s="686"/>
      <c r="AA2413" s="686"/>
      <c r="AB2413" s="686"/>
      <c r="AC2413" s="686"/>
      <c r="AD2413" s="686"/>
      <c r="AE2413" s="686"/>
      <c r="AF2413" s="686"/>
    </row>
    <row r="2414" ht="15.75" customHeight="1">
      <c r="A2414" s="683"/>
      <c r="B2414" s="683"/>
      <c r="C2414" s="684"/>
      <c r="D2414" s="684"/>
      <c r="E2414" s="684"/>
      <c r="F2414" s="683"/>
      <c r="G2414" s="683"/>
      <c r="H2414" s="683"/>
      <c r="I2414" s="683"/>
      <c r="J2414" s="683"/>
      <c r="K2414" s="683"/>
      <c r="L2414" s="685"/>
      <c r="M2414" s="685"/>
      <c r="N2414" s="687"/>
      <c r="O2414" s="683"/>
      <c r="P2414" s="683"/>
      <c r="Q2414" s="686"/>
      <c r="R2414" s="686"/>
      <c r="S2414" s="686"/>
      <c r="T2414" s="686"/>
      <c r="U2414" s="686"/>
      <c r="V2414" s="686"/>
      <c r="W2414" s="686"/>
      <c r="X2414" s="686"/>
      <c r="Y2414" s="686"/>
      <c r="Z2414" s="686"/>
      <c r="AA2414" s="686"/>
      <c r="AB2414" s="686"/>
      <c r="AC2414" s="686"/>
      <c r="AD2414" s="686"/>
      <c r="AE2414" s="686"/>
      <c r="AF2414" s="686"/>
    </row>
    <row r="2415" ht="15.75" customHeight="1">
      <c r="A2415" s="683"/>
      <c r="B2415" s="683"/>
      <c r="C2415" s="684"/>
      <c r="D2415" s="684"/>
      <c r="E2415" s="684"/>
      <c r="F2415" s="683"/>
      <c r="G2415" s="683"/>
      <c r="H2415" s="683"/>
      <c r="I2415" s="683"/>
      <c r="J2415" s="683"/>
      <c r="K2415" s="683"/>
      <c r="L2415" s="685"/>
      <c r="M2415" s="685"/>
      <c r="N2415" s="687"/>
      <c r="O2415" s="683"/>
      <c r="P2415" s="683"/>
      <c r="Q2415" s="686"/>
      <c r="R2415" s="686"/>
      <c r="S2415" s="686"/>
      <c r="T2415" s="686"/>
      <c r="U2415" s="686"/>
      <c r="V2415" s="686"/>
      <c r="W2415" s="686"/>
      <c r="X2415" s="686"/>
      <c r="Y2415" s="686"/>
      <c r="Z2415" s="686"/>
      <c r="AA2415" s="686"/>
      <c r="AB2415" s="686"/>
      <c r="AC2415" s="686"/>
      <c r="AD2415" s="686"/>
      <c r="AE2415" s="686"/>
      <c r="AF2415" s="686"/>
    </row>
    <row r="2416" ht="15.75" customHeight="1">
      <c r="A2416" s="683"/>
      <c r="B2416" s="683"/>
      <c r="C2416" s="684"/>
      <c r="D2416" s="684"/>
      <c r="E2416" s="684"/>
      <c r="F2416" s="683"/>
      <c r="G2416" s="683"/>
      <c r="H2416" s="683"/>
      <c r="I2416" s="683"/>
      <c r="J2416" s="683"/>
      <c r="K2416" s="683"/>
      <c r="L2416" s="685"/>
      <c r="M2416" s="685"/>
      <c r="N2416" s="687"/>
      <c r="O2416" s="683"/>
      <c r="P2416" s="683"/>
      <c r="Q2416" s="686"/>
      <c r="R2416" s="686"/>
      <c r="S2416" s="686"/>
      <c r="T2416" s="686"/>
      <c r="U2416" s="686"/>
      <c r="V2416" s="686"/>
      <c r="W2416" s="686"/>
      <c r="X2416" s="686"/>
      <c r="Y2416" s="686"/>
      <c r="Z2416" s="686"/>
      <c r="AA2416" s="686"/>
      <c r="AB2416" s="686"/>
      <c r="AC2416" s="686"/>
      <c r="AD2416" s="686"/>
      <c r="AE2416" s="686"/>
      <c r="AF2416" s="686"/>
    </row>
    <row r="2417" ht="15.75" customHeight="1">
      <c r="A2417" s="683"/>
      <c r="B2417" s="683"/>
      <c r="C2417" s="684"/>
      <c r="D2417" s="684"/>
      <c r="E2417" s="684"/>
      <c r="F2417" s="683"/>
      <c r="G2417" s="683"/>
      <c r="H2417" s="683"/>
      <c r="I2417" s="683"/>
      <c r="J2417" s="683"/>
      <c r="K2417" s="683"/>
      <c r="L2417" s="685"/>
      <c r="M2417" s="685"/>
      <c r="N2417" s="687"/>
      <c r="O2417" s="683"/>
      <c r="P2417" s="683"/>
      <c r="Q2417" s="686"/>
      <c r="R2417" s="686"/>
      <c r="S2417" s="686"/>
      <c r="T2417" s="686"/>
      <c r="U2417" s="686"/>
      <c r="V2417" s="686"/>
      <c r="W2417" s="686"/>
      <c r="X2417" s="686"/>
      <c r="Y2417" s="686"/>
      <c r="Z2417" s="686"/>
      <c r="AA2417" s="686"/>
      <c r="AB2417" s="686"/>
      <c r="AC2417" s="686"/>
      <c r="AD2417" s="686"/>
      <c r="AE2417" s="686"/>
      <c r="AF2417" s="686"/>
    </row>
    <row r="2418" ht="15.75" customHeight="1">
      <c r="A2418" s="683"/>
      <c r="B2418" s="683"/>
      <c r="C2418" s="684"/>
      <c r="D2418" s="684"/>
      <c r="E2418" s="684"/>
      <c r="F2418" s="683"/>
      <c r="G2418" s="683"/>
      <c r="H2418" s="683"/>
      <c r="I2418" s="683"/>
      <c r="J2418" s="683"/>
      <c r="K2418" s="683"/>
      <c r="L2418" s="685"/>
      <c r="M2418" s="685"/>
      <c r="N2418" s="687"/>
      <c r="O2418" s="683"/>
      <c r="P2418" s="683"/>
      <c r="Q2418" s="686"/>
      <c r="R2418" s="686"/>
      <c r="S2418" s="686"/>
      <c r="T2418" s="686"/>
      <c r="U2418" s="686"/>
      <c r="V2418" s="686"/>
      <c r="W2418" s="686"/>
      <c r="X2418" s="686"/>
      <c r="Y2418" s="686"/>
      <c r="Z2418" s="686"/>
      <c r="AA2418" s="686"/>
      <c r="AB2418" s="686"/>
      <c r="AC2418" s="686"/>
      <c r="AD2418" s="686"/>
      <c r="AE2418" s="686"/>
      <c r="AF2418" s="686"/>
    </row>
    <row r="2419" ht="15.75" customHeight="1">
      <c r="A2419" s="683"/>
      <c r="B2419" s="683"/>
      <c r="C2419" s="684"/>
      <c r="D2419" s="684"/>
      <c r="E2419" s="684"/>
      <c r="F2419" s="683"/>
      <c r="G2419" s="683"/>
      <c r="H2419" s="683"/>
      <c r="I2419" s="683"/>
      <c r="J2419" s="683"/>
      <c r="K2419" s="683"/>
      <c r="L2419" s="685"/>
      <c r="M2419" s="685"/>
      <c r="N2419" s="687"/>
      <c r="O2419" s="683"/>
      <c r="P2419" s="685"/>
      <c r="Q2419" s="686"/>
      <c r="R2419" s="686"/>
      <c r="S2419" s="686"/>
      <c r="T2419" s="686"/>
      <c r="U2419" s="686"/>
      <c r="V2419" s="686"/>
      <c r="W2419" s="686"/>
      <c r="X2419" s="686"/>
      <c r="Y2419" s="686"/>
      <c r="Z2419" s="686"/>
      <c r="AA2419" s="686"/>
      <c r="AB2419" s="686"/>
      <c r="AC2419" s="686"/>
      <c r="AD2419" s="686"/>
      <c r="AE2419" s="686"/>
      <c r="AF2419" s="686"/>
    </row>
    <row r="2420" ht="15.75" customHeight="1">
      <c r="A2420" s="683"/>
      <c r="B2420" s="683"/>
      <c r="C2420" s="684"/>
      <c r="D2420" s="684"/>
      <c r="E2420" s="684"/>
      <c r="F2420" s="683"/>
      <c r="G2420" s="683"/>
      <c r="H2420" s="683"/>
      <c r="I2420" s="683"/>
      <c r="J2420" s="683"/>
      <c r="K2420" s="683"/>
      <c r="L2420" s="685"/>
      <c r="M2420" s="685"/>
      <c r="N2420" s="687"/>
      <c r="O2420" s="683"/>
      <c r="P2420" s="683"/>
      <c r="Q2420" s="686"/>
      <c r="R2420" s="686"/>
      <c r="S2420" s="686"/>
      <c r="T2420" s="686"/>
      <c r="U2420" s="686"/>
      <c r="V2420" s="686"/>
      <c r="W2420" s="686"/>
      <c r="X2420" s="686"/>
      <c r="Y2420" s="686"/>
      <c r="Z2420" s="686"/>
      <c r="AA2420" s="686"/>
      <c r="AB2420" s="686"/>
      <c r="AC2420" s="686"/>
      <c r="AD2420" s="686"/>
      <c r="AE2420" s="686"/>
      <c r="AF2420" s="686"/>
    </row>
    <row r="2421" ht="15.75" customHeight="1">
      <c r="A2421" s="683"/>
      <c r="B2421" s="683"/>
      <c r="C2421" s="684"/>
      <c r="D2421" s="684"/>
      <c r="E2421" s="684"/>
      <c r="F2421" s="683"/>
      <c r="G2421" s="683"/>
      <c r="H2421" s="683"/>
      <c r="I2421" s="683"/>
      <c r="J2421" s="683"/>
      <c r="K2421" s="683"/>
      <c r="L2421" s="685"/>
      <c r="M2421" s="685"/>
      <c r="N2421" s="687"/>
      <c r="O2421" s="683"/>
      <c r="P2421" s="683"/>
      <c r="Q2421" s="686"/>
      <c r="R2421" s="686"/>
      <c r="S2421" s="686"/>
      <c r="T2421" s="686"/>
      <c r="U2421" s="686"/>
      <c r="V2421" s="686"/>
      <c r="W2421" s="686"/>
      <c r="X2421" s="686"/>
      <c r="Y2421" s="686"/>
      <c r="Z2421" s="686"/>
      <c r="AA2421" s="686"/>
      <c r="AB2421" s="686"/>
      <c r="AC2421" s="686"/>
      <c r="AD2421" s="686"/>
      <c r="AE2421" s="686"/>
      <c r="AF2421" s="686"/>
    </row>
    <row r="2422" ht="15.75" customHeight="1">
      <c r="A2422" s="683"/>
      <c r="B2422" s="683"/>
      <c r="C2422" s="684"/>
      <c r="D2422" s="684"/>
      <c r="E2422" s="684"/>
      <c r="F2422" s="683"/>
      <c r="G2422" s="683"/>
      <c r="H2422" s="683"/>
      <c r="I2422" s="683"/>
      <c r="J2422" s="683"/>
      <c r="K2422" s="683"/>
      <c r="L2422" s="685"/>
      <c r="M2422" s="685"/>
      <c r="N2422" s="687"/>
      <c r="O2422" s="683"/>
      <c r="P2422" s="683"/>
      <c r="Q2422" s="686"/>
      <c r="R2422" s="686"/>
      <c r="S2422" s="686"/>
      <c r="T2422" s="686"/>
      <c r="U2422" s="686"/>
      <c r="V2422" s="686"/>
      <c r="W2422" s="686"/>
      <c r="X2422" s="686"/>
      <c r="Y2422" s="686"/>
      <c r="Z2422" s="686"/>
      <c r="AA2422" s="686"/>
      <c r="AB2422" s="686"/>
      <c r="AC2422" s="686"/>
      <c r="AD2422" s="686"/>
      <c r="AE2422" s="686"/>
      <c r="AF2422" s="686"/>
    </row>
    <row r="2423" ht="15.75" customHeight="1">
      <c r="A2423" s="683"/>
      <c r="B2423" s="683"/>
      <c r="C2423" s="684"/>
      <c r="D2423" s="684"/>
      <c r="E2423" s="684"/>
      <c r="F2423" s="683"/>
      <c r="G2423" s="683"/>
      <c r="H2423" s="683"/>
      <c r="I2423" s="683"/>
      <c r="J2423" s="683"/>
      <c r="K2423" s="683"/>
      <c r="L2423" s="685"/>
      <c r="M2423" s="685"/>
      <c r="N2423" s="687"/>
      <c r="O2423" s="683"/>
      <c r="P2423" s="683"/>
      <c r="Q2423" s="686"/>
      <c r="R2423" s="686"/>
      <c r="S2423" s="686"/>
      <c r="T2423" s="686"/>
      <c r="U2423" s="686"/>
      <c r="V2423" s="686"/>
      <c r="W2423" s="686"/>
      <c r="X2423" s="686"/>
      <c r="Y2423" s="686"/>
      <c r="Z2423" s="686"/>
      <c r="AA2423" s="686"/>
      <c r="AB2423" s="686"/>
      <c r="AC2423" s="686"/>
      <c r="AD2423" s="686"/>
      <c r="AE2423" s="686"/>
      <c r="AF2423" s="686"/>
    </row>
    <row r="2424" ht="15.75" customHeight="1">
      <c r="A2424" s="683"/>
      <c r="B2424" s="683"/>
      <c r="C2424" s="684"/>
      <c r="D2424" s="684"/>
      <c r="E2424" s="684"/>
      <c r="F2424" s="683"/>
      <c r="G2424" s="683"/>
      <c r="H2424" s="683"/>
      <c r="I2424" s="683"/>
      <c r="J2424" s="683"/>
      <c r="K2424" s="683"/>
      <c r="L2424" s="685"/>
      <c r="M2424" s="685"/>
      <c r="N2424" s="687"/>
      <c r="O2424" s="683"/>
      <c r="P2424" s="683"/>
      <c r="Q2424" s="686"/>
      <c r="R2424" s="686"/>
      <c r="S2424" s="686"/>
      <c r="T2424" s="686"/>
      <c r="U2424" s="686"/>
      <c r="V2424" s="686"/>
      <c r="W2424" s="686"/>
      <c r="X2424" s="686"/>
      <c r="Y2424" s="686"/>
      <c r="Z2424" s="686"/>
      <c r="AA2424" s="686"/>
      <c r="AB2424" s="686"/>
      <c r="AC2424" s="686"/>
      <c r="AD2424" s="686"/>
      <c r="AE2424" s="686"/>
      <c r="AF2424" s="686"/>
    </row>
    <row r="2425" ht="15.75" customHeight="1">
      <c r="A2425" s="683"/>
      <c r="B2425" s="683"/>
      <c r="C2425" s="684"/>
      <c r="D2425" s="684"/>
      <c r="E2425" s="684"/>
      <c r="F2425" s="683"/>
      <c r="G2425" s="683"/>
      <c r="H2425" s="683"/>
      <c r="I2425" s="683"/>
      <c r="J2425" s="683"/>
      <c r="K2425" s="683"/>
      <c r="L2425" s="685"/>
      <c r="M2425" s="685"/>
      <c r="N2425" s="687"/>
      <c r="O2425" s="683"/>
      <c r="P2425" s="683"/>
      <c r="Q2425" s="686"/>
      <c r="R2425" s="686"/>
      <c r="S2425" s="686"/>
      <c r="T2425" s="686"/>
      <c r="U2425" s="686"/>
      <c r="V2425" s="686"/>
      <c r="W2425" s="686"/>
      <c r="X2425" s="686"/>
      <c r="Y2425" s="686"/>
      <c r="Z2425" s="686"/>
      <c r="AA2425" s="686"/>
      <c r="AB2425" s="686"/>
      <c r="AC2425" s="686"/>
      <c r="AD2425" s="686"/>
      <c r="AE2425" s="686"/>
      <c r="AF2425" s="686"/>
    </row>
    <row r="2426" ht="15.75" customHeight="1">
      <c r="A2426" s="683"/>
      <c r="B2426" s="683"/>
      <c r="C2426" s="684"/>
      <c r="D2426" s="684"/>
      <c r="E2426" s="684"/>
      <c r="F2426" s="683"/>
      <c r="G2426" s="683"/>
      <c r="H2426" s="683"/>
      <c r="I2426" s="683"/>
      <c r="J2426" s="683"/>
      <c r="K2426" s="683"/>
      <c r="L2426" s="685"/>
      <c r="M2426" s="685"/>
      <c r="N2426" s="687"/>
      <c r="O2426" s="683"/>
      <c r="P2426" s="683"/>
      <c r="Q2426" s="686"/>
      <c r="R2426" s="686"/>
      <c r="S2426" s="686"/>
      <c r="T2426" s="686"/>
      <c r="U2426" s="686"/>
      <c r="V2426" s="686"/>
      <c r="W2426" s="686"/>
      <c r="X2426" s="686"/>
      <c r="Y2426" s="686"/>
      <c r="Z2426" s="686"/>
      <c r="AA2426" s="686"/>
      <c r="AB2426" s="686"/>
      <c r="AC2426" s="686"/>
      <c r="AD2426" s="686"/>
      <c r="AE2426" s="686"/>
      <c r="AF2426" s="686"/>
    </row>
    <row r="2427" ht="15.75" customHeight="1">
      <c r="A2427" s="683"/>
      <c r="B2427" s="683"/>
      <c r="C2427" s="684"/>
      <c r="D2427" s="684"/>
      <c r="E2427" s="684"/>
      <c r="F2427" s="683"/>
      <c r="G2427" s="683"/>
      <c r="H2427" s="683"/>
      <c r="I2427" s="683"/>
      <c r="J2427" s="683"/>
      <c r="K2427" s="683"/>
      <c r="L2427" s="685"/>
      <c r="M2427" s="685"/>
      <c r="N2427" s="687"/>
      <c r="O2427" s="683"/>
      <c r="P2427" s="683"/>
      <c r="Q2427" s="686"/>
      <c r="R2427" s="686"/>
      <c r="S2427" s="686"/>
      <c r="T2427" s="686"/>
      <c r="U2427" s="686"/>
      <c r="V2427" s="686"/>
      <c r="W2427" s="686"/>
      <c r="X2427" s="686"/>
      <c r="Y2427" s="686"/>
      <c r="Z2427" s="686"/>
      <c r="AA2427" s="686"/>
      <c r="AB2427" s="686"/>
      <c r="AC2427" s="686"/>
      <c r="AD2427" s="686"/>
      <c r="AE2427" s="686"/>
      <c r="AF2427" s="686"/>
    </row>
    <row r="2428" ht="15.75" customHeight="1">
      <c r="A2428" s="683"/>
      <c r="B2428" s="683"/>
      <c r="C2428" s="684"/>
      <c r="D2428" s="684"/>
      <c r="E2428" s="684"/>
      <c r="F2428" s="683"/>
      <c r="G2428" s="683"/>
      <c r="H2428" s="683"/>
      <c r="I2428" s="683"/>
      <c r="J2428" s="683"/>
      <c r="K2428" s="683"/>
      <c r="L2428" s="685"/>
      <c r="M2428" s="685"/>
      <c r="N2428" s="687"/>
      <c r="O2428" s="683"/>
      <c r="P2428" s="683"/>
      <c r="Q2428" s="686"/>
      <c r="R2428" s="686"/>
      <c r="S2428" s="686"/>
      <c r="T2428" s="686"/>
      <c r="U2428" s="686"/>
      <c r="V2428" s="686"/>
      <c r="W2428" s="686"/>
      <c r="X2428" s="686"/>
      <c r="Y2428" s="686"/>
      <c r="Z2428" s="686"/>
      <c r="AA2428" s="686"/>
      <c r="AB2428" s="686"/>
      <c r="AC2428" s="686"/>
      <c r="AD2428" s="686"/>
      <c r="AE2428" s="686"/>
      <c r="AF2428" s="686"/>
    </row>
    <row r="2429" ht="15.75" customHeight="1">
      <c r="A2429" s="683"/>
      <c r="B2429" s="683"/>
      <c r="C2429" s="684"/>
      <c r="D2429" s="684"/>
      <c r="E2429" s="684"/>
      <c r="F2429" s="683"/>
      <c r="G2429" s="683"/>
      <c r="H2429" s="683"/>
      <c r="I2429" s="683"/>
      <c r="J2429" s="683"/>
      <c r="K2429" s="683"/>
      <c r="L2429" s="685"/>
      <c r="M2429" s="685"/>
      <c r="N2429" s="687"/>
      <c r="O2429" s="683"/>
      <c r="P2429" s="683"/>
      <c r="Q2429" s="686"/>
      <c r="R2429" s="686"/>
      <c r="S2429" s="686"/>
      <c r="T2429" s="686"/>
      <c r="U2429" s="686"/>
      <c r="V2429" s="686"/>
      <c r="W2429" s="686"/>
      <c r="X2429" s="686"/>
      <c r="Y2429" s="686"/>
      <c r="Z2429" s="686"/>
      <c r="AA2429" s="686"/>
      <c r="AB2429" s="686"/>
      <c r="AC2429" s="686"/>
      <c r="AD2429" s="686"/>
      <c r="AE2429" s="686"/>
      <c r="AF2429" s="686"/>
    </row>
    <row r="2430" ht="15.75" customHeight="1">
      <c r="A2430" s="683"/>
      <c r="B2430" s="683"/>
      <c r="C2430" s="684"/>
      <c r="D2430" s="684"/>
      <c r="E2430" s="684"/>
      <c r="F2430" s="683"/>
      <c r="G2430" s="683"/>
      <c r="H2430" s="683"/>
      <c r="I2430" s="683"/>
      <c r="J2430" s="683"/>
      <c r="K2430" s="683"/>
      <c r="L2430" s="685"/>
      <c r="M2430" s="685"/>
      <c r="N2430" s="687"/>
      <c r="O2430" s="683"/>
      <c r="P2430" s="683"/>
      <c r="Q2430" s="686"/>
      <c r="R2430" s="686"/>
      <c r="S2430" s="686"/>
      <c r="T2430" s="686"/>
      <c r="U2430" s="686"/>
      <c r="V2430" s="686"/>
      <c r="W2430" s="686"/>
      <c r="X2430" s="686"/>
      <c r="Y2430" s="686"/>
      <c r="Z2430" s="686"/>
      <c r="AA2430" s="686"/>
      <c r="AB2430" s="686"/>
      <c r="AC2430" s="686"/>
      <c r="AD2430" s="686"/>
      <c r="AE2430" s="686"/>
      <c r="AF2430" s="686"/>
    </row>
    <row r="2431" ht="15.75" customHeight="1">
      <c r="A2431" s="683"/>
      <c r="B2431" s="683"/>
      <c r="C2431" s="684"/>
      <c r="D2431" s="684"/>
      <c r="E2431" s="684"/>
      <c r="F2431" s="683"/>
      <c r="G2431" s="683"/>
      <c r="H2431" s="683"/>
      <c r="I2431" s="683"/>
      <c r="J2431" s="683"/>
      <c r="K2431" s="683"/>
      <c r="L2431" s="685"/>
      <c r="M2431" s="685"/>
      <c r="N2431" s="687"/>
      <c r="O2431" s="683"/>
      <c r="P2431" s="683"/>
      <c r="Q2431" s="686"/>
      <c r="R2431" s="686"/>
      <c r="S2431" s="686"/>
      <c r="T2431" s="686"/>
      <c r="U2431" s="686"/>
      <c r="V2431" s="686"/>
      <c r="W2431" s="686"/>
      <c r="X2431" s="686"/>
      <c r="Y2431" s="686"/>
      <c r="Z2431" s="686"/>
      <c r="AA2431" s="686"/>
      <c r="AB2431" s="686"/>
      <c r="AC2431" s="686"/>
      <c r="AD2431" s="686"/>
      <c r="AE2431" s="686"/>
      <c r="AF2431" s="686"/>
    </row>
    <row r="2432" ht="15.75" customHeight="1">
      <c r="A2432" s="683"/>
      <c r="B2432" s="683"/>
      <c r="C2432" s="684"/>
      <c r="D2432" s="684"/>
      <c r="E2432" s="684"/>
      <c r="F2432" s="683"/>
      <c r="G2432" s="683"/>
      <c r="H2432" s="683"/>
      <c r="I2432" s="683"/>
      <c r="J2432" s="683"/>
      <c r="K2432" s="683"/>
      <c r="L2432" s="685"/>
      <c r="M2432" s="685"/>
      <c r="N2432" s="687"/>
      <c r="O2432" s="683"/>
      <c r="P2432" s="683"/>
      <c r="Q2432" s="686"/>
      <c r="R2432" s="686"/>
      <c r="S2432" s="686"/>
      <c r="T2432" s="686"/>
      <c r="U2432" s="686"/>
      <c r="V2432" s="686"/>
      <c r="W2432" s="686"/>
      <c r="X2432" s="686"/>
      <c r="Y2432" s="686"/>
      <c r="Z2432" s="686"/>
      <c r="AA2432" s="686"/>
      <c r="AB2432" s="686"/>
      <c r="AC2432" s="686"/>
      <c r="AD2432" s="686"/>
      <c r="AE2432" s="686"/>
      <c r="AF2432" s="686"/>
    </row>
    <row r="2433" ht="15.75" customHeight="1">
      <c r="A2433" s="683"/>
      <c r="B2433" s="683"/>
      <c r="C2433" s="684"/>
      <c r="D2433" s="684"/>
      <c r="E2433" s="684"/>
      <c r="F2433" s="683"/>
      <c r="G2433" s="683"/>
      <c r="H2433" s="683"/>
      <c r="I2433" s="683"/>
      <c r="J2433" s="683"/>
      <c r="K2433" s="683"/>
      <c r="L2433" s="685"/>
      <c r="M2433" s="685"/>
      <c r="N2433" s="687"/>
      <c r="O2433" s="683"/>
      <c r="P2433" s="683"/>
      <c r="Q2433" s="686"/>
      <c r="R2433" s="686"/>
      <c r="S2433" s="686"/>
      <c r="T2433" s="686"/>
      <c r="U2433" s="686"/>
      <c r="V2433" s="686"/>
      <c r="W2433" s="686"/>
      <c r="X2433" s="686"/>
      <c r="Y2433" s="686"/>
      <c r="Z2433" s="686"/>
      <c r="AA2433" s="686"/>
      <c r="AB2433" s="686"/>
      <c r="AC2433" s="686"/>
      <c r="AD2433" s="686"/>
      <c r="AE2433" s="686"/>
      <c r="AF2433" s="686"/>
    </row>
    <row r="2434" ht="15.75" customHeight="1">
      <c r="A2434" s="683"/>
      <c r="B2434" s="683"/>
      <c r="C2434" s="684"/>
      <c r="D2434" s="684"/>
      <c r="E2434" s="684"/>
      <c r="F2434" s="683"/>
      <c r="G2434" s="683"/>
      <c r="H2434" s="683"/>
      <c r="I2434" s="683"/>
      <c r="J2434" s="683"/>
      <c r="K2434" s="683"/>
      <c r="L2434" s="685"/>
      <c r="M2434" s="685"/>
      <c r="N2434" s="687"/>
      <c r="O2434" s="683"/>
      <c r="P2434" s="683"/>
      <c r="Q2434" s="686"/>
      <c r="R2434" s="686"/>
      <c r="S2434" s="686"/>
      <c r="T2434" s="686"/>
      <c r="U2434" s="686"/>
      <c r="V2434" s="686"/>
      <c r="W2434" s="686"/>
      <c r="X2434" s="686"/>
      <c r="Y2434" s="686"/>
      <c r="Z2434" s="686"/>
      <c r="AA2434" s="686"/>
      <c r="AB2434" s="686"/>
      <c r="AC2434" s="686"/>
      <c r="AD2434" s="686"/>
      <c r="AE2434" s="686"/>
      <c r="AF2434" s="686"/>
    </row>
    <row r="2435" ht="15.75" customHeight="1">
      <c r="A2435" s="683"/>
      <c r="B2435" s="683"/>
      <c r="C2435" s="684"/>
      <c r="D2435" s="684"/>
      <c r="E2435" s="684"/>
      <c r="F2435" s="683"/>
      <c r="G2435" s="683"/>
      <c r="H2435" s="683"/>
      <c r="I2435" s="683"/>
      <c r="J2435" s="683"/>
      <c r="K2435" s="683"/>
      <c r="L2435" s="685"/>
      <c r="M2435" s="685"/>
      <c r="N2435" s="687"/>
      <c r="O2435" s="683"/>
      <c r="P2435" s="683"/>
      <c r="Q2435" s="686"/>
      <c r="R2435" s="686"/>
      <c r="S2435" s="686"/>
      <c r="T2435" s="686"/>
      <c r="U2435" s="686"/>
      <c r="V2435" s="686"/>
      <c r="W2435" s="686"/>
      <c r="X2435" s="686"/>
      <c r="Y2435" s="686"/>
      <c r="Z2435" s="686"/>
      <c r="AA2435" s="686"/>
      <c r="AB2435" s="686"/>
      <c r="AC2435" s="686"/>
      <c r="AD2435" s="686"/>
      <c r="AE2435" s="686"/>
      <c r="AF2435" s="686"/>
    </row>
    <row r="2436" ht="15.75" customHeight="1">
      <c r="A2436" s="683"/>
      <c r="B2436" s="683"/>
      <c r="C2436" s="684"/>
      <c r="D2436" s="684"/>
      <c r="E2436" s="684"/>
      <c r="F2436" s="683"/>
      <c r="G2436" s="683"/>
      <c r="H2436" s="683"/>
      <c r="I2436" s="683"/>
      <c r="J2436" s="683"/>
      <c r="K2436" s="683"/>
      <c r="L2436" s="685"/>
      <c r="M2436" s="685"/>
      <c r="N2436" s="687"/>
      <c r="O2436" s="683"/>
      <c r="P2436" s="683"/>
      <c r="Q2436" s="686"/>
      <c r="R2436" s="686"/>
      <c r="S2436" s="686"/>
      <c r="T2436" s="686"/>
      <c r="U2436" s="686"/>
      <c r="V2436" s="686"/>
      <c r="W2436" s="686"/>
      <c r="X2436" s="686"/>
      <c r="Y2436" s="686"/>
      <c r="Z2436" s="686"/>
      <c r="AA2436" s="686"/>
      <c r="AB2436" s="686"/>
      <c r="AC2436" s="686"/>
      <c r="AD2436" s="686"/>
      <c r="AE2436" s="686"/>
      <c r="AF2436" s="686"/>
    </row>
    <row r="2437" ht="15.75" customHeight="1">
      <c r="A2437" s="683"/>
      <c r="B2437" s="683"/>
      <c r="C2437" s="684"/>
      <c r="D2437" s="684"/>
      <c r="E2437" s="684"/>
      <c r="F2437" s="683"/>
      <c r="G2437" s="683"/>
      <c r="H2437" s="683"/>
      <c r="I2437" s="683"/>
      <c r="J2437" s="683"/>
      <c r="K2437" s="683"/>
      <c r="L2437" s="685"/>
      <c r="M2437" s="685"/>
      <c r="N2437" s="687"/>
      <c r="O2437" s="683"/>
      <c r="P2437" s="683"/>
      <c r="Q2437" s="686"/>
      <c r="R2437" s="686"/>
      <c r="S2437" s="686"/>
      <c r="T2437" s="686"/>
      <c r="U2437" s="686"/>
      <c r="V2437" s="686"/>
      <c r="W2437" s="686"/>
      <c r="X2437" s="686"/>
      <c r="Y2437" s="686"/>
      <c r="Z2437" s="686"/>
      <c r="AA2437" s="686"/>
      <c r="AB2437" s="686"/>
      <c r="AC2437" s="686"/>
      <c r="AD2437" s="686"/>
      <c r="AE2437" s="686"/>
      <c r="AF2437" s="686"/>
    </row>
    <row r="2438" ht="15.75" customHeight="1">
      <c r="A2438" s="683"/>
      <c r="B2438" s="683"/>
      <c r="C2438" s="684"/>
      <c r="D2438" s="684"/>
      <c r="E2438" s="684"/>
      <c r="F2438" s="683"/>
      <c r="G2438" s="683"/>
      <c r="H2438" s="683"/>
      <c r="I2438" s="683"/>
      <c r="J2438" s="683"/>
      <c r="K2438" s="683"/>
      <c r="L2438" s="685"/>
      <c r="M2438" s="685"/>
      <c r="N2438" s="687"/>
      <c r="O2438" s="683"/>
      <c r="P2438" s="683"/>
      <c r="Q2438" s="686"/>
      <c r="R2438" s="686"/>
      <c r="S2438" s="686"/>
      <c r="T2438" s="686"/>
      <c r="U2438" s="686"/>
      <c r="V2438" s="686"/>
      <c r="W2438" s="686"/>
      <c r="X2438" s="686"/>
      <c r="Y2438" s="686"/>
      <c r="Z2438" s="686"/>
      <c r="AA2438" s="686"/>
      <c r="AB2438" s="686"/>
      <c r="AC2438" s="686"/>
      <c r="AD2438" s="686"/>
      <c r="AE2438" s="686"/>
      <c r="AF2438" s="686"/>
    </row>
    <row r="2439" ht="15.75" customHeight="1">
      <c r="A2439" s="683"/>
      <c r="B2439" s="683"/>
      <c r="C2439" s="684"/>
      <c r="D2439" s="684"/>
      <c r="E2439" s="684"/>
      <c r="F2439" s="683"/>
      <c r="G2439" s="683"/>
      <c r="H2439" s="683"/>
      <c r="I2439" s="683"/>
      <c r="J2439" s="683"/>
      <c r="K2439" s="683"/>
      <c r="L2439" s="685"/>
      <c r="M2439" s="685"/>
      <c r="N2439" s="687"/>
      <c r="O2439" s="683"/>
      <c r="P2439" s="683"/>
      <c r="Q2439" s="686"/>
      <c r="R2439" s="686"/>
      <c r="S2439" s="686"/>
      <c r="T2439" s="686"/>
      <c r="U2439" s="686"/>
      <c r="V2439" s="686"/>
      <c r="W2439" s="686"/>
      <c r="X2439" s="686"/>
      <c r="Y2439" s="686"/>
      <c r="Z2439" s="686"/>
      <c r="AA2439" s="686"/>
      <c r="AB2439" s="686"/>
      <c r="AC2439" s="686"/>
      <c r="AD2439" s="686"/>
      <c r="AE2439" s="686"/>
      <c r="AF2439" s="686"/>
    </row>
    <row r="2440" ht="15.75" customHeight="1">
      <c r="A2440" s="683"/>
      <c r="B2440" s="683"/>
      <c r="C2440" s="684"/>
      <c r="D2440" s="684"/>
      <c r="E2440" s="684"/>
      <c r="F2440" s="683"/>
      <c r="G2440" s="683"/>
      <c r="H2440" s="683"/>
      <c r="I2440" s="683"/>
      <c r="J2440" s="683"/>
      <c r="K2440" s="683"/>
      <c r="L2440" s="685"/>
      <c r="M2440" s="685"/>
      <c r="N2440" s="687"/>
      <c r="O2440" s="683"/>
      <c r="P2440" s="683"/>
      <c r="Q2440" s="686"/>
      <c r="R2440" s="686"/>
      <c r="S2440" s="686"/>
      <c r="T2440" s="686"/>
      <c r="U2440" s="686"/>
      <c r="V2440" s="686"/>
      <c r="W2440" s="686"/>
      <c r="X2440" s="686"/>
      <c r="Y2440" s="686"/>
      <c r="Z2440" s="686"/>
      <c r="AA2440" s="686"/>
      <c r="AB2440" s="686"/>
      <c r="AC2440" s="686"/>
      <c r="AD2440" s="686"/>
      <c r="AE2440" s="686"/>
      <c r="AF2440" s="686"/>
    </row>
    <row r="2441" ht="15.75" customHeight="1">
      <c r="A2441" s="683"/>
      <c r="B2441" s="683"/>
      <c r="C2441" s="684"/>
      <c r="D2441" s="684"/>
      <c r="E2441" s="684"/>
      <c r="F2441" s="683"/>
      <c r="G2441" s="683"/>
      <c r="H2441" s="683"/>
      <c r="I2441" s="683"/>
      <c r="J2441" s="683"/>
      <c r="K2441" s="683"/>
      <c r="L2441" s="685"/>
      <c r="M2441" s="685"/>
      <c r="N2441" s="687"/>
      <c r="O2441" s="683"/>
      <c r="P2441" s="683"/>
      <c r="Q2441" s="686"/>
      <c r="R2441" s="686"/>
      <c r="S2441" s="686"/>
      <c r="T2441" s="686"/>
      <c r="U2441" s="686"/>
      <c r="V2441" s="686"/>
      <c r="W2441" s="686"/>
      <c r="X2441" s="686"/>
      <c r="Y2441" s="686"/>
      <c r="Z2441" s="686"/>
      <c r="AA2441" s="686"/>
      <c r="AB2441" s="686"/>
      <c r="AC2441" s="686"/>
      <c r="AD2441" s="686"/>
      <c r="AE2441" s="686"/>
      <c r="AF2441" s="686"/>
    </row>
    <row r="2442" ht="15.75" customHeight="1">
      <c r="A2442" s="683"/>
      <c r="B2442" s="683"/>
      <c r="C2442" s="684"/>
      <c r="D2442" s="684"/>
      <c r="E2442" s="684"/>
      <c r="F2442" s="683"/>
      <c r="G2442" s="683"/>
      <c r="H2442" s="683"/>
      <c r="I2442" s="683"/>
      <c r="J2442" s="683"/>
      <c r="K2442" s="683"/>
      <c r="L2442" s="685"/>
      <c r="M2442" s="685"/>
      <c r="N2442" s="687"/>
      <c r="O2442" s="683"/>
      <c r="P2442" s="683"/>
      <c r="Q2442" s="686"/>
      <c r="R2442" s="686"/>
      <c r="S2442" s="686"/>
      <c r="T2442" s="686"/>
      <c r="U2442" s="686"/>
      <c r="V2442" s="686"/>
      <c r="W2442" s="686"/>
      <c r="X2442" s="686"/>
      <c r="Y2442" s="686"/>
      <c r="Z2442" s="686"/>
      <c r="AA2442" s="686"/>
      <c r="AB2442" s="686"/>
      <c r="AC2442" s="686"/>
      <c r="AD2442" s="686"/>
      <c r="AE2442" s="686"/>
      <c r="AF2442" s="686"/>
    </row>
    <row r="2443" ht="15.75" customHeight="1">
      <c r="A2443" s="683"/>
      <c r="B2443" s="683"/>
      <c r="C2443" s="684"/>
      <c r="D2443" s="684"/>
      <c r="E2443" s="684"/>
      <c r="F2443" s="683"/>
      <c r="G2443" s="683"/>
      <c r="H2443" s="683"/>
      <c r="I2443" s="683"/>
      <c r="J2443" s="683"/>
      <c r="K2443" s="683"/>
      <c r="L2443" s="685"/>
      <c r="M2443" s="685"/>
      <c r="N2443" s="687"/>
      <c r="O2443" s="683"/>
      <c r="P2443" s="683"/>
      <c r="Q2443" s="686"/>
      <c r="R2443" s="686"/>
      <c r="S2443" s="686"/>
      <c r="T2443" s="686"/>
      <c r="U2443" s="686"/>
      <c r="V2443" s="686"/>
      <c r="W2443" s="686"/>
      <c r="X2443" s="686"/>
      <c r="Y2443" s="686"/>
      <c r="Z2443" s="686"/>
      <c r="AA2443" s="686"/>
      <c r="AB2443" s="686"/>
      <c r="AC2443" s="686"/>
      <c r="AD2443" s="686"/>
      <c r="AE2443" s="686"/>
      <c r="AF2443" s="686"/>
    </row>
    <row r="2444" ht="15.75" customHeight="1">
      <c r="A2444" s="683"/>
      <c r="B2444" s="683"/>
      <c r="C2444" s="684"/>
      <c r="D2444" s="684"/>
      <c r="E2444" s="684"/>
      <c r="F2444" s="683"/>
      <c r="G2444" s="683"/>
      <c r="H2444" s="683"/>
      <c r="I2444" s="683"/>
      <c r="J2444" s="683"/>
      <c r="K2444" s="683"/>
      <c r="L2444" s="685"/>
      <c r="M2444" s="685"/>
      <c r="N2444" s="687"/>
      <c r="O2444" s="683"/>
      <c r="P2444" s="683"/>
      <c r="Q2444" s="686"/>
      <c r="R2444" s="686"/>
      <c r="S2444" s="686"/>
      <c r="T2444" s="686"/>
      <c r="U2444" s="686"/>
      <c r="V2444" s="686"/>
      <c r="W2444" s="686"/>
      <c r="X2444" s="686"/>
      <c r="Y2444" s="686"/>
      <c r="Z2444" s="686"/>
      <c r="AA2444" s="686"/>
      <c r="AB2444" s="686"/>
      <c r="AC2444" s="686"/>
      <c r="AD2444" s="686"/>
      <c r="AE2444" s="686"/>
      <c r="AF2444" s="686"/>
    </row>
    <row r="2445" ht="15.75" customHeight="1">
      <c r="A2445" s="683"/>
      <c r="B2445" s="683"/>
      <c r="C2445" s="684"/>
      <c r="D2445" s="684"/>
      <c r="E2445" s="684"/>
      <c r="F2445" s="683"/>
      <c r="G2445" s="683"/>
      <c r="H2445" s="683"/>
      <c r="I2445" s="683"/>
      <c r="J2445" s="683"/>
      <c r="K2445" s="683"/>
      <c r="L2445" s="685"/>
      <c r="M2445" s="685"/>
      <c r="N2445" s="687"/>
      <c r="O2445" s="683"/>
      <c r="P2445" s="683"/>
      <c r="Q2445" s="686"/>
      <c r="R2445" s="686"/>
      <c r="S2445" s="686"/>
      <c r="T2445" s="686"/>
      <c r="U2445" s="686"/>
      <c r="V2445" s="686"/>
      <c r="W2445" s="686"/>
      <c r="X2445" s="686"/>
      <c r="Y2445" s="686"/>
      <c r="Z2445" s="686"/>
      <c r="AA2445" s="686"/>
      <c r="AB2445" s="686"/>
      <c r="AC2445" s="686"/>
      <c r="AD2445" s="686"/>
      <c r="AE2445" s="686"/>
      <c r="AF2445" s="686"/>
    </row>
    <row r="2446" ht="15.75" customHeight="1">
      <c r="A2446" s="683"/>
      <c r="B2446" s="683"/>
      <c r="C2446" s="684"/>
      <c r="D2446" s="684"/>
      <c r="E2446" s="684"/>
      <c r="F2446" s="683"/>
      <c r="G2446" s="683"/>
      <c r="H2446" s="683"/>
      <c r="I2446" s="683"/>
      <c r="J2446" s="683"/>
      <c r="K2446" s="683"/>
      <c r="L2446" s="685"/>
      <c r="M2446" s="685"/>
      <c r="N2446" s="687"/>
      <c r="O2446" s="683"/>
      <c r="P2446" s="683"/>
      <c r="Q2446" s="686"/>
      <c r="R2446" s="686"/>
      <c r="S2446" s="686"/>
      <c r="T2446" s="686"/>
      <c r="U2446" s="686"/>
      <c r="V2446" s="686"/>
      <c r="W2446" s="686"/>
      <c r="X2446" s="686"/>
      <c r="Y2446" s="686"/>
      <c r="Z2446" s="686"/>
      <c r="AA2446" s="686"/>
      <c r="AB2446" s="686"/>
      <c r="AC2446" s="686"/>
      <c r="AD2446" s="686"/>
      <c r="AE2446" s="686"/>
      <c r="AF2446" s="686"/>
    </row>
    <row r="2447" ht="15.75" customHeight="1">
      <c r="A2447" s="683"/>
      <c r="B2447" s="683"/>
      <c r="C2447" s="684"/>
      <c r="D2447" s="684"/>
      <c r="E2447" s="684"/>
      <c r="F2447" s="683"/>
      <c r="G2447" s="683"/>
      <c r="H2447" s="683"/>
      <c r="I2447" s="683"/>
      <c r="J2447" s="683"/>
      <c r="K2447" s="683"/>
      <c r="L2447" s="685"/>
      <c r="M2447" s="685"/>
      <c r="N2447" s="687"/>
      <c r="O2447" s="683"/>
      <c r="P2447" s="683"/>
      <c r="Q2447" s="686"/>
      <c r="R2447" s="686"/>
      <c r="S2447" s="686"/>
      <c r="T2447" s="686"/>
      <c r="U2447" s="686"/>
      <c r="V2447" s="686"/>
      <c r="W2447" s="686"/>
      <c r="X2447" s="686"/>
      <c r="Y2447" s="686"/>
      <c r="Z2447" s="686"/>
      <c r="AA2447" s="686"/>
      <c r="AB2447" s="686"/>
      <c r="AC2447" s="686"/>
      <c r="AD2447" s="686"/>
      <c r="AE2447" s="686"/>
      <c r="AF2447" s="686"/>
    </row>
    <row r="2448" ht="15.75" customHeight="1">
      <c r="A2448" s="683"/>
      <c r="B2448" s="683"/>
      <c r="C2448" s="684"/>
      <c r="D2448" s="684"/>
      <c r="E2448" s="684"/>
      <c r="F2448" s="683"/>
      <c r="G2448" s="683"/>
      <c r="H2448" s="683"/>
      <c r="I2448" s="683"/>
      <c r="J2448" s="683"/>
      <c r="K2448" s="683"/>
      <c r="L2448" s="685"/>
      <c r="M2448" s="685"/>
      <c r="N2448" s="687"/>
      <c r="O2448" s="683"/>
      <c r="P2448" s="683"/>
      <c r="Q2448" s="686"/>
      <c r="R2448" s="686"/>
      <c r="S2448" s="686"/>
      <c r="T2448" s="686"/>
      <c r="U2448" s="686"/>
      <c r="V2448" s="686"/>
      <c r="W2448" s="686"/>
      <c r="X2448" s="686"/>
      <c r="Y2448" s="686"/>
      <c r="Z2448" s="686"/>
      <c r="AA2448" s="686"/>
      <c r="AB2448" s="686"/>
      <c r="AC2448" s="686"/>
      <c r="AD2448" s="686"/>
      <c r="AE2448" s="686"/>
      <c r="AF2448" s="686"/>
    </row>
    <row r="2449" ht="15.75" customHeight="1">
      <c r="A2449" s="683"/>
      <c r="B2449" s="683"/>
      <c r="C2449" s="684"/>
      <c r="D2449" s="684"/>
      <c r="E2449" s="684"/>
      <c r="F2449" s="683"/>
      <c r="G2449" s="683"/>
      <c r="H2449" s="683"/>
      <c r="I2449" s="683"/>
      <c r="J2449" s="683"/>
      <c r="K2449" s="683"/>
      <c r="L2449" s="685"/>
      <c r="M2449" s="685"/>
      <c r="N2449" s="687"/>
      <c r="O2449" s="683"/>
      <c r="P2449" s="683"/>
      <c r="Q2449" s="686"/>
      <c r="R2449" s="686"/>
      <c r="S2449" s="686"/>
      <c r="T2449" s="686"/>
      <c r="U2449" s="686"/>
      <c r="V2449" s="686"/>
      <c r="W2449" s="686"/>
      <c r="X2449" s="686"/>
      <c r="Y2449" s="686"/>
      <c r="Z2449" s="686"/>
      <c r="AA2449" s="686"/>
      <c r="AB2449" s="686"/>
      <c r="AC2449" s="686"/>
      <c r="AD2449" s="686"/>
      <c r="AE2449" s="686"/>
      <c r="AF2449" s="686"/>
    </row>
    <row r="2450" ht="15.75" customHeight="1">
      <c r="A2450" s="683"/>
      <c r="B2450" s="683"/>
      <c r="C2450" s="684"/>
      <c r="D2450" s="684"/>
      <c r="E2450" s="684"/>
      <c r="F2450" s="683"/>
      <c r="G2450" s="683"/>
      <c r="H2450" s="683"/>
      <c r="I2450" s="683"/>
      <c r="J2450" s="683"/>
      <c r="K2450" s="683"/>
      <c r="L2450" s="685"/>
      <c r="M2450" s="685"/>
      <c r="N2450" s="687"/>
      <c r="O2450" s="683"/>
      <c r="P2450" s="683"/>
      <c r="Q2450" s="686"/>
      <c r="R2450" s="686"/>
      <c r="S2450" s="686"/>
      <c r="T2450" s="686"/>
      <c r="U2450" s="686"/>
      <c r="V2450" s="686"/>
      <c r="W2450" s="686"/>
      <c r="X2450" s="686"/>
      <c r="Y2450" s="686"/>
      <c r="Z2450" s="686"/>
      <c r="AA2450" s="686"/>
      <c r="AB2450" s="686"/>
      <c r="AC2450" s="686"/>
      <c r="AD2450" s="686"/>
      <c r="AE2450" s="686"/>
      <c r="AF2450" s="686"/>
    </row>
    <row r="2451" ht="15.75" customHeight="1">
      <c r="A2451" s="683"/>
      <c r="B2451" s="683"/>
      <c r="C2451" s="684"/>
      <c r="D2451" s="684"/>
      <c r="E2451" s="684"/>
      <c r="F2451" s="683"/>
      <c r="G2451" s="683"/>
      <c r="H2451" s="683"/>
      <c r="I2451" s="683"/>
      <c r="J2451" s="683"/>
      <c r="K2451" s="683"/>
      <c r="L2451" s="685"/>
      <c r="M2451" s="685"/>
      <c r="N2451" s="687"/>
      <c r="O2451" s="683"/>
      <c r="P2451" s="683"/>
      <c r="Q2451" s="686"/>
      <c r="R2451" s="686"/>
      <c r="S2451" s="686"/>
      <c r="T2451" s="686"/>
      <c r="U2451" s="686"/>
      <c r="V2451" s="686"/>
      <c r="W2451" s="686"/>
      <c r="X2451" s="686"/>
      <c r="Y2451" s="686"/>
      <c r="Z2451" s="686"/>
      <c r="AA2451" s="686"/>
      <c r="AB2451" s="686"/>
      <c r="AC2451" s="686"/>
      <c r="AD2451" s="686"/>
      <c r="AE2451" s="686"/>
      <c r="AF2451" s="686"/>
    </row>
    <row r="2452" ht="15.75" customHeight="1">
      <c r="A2452" s="683"/>
      <c r="B2452" s="683"/>
      <c r="C2452" s="684"/>
      <c r="D2452" s="684"/>
      <c r="E2452" s="684"/>
      <c r="F2452" s="683"/>
      <c r="G2452" s="683"/>
      <c r="H2452" s="683"/>
      <c r="I2452" s="683"/>
      <c r="J2452" s="683"/>
      <c r="K2452" s="683"/>
      <c r="L2452" s="685"/>
      <c r="M2452" s="685"/>
      <c r="N2452" s="687"/>
      <c r="O2452" s="683"/>
      <c r="P2452" s="683"/>
      <c r="Q2452" s="686"/>
      <c r="R2452" s="686"/>
      <c r="S2452" s="686"/>
      <c r="T2452" s="686"/>
      <c r="U2452" s="686"/>
      <c r="V2452" s="686"/>
      <c r="W2452" s="686"/>
      <c r="X2452" s="686"/>
      <c r="Y2452" s="686"/>
      <c r="Z2452" s="686"/>
      <c r="AA2452" s="686"/>
      <c r="AB2452" s="686"/>
      <c r="AC2452" s="686"/>
      <c r="AD2452" s="686"/>
      <c r="AE2452" s="686"/>
      <c r="AF2452" s="686"/>
    </row>
    <row r="2453" ht="15.75" customHeight="1">
      <c r="A2453" s="683"/>
      <c r="B2453" s="683"/>
      <c r="C2453" s="684"/>
      <c r="D2453" s="684"/>
      <c r="E2453" s="684"/>
      <c r="F2453" s="683"/>
      <c r="G2453" s="683"/>
      <c r="H2453" s="683"/>
      <c r="I2453" s="683"/>
      <c r="J2453" s="683"/>
      <c r="K2453" s="683"/>
      <c r="L2453" s="685"/>
      <c r="M2453" s="685"/>
      <c r="N2453" s="687"/>
      <c r="O2453" s="683"/>
      <c r="P2453" s="683"/>
      <c r="Q2453" s="686"/>
      <c r="R2453" s="686"/>
      <c r="S2453" s="686"/>
      <c r="T2453" s="686"/>
      <c r="U2453" s="686"/>
      <c r="V2453" s="686"/>
      <c r="W2453" s="686"/>
      <c r="X2453" s="686"/>
      <c r="Y2453" s="686"/>
      <c r="Z2453" s="686"/>
      <c r="AA2453" s="686"/>
      <c r="AB2453" s="686"/>
      <c r="AC2453" s="686"/>
      <c r="AD2453" s="686"/>
      <c r="AE2453" s="686"/>
      <c r="AF2453" s="686"/>
    </row>
    <row r="2454" ht="15.75" customHeight="1">
      <c r="A2454" s="683"/>
      <c r="B2454" s="683"/>
      <c r="C2454" s="684"/>
      <c r="D2454" s="684"/>
      <c r="E2454" s="684"/>
      <c r="F2454" s="683"/>
      <c r="G2454" s="683"/>
      <c r="H2454" s="683"/>
      <c r="I2454" s="683"/>
      <c r="J2454" s="683"/>
      <c r="K2454" s="683"/>
      <c r="L2454" s="685"/>
      <c r="M2454" s="685"/>
      <c r="N2454" s="687"/>
      <c r="O2454" s="683"/>
      <c r="P2454" s="683"/>
      <c r="Q2454" s="686"/>
      <c r="R2454" s="686"/>
      <c r="S2454" s="686"/>
      <c r="T2454" s="686"/>
      <c r="U2454" s="686"/>
      <c r="V2454" s="686"/>
      <c r="W2454" s="686"/>
      <c r="X2454" s="686"/>
      <c r="Y2454" s="686"/>
      <c r="Z2454" s="686"/>
      <c r="AA2454" s="686"/>
      <c r="AB2454" s="686"/>
      <c r="AC2454" s="686"/>
      <c r="AD2454" s="686"/>
      <c r="AE2454" s="686"/>
      <c r="AF2454" s="686"/>
    </row>
    <row r="2455" ht="15.75" customHeight="1">
      <c r="A2455" s="683"/>
      <c r="B2455" s="683"/>
      <c r="C2455" s="684"/>
      <c r="D2455" s="684"/>
      <c r="E2455" s="684"/>
      <c r="F2455" s="683"/>
      <c r="G2455" s="683"/>
      <c r="H2455" s="683"/>
      <c r="I2455" s="683"/>
      <c r="J2455" s="683"/>
      <c r="K2455" s="683"/>
      <c r="L2455" s="685"/>
      <c r="M2455" s="685"/>
      <c r="N2455" s="687"/>
      <c r="O2455" s="683"/>
      <c r="P2455" s="683"/>
      <c r="Q2455" s="686"/>
      <c r="R2455" s="686"/>
      <c r="S2455" s="686"/>
      <c r="T2455" s="686"/>
      <c r="U2455" s="686"/>
      <c r="V2455" s="686"/>
      <c r="W2455" s="686"/>
      <c r="X2455" s="686"/>
      <c r="Y2455" s="686"/>
      <c r="Z2455" s="686"/>
      <c r="AA2455" s="686"/>
      <c r="AB2455" s="686"/>
      <c r="AC2455" s="686"/>
      <c r="AD2455" s="686"/>
      <c r="AE2455" s="686"/>
      <c r="AF2455" s="686"/>
    </row>
    <row r="2456" ht="15.75" customHeight="1">
      <c r="A2456" s="683"/>
      <c r="B2456" s="683"/>
      <c r="C2456" s="684"/>
      <c r="D2456" s="684"/>
      <c r="E2456" s="684"/>
      <c r="F2456" s="683"/>
      <c r="G2456" s="683"/>
      <c r="H2456" s="683"/>
      <c r="I2456" s="683"/>
      <c r="J2456" s="683"/>
      <c r="K2456" s="683"/>
      <c r="L2456" s="685"/>
      <c r="M2456" s="685"/>
      <c r="N2456" s="687"/>
      <c r="O2456" s="683"/>
      <c r="P2456" s="683"/>
      <c r="Q2456" s="686"/>
      <c r="R2456" s="686"/>
      <c r="S2456" s="686"/>
      <c r="T2456" s="686"/>
      <c r="U2456" s="686"/>
      <c r="V2456" s="686"/>
      <c r="W2456" s="686"/>
      <c r="X2456" s="686"/>
      <c r="Y2456" s="686"/>
      <c r="Z2456" s="686"/>
      <c r="AA2456" s="686"/>
      <c r="AB2456" s="686"/>
      <c r="AC2456" s="686"/>
      <c r="AD2456" s="686"/>
      <c r="AE2456" s="686"/>
      <c r="AF2456" s="686"/>
    </row>
    <row r="2457" ht="15.75" customHeight="1">
      <c r="A2457" s="683"/>
      <c r="B2457" s="683"/>
      <c r="C2457" s="684"/>
      <c r="D2457" s="684"/>
      <c r="E2457" s="684"/>
      <c r="F2457" s="683"/>
      <c r="G2457" s="683"/>
      <c r="H2457" s="683"/>
      <c r="I2457" s="683"/>
      <c r="J2457" s="683"/>
      <c r="K2457" s="683"/>
      <c r="L2457" s="685"/>
      <c r="M2457" s="685"/>
      <c r="N2457" s="687"/>
      <c r="O2457" s="683"/>
      <c r="P2457" s="683"/>
      <c r="Q2457" s="686"/>
      <c r="R2457" s="686"/>
      <c r="S2457" s="686"/>
      <c r="T2457" s="686"/>
      <c r="U2457" s="686"/>
      <c r="V2457" s="686"/>
      <c r="W2457" s="686"/>
      <c r="X2457" s="686"/>
      <c r="Y2457" s="686"/>
      <c r="Z2457" s="686"/>
      <c r="AA2457" s="686"/>
      <c r="AB2457" s="686"/>
      <c r="AC2457" s="686"/>
      <c r="AD2457" s="686"/>
      <c r="AE2457" s="686"/>
      <c r="AF2457" s="686"/>
    </row>
    <row r="2458" ht="15.75" customHeight="1">
      <c r="A2458" s="683"/>
      <c r="B2458" s="683"/>
      <c r="C2458" s="684"/>
      <c r="D2458" s="684"/>
      <c r="E2458" s="684"/>
      <c r="F2458" s="683"/>
      <c r="G2458" s="683"/>
      <c r="H2458" s="683"/>
      <c r="I2458" s="683"/>
      <c r="J2458" s="683"/>
      <c r="K2458" s="683"/>
      <c r="L2458" s="685"/>
      <c r="M2458" s="685"/>
      <c r="N2458" s="687"/>
      <c r="O2458" s="683"/>
      <c r="P2458" s="683"/>
      <c r="Q2458" s="686"/>
      <c r="R2458" s="686"/>
      <c r="S2458" s="686"/>
      <c r="T2458" s="686"/>
      <c r="U2458" s="686"/>
      <c r="V2458" s="686"/>
      <c r="W2458" s="686"/>
      <c r="X2458" s="686"/>
      <c r="Y2458" s="686"/>
      <c r="Z2458" s="686"/>
      <c r="AA2458" s="686"/>
      <c r="AB2458" s="686"/>
      <c r="AC2458" s="686"/>
      <c r="AD2458" s="686"/>
      <c r="AE2458" s="686"/>
      <c r="AF2458" s="686"/>
    </row>
    <row r="2459" ht="15.75" customHeight="1">
      <c r="A2459" s="683"/>
      <c r="B2459" s="683"/>
      <c r="C2459" s="684"/>
      <c r="D2459" s="684"/>
      <c r="E2459" s="684"/>
      <c r="F2459" s="683"/>
      <c r="G2459" s="683"/>
      <c r="H2459" s="683"/>
      <c r="I2459" s="683"/>
      <c r="J2459" s="683"/>
      <c r="K2459" s="683"/>
      <c r="L2459" s="685"/>
      <c r="M2459" s="685"/>
      <c r="N2459" s="687"/>
      <c r="O2459" s="683"/>
      <c r="P2459" s="683"/>
      <c r="Q2459" s="686"/>
      <c r="R2459" s="686"/>
      <c r="S2459" s="686"/>
      <c r="T2459" s="686"/>
      <c r="U2459" s="686"/>
      <c r="V2459" s="686"/>
      <c r="W2459" s="686"/>
      <c r="X2459" s="686"/>
      <c r="Y2459" s="686"/>
      <c r="Z2459" s="686"/>
      <c r="AA2459" s="686"/>
      <c r="AB2459" s="686"/>
      <c r="AC2459" s="686"/>
      <c r="AD2459" s="686"/>
      <c r="AE2459" s="686"/>
      <c r="AF2459" s="686"/>
    </row>
    <row r="2460" ht="15.75" customHeight="1">
      <c r="A2460" s="683"/>
      <c r="B2460" s="683"/>
      <c r="C2460" s="684"/>
      <c r="D2460" s="684"/>
      <c r="E2460" s="684"/>
      <c r="F2460" s="683"/>
      <c r="G2460" s="683"/>
      <c r="H2460" s="683"/>
      <c r="I2460" s="683"/>
      <c r="J2460" s="683"/>
      <c r="K2460" s="683"/>
      <c r="L2460" s="685"/>
      <c r="M2460" s="685"/>
      <c r="N2460" s="687"/>
      <c r="O2460" s="683"/>
      <c r="P2460" s="683"/>
      <c r="Q2460" s="686"/>
      <c r="R2460" s="686"/>
      <c r="S2460" s="686"/>
      <c r="T2460" s="686"/>
      <c r="U2460" s="686"/>
      <c r="V2460" s="686"/>
      <c r="W2460" s="686"/>
      <c r="X2460" s="686"/>
      <c r="Y2460" s="686"/>
      <c r="Z2460" s="686"/>
      <c r="AA2460" s="686"/>
      <c r="AB2460" s="686"/>
      <c r="AC2460" s="686"/>
      <c r="AD2460" s="686"/>
      <c r="AE2460" s="686"/>
      <c r="AF2460" s="686"/>
    </row>
    <row r="2461" ht="15.75" customHeight="1">
      <c r="A2461" s="683"/>
      <c r="B2461" s="683"/>
      <c r="C2461" s="684"/>
      <c r="D2461" s="684"/>
      <c r="E2461" s="684"/>
      <c r="F2461" s="683"/>
      <c r="G2461" s="683"/>
      <c r="H2461" s="683"/>
      <c r="I2461" s="683"/>
      <c r="J2461" s="683"/>
      <c r="K2461" s="683"/>
      <c r="L2461" s="685"/>
      <c r="M2461" s="685"/>
      <c r="N2461" s="687"/>
      <c r="O2461" s="683"/>
      <c r="P2461" s="683"/>
      <c r="Q2461" s="686"/>
      <c r="R2461" s="686"/>
      <c r="S2461" s="686"/>
      <c r="T2461" s="686"/>
      <c r="U2461" s="686"/>
      <c r="V2461" s="686"/>
      <c r="W2461" s="686"/>
      <c r="X2461" s="686"/>
      <c r="Y2461" s="686"/>
      <c r="Z2461" s="686"/>
      <c r="AA2461" s="686"/>
      <c r="AB2461" s="686"/>
      <c r="AC2461" s="686"/>
      <c r="AD2461" s="686"/>
      <c r="AE2461" s="686"/>
      <c r="AF2461" s="686"/>
    </row>
    <row r="2462" ht="15.75" customHeight="1">
      <c r="A2462" s="683"/>
      <c r="B2462" s="683"/>
      <c r="C2462" s="684"/>
      <c r="D2462" s="684"/>
      <c r="E2462" s="684"/>
      <c r="F2462" s="683"/>
      <c r="G2462" s="683"/>
      <c r="H2462" s="683"/>
      <c r="I2462" s="683"/>
      <c r="J2462" s="683"/>
      <c r="K2462" s="683"/>
      <c r="L2462" s="685"/>
      <c r="M2462" s="685"/>
      <c r="N2462" s="687"/>
      <c r="O2462" s="683"/>
      <c r="P2462" s="683"/>
      <c r="Q2462" s="686"/>
      <c r="R2462" s="686"/>
      <c r="S2462" s="686"/>
      <c r="T2462" s="686"/>
      <c r="U2462" s="686"/>
      <c r="V2462" s="686"/>
      <c r="W2462" s="686"/>
      <c r="X2462" s="686"/>
      <c r="Y2462" s="686"/>
      <c r="Z2462" s="686"/>
      <c r="AA2462" s="686"/>
      <c r="AB2462" s="686"/>
      <c r="AC2462" s="686"/>
      <c r="AD2462" s="686"/>
      <c r="AE2462" s="686"/>
      <c r="AF2462" s="686"/>
    </row>
    <row r="2463" ht="15.75" customHeight="1">
      <c r="A2463" s="683"/>
      <c r="B2463" s="683"/>
      <c r="C2463" s="684"/>
      <c r="D2463" s="684"/>
      <c r="E2463" s="684"/>
      <c r="F2463" s="683"/>
      <c r="G2463" s="683"/>
      <c r="H2463" s="683"/>
      <c r="I2463" s="683"/>
      <c r="J2463" s="683"/>
      <c r="K2463" s="683"/>
      <c r="L2463" s="685"/>
      <c r="M2463" s="685"/>
      <c r="N2463" s="687"/>
      <c r="O2463" s="683"/>
      <c r="P2463" s="683"/>
      <c r="Q2463" s="686"/>
      <c r="R2463" s="686"/>
      <c r="S2463" s="686"/>
      <c r="T2463" s="686"/>
      <c r="U2463" s="686"/>
      <c r="V2463" s="686"/>
      <c r="W2463" s="686"/>
      <c r="X2463" s="686"/>
      <c r="Y2463" s="686"/>
      <c r="Z2463" s="686"/>
      <c r="AA2463" s="686"/>
      <c r="AB2463" s="686"/>
      <c r="AC2463" s="686"/>
      <c r="AD2463" s="686"/>
      <c r="AE2463" s="686"/>
      <c r="AF2463" s="686"/>
    </row>
    <row r="2464" ht="15.75" customHeight="1">
      <c r="A2464" s="683"/>
      <c r="B2464" s="683"/>
      <c r="C2464" s="684"/>
      <c r="D2464" s="684"/>
      <c r="E2464" s="684"/>
      <c r="F2464" s="683"/>
      <c r="G2464" s="683"/>
      <c r="H2464" s="683"/>
      <c r="I2464" s="683"/>
      <c r="J2464" s="683"/>
      <c r="K2464" s="683"/>
      <c r="L2464" s="685"/>
      <c r="M2464" s="685"/>
      <c r="N2464" s="687"/>
      <c r="O2464" s="683"/>
      <c r="P2464" s="683"/>
      <c r="Q2464" s="686"/>
      <c r="R2464" s="686"/>
      <c r="S2464" s="686"/>
      <c r="T2464" s="686"/>
      <c r="U2464" s="686"/>
      <c r="V2464" s="686"/>
      <c r="W2464" s="686"/>
      <c r="X2464" s="686"/>
      <c r="Y2464" s="686"/>
      <c r="Z2464" s="686"/>
      <c r="AA2464" s="686"/>
      <c r="AB2464" s="686"/>
      <c r="AC2464" s="686"/>
      <c r="AD2464" s="686"/>
      <c r="AE2464" s="686"/>
      <c r="AF2464" s="686"/>
    </row>
    <row r="2465" ht="15.75" customHeight="1">
      <c r="A2465" s="683"/>
      <c r="B2465" s="683"/>
      <c r="C2465" s="684"/>
      <c r="D2465" s="684"/>
      <c r="E2465" s="684"/>
      <c r="F2465" s="683"/>
      <c r="G2465" s="683"/>
      <c r="H2465" s="683"/>
      <c r="I2465" s="683"/>
      <c r="J2465" s="683"/>
      <c r="K2465" s="683"/>
      <c r="L2465" s="685"/>
      <c r="M2465" s="685"/>
      <c r="N2465" s="687"/>
      <c r="O2465" s="683"/>
      <c r="P2465" s="683"/>
      <c r="Q2465" s="686"/>
      <c r="R2465" s="686"/>
      <c r="S2465" s="686"/>
      <c r="T2465" s="686"/>
      <c r="U2465" s="686"/>
      <c r="V2465" s="686"/>
      <c r="W2465" s="686"/>
      <c r="X2465" s="686"/>
      <c r="Y2465" s="686"/>
      <c r="Z2465" s="686"/>
      <c r="AA2465" s="686"/>
      <c r="AB2465" s="686"/>
      <c r="AC2465" s="686"/>
      <c r="AD2465" s="686"/>
      <c r="AE2465" s="686"/>
      <c r="AF2465" s="686"/>
    </row>
    <row r="2466" ht="15.75" customHeight="1">
      <c r="A2466" s="683"/>
      <c r="B2466" s="683"/>
      <c r="C2466" s="684"/>
      <c r="D2466" s="684"/>
      <c r="E2466" s="684"/>
      <c r="F2466" s="683"/>
      <c r="G2466" s="683"/>
      <c r="H2466" s="683"/>
      <c r="I2466" s="683"/>
      <c r="J2466" s="683"/>
      <c r="K2466" s="683"/>
      <c r="L2466" s="685"/>
      <c r="M2466" s="685"/>
      <c r="N2466" s="687"/>
      <c r="O2466" s="683"/>
      <c r="P2466" s="683"/>
      <c r="Q2466" s="686"/>
      <c r="R2466" s="686"/>
      <c r="S2466" s="686"/>
      <c r="T2466" s="686"/>
      <c r="U2466" s="686"/>
      <c r="V2466" s="686"/>
      <c r="W2466" s="686"/>
      <c r="X2466" s="686"/>
      <c r="Y2466" s="686"/>
      <c r="Z2466" s="686"/>
      <c r="AA2466" s="686"/>
      <c r="AB2466" s="686"/>
      <c r="AC2466" s="686"/>
      <c r="AD2466" s="686"/>
      <c r="AE2466" s="686"/>
      <c r="AF2466" s="686"/>
    </row>
    <row r="2467" ht="15.75" customHeight="1">
      <c r="A2467" s="683"/>
      <c r="B2467" s="683"/>
      <c r="C2467" s="684"/>
      <c r="D2467" s="684"/>
      <c r="E2467" s="684"/>
      <c r="F2467" s="683"/>
      <c r="G2467" s="683"/>
      <c r="H2467" s="683"/>
      <c r="I2467" s="683"/>
      <c r="J2467" s="683"/>
      <c r="K2467" s="683"/>
      <c r="L2467" s="685"/>
      <c r="M2467" s="685"/>
      <c r="N2467" s="687"/>
      <c r="O2467" s="683"/>
      <c r="P2467" s="683"/>
      <c r="Q2467" s="686"/>
      <c r="R2467" s="686"/>
      <c r="S2467" s="686"/>
      <c r="T2467" s="686"/>
      <c r="U2467" s="686"/>
      <c r="V2467" s="686"/>
      <c r="W2467" s="686"/>
      <c r="X2467" s="686"/>
      <c r="Y2467" s="686"/>
      <c r="Z2467" s="686"/>
      <c r="AA2467" s="686"/>
      <c r="AB2467" s="686"/>
      <c r="AC2467" s="686"/>
      <c r="AD2467" s="686"/>
      <c r="AE2467" s="686"/>
      <c r="AF2467" s="686"/>
    </row>
    <row r="2468" ht="15.75" customHeight="1">
      <c r="A2468" s="683"/>
      <c r="B2468" s="683"/>
      <c r="C2468" s="684"/>
      <c r="D2468" s="684"/>
      <c r="E2468" s="684"/>
      <c r="F2468" s="683"/>
      <c r="G2468" s="683"/>
      <c r="H2468" s="683"/>
      <c r="I2468" s="683"/>
      <c r="J2468" s="683"/>
      <c r="K2468" s="683"/>
      <c r="L2468" s="685"/>
      <c r="M2468" s="685"/>
      <c r="N2468" s="687"/>
      <c r="O2468" s="683"/>
      <c r="P2468" s="683"/>
      <c r="Q2468" s="686"/>
      <c r="R2468" s="686"/>
      <c r="S2468" s="686"/>
      <c r="T2468" s="686"/>
      <c r="U2468" s="686"/>
      <c r="V2468" s="686"/>
      <c r="W2468" s="686"/>
      <c r="X2468" s="686"/>
      <c r="Y2468" s="686"/>
      <c r="Z2468" s="686"/>
      <c r="AA2468" s="686"/>
      <c r="AB2468" s="686"/>
      <c r="AC2468" s="686"/>
      <c r="AD2468" s="686"/>
      <c r="AE2468" s="686"/>
      <c r="AF2468" s="686"/>
    </row>
    <row r="2469" ht="15.75" customHeight="1">
      <c r="A2469" s="683"/>
      <c r="B2469" s="683"/>
      <c r="C2469" s="684"/>
      <c r="D2469" s="684"/>
      <c r="E2469" s="684"/>
      <c r="F2469" s="683"/>
      <c r="G2469" s="683"/>
      <c r="H2469" s="683"/>
      <c r="I2469" s="683"/>
      <c r="J2469" s="683"/>
      <c r="K2469" s="683"/>
      <c r="L2469" s="685"/>
      <c r="M2469" s="685"/>
      <c r="N2469" s="687"/>
      <c r="O2469" s="683"/>
      <c r="P2469" s="683"/>
      <c r="Q2469" s="686"/>
      <c r="R2469" s="686"/>
      <c r="S2469" s="686"/>
      <c r="T2469" s="686"/>
      <c r="U2469" s="686"/>
      <c r="V2469" s="686"/>
      <c r="W2469" s="686"/>
      <c r="X2469" s="686"/>
      <c r="Y2469" s="686"/>
      <c r="Z2469" s="686"/>
      <c r="AA2469" s="686"/>
      <c r="AB2469" s="686"/>
      <c r="AC2469" s="686"/>
      <c r="AD2469" s="686"/>
      <c r="AE2469" s="686"/>
      <c r="AF2469" s="686"/>
    </row>
    <row r="2470" ht="15.75" customHeight="1">
      <c r="A2470" s="683"/>
      <c r="B2470" s="683"/>
      <c r="C2470" s="684"/>
      <c r="D2470" s="684"/>
      <c r="E2470" s="684"/>
      <c r="F2470" s="683"/>
      <c r="G2470" s="683"/>
      <c r="H2470" s="683"/>
      <c r="I2470" s="683"/>
      <c r="J2470" s="683"/>
      <c r="K2470" s="683"/>
      <c r="L2470" s="685"/>
      <c r="M2470" s="685"/>
      <c r="N2470" s="687"/>
      <c r="O2470" s="683"/>
      <c r="P2470" s="683"/>
      <c r="Q2470" s="686"/>
      <c r="R2470" s="686"/>
      <c r="S2470" s="686"/>
      <c r="T2470" s="686"/>
      <c r="U2470" s="686"/>
      <c r="V2470" s="686"/>
      <c r="W2470" s="686"/>
      <c r="X2470" s="686"/>
      <c r="Y2470" s="686"/>
      <c r="Z2470" s="686"/>
      <c r="AA2470" s="686"/>
      <c r="AB2470" s="686"/>
      <c r="AC2470" s="686"/>
      <c r="AD2470" s="686"/>
      <c r="AE2470" s="686"/>
      <c r="AF2470" s="686"/>
    </row>
    <row r="2471" ht="15.75" customHeight="1">
      <c r="A2471" s="683"/>
      <c r="B2471" s="683"/>
      <c r="C2471" s="684"/>
      <c r="D2471" s="684"/>
      <c r="E2471" s="684"/>
      <c r="F2471" s="683"/>
      <c r="G2471" s="683"/>
      <c r="H2471" s="683"/>
      <c r="I2471" s="683"/>
      <c r="J2471" s="683"/>
      <c r="K2471" s="683"/>
      <c r="L2471" s="685"/>
      <c r="M2471" s="685"/>
      <c r="N2471" s="687"/>
      <c r="O2471" s="683"/>
      <c r="P2471" s="683"/>
      <c r="Q2471" s="686"/>
      <c r="R2471" s="686"/>
      <c r="S2471" s="686"/>
      <c r="T2471" s="686"/>
      <c r="U2471" s="686"/>
      <c r="V2471" s="686"/>
      <c r="W2471" s="686"/>
      <c r="X2471" s="686"/>
      <c r="Y2471" s="686"/>
      <c r="Z2471" s="686"/>
      <c r="AA2471" s="686"/>
      <c r="AB2471" s="686"/>
      <c r="AC2471" s="686"/>
      <c r="AD2471" s="686"/>
      <c r="AE2471" s="686"/>
      <c r="AF2471" s="686"/>
    </row>
    <row r="2472" ht="15.75" customHeight="1">
      <c r="A2472" s="683"/>
      <c r="B2472" s="683"/>
      <c r="C2472" s="684"/>
      <c r="D2472" s="684"/>
      <c r="E2472" s="684"/>
      <c r="F2472" s="683"/>
      <c r="G2472" s="683"/>
      <c r="H2472" s="683"/>
      <c r="I2472" s="683"/>
      <c r="J2472" s="683"/>
      <c r="K2472" s="683"/>
      <c r="L2472" s="685"/>
      <c r="M2472" s="685"/>
      <c r="N2472" s="687"/>
      <c r="O2472" s="683"/>
      <c r="P2472" s="683"/>
      <c r="Q2472" s="686"/>
      <c r="R2472" s="686"/>
      <c r="S2472" s="686"/>
      <c r="T2472" s="686"/>
      <c r="U2472" s="686"/>
      <c r="V2472" s="686"/>
      <c r="W2472" s="686"/>
      <c r="X2472" s="686"/>
      <c r="Y2472" s="686"/>
      <c r="Z2472" s="686"/>
      <c r="AA2472" s="686"/>
      <c r="AB2472" s="686"/>
      <c r="AC2472" s="686"/>
      <c r="AD2472" s="686"/>
      <c r="AE2472" s="686"/>
      <c r="AF2472" s="686"/>
    </row>
    <row r="2473" ht="15.75" customHeight="1">
      <c r="A2473" s="683"/>
      <c r="B2473" s="683"/>
      <c r="C2473" s="684"/>
      <c r="D2473" s="684"/>
      <c r="E2473" s="684"/>
      <c r="F2473" s="683"/>
      <c r="G2473" s="683"/>
      <c r="H2473" s="683"/>
      <c r="I2473" s="683"/>
      <c r="J2473" s="683"/>
      <c r="K2473" s="683"/>
      <c r="L2473" s="685"/>
      <c r="M2473" s="685"/>
      <c r="N2473" s="687"/>
      <c r="O2473" s="683"/>
      <c r="P2473" s="683"/>
      <c r="Q2473" s="686"/>
      <c r="R2473" s="686"/>
      <c r="S2473" s="686"/>
      <c r="T2473" s="686"/>
      <c r="U2473" s="686"/>
      <c r="V2473" s="686"/>
      <c r="W2473" s="686"/>
      <c r="X2473" s="686"/>
      <c r="Y2473" s="686"/>
      <c r="Z2473" s="686"/>
      <c r="AA2473" s="686"/>
      <c r="AB2473" s="686"/>
      <c r="AC2473" s="686"/>
      <c r="AD2473" s="686"/>
      <c r="AE2473" s="686"/>
      <c r="AF2473" s="686"/>
    </row>
    <row r="2474" ht="15.75" customHeight="1">
      <c r="A2474" s="683"/>
      <c r="B2474" s="683"/>
      <c r="C2474" s="684"/>
      <c r="D2474" s="684"/>
      <c r="E2474" s="684"/>
      <c r="F2474" s="683"/>
      <c r="G2474" s="683"/>
      <c r="H2474" s="683"/>
      <c r="I2474" s="683"/>
      <c r="J2474" s="683"/>
      <c r="K2474" s="683"/>
      <c r="L2474" s="685"/>
      <c r="M2474" s="685"/>
      <c r="N2474" s="687"/>
      <c r="O2474" s="683"/>
      <c r="P2474" s="683"/>
      <c r="Q2474" s="686"/>
      <c r="R2474" s="686"/>
      <c r="S2474" s="686"/>
      <c r="T2474" s="686"/>
      <c r="U2474" s="686"/>
      <c r="V2474" s="686"/>
      <c r="W2474" s="686"/>
      <c r="X2474" s="686"/>
      <c r="Y2474" s="686"/>
      <c r="Z2474" s="686"/>
      <c r="AA2474" s="686"/>
      <c r="AB2474" s="686"/>
      <c r="AC2474" s="686"/>
      <c r="AD2474" s="686"/>
      <c r="AE2474" s="686"/>
      <c r="AF2474" s="686"/>
    </row>
    <row r="2475" ht="15.75" customHeight="1">
      <c r="A2475" s="683"/>
      <c r="B2475" s="683"/>
      <c r="C2475" s="684"/>
      <c r="D2475" s="684"/>
      <c r="E2475" s="684"/>
      <c r="F2475" s="683"/>
      <c r="G2475" s="683"/>
      <c r="H2475" s="683"/>
      <c r="I2475" s="683"/>
      <c r="J2475" s="683"/>
      <c r="K2475" s="683"/>
      <c r="L2475" s="685"/>
      <c r="M2475" s="685"/>
      <c r="N2475" s="687"/>
      <c r="O2475" s="683"/>
      <c r="P2475" s="683"/>
      <c r="Q2475" s="686"/>
      <c r="R2475" s="686"/>
      <c r="S2475" s="686"/>
      <c r="T2475" s="686"/>
      <c r="U2475" s="686"/>
      <c r="V2475" s="686"/>
      <c r="W2475" s="686"/>
      <c r="X2475" s="686"/>
      <c r="Y2475" s="686"/>
      <c r="Z2475" s="686"/>
      <c r="AA2475" s="686"/>
      <c r="AB2475" s="686"/>
      <c r="AC2475" s="686"/>
      <c r="AD2475" s="686"/>
      <c r="AE2475" s="686"/>
      <c r="AF2475" s="686"/>
    </row>
    <row r="2476" ht="15.75" customHeight="1">
      <c r="A2476" s="683"/>
      <c r="B2476" s="683"/>
      <c r="C2476" s="684"/>
      <c r="D2476" s="684"/>
      <c r="E2476" s="684"/>
      <c r="F2476" s="683"/>
      <c r="G2476" s="683"/>
      <c r="H2476" s="683"/>
      <c r="I2476" s="683"/>
      <c r="J2476" s="683"/>
      <c r="K2476" s="683"/>
      <c r="L2476" s="685"/>
      <c r="M2476" s="685"/>
      <c r="N2476" s="687"/>
      <c r="O2476" s="683"/>
      <c r="P2476" s="683"/>
      <c r="Q2476" s="686"/>
      <c r="R2476" s="686"/>
      <c r="S2476" s="686"/>
      <c r="T2476" s="686"/>
      <c r="U2476" s="686"/>
      <c r="V2476" s="686"/>
      <c r="W2476" s="686"/>
      <c r="X2476" s="686"/>
      <c r="Y2476" s="686"/>
      <c r="Z2476" s="686"/>
      <c r="AA2476" s="686"/>
      <c r="AB2476" s="686"/>
      <c r="AC2476" s="686"/>
      <c r="AD2476" s="686"/>
      <c r="AE2476" s="686"/>
      <c r="AF2476" s="686"/>
    </row>
    <row r="2477" ht="15.75" customHeight="1">
      <c r="A2477" s="683"/>
      <c r="B2477" s="683"/>
      <c r="C2477" s="684"/>
      <c r="D2477" s="684"/>
      <c r="E2477" s="684"/>
      <c r="F2477" s="683"/>
      <c r="G2477" s="683"/>
      <c r="H2477" s="683"/>
      <c r="I2477" s="683"/>
      <c r="J2477" s="683"/>
      <c r="K2477" s="683"/>
      <c r="L2477" s="685"/>
      <c r="M2477" s="685"/>
      <c r="N2477" s="687"/>
      <c r="O2477" s="683"/>
      <c r="P2477" s="683"/>
      <c r="Q2477" s="686"/>
      <c r="R2477" s="686"/>
      <c r="S2477" s="686"/>
      <c r="T2477" s="686"/>
      <c r="U2477" s="686"/>
      <c r="V2477" s="686"/>
      <c r="W2477" s="686"/>
      <c r="X2477" s="686"/>
      <c r="Y2477" s="686"/>
      <c r="Z2477" s="686"/>
      <c r="AA2477" s="686"/>
      <c r="AB2477" s="686"/>
      <c r="AC2477" s="686"/>
      <c r="AD2477" s="686"/>
      <c r="AE2477" s="686"/>
      <c r="AF2477" s="686"/>
    </row>
    <row r="2478" ht="15.75" customHeight="1">
      <c r="A2478" s="683"/>
      <c r="B2478" s="683"/>
      <c r="C2478" s="684"/>
      <c r="D2478" s="684"/>
      <c r="E2478" s="684"/>
      <c r="F2478" s="683"/>
      <c r="G2478" s="683"/>
      <c r="H2478" s="683"/>
      <c r="I2478" s="683"/>
      <c r="J2478" s="683"/>
      <c r="K2478" s="683"/>
      <c r="L2478" s="685"/>
      <c r="M2478" s="685"/>
      <c r="N2478" s="687"/>
      <c r="O2478" s="683"/>
      <c r="P2478" s="683"/>
      <c r="Q2478" s="686"/>
      <c r="R2478" s="686"/>
      <c r="S2478" s="686"/>
      <c r="T2478" s="686"/>
      <c r="U2478" s="686"/>
      <c r="V2478" s="686"/>
      <c r="W2478" s="686"/>
      <c r="X2478" s="686"/>
      <c r="Y2478" s="686"/>
      <c r="Z2478" s="686"/>
      <c r="AA2478" s="686"/>
      <c r="AB2478" s="686"/>
      <c r="AC2478" s="686"/>
      <c r="AD2478" s="686"/>
      <c r="AE2478" s="686"/>
      <c r="AF2478" s="686"/>
    </row>
    <row r="2479" ht="15.75" customHeight="1">
      <c r="A2479" s="683"/>
      <c r="B2479" s="683"/>
      <c r="C2479" s="684"/>
      <c r="D2479" s="684"/>
      <c r="E2479" s="684"/>
      <c r="F2479" s="683"/>
      <c r="G2479" s="683"/>
      <c r="H2479" s="683"/>
      <c r="I2479" s="683"/>
      <c r="J2479" s="683"/>
      <c r="K2479" s="683"/>
      <c r="L2479" s="685"/>
      <c r="M2479" s="685"/>
      <c r="N2479" s="687"/>
      <c r="O2479" s="683"/>
      <c r="P2479" s="683"/>
      <c r="Q2479" s="686"/>
      <c r="R2479" s="686"/>
      <c r="S2479" s="686"/>
      <c r="T2479" s="686"/>
      <c r="U2479" s="686"/>
      <c r="V2479" s="686"/>
      <c r="W2479" s="686"/>
      <c r="X2479" s="686"/>
      <c r="Y2479" s="686"/>
      <c r="Z2479" s="686"/>
      <c r="AA2479" s="686"/>
      <c r="AB2479" s="686"/>
      <c r="AC2479" s="686"/>
      <c r="AD2479" s="686"/>
      <c r="AE2479" s="686"/>
      <c r="AF2479" s="686"/>
    </row>
    <row r="2480" ht="15.75" customHeight="1">
      <c r="A2480" s="683"/>
      <c r="B2480" s="683"/>
      <c r="C2480" s="684"/>
      <c r="D2480" s="684"/>
      <c r="E2480" s="684"/>
      <c r="F2480" s="683"/>
      <c r="G2480" s="683"/>
      <c r="H2480" s="683"/>
      <c r="I2480" s="683"/>
      <c r="J2480" s="683"/>
      <c r="K2480" s="683"/>
      <c r="L2480" s="685"/>
      <c r="M2480" s="685"/>
      <c r="N2480" s="687"/>
      <c r="O2480" s="683"/>
      <c r="P2480" s="683"/>
      <c r="Q2480" s="686"/>
      <c r="R2480" s="686"/>
      <c r="S2480" s="686"/>
      <c r="T2480" s="686"/>
      <c r="U2480" s="686"/>
      <c r="V2480" s="686"/>
      <c r="W2480" s="686"/>
      <c r="X2480" s="686"/>
      <c r="Y2480" s="686"/>
      <c r="Z2480" s="686"/>
      <c r="AA2480" s="686"/>
      <c r="AB2480" s="686"/>
      <c r="AC2480" s="686"/>
      <c r="AD2480" s="686"/>
      <c r="AE2480" s="686"/>
      <c r="AF2480" s="686"/>
    </row>
    <row r="2481" ht="15.75" customHeight="1">
      <c r="A2481" s="683"/>
      <c r="B2481" s="683"/>
      <c r="C2481" s="684"/>
      <c r="D2481" s="684"/>
      <c r="E2481" s="684"/>
      <c r="F2481" s="683"/>
      <c r="G2481" s="683"/>
      <c r="H2481" s="683"/>
      <c r="I2481" s="683"/>
      <c r="J2481" s="683"/>
      <c r="K2481" s="683"/>
      <c r="L2481" s="685"/>
      <c r="M2481" s="685"/>
      <c r="N2481" s="687"/>
      <c r="O2481" s="683"/>
      <c r="P2481" s="683"/>
      <c r="Q2481" s="686"/>
      <c r="R2481" s="686"/>
      <c r="S2481" s="686"/>
      <c r="T2481" s="686"/>
      <c r="U2481" s="686"/>
      <c r="V2481" s="686"/>
      <c r="W2481" s="686"/>
      <c r="X2481" s="686"/>
      <c r="Y2481" s="686"/>
      <c r="Z2481" s="686"/>
      <c r="AA2481" s="686"/>
      <c r="AB2481" s="686"/>
      <c r="AC2481" s="686"/>
      <c r="AD2481" s="686"/>
      <c r="AE2481" s="686"/>
      <c r="AF2481" s="686"/>
    </row>
    <row r="2482" ht="15.75" customHeight="1">
      <c r="A2482" s="683"/>
      <c r="B2482" s="683"/>
      <c r="C2482" s="684"/>
      <c r="D2482" s="684"/>
      <c r="E2482" s="684"/>
      <c r="F2482" s="683"/>
      <c r="G2482" s="683"/>
      <c r="H2482" s="683"/>
      <c r="I2482" s="683"/>
      <c r="J2482" s="683"/>
      <c r="K2482" s="683"/>
      <c r="L2482" s="685"/>
      <c r="M2482" s="685"/>
      <c r="N2482" s="687"/>
      <c r="O2482" s="683"/>
      <c r="P2482" s="683"/>
      <c r="Q2482" s="686"/>
      <c r="R2482" s="686"/>
      <c r="S2482" s="686"/>
      <c r="T2482" s="686"/>
      <c r="U2482" s="686"/>
      <c r="V2482" s="686"/>
      <c r="W2482" s="686"/>
      <c r="X2482" s="686"/>
      <c r="Y2482" s="686"/>
      <c r="Z2482" s="686"/>
      <c r="AA2482" s="686"/>
      <c r="AB2482" s="686"/>
      <c r="AC2482" s="686"/>
      <c r="AD2482" s="686"/>
      <c r="AE2482" s="686"/>
      <c r="AF2482" s="686"/>
    </row>
    <row r="2483" ht="15.75" customHeight="1">
      <c r="A2483" s="683"/>
      <c r="B2483" s="683"/>
      <c r="C2483" s="684"/>
      <c r="D2483" s="684"/>
      <c r="E2483" s="684"/>
      <c r="F2483" s="683"/>
      <c r="G2483" s="683"/>
      <c r="H2483" s="683"/>
      <c r="I2483" s="683"/>
      <c r="J2483" s="683"/>
      <c r="K2483" s="683"/>
      <c r="L2483" s="685"/>
      <c r="M2483" s="685"/>
      <c r="N2483" s="687"/>
      <c r="O2483" s="683"/>
      <c r="P2483" s="683"/>
      <c r="Q2483" s="686"/>
      <c r="R2483" s="686"/>
      <c r="S2483" s="686"/>
      <c r="T2483" s="686"/>
      <c r="U2483" s="686"/>
      <c r="V2483" s="686"/>
      <c r="W2483" s="686"/>
      <c r="X2483" s="686"/>
      <c r="Y2483" s="686"/>
      <c r="Z2483" s="686"/>
      <c r="AA2483" s="686"/>
      <c r="AB2483" s="686"/>
      <c r="AC2483" s="686"/>
      <c r="AD2483" s="686"/>
      <c r="AE2483" s="686"/>
      <c r="AF2483" s="686"/>
    </row>
    <row r="2484" ht="15.75" customHeight="1">
      <c r="A2484" s="683"/>
      <c r="B2484" s="683"/>
      <c r="C2484" s="684"/>
      <c r="D2484" s="684"/>
      <c r="E2484" s="684"/>
      <c r="F2484" s="683"/>
      <c r="G2484" s="683"/>
      <c r="H2484" s="683"/>
      <c r="I2484" s="683"/>
      <c r="J2484" s="683"/>
      <c r="K2484" s="683"/>
      <c r="L2484" s="685"/>
      <c r="M2484" s="685"/>
      <c r="N2484" s="687"/>
      <c r="O2484" s="683"/>
      <c r="P2484" s="683"/>
      <c r="Q2484" s="686"/>
      <c r="R2484" s="686"/>
      <c r="S2484" s="686"/>
      <c r="T2484" s="686"/>
      <c r="U2484" s="686"/>
      <c r="V2484" s="686"/>
      <c r="W2484" s="686"/>
      <c r="X2484" s="686"/>
      <c r="Y2484" s="686"/>
      <c r="Z2484" s="686"/>
      <c r="AA2484" s="686"/>
      <c r="AB2484" s="686"/>
      <c r="AC2484" s="686"/>
      <c r="AD2484" s="686"/>
      <c r="AE2484" s="686"/>
      <c r="AF2484" s="686"/>
    </row>
    <row r="2485" ht="15.75" customHeight="1">
      <c r="A2485" s="683"/>
      <c r="B2485" s="683"/>
      <c r="C2485" s="684"/>
      <c r="D2485" s="684"/>
      <c r="E2485" s="684"/>
      <c r="F2485" s="683"/>
      <c r="G2485" s="683"/>
      <c r="H2485" s="683"/>
      <c r="I2485" s="683"/>
      <c r="J2485" s="683"/>
      <c r="K2485" s="683"/>
      <c r="L2485" s="685"/>
      <c r="M2485" s="685"/>
      <c r="N2485" s="687"/>
      <c r="O2485" s="683"/>
      <c r="P2485" s="683"/>
      <c r="Q2485" s="686"/>
      <c r="R2485" s="686"/>
      <c r="S2485" s="686"/>
      <c r="T2485" s="686"/>
      <c r="U2485" s="686"/>
      <c r="V2485" s="686"/>
      <c r="W2485" s="686"/>
      <c r="X2485" s="686"/>
      <c r="Y2485" s="686"/>
      <c r="Z2485" s="686"/>
      <c r="AA2485" s="686"/>
      <c r="AB2485" s="686"/>
      <c r="AC2485" s="686"/>
      <c r="AD2485" s="686"/>
      <c r="AE2485" s="686"/>
      <c r="AF2485" s="686"/>
    </row>
    <row r="2486" ht="15.75" customHeight="1">
      <c r="A2486" s="683"/>
      <c r="B2486" s="683"/>
      <c r="C2486" s="684"/>
      <c r="D2486" s="684"/>
      <c r="E2486" s="684"/>
      <c r="F2486" s="683"/>
      <c r="G2486" s="683"/>
      <c r="H2486" s="683"/>
      <c r="I2486" s="683"/>
      <c r="J2486" s="683"/>
      <c r="K2486" s="683"/>
      <c r="L2486" s="685"/>
      <c r="M2486" s="685"/>
      <c r="N2486" s="687"/>
      <c r="O2486" s="683"/>
      <c r="P2486" s="683"/>
      <c r="Q2486" s="686"/>
      <c r="R2486" s="686"/>
      <c r="S2486" s="686"/>
      <c r="T2486" s="686"/>
      <c r="U2486" s="686"/>
      <c r="V2486" s="686"/>
      <c r="W2486" s="686"/>
      <c r="X2486" s="686"/>
      <c r="Y2486" s="686"/>
      <c r="Z2486" s="686"/>
      <c r="AA2486" s="686"/>
      <c r="AB2486" s="686"/>
      <c r="AC2486" s="686"/>
      <c r="AD2486" s="686"/>
      <c r="AE2486" s="686"/>
      <c r="AF2486" s="686"/>
    </row>
    <row r="2487" ht="15.75" customHeight="1">
      <c r="A2487" s="683"/>
      <c r="B2487" s="683"/>
      <c r="C2487" s="684"/>
      <c r="D2487" s="684"/>
      <c r="E2487" s="684"/>
      <c r="F2487" s="683"/>
      <c r="G2487" s="683"/>
      <c r="H2487" s="683"/>
      <c r="I2487" s="683"/>
      <c r="J2487" s="683"/>
      <c r="K2487" s="683"/>
      <c r="L2487" s="685"/>
      <c r="M2487" s="685"/>
      <c r="N2487" s="687"/>
      <c r="O2487" s="683"/>
      <c r="P2487" s="683"/>
      <c r="Q2487" s="686"/>
      <c r="R2487" s="686"/>
      <c r="S2487" s="686"/>
      <c r="T2487" s="686"/>
      <c r="U2487" s="686"/>
      <c r="V2487" s="686"/>
      <c r="W2487" s="686"/>
      <c r="X2487" s="686"/>
      <c r="Y2487" s="686"/>
      <c r="Z2487" s="686"/>
      <c r="AA2487" s="686"/>
      <c r="AB2487" s="686"/>
      <c r="AC2487" s="686"/>
      <c r="AD2487" s="686"/>
      <c r="AE2487" s="686"/>
      <c r="AF2487" s="686"/>
    </row>
    <row r="2488" ht="15.75" customHeight="1">
      <c r="A2488" s="683"/>
      <c r="B2488" s="683"/>
      <c r="C2488" s="684"/>
      <c r="D2488" s="684"/>
      <c r="E2488" s="684"/>
      <c r="F2488" s="683"/>
      <c r="G2488" s="683"/>
      <c r="H2488" s="683"/>
      <c r="I2488" s="683"/>
      <c r="J2488" s="683"/>
      <c r="K2488" s="683"/>
      <c r="L2488" s="685"/>
      <c r="M2488" s="685"/>
      <c r="N2488" s="687"/>
      <c r="O2488" s="683"/>
      <c r="P2488" s="683"/>
      <c r="Q2488" s="686"/>
      <c r="R2488" s="686"/>
      <c r="S2488" s="686"/>
      <c r="T2488" s="686"/>
      <c r="U2488" s="686"/>
      <c r="V2488" s="686"/>
      <c r="W2488" s="686"/>
      <c r="X2488" s="686"/>
      <c r="Y2488" s="686"/>
      <c r="Z2488" s="686"/>
      <c r="AA2488" s="686"/>
      <c r="AB2488" s="686"/>
      <c r="AC2488" s="686"/>
      <c r="AD2488" s="686"/>
      <c r="AE2488" s="686"/>
      <c r="AF2488" s="686"/>
    </row>
    <row r="2489" ht="15.75" customHeight="1">
      <c r="A2489" s="683"/>
      <c r="B2489" s="683"/>
      <c r="C2489" s="684"/>
      <c r="D2489" s="684"/>
      <c r="E2489" s="684"/>
      <c r="F2489" s="683"/>
      <c r="G2489" s="683"/>
      <c r="H2489" s="683"/>
      <c r="I2489" s="683"/>
      <c r="J2489" s="683"/>
      <c r="K2489" s="683"/>
      <c r="L2489" s="685"/>
      <c r="M2489" s="685"/>
      <c r="N2489" s="687"/>
      <c r="O2489" s="683"/>
      <c r="P2489" s="683"/>
      <c r="Q2489" s="686"/>
      <c r="R2489" s="686"/>
      <c r="S2489" s="686"/>
      <c r="T2489" s="686"/>
      <c r="U2489" s="686"/>
      <c r="V2489" s="686"/>
      <c r="W2489" s="686"/>
      <c r="X2489" s="686"/>
      <c r="Y2489" s="686"/>
      <c r="Z2489" s="686"/>
      <c r="AA2489" s="686"/>
      <c r="AB2489" s="686"/>
      <c r="AC2489" s="686"/>
      <c r="AD2489" s="686"/>
      <c r="AE2489" s="686"/>
      <c r="AF2489" s="686"/>
    </row>
    <row r="2490" ht="15.75" customHeight="1">
      <c r="A2490" s="683"/>
      <c r="B2490" s="683"/>
      <c r="C2490" s="684"/>
      <c r="D2490" s="684"/>
      <c r="E2490" s="684"/>
      <c r="F2490" s="683"/>
      <c r="G2490" s="683"/>
      <c r="H2490" s="683"/>
      <c r="I2490" s="683"/>
      <c r="J2490" s="683"/>
      <c r="K2490" s="683"/>
      <c r="L2490" s="685"/>
      <c r="M2490" s="685"/>
      <c r="N2490" s="687"/>
      <c r="O2490" s="683"/>
      <c r="P2490" s="683"/>
      <c r="Q2490" s="686"/>
      <c r="R2490" s="686"/>
      <c r="S2490" s="686"/>
      <c r="T2490" s="686"/>
      <c r="U2490" s="686"/>
      <c r="V2490" s="686"/>
      <c r="W2490" s="686"/>
      <c r="X2490" s="686"/>
      <c r="Y2490" s="686"/>
      <c r="Z2490" s="686"/>
      <c r="AA2490" s="686"/>
      <c r="AB2490" s="686"/>
      <c r="AC2490" s="686"/>
      <c r="AD2490" s="686"/>
      <c r="AE2490" s="686"/>
      <c r="AF2490" s="686"/>
    </row>
    <row r="2491" ht="15.75" customHeight="1">
      <c r="A2491" s="683"/>
      <c r="B2491" s="683"/>
      <c r="C2491" s="684"/>
      <c r="D2491" s="684"/>
      <c r="E2491" s="684"/>
      <c r="F2491" s="683"/>
      <c r="G2491" s="683"/>
      <c r="H2491" s="683"/>
      <c r="I2491" s="683"/>
      <c r="J2491" s="683"/>
      <c r="K2491" s="683"/>
      <c r="L2491" s="685"/>
      <c r="M2491" s="685"/>
      <c r="N2491" s="687"/>
      <c r="O2491" s="683"/>
      <c r="P2491" s="683"/>
      <c r="Q2491" s="686"/>
      <c r="R2491" s="686"/>
      <c r="S2491" s="686"/>
      <c r="T2491" s="686"/>
      <c r="U2491" s="686"/>
      <c r="V2491" s="686"/>
      <c r="W2491" s="686"/>
      <c r="X2491" s="686"/>
      <c r="Y2491" s="686"/>
      <c r="Z2491" s="686"/>
      <c r="AA2491" s="686"/>
      <c r="AB2491" s="686"/>
      <c r="AC2491" s="686"/>
      <c r="AD2491" s="686"/>
      <c r="AE2491" s="686"/>
      <c r="AF2491" s="686"/>
    </row>
    <row r="2492" ht="15.75" customHeight="1">
      <c r="A2492" s="683"/>
      <c r="B2492" s="683"/>
      <c r="C2492" s="684"/>
      <c r="D2492" s="684"/>
      <c r="E2492" s="684"/>
      <c r="F2492" s="683"/>
      <c r="G2492" s="683"/>
      <c r="H2492" s="683"/>
      <c r="I2492" s="683"/>
      <c r="J2492" s="683"/>
      <c r="K2492" s="683"/>
      <c r="L2492" s="685"/>
      <c r="M2492" s="685"/>
      <c r="N2492" s="687"/>
      <c r="O2492" s="683"/>
      <c r="P2492" s="683"/>
      <c r="Q2492" s="686"/>
      <c r="R2492" s="686"/>
      <c r="S2492" s="686"/>
      <c r="T2492" s="686"/>
      <c r="U2492" s="686"/>
      <c r="V2492" s="686"/>
      <c r="W2492" s="686"/>
      <c r="X2492" s="686"/>
      <c r="Y2492" s="686"/>
      <c r="Z2492" s="686"/>
      <c r="AA2492" s="686"/>
      <c r="AB2492" s="686"/>
      <c r="AC2492" s="686"/>
      <c r="AD2492" s="686"/>
      <c r="AE2492" s="686"/>
      <c r="AF2492" s="686"/>
    </row>
    <row r="2493" ht="15.75" customHeight="1">
      <c r="A2493" s="683"/>
      <c r="B2493" s="683"/>
      <c r="C2493" s="684"/>
      <c r="D2493" s="684"/>
      <c r="E2493" s="684"/>
      <c r="F2493" s="683"/>
      <c r="G2493" s="683"/>
      <c r="H2493" s="683"/>
      <c r="I2493" s="683"/>
      <c r="J2493" s="683"/>
      <c r="K2493" s="683"/>
      <c r="L2493" s="685"/>
      <c r="M2493" s="685"/>
      <c r="N2493" s="687"/>
      <c r="O2493" s="683"/>
      <c r="P2493" s="683"/>
      <c r="Q2493" s="686"/>
      <c r="R2493" s="686"/>
      <c r="S2493" s="686"/>
      <c r="T2493" s="686"/>
      <c r="U2493" s="686"/>
      <c r="V2493" s="686"/>
      <c r="W2493" s="686"/>
      <c r="X2493" s="686"/>
      <c r="Y2493" s="686"/>
      <c r="Z2493" s="686"/>
      <c r="AA2493" s="686"/>
      <c r="AB2493" s="686"/>
      <c r="AC2493" s="686"/>
      <c r="AD2493" s="686"/>
      <c r="AE2493" s="686"/>
      <c r="AF2493" s="686"/>
    </row>
    <row r="2494" ht="15.75" customHeight="1">
      <c r="A2494" s="683"/>
      <c r="B2494" s="683"/>
      <c r="C2494" s="684"/>
      <c r="D2494" s="684"/>
      <c r="E2494" s="684"/>
      <c r="F2494" s="683"/>
      <c r="G2494" s="683"/>
      <c r="H2494" s="683"/>
      <c r="I2494" s="683"/>
      <c r="J2494" s="683"/>
      <c r="K2494" s="683"/>
      <c r="L2494" s="685"/>
      <c r="M2494" s="685"/>
      <c r="N2494" s="687"/>
      <c r="O2494" s="683"/>
      <c r="P2494" s="683"/>
      <c r="Q2494" s="686"/>
      <c r="R2494" s="686"/>
      <c r="S2494" s="686"/>
      <c r="T2494" s="686"/>
      <c r="U2494" s="686"/>
      <c r="V2494" s="686"/>
      <c r="W2494" s="686"/>
      <c r="X2494" s="686"/>
      <c r="Y2494" s="686"/>
      <c r="Z2494" s="686"/>
      <c r="AA2494" s="686"/>
      <c r="AB2494" s="686"/>
      <c r="AC2494" s="686"/>
      <c r="AD2494" s="686"/>
      <c r="AE2494" s="686"/>
      <c r="AF2494" s="686"/>
    </row>
    <row r="2495" ht="15.75" customHeight="1">
      <c r="A2495" s="683"/>
      <c r="B2495" s="683"/>
      <c r="C2495" s="684"/>
      <c r="D2495" s="684"/>
      <c r="E2495" s="684"/>
      <c r="F2495" s="683"/>
      <c r="G2495" s="683"/>
      <c r="H2495" s="683"/>
      <c r="I2495" s="683"/>
      <c r="J2495" s="683"/>
      <c r="K2495" s="683"/>
      <c r="L2495" s="685"/>
      <c r="M2495" s="685"/>
      <c r="N2495" s="687"/>
      <c r="O2495" s="683"/>
      <c r="P2495" s="683"/>
      <c r="Q2495" s="686"/>
      <c r="R2495" s="686"/>
      <c r="S2495" s="686"/>
      <c r="T2495" s="686"/>
      <c r="U2495" s="686"/>
      <c r="V2495" s="686"/>
      <c r="W2495" s="686"/>
      <c r="X2495" s="686"/>
      <c r="Y2495" s="686"/>
      <c r="Z2495" s="686"/>
      <c r="AA2495" s="686"/>
      <c r="AB2495" s="686"/>
      <c r="AC2495" s="686"/>
      <c r="AD2495" s="686"/>
      <c r="AE2495" s="686"/>
      <c r="AF2495" s="686"/>
    </row>
    <row r="2496" ht="15.75" customHeight="1">
      <c r="A2496" s="683"/>
      <c r="B2496" s="683"/>
      <c r="C2496" s="684"/>
      <c r="D2496" s="684"/>
      <c r="E2496" s="684"/>
      <c r="F2496" s="683"/>
      <c r="G2496" s="683"/>
      <c r="H2496" s="683"/>
      <c r="I2496" s="683"/>
      <c r="J2496" s="683"/>
      <c r="K2496" s="683"/>
      <c r="L2496" s="685"/>
      <c r="M2496" s="685"/>
      <c r="N2496" s="687"/>
      <c r="O2496" s="683"/>
      <c r="P2496" s="683"/>
      <c r="Q2496" s="686"/>
      <c r="R2496" s="686"/>
      <c r="S2496" s="686"/>
      <c r="T2496" s="686"/>
      <c r="U2496" s="686"/>
      <c r="V2496" s="686"/>
      <c r="W2496" s="686"/>
      <c r="X2496" s="686"/>
      <c r="Y2496" s="686"/>
      <c r="Z2496" s="686"/>
      <c r="AA2496" s="686"/>
      <c r="AB2496" s="686"/>
      <c r="AC2496" s="686"/>
      <c r="AD2496" s="686"/>
      <c r="AE2496" s="686"/>
      <c r="AF2496" s="686"/>
    </row>
    <row r="2497" ht="15.75" customHeight="1">
      <c r="A2497" s="683"/>
      <c r="B2497" s="683"/>
      <c r="C2497" s="684"/>
      <c r="D2497" s="684"/>
      <c r="E2497" s="684"/>
      <c r="F2497" s="683"/>
      <c r="G2497" s="683"/>
      <c r="H2497" s="683"/>
      <c r="I2497" s="683"/>
      <c r="J2497" s="683"/>
      <c r="K2497" s="683"/>
      <c r="L2497" s="685"/>
      <c r="M2497" s="685"/>
      <c r="N2497" s="687"/>
      <c r="O2497" s="683"/>
      <c r="P2497" s="683"/>
      <c r="Q2497" s="686"/>
      <c r="R2497" s="686"/>
      <c r="S2497" s="686"/>
      <c r="T2497" s="686"/>
      <c r="U2497" s="686"/>
      <c r="V2497" s="686"/>
      <c r="W2497" s="686"/>
      <c r="X2497" s="686"/>
      <c r="Y2497" s="686"/>
      <c r="Z2497" s="686"/>
      <c r="AA2497" s="686"/>
      <c r="AB2497" s="686"/>
      <c r="AC2497" s="686"/>
      <c r="AD2497" s="686"/>
      <c r="AE2497" s="686"/>
      <c r="AF2497" s="686"/>
    </row>
    <row r="2498" ht="15.75" customHeight="1">
      <c r="A2498" s="683"/>
      <c r="B2498" s="683"/>
      <c r="C2498" s="684"/>
      <c r="D2498" s="684"/>
      <c r="E2498" s="684"/>
      <c r="F2498" s="683"/>
      <c r="G2498" s="683"/>
      <c r="H2498" s="683"/>
      <c r="I2498" s="683"/>
      <c r="J2498" s="683"/>
      <c r="K2498" s="683"/>
      <c r="L2498" s="685"/>
      <c r="M2498" s="685"/>
      <c r="N2498" s="687"/>
      <c r="O2498" s="683"/>
      <c r="P2498" s="683"/>
      <c r="Q2498" s="686"/>
      <c r="R2498" s="686"/>
      <c r="S2498" s="686"/>
      <c r="T2498" s="686"/>
      <c r="U2498" s="686"/>
      <c r="V2498" s="686"/>
      <c r="W2498" s="686"/>
      <c r="X2498" s="686"/>
      <c r="Y2498" s="686"/>
      <c r="Z2498" s="686"/>
      <c r="AA2498" s="686"/>
      <c r="AB2498" s="686"/>
      <c r="AC2498" s="686"/>
      <c r="AD2498" s="686"/>
      <c r="AE2498" s="686"/>
      <c r="AF2498" s="686"/>
    </row>
    <row r="2499" ht="15.75" customHeight="1">
      <c r="A2499" s="683"/>
      <c r="B2499" s="683"/>
      <c r="C2499" s="684"/>
      <c r="D2499" s="684"/>
      <c r="E2499" s="684"/>
      <c r="F2499" s="683"/>
      <c r="G2499" s="683"/>
      <c r="H2499" s="683"/>
      <c r="I2499" s="683"/>
      <c r="J2499" s="683"/>
      <c r="K2499" s="683"/>
      <c r="L2499" s="685"/>
      <c r="M2499" s="685"/>
      <c r="N2499" s="687"/>
      <c r="O2499" s="683"/>
      <c r="P2499" s="683"/>
      <c r="Q2499" s="686"/>
      <c r="R2499" s="686"/>
      <c r="S2499" s="686"/>
      <c r="T2499" s="686"/>
      <c r="U2499" s="686"/>
      <c r="V2499" s="686"/>
      <c r="W2499" s="686"/>
      <c r="X2499" s="686"/>
      <c r="Y2499" s="686"/>
      <c r="Z2499" s="686"/>
      <c r="AA2499" s="686"/>
      <c r="AB2499" s="686"/>
      <c r="AC2499" s="686"/>
      <c r="AD2499" s="686"/>
      <c r="AE2499" s="686"/>
      <c r="AF2499" s="686"/>
    </row>
    <row r="2500" ht="15.75" customHeight="1">
      <c r="A2500" s="683"/>
      <c r="B2500" s="683"/>
      <c r="C2500" s="684"/>
      <c r="D2500" s="684"/>
      <c r="E2500" s="684"/>
      <c r="F2500" s="683"/>
      <c r="G2500" s="683"/>
      <c r="H2500" s="683"/>
      <c r="I2500" s="683"/>
      <c r="J2500" s="683"/>
      <c r="K2500" s="683"/>
      <c r="L2500" s="685"/>
      <c r="M2500" s="685"/>
      <c r="N2500" s="687"/>
      <c r="O2500" s="683"/>
      <c r="P2500" s="683"/>
      <c r="Q2500" s="686"/>
      <c r="R2500" s="686"/>
      <c r="S2500" s="686"/>
      <c r="T2500" s="686"/>
      <c r="U2500" s="686"/>
      <c r="V2500" s="686"/>
      <c r="W2500" s="686"/>
      <c r="X2500" s="686"/>
      <c r="Y2500" s="686"/>
      <c r="Z2500" s="686"/>
      <c r="AA2500" s="686"/>
      <c r="AB2500" s="686"/>
      <c r="AC2500" s="686"/>
      <c r="AD2500" s="686"/>
      <c r="AE2500" s="686"/>
      <c r="AF2500" s="686"/>
    </row>
    <row r="2501" ht="15.75" customHeight="1">
      <c r="A2501" s="683"/>
      <c r="B2501" s="683"/>
      <c r="C2501" s="684"/>
      <c r="D2501" s="684"/>
      <c r="E2501" s="684"/>
      <c r="F2501" s="683"/>
      <c r="G2501" s="683"/>
      <c r="H2501" s="683"/>
      <c r="I2501" s="683"/>
      <c r="J2501" s="683"/>
      <c r="K2501" s="683"/>
      <c r="L2501" s="685"/>
      <c r="M2501" s="685"/>
      <c r="N2501" s="687"/>
      <c r="O2501" s="683"/>
      <c r="P2501" s="683"/>
      <c r="Q2501" s="686"/>
      <c r="R2501" s="686"/>
      <c r="S2501" s="686"/>
      <c r="T2501" s="686"/>
      <c r="U2501" s="686"/>
      <c r="V2501" s="686"/>
      <c r="W2501" s="686"/>
      <c r="X2501" s="686"/>
      <c r="Y2501" s="686"/>
      <c r="Z2501" s="686"/>
      <c r="AA2501" s="686"/>
      <c r="AB2501" s="686"/>
      <c r="AC2501" s="686"/>
      <c r="AD2501" s="686"/>
      <c r="AE2501" s="686"/>
      <c r="AF2501" s="686"/>
    </row>
    <row r="2502" ht="15.75" customHeight="1">
      <c r="A2502" s="683"/>
      <c r="B2502" s="683"/>
      <c r="C2502" s="684"/>
      <c r="D2502" s="684"/>
      <c r="E2502" s="684"/>
      <c r="F2502" s="683"/>
      <c r="G2502" s="683"/>
      <c r="H2502" s="683"/>
      <c r="I2502" s="683"/>
      <c r="J2502" s="683"/>
      <c r="K2502" s="683"/>
      <c r="L2502" s="685"/>
      <c r="M2502" s="685"/>
      <c r="N2502" s="687"/>
      <c r="O2502" s="683"/>
      <c r="P2502" s="683"/>
      <c r="Q2502" s="686"/>
      <c r="R2502" s="686"/>
      <c r="S2502" s="686"/>
      <c r="T2502" s="686"/>
      <c r="U2502" s="686"/>
      <c r="V2502" s="686"/>
      <c r="W2502" s="686"/>
      <c r="X2502" s="686"/>
      <c r="Y2502" s="686"/>
      <c r="Z2502" s="686"/>
      <c r="AA2502" s="686"/>
      <c r="AB2502" s="686"/>
      <c r="AC2502" s="686"/>
      <c r="AD2502" s="686"/>
      <c r="AE2502" s="686"/>
      <c r="AF2502" s="686"/>
    </row>
    <row r="2503" ht="15.75" customHeight="1">
      <c r="A2503" s="683"/>
      <c r="B2503" s="683"/>
      <c r="C2503" s="684"/>
      <c r="D2503" s="684"/>
      <c r="E2503" s="684"/>
      <c r="F2503" s="683"/>
      <c r="G2503" s="683"/>
      <c r="H2503" s="683"/>
      <c r="I2503" s="683"/>
      <c r="J2503" s="683"/>
      <c r="K2503" s="683"/>
      <c r="L2503" s="685"/>
      <c r="M2503" s="685"/>
      <c r="N2503" s="687"/>
      <c r="O2503" s="683"/>
      <c r="P2503" s="683"/>
      <c r="Q2503" s="686"/>
      <c r="R2503" s="686"/>
      <c r="S2503" s="686"/>
      <c r="T2503" s="686"/>
      <c r="U2503" s="686"/>
      <c r="V2503" s="686"/>
      <c r="W2503" s="686"/>
      <c r="X2503" s="686"/>
      <c r="Y2503" s="686"/>
      <c r="Z2503" s="686"/>
      <c r="AA2503" s="686"/>
      <c r="AB2503" s="686"/>
      <c r="AC2503" s="686"/>
      <c r="AD2503" s="686"/>
      <c r="AE2503" s="686"/>
      <c r="AF2503" s="686"/>
    </row>
    <row r="2504" ht="15.75" customHeight="1">
      <c r="A2504" s="683"/>
      <c r="B2504" s="683"/>
      <c r="C2504" s="684"/>
      <c r="D2504" s="684"/>
      <c r="E2504" s="684"/>
      <c r="F2504" s="683"/>
      <c r="G2504" s="683"/>
      <c r="H2504" s="683"/>
      <c r="I2504" s="683"/>
      <c r="J2504" s="683"/>
      <c r="K2504" s="683"/>
      <c r="L2504" s="685"/>
      <c r="M2504" s="685"/>
      <c r="N2504" s="687"/>
      <c r="O2504" s="683"/>
      <c r="P2504" s="683"/>
      <c r="Q2504" s="686"/>
      <c r="R2504" s="686"/>
      <c r="S2504" s="686"/>
      <c r="T2504" s="686"/>
      <c r="U2504" s="686"/>
      <c r="V2504" s="686"/>
      <c r="W2504" s="686"/>
      <c r="X2504" s="686"/>
      <c r="Y2504" s="686"/>
      <c r="Z2504" s="686"/>
      <c r="AA2504" s="686"/>
      <c r="AB2504" s="686"/>
      <c r="AC2504" s="686"/>
      <c r="AD2504" s="686"/>
      <c r="AE2504" s="686"/>
      <c r="AF2504" s="686"/>
    </row>
    <row r="2505" ht="15.75" customHeight="1">
      <c r="A2505" s="683"/>
      <c r="B2505" s="683"/>
      <c r="C2505" s="684"/>
      <c r="D2505" s="684"/>
      <c r="E2505" s="684"/>
      <c r="F2505" s="683"/>
      <c r="G2505" s="683"/>
      <c r="H2505" s="683"/>
      <c r="I2505" s="683"/>
      <c r="J2505" s="683"/>
      <c r="K2505" s="683"/>
      <c r="L2505" s="685"/>
      <c r="M2505" s="685"/>
      <c r="N2505" s="687"/>
      <c r="O2505" s="683"/>
      <c r="P2505" s="683"/>
      <c r="Q2505" s="686"/>
      <c r="R2505" s="686"/>
      <c r="S2505" s="686"/>
      <c r="T2505" s="686"/>
      <c r="U2505" s="686"/>
      <c r="V2505" s="686"/>
      <c r="W2505" s="686"/>
      <c r="X2505" s="686"/>
      <c r="Y2505" s="686"/>
      <c r="Z2505" s="686"/>
      <c r="AA2505" s="686"/>
      <c r="AB2505" s="686"/>
      <c r="AC2505" s="686"/>
      <c r="AD2505" s="686"/>
      <c r="AE2505" s="686"/>
      <c r="AF2505" s="686"/>
    </row>
    <row r="2506" ht="15.75" customHeight="1">
      <c r="A2506" s="683"/>
      <c r="B2506" s="683"/>
      <c r="C2506" s="684"/>
      <c r="D2506" s="684"/>
      <c r="E2506" s="684"/>
      <c r="F2506" s="683"/>
      <c r="G2506" s="683"/>
      <c r="H2506" s="683"/>
      <c r="I2506" s="683"/>
      <c r="J2506" s="683"/>
      <c r="K2506" s="683"/>
      <c r="L2506" s="685"/>
      <c r="M2506" s="685"/>
      <c r="N2506" s="687"/>
      <c r="O2506" s="683"/>
      <c r="P2506" s="683"/>
      <c r="Q2506" s="686"/>
      <c r="R2506" s="686"/>
      <c r="S2506" s="686"/>
      <c r="T2506" s="686"/>
      <c r="U2506" s="686"/>
      <c r="V2506" s="686"/>
      <c r="W2506" s="686"/>
      <c r="X2506" s="686"/>
      <c r="Y2506" s="686"/>
      <c r="Z2506" s="686"/>
      <c r="AA2506" s="686"/>
      <c r="AB2506" s="686"/>
      <c r="AC2506" s="686"/>
      <c r="AD2506" s="686"/>
      <c r="AE2506" s="686"/>
      <c r="AF2506" s="686"/>
    </row>
    <row r="2507" ht="15.75" customHeight="1">
      <c r="A2507" s="683"/>
      <c r="B2507" s="683"/>
      <c r="C2507" s="684"/>
      <c r="D2507" s="684"/>
      <c r="E2507" s="684"/>
      <c r="F2507" s="683"/>
      <c r="G2507" s="683"/>
      <c r="H2507" s="683"/>
      <c r="I2507" s="683"/>
      <c r="J2507" s="683"/>
      <c r="K2507" s="683"/>
      <c r="L2507" s="685"/>
      <c r="M2507" s="685"/>
      <c r="N2507" s="687"/>
      <c r="O2507" s="683"/>
      <c r="P2507" s="683"/>
      <c r="Q2507" s="686"/>
      <c r="R2507" s="686"/>
      <c r="S2507" s="686"/>
      <c r="T2507" s="686"/>
      <c r="U2507" s="686"/>
      <c r="V2507" s="686"/>
      <c r="W2507" s="686"/>
      <c r="X2507" s="686"/>
      <c r="Y2507" s="686"/>
      <c r="Z2507" s="686"/>
      <c r="AA2507" s="686"/>
      <c r="AB2507" s="686"/>
      <c r="AC2507" s="686"/>
      <c r="AD2507" s="686"/>
      <c r="AE2507" s="686"/>
      <c r="AF2507" s="686"/>
    </row>
    <row r="2508" ht="15.75" customHeight="1">
      <c r="A2508" s="683"/>
      <c r="B2508" s="683"/>
      <c r="C2508" s="684"/>
      <c r="D2508" s="684"/>
      <c r="E2508" s="684"/>
      <c r="F2508" s="683"/>
      <c r="G2508" s="683"/>
      <c r="H2508" s="683"/>
      <c r="I2508" s="683"/>
      <c r="J2508" s="683"/>
      <c r="K2508" s="683"/>
      <c r="L2508" s="685"/>
      <c r="M2508" s="685"/>
      <c r="N2508" s="687"/>
      <c r="O2508" s="683"/>
      <c r="P2508" s="683"/>
      <c r="Q2508" s="686"/>
      <c r="R2508" s="686"/>
      <c r="S2508" s="686"/>
      <c r="T2508" s="686"/>
      <c r="U2508" s="686"/>
      <c r="V2508" s="686"/>
      <c r="W2508" s="686"/>
      <c r="X2508" s="686"/>
      <c r="Y2508" s="686"/>
      <c r="Z2508" s="686"/>
      <c r="AA2508" s="686"/>
      <c r="AB2508" s="686"/>
      <c r="AC2508" s="686"/>
      <c r="AD2508" s="686"/>
      <c r="AE2508" s="686"/>
      <c r="AF2508" s="686"/>
    </row>
    <row r="2509" ht="15.75" customHeight="1">
      <c r="A2509" s="683"/>
      <c r="B2509" s="683"/>
      <c r="C2509" s="684"/>
      <c r="D2509" s="684"/>
      <c r="E2509" s="684"/>
      <c r="F2509" s="683"/>
      <c r="G2509" s="683"/>
      <c r="H2509" s="683"/>
      <c r="I2509" s="683"/>
      <c r="J2509" s="683"/>
      <c r="K2509" s="683"/>
      <c r="L2509" s="685"/>
      <c r="M2509" s="685"/>
      <c r="N2509" s="687"/>
      <c r="O2509" s="683"/>
      <c r="P2509" s="683"/>
      <c r="Q2509" s="686"/>
      <c r="R2509" s="686"/>
      <c r="S2509" s="686"/>
      <c r="T2509" s="686"/>
      <c r="U2509" s="686"/>
      <c r="V2509" s="686"/>
      <c r="W2509" s="686"/>
      <c r="X2509" s="686"/>
      <c r="Y2509" s="686"/>
      <c r="Z2509" s="686"/>
      <c r="AA2509" s="686"/>
      <c r="AB2509" s="686"/>
      <c r="AC2509" s="686"/>
      <c r="AD2509" s="686"/>
      <c r="AE2509" s="686"/>
      <c r="AF2509" s="686"/>
    </row>
    <row r="2510" ht="15.75" customHeight="1">
      <c r="A2510" s="683"/>
      <c r="B2510" s="683"/>
      <c r="C2510" s="684"/>
      <c r="D2510" s="684"/>
      <c r="E2510" s="684"/>
      <c r="F2510" s="683"/>
      <c r="G2510" s="683"/>
      <c r="H2510" s="683"/>
      <c r="I2510" s="683"/>
      <c r="J2510" s="683"/>
      <c r="K2510" s="683"/>
      <c r="L2510" s="685"/>
      <c r="M2510" s="685"/>
      <c r="N2510" s="687"/>
      <c r="O2510" s="683"/>
      <c r="P2510" s="683"/>
      <c r="Q2510" s="686"/>
      <c r="R2510" s="686"/>
      <c r="S2510" s="686"/>
      <c r="T2510" s="686"/>
      <c r="U2510" s="686"/>
      <c r="V2510" s="686"/>
      <c r="W2510" s="686"/>
      <c r="X2510" s="686"/>
      <c r="Y2510" s="686"/>
      <c r="Z2510" s="686"/>
      <c r="AA2510" s="686"/>
      <c r="AB2510" s="686"/>
      <c r="AC2510" s="686"/>
      <c r="AD2510" s="686"/>
      <c r="AE2510" s="686"/>
      <c r="AF2510" s="686"/>
    </row>
    <row r="2511" ht="15.75" customHeight="1">
      <c r="A2511" s="683"/>
      <c r="B2511" s="683"/>
      <c r="C2511" s="684"/>
      <c r="D2511" s="684"/>
      <c r="E2511" s="684"/>
      <c r="F2511" s="683"/>
      <c r="G2511" s="683"/>
      <c r="H2511" s="683"/>
      <c r="I2511" s="683"/>
      <c r="J2511" s="683"/>
      <c r="K2511" s="683"/>
      <c r="L2511" s="685"/>
      <c r="M2511" s="685"/>
      <c r="N2511" s="687"/>
      <c r="O2511" s="683"/>
      <c r="P2511" s="683"/>
      <c r="Q2511" s="686"/>
      <c r="R2511" s="686"/>
      <c r="S2511" s="686"/>
      <c r="T2511" s="686"/>
      <c r="U2511" s="686"/>
      <c r="V2511" s="686"/>
      <c r="W2511" s="686"/>
      <c r="X2511" s="686"/>
      <c r="Y2511" s="686"/>
      <c r="Z2511" s="686"/>
      <c r="AA2511" s="686"/>
      <c r="AB2511" s="686"/>
      <c r="AC2511" s="686"/>
      <c r="AD2511" s="686"/>
      <c r="AE2511" s="686"/>
      <c r="AF2511" s="686"/>
    </row>
    <row r="2512" ht="15.75" customHeight="1">
      <c r="A2512" s="683"/>
      <c r="B2512" s="683"/>
      <c r="C2512" s="684"/>
      <c r="D2512" s="684"/>
      <c r="E2512" s="684"/>
      <c r="F2512" s="683"/>
      <c r="G2512" s="683"/>
      <c r="H2512" s="683"/>
      <c r="I2512" s="683"/>
      <c r="J2512" s="683"/>
      <c r="K2512" s="683"/>
      <c r="L2512" s="685"/>
      <c r="M2512" s="685"/>
      <c r="N2512" s="687"/>
      <c r="O2512" s="683"/>
      <c r="P2512" s="683"/>
      <c r="Q2512" s="686"/>
      <c r="R2512" s="686"/>
      <c r="S2512" s="686"/>
      <c r="T2512" s="686"/>
      <c r="U2512" s="686"/>
      <c r="V2512" s="686"/>
      <c r="W2512" s="686"/>
      <c r="X2512" s="686"/>
      <c r="Y2512" s="686"/>
      <c r="Z2512" s="686"/>
      <c r="AA2512" s="686"/>
      <c r="AB2512" s="686"/>
      <c r="AC2512" s="686"/>
      <c r="AD2512" s="686"/>
      <c r="AE2512" s="686"/>
      <c r="AF2512" s="686"/>
    </row>
    <row r="2513" ht="15.75" customHeight="1">
      <c r="A2513" s="683"/>
      <c r="B2513" s="683"/>
      <c r="C2513" s="684"/>
      <c r="D2513" s="684"/>
      <c r="E2513" s="684"/>
      <c r="F2513" s="683"/>
      <c r="G2513" s="683"/>
      <c r="H2513" s="683"/>
      <c r="I2513" s="683"/>
      <c r="J2513" s="683"/>
      <c r="K2513" s="683"/>
      <c r="L2513" s="685"/>
      <c r="M2513" s="685"/>
      <c r="N2513" s="687"/>
      <c r="O2513" s="683"/>
      <c r="P2513" s="683"/>
      <c r="Q2513" s="686"/>
      <c r="R2513" s="686"/>
      <c r="S2513" s="686"/>
      <c r="T2513" s="686"/>
      <c r="U2513" s="686"/>
      <c r="V2513" s="686"/>
      <c r="W2513" s="686"/>
      <c r="X2513" s="686"/>
      <c r="Y2513" s="686"/>
      <c r="Z2513" s="686"/>
      <c r="AA2513" s="686"/>
      <c r="AB2513" s="686"/>
      <c r="AC2513" s="686"/>
      <c r="AD2513" s="686"/>
      <c r="AE2513" s="686"/>
      <c r="AF2513" s="686"/>
    </row>
    <row r="2514" ht="15.75" customHeight="1">
      <c r="A2514" s="683"/>
      <c r="B2514" s="683"/>
      <c r="C2514" s="684"/>
      <c r="D2514" s="684"/>
      <c r="E2514" s="684"/>
      <c r="F2514" s="683"/>
      <c r="G2514" s="683"/>
      <c r="H2514" s="683"/>
      <c r="I2514" s="683"/>
      <c r="J2514" s="683"/>
      <c r="K2514" s="683"/>
      <c r="L2514" s="685"/>
      <c r="M2514" s="685"/>
      <c r="N2514" s="687"/>
      <c r="O2514" s="683"/>
      <c r="P2514" s="683"/>
      <c r="Q2514" s="686"/>
      <c r="R2514" s="686"/>
      <c r="S2514" s="686"/>
      <c r="T2514" s="686"/>
      <c r="U2514" s="686"/>
      <c r="V2514" s="686"/>
      <c r="W2514" s="686"/>
      <c r="X2514" s="686"/>
      <c r="Y2514" s="686"/>
      <c r="Z2514" s="686"/>
      <c r="AA2514" s="686"/>
      <c r="AB2514" s="686"/>
      <c r="AC2514" s="686"/>
      <c r="AD2514" s="686"/>
      <c r="AE2514" s="686"/>
      <c r="AF2514" s="686"/>
    </row>
  </sheetData>
  <mergeCells count="3">
    <mergeCell ref="L3:L4"/>
    <mergeCell ref="N3:N4"/>
    <mergeCell ref="T3:T4"/>
  </mergeCells>
  <hyperlinks>
    <hyperlink r:id="rId1" ref="D3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3" max="3" width="43.25"/>
    <col customWidth="1" min="4" max="5" width="16.5"/>
    <col customWidth="1" min="6" max="6" width="42.0"/>
    <col customWidth="1" min="7" max="7" width="36.75"/>
    <col customWidth="1" min="9" max="9" width="37.0"/>
    <col customWidth="1" min="11" max="11" width="54.88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>
      <c r="A2" s="98"/>
      <c r="B2" s="698" t="s">
        <v>2397</v>
      </c>
      <c r="C2" s="118"/>
      <c r="D2" s="98"/>
      <c r="E2" s="98"/>
      <c r="F2" s="699" t="s">
        <v>2398</v>
      </c>
      <c r="G2" s="700">
        <f>SUMIF(E:E,"No",D:D)</f>
        <v>-81188.22</v>
      </c>
      <c r="H2" s="98"/>
      <c r="I2" s="698" t="s">
        <v>2399</v>
      </c>
      <c r="J2" s="98"/>
      <c r="K2" s="649"/>
      <c r="L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ht="15.0" customHeight="1">
      <c r="A4" s="98"/>
      <c r="B4" s="701"/>
      <c r="C4" s="98"/>
      <c r="D4" s="98"/>
      <c r="E4" s="98"/>
      <c r="F4" s="98"/>
      <c r="G4" s="98"/>
      <c r="H4" s="98"/>
      <c r="I4" s="701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</row>
    <row r="5">
      <c r="A5" s="98"/>
      <c r="B5" s="702" t="s">
        <v>34</v>
      </c>
      <c r="C5" s="702" t="s">
        <v>2400</v>
      </c>
      <c r="D5" s="702" t="s">
        <v>961</v>
      </c>
      <c r="E5" s="702" t="s">
        <v>2401</v>
      </c>
      <c r="F5" s="702" t="s">
        <v>2402</v>
      </c>
      <c r="G5" s="98"/>
      <c r="H5" s="98"/>
      <c r="I5" s="702" t="s">
        <v>34</v>
      </c>
      <c r="J5" s="702" t="s">
        <v>961</v>
      </c>
      <c r="K5" s="702" t="s">
        <v>164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</row>
    <row r="6">
      <c r="A6" s="98"/>
      <c r="B6" s="703">
        <v>45747.0</v>
      </c>
      <c r="C6" s="704" t="s">
        <v>2403</v>
      </c>
      <c r="D6" s="704">
        <v>-20133.03</v>
      </c>
      <c r="E6" s="705" t="s">
        <v>2404</v>
      </c>
      <c r="F6" s="703">
        <v>45770.0</v>
      </c>
      <c r="G6" s="98"/>
      <c r="H6" s="98"/>
      <c r="I6" s="704" t="s">
        <v>2405</v>
      </c>
      <c r="J6" s="706">
        <v>1173.47</v>
      </c>
      <c r="K6" s="705" t="s">
        <v>2406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>
      <c r="A7" s="98"/>
      <c r="B7" s="703">
        <v>45748.0</v>
      </c>
      <c r="C7" s="704" t="s">
        <v>2403</v>
      </c>
      <c r="D7" s="704">
        <v>-0.11</v>
      </c>
      <c r="E7" s="705" t="s">
        <v>2407</v>
      </c>
      <c r="F7" s="703"/>
      <c r="G7" s="98"/>
      <c r="H7" s="98"/>
      <c r="I7" s="704" t="s">
        <v>2408</v>
      </c>
      <c r="J7" s="706">
        <v>2879.7</v>
      </c>
      <c r="K7" s="705" t="s">
        <v>2406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</row>
    <row r="8">
      <c r="A8" s="98"/>
      <c r="B8" s="703">
        <v>45751.0</v>
      </c>
      <c r="C8" s="704" t="s">
        <v>2403</v>
      </c>
      <c r="D8" s="704">
        <v>-19469.21</v>
      </c>
      <c r="E8" s="705" t="s">
        <v>2404</v>
      </c>
      <c r="F8" s="703">
        <v>45763.0</v>
      </c>
      <c r="G8" s="98"/>
      <c r="H8" s="98"/>
      <c r="I8" s="704" t="s">
        <v>2409</v>
      </c>
      <c r="J8" s="706">
        <v>9106.7</v>
      </c>
      <c r="K8" s="705" t="s">
        <v>2406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</row>
    <row r="9">
      <c r="A9" s="98"/>
      <c r="B9" s="703">
        <v>45763.0</v>
      </c>
      <c r="C9" s="704" t="s">
        <v>2403</v>
      </c>
      <c r="D9" s="707">
        <v>-66.0</v>
      </c>
      <c r="E9" s="705" t="s">
        <v>2404</v>
      </c>
      <c r="F9" s="703">
        <v>45770.0</v>
      </c>
      <c r="G9" s="98"/>
      <c r="H9" s="98"/>
      <c r="I9" s="704" t="s">
        <v>2410</v>
      </c>
      <c r="J9" s="706">
        <v>6361.15</v>
      </c>
      <c r="K9" s="705" t="s">
        <v>2406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</row>
    <row r="10">
      <c r="A10" s="98"/>
      <c r="B10" s="703">
        <v>45769.0</v>
      </c>
      <c r="C10" s="704" t="s">
        <v>2403</v>
      </c>
      <c r="D10" s="707">
        <v>-10.82</v>
      </c>
      <c r="E10" s="705" t="s">
        <v>2407</v>
      </c>
      <c r="F10" s="703"/>
      <c r="G10" s="98"/>
      <c r="H10" s="98"/>
      <c r="I10" s="704" t="s">
        <v>2411</v>
      </c>
      <c r="J10" s="706">
        <v>10531.08</v>
      </c>
      <c r="K10" s="705" t="s">
        <v>2406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</row>
    <row r="11">
      <c r="A11" s="98"/>
      <c r="B11" s="703">
        <v>45771.0</v>
      </c>
      <c r="C11" s="704" t="s">
        <v>2403</v>
      </c>
      <c r="D11" s="707">
        <v>-0.72</v>
      </c>
      <c r="E11" s="705" t="s">
        <v>2407</v>
      </c>
      <c r="F11" s="703"/>
      <c r="G11" s="98"/>
      <c r="H11" s="98"/>
      <c r="I11" s="702" t="s">
        <v>42</v>
      </c>
      <c r="J11" s="706">
        <f>SUM(J6:J10)</f>
        <v>30052.1</v>
      </c>
      <c r="K11" s="705" t="s">
        <v>2412</v>
      </c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</row>
    <row r="12">
      <c r="A12" s="98"/>
      <c r="B12" s="703">
        <v>45776.0</v>
      </c>
      <c r="C12" s="704" t="s">
        <v>2403</v>
      </c>
      <c r="D12" s="707">
        <v>-0.71</v>
      </c>
      <c r="E12" s="705" t="s">
        <v>2404</v>
      </c>
      <c r="F12" s="703">
        <v>45806.0</v>
      </c>
      <c r="G12" s="98"/>
      <c r="H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</row>
    <row r="13">
      <c r="A13" s="98"/>
      <c r="B13" s="703">
        <v>45776.0</v>
      </c>
      <c r="C13" s="704" t="s">
        <v>2403</v>
      </c>
      <c r="D13" s="707">
        <v>-0.51</v>
      </c>
      <c r="E13" s="705" t="s">
        <v>2404</v>
      </c>
      <c r="F13" s="703">
        <v>45805.0</v>
      </c>
      <c r="G13" s="98"/>
      <c r="H13" s="98"/>
      <c r="I13" s="702" t="s">
        <v>34</v>
      </c>
      <c r="J13" s="702" t="s">
        <v>961</v>
      </c>
      <c r="K13" s="702" t="s">
        <v>164</v>
      </c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</row>
    <row r="14">
      <c r="A14" s="98"/>
      <c r="B14" s="703">
        <v>45777.0</v>
      </c>
      <c r="C14" s="704" t="s">
        <v>2403</v>
      </c>
      <c r="D14" s="707">
        <v>-0.3</v>
      </c>
      <c r="E14" s="705" t="s">
        <v>2404</v>
      </c>
      <c r="F14" s="703">
        <v>45805.0</v>
      </c>
      <c r="G14" s="98"/>
      <c r="H14" s="98"/>
      <c r="I14" s="704" t="s">
        <v>2413</v>
      </c>
      <c r="J14" s="706">
        <v>12290.32</v>
      </c>
      <c r="K14" s="705" t="s">
        <v>2414</v>
      </c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</row>
    <row r="15">
      <c r="A15" s="98"/>
      <c r="B15" s="703">
        <v>45778.0</v>
      </c>
      <c r="C15" s="704" t="s">
        <v>2403</v>
      </c>
      <c r="D15" s="707">
        <v>-31.11</v>
      </c>
      <c r="E15" s="705" t="s">
        <v>2407</v>
      </c>
      <c r="F15" s="703"/>
      <c r="G15" s="98"/>
      <c r="H15" s="98"/>
      <c r="I15" s="704" t="s">
        <v>2415</v>
      </c>
      <c r="J15" s="706">
        <v>10747.28</v>
      </c>
      <c r="K15" s="705" t="s">
        <v>2414</v>
      </c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</row>
    <row r="16">
      <c r="A16" s="98"/>
      <c r="B16" s="703">
        <v>45783.0</v>
      </c>
      <c r="C16" s="704" t="s">
        <v>2403</v>
      </c>
      <c r="D16" s="707">
        <v>-130.87</v>
      </c>
      <c r="E16" s="705" t="s">
        <v>2407</v>
      </c>
      <c r="F16" s="703"/>
      <c r="G16" s="98"/>
      <c r="H16" s="98"/>
      <c r="I16" s="704" t="s">
        <v>2416</v>
      </c>
      <c r="J16" s="706">
        <v>8252.06</v>
      </c>
      <c r="K16" s="705" t="s">
        <v>2414</v>
      </c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</row>
    <row r="17">
      <c r="A17" s="98"/>
      <c r="B17" s="703">
        <v>45785.0</v>
      </c>
      <c r="C17" s="704" t="s">
        <v>2403</v>
      </c>
      <c r="D17" s="707">
        <v>-8.4</v>
      </c>
      <c r="E17" s="705" t="s">
        <v>2404</v>
      </c>
      <c r="F17" s="703">
        <v>45806.0</v>
      </c>
      <c r="G17" s="98"/>
      <c r="H17" s="98"/>
      <c r="I17" s="704" t="s">
        <v>2417</v>
      </c>
      <c r="J17" s="706">
        <v>6099.66</v>
      </c>
      <c r="K17" s="705" t="s">
        <v>2414</v>
      </c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</row>
    <row r="18">
      <c r="A18" s="98"/>
      <c r="B18" s="703">
        <v>45786.0</v>
      </c>
      <c r="C18" s="704" t="s">
        <v>2403</v>
      </c>
      <c r="D18" s="707">
        <v>-40.0</v>
      </c>
      <c r="E18" s="705" t="s">
        <v>2404</v>
      </c>
      <c r="F18" s="703">
        <v>45810.0</v>
      </c>
      <c r="G18" s="98"/>
      <c r="H18" s="98"/>
      <c r="I18" s="704" t="s">
        <v>2418</v>
      </c>
      <c r="J18" s="706">
        <v>7816.23</v>
      </c>
      <c r="K18" s="705" t="s">
        <v>2414</v>
      </c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</row>
    <row r="19">
      <c r="A19" s="98"/>
      <c r="B19" s="703">
        <v>45792.0</v>
      </c>
      <c r="C19" s="704" t="s">
        <v>2403</v>
      </c>
      <c r="D19" s="707">
        <v>-41649.89</v>
      </c>
      <c r="E19" s="705" t="s">
        <v>2407</v>
      </c>
      <c r="F19" s="703"/>
      <c r="G19" s="98"/>
      <c r="H19" s="98"/>
      <c r="I19" s="704" t="s">
        <v>2419</v>
      </c>
      <c r="J19" s="706">
        <v>6243.6</v>
      </c>
      <c r="K19" s="705" t="s">
        <v>2414</v>
      </c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</row>
    <row r="20">
      <c r="A20" s="98"/>
      <c r="B20" s="703">
        <v>45806.0</v>
      </c>
      <c r="C20" s="704" t="s">
        <v>2403</v>
      </c>
      <c r="D20" s="706">
        <v>-5324.79</v>
      </c>
      <c r="E20" s="705" t="s">
        <v>2407</v>
      </c>
      <c r="F20" s="703"/>
      <c r="G20" s="98"/>
      <c r="H20" s="98"/>
      <c r="I20" s="704" t="s">
        <v>2420</v>
      </c>
      <c r="J20" s="706">
        <v>2506.03</v>
      </c>
      <c r="K20" s="705" t="s">
        <v>2414</v>
      </c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</row>
    <row r="21">
      <c r="A21" s="98"/>
      <c r="B21" s="703">
        <v>45810.0</v>
      </c>
      <c r="C21" s="704" t="s">
        <v>2403</v>
      </c>
      <c r="D21" s="707">
        <v>-417.2</v>
      </c>
      <c r="E21" s="705" t="s">
        <v>2404</v>
      </c>
      <c r="F21" s="708">
        <v>45819.0</v>
      </c>
      <c r="G21" s="98"/>
      <c r="H21" s="98"/>
      <c r="I21" s="704" t="s">
        <v>2421</v>
      </c>
      <c r="J21" s="706">
        <v>1234.26</v>
      </c>
      <c r="K21" s="705" t="s">
        <v>2414</v>
      </c>
      <c r="L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</row>
    <row r="22" ht="15.75" customHeight="1">
      <c r="A22" s="98"/>
      <c r="B22" s="703">
        <v>45810.0</v>
      </c>
      <c r="C22" s="704" t="s">
        <v>2403</v>
      </c>
      <c r="D22" s="707">
        <v>-23.81</v>
      </c>
      <c r="E22" s="705" t="s">
        <v>2407</v>
      </c>
      <c r="F22" s="703"/>
      <c r="G22" s="98"/>
      <c r="H22" s="98"/>
      <c r="I22" s="704" t="s">
        <v>2422</v>
      </c>
      <c r="J22" s="706">
        <v>357.27</v>
      </c>
      <c r="K22" s="705" t="s">
        <v>2414</v>
      </c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</row>
    <row r="23" ht="15.75" customHeight="1">
      <c r="A23" s="98"/>
      <c r="B23" s="703">
        <v>45810.0</v>
      </c>
      <c r="C23" s="704" t="s">
        <v>2403</v>
      </c>
      <c r="D23" s="706">
        <v>-2.0</v>
      </c>
      <c r="E23" s="705" t="s">
        <v>2404</v>
      </c>
      <c r="F23" s="703">
        <v>45841.0</v>
      </c>
      <c r="G23" s="98"/>
      <c r="H23" s="98"/>
      <c r="I23" s="704" t="s">
        <v>2423</v>
      </c>
      <c r="J23" s="706">
        <v>4159.63</v>
      </c>
      <c r="K23" s="705" t="s">
        <v>2414</v>
      </c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  <row r="24" ht="15.75" customHeight="1">
      <c r="A24" s="98"/>
      <c r="B24" s="704" t="s">
        <v>2424</v>
      </c>
      <c r="C24" s="704" t="s">
        <v>2403</v>
      </c>
      <c r="D24" s="706">
        <v>-6.75</v>
      </c>
      <c r="E24" s="705" t="s">
        <v>2407</v>
      </c>
      <c r="F24" s="703"/>
      <c r="G24" s="98"/>
      <c r="H24" s="98"/>
      <c r="I24" s="704" t="s">
        <v>2425</v>
      </c>
      <c r="J24" s="706">
        <v>4361.79</v>
      </c>
      <c r="K24" s="705" t="s">
        <v>2414</v>
      </c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</row>
    <row r="25" ht="15.75" customHeight="1">
      <c r="A25" s="98"/>
      <c r="B25" s="709">
        <v>45825.0</v>
      </c>
      <c r="C25" s="704" t="s">
        <v>2403</v>
      </c>
      <c r="D25" s="706">
        <v>-8.88</v>
      </c>
      <c r="E25" s="705" t="s">
        <v>2407</v>
      </c>
      <c r="F25" s="703"/>
      <c r="G25" s="98"/>
      <c r="H25" s="98"/>
      <c r="I25" s="704" t="s">
        <v>2426</v>
      </c>
      <c r="J25" s="706">
        <v>1195.7</v>
      </c>
      <c r="K25" s="705" t="s">
        <v>2414</v>
      </c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</row>
    <row r="26" ht="15.75" customHeight="1">
      <c r="A26" s="98"/>
      <c r="B26" s="709">
        <v>45825.0</v>
      </c>
      <c r="C26" s="704" t="s">
        <v>2403</v>
      </c>
      <c r="D26" s="706">
        <v>-3020.87</v>
      </c>
      <c r="E26" s="705" t="s">
        <v>2404</v>
      </c>
      <c r="F26" s="704" t="s">
        <v>2427</v>
      </c>
      <c r="G26" s="438"/>
      <c r="H26" s="98"/>
      <c r="I26" s="704" t="s">
        <v>2428</v>
      </c>
      <c r="J26" s="706">
        <v>3819.57</v>
      </c>
      <c r="K26" s="705" t="s">
        <v>2414</v>
      </c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</row>
    <row r="27" ht="15.75" customHeight="1">
      <c r="A27" s="98"/>
      <c r="B27" s="709">
        <v>45825.0</v>
      </c>
      <c r="C27" s="704" t="s">
        <v>2403</v>
      </c>
      <c r="D27" s="706">
        <v>-33941.76</v>
      </c>
      <c r="E27" s="705" t="s">
        <v>2407</v>
      </c>
      <c r="F27" s="703"/>
      <c r="G27" s="98"/>
      <c r="H27" s="98"/>
      <c r="I27" s="704" t="s">
        <v>2429</v>
      </c>
      <c r="J27" s="706">
        <v>751.47</v>
      </c>
      <c r="K27" s="705" t="s">
        <v>2414</v>
      </c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</row>
    <row r="28" ht="15.75" customHeight="1">
      <c r="A28" s="98"/>
      <c r="B28" s="703">
        <v>45828.0</v>
      </c>
      <c r="C28" s="704" t="s">
        <v>2430</v>
      </c>
      <c r="D28" s="706">
        <v>143916.37</v>
      </c>
      <c r="E28" s="705" t="s">
        <v>2404</v>
      </c>
      <c r="F28" s="703"/>
      <c r="G28" s="98"/>
      <c r="H28" s="98"/>
      <c r="I28" s="704" t="s">
        <v>2431</v>
      </c>
      <c r="J28" s="706">
        <v>3430.72</v>
      </c>
      <c r="K28" s="705" t="s">
        <v>2414</v>
      </c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</row>
    <row r="29" ht="15.75" customHeight="1">
      <c r="A29" s="98"/>
      <c r="B29" s="703">
        <v>45852.0</v>
      </c>
      <c r="C29" s="704" t="s">
        <v>2403</v>
      </c>
      <c r="D29" s="707">
        <v>-0.34</v>
      </c>
      <c r="E29" s="705" t="s">
        <v>2407</v>
      </c>
      <c r="F29" s="703"/>
      <c r="G29" s="98"/>
      <c r="H29" s="98"/>
      <c r="I29" s="704" t="s">
        <v>2432</v>
      </c>
      <c r="J29" s="706">
        <v>7393.86</v>
      </c>
      <c r="K29" s="705" t="s">
        <v>2414</v>
      </c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</row>
    <row r="30" ht="15.75" customHeight="1">
      <c r="A30" s="98"/>
      <c r="B30" s="710">
        <v>45862.0</v>
      </c>
      <c r="C30" s="711" t="s">
        <v>2403</v>
      </c>
      <c r="D30" s="712">
        <v>-58.37</v>
      </c>
      <c r="E30" s="713" t="s">
        <v>2407</v>
      </c>
      <c r="F30" s="710"/>
      <c r="G30" s="98"/>
      <c r="H30" s="98"/>
      <c r="I30" s="704" t="s">
        <v>2433</v>
      </c>
      <c r="J30" s="706">
        <v>1331.69</v>
      </c>
      <c r="K30" s="705" t="s">
        <v>2414</v>
      </c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</row>
    <row r="31" ht="15.75" customHeight="1">
      <c r="A31" s="98"/>
      <c r="B31" s="703">
        <v>45890.0</v>
      </c>
      <c r="C31" s="707" t="s">
        <v>2434</v>
      </c>
      <c r="D31" s="714" t="s">
        <v>2435</v>
      </c>
      <c r="E31" s="5"/>
      <c r="F31" s="6"/>
      <c r="G31" s="98"/>
      <c r="H31" s="98"/>
      <c r="I31" s="704" t="s">
        <v>2436</v>
      </c>
      <c r="J31" s="706">
        <v>495.79</v>
      </c>
      <c r="K31" s="705" t="s">
        <v>2414</v>
      </c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</row>
    <row r="32" ht="15.75" customHeight="1">
      <c r="A32" s="98"/>
      <c r="B32" s="715"/>
      <c r="C32" s="716"/>
      <c r="D32" s="717"/>
      <c r="E32" s="718"/>
      <c r="F32" s="715"/>
      <c r="G32" s="98"/>
      <c r="H32" s="98"/>
      <c r="I32" s="704" t="s">
        <v>2437</v>
      </c>
      <c r="J32" s="706">
        <v>326.47</v>
      </c>
      <c r="K32" s="705" t="s">
        <v>2414</v>
      </c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</row>
    <row r="33" ht="15.75" customHeight="1">
      <c r="A33" s="98"/>
      <c r="B33" s="715"/>
      <c r="C33" s="716"/>
      <c r="D33" s="717"/>
      <c r="E33" s="718"/>
      <c r="F33" s="715"/>
      <c r="G33" s="98"/>
      <c r="H33" s="98"/>
      <c r="I33" s="710">
        <v>45890.0</v>
      </c>
      <c r="J33" s="719" t="s">
        <v>2434</v>
      </c>
      <c r="K33" s="720" t="s">
        <v>2435</v>
      </c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</row>
    <row r="34" ht="15.75" customHeight="1">
      <c r="A34" s="98"/>
      <c r="B34" s="715"/>
      <c r="C34" s="716"/>
      <c r="D34" s="717"/>
      <c r="E34" s="718"/>
      <c r="F34" s="715"/>
      <c r="G34" s="98"/>
      <c r="H34" s="98"/>
      <c r="I34" s="721"/>
      <c r="J34" s="722"/>
      <c r="K34" s="723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</row>
    <row r="35" ht="15.75" customHeight="1">
      <c r="A35" s="98"/>
      <c r="B35" s="715"/>
      <c r="C35" s="716"/>
      <c r="D35" s="717"/>
      <c r="E35" s="718"/>
      <c r="F35" s="715"/>
      <c r="G35" s="98"/>
      <c r="H35" s="98"/>
      <c r="I35" s="715"/>
      <c r="J35" s="717"/>
      <c r="K35" s="71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</row>
    <row r="36" ht="15.75" customHeight="1">
      <c r="A36" s="98"/>
      <c r="B36" s="715"/>
      <c r="C36" s="716"/>
      <c r="D36" s="717"/>
      <c r="E36" s="718"/>
      <c r="F36" s="715"/>
      <c r="G36" s="98"/>
      <c r="H36" s="98"/>
      <c r="I36" s="715"/>
      <c r="J36" s="717"/>
      <c r="K36" s="71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</row>
    <row r="37" ht="15.75" customHeight="1">
      <c r="A37" s="98"/>
      <c r="B37" s="715"/>
      <c r="C37" s="716"/>
      <c r="D37" s="717"/>
      <c r="E37" s="718"/>
      <c r="F37" s="715"/>
      <c r="G37" s="98"/>
      <c r="H37" s="98"/>
      <c r="I37" s="715"/>
      <c r="J37" s="717"/>
      <c r="K37" s="71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</row>
    <row r="38" ht="15.75" customHeight="1">
      <c r="A38" s="98"/>
      <c r="B38" s="715"/>
      <c r="C38" s="716"/>
      <c r="D38" s="717"/>
      <c r="E38" s="718"/>
      <c r="F38" s="715"/>
      <c r="G38" s="98"/>
      <c r="H38" s="98"/>
      <c r="I38" s="715"/>
      <c r="J38" s="717"/>
      <c r="K38" s="71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</row>
    <row r="39" ht="15.75" customHeight="1">
      <c r="A39" s="98"/>
      <c r="B39" s="715"/>
      <c r="C39" s="716"/>
      <c r="D39" s="717"/>
      <c r="E39" s="718"/>
      <c r="F39" s="715"/>
      <c r="G39" s="98"/>
      <c r="H39" s="98"/>
      <c r="I39" s="715"/>
      <c r="J39" s="717"/>
      <c r="K39" s="71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</row>
    <row r="40" ht="15.75" customHeight="1">
      <c r="A40" s="98"/>
      <c r="B40" s="715"/>
      <c r="C40" s="716"/>
      <c r="D40" s="717"/>
      <c r="E40" s="718"/>
      <c r="F40" s="715"/>
      <c r="G40" s="98"/>
      <c r="H40" s="98"/>
      <c r="I40" s="715"/>
      <c r="J40" s="717"/>
      <c r="K40" s="71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</row>
    <row r="41" ht="15.75" customHeight="1">
      <c r="A41" s="98"/>
      <c r="B41" s="715"/>
      <c r="C41" s="716"/>
      <c r="D41" s="717"/>
      <c r="E41" s="718"/>
      <c r="F41" s="715"/>
      <c r="G41" s="98"/>
      <c r="H41" s="98"/>
      <c r="I41" s="715"/>
      <c r="J41" s="717"/>
      <c r="K41" s="71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</row>
    <row r="42" ht="15.75" customHeight="1">
      <c r="A42" s="98"/>
      <c r="B42" s="715"/>
      <c r="C42" s="716"/>
      <c r="D42" s="717"/>
      <c r="E42" s="718"/>
      <c r="F42" s="715"/>
      <c r="G42" s="98"/>
      <c r="H42" s="98"/>
      <c r="I42" s="715"/>
      <c r="J42" s="717"/>
      <c r="K42" s="71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</row>
    <row r="43" ht="15.75" customHeight="1">
      <c r="A43" s="98"/>
      <c r="B43" s="715"/>
      <c r="C43" s="716"/>
      <c r="D43" s="717"/>
      <c r="E43" s="718"/>
      <c r="F43" s="715"/>
      <c r="G43" s="98"/>
      <c r="H43" s="98"/>
      <c r="I43" s="715"/>
      <c r="J43" s="717"/>
      <c r="K43" s="71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</row>
    <row r="44" ht="15.75" customHeight="1">
      <c r="A44" s="98"/>
      <c r="B44" s="98"/>
      <c r="C44" s="98"/>
      <c r="D44" s="98"/>
      <c r="E44" s="98"/>
      <c r="F44" s="98"/>
      <c r="G44" s="98"/>
      <c r="H44" s="98"/>
      <c r="I44" s="715"/>
      <c r="J44" s="717"/>
      <c r="K44" s="71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</row>
    <row r="45" ht="191.25" customHeight="1">
      <c r="A45" s="98"/>
      <c r="B45" s="724">
        <v>45798.0</v>
      </c>
      <c r="C45" s="725" t="s">
        <v>95</v>
      </c>
      <c r="D45" s="726">
        <v>-4024.46</v>
      </c>
      <c r="E45" s="726">
        <v>0.0</v>
      </c>
      <c r="F45" s="727" t="s">
        <v>2438</v>
      </c>
      <c r="G45" s="5"/>
      <c r="H45" s="5"/>
      <c r="I45" s="385"/>
      <c r="J45" s="717"/>
      <c r="K45" s="71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715"/>
      <c r="J46" s="717"/>
      <c r="K46" s="71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715"/>
      <c r="J47" s="717"/>
      <c r="K47" s="71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715"/>
      <c r="J48" s="717"/>
      <c r="K48" s="71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715"/>
      <c r="J49" s="717"/>
      <c r="K49" s="71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715"/>
      <c r="J50" s="717"/>
      <c r="K50" s="71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715"/>
      <c r="J51" s="717"/>
      <c r="K51" s="71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715"/>
      <c r="J52" s="717"/>
      <c r="K52" s="71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</row>
    <row r="53" ht="15.75" customHeight="1">
      <c r="A53" s="98"/>
      <c r="B53" s="98"/>
      <c r="C53" s="98"/>
      <c r="D53" s="98"/>
      <c r="E53" s="98"/>
      <c r="F53" s="98"/>
      <c r="G53" s="98"/>
      <c r="H53" s="98"/>
      <c r="I53" s="715"/>
      <c r="J53" s="717"/>
      <c r="K53" s="71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715"/>
      <c r="J54" s="717"/>
      <c r="K54" s="71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715"/>
      <c r="J55" s="717"/>
      <c r="K55" s="71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715"/>
      <c r="J56" s="717"/>
      <c r="K56" s="71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715"/>
      <c r="J57" s="717"/>
      <c r="K57" s="71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715"/>
      <c r="J58" s="717"/>
      <c r="K58" s="71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715"/>
      <c r="J59" s="717"/>
      <c r="K59" s="71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715"/>
      <c r="J60" s="717"/>
      <c r="K60" s="71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715"/>
      <c r="J61" s="717"/>
      <c r="K61" s="71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715"/>
      <c r="J62" s="717"/>
      <c r="K62" s="71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715"/>
      <c r="J63" s="717"/>
      <c r="K63" s="71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715"/>
      <c r="J64" s="717"/>
      <c r="K64" s="71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715"/>
      <c r="J65" s="717"/>
      <c r="K65" s="71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715"/>
      <c r="J66" s="717"/>
      <c r="K66" s="71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715"/>
      <c r="J67" s="717"/>
      <c r="K67" s="71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715"/>
      <c r="J68" s="717"/>
      <c r="K68" s="71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715"/>
      <c r="J69" s="717"/>
      <c r="K69" s="71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715"/>
      <c r="J70" s="717"/>
      <c r="K70" s="71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</row>
    <row r="222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</row>
    <row r="223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B$5:$E$5"/>
  <mergeCells count="3">
    <mergeCell ref="B2:C2"/>
    <mergeCell ref="D31:F31"/>
    <mergeCell ref="F45:I45"/>
  </mergeCells>
  <hyperlinks>
    <hyperlink r:id="rId1" location="gid=648457307" ref="D31"/>
    <hyperlink r:id="rId2" location="gid=648457307" ref="K33"/>
  </hyperlinks>
  <printOptions/>
  <pageMargins bottom="0.75" footer="0.0" header="0.0" left="0.7" right="0.7" top="0.75"/>
  <pageSetup orientation="landscape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3" max="3" width="43.25"/>
    <col customWidth="1" min="4" max="4" width="23.5"/>
    <col customWidth="1" min="5" max="5" width="15.5"/>
    <col customWidth="1" min="6" max="6" width="23.38"/>
    <col customWidth="1" min="7" max="7" width="15.5"/>
    <col customWidth="1" min="9" max="9" width="37.0"/>
    <col customWidth="1" min="11" max="11" width="54.88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>
      <c r="A2" s="98"/>
      <c r="B2" s="728" t="s">
        <v>2439</v>
      </c>
      <c r="C2" s="728"/>
      <c r="F2" s="699" t="s">
        <v>2398</v>
      </c>
      <c r="G2" s="700">
        <f>SUMIF(E:E,"No",D:D)</f>
        <v>47079.02</v>
      </c>
      <c r="H2" s="98"/>
      <c r="I2" s="698" t="s">
        <v>2440</v>
      </c>
      <c r="J2" s="98"/>
      <c r="K2" s="649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35.25" customHeight="1">
      <c r="A4" s="98"/>
      <c r="B4" s="701"/>
      <c r="C4" s="98"/>
      <c r="D4" s="98"/>
      <c r="E4" s="98"/>
      <c r="F4" s="98"/>
      <c r="G4" s="98"/>
      <c r="H4" s="98"/>
      <c r="I4" s="701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ht="16.5" customHeight="1">
      <c r="A5" s="98"/>
      <c r="B5" s="702" t="s">
        <v>34</v>
      </c>
      <c r="C5" s="702" t="s">
        <v>2400</v>
      </c>
      <c r="D5" s="702" t="s">
        <v>961</v>
      </c>
      <c r="E5" s="702" t="s">
        <v>2401</v>
      </c>
      <c r="F5" s="702" t="s">
        <v>2402</v>
      </c>
      <c r="G5" s="98"/>
      <c r="H5" s="98"/>
      <c r="I5" s="702" t="s">
        <v>34</v>
      </c>
      <c r="J5" s="702" t="s">
        <v>961</v>
      </c>
      <c r="K5" s="702" t="s">
        <v>164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98"/>
      <c r="B6" s="703">
        <v>45740.0</v>
      </c>
      <c r="C6" s="704" t="s">
        <v>2403</v>
      </c>
      <c r="D6" s="700">
        <v>-1.25</v>
      </c>
      <c r="E6" s="705" t="s">
        <v>2404</v>
      </c>
      <c r="F6" s="729">
        <v>45741.0</v>
      </c>
      <c r="G6" s="98"/>
      <c r="H6" s="98"/>
      <c r="I6" s="704" t="s">
        <v>2441</v>
      </c>
      <c r="J6" s="706">
        <v>6.91</v>
      </c>
      <c r="K6" s="705" t="s">
        <v>2442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>
      <c r="A7" s="98"/>
      <c r="B7" s="703">
        <v>45815.0</v>
      </c>
      <c r="C7" s="704" t="s">
        <v>2403</v>
      </c>
      <c r="D7" s="337">
        <v>-0.8</v>
      </c>
      <c r="E7" s="705" t="s">
        <v>2407</v>
      </c>
      <c r="F7" s="729"/>
      <c r="G7" s="98"/>
      <c r="H7" s="98"/>
      <c r="I7" s="704" t="s">
        <v>2431</v>
      </c>
      <c r="J7" s="706">
        <v>7.28</v>
      </c>
      <c r="K7" s="705" t="s">
        <v>2442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>
      <c r="A8" s="98"/>
      <c r="B8" s="703">
        <v>45820.0</v>
      </c>
      <c r="C8" s="704" t="s">
        <v>2403</v>
      </c>
      <c r="D8" s="337">
        <v>-0.5</v>
      </c>
      <c r="E8" s="705" t="s">
        <v>2407</v>
      </c>
      <c r="F8" s="729"/>
      <c r="G8" s="98"/>
      <c r="H8" s="98"/>
      <c r="I8" s="704" t="s">
        <v>2432</v>
      </c>
      <c r="J8" s="706">
        <v>1.37</v>
      </c>
      <c r="K8" s="705" t="s">
        <v>2442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>
      <c r="A9" s="98"/>
      <c r="B9" s="703">
        <v>45825.0</v>
      </c>
      <c r="C9" s="704" t="s">
        <v>2403</v>
      </c>
      <c r="D9" s="337">
        <v>-233.45</v>
      </c>
      <c r="E9" s="705" t="s">
        <v>2407</v>
      </c>
      <c r="F9" s="729"/>
      <c r="G9" s="98"/>
      <c r="H9" s="98"/>
      <c r="I9" s="704" t="s">
        <v>2433</v>
      </c>
      <c r="J9" s="706">
        <v>0.0</v>
      </c>
      <c r="K9" s="705" t="s">
        <v>2442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>
      <c r="A10" s="98"/>
      <c r="B10" s="730">
        <v>45828.0</v>
      </c>
      <c r="C10" s="700" t="s">
        <v>2430</v>
      </c>
      <c r="D10" s="731">
        <v>22679.38</v>
      </c>
      <c r="E10" s="705" t="s">
        <v>2407</v>
      </c>
      <c r="F10" s="700"/>
      <c r="G10" s="98"/>
      <c r="H10" s="98"/>
      <c r="I10" s="710">
        <v>45890.0</v>
      </c>
      <c r="J10" s="719" t="s">
        <v>2434</v>
      </c>
      <c r="K10" s="720" t="s">
        <v>2435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>
      <c r="A11" s="98"/>
      <c r="B11" s="732">
        <v>45854.0</v>
      </c>
      <c r="C11" s="700" t="s">
        <v>2430</v>
      </c>
      <c r="D11" s="337">
        <v>60179.8399999999</v>
      </c>
      <c r="E11" s="705" t="s">
        <v>2407</v>
      </c>
      <c r="F11" s="700"/>
      <c r="G11" s="98"/>
      <c r="H11" s="98"/>
      <c r="I11" s="733"/>
      <c r="J11" s="734"/>
      <c r="K11" s="723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>
      <c r="A12" s="98"/>
      <c r="B12" s="709">
        <v>45856.0</v>
      </c>
      <c r="C12" s="700" t="s">
        <v>2443</v>
      </c>
      <c r="D12" s="337">
        <v>-33635.88</v>
      </c>
      <c r="E12" s="705" t="s">
        <v>2407</v>
      </c>
      <c r="F12" s="700"/>
      <c r="G12" s="98"/>
      <c r="H12" s="98"/>
      <c r="I12" s="716"/>
      <c r="J12" s="735"/>
      <c r="K12" s="71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>
      <c r="A13" s="98"/>
      <c r="B13" s="709">
        <v>45866.0</v>
      </c>
      <c r="C13" s="704" t="s">
        <v>2403</v>
      </c>
      <c r="D13" s="700">
        <v>-1912.66</v>
      </c>
      <c r="E13" s="705" t="s">
        <v>2407</v>
      </c>
      <c r="F13" s="700"/>
      <c r="G13" s="98"/>
      <c r="H13" s="98"/>
      <c r="I13" s="716"/>
      <c r="J13" s="735"/>
      <c r="K13" s="71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>
      <c r="A14" s="98"/>
      <c r="B14" s="709">
        <v>45867.0</v>
      </c>
      <c r="C14" s="700" t="s">
        <v>2430</v>
      </c>
      <c r="D14" s="731">
        <v>4.54</v>
      </c>
      <c r="E14" s="705" t="s">
        <v>2407</v>
      </c>
      <c r="F14" s="700"/>
      <c r="G14" s="98"/>
      <c r="H14" s="98"/>
      <c r="I14" s="716"/>
      <c r="J14" s="735"/>
      <c r="K14" s="71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>
      <c r="A15" s="98"/>
      <c r="B15" s="709">
        <v>45868.0</v>
      </c>
      <c r="C15" s="704" t="s">
        <v>2403</v>
      </c>
      <c r="D15" s="700">
        <v>-1.45</v>
      </c>
      <c r="E15" s="705" t="s">
        <v>2407</v>
      </c>
      <c r="F15" s="700"/>
      <c r="G15" s="98"/>
      <c r="H15" s="98"/>
      <c r="I15" s="716"/>
      <c r="J15" s="735"/>
      <c r="K15" s="71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>
      <c r="A16" s="98"/>
      <c r="B16" s="703">
        <v>45890.0</v>
      </c>
      <c r="C16" s="707" t="s">
        <v>2434</v>
      </c>
      <c r="D16" s="714" t="s">
        <v>2435</v>
      </c>
      <c r="E16" s="5"/>
      <c r="F16" s="6"/>
      <c r="G16" s="98"/>
      <c r="H16" s="98"/>
      <c r="I16" s="716"/>
      <c r="J16" s="735"/>
      <c r="K16" s="71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 ht="15.75" customHeight="1">
      <c r="A17" s="98"/>
      <c r="B17" s="98"/>
      <c r="C17" s="98"/>
      <c r="D17" s="98"/>
      <c r="E17" s="98"/>
      <c r="F17" s="98"/>
      <c r="G17" s="98"/>
      <c r="H17" s="98"/>
      <c r="I17" s="716"/>
      <c r="J17" s="735"/>
      <c r="K17" s="71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 ht="15.75" customHeight="1">
      <c r="A18" s="98"/>
      <c r="B18" s="98"/>
      <c r="C18" s="98"/>
      <c r="D18" s="98"/>
      <c r="E18" s="98"/>
      <c r="F18" s="98"/>
      <c r="G18" s="98"/>
      <c r="H18" s="98"/>
      <c r="I18" s="716"/>
      <c r="J18" s="735"/>
      <c r="K18" s="71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 ht="15.75" customHeight="1">
      <c r="A19" s="98"/>
      <c r="B19" s="98"/>
      <c r="C19" s="98"/>
      <c r="D19" s="98"/>
      <c r="E19" s="98"/>
      <c r="F19" s="98"/>
      <c r="G19" s="98"/>
      <c r="H19" s="98"/>
      <c r="I19" s="716"/>
      <c r="J19" s="735"/>
      <c r="K19" s="71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 ht="15.75" customHeight="1">
      <c r="A20" s="98"/>
      <c r="B20" s="98"/>
      <c r="C20" s="98"/>
      <c r="D20" s="98"/>
      <c r="E20" s="98"/>
      <c r="F20" s="98"/>
      <c r="G20" s="98"/>
      <c r="H20" s="98"/>
      <c r="I20" s="716"/>
      <c r="J20" s="735"/>
      <c r="K20" s="71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 ht="15.75" customHeight="1">
      <c r="A21" s="98"/>
      <c r="B21" s="98"/>
      <c r="C21" s="98"/>
      <c r="D21" s="98"/>
      <c r="E21" s="98"/>
      <c r="F21" s="98"/>
      <c r="G21" s="98"/>
      <c r="H21" s="98"/>
      <c r="I21" s="716"/>
      <c r="J21" s="735"/>
      <c r="K21" s="71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 ht="15.75" customHeight="1">
      <c r="A22" s="98"/>
      <c r="B22" s="98"/>
      <c r="C22" s="98"/>
      <c r="D22" s="98"/>
      <c r="E22" s="98"/>
      <c r="F22" s="98"/>
      <c r="G22" s="98"/>
      <c r="H22" s="98"/>
      <c r="I22" s="716"/>
      <c r="J22" s="735"/>
      <c r="K22" s="71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ht="163.5" customHeight="1">
      <c r="A23" s="98"/>
      <c r="B23" s="736">
        <v>45819.0</v>
      </c>
      <c r="C23" s="700" t="s">
        <v>2444</v>
      </c>
      <c r="D23" s="634">
        <v>-27.5</v>
      </c>
      <c r="E23" s="634">
        <v>0.0</v>
      </c>
      <c r="F23" s="737">
        <v>0.0</v>
      </c>
      <c r="G23" s="738" t="s">
        <v>2445</v>
      </c>
      <c r="H23" s="5"/>
      <c r="I23" s="385"/>
      <c r="J23" s="735"/>
      <c r="K23" s="71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ht="140.25" customHeight="1">
      <c r="A24" s="98"/>
      <c r="B24" s="736">
        <v>45862.0</v>
      </c>
      <c r="C24" s="700" t="s">
        <v>95</v>
      </c>
      <c r="D24" s="387"/>
      <c r="E24" s="634">
        <v>0.0</v>
      </c>
      <c r="F24" s="634">
        <v>0.0</v>
      </c>
      <c r="G24" s="738" t="s">
        <v>2446</v>
      </c>
      <c r="H24" s="5"/>
      <c r="I24" s="385"/>
      <c r="J24" s="735"/>
      <c r="K24" s="71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ht="15.75" customHeight="1">
      <c r="A25" s="98"/>
      <c r="B25" s="98"/>
      <c r="C25" s="98"/>
      <c r="D25" s="98"/>
      <c r="E25" s="98"/>
      <c r="F25" s="98"/>
      <c r="G25" s="98"/>
      <c r="H25" s="98"/>
      <c r="I25" s="739"/>
      <c r="J25" s="735"/>
      <c r="K25" s="71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>
      <c r="A26" s="98"/>
      <c r="B26" s="98"/>
      <c r="C26" s="98"/>
      <c r="D26" s="98"/>
      <c r="E26" s="98"/>
      <c r="F26" s="98"/>
      <c r="G26" s="98"/>
      <c r="H26" s="98"/>
      <c r="I26" s="715"/>
      <c r="J26" s="735"/>
      <c r="K26" s="71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715"/>
      <c r="J27" s="717"/>
      <c r="K27" s="71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715"/>
      <c r="J28" s="717"/>
      <c r="K28" s="71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ht="15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ht="15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ht="15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</row>
    <row r="42" ht="15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</row>
    <row r="44" ht="15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</row>
    <row r="45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</row>
    <row r="53" ht="15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</row>
    <row r="217" ht="15.75" customHeight="1">
      <c r="I217" s="98"/>
      <c r="J217" s="98"/>
      <c r="K217" s="98"/>
    </row>
    <row r="218" ht="15.75" customHeight="1">
      <c r="I218" s="98"/>
      <c r="J218" s="98"/>
      <c r="K218" s="98"/>
    </row>
    <row r="219" ht="15.75" customHeight="1">
      <c r="I219" s="98"/>
      <c r="J219" s="98"/>
      <c r="K219" s="9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B$5:$E$5"/>
  <mergeCells count="3">
    <mergeCell ref="D16:F16"/>
    <mergeCell ref="G23:I23"/>
    <mergeCell ref="G24:I24"/>
  </mergeCells>
  <hyperlinks>
    <hyperlink r:id="rId1" location="gid=648457307" ref="K10"/>
    <hyperlink r:id="rId2" location="gid=648457307" ref="D16"/>
  </hyperlinks>
  <printOptions/>
  <pageMargins bottom="0.75" footer="0.0" header="0.0" left="0.7" right="0.7" top="0.75"/>
  <pageSetup orientation="landscape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3" max="3" width="43.25"/>
    <col customWidth="1" min="4" max="4" width="45.75"/>
    <col customWidth="1" min="5" max="5" width="42.13"/>
    <col customWidth="1" min="6" max="6" width="42.0"/>
    <col customWidth="1" min="7" max="7" width="36.75"/>
    <col customWidth="1" min="9" max="9" width="37.0"/>
    <col customWidth="1" min="12" max="13" width="20.25"/>
    <col customWidth="1" min="14" max="14" width="17.75"/>
  </cols>
  <sheetData>
    <row r="1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>
      <c r="A2" s="165"/>
      <c r="B2" s="740" t="s">
        <v>2447</v>
      </c>
      <c r="C2" s="118"/>
      <c r="D2" s="165"/>
      <c r="E2" s="165"/>
      <c r="F2" s="165"/>
      <c r="G2" s="165"/>
      <c r="H2" s="165"/>
      <c r="I2" s="741">
        <v>45961.0</v>
      </c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</row>
    <row r="3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ht="15.0" customHeight="1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</row>
    <row r="5">
      <c r="A5" s="165"/>
      <c r="B5" s="742" t="s">
        <v>2448</v>
      </c>
      <c r="C5" s="742" t="s">
        <v>2449</v>
      </c>
      <c r="D5" s="742" t="s">
        <v>921</v>
      </c>
      <c r="E5" s="742" t="s">
        <v>35</v>
      </c>
      <c r="F5" s="742" t="s">
        <v>2450</v>
      </c>
      <c r="G5" s="742" t="s">
        <v>2451</v>
      </c>
      <c r="H5" s="742" t="s">
        <v>2452</v>
      </c>
      <c r="I5" s="742" t="s">
        <v>960</v>
      </c>
      <c r="J5" s="742" t="s">
        <v>961</v>
      </c>
      <c r="K5" s="742" t="s">
        <v>2453</v>
      </c>
      <c r="L5" s="742" t="s">
        <v>2454</v>
      </c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</row>
    <row r="6">
      <c r="A6" s="165"/>
      <c r="B6" s="743">
        <v>45688.0</v>
      </c>
      <c r="C6" s="744" t="s">
        <v>2455</v>
      </c>
      <c r="D6" s="744" t="s">
        <v>2456</v>
      </c>
      <c r="E6" s="744" t="s">
        <v>2457</v>
      </c>
      <c r="F6" s="744" t="s">
        <v>2458</v>
      </c>
      <c r="G6" s="744" t="s">
        <v>2459</v>
      </c>
      <c r="H6" s="744" t="s">
        <v>95</v>
      </c>
      <c r="I6" s="745" t="s">
        <v>2460</v>
      </c>
      <c r="J6" s="746">
        <v>0.18</v>
      </c>
      <c r="K6" s="747" t="s">
        <v>2407</v>
      </c>
      <c r="L6" s="175"/>
      <c r="M6" s="748">
        <f>NETWORKDAYS(B6, I2)</f>
        <v>196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</row>
    <row r="7">
      <c r="A7" s="165"/>
      <c r="B7" s="743">
        <v>45688.0</v>
      </c>
      <c r="C7" s="744" t="s">
        <v>2455</v>
      </c>
      <c r="D7" s="744" t="s">
        <v>2456</v>
      </c>
      <c r="E7" s="744" t="s">
        <v>2457</v>
      </c>
      <c r="F7" s="744" t="s">
        <v>2458</v>
      </c>
      <c r="G7" s="744" t="s">
        <v>2461</v>
      </c>
      <c r="H7" s="744" t="s">
        <v>95</v>
      </c>
      <c r="I7" s="745" t="s">
        <v>2462</v>
      </c>
      <c r="J7" s="746">
        <v>0.18</v>
      </c>
      <c r="K7" s="747" t="s">
        <v>2407</v>
      </c>
      <c r="L7" s="175"/>
      <c r="M7" s="748">
        <f>NETWORKDAYS(B7, I2)</f>
        <v>196</v>
      </c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</row>
    <row r="8" hidden="1">
      <c r="A8" s="165"/>
      <c r="B8" s="743">
        <v>45688.0</v>
      </c>
      <c r="C8" s="744" t="s">
        <v>2455</v>
      </c>
      <c r="D8" s="744" t="s">
        <v>2456</v>
      </c>
      <c r="E8" s="744" t="s">
        <v>2463</v>
      </c>
      <c r="F8" s="744" t="s">
        <v>2458</v>
      </c>
      <c r="G8" s="744" t="s">
        <v>2464</v>
      </c>
      <c r="H8" s="744" t="s">
        <v>95</v>
      </c>
      <c r="I8" s="745" t="s">
        <v>2465</v>
      </c>
      <c r="J8" s="749">
        <v>6.0</v>
      </c>
      <c r="K8" s="747" t="s">
        <v>2404</v>
      </c>
      <c r="L8" s="175"/>
      <c r="M8" s="175"/>
      <c r="N8" s="17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</row>
    <row r="9">
      <c r="A9" s="165"/>
      <c r="B9" s="743">
        <v>45688.0</v>
      </c>
      <c r="C9" s="744" t="s">
        <v>2455</v>
      </c>
      <c r="D9" s="744" t="s">
        <v>2456</v>
      </c>
      <c r="E9" s="744" t="s">
        <v>2466</v>
      </c>
      <c r="F9" s="744" t="s">
        <v>2458</v>
      </c>
      <c r="G9" s="744" t="s">
        <v>2467</v>
      </c>
      <c r="H9" s="744" t="s">
        <v>95</v>
      </c>
      <c r="I9" s="745" t="s">
        <v>2468</v>
      </c>
      <c r="J9" s="746">
        <v>0.2</v>
      </c>
      <c r="K9" s="747" t="s">
        <v>2407</v>
      </c>
      <c r="L9" s="175"/>
      <c r="M9" s="748">
        <f>NETWORKDAYS(B9, I2)</f>
        <v>196</v>
      </c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</row>
    <row r="10">
      <c r="A10" s="165"/>
      <c r="B10" s="743">
        <v>45688.0</v>
      </c>
      <c r="C10" s="744" t="s">
        <v>2455</v>
      </c>
      <c r="D10" s="744" t="s">
        <v>2456</v>
      </c>
      <c r="E10" s="744" t="s">
        <v>2469</v>
      </c>
      <c r="F10" s="744" t="s">
        <v>2458</v>
      </c>
      <c r="G10" s="744" t="s">
        <v>2470</v>
      </c>
      <c r="H10" s="744" t="s">
        <v>95</v>
      </c>
      <c r="I10" s="745" t="s">
        <v>2471</v>
      </c>
      <c r="J10" s="746">
        <v>0.81</v>
      </c>
      <c r="K10" s="747" t="s">
        <v>2407</v>
      </c>
      <c r="L10" s="175"/>
      <c r="M10" s="748">
        <f>NETWORKDAYS(B10, I2)</f>
        <v>196</v>
      </c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</row>
    <row r="11">
      <c r="A11" s="165"/>
      <c r="B11" s="743">
        <v>45688.0</v>
      </c>
      <c r="C11" s="744" t="s">
        <v>2455</v>
      </c>
      <c r="D11" s="744" t="s">
        <v>2456</v>
      </c>
      <c r="E11" s="744" t="s">
        <v>2472</v>
      </c>
      <c r="F11" s="744" t="s">
        <v>2458</v>
      </c>
      <c r="G11" s="744" t="s">
        <v>2473</v>
      </c>
      <c r="H11" s="744" t="s">
        <v>95</v>
      </c>
      <c r="I11" s="745" t="s">
        <v>2474</v>
      </c>
      <c r="J11" s="746">
        <v>8.2</v>
      </c>
      <c r="K11" s="747" t="s">
        <v>2407</v>
      </c>
      <c r="L11" s="175"/>
      <c r="M11" s="748">
        <f>NETWORKDAYS(B11, I2)</f>
        <v>196</v>
      </c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</row>
    <row r="12">
      <c r="A12" s="165"/>
      <c r="B12" s="743">
        <v>45688.0</v>
      </c>
      <c r="C12" s="744" t="s">
        <v>2455</v>
      </c>
      <c r="D12" s="744" t="s">
        <v>2456</v>
      </c>
      <c r="E12" s="744" t="s">
        <v>2475</v>
      </c>
      <c r="F12" s="744" t="s">
        <v>2458</v>
      </c>
      <c r="G12" s="744" t="s">
        <v>2476</v>
      </c>
      <c r="H12" s="744" t="s">
        <v>95</v>
      </c>
      <c r="I12" s="745" t="s">
        <v>2477</v>
      </c>
      <c r="J12" s="746">
        <v>1.32</v>
      </c>
      <c r="K12" s="747" t="s">
        <v>2407</v>
      </c>
      <c r="L12" s="750"/>
      <c r="M12" s="748">
        <f>NETWORKDAYS(B12, I2)</f>
        <v>196</v>
      </c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</row>
    <row r="13">
      <c r="A13" s="165"/>
      <c r="B13" s="743">
        <v>45688.0</v>
      </c>
      <c r="C13" s="744" t="s">
        <v>2455</v>
      </c>
      <c r="D13" s="744" t="s">
        <v>2456</v>
      </c>
      <c r="E13" s="744" t="s">
        <v>2478</v>
      </c>
      <c r="F13" s="175"/>
      <c r="G13" s="175"/>
      <c r="H13" s="744" t="s">
        <v>95</v>
      </c>
      <c r="I13" s="745" t="s">
        <v>2479</v>
      </c>
      <c r="J13" s="746">
        <v>0.14</v>
      </c>
      <c r="K13" s="747" t="s">
        <v>2407</v>
      </c>
      <c r="L13" s="750"/>
      <c r="M13" s="748">
        <f>NETWORKDAYS(B13, I2)</f>
        <v>196</v>
      </c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</row>
    <row r="14" ht="15.0" hidden="1" customHeight="1">
      <c r="A14" s="165"/>
      <c r="B14" s="751">
        <v>45691.0</v>
      </c>
      <c r="C14" s="744" t="s">
        <v>2480</v>
      </c>
      <c r="D14" s="744" t="s">
        <v>95</v>
      </c>
      <c r="E14" s="744" t="s">
        <v>2481</v>
      </c>
      <c r="F14" s="744" t="s">
        <v>2482</v>
      </c>
      <c r="G14" s="744" t="s">
        <v>2483</v>
      </c>
      <c r="H14" s="752" t="s">
        <v>95</v>
      </c>
      <c r="I14" s="753" t="s">
        <v>2484</v>
      </c>
      <c r="J14" s="754">
        <v>21.98</v>
      </c>
      <c r="K14" s="744" t="s">
        <v>2404</v>
      </c>
      <c r="L14" s="750">
        <v>45776.0</v>
      </c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</row>
    <row r="15" ht="15.0" customHeight="1">
      <c r="A15" s="165"/>
      <c r="B15" s="743">
        <v>45714.0</v>
      </c>
      <c r="C15" s="744" t="s">
        <v>2485</v>
      </c>
      <c r="D15" s="744" t="s">
        <v>964</v>
      </c>
      <c r="E15" s="744" t="s">
        <v>2486</v>
      </c>
      <c r="F15" s="744" t="s">
        <v>2487</v>
      </c>
      <c r="G15" s="744" t="s">
        <v>2488</v>
      </c>
      <c r="H15" s="752" t="s">
        <v>95</v>
      </c>
      <c r="I15" s="755" t="s">
        <v>2489</v>
      </c>
      <c r="J15" s="746">
        <v>0.01</v>
      </c>
      <c r="K15" s="747" t="s">
        <v>2407</v>
      </c>
      <c r="L15" s="175"/>
      <c r="M15" s="748">
        <f>NETWORKDAYS(B15, I2)</f>
        <v>178</v>
      </c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</row>
    <row r="16" ht="15.0" customHeight="1">
      <c r="A16" s="165"/>
      <c r="B16" s="743">
        <v>45716.0</v>
      </c>
      <c r="C16" s="744" t="s">
        <v>2490</v>
      </c>
      <c r="D16" s="744" t="s">
        <v>2491</v>
      </c>
      <c r="E16" s="744" t="s">
        <v>2492</v>
      </c>
      <c r="F16" s="744" t="s">
        <v>2493</v>
      </c>
      <c r="G16" s="175"/>
      <c r="H16" s="752" t="s">
        <v>95</v>
      </c>
      <c r="I16" s="753" t="s">
        <v>2494</v>
      </c>
      <c r="J16" s="746">
        <v>15.91</v>
      </c>
      <c r="K16" s="747" t="s">
        <v>2407</v>
      </c>
      <c r="L16" s="750"/>
      <c r="M16" s="748">
        <f>NETWORKDAYS(B16, I2)</f>
        <v>176</v>
      </c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</row>
    <row r="17" ht="15.0" customHeight="1">
      <c r="A17" s="165"/>
      <c r="B17" s="743">
        <v>45716.0</v>
      </c>
      <c r="C17" s="744" t="s">
        <v>2490</v>
      </c>
      <c r="D17" s="744" t="s">
        <v>2491</v>
      </c>
      <c r="E17" s="744" t="s">
        <v>2495</v>
      </c>
      <c r="F17" s="744" t="s">
        <v>2493</v>
      </c>
      <c r="G17" s="175"/>
      <c r="H17" s="752" t="s">
        <v>95</v>
      </c>
      <c r="I17" s="753" t="s">
        <v>2496</v>
      </c>
      <c r="J17" s="746">
        <v>3.07</v>
      </c>
      <c r="K17" s="747" t="s">
        <v>2407</v>
      </c>
      <c r="L17" s="175"/>
      <c r="M17" s="748">
        <f>NETWORKDAYS(B17, I2)</f>
        <v>176</v>
      </c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</row>
    <row r="18" ht="15.0" customHeight="1">
      <c r="A18" s="165"/>
      <c r="B18" s="743">
        <v>45716.0</v>
      </c>
      <c r="C18" s="744" t="s">
        <v>2490</v>
      </c>
      <c r="D18" s="744" t="s">
        <v>2491</v>
      </c>
      <c r="E18" s="744" t="s">
        <v>2497</v>
      </c>
      <c r="F18" s="744" t="s">
        <v>2493</v>
      </c>
      <c r="G18" s="175"/>
      <c r="H18" s="752" t="s">
        <v>95</v>
      </c>
      <c r="I18" s="753" t="s">
        <v>2498</v>
      </c>
      <c r="J18" s="746">
        <v>0.1</v>
      </c>
      <c r="K18" s="747" t="s">
        <v>2407</v>
      </c>
      <c r="L18" s="175"/>
      <c r="M18" s="748">
        <f>NETWORKDAYS(B18, I2)</f>
        <v>176</v>
      </c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</row>
    <row r="19" ht="15.0" customHeight="1">
      <c r="A19" s="165"/>
      <c r="B19" s="743">
        <v>45716.0</v>
      </c>
      <c r="C19" s="744" t="s">
        <v>2490</v>
      </c>
      <c r="D19" s="744" t="s">
        <v>2491</v>
      </c>
      <c r="E19" s="744" t="s">
        <v>2499</v>
      </c>
      <c r="F19" s="744" t="s">
        <v>2493</v>
      </c>
      <c r="G19" s="175"/>
      <c r="H19" s="752" t="s">
        <v>95</v>
      </c>
      <c r="I19" s="753" t="s">
        <v>2500</v>
      </c>
      <c r="J19" s="746">
        <v>0.11</v>
      </c>
      <c r="K19" s="747" t="s">
        <v>2407</v>
      </c>
      <c r="L19" s="175"/>
      <c r="M19" s="748">
        <f>NETWORKDAYS(B19, I2)</f>
        <v>176</v>
      </c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</row>
    <row r="20" ht="15.0" customHeight="1">
      <c r="A20" s="165"/>
      <c r="B20" s="743">
        <v>45716.0</v>
      </c>
      <c r="C20" s="744" t="s">
        <v>2490</v>
      </c>
      <c r="D20" s="744" t="s">
        <v>2491</v>
      </c>
      <c r="E20" s="744" t="s">
        <v>2501</v>
      </c>
      <c r="F20" s="744" t="s">
        <v>2493</v>
      </c>
      <c r="G20" s="175"/>
      <c r="H20" s="752" t="s">
        <v>95</v>
      </c>
      <c r="I20" s="753" t="s">
        <v>2502</v>
      </c>
      <c r="J20" s="746">
        <v>0.15</v>
      </c>
      <c r="K20" s="747" t="s">
        <v>2407</v>
      </c>
      <c r="L20" s="756"/>
      <c r="M20" s="748">
        <f>NETWORKDAYS(B20, I2)</f>
        <v>176</v>
      </c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</row>
    <row r="21" ht="15.0" hidden="1" customHeight="1">
      <c r="A21" s="165"/>
      <c r="B21" s="743">
        <v>45716.0</v>
      </c>
      <c r="C21" s="744" t="s">
        <v>2503</v>
      </c>
      <c r="D21" s="744" t="s">
        <v>2491</v>
      </c>
      <c r="E21" s="757" t="s">
        <v>2504</v>
      </c>
      <c r="F21" s="744" t="s">
        <v>2505</v>
      </c>
      <c r="G21" s="175"/>
      <c r="H21" s="752" t="s">
        <v>95</v>
      </c>
      <c r="I21" s="755" t="s">
        <v>2506</v>
      </c>
      <c r="J21" s="746">
        <v>0.4</v>
      </c>
      <c r="K21" s="747" t="s">
        <v>2404</v>
      </c>
      <c r="L21" s="758">
        <v>45720.0</v>
      </c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</row>
    <row r="22" ht="15.0" hidden="1" customHeight="1">
      <c r="A22" s="165"/>
      <c r="B22" s="751">
        <v>45727.0</v>
      </c>
      <c r="C22" s="744" t="s">
        <v>2507</v>
      </c>
      <c r="D22" s="744" t="s">
        <v>964</v>
      </c>
      <c r="E22" s="744" t="s">
        <v>2508</v>
      </c>
      <c r="F22" s="744" t="s">
        <v>2509</v>
      </c>
      <c r="G22" s="175"/>
      <c r="H22" s="752" t="s">
        <v>95</v>
      </c>
      <c r="I22" s="753" t="s">
        <v>2510</v>
      </c>
      <c r="J22" s="754">
        <v>0.01</v>
      </c>
      <c r="K22" s="744" t="s">
        <v>2404</v>
      </c>
      <c r="L22" s="17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</row>
    <row r="23" ht="15.0" customHeight="1">
      <c r="A23" s="165"/>
      <c r="B23" s="743">
        <v>45733.0</v>
      </c>
      <c r="C23" s="744" t="s">
        <v>2511</v>
      </c>
      <c r="D23" s="744" t="s">
        <v>965</v>
      </c>
      <c r="E23" s="744" t="s">
        <v>2512</v>
      </c>
      <c r="F23" s="744" t="s">
        <v>2513</v>
      </c>
      <c r="G23" s="175"/>
      <c r="H23" s="752" t="s">
        <v>95</v>
      </c>
      <c r="I23" s="753" t="s">
        <v>2514</v>
      </c>
      <c r="J23" s="746">
        <v>0.02</v>
      </c>
      <c r="K23" s="747" t="s">
        <v>2407</v>
      </c>
      <c r="L23" s="175"/>
      <c r="M23" s="748">
        <f>NETWORKDAYS(B23, I2)</f>
        <v>165</v>
      </c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</row>
    <row r="24" ht="15.0" hidden="1" customHeight="1">
      <c r="A24" s="165"/>
      <c r="B24" s="751">
        <v>45639.0</v>
      </c>
      <c r="C24" s="744" t="s">
        <v>2515</v>
      </c>
      <c r="D24" s="744" t="s">
        <v>2516</v>
      </c>
      <c r="E24" s="175"/>
      <c r="F24" s="744" t="s">
        <v>2517</v>
      </c>
      <c r="G24" s="759" t="s">
        <v>95</v>
      </c>
      <c r="H24" s="759" t="s">
        <v>95</v>
      </c>
      <c r="I24" s="175"/>
      <c r="J24" s="754">
        <v>21.87</v>
      </c>
      <c r="K24" s="744" t="s">
        <v>2404</v>
      </c>
      <c r="L24" s="760">
        <v>45708.0</v>
      </c>
      <c r="M24" s="752" t="s">
        <v>2407</v>
      </c>
      <c r="N24" s="17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</row>
    <row r="25" ht="15.0" hidden="1" customHeight="1">
      <c r="A25" s="165"/>
      <c r="B25" s="761">
        <v>45593.0</v>
      </c>
      <c r="C25" s="759" t="s">
        <v>2518</v>
      </c>
      <c r="D25" s="759" t="s">
        <v>2456</v>
      </c>
      <c r="E25" s="759" t="s">
        <v>2519</v>
      </c>
      <c r="F25" s="744" t="s">
        <v>2453</v>
      </c>
      <c r="G25" s="759" t="s">
        <v>95</v>
      </c>
      <c r="H25" s="762" t="s">
        <v>2520</v>
      </c>
      <c r="I25" s="762" t="s">
        <v>2521</v>
      </c>
      <c r="J25" s="763">
        <v>1.0</v>
      </c>
      <c r="K25" s="759" t="s">
        <v>2404</v>
      </c>
      <c r="L25" s="764">
        <v>45708.0</v>
      </c>
      <c r="M25" s="752" t="s">
        <v>2407</v>
      </c>
      <c r="N25" s="17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</row>
    <row r="26" ht="15.0" hidden="1" customHeight="1">
      <c r="A26" s="165"/>
      <c r="B26" s="761">
        <v>45607.0</v>
      </c>
      <c r="C26" s="759" t="s">
        <v>2522</v>
      </c>
      <c r="D26" s="759" t="s">
        <v>2516</v>
      </c>
      <c r="E26" s="175"/>
      <c r="F26" s="744" t="s">
        <v>2453</v>
      </c>
      <c r="G26" s="759" t="s">
        <v>95</v>
      </c>
      <c r="H26" s="759" t="s">
        <v>95</v>
      </c>
      <c r="I26" s="755" t="s">
        <v>2523</v>
      </c>
      <c r="J26" s="763">
        <v>2.72</v>
      </c>
      <c r="K26" s="759" t="s">
        <v>2404</v>
      </c>
      <c r="L26" s="764">
        <v>45708.0</v>
      </c>
      <c r="M26" s="752" t="s">
        <v>2407</v>
      </c>
      <c r="N26" s="17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</row>
    <row r="27" ht="15.0" hidden="1" customHeight="1">
      <c r="A27" s="165"/>
      <c r="B27" s="765">
        <v>45666.0</v>
      </c>
      <c r="C27" s="759" t="s">
        <v>2524</v>
      </c>
      <c r="D27" s="759" t="s">
        <v>2525</v>
      </c>
      <c r="E27" s="759" t="s">
        <v>95</v>
      </c>
      <c r="F27" s="744" t="s">
        <v>2526</v>
      </c>
      <c r="G27" s="759" t="s">
        <v>95</v>
      </c>
      <c r="H27" s="759" t="s">
        <v>95</v>
      </c>
      <c r="I27" s="759" t="s">
        <v>95</v>
      </c>
      <c r="J27" s="759">
        <v>17.67</v>
      </c>
      <c r="K27" s="759" t="s">
        <v>2404</v>
      </c>
      <c r="L27" s="764">
        <v>45708.0</v>
      </c>
      <c r="M27" s="752" t="s">
        <v>2407</v>
      </c>
      <c r="N27" s="17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</row>
    <row r="28" ht="15.0" hidden="1" customHeight="1">
      <c r="A28" s="165"/>
      <c r="B28" s="751">
        <v>45657.0</v>
      </c>
      <c r="C28" s="744" t="s">
        <v>2527</v>
      </c>
      <c r="D28" s="744" t="s">
        <v>2516</v>
      </c>
      <c r="E28" s="175"/>
      <c r="F28" s="744" t="s">
        <v>2528</v>
      </c>
      <c r="G28" s="175"/>
      <c r="H28" s="175"/>
      <c r="I28" s="175"/>
      <c r="J28" s="754">
        <v>12.67</v>
      </c>
      <c r="K28" s="744" t="s">
        <v>2404</v>
      </c>
      <c r="L28" s="764">
        <v>45708.0</v>
      </c>
      <c r="M28" s="752" t="s">
        <v>2407</v>
      </c>
      <c r="N28" s="17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</row>
    <row r="29" hidden="1">
      <c r="A29" s="165"/>
      <c r="B29" s="751">
        <v>45645.0</v>
      </c>
      <c r="C29" s="744" t="s">
        <v>2529</v>
      </c>
      <c r="D29" s="744" t="s">
        <v>2456</v>
      </c>
      <c r="E29" s="175"/>
      <c r="F29" s="744" t="s">
        <v>2530</v>
      </c>
      <c r="G29" s="175"/>
      <c r="H29" s="175"/>
      <c r="I29" s="755" t="s">
        <v>2531</v>
      </c>
      <c r="J29" s="754">
        <v>1.62</v>
      </c>
      <c r="K29" s="744" t="s">
        <v>2404</v>
      </c>
      <c r="L29" s="764">
        <v>45708.0</v>
      </c>
      <c r="M29" s="752" t="s">
        <v>2407</v>
      </c>
      <c r="N29" s="17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</row>
    <row r="30" hidden="1">
      <c r="A30" s="165"/>
      <c r="B30" s="751">
        <v>45649.0</v>
      </c>
      <c r="C30" s="744" t="s">
        <v>2532</v>
      </c>
      <c r="D30" s="744" t="s">
        <v>2533</v>
      </c>
      <c r="E30" s="175"/>
      <c r="F30" s="744" t="s">
        <v>2517</v>
      </c>
      <c r="G30" s="759" t="s">
        <v>95</v>
      </c>
      <c r="H30" s="759" t="s">
        <v>95</v>
      </c>
      <c r="I30" s="175"/>
      <c r="J30" s="754">
        <v>23.19</v>
      </c>
      <c r="K30" s="744" t="s">
        <v>2404</v>
      </c>
      <c r="L30" s="764">
        <v>45708.0</v>
      </c>
      <c r="M30" s="175"/>
      <c r="N30" s="17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</row>
    <row r="31" hidden="1">
      <c r="A31" s="165"/>
      <c r="B31" s="751">
        <v>45631.0</v>
      </c>
      <c r="C31" s="744" t="s">
        <v>2534</v>
      </c>
      <c r="D31" s="744" t="s">
        <v>2533</v>
      </c>
      <c r="E31" s="175"/>
      <c r="F31" s="744" t="s">
        <v>2535</v>
      </c>
      <c r="G31" s="759" t="s">
        <v>95</v>
      </c>
      <c r="H31" s="759" t="s">
        <v>95</v>
      </c>
      <c r="I31" s="175"/>
      <c r="J31" s="754">
        <v>5.0</v>
      </c>
      <c r="K31" s="744" t="s">
        <v>2404</v>
      </c>
      <c r="L31" s="764">
        <v>45708.0</v>
      </c>
      <c r="M31" s="752" t="s">
        <v>2407</v>
      </c>
      <c r="N31" s="17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</row>
    <row r="32" hidden="1">
      <c r="A32" s="165"/>
      <c r="B32" s="751">
        <v>45576.0</v>
      </c>
      <c r="C32" s="744" t="s">
        <v>2536</v>
      </c>
      <c r="D32" s="744" t="s">
        <v>2525</v>
      </c>
      <c r="E32" s="175"/>
      <c r="F32" s="744" t="s">
        <v>2537</v>
      </c>
      <c r="G32" s="759" t="s">
        <v>95</v>
      </c>
      <c r="H32" s="759" t="s">
        <v>95</v>
      </c>
      <c r="I32" s="175"/>
      <c r="J32" s="744">
        <v>0.01</v>
      </c>
      <c r="K32" s="744" t="s">
        <v>2404</v>
      </c>
      <c r="L32" s="764">
        <v>45708.0</v>
      </c>
      <c r="M32" s="752" t="s">
        <v>2407</v>
      </c>
      <c r="N32" s="17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</row>
    <row r="33" hidden="1">
      <c r="A33" s="165"/>
      <c r="B33" s="751">
        <v>45569.0</v>
      </c>
      <c r="C33" s="744" t="s">
        <v>2538</v>
      </c>
      <c r="D33" s="744" t="s">
        <v>2533</v>
      </c>
      <c r="E33" s="752" t="s">
        <v>95</v>
      </c>
      <c r="F33" s="744" t="s">
        <v>2539</v>
      </c>
      <c r="G33" s="759" t="s">
        <v>95</v>
      </c>
      <c r="H33" s="759" t="s">
        <v>95</v>
      </c>
      <c r="I33" s="766" t="s">
        <v>2540</v>
      </c>
      <c r="J33" s="754">
        <v>8.02</v>
      </c>
      <c r="K33" s="744" t="s">
        <v>2404</v>
      </c>
      <c r="L33" s="764">
        <v>45708.0</v>
      </c>
      <c r="M33" s="752" t="s">
        <v>2407</v>
      </c>
      <c r="N33" s="17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</row>
    <row r="34" hidden="1">
      <c r="A34" s="165"/>
      <c r="B34" s="751">
        <v>45575.0</v>
      </c>
      <c r="C34" s="744" t="s">
        <v>2538</v>
      </c>
      <c r="D34" s="744" t="s">
        <v>2456</v>
      </c>
      <c r="E34" s="175"/>
      <c r="F34" s="744" t="s">
        <v>2541</v>
      </c>
      <c r="G34" s="759" t="s">
        <v>95</v>
      </c>
      <c r="H34" s="759" t="s">
        <v>95</v>
      </c>
      <c r="I34" s="175"/>
      <c r="J34" s="754">
        <v>22.42</v>
      </c>
      <c r="K34" s="744" t="s">
        <v>2404</v>
      </c>
      <c r="L34" s="764">
        <v>45708.0</v>
      </c>
      <c r="M34" s="752" t="s">
        <v>2407</v>
      </c>
      <c r="N34" s="17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</row>
    <row r="35" hidden="1">
      <c r="A35" s="165"/>
      <c r="B35" s="761">
        <v>45699.0</v>
      </c>
      <c r="C35" s="759" t="s">
        <v>2542</v>
      </c>
      <c r="D35" s="759" t="s">
        <v>2543</v>
      </c>
      <c r="E35" s="759" t="s">
        <v>2544</v>
      </c>
      <c r="F35" s="744" t="s">
        <v>2545</v>
      </c>
      <c r="G35" s="175"/>
      <c r="H35" s="752" t="s">
        <v>95</v>
      </c>
      <c r="I35" s="175"/>
      <c r="J35" s="767">
        <v>170.79</v>
      </c>
      <c r="K35" s="759" t="s">
        <v>2404</v>
      </c>
      <c r="L35" s="768">
        <v>45712.0</v>
      </c>
      <c r="M35" s="175"/>
      <c r="N35" s="17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</row>
    <row r="36" hidden="1">
      <c r="A36" s="165"/>
      <c r="B36" s="751">
        <v>45443.0</v>
      </c>
      <c r="C36" s="744" t="s">
        <v>2546</v>
      </c>
      <c r="D36" s="744" t="s">
        <v>2516</v>
      </c>
      <c r="E36" s="744" t="s">
        <v>2547</v>
      </c>
      <c r="F36" s="744" t="s">
        <v>2548</v>
      </c>
      <c r="G36" s="744" t="s">
        <v>95</v>
      </c>
      <c r="H36" s="752" t="s">
        <v>95</v>
      </c>
      <c r="I36" s="755" t="s">
        <v>2549</v>
      </c>
      <c r="J36" s="744">
        <v>200.0</v>
      </c>
      <c r="K36" s="744" t="s">
        <v>2404</v>
      </c>
      <c r="L36" s="768">
        <v>45715.0</v>
      </c>
      <c r="M36" s="752" t="s">
        <v>2407</v>
      </c>
      <c r="N36" s="17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</row>
    <row r="37" hidden="1">
      <c r="A37" s="165"/>
      <c r="B37" s="751">
        <v>45819.0</v>
      </c>
      <c r="C37" s="744" t="s">
        <v>2550</v>
      </c>
      <c r="D37" s="744" t="s">
        <v>2525</v>
      </c>
      <c r="E37" s="744" t="s">
        <v>2551</v>
      </c>
      <c r="F37" s="744" t="s">
        <v>2552</v>
      </c>
      <c r="G37" s="744" t="s">
        <v>2553</v>
      </c>
      <c r="H37" s="752" t="s">
        <v>95</v>
      </c>
      <c r="I37" s="755" t="s">
        <v>2554</v>
      </c>
      <c r="J37" s="744">
        <v>50.0</v>
      </c>
      <c r="K37" s="744" t="s">
        <v>2404</v>
      </c>
      <c r="L37" s="764">
        <v>45715.0</v>
      </c>
      <c r="M37" s="752" t="s">
        <v>2407</v>
      </c>
      <c r="N37" s="17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</row>
    <row r="38" hidden="1">
      <c r="A38" s="165"/>
      <c r="B38" s="743">
        <v>45716.0</v>
      </c>
      <c r="C38" s="744" t="s">
        <v>2555</v>
      </c>
      <c r="D38" s="744" t="s">
        <v>2491</v>
      </c>
      <c r="E38" s="757" t="s">
        <v>2504</v>
      </c>
      <c r="F38" s="744" t="s">
        <v>2556</v>
      </c>
      <c r="G38" s="175"/>
      <c r="H38" s="752" t="s">
        <v>95</v>
      </c>
      <c r="I38" s="175"/>
      <c r="J38" s="746">
        <v>0.4</v>
      </c>
      <c r="K38" s="747" t="s">
        <v>2404</v>
      </c>
      <c r="L38" s="758">
        <v>45720.0</v>
      </c>
      <c r="M38" s="752" t="s">
        <v>2407</v>
      </c>
      <c r="N38" s="17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</row>
    <row r="39" hidden="1">
      <c r="A39" s="165"/>
      <c r="B39" s="761">
        <v>45643.0</v>
      </c>
      <c r="C39" s="759" t="s">
        <v>2557</v>
      </c>
      <c r="D39" s="759" t="s">
        <v>2533</v>
      </c>
      <c r="E39" s="759" t="s">
        <v>2558</v>
      </c>
      <c r="F39" s="744" t="s">
        <v>2559</v>
      </c>
      <c r="G39" s="744" t="s">
        <v>95</v>
      </c>
      <c r="H39" s="752" t="s">
        <v>95</v>
      </c>
      <c r="I39" s="755" t="s">
        <v>2560</v>
      </c>
      <c r="J39" s="767">
        <v>5.09</v>
      </c>
      <c r="K39" s="759" t="s">
        <v>2404</v>
      </c>
      <c r="L39" s="764">
        <v>45721.0</v>
      </c>
      <c r="M39" s="752" t="s">
        <v>2407</v>
      </c>
      <c r="N39" s="752" t="s">
        <v>2561</v>
      </c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</row>
    <row r="40" hidden="1">
      <c r="A40" s="165"/>
      <c r="B40" s="751">
        <v>45569.0</v>
      </c>
      <c r="C40" s="744" t="s">
        <v>2538</v>
      </c>
      <c r="D40" s="744" t="s">
        <v>2533</v>
      </c>
      <c r="E40" s="744" t="s">
        <v>95</v>
      </c>
      <c r="F40" s="744" t="s">
        <v>2562</v>
      </c>
      <c r="G40" s="744" t="s">
        <v>95</v>
      </c>
      <c r="H40" s="752" t="s">
        <v>95</v>
      </c>
      <c r="I40" s="755" t="s">
        <v>2540</v>
      </c>
      <c r="J40" s="744">
        <v>14.39</v>
      </c>
      <c r="K40" s="744" t="s">
        <v>2404</v>
      </c>
      <c r="L40" s="764">
        <v>45721.0</v>
      </c>
      <c r="M40" s="752" t="s">
        <v>2407</v>
      </c>
      <c r="N40" s="17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</row>
    <row r="41">
      <c r="A41" s="165"/>
      <c r="B41" s="743">
        <v>45769.0</v>
      </c>
      <c r="C41" s="744" t="s">
        <v>2563</v>
      </c>
      <c r="D41" s="175"/>
      <c r="E41" s="178"/>
      <c r="F41" s="744" t="s">
        <v>2564</v>
      </c>
      <c r="G41" s="744" t="s">
        <v>95</v>
      </c>
      <c r="H41" s="752" t="s">
        <v>95</v>
      </c>
      <c r="I41" s="175"/>
      <c r="J41" s="746">
        <v>10.82</v>
      </c>
      <c r="K41" s="747" t="s">
        <v>2407</v>
      </c>
      <c r="L41" s="769"/>
      <c r="M41" s="748">
        <f>NETWORKDAYS(B41, I2)</f>
        <v>139</v>
      </c>
      <c r="N41" s="17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</row>
    <row r="42" hidden="1">
      <c r="A42" s="165"/>
      <c r="B42" s="751">
        <v>45721.0</v>
      </c>
      <c r="C42" s="744" t="s">
        <v>2565</v>
      </c>
      <c r="D42" s="744" t="s">
        <v>997</v>
      </c>
      <c r="E42" s="770" t="s">
        <v>2566</v>
      </c>
      <c r="F42" s="744" t="s">
        <v>2567</v>
      </c>
      <c r="G42" s="175"/>
      <c r="H42" s="752" t="s">
        <v>95</v>
      </c>
      <c r="I42" s="175"/>
      <c r="J42" s="754">
        <v>22161.6</v>
      </c>
      <c r="K42" s="744" t="s">
        <v>2404</v>
      </c>
      <c r="L42" s="769">
        <v>45722.0</v>
      </c>
      <c r="M42" s="175" t="s">
        <v>2407</v>
      </c>
      <c r="N42" s="17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</row>
    <row r="43" hidden="1">
      <c r="A43" s="165"/>
      <c r="B43" s="751">
        <v>45743.0</v>
      </c>
      <c r="C43" s="744" t="s">
        <v>2455</v>
      </c>
      <c r="D43" s="744" t="s">
        <v>2568</v>
      </c>
      <c r="E43" s="771" t="s">
        <v>2569</v>
      </c>
      <c r="F43" s="744" t="s">
        <v>2570</v>
      </c>
      <c r="G43" s="175"/>
      <c r="H43" s="752" t="s">
        <v>95</v>
      </c>
      <c r="I43" s="753" t="s">
        <v>2571</v>
      </c>
      <c r="J43" s="772">
        <v>10065.49</v>
      </c>
      <c r="K43" s="744" t="s">
        <v>2404</v>
      </c>
      <c r="L43" s="750">
        <v>45770.0</v>
      </c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</row>
    <row r="44" hidden="1">
      <c r="A44" s="165"/>
      <c r="B44" s="751">
        <v>45743.0</v>
      </c>
      <c r="C44" s="744" t="s">
        <v>2455</v>
      </c>
      <c r="D44" s="744" t="s">
        <v>2568</v>
      </c>
      <c r="E44" s="771" t="s">
        <v>2572</v>
      </c>
      <c r="F44" s="744" t="s">
        <v>2570</v>
      </c>
      <c r="G44" s="175"/>
      <c r="H44" s="752" t="s">
        <v>95</v>
      </c>
      <c r="I44" s="753" t="s">
        <v>2571</v>
      </c>
      <c r="J44" s="772">
        <v>10067.54</v>
      </c>
      <c r="K44" s="744" t="s">
        <v>2404</v>
      </c>
      <c r="L44" s="750">
        <v>45770.0</v>
      </c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</row>
    <row r="45" hidden="1">
      <c r="A45" s="165"/>
      <c r="B45" s="751">
        <v>45748.0</v>
      </c>
      <c r="C45" s="744" t="s">
        <v>2573</v>
      </c>
      <c r="D45" s="744" t="s">
        <v>2574</v>
      </c>
      <c r="E45" s="744" t="s">
        <v>2575</v>
      </c>
      <c r="F45" s="744" t="s">
        <v>2576</v>
      </c>
      <c r="G45" s="175"/>
      <c r="H45" s="752" t="s">
        <v>95</v>
      </c>
      <c r="I45" s="753" t="s">
        <v>2577</v>
      </c>
      <c r="J45" s="754">
        <v>0.03</v>
      </c>
      <c r="K45" s="744" t="s">
        <v>2404</v>
      </c>
      <c r="L45" s="750">
        <v>45805.0</v>
      </c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</row>
    <row r="46" hidden="1">
      <c r="A46" s="165"/>
      <c r="B46" s="751">
        <v>45748.0</v>
      </c>
      <c r="C46" s="744" t="s">
        <v>2573</v>
      </c>
      <c r="D46" s="744" t="s">
        <v>2574</v>
      </c>
      <c r="E46" s="744" t="s">
        <v>2578</v>
      </c>
      <c r="F46" s="744" t="s">
        <v>2576</v>
      </c>
      <c r="G46" s="175"/>
      <c r="H46" s="752" t="s">
        <v>95</v>
      </c>
      <c r="I46" s="753" t="s">
        <v>2579</v>
      </c>
      <c r="J46" s="754">
        <v>0.08</v>
      </c>
      <c r="K46" s="744" t="s">
        <v>2404</v>
      </c>
      <c r="L46" s="750">
        <v>45805.0</v>
      </c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</row>
    <row r="47" hidden="1">
      <c r="A47" s="165"/>
      <c r="B47" s="751">
        <v>45751.0</v>
      </c>
      <c r="C47" s="744" t="s">
        <v>2580</v>
      </c>
      <c r="D47" s="744" t="s">
        <v>963</v>
      </c>
      <c r="E47" s="744" t="s">
        <v>2581</v>
      </c>
      <c r="F47" s="744" t="s">
        <v>2582</v>
      </c>
      <c r="G47" s="175"/>
      <c r="H47" s="752" t="s">
        <v>95</v>
      </c>
      <c r="I47" s="175" t="s">
        <v>95</v>
      </c>
      <c r="J47" s="754">
        <v>19469.21</v>
      </c>
      <c r="K47" s="744" t="s">
        <v>2404</v>
      </c>
      <c r="L47" s="750">
        <v>45764.0</v>
      </c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</row>
    <row r="48" hidden="1">
      <c r="A48" s="165"/>
      <c r="B48" s="751">
        <v>45763.0</v>
      </c>
      <c r="C48" s="744" t="s">
        <v>2455</v>
      </c>
      <c r="D48" s="744" t="s">
        <v>2583</v>
      </c>
      <c r="E48" s="744" t="s">
        <v>2584</v>
      </c>
      <c r="F48" s="744" t="s">
        <v>2570</v>
      </c>
      <c r="G48" s="175"/>
      <c r="H48" s="752" t="s">
        <v>95</v>
      </c>
      <c r="I48" s="753" t="s">
        <v>2585</v>
      </c>
      <c r="J48" s="773">
        <v>66.0</v>
      </c>
      <c r="K48" s="744" t="s">
        <v>2404</v>
      </c>
      <c r="L48" s="750">
        <v>45770.0</v>
      </c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</row>
    <row r="49">
      <c r="A49" s="165"/>
      <c r="B49" s="743">
        <v>45769.0</v>
      </c>
      <c r="C49" s="744" t="s">
        <v>2586</v>
      </c>
      <c r="D49" s="744" t="s">
        <v>2491</v>
      </c>
      <c r="E49" s="178"/>
      <c r="F49" s="744" t="s">
        <v>2582</v>
      </c>
      <c r="G49" s="175"/>
      <c r="H49" s="752" t="s">
        <v>95</v>
      </c>
      <c r="I49" s="175"/>
      <c r="J49" s="746">
        <v>10.82</v>
      </c>
      <c r="K49" s="747" t="s">
        <v>2407</v>
      </c>
      <c r="L49" s="774"/>
      <c r="M49" s="748">
        <f>NETWORKDAYS(B49, I2)</f>
        <v>139</v>
      </c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</row>
    <row r="50">
      <c r="A50" s="165"/>
      <c r="B50" s="743">
        <v>45770.0</v>
      </c>
      <c r="C50" s="744" t="s">
        <v>2587</v>
      </c>
      <c r="D50" s="744" t="s">
        <v>2491</v>
      </c>
      <c r="E50" s="744" t="s">
        <v>2588</v>
      </c>
      <c r="F50" s="744" t="s">
        <v>2589</v>
      </c>
      <c r="G50" s="175"/>
      <c r="H50" s="752" t="s">
        <v>95</v>
      </c>
      <c r="I50" s="175"/>
      <c r="J50" s="746">
        <v>0.72</v>
      </c>
      <c r="K50" s="747" t="s">
        <v>2407</v>
      </c>
      <c r="L50" s="175"/>
      <c r="M50" s="748">
        <f>NETWORKDAYS(B50, I2)</f>
        <v>138</v>
      </c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</row>
    <row r="51" hidden="1">
      <c r="A51" s="165"/>
      <c r="B51" s="751">
        <v>45776.0</v>
      </c>
      <c r="C51" s="744" t="s">
        <v>2573</v>
      </c>
      <c r="D51" s="744" t="s">
        <v>2574</v>
      </c>
      <c r="E51" s="744" t="s">
        <v>2578</v>
      </c>
      <c r="F51" s="744" t="s">
        <v>2590</v>
      </c>
      <c r="G51" s="175"/>
      <c r="H51" s="752" t="s">
        <v>95</v>
      </c>
      <c r="I51" s="775" t="s">
        <v>2591</v>
      </c>
      <c r="J51" s="754">
        <v>0.71</v>
      </c>
      <c r="K51" s="744" t="s">
        <v>2404</v>
      </c>
      <c r="L51" s="750">
        <v>45806.0</v>
      </c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</row>
    <row r="52" hidden="1">
      <c r="A52" s="165"/>
      <c r="B52" s="751">
        <v>45776.0</v>
      </c>
      <c r="C52" s="744" t="s">
        <v>2573</v>
      </c>
      <c r="D52" s="744" t="s">
        <v>2574</v>
      </c>
      <c r="E52" s="744" t="s">
        <v>2592</v>
      </c>
      <c r="F52" s="744" t="s">
        <v>2590</v>
      </c>
      <c r="G52" s="175"/>
      <c r="H52" s="752" t="s">
        <v>95</v>
      </c>
      <c r="I52" s="175"/>
      <c r="J52" s="754">
        <v>0.51</v>
      </c>
      <c r="K52" s="744" t="s">
        <v>2404</v>
      </c>
      <c r="L52" s="776">
        <v>45777.0</v>
      </c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</row>
    <row r="53" hidden="1">
      <c r="A53" s="165"/>
      <c r="B53" s="743">
        <v>45777.0</v>
      </c>
      <c r="C53" s="744" t="s">
        <v>2573</v>
      </c>
      <c r="D53" s="744" t="s">
        <v>2574</v>
      </c>
      <c r="E53" s="744" t="s">
        <v>2593</v>
      </c>
      <c r="F53" s="744" t="s">
        <v>2590</v>
      </c>
      <c r="G53" s="175"/>
      <c r="H53" s="752" t="s">
        <v>95</v>
      </c>
      <c r="I53" s="183" t="s">
        <v>2594</v>
      </c>
      <c r="J53" s="746">
        <v>0.3</v>
      </c>
      <c r="K53" s="747" t="s">
        <v>2404</v>
      </c>
      <c r="L53" s="777">
        <v>45805.0</v>
      </c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</row>
    <row r="54">
      <c r="A54" s="165"/>
      <c r="B54" s="743">
        <v>45777.0</v>
      </c>
      <c r="C54" s="744" t="s">
        <v>2595</v>
      </c>
      <c r="D54" s="175"/>
      <c r="E54" s="744" t="s">
        <v>2596</v>
      </c>
      <c r="F54" s="744" t="s">
        <v>2597</v>
      </c>
      <c r="G54" s="175"/>
      <c r="H54" s="752" t="s">
        <v>95</v>
      </c>
      <c r="I54" s="1"/>
      <c r="J54" s="746">
        <v>31.11</v>
      </c>
      <c r="K54" s="747" t="s">
        <v>2407</v>
      </c>
      <c r="L54" s="776"/>
      <c r="M54" s="748">
        <f>NETWORKDAYS(B54, I2)</f>
        <v>133</v>
      </c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</row>
    <row r="55" hidden="1">
      <c r="A55" s="165"/>
      <c r="B55" s="743">
        <v>45783.0</v>
      </c>
      <c r="C55" s="744" t="s">
        <v>2598</v>
      </c>
      <c r="D55" s="175"/>
      <c r="E55" s="175"/>
      <c r="F55" s="744" t="s">
        <v>2598</v>
      </c>
      <c r="G55" s="175"/>
      <c r="H55" s="752" t="s">
        <v>95</v>
      </c>
      <c r="I55" s="175"/>
      <c r="J55" s="746">
        <v>130.87</v>
      </c>
      <c r="K55" s="747" t="s">
        <v>2404</v>
      </c>
      <c r="L55" s="776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</row>
    <row r="56" hidden="1">
      <c r="A56" s="165"/>
      <c r="B56" s="751">
        <v>45784.0</v>
      </c>
      <c r="C56" s="744" t="s">
        <v>2599</v>
      </c>
      <c r="D56" s="175"/>
      <c r="E56" s="175"/>
      <c r="F56" s="744" t="s">
        <v>2600</v>
      </c>
      <c r="G56" s="175"/>
      <c r="H56" s="752" t="s">
        <v>95</v>
      </c>
      <c r="I56" s="175"/>
      <c r="J56" s="754">
        <v>8.4</v>
      </c>
      <c r="K56" s="744" t="s">
        <v>2404</v>
      </c>
      <c r="L56" s="776">
        <v>45806.0</v>
      </c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</row>
    <row r="57" hidden="1">
      <c r="A57" s="165"/>
      <c r="B57" s="751">
        <v>45785.0</v>
      </c>
      <c r="C57" s="744" t="s">
        <v>2573</v>
      </c>
      <c r="D57" s="744" t="s">
        <v>2574</v>
      </c>
      <c r="E57" s="778" t="s">
        <v>2601</v>
      </c>
      <c r="F57" s="744" t="s">
        <v>2602</v>
      </c>
      <c r="G57" s="175"/>
      <c r="H57" s="752" t="s">
        <v>95</v>
      </c>
      <c r="I57" s="175"/>
      <c r="J57" s="754">
        <v>40.0</v>
      </c>
      <c r="K57" s="744" t="s">
        <v>2404</v>
      </c>
      <c r="L57" s="776">
        <v>45807.0</v>
      </c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</row>
    <row r="58" hidden="1">
      <c r="A58" s="165"/>
      <c r="B58" s="751">
        <v>45786.0</v>
      </c>
      <c r="C58" s="744" t="s">
        <v>2586</v>
      </c>
      <c r="D58" s="744" t="s">
        <v>2603</v>
      </c>
      <c r="E58" s="778" t="s">
        <v>2604</v>
      </c>
      <c r="F58" s="744" t="s">
        <v>2605</v>
      </c>
      <c r="G58" s="175"/>
      <c r="H58" s="779" t="s">
        <v>95</v>
      </c>
      <c r="I58" s="175"/>
      <c r="J58" s="754">
        <v>41649.89</v>
      </c>
      <c r="K58" s="744" t="s">
        <v>2404</v>
      </c>
      <c r="L58" s="776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</row>
    <row r="59" hidden="1">
      <c r="A59" s="165"/>
      <c r="B59" s="751">
        <v>45806.0</v>
      </c>
      <c r="C59" s="744" t="s">
        <v>2573</v>
      </c>
      <c r="D59" s="744" t="s">
        <v>2574</v>
      </c>
      <c r="E59" s="744" t="s">
        <v>2606</v>
      </c>
      <c r="F59" s="744" t="s">
        <v>2607</v>
      </c>
      <c r="G59" s="175"/>
      <c r="H59" s="752" t="s">
        <v>95</v>
      </c>
      <c r="I59" s="175"/>
      <c r="J59" s="757">
        <v>5324.79</v>
      </c>
      <c r="K59" s="744" t="s">
        <v>2404</v>
      </c>
      <c r="L59" s="776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</row>
    <row r="60" hidden="1">
      <c r="A60" s="165"/>
      <c r="B60" s="751">
        <v>45807.0</v>
      </c>
      <c r="C60" s="744" t="s">
        <v>2586</v>
      </c>
      <c r="D60" s="744" t="s">
        <v>2608</v>
      </c>
      <c r="E60" s="175"/>
      <c r="F60" s="744" t="s">
        <v>2582</v>
      </c>
      <c r="G60" s="175"/>
      <c r="H60" s="752" t="s">
        <v>95</v>
      </c>
      <c r="I60" s="175"/>
      <c r="J60" s="757">
        <v>417.2</v>
      </c>
      <c r="K60" s="744" t="s">
        <v>2404</v>
      </c>
      <c r="L60" s="776">
        <v>45820.0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</row>
    <row r="61" hidden="1">
      <c r="A61" s="165"/>
      <c r="B61" s="751">
        <v>45807.0</v>
      </c>
      <c r="C61" s="744" t="s">
        <v>2573</v>
      </c>
      <c r="D61" s="744" t="s">
        <v>2574</v>
      </c>
      <c r="E61" s="175"/>
      <c r="F61" s="744" t="s">
        <v>2607</v>
      </c>
      <c r="G61" s="175"/>
      <c r="H61" s="752" t="s">
        <v>95</v>
      </c>
      <c r="I61" s="780" t="s">
        <v>2609</v>
      </c>
      <c r="J61" s="757">
        <v>23.81</v>
      </c>
      <c r="K61" s="744" t="s">
        <v>2404</v>
      </c>
      <c r="L61" s="776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</row>
    <row r="62" hidden="1">
      <c r="A62" s="165"/>
      <c r="B62" s="751">
        <v>45811.0</v>
      </c>
      <c r="C62" s="744" t="s">
        <v>2573</v>
      </c>
      <c r="D62" s="744" t="s">
        <v>2574</v>
      </c>
      <c r="E62" s="175"/>
      <c r="F62" s="744" t="s">
        <v>2607</v>
      </c>
      <c r="G62" s="175"/>
      <c r="H62" s="752" t="s">
        <v>95</v>
      </c>
      <c r="I62" s="780" t="s">
        <v>2610</v>
      </c>
      <c r="J62" s="757">
        <v>2.0</v>
      </c>
      <c r="K62" s="744" t="s">
        <v>2404</v>
      </c>
      <c r="L62" s="776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</row>
    <row r="63">
      <c r="A63" s="165"/>
      <c r="B63" s="751">
        <v>45811.0</v>
      </c>
      <c r="C63" s="744" t="s">
        <v>2611</v>
      </c>
      <c r="D63" s="175"/>
      <c r="E63" s="175"/>
      <c r="F63" s="744" t="s">
        <v>2612</v>
      </c>
      <c r="G63" s="175"/>
      <c r="H63" s="752" t="s">
        <v>95</v>
      </c>
      <c r="I63" s="175" t="s">
        <v>2613</v>
      </c>
      <c r="J63" s="757">
        <v>2173.46</v>
      </c>
      <c r="K63" s="744" t="s">
        <v>2407</v>
      </c>
      <c r="L63" s="781" t="s">
        <v>2614</v>
      </c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</row>
    <row r="64">
      <c r="A64" s="165"/>
      <c r="B64" s="751">
        <v>45812.0</v>
      </c>
      <c r="C64" s="744" t="s">
        <v>2611</v>
      </c>
      <c r="D64" s="175"/>
      <c r="E64" s="175"/>
      <c r="F64" s="744" t="s">
        <v>2612</v>
      </c>
      <c r="G64" s="175"/>
      <c r="H64" s="752" t="s">
        <v>95</v>
      </c>
      <c r="I64" s="175"/>
      <c r="J64" s="757">
        <v>0.46</v>
      </c>
      <c r="K64" s="744" t="s">
        <v>2407</v>
      </c>
      <c r="L64" s="781" t="s">
        <v>2614</v>
      </c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</row>
    <row r="65" hidden="1">
      <c r="A65" s="165"/>
      <c r="B65" s="751">
        <v>45825.0</v>
      </c>
      <c r="C65" s="744" t="s">
        <v>2586</v>
      </c>
      <c r="D65" s="175"/>
      <c r="E65" s="175"/>
      <c r="F65" s="744" t="s">
        <v>2615</v>
      </c>
      <c r="G65" s="175"/>
      <c r="H65" s="752" t="s">
        <v>95</v>
      </c>
      <c r="I65" s="175"/>
      <c r="J65" s="757">
        <v>8.88</v>
      </c>
      <c r="K65" s="744" t="s">
        <v>2404</v>
      </c>
      <c r="L65" s="776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</row>
    <row r="66" hidden="1">
      <c r="A66" s="165"/>
      <c r="B66" s="751">
        <v>45825.0</v>
      </c>
      <c r="C66" s="744" t="s">
        <v>2586</v>
      </c>
      <c r="D66" s="175"/>
      <c r="E66" s="175"/>
      <c r="F66" s="744" t="s">
        <v>2615</v>
      </c>
      <c r="G66" s="175"/>
      <c r="H66" s="752" t="s">
        <v>95</v>
      </c>
      <c r="I66" s="175"/>
      <c r="J66" s="757">
        <v>3020.87</v>
      </c>
      <c r="K66" s="744" t="s">
        <v>2404</v>
      </c>
      <c r="L66" s="776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</row>
    <row r="67">
      <c r="A67" s="165"/>
      <c r="B67" s="751">
        <v>45825.0</v>
      </c>
      <c r="C67" s="744" t="s">
        <v>2616</v>
      </c>
      <c r="D67" s="175"/>
      <c r="E67" s="175"/>
      <c r="F67" s="744" t="s">
        <v>2617</v>
      </c>
      <c r="G67" s="175"/>
      <c r="H67" s="752" t="s">
        <v>95</v>
      </c>
      <c r="I67" s="175"/>
      <c r="J67" s="757">
        <v>33941.76</v>
      </c>
      <c r="K67" s="744" t="s">
        <v>2407</v>
      </c>
      <c r="L67" s="781" t="s">
        <v>2614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</row>
    <row r="68">
      <c r="A68" s="165"/>
      <c r="B68" s="751">
        <v>45838.0</v>
      </c>
      <c r="C68" s="744" t="s">
        <v>2616</v>
      </c>
      <c r="D68" s="175"/>
      <c r="E68" s="175"/>
      <c r="F68" s="744" t="s">
        <v>2617</v>
      </c>
      <c r="G68" s="175"/>
      <c r="H68" s="752" t="s">
        <v>95</v>
      </c>
      <c r="I68" s="175"/>
      <c r="J68" s="757">
        <v>38871.47</v>
      </c>
      <c r="K68" s="744" t="s">
        <v>2407</v>
      </c>
      <c r="L68" s="781" t="s">
        <v>2614</v>
      </c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</row>
    <row r="69" hidden="1">
      <c r="A69" s="165"/>
      <c r="B69" s="751">
        <v>45839.0</v>
      </c>
      <c r="C69" s="744" t="s">
        <v>2618</v>
      </c>
      <c r="D69" s="175"/>
      <c r="E69" s="175"/>
      <c r="F69" s="744" t="s">
        <v>2619</v>
      </c>
      <c r="G69" s="175"/>
      <c r="H69" s="752" t="s">
        <v>95</v>
      </c>
      <c r="I69" s="175" t="s">
        <v>2620</v>
      </c>
      <c r="J69" s="757">
        <v>216095.14</v>
      </c>
      <c r="K69" s="744" t="s">
        <v>2404</v>
      </c>
      <c r="L69" s="776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</row>
    <row r="70">
      <c r="A70" s="165"/>
      <c r="B70" s="751">
        <v>45839.0</v>
      </c>
      <c r="C70" s="744" t="s">
        <v>2616</v>
      </c>
      <c r="D70" s="175"/>
      <c r="E70" s="175"/>
      <c r="F70" s="744" t="s">
        <v>2621</v>
      </c>
      <c r="G70" s="175"/>
      <c r="H70" s="752" t="s">
        <v>95</v>
      </c>
      <c r="I70" s="175"/>
      <c r="J70" s="757">
        <v>25275.105699892156</v>
      </c>
      <c r="K70" s="744" t="s">
        <v>2407</v>
      </c>
      <c r="L70" s="781" t="s">
        <v>2614</v>
      </c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</row>
    <row r="71" hidden="1">
      <c r="A71" s="165"/>
      <c r="B71" s="782">
        <v>45822.0</v>
      </c>
      <c r="C71" s="744" t="s">
        <v>2622</v>
      </c>
      <c r="D71" s="175"/>
      <c r="E71" s="175"/>
      <c r="F71" s="744" t="s">
        <v>2623</v>
      </c>
      <c r="G71" s="175"/>
      <c r="H71" s="752" t="s">
        <v>95</v>
      </c>
      <c r="I71" s="175"/>
      <c r="J71" s="757">
        <v>0.34</v>
      </c>
      <c r="K71" s="744" t="s">
        <v>2404</v>
      </c>
      <c r="L71" s="776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</row>
    <row r="72" hidden="1">
      <c r="A72" s="165"/>
      <c r="B72" s="751">
        <v>45860.0</v>
      </c>
      <c r="C72" s="744" t="s">
        <v>2403</v>
      </c>
      <c r="D72" s="175"/>
      <c r="E72" s="175"/>
      <c r="F72" s="744" t="s">
        <v>2624</v>
      </c>
      <c r="G72" s="175"/>
      <c r="H72" s="752" t="s">
        <v>95</v>
      </c>
      <c r="I72" s="175"/>
      <c r="J72" s="757">
        <v>214219.79</v>
      </c>
      <c r="K72" s="744" t="s">
        <v>2404</v>
      </c>
      <c r="L72" s="776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</row>
    <row r="73" hidden="1">
      <c r="A73" s="165"/>
      <c r="B73" s="774">
        <v>45856.0</v>
      </c>
      <c r="C73" s="175" t="s">
        <v>2625</v>
      </c>
      <c r="D73" s="175"/>
      <c r="E73" s="178"/>
      <c r="F73" s="175" t="s">
        <v>2626</v>
      </c>
      <c r="G73" s="175"/>
      <c r="H73" s="752" t="s">
        <v>95</v>
      </c>
      <c r="I73" s="780" t="s">
        <v>95</v>
      </c>
      <c r="J73" s="783">
        <v>58.37</v>
      </c>
      <c r="K73" s="744" t="s">
        <v>2404</v>
      </c>
      <c r="L73" s="750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</row>
    <row r="74" hidden="1">
      <c r="A74" s="165"/>
      <c r="B74" s="774">
        <v>45890.0</v>
      </c>
      <c r="C74" s="784" t="s">
        <v>2435</v>
      </c>
      <c r="D74" s="5"/>
      <c r="E74" s="5"/>
      <c r="F74" s="5"/>
      <c r="G74" s="5"/>
      <c r="H74" s="5"/>
      <c r="I74" s="5"/>
      <c r="J74" s="5"/>
      <c r="K74" s="5"/>
      <c r="L74" s="6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</row>
    <row r="75">
      <c r="A75" s="165"/>
      <c r="B75" s="243"/>
      <c r="C75" s="165"/>
      <c r="D75" s="165"/>
      <c r="E75" s="34"/>
      <c r="F75" s="165"/>
      <c r="G75" s="165"/>
      <c r="H75" s="165"/>
      <c r="I75" s="165"/>
      <c r="J75" s="31"/>
      <c r="K75" s="165"/>
      <c r="L75" s="243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</row>
    <row r="76">
      <c r="A76" s="165"/>
      <c r="B76" s="243"/>
      <c r="C76" s="165"/>
      <c r="D76" s="165"/>
      <c r="E76" s="165"/>
      <c r="F76" s="165"/>
      <c r="G76" s="165"/>
      <c r="H76" s="165"/>
      <c r="I76" s="165"/>
      <c r="J76" s="31"/>
      <c r="K76" s="165"/>
      <c r="L76" s="174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</row>
    <row r="77">
      <c r="A77" s="165"/>
      <c r="B77" s="243"/>
      <c r="C77" s="165"/>
      <c r="D77" s="165"/>
      <c r="E77" s="165"/>
      <c r="F77" s="165"/>
      <c r="G77" s="165"/>
      <c r="H77" s="165"/>
      <c r="I77" s="165"/>
      <c r="J77" s="165"/>
      <c r="K77" s="165"/>
      <c r="L77" s="174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</row>
    <row r="78">
      <c r="A78" s="165"/>
      <c r="B78" s="243"/>
      <c r="C78" s="165"/>
      <c r="D78" s="165"/>
      <c r="E78" s="34"/>
      <c r="F78" s="165"/>
      <c r="G78" s="165"/>
      <c r="H78" s="165"/>
      <c r="I78" s="165"/>
      <c r="J78" s="31"/>
      <c r="K78" s="165"/>
      <c r="L78" s="243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</row>
    <row r="79">
      <c r="A79" s="165"/>
      <c r="B79" s="243"/>
      <c r="C79" s="165"/>
      <c r="D79" s="165"/>
      <c r="E79" s="34"/>
      <c r="F79" s="165"/>
      <c r="G79" s="165"/>
      <c r="H79" s="165"/>
      <c r="I79" s="165"/>
      <c r="J79" s="31"/>
      <c r="K79" s="165"/>
      <c r="L79" s="243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</row>
    <row r="80">
      <c r="A80" s="165"/>
      <c r="B80" s="243"/>
      <c r="C80" s="165"/>
      <c r="D80" s="165"/>
      <c r="E80" s="165"/>
      <c r="F80" s="165"/>
      <c r="G80" s="165"/>
      <c r="H80" s="165"/>
      <c r="I80" s="165"/>
      <c r="J80" s="31"/>
      <c r="K80" s="165"/>
      <c r="L80" s="78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</row>
    <row r="81">
      <c r="A81" s="165"/>
      <c r="B81" s="243"/>
      <c r="C81" s="165"/>
      <c r="D81" s="165"/>
      <c r="E81" s="165"/>
      <c r="F81" s="165"/>
      <c r="G81" s="165"/>
      <c r="H81" s="165"/>
      <c r="I81" s="165"/>
      <c r="J81" s="31"/>
      <c r="K81" s="165"/>
      <c r="L81" s="78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</row>
    <row r="82">
      <c r="A82" s="165"/>
      <c r="B82" s="243"/>
      <c r="C82" s="165"/>
      <c r="D82" s="165"/>
      <c r="E82" s="165"/>
      <c r="F82" s="165"/>
      <c r="G82" s="165"/>
      <c r="H82" s="165"/>
      <c r="I82" s="165"/>
      <c r="J82" s="31"/>
      <c r="K82" s="165"/>
      <c r="L82" s="78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</row>
    <row r="83">
      <c r="A83" s="165"/>
      <c r="B83" s="243"/>
      <c r="C83" s="165"/>
      <c r="D83" s="165"/>
      <c r="E83" s="165"/>
      <c r="F83" s="165"/>
      <c r="G83" s="165"/>
      <c r="H83" s="165"/>
      <c r="I83" s="165"/>
      <c r="J83" s="31"/>
      <c r="K83" s="165"/>
      <c r="L83" s="78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</row>
    <row r="84">
      <c r="A84" s="165"/>
      <c r="B84" s="243"/>
      <c r="C84" s="165"/>
      <c r="D84" s="165"/>
      <c r="E84" s="165"/>
      <c r="F84" s="165"/>
      <c r="G84" s="165"/>
      <c r="H84" s="165"/>
      <c r="I84" s="165"/>
      <c r="J84" s="31"/>
      <c r="K84" s="165"/>
      <c r="L84" s="78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</row>
    <row r="85">
      <c r="A85" s="165"/>
      <c r="B85" s="243"/>
      <c r="C85" s="165"/>
      <c r="D85" s="165"/>
      <c r="E85" s="165"/>
      <c r="F85" s="165"/>
      <c r="G85" s="165"/>
      <c r="H85" s="165"/>
      <c r="I85" s="165"/>
      <c r="J85" s="786"/>
      <c r="K85" s="165"/>
      <c r="L85" s="78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</row>
    <row r="86">
      <c r="A86" s="165"/>
      <c r="B86" s="243"/>
      <c r="C86" s="165"/>
      <c r="D86" s="165"/>
      <c r="E86" s="165"/>
      <c r="F86" s="165"/>
      <c r="G86" s="165"/>
      <c r="H86" s="165"/>
      <c r="I86" s="165"/>
      <c r="J86" s="31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</row>
    <row r="87">
      <c r="A87" s="165"/>
      <c r="B87" s="243"/>
      <c r="C87" s="165"/>
      <c r="D87" s="165"/>
      <c r="E87" s="165"/>
      <c r="F87" s="165"/>
      <c r="G87" s="165"/>
      <c r="H87" s="165"/>
      <c r="I87" s="165"/>
      <c r="J87" s="31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</row>
    <row r="88">
      <c r="A88" s="165"/>
      <c r="B88" s="243"/>
      <c r="C88" s="165"/>
      <c r="D88" s="165"/>
      <c r="E88" s="165"/>
      <c r="F88" s="165"/>
      <c r="G88" s="165"/>
      <c r="H88" s="165"/>
      <c r="I88" s="165"/>
      <c r="J88" s="31"/>
      <c r="K88" s="165"/>
      <c r="L88" s="78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</row>
    <row r="89">
      <c r="A89" s="165"/>
      <c r="B89" s="243"/>
      <c r="C89" s="165"/>
      <c r="D89" s="165"/>
      <c r="E89" s="165"/>
      <c r="F89" s="165"/>
      <c r="G89" s="165"/>
      <c r="H89" s="165"/>
      <c r="I89" s="165"/>
      <c r="J89" s="31"/>
      <c r="K89" s="165"/>
      <c r="L89" s="787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</row>
    <row r="90">
      <c r="A90" s="165"/>
      <c r="B90" s="243"/>
      <c r="C90" s="165"/>
      <c r="D90" s="165"/>
      <c r="E90" s="165"/>
      <c r="F90" s="165"/>
      <c r="G90" s="165"/>
      <c r="H90" s="165"/>
      <c r="I90" s="165"/>
      <c r="J90" s="31"/>
      <c r="K90" s="165"/>
      <c r="L90" s="78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</row>
    <row r="91">
      <c r="A91" s="165"/>
      <c r="B91" s="243"/>
      <c r="C91" s="165"/>
      <c r="D91" s="165"/>
      <c r="E91" s="165"/>
      <c r="F91" s="165"/>
      <c r="G91" s="165"/>
      <c r="H91" s="165"/>
      <c r="I91" s="165"/>
      <c r="J91" s="31"/>
      <c r="K91" s="165"/>
      <c r="L91" s="787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</row>
    <row r="92">
      <c r="A92" s="165"/>
      <c r="B92" s="243"/>
      <c r="C92" s="165"/>
      <c r="D92" s="165"/>
      <c r="E92" s="165"/>
      <c r="F92" s="165"/>
      <c r="G92" s="165"/>
      <c r="H92" s="165"/>
      <c r="I92" s="165"/>
      <c r="J92" s="31"/>
      <c r="K92" s="165"/>
      <c r="L92" s="787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</row>
    <row r="93">
      <c r="A93" s="165"/>
      <c r="B93" s="243"/>
      <c r="C93" s="165"/>
      <c r="D93" s="165"/>
      <c r="E93" s="165"/>
      <c r="F93" s="165"/>
      <c r="G93" s="165"/>
      <c r="H93" s="165"/>
      <c r="I93" s="165"/>
      <c r="J93" s="31"/>
      <c r="K93" s="165"/>
      <c r="L93" s="787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</row>
    <row r="94">
      <c r="A94" s="165"/>
      <c r="B94" s="243"/>
      <c r="C94" s="165"/>
      <c r="D94" s="165"/>
      <c r="E94" s="165"/>
      <c r="F94" s="165"/>
      <c r="G94" s="165"/>
      <c r="H94" s="165"/>
      <c r="I94" s="165"/>
      <c r="J94" s="31"/>
      <c r="K94" s="165"/>
      <c r="L94" s="787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</row>
    <row r="95">
      <c r="A95" s="165"/>
      <c r="B95" s="243"/>
      <c r="C95" s="165"/>
      <c r="D95" s="165"/>
      <c r="E95" s="165"/>
      <c r="F95" s="165"/>
      <c r="G95" s="165"/>
      <c r="H95" s="165"/>
      <c r="I95" s="165"/>
      <c r="J95" s="31"/>
      <c r="K95" s="165"/>
      <c r="L95" s="787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</row>
    <row r="96">
      <c r="A96" s="165"/>
      <c r="B96" s="243"/>
      <c r="C96" s="165"/>
      <c r="D96" s="165"/>
      <c r="E96" s="165"/>
      <c r="F96" s="165"/>
      <c r="G96" s="165"/>
      <c r="H96" s="165"/>
      <c r="I96" s="165"/>
      <c r="J96" s="34"/>
      <c r="K96" s="165"/>
      <c r="L96" s="787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</row>
    <row r="97">
      <c r="A97" s="165"/>
      <c r="B97" s="243"/>
      <c r="C97" s="165"/>
      <c r="D97" s="165"/>
      <c r="E97" s="165"/>
      <c r="F97" s="165"/>
      <c r="G97" s="165"/>
      <c r="H97" s="165"/>
      <c r="I97" s="165"/>
      <c r="J97" s="34"/>
      <c r="K97" s="165"/>
      <c r="L97" s="787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</row>
    <row r="98">
      <c r="A98" s="165"/>
      <c r="B98" s="243"/>
      <c r="C98" s="165"/>
      <c r="D98" s="165"/>
      <c r="E98" s="165"/>
      <c r="F98" s="165"/>
      <c r="G98" s="165"/>
      <c r="H98" s="165"/>
      <c r="I98" s="165"/>
      <c r="J98" s="34"/>
      <c r="K98" s="165"/>
      <c r="L98" s="787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</row>
    <row r="99">
      <c r="A99" s="165"/>
      <c r="B99" s="243"/>
      <c r="C99" s="165"/>
      <c r="D99" s="165"/>
      <c r="E99" s="165"/>
      <c r="F99" s="165"/>
      <c r="G99" s="165"/>
      <c r="H99" s="165"/>
      <c r="I99" s="165"/>
      <c r="J99" s="34"/>
      <c r="K99" s="165"/>
      <c r="L99" s="787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</row>
    <row r="100">
      <c r="A100" s="165"/>
      <c r="B100" s="243"/>
      <c r="C100" s="165"/>
      <c r="D100" s="165"/>
      <c r="E100" s="165"/>
      <c r="F100" s="165"/>
      <c r="G100" s="165"/>
      <c r="H100" s="165"/>
      <c r="I100" s="165"/>
      <c r="J100" s="34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</row>
    <row r="101">
      <c r="A101" s="165"/>
      <c r="B101" s="243"/>
      <c r="C101" s="165"/>
      <c r="D101" s="165"/>
      <c r="E101" s="165"/>
      <c r="F101" s="165"/>
      <c r="G101" s="165"/>
      <c r="H101" s="165"/>
      <c r="I101" s="165"/>
      <c r="J101" s="34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</row>
    <row r="102">
      <c r="A102" s="165"/>
      <c r="B102" s="243"/>
      <c r="C102" s="165"/>
      <c r="D102" s="165"/>
      <c r="E102" s="165"/>
      <c r="F102" s="165"/>
      <c r="G102" s="165"/>
      <c r="H102" s="165"/>
      <c r="I102" s="165"/>
      <c r="J102" s="34"/>
      <c r="K102" s="165"/>
      <c r="L102" s="787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</row>
    <row r="103">
      <c r="A103" s="165"/>
      <c r="B103" s="243"/>
      <c r="C103" s="165"/>
      <c r="D103" s="165"/>
      <c r="E103" s="165"/>
      <c r="F103" s="165"/>
      <c r="G103" s="165"/>
      <c r="H103" s="165"/>
      <c r="I103" s="165"/>
      <c r="J103" s="34"/>
      <c r="K103" s="165"/>
      <c r="L103" s="787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</row>
    <row r="104">
      <c r="A104" s="165"/>
      <c r="B104" s="243"/>
      <c r="C104" s="165"/>
      <c r="D104" s="165"/>
      <c r="E104" s="165"/>
      <c r="F104" s="165"/>
      <c r="G104" s="165"/>
      <c r="H104" s="165"/>
      <c r="I104" s="165"/>
      <c r="J104" s="34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</row>
    <row r="105">
      <c r="A105" s="165"/>
      <c r="B105" s="243"/>
      <c r="C105" s="165"/>
      <c r="D105" s="165"/>
      <c r="E105" s="165"/>
      <c r="F105" s="165"/>
      <c r="G105" s="165"/>
      <c r="H105" s="165"/>
      <c r="I105" s="165"/>
      <c r="J105" s="34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</row>
    <row r="106">
      <c r="A106" s="165"/>
      <c r="B106" s="243"/>
      <c r="C106" s="165"/>
      <c r="D106" s="165"/>
      <c r="E106" s="165"/>
      <c r="F106" s="165"/>
      <c r="G106" s="165"/>
      <c r="H106" s="165"/>
      <c r="I106" s="165"/>
      <c r="J106" s="34"/>
      <c r="K106" s="165"/>
      <c r="L106" s="787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</row>
    <row r="107">
      <c r="A107" s="165"/>
      <c r="B107" s="243"/>
      <c r="C107" s="165"/>
      <c r="D107" s="165"/>
      <c r="E107" s="165"/>
      <c r="F107" s="165"/>
      <c r="G107" s="165"/>
      <c r="H107" s="165"/>
      <c r="I107" s="165"/>
      <c r="J107" s="34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</row>
    <row r="108">
      <c r="A108" s="165"/>
      <c r="B108" s="785"/>
      <c r="C108" s="165"/>
      <c r="D108" s="165"/>
      <c r="E108" s="165"/>
      <c r="F108" s="165"/>
      <c r="G108" s="165"/>
      <c r="H108" s="165"/>
      <c r="I108" s="165"/>
      <c r="J108" s="34"/>
      <c r="K108" s="165"/>
      <c r="L108" s="787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</row>
    <row r="109">
      <c r="A109" s="165"/>
      <c r="B109" s="243"/>
      <c r="C109" s="165"/>
      <c r="D109" s="165"/>
      <c r="E109" s="165"/>
      <c r="F109" s="165"/>
      <c r="G109" s="165"/>
      <c r="H109" s="165"/>
      <c r="I109" s="165"/>
      <c r="J109" s="34"/>
      <c r="K109" s="165"/>
      <c r="L109" s="787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</row>
    <row r="110">
      <c r="A110" s="165"/>
      <c r="B110" s="243"/>
      <c r="C110" s="165"/>
      <c r="D110" s="165"/>
      <c r="E110" s="34"/>
      <c r="F110" s="165"/>
      <c r="G110" s="165"/>
      <c r="H110" s="165"/>
      <c r="I110" s="165"/>
      <c r="J110" s="31"/>
      <c r="K110" s="165"/>
      <c r="L110" s="78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</row>
    <row r="111">
      <c r="A111" s="165"/>
      <c r="B111" s="243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</row>
    <row r="120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</row>
    <row r="12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</row>
    <row r="122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</row>
    <row r="123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</row>
    <row r="124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</row>
    <row r="125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</row>
    <row r="126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</row>
    <row r="127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</row>
    <row r="128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</row>
    <row r="129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</row>
    <row r="130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</row>
    <row r="13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</row>
    <row r="132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</row>
    <row r="133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</row>
    <row r="134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</row>
    <row r="135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</row>
    <row r="136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</row>
    <row r="137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</row>
    <row r="138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</row>
    <row r="139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</row>
    <row r="140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</row>
    <row r="14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</row>
    <row r="142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</row>
    <row r="143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</row>
    <row r="144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</row>
    <row r="145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</row>
    <row r="146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</row>
    <row r="147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</row>
    <row r="148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</row>
    <row r="149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</row>
    <row r="150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</row>
    <row r="15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</row>
    <row r="152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</row>
    <row r="15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</row>
    <row r="154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</row>
    <row r="155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</row>
    <row r="156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</row>
    <row r="157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</row>
    <row r="158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</row>
    <row r="159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</row>
    <row r="160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</row>
    <row r="16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</row>
    <row r="162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</row>
    <row r="163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</row>
    <row r="164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</row>
    <row r="165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</row>
    <row r="166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</row>
    <row r="167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</row>
    <row r="168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</row>
    <row r="169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</row>
    <row r="170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</row>
    <row r="17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</row>
    <row r="172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</row>
    <row r="173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</row>
    <row r="174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</row>
    <row r="175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</row>
    <row r="176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</row>
    <row r="177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</row>
    <row r="178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</row>
    <row r="179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</row>
    <row r="180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</row>
    <row r="18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</row>
    <row r="182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</row>
    <row r="183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</row>
    <row r="184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</row>
    <row r="185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</row>
    <row r="186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</row>
    <row r="187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</row>
    <row r="188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</row>
    <row r="189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</row>
    <row r="190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</row>
    <row r="19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</row>
    <row r="192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</row>
    <row r="193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</row>
    <row r="194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</row>
    <row r="195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</row>
    <row r="196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</row>
    <row r="197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</row>
    <row r="198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</row>
    <row r="199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</row>
    <row r="200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</row>
    <row r="20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</row>
    <row r="202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</row>
    <row r="203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</row>
    <row r="204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</row>
    <row r="205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</row>
    <row r="20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</row>
    <row r="207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</row>
    <row r="208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</row>
    <row r="209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</row>
    <row r="210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</row>
    <row r="21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</row>
    <row r="212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</row>
    <row r="213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</row>
    <row r="214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</row>
    <row r="215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</row>
    <row r="21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</row>
    <row r="217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</row>
    <row r="218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</row>
    <row r="219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</row>
    <row r="220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</row>
    <row r="22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</row>
    <row r="222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</row>
    <row r="223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</row>
    <row r="224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</row>
    <row r="2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</row>
    <row r="2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</row>
    <row r="227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</row>
    <row r="228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</row>
    <row r="229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</row>
    <row r="230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</row>
    <row r="23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</row>
    <row r="232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</row>
    <row r="233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</row>
    <row r="234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</row>
    <row r="235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</row>
    <row r="23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</row>
    <row r="237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</row>
    <row r="238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</row>
    <row r="239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</row>
    <row r="240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</row>
    <row r="24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</row>
    <row r="242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</row>
    <row r="243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</row>
    <row r="24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</row>
    <row r="245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</row>
    <row r="24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</row>
    <row r="247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</row>
    <row r="248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</row>
    <row r="249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</row>
    <row r="250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</row>
    <row r="25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</row>
    <row r="252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</row>
    <row r="253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</row>
    <row r="254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</row>
    <row r="255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</row>
    <row r="256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</row>
    <row r="257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</row>
    <row r="258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</row>
    <row r="259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</row>
    <row r="260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</row>
    <row r="26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</row>
    <row r="262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</row>
    <row r="263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</row>
    <row r="264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</row>
    <row r="265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</row>
    <row r="266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</row>
    <row r="267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</row>
    <row r="26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</row>
    <row r="269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</row>
    <row r="270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</row>
    <row r="27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</row>
    <row r="272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</row>
    <row r="273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</row>
    <row r="274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</row>
    <row r="275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</row>
    <row r="276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</row>
    <row r="277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</row>
    <row r="278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</row>
    <row r="279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</row>
    <row r="280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</row>
    <row r="28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</row>
    <row r="282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</row>
    <row r="283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</row>
    <row r="284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</row>
    <row r="285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</row>
    <row r="286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</row>
    <row r="287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</row>
    <row r="288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</row>
    <row r="289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</row>
    <row r="290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</row>
    <row r="29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</row>
    <row r="292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</row>
    <row r="293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</row>
    <row r="294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</row>
    <row r="295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</row>
    <row r="296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</row>
    <row r="297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</row>
    <row r="298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</row>
    <row r="299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</row>
    <row r="300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</row>
    <row r="30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</row>
    <row r="302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</row>
    <row r="303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</row>
    <row r="304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</row>
    <row r="305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</row>
    <row r="306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</row>
    <row r="307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</row>
    <row r="308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</row>
    <row r="309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</row>
    <row r="310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</row>
    <row r="31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</row>
    <row r="312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</row>
    <row r="313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</row>
    <row r="314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</row>
    <row r="315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</row>
    <row r="316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</row>
    <row r="317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</row>
    <row r="318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</row>
    <row r="319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</row>
    <row r="320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</row>
    <row r="32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</row>
    <row r="322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</row>
    <row r="323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</row>
    <row r="324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</row>
    <row r="325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</row>
    <row r="326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</row>
    <row r="327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</row>
    <row r="328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</row>
    <row r="329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</row>
    <row r="330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</row>
    <row r="33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</row>
    <row r="332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</row>
    <row r="333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</row>
    <row r="334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</row>
    <row r="335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</row>
    <row r="336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</row>
    <row r="337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</row>
    <row r="338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</row>
    <row r="339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</row>
    <row r="340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</row>
    <row r="34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</row>
    <row r="342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</row>
    <row r="343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</row>
    <row r="344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</row>
    <row r="345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</row>
    <row r="346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</row>
    <row r="347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</row>
    <row r="348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</row>
    <row r="349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</row>
    <row r="350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</row>
    <row r="35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</row>
    <row r="352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</row>
    <row r="353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</row>
    <row r="354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</row>
    <row r="355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</row>
    <row r="356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</row>
    <row r="357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</row>
    <row r="358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</row>
    <row r="359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</row>
    <row r="360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</row>
    <row r="36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</row>
    <row r="362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</row>
    <row r="363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</row>
    <row r="364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</row>
    <row r="365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</row>
    <row r="366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</row>
    <row r="367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</row>
    <row r="368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</row>
    <row r="369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</row>
    <row r="370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</row>
    <row r="37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</row>
    <row r="372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</row>
    <row r="373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</row>
    <row r="374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</row>
    <row r="375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</row>
    <row r="376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</row>
    <row r="377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</row>
    <row r="378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</row>
    <row r="379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</row>
    <row r="380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</row>
    <row r="38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</row>
    <row r="382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</row>
    <row r="383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</row>
    <row r="384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</row>
    <row r="385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</row>
    <row r="386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</row>
    <row r="387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</row>
    <row r="388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</row>
    <row r="389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</row>
    <row r="390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</row>
    <row r="39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</row>
    <row r="392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</row>
    <row r="393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</row>
    <row r="394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</row>
    <row r="395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</row>
    <row r="396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</row>
    <row r="397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</row>
    <row r="398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</row>
    <row r="399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</row>
    <row r="400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</row>
    <row r="40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</row>
    <row r="402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</row>
    <row r="403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</row>
    <row r="404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</row>
    <row r="405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</row>
    <row r="406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</row>
    <row r="407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</row>
    <row r="408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</row>
    <row r="409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</row>
    <row r="410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</row>
    <row r="41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</row>
    <row r="412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</row>
    <row r="413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</row>
    <row r="414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</row>
    <row r="415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</row>
    <row r="416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</row>
    <row r="417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</row>
    <row r="418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</row>
    <row r="419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</row>
    <row r="420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</row>
    <row r="42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</row>
    <row r="422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</row>
    <row r="423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</row>
    <row r="424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</row>
    <row r="425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</row>
    <row r="426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</row>
    <row r="427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</row>
    <row r="428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</row>
    <row r="429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</row>
    <row r="430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</row>
    <row r="43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</row>
    <row r="432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</row>
    <row r="433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</row>
    <row r="434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</row>
    <row r="435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</row>
    <row r="436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</row>
    <row r="437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</row>
    <row r="438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</row>
    <row r="439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</row>
    <row r="440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</row>
    <row r="44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</row>
    <row r="442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</row>
    <row r="443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</row>
    <row r="444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</row>
    <row r="445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</row>
    <row r="446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</row>
    <row r="447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</row>
    <row r="448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</row>
    <row r="449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</row>
    <row r="450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</row>
    <row r="45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</row>
    <row r="452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</row>
    <row r="453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</row>
    <row r="454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</row>
    <row r="455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</row>
    <row r="456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</row>
    <row r="457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</row>
    <row r="458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</row>
    <row r="459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</row>
    <row r="460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</row>
    <row r="46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</row>
    <row r="462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</row>
    <row r="463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</row>
    <row r="464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</row>
    <row r="465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</row>
    <row r="466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</row>
    <row r="467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</row>
    <row r="468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</row>
    <row r="469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</row>
    <row r="470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</row>
    <row r="47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</row>
    <row r="472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</row>
    <row r="473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</row>
    <row r="474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</row>
    <row r="475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</row>
    <row r="476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</row>
    <row r="477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</row>
    <row r="478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</row>
    <row r="479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</row>
    <row r="480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</row>
    <row r="48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</row>
    <row r="482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</row>
    <row r="483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</row>
    <row r="484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</row>
    <row r="485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</row>
    <row r="486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</row>
    <row r="487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</row>
    <row r="488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</row>
    <row r="489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</row>
    <row r="490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</row>
    <row r="49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</row>
    <row r="492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</row>
    <row r="493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</row>
    <row r="494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</row>
    <row r="495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</row>
    <row r="496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</row>
    <row r="497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</row>
    <row r="498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</row>
    <row r="499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</row>
    <row r="500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</row>
    <row r="50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</row>
    <row r="502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</row>
    <row r="503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</row>
    <row r="504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</row>
    <row r="505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</row>
    <row r="506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</row>
    <row r="507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</row>
    <row r="508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</row>
    <row r="509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</row>
    <row r="510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</row>
    <row r="51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</row>
    <row r="512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</row>
    <row r="513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</row>
    <row r="514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</row>
    <row r="515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</row>
    <row r="516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</row>
    <row r="517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</row>
    <row r="518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</row>
    <row r="519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</row>
    <row r="520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</row>
    <row r="52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</row>
    <row r="522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</row>
    <row r="523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</row>
    <row r="524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</row>
    <row r="525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</row>
    <row r="526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</row>
    <row r="527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</row>
    <row r="528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</row>
    <row r="529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</row>
    <row r="530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</row>
    <row r="53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</row>
    <row r="532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</row>
    <row r="533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</row>
    <row r="534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</row>
    <row r="535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</row>
    <row r="536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</row>
    <row r="537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</row>
    <row r="538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</row>
    <row r="539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</row>
    <row r="540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</row>
    <row r="54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</row>
    <row r="542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</row>
    <row r="543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</row>
    <row r="544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</row>
    <row r="545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</row>
    <row r="546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</row>
    <row r="547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</row>
    <row r="548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</row>
    <row r="549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</row>
    <row r="550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</row>
    <row r="55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</row>
    <row r="552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</row>
    <row r="553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</row>
    <row r="554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</row>
    <row r="555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</row>
    <row r="556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</row>
    <row r="557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</row>
    <row r="558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</row>
    <row r="559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</row>
    <row r="560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</row>
    <row r="56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</row>
    <row r="562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</row>
    <row r="563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</row>
    <row r="564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</row>
    <row r="565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</row>
    <row r="566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</row>
    <row r="567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</row>
    <row r="568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</row>
    <row r="569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</row>
    <row r="570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</row>
    <row r="57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</row>
    <row r="572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</row>
    <row r="573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</row>
    <row r="574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</row>
    <row r="575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</row>
    <row r="576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</row>
    <row r="577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</row>
    <row r="578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</row>
    <row r="579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</row>
    <row r="580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</row>
    <row r="58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</row>
    <row r="582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</row>
    <row r="583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</row>
    <row r="584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</row>
    <row r="585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</row>
    <row r="586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</row>
    <row r="587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</row>
    <row r="588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</row>
    <row r="589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</row>
    <row r="590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</row>
    <row r="59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</row>
    <row r="592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</row>
    <row r="593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</row>
    <row r="594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</row>
    <row r="595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</row>
    <row r="596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</row>
    <row r="597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</row>
    <row r="598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</row>
    <row r="599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</row>
    <row r="600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</row>
    <row r="60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</row>
    <row r="602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</row>
    <row r="603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</row>
    <row r="604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</row>
    <row r="605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</row>
    <row r="606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</row>
    <row r="607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</row>
    <row r="608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</row>
    <row r="609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</row>
    <row r="610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</row>
    <row r="61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</row>
    <row r="612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</row>
    <row r="613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</row>
    <row r="614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</row>
    <row r="615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</row>
    <row r="616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</row>
    <row r="617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</row>
    <row r="618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</row>
    <row r="619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</row>
    <row r="620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</row>
    <row r="62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</row>
    <row r="622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</row>
    <row r="623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</row>
    <row r="624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</row>
    <row r="625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</row>
    <row r="626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</row>
    <row r="627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</row>
    <row r="628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</row>
    <row r="629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</row>
    <row r="630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</row>
    <row r="63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</row>
    <row r="632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</row>
    <row r="633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</row>
    <row r="634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</row>
    <row r="635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</row>
    <row r="636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</row>
    <row r="637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</row>
    <row r="638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</row>
    <row r="639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</row>
    <row r="640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</row>
    <row r="64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</row>
    <row r="642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</row>
    <row r="643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</row>
    <row r="644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</row>
    <row r="645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</row>
    <row r="646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</row>
    <row r="647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</row>
    <row r="648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</row>
    <row r="649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</row>
    <row r="650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</row>
    <row r="65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</row>
    <row r="652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</row>
    <row r="653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</row>
    <row r="654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</row>
    <row r="655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</row>
    <row r="656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</row>
    <row r="657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</row>
    <row r="658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</row>
    <row r="659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</row>
    <row r="660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</row>
    <row r="66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</row>
    <row r="662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</row>
    <row r="663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</row>
    <row r="664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</row>
    <row r="665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</row>
    <row r="666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</row>
    <row r="667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</row>
    <row r="668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</row>
    <row r="669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</row>
    <row r="670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</row>
    <row r="67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</row>
    <row r="672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</row>
    <row r="673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</row>
    <row r="674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</row>
    <row r="675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</row>
    <row r="676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</row>
    <row r="677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</row>
    <row r="678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</row>
    <row r="679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</row>
    <row r="680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</row>
    <row r="68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</row>
    <row r="682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</row>
    <row r="683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</row>
    <row r="684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</row>
    <row r="685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</row>
    <row r="686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</row>
    <row r="687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</row>
    <row r="688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</row>
    <row r="689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</row>
    <row r="690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</row>
    <row r="69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</row>
    <row r="692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</row>
    <row r="693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</row>
    <row r="694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</row>
    <row r="695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</row>
    <row r="696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</row>
    <row r="697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</row>
    <row r="698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</row>
    <row r="699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</row>
    <row r="700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</row>
    <row r="70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</row>
    <row r="702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</row>
    <row r="703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</row>
    <row r="704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</row>
    <row r="705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</row>
    <row r="706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</row>
    <row r="707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</row>
    <row r="708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</row>
    <row r="709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</row>
    <row r="710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</row>
    <row r="71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</row>
    <row r="712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</row>
    <row r="713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</row>
    <row r="714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</row>
    <row r="715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</row>
    <row r="716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</row>
    <row r="717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</row>
    <row r="718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</row>
    <row r="719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</row>
    <row r="720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</row>
    <row r="72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</row>
    <row r="722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</row>
    <row r="723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</row>
    <row r="724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</row>
    <row r="725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</row>
    <row r="726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</row>
    <row r="727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</row>
    <row r="728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</row>
    <row r="729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</row>
    <row r="730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</row>
    <row r="73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</row>
    <row r="732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</row>
    <row r="733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</row>
    <row r="734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</row>
    <row r="735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</row>
    <row r="736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</row>
    <row r="737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</row>
    <row r="738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</row>
    <row r="739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</row>
    <row r="740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</row>
    <row r="74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</row>
    <row r="742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</row>
    <row r="743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</row>
    <row r="744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</row>
    <row r="745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</row>
    <row r="746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</row>
    <row r="747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</row>
    <row r="748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</row>
    <row r="749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</row>
    <row r="750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</row>
    <row r="75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</row>
    <row r="752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</row>
    <row r="753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</row>
    <row r="754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</row>
    <row r="755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</row>
    <row r="756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</row>
    <row r="757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</row>
    <row r="758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</row>
    <row r="759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</row>
    <row r="760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</row>
    <row r="76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</row>
    <row r="762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</row>
    <row r="763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</row>
    <row r="764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</row>
    <row r="765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</row>
    <row r="766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</row>
    <row r="767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</row>
    <row r="768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</row>
    <row r="769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</row>
    <row r="770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</row>
    <row r="77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</row>
    <row r="772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</row>
    <row r="773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</row>
    <row r="774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</row>
    <row r="775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</row>
    <row r="776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</row>
    <row r="777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</row>
    <row r="778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</row>
    <row r="779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</row>
    <row r="780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</row>
    <row r="78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</row>
    <row r="782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</row>
    <row r="783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</row>
    <row r="784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</row>
    <row r="785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</row>
    <row r="786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</row>
    <row r="787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</row>
    <row r="788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</row>
    <row r="789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</row>
    <row r="790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</row>
    <row r="79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</row>
    <row r="792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</row>
    <row r="793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</row>
    <row r="794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</row>
    <row r="795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</row>
    <row r="796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</row>
    <row r="797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</row>
    <row r="798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</row>
    <row r="799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</row>
    <row r="800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</row>
    <row r="80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</row>
    <row r="802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</row>
    <row r="803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</row>
    <row r="804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</row>
    <row r="805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</row>
    <row r="806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</row>
    <row r="807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</row>
    <row r="808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</row>
    <row r="809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</row>
    <row r="810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</row>
    <row r="81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</row>
    <row r="812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</row>
    <row r="813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</row>
    <row r="814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</row>
    <row r="815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</row>
    <row r="816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</row>
    <row r="817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</row>
    <row r="818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</row>
    <row r="819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</row>
    <row r="820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</row>
    <row r="82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</row>
    <row r="822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</row>
    <row r="823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</row>
    <row r="824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</row>
    <row r="825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</row>
    <row r="826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</row>
    <row r="827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</row>
    <row r="828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</row>
    <row r="829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</row>
    <row r="830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</row>
    <row r="83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</row>
    <row r="832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</row>
    <row r="833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</row>
    <row r="834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</row>
    <row r="835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</row>
    <row r="836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</row>
    <row r="837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</row>
    <row r="838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</row>
    <row r="839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</row>
    <row r="840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</row>
    <row r="84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</row>
    <row r="842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</row>
    <row r="843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</row>
    <row r="844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</row>
    <row r="845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</row>
    <row r="846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</row>
    <row r="847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</row>
    <row r="848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</row>
    <row r="849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</row>
    <row r="850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</row>
    <row r="85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</row>
    <row r="852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</row>
    <row r="853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</row>
    <row r="854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</row>
    <row r="855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</row>
    <row r="856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</row>
    <row r="857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</row>
    <row r="858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</row>
    <row r="859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</row>
    <row r="860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</row>
    <row r="86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</row>
    <row r="862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</row>
    <row r="863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</row>
    <row r="864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</row>
    <row r="865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</row>
    <row r="866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</row>
    <row r="867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</row>
    <row r="868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</row>
    <row r="869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</row>
    <row r="870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</row>
    <row r="87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</row>
    <row r="872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</row>
    <row r="873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</row>
    <row r="874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</row>
    <row r="875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</row>
    <row r="876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</row>
    <row r="877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</row>
    <row r="878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</row>
    <row r="879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</row>
    <row r="880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</row>
    <row r="88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</row>
    <row r="882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</row>
    <row r="883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</row>
    <row r="884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</row>
    <row r="885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</row>
    <row r="886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</row>
    <row r="887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</row>
    <row r="888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</row>
    <row r="889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</row>
    <row r="890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</row>
    <row r="89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</row>
    <row r="892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</row>
    <row r="893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</row>
    <row r="894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</row>
    <row r="895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</row>
    <row r="896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</row>
    <row r="897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</row>
    <row r="898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</row>
    <row r="899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</row>
    <row r="900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</row>
    <row r="90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</row>
    <row r="902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</row>
    <row r="903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</row>
    <row r="904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</row>
    <row r="905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</row>
    <row r="906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</row>
    <row r="907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</row>
    <row r="908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</row>
    <row r="909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</row>
    <row r="910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</row>
    <row r="91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</row>
    <row r="912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</row>
    <row r="913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</row>
    <row r="914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</row>
    <row r="915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</row>
    <row r="91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</row>
    <row r="917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</row>
    <row r="918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</row>
    <row r="919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</row>
    <row r="920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</row>
    <row r="92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</row>
    <row r="922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</row>
    <row r="923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</row>
    <row r="924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</row>
    <row r="925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</row>
    <row r="92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</row>
    <row r="927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</row>
    <row r="928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</row>
    <row r="929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</row>
    <row r="930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</row>
    <row r="93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</row>
    <row r="932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</row>
    <row r="933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</row>
    <row r="934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</row>
    <row r="935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</row>
    <row r="9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</row>
    <row r="937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</row>
    <row r="938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</row>
    <row r="939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</row>
    <row r="940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</row>
    <row r="94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</row>
    <row r="942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</row>
    <row r="943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</row>
    <row r="944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</row>
    <row r="945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</row>
    <row r="94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</row>
    <row r="947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</row>
    <row r="948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</row>
    <row r="949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</row>
    <row r="950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</row>
    <row r="95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</row>
    <row r="952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</row>
    <row r="953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</row>
    <row r="954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</row>
    <row r="955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</row>
    <row r="95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</row>
    <row r="957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</row>
    <row r="958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</row>
    <row r="959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</row>
    <row r="960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</row>
    <row r="96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</row>
    <row r="962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</row>
    <row r="963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</row>
    <row r="964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</row>
    <row r="965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</row>
    <row r="96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</row>
    <row r="967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</row>
    <row r="968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</row>
    <row r="969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</row>
    <row r="970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</row>
    <row r="97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</row>
    <row r="972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</row>
    <row r="973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</row>
    <row r="974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</row>
    <row r="975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  <c r="AA975" s="165"/>
      <c r="AB975" s="165"/>
    </row>
    <row r="97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</row>
    <row r="977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</row>
    <row r="978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</row>
    <row r="979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</row>
    <row r="980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</row>
    <row r="98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</row>
    <row r="982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</row>
    <row r="983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</row>
    <row r="984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</row>
    <row r="985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</row>
    <row r="98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</row>
    <row r="987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  <c r="AA987" s="165"/>
      <c r="AB987" s="165"/>
    </row>
    <row r="988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  <c r="AA988" s="165"/>
      <c r="AB988" s="165"/>
    </row>
    <row r="989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  <c r="AA989" s="165"/>
      <c r="AB989" s="165"/>
    </row>
    <row r="990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  <c r="AA990" s="165"/>
      <c r="AB990" s="165"/>
    </row>
    <row r="99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  <c r="AA991" s="165"/>
      <c r="AB991" s="165"/>
    </row>
    <row r="992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  <c r="AA992" s="165"/>
      <c r="AB992" s="165"/>
    </row>
    <row r="993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  <c r="AA993" s="165"/>
      <c r="AB993" s="165"/>
    </row>
    <row r="994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  <c r="AA994" s="165"/>
      <c r="AB994" s="165"/>
    </row>
    <row r="995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  <c r="AA995" s="165"/>
      <c r="AB995" s="165"/>
    </row>
    <row r="996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  <c r="AA996" s="165"/>
      <c r="AB996" s="165"/>
    </row>
    <row r="997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  <c r="AA997" s="165"/>
      <c r="AB997" s="165"/>
    </row>
    <row r="998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  <c r="AA998" s="165"/>
      <c r="AB998" s="165"/>
    </row>
    <row r="999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  <c r="AA999" s="165"/>
      <c r="AB999" s="165"/>
    </row>
    <row r="1000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  <c r="AA1000" s="165"/>
      <c r="AB1000" s="165"/>
    </row>
    <row r="1001">
      <c r="A1001" s="165"/>
      <c r="B1001" s="165"/>
      <c r="C1001" s="165"/>
      <c r="D1001" s="165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  <c r="AA1001" s="165"/>
      <c r="AB1001" s="165"/>
    </row>
    <row r="1002">
      <c r="A1002" s="165"/>
      <c r="B1002" s="165"/>
      <c r="C1002" s="165"/>
      <c r="D1002" s="165"/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  <c r="AA1002" s="165"/>
      <c r="AB1002" s="165"/>
    </row>
    <row r="1003">
      <c r="A1003" s="165"/>
      <c r="B1003" s="165"/>
      <c r="C1003" s="165"/>
      <c r="D1003" s="165"/>
      <c r="E1003" s="165"/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  <c r="AA1003" s="165"/>
      <c r="AB1003" s="165"/>
    </row>
    <row r="1004">
      <c r="A1004" s="165"/>
      <c r="B1004" s="165"/>
      <c r="C1004" s="165"/>
      <c r="D1004" s="165"/>
      <c r="E1004" s="165"/>
      <c r="F1004" s="165"/>
      <c r="G1004" s="165"/>
      <c r="H1004" s="165"/>
      <c r="I1004" s="165"/>
      <c r="J1004" s="165"/>
      <c r="K1004" s="165"/>
      <c r="L1004" s="165"/>
      <c r="M1004" s="165"/>
      <c r="N1004" s="165"/>
      <c r="O1004" s="165"/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  <c r="AA1004" s="165"/>
      <c r="AB1004" s="165"/>
    </row>
    <row r="1005">
      <c r="A1005" s="165"/>
      <c r="B1005" s="165"/>
      <c r="C1005" s="165"/>
      <c r="D1005" s="165"/>
      <c r="E1005" s="165"/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5"/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  <c r="AA1005" s="165"/>
      <c r="AB1005" s="165"/>
    </row>
    <row r="1006">
      <c r="A1006" s="165"/>
      <c r="B1006" s="165"/>
      <c r="C1006" s="165"/>
      <c r="D1006" s="165"/>
      <c r="E1006" s="165"/>
      <c r="F1006" s="165"/>
      <c r="G1006" s="165"/>
      <c r="H1006" s="165"/>
      <c r="I1006" s="165"/>
      <c r="J1006" s="165"/>
      <c r="K1006" s="165"/>
      <c r="L1006" s="165"/>
      <c r="M1006" s="165"/>
      <c r="N1006" s="165"/>
      <c r="O1006" s="165"/>
      <c r="P1006" s="165"/>
      <c r="Q1006" s="165"/>
      <c r="R1006" s="165"/>
      <c r="S1006" s="165"/>
      <c r="T1006" s="165"/>
      <c r="U1006" s="165"/>
      <c r="V1006" s="165"/>
      <c r="W1006" s="165"/>
      <c r="X1006" s="165"/>
      <c r="Y1006" s="165"/>
      <c r="Z1006" s="165"/>
      <c r="AA1006" s="165"/>
      <c r="AB1006" s="165"/>
    </row>
    <row r="1007">
      <c r="A1007" s="165"/>
      <c r="B1007" s="165"/>
      <c r="C1007" s="165"/>
      <c r="D1007" s="165"/>
      <c r="E1007" s="165"/>
      <c r="F1007" s="165"/>
      <c r="G1007" s="165"/>
      <c r="H1007" s="165"/>
      <c r="I1007" s="165"/>
      <c r="J1007" s="165"/>
      <c r="K1007" s="165"/>
      <c r="L1007" s="165"/>
      <c r="M1007" s="165"/>
      <c r="N1007" s="165"/>
      <c r="O1007" s="165"/>
      <c r="P1007" s="165"/>
      <c r="Q1007" s="165"/>
      <c r="R1007" s="165"/>
      <c r="S1007" s="165"/>
      <c r="T1007" s="165"/>
      <c r="U1007" s="165"/>
      <c r="V1007" s="165"/>
      <c r="W1007" s="165"/>
      <c r="X1007" s="165"/>
      <c r="Y1007" s="165"/>
      <c r="Z1007" s="165"/>
      <c r="AA1007" s="165"/>
      <c r="AB1007" s="165"/>
    </row>
    <row r="1008">
      <c r="A1008" s="165"/>
      <c r="B1008" s="165"/>
      <c r="C1008" s="165"/>
      <c r="D1008" s="165"/>
      <c r="E1008" s="165"/>
      <c r="F1008" s="165"/>
      <c r="G1008" s="165"/>
      <c r="H1008" s="165"/>
      <c r="I1008" s="165"/>
      <c r="J1008" s="165"/>
      <c r="K1008" s="165"/>
      <c r="L1008" s="165"/>
      <c r="M1008" s="165"/>
      <c r="N1008" s="165"/>
      <c r="O1008" s="165"/>
      <c r="P1008" s="165"/>
      <c r="Q1008" s="165"/>
      <c r="R1008" s="165"/>
      <c r="S1008" s="165"/>
      <c r="T1008" s="165"/>
      <c r="U1008" s="165"/>
      <c r="V1008" s="165"/>
      <c r="W1008" s="165"/>
      <c r="X1008" s="165"/>
      <c r="Y1008" s="165"/>
      <c r="Z1008" s="165"/>
      <c r="AA1008" s="165"/>
      <c r="AB1008" s="165"/>
    </row>
    <row r="1009">
      <c r="A1009" s="165"/>
      <c r="B1009" s="165"/>
      <c r="C1009" s="165"/>
      <c r="D1009" s="165"/>
      <c r="E1009" s="165"/>
      <c r="F1009" s="165"/>
      <c r="G1009" s="165"/>
      <c r="H1009" s="165"/>
      <c r="I1009" s="165"/>
      <c r="J1009" s="165"/>
      <c r="K1009" s="165"/>
      <c r="L1009" s="165"/>
      <c r="M1009" s="165"/>
      <c r="N1009" s="165"/>
      <c r="O1009" s="165"/>
      <c r="P1009" s="165"/>
      <c r="Q1009" s="165"/>
      <c r="R1009" s="165"/>
      <c r="S1009" s="165"/>
      <c r="T1009" s="165"/>
      <c r="U1009" s="165"/>
      <c r="V1009" s="165"/>
      <c r="W1009" s="165"/>
      <c r="X1009" s="165"/>
      <c r="Y1009" s="165"/>
      <c r="Z1009" s="165"/>
      <c r="AA1009" s="165"/>
      <c r="AB1009" s="165"/>
    </row>
    <row r="1010">
      <c r="A1010" s="165"/>
      <c r="B1010" s="165"/>
      <c r="C1010" s="165"/>
      <c r="D1010" s="165"/>
      <c r="E1010" s="165"/>
      <c r="F1010" s="165"/>
      <c r="G1010" s="165"/>
      <c r="H1010" s="165"/>
      <c r="I1010" s="165"/>
      <c r="J1010" s="165"/>
      <c r="K1010" s="165"/>
      <c r="L1010" s="165"/>
      <c r="M1010" s="165"/>
      <c r="N1010" s="165"/>
      <c r="O1010" s="165"/>
      <c r="P1010" s="165"/>
      <c r="Q1010" s="165"/>
      <c r="R1010" s="165"/>
      <c r="S1010" s="165"/>
      <c r="T1010" s="165"/>
      <c r="U1010" s="165"/>
      <c r="V1010" s="165"/>
      <c r="W1010" s="165"/>
      <c r="X1010" s="165"/>
      <c r="Y1010" s="165"/>
      <c r="Z1010" s="165"/>
      <c r="AA1010" s="165"/>
      <c r="AB1010" s="165"/>
    </row>
    <row r="1011">
      <c r="A1011" s="165"/>
      <c r="B1011" s="165"/>
      <c r="C1011" s="165"/>
      <c r="D1011" s="165"/>
      <c r="E1011" s="165"/>
      <c r="F1011" s="165"/>
      <c r="G1011" s="165"/>
      <c r="H1011" s="165"/>
      <c r="I1011" s="165"/>
      <c r="J1011" s="165"/>
      <c r="K1011" s="165"/>
      <c r="L1011" s="165"/>
      <c r="M1011" s="165"/>
      <c r="N1011" s="165"/>
      <c r="O1011" s="165"/>
      <c r="P1011" s="165"/>
      <c r="Q1011" s="165"/>
      <c r="R1011" s="165"/>
      <c r="S1011" s="165"/>
      <c r="T1011" s="165"/>
      <c r="U1011" s="165"/>
      <c r="V1011" s="165"/>
      <c r="W1011" s="165"/>
      <c r="X1011" s="165"/>
      <c r="Y1011" s="165"/>
      <c r="Z1011" s="165"/>
      <c r="AA1011" s="165"/>
      <c r="AB1011" s="165"/>
    </row>
    <row r="1012">
      <c r="A1012" s="165"/>
      <c r="B1012" s="165"/>
      <c r="C1012" s="165"/>
      <c r="D1012" s="165"/>
      <c r="E1012" s="165"/>
      <c r="F1012" s="165"/>
      <c r="G1012" s="165"/>
      <c r="H1012" s="165"/>
      <c r="I1012" s="165"/>
      <c r="J1012" s="165"/>
      <c r="K1012" s="165"/>
      <c r="L1012" s="165"/>
      <c r="M1012" s="165"/>
      <c r="N1012" s="165"/>
      <c r="O1012" s="165"/>
      <c r="P1012" s="165"/>
      <c r="Q1012" s="165"/>
      <c r="R1012" s="165"/>
      <c r="S1012" s="165"/>
      <c r="T1012" s="165"/>
      <c r="U1012" s="165"/>
      <c r="V1012" s="165"/>
      <c r="W1012" s="165"/>
      <c r="X1012" s="165"/>
      <c r="Y1012" s="165"/>
      <c r="Z1012" s="165"/>
      <c r="AA1012" s="165"/>
      <c r="AB1012" s="165"/>
    </row>
    <row r="1013">
      <c r="A1013" s="165"/>
      <c r="B1013" s="165"/>
      <c r="C1013" s="165"/>
      <c r="D1013" s="165"/>
      <c r="E1013" s="165"/>
      <c r="F1013" s="165"/>
      <c r="G1013" s="165"/>
      <c r="H1013" s="165"/>
      <c r="I1013" s="165"/>
      <c r="J1013" s="165"/>
      <c r="K1013" s="165"/>
      <c r="L1013" s="165"/>
      <c r="M1013" s="165"/>
      <c r="N1013" s="165"/>
      <c r="O1013" s="165"/>
      <c r="P1013" s="165"/>
      <c r="Q1013" s="165"/>
      <c r="R1013" s="165"/>
      <c r="S1013" s="165"/>
      <c r="T1013" s="165"/>
      <c r="U1013" s="165"/>
      <c r="V1013" s="165"/>
      <c r="W1013" s="165"/>
      <c r="X1013" s="165"/>
      <c r="Y1013" s="165"/>
      <c r="Z1013" s="165"/>
      <c r="AA1013" s="165"/>
      <c r="AB1013" s="165"/>
    </row>
    <row r="1014">
      <c r="A1014" s="165"/>
      <c r="B1014" s="165"/>
      <c r="C1014" s="165"/>
      <c r="D1014" s="165"/>
      <c r="E1014" s="165"/>
      <c r="F1014" s="165"/>
      <c r="G1014" s="165"/>
      <c r="H1014" s="165"/>
      <c r="I1014" s="165"/>
      <c r="J1014" s="165"/>
      <c r="K1014" s="165"/>
      <c r="L1014" s="165"/>
      <c r="M1014" s="165"/>
      <c r="N1014" s="165"/>
      <c r="O1014" s="165"/>
      <c r="P1014" s="165"/>
      <c r="Q1014" s="165"/>
      <c r="R1014" s="165"/>
      <c r="S1014" s="165"/>
      <c r="T1014" s="165"/>
      <c r="U1014" s="165"/>
      <c r="V1014" s="165"/>
      <c r="W1014" s="165"/>
      <c r="X1014" s="165"/>
      <c r="Y1014" s="165"/>
      <c r="Z1014" s="165"/>
      <c r="AA1014" s="165"/>
      <c r="AB1014" s="165"/>
    </row>
    <row r="1015">
      <c r="A1015" s="165"/>
      <c r="B1015" s="165"/>
      <c r="C1015" s="165"/>
      <c r="D1015" s="165"/>
      <c r="E1015" s="165"/>
      <c r="F1015" s="165"/>
      <c r="G1015" s="165"/>
      <c r="H1015" s="165"/>
      <c r="I1015" s="165"/>
      <c r="J1015" s="165"/>
      <c r="K1015" s="165"/>
      <c r="L1015" s="165"/>
      <c r="M1015" s="165"/>
      <c r="N1015" s="165"/>
      <c r="O1015" s="165"/>
      <c r="P1015" s="165"/>
      <c r="Q1015" s="165"/>
      <c r="R1015" s="165"/>
      <c r="S1015" s="165"/>
      <c r="T1015" s="165"/>
      <c r="U1015" s="165"/>
      <c r="V1015" s="165"/>
      <c r="W1015" s="165"/>
      <c r="X1015" s="165"/>
      <c r="Y1015" s="165"/>
      <c r="Z1015" s="165"/>
      <c r="AA1015" s="165"/>
      <c r="AB1015" s="165"/>
    </row>
    <row r="1016">
      <c r="A1016" s="165"/>
      <c r="B1016" s="165"/>
      <c r="C1016" s="165"/>
      <c r="D1016" s="165"/>
      <c r="E1016" s="165"/>
      <c r="F1016" s="165"/>
      <c r="G1016" s="165"/>
      <c r="H1016" s="165"/>
      <c r="I1016" s="165"/>
      <c r="J1016" s="165"/>
      <c r="K1016" s="165"/>
      <c r="L1016" s="165"/>
      <c r="M1016" s="165"/>
      <c r="N1016" s="165"/>
      <c r="O1016" s="165"/>
      <c r="P1016" s="165"/>
      <c r="Q1016" s="165"/>
      <c r="R1016" s="165"/>
      <c r="S1016" s="165"/>
      <c r="T1016" s="165"/>
      <c r="U1016" s="165"/>
      <c r="V1016" s="165"/>
      <c r="W1016" s="165"/>
      <c r="X1016" s="165"/>
      <c r="Y1016" s="165"/>
      <c r="Z1016" s="165"/>
      <c r="AA1016" s="165"/>
      <c r="AB1016" s="165"/>
    </row>
    <row r="1017">
      <c r="A1017" s="165"/>
      <c r="B1017" s="165"/>
      <c r="C1017" s="165"/>
      <c r="D1017" s="165"/>
      <c r="E1017" s="165"/>
      <c r="F1017" s="165"/>
      <c r="G1017" s="165"/>
      <c r="H1017" s="165"/>
      <c r="I1017" s="165"/>
      <c r="J1017" s="165"/>
      <c r="K1017" s="165"/>
      <c r="L1017" s="165"/>
      <c r="M1017" s="165"/>
      <c r="N1017" s="165"/>
      <c r="O1017" s="165"/>
      <c r="P1017" s="165"/>
      <c r="Q1017" s="165"/>
      <c r="R1017" s="165"/>
      <c r="S1017" s="165"/>
      <c r="T1017" s="165"/>
      <c r="U1017" s="165"/>
      <c r="V1017" s="165"/>
      <c r="W1017" s="165"/>
      <c r="X1017" s="165"/>
      <c r="Y1017" s="165"/>
      <c r="Z1017" s="165"/>
      <c r="AA1017" s="165"/>
      <c r="AB1017" s="165"/>
    </row>
    <row r="1018">
      <c r="A1018" s="165"/>
      <c r="B1018" s="165"/>
      <c r="C1018" s="165"/>
      <c r="D1018" s="165"/>
      <c r="E1018" s="165"/>
      <c r="F1018" s="165"/>
      <c r="G1018" s="165"/>
      <c r="H1018" s="165"/>
      <c r="I1018" s="165"/>
      <c r="J1018" s="165"/>
      <c r="K1018" s="165"/>
      <c r="L1018" s="165"/>
      <c r="M1018" s="165"/>
      <c r="N1018" s="165"/>
      <c r="O1018" s="165"/>
      <c r="P1018" s="165"/>
      <c r="Q1018" s="165"/>
      <c r="R1018" s="165"/>
      <c r="S1018" s="165"/>
      <c r="T1018" s="165"/>
      <c r="U1018" s="165"/>
      <c r="V1018" s="165"/>
      <c r="W1018" s="165"/>
      <c r="X1018" s="165"/>
      <c r="Y1018" s="165"/>
      <c r="Z1018" s="165"/>
      <c r="AA1018" s="165"/>
      <c r="AB1018" s="165"/>
    </row>
    <row r="1019">
      <c r="A1019" s="165"/>
      <c r="B1019" s="165"/>
      <c r="C1019" s="165"/>
      <c r="D1019" s="165"/>
      <c r="E1019" s="165"/>
      <c r="F1019" s="165"/>
      <c r="G1019" s="165"/>
      <c r="H1019" s="165"/>
      <c r="I1019" s="165"/>
      <c r="J1019" s="165"/>
      <c r="K1019" s="165"/>
      <c r="L1019" s="165"/>
      <c r="M1019" s="165"/>
      <c r="N1019" s="165"/>
      <c r="O1019" s="165"/>
      <c r="P1019" s="165"/>
      <c r="Q1019" s="165"/>
      <c r="R1019" s="165"/>
      <c r="S1019" s="165"/>
      <c r="T1019" s="165"/>
      <c r="U1019" s="165"/>
      <c r="V1019" s="165"/>
      <c r="W1019" s="165"/>
      <c r="X1019" s="165"/>
      <c r="Y1019" s="165"/>
      <c r="Z1019" s="165"/>
      <c r="AA1019" s="165"/>
      <c r="AB1019" s="165"/>
    </row>
    <row r="1020">
      <c r="A1020" s="165"/>
      <c r="B1020" s="165"/>
      <c r="C1020" s="165"/>
      <c r="D1020" s="165"/>
      <c r="E1020" s="165"/>
      <c r="F1020" s="165"/>
      <c r="G1020" s="165"/>
      <c r="H1020" s="165"/>
      <c r="I1020" s="165"/>
      <c r="J1020" s="165"/>
      <c r="K1020" s="165"/>
      <c r="L1020" s="165"/>
      <c r="M1020" s="165"/>
      <c r="N1020" s="165"/>
      <c r="O1020" s="165"/>
      <c r="P1020" s="165"/>
      <c r="Q1020" s="165"/>
      <c r="R1020" s="165"/>
      <c r="S1020" s="165"/>
      <c r="T1020" s="165"/>
      <c r="U1020" s="165"/>
      <c r="V1020" s="165"/>
      <c r="W1020" s="165"/>
      <c r="X1020" s="165"/>
      <c r="Y1020" s="165"/>
      <c r="Z1020" s="165"/>
      <c r="AA1020" s="165"/>
      <c r="AB1020" s="165"/>
    </row>
    <row r="1021">
      <c r="A1021" s="165"/>
      <c r="B1021" s="165"/>
      <c r="C1021" s="165"/>
      <c r="D1021" s="165"/>
      <c r="E1021" s="165"/>
      <c r="F1021" s="165"/>
      <c r="G1021" s="165"/>
      <c r="H1021" s="165"/>
      <c r="I1021" s="165"/>
      <c r="J1021" s="165"/>
      <c r="K1021" s="165"/>
      <c r="L1021" s="165"/>
      <c r="M1021" s="165"/>
      <c r="N1021" s="165"/>
      <c r="O1021" s="165"/>
      <c r="P1021" s="165"/>
      <c r="Q1021" s="165"/>
      <c r="R1021" s="165"/>
      <c r="S1021" s="165"/>
      <c r="T1021" s="165"/>
      <c r="U1021" s="165"/>
      <c r="V1021" s="165"/>
      <c r="W1021" s="165"/>
      <c r="X1021" s="165"/>
      <c r="Y1021" s="165"/>
      <c r="Z1021" s="165"/>
      <c r="AA1021" s="165"/>
      <c r="AB1021" s="165"/>
    </row>
    <row r="1022">
      <c r="A1022" s="165"/>
      <c r="B1022" s="165"/>
      <c r="C1022" s="165"/>
      <c r="D1022" s="165"/>
      <c r="E1022" s="165"/>
      <c r="F1022" s="165"/>
      <c r="G1022" s="165"/>
      <c r="H1022" s="165"/>
      <c r="I1022" s="165"/>
      <c r="J1022" s="165"/>
      <c r="K1022" s="165"/>
      <c r="L1022" s="165"/>
      <c r="M1022" s="165"/>
      <c r="N1022" s="165"/>
      <c r="O1022" s="165"/>
      <c r="P1022" s="165"/>
      <c r="Q1022" s="165"/>
      <c r="R1022" s="165"/>
      <c r="S1022" s="165"/>
      <c r="T1022" s="165"/>
      <c r="U1022" s="165"/>
      <c r="V1022" s="165"/>
      <c r="W1022" s="165"/>
      <c r="X1022" s="165"/>
      <c r="Y1022" s="165"/>
      <c r="Z1022" s="165"/>
      <c r="AA1022" s="165"/>
      <c r="AB1022" s="165"/>
    </row>
    <row r="1023">
      <c r="A1023" s="165"/>
      <c r="B1023" s="165"/>
      <c r="C1023" s="165"/>
      <c r="D1023" s="165"/>
      <c r="E1023" s="165"/>
      <c r="F1023" s="165"/>
      <c r="G1023" s="165"/>
      <c r="H1023" s="165"/>
      <c r="I1023" s="165"/>
      <c r="J1023" s="165"/>
      <c r="K1023" s="165"/>
      <c r="L1023" s="165"/>
      <c r="M1023" s="165"/>
      <c r="N1023" s="165"/>
      <c r="O1023" s="165"/>
      <c r="P1023" s="165"/>
      <c r="Q1023" s="165"/>
      <c r="R1023" s="165"/>
      <c r="S1023" s="165"/>
      <c r="T1023" s="165"/>
      <c r="U1023" s="165"/>
      <c r="V1023" s="165"/>
      <c r="W1023" s="165"/>
      <c r="X1023" s="165"/>
      <c r="Y1023" s="165"/>
      <c r="Z1023" s="165"/>
      <c r="AA1023" s="165"/>
      <c r="AB1023" s="165"/>
    </row>
    <row r="1024">
      <c r="A1024" s="165"/>
      <c r="B1024" s="165"/>
      <c r="C1024" s="165"/>
      <c r="D1024" s="165"/>
      <c r="E1024" s="165"/>
      <c r="F1024" s="165"/>
      <c r="G1024" s="165"/>
      <c r="H1024" s="165"/>
      <c r="I1024" s="165"/>
      <c r="J1024" s="165"/>
      <c r="K1024" s="165"/>
      <c r="L1024" s="165"/>
      <c r="M1024" s="165"/>
      <c r="N1024" s="165"/>
      <c r="O1024" s="165"/>
      <c r="P1024" s="165"/>
      <c r="Q1024" s="165"/>
      <c r="R1024" s="165"/>
      <c r="S1024" s="165"/>
      <c r="T1024" s="165"/>
      <c r="U1024" s="165"/>
      <c r="V1024" s="165"/>
      <c r="W1024" s="165"/>
      <c r="X1024" s="165"/>
      <c r="Y1024" s="165"/>
      <c r="Z1024" s="165"/>
      <c r="AA1024" s="165"/>
      <c r="AB1024" s="165"/>
    </row>
    <row r="1025">
      <c r="A1025" s="165"/>
      <c r="B1025" s="165"/>
      <c r="C1025" s="165"/>
      <c r="D1025" s="165"/>
      <c r="E1025" s="165"/>
      <c r="F1025" s="165"/>
      <c r="G1025" s="165"/>
      <c r="H1025" s="165"/>
      <c r="I1025" s="165"/>
      <c r="J1025" s="165"/>
      <c r="K1025" s="165"/>
      <c r="L1025" s="165"/>
      <c r="M1025" s="165"/>
      <c r="N1025" s="165"/>
      <c r="O1025" s="165"/>
      <c r="P1025" s="165"/>
      <c r="Q1025" s="165"/>
      <c r="R1025" s="165"/>
      <c r="S1025" s="165"/>
      <c r="T1025" s="165"/>
      <c r="U1025" s="165"/>
      <c r="V1025" s="165"/>
      <c r="W1025" s="165"/>
      <c r="X1025" s="165"/>
      <c r="Y1025" s="165"/>
      <c r="Z1025" s="165"/>
      <c r="AA1025" s="165"/>
      <c r="AB1025" s="165"/>
    </row>
    <row r="1026">
      <c r="A1026" s="165"/>
      <c r="B1026" s="165"/>
      <c r="C1026" s="165"/>
      <c r="D1026" s="165"/>
      <c r="E1026" s="165"/>
      <c r="F1026" s="165"/>
      <c r="G1026" s="165"/>
      <c r="H1026" s="165"/>
      <c r="I1026" s="165"/>
      <c r="J1026" s="165"/>
      <c r="K1026" s="165"/>
      <c r="L1026" s="165"/>
      <c r="M1026" s="165"/>
      <c r="N1026" s="165"/>
      <c r="O1026" s="165"/>
      <c r="P1026" s="165"/>
      <c r="Q1026" s="165"/>
      <c r="R1026" s="165"/>
      <c r="S1026" s="165"/>
      <c r="T1026" s="165"/>
      <c r="U1026" s="165"/>
      <c r="V1026" s="165"/>
      <c r="W1026" s="165"/>
      <c r="X1026" s="165"/>
      <c r="Y1026" s="165"/>
      <c r="Z1026" s="165"/>
      <c r="AA1026" s="165"/>
      <c r="AB1026" s="165"/>
    </row>
    <row r="1027">
      <c r="A1027" s="165"/>
      <c r="B1027" s="165"/>
      <c r="C1027" s="165"/>
      <c r="D1027" s="165"/>
      <c r="E1027" s="165"/>
      <c r="F1027" s="165"/>
      <c r="G1027" s="165"/>
      <c r="H1027" s="165"/>
      <c r="I1027" s="165"/>
      <c r="J1027" s="165"/>
      <c r="K1027" s="165"/>
      <c r="L1027" s="165"/>
      <c r="M1027" s="165"/>
      <c r="N1027" s="165"/>
      <c r="O1027" s="165"/>
      <c r="P1027" s="165"/>
      <c r="Q1027" s="165"/>
      <c r="R1027" s="165"/>
      <c r="S1027" s="165"/>
      <c r="T1027" s="165"/>
      <c r="U1027" s="165"/>
      <c r="V1027" s="165"/>
      <c r="W1027" s="165"/>
      <c r="X1027" s="165"/>
      <c r="Y1027" s="165"/>
      <c r="Z1027" s="165"/>
      <c r="AA1027" s="165"/>
      <c r="AB1027" s="165"/>
    </row>
    <row r="1028">
      <c r="A1028" s="165"/>
      <c r="B1028" s="165"/>
      <c r="C1028" s="165"/>
      <c r="D1028" s="165"/>
      <c r="E1028" s="165"/>
      <c r="F1028" s="165"/>
      <c r="G1028" s="165"/>
      <c r="H1028" s="165"/>
      <c r="I1028" s="165"/>
      <c r="J1028" s="165"/>
      <c r="K1028" s="165"/>
      <c r="L1028" s="165"/>
      <c r="M1028" s="165"/>
      <c r="N1028" s="165"/>
      <c r="O1028" s="165"/>
      <c r="P1028" s="165"/>
      <c r="Q1028" s="165"/>
      <c r="R1028" s="165"/>
      <c r="S1028" s="165"/>
      <c r="T1028" s="165"/>
      <c r="U1028" s="165"/>
      <c r="V1028" s="165"/>
      <c r="W1028" s="165"/>
      <c r="X1028" s="165"/>
      <c r="Y1028" s="165"/>
      <c r="Z1028" s="165"/>
      <c r="AA1028" s="165"/>
      <c r="AB1028" s="165"/>
    </row>
    <row r="1029">
      <c r="A1029" s="165"/>
      <c r="B1029" s="165"/>
      <c r="C1029" s="165"/>
      <c r="D1029" s="165"/>
      <c r="E1029" s="165"/>
      <c r="F1029" s="165"/>
      <c r="G1029" s="165"/>
      <c r="H1029" s="165"/>
      <c r="I1029" s="165"/>
      <c r="J1029" s="165"/>
      <c r="K1029" s="165"/>
      <c r="L1029" s="165"/>
      <c r="M1029" s="165"/>
      <c r="N1029" s="165"/>
      <c r="O1029" s="165"/>
      <c r="P1029" s="165"/>
      <c r="Q1029" s="165"/>
      <c r="R1029" s="165"/>
      <c r="S1029" s="165"/>
      <c r="T1029" s="165"/>
      <c r="U1029" s="165"/>
      <c r="V1029" s="165"/>
      <c r="W1029" s="165"/>
      <c r="X1029" s="165"/>
      <c r="Y1029" s="165"/>
      <c r="Z1029" s="165"/>
      <c r="AA1029" s="165"/>
      <c r="AB1029" s="165"/>
    </row>
    <row r="1030">
      <c r="A1030" s="165"/>
      <c r="B1030" s="165"/>
      <c r="C1030" s="165"/>
      <c r="D1030" s="165"/>
      <c r="E1030" s="165"/>
      <c r="F1030" s="165"/>
      <c r="G1030" s="165"/>
      <c r="H1030" s="165"/>
      <c r="I1030" s="165"/>
      <c r="J1030" s="165"/>
      <c r="K1030" s="165"/>
      <c r="L1030" s="165"/>
      <c r="M1030" s="165"/>
      <c r="N1030" s="165"/>
      <c r="O1030" s="165"/>
      <c r="P1030" s="165"/>
      <c r="Q1030" s="165"/>
      <c r="R1030" s="165"/>
      <c r="S1030" s="165"/>
      <c r="T1030" s="165"/>
      <c r="U1030" s="165"/>
      <c r="V1030" s="165"/>
      <c r="W1030" s="165"/>
      <c r="X1030" s="165"/>
      <c r="Y1030" s="165"/>
      <c r="Z1030" s="165"/>
      <c r="AA1030" s="165"/>
      <c r="AB1030" s="165"/>
    </row>
    <row r="1031">
      <c r="A1031" s="165"/>
      <c r="B1031" s="165"/>
      <c r="C1031" s="165"/>
      <c r="D1031" s="165"/>
      <c r="E1031" s="165"/>
      <c r="F1031" s="165"/>
      <c r="G1031" s="165"/>
      <c r="H1031" s="165"/>
      <c r="I1031" s="165"/>
      <c r="J1031" s="165"/>
      <c r="K1031" s="165"/>
      <c r="L1031" s="165"/>
      <c r="M1031" s="165"/>
      <c r="N1031" s="165"/>
      <c r="O1031" s="165"/>
      <c r="P1031" s="165"/>
      <c r="Q1031" s="165"/>
      <c r="R1031" s="165"/>
      <c r="S1031" s="165"/>
      <c r="T1031" s="165"/>
      <c r="U1031" s="165"/>
      <c r="V1031" s="165"/>
      <c r="W1031" s="165"/>
      <c r="X1031" s="165"/>
      <c r="Y1031" s="165"/>
      <c r="Z1031" s="165"/>
      <c r="AA1031" s="165"/>
      <c r="AB1031" s="165"/>
    </row>
    <row r="1032">
      <c r="A1032" s="165"/>
      <c r="B1032" s="165"/>
      <c r="C1032" s="165"/>
      <c r="D1032" s="165"/>
      <c r="E1032" s="165"/>
      <c r="F1032" s="165"/>
      <c r="G1032" s="165"/>
      <c r="H1032" s="165"/>
      <c r="I1032" s="165"/>
      <c r="J1032" s="165"/>
      <c r="K1032" s="165"/>
      <c r="L1032" s="165"/>
      <c r="M1032" s="165"/>
      <c r="N1032" s="165"/>
      <c r="O1032" s="165"/>
      <c r="P1032" s="165"/>
      <c r="Q1032" s="165"/>
      <c r="R1032" s="165"/>
      <c r="S1032" s="165"/>
      <c r="T1032" s="165"/>
      <c r="U1032" s="165"/>
      <c r="V1032" s="165"/>
      <c r="W1032" s="165"/>
      <c r="X1032" s="165"/>
      <c r="Y1032" s="165"/>
      <c r="Z1032" s="165"/>
      <c r="AA1032" s="165"/>
      <c r="AB1032" s="165"/>
    </row>
    <row r="1033">
      <c r="A1033" s="165"/>
      <c r="B1033" s="165"/>
      <c r="C1033" s="165"/>
      <c r="D1033" s="165"/>
      <c r="E1033" s="165"/>
      <c r="F1033" s="165"/>
      <c r="G1033" s="165"/>
      <c r="H1033" s="165"/>
      <c r="I1033" s="165"/>
      <c r="J1033" s="165"/>
      <c r="K1033" s="165"/>
      <c r="L1033" s="165"/>
      <c r="M1033" s="165"/>
      <c r="N1033" s="165"/>
      <c r="O1033" s="165"/>
      <c r="P1033" s="165"/>
      <c r="Q1033" s="165"/>
      <c r="R1033" s="165"/>
      <c r="S1033" s="165"/>
      <c r="T1033" s="165"/>
      <c r="U1033" s="165"/>
      <c r="V1033" s="165"/>
      <c r="W1033" s="165"/>
      <c r="X1033" s="165"/>
      <c r="Y1033" s="165"/>
      <c r="Z1033" s="165"/>
      <c r="AA1033" s="165"/>
      <c r="AB1033" s="165"/>
    </row>
    <row r="1034">
      <c r="A1034" s="165"/>
      <c r="B1034" s="165"/>
      <c r="C1034" s="165"/>
      <c r="D1034" s="165"/>
      <c r="E1034" s="165"/>
      <c r="F1034" s="165"/>
      <c r="G1034" s="165"/>
      <c r="H1034" s="165"/>
      <c r="I1034" s="165"/>
      <c r="J1034" s="165"/>
      <c r="K1034" s="165"/>
      <c r="L1034" s="165"/>
      <c r="M1034" s="165"/>
      <c r="N1034" s="165"/>
      <c r="O1034" s="165"/>
      <c r="P1034" s="165"/>
      <c r="Q1034" s="165"/>
      <c r="R1034" s="165"/>
      <c r="S1034" s="165"/>
      <c r="T1034" s="165"/>
      <c r="U1034" s="165"/>
      <c r="V1034" s="165"/>
      <c r="W1034" s="165"/>
      <c r="X1034" s="165"/>
      <c r="Y1034" s="165"/>
      <c r="Z1034" s="165"/>
      <c r="AA1034" s="165"/>
      <c r="AB1034" s="165"/>
    </row>
    <row r="1035">
      <c r="A1035" s="165"/>
      <c r="B1035" s="165"/>
      <c r="C1035" s="165"/>
      <c r="D1035" s="165"/>
      <c r="E1035" s="165"/>
      <c r="F1035" s="165"/>
      <c r="G1035" s="165"/>
      <c r="H1035" s="165"/>
      <c r="I1035" s="165"/>
      <c r="J1035" s="165"/>
      <c r="K1035" s="165"/>
      <c r="L1035" s="165"/>
      <c r="M1035" s="165"/>
      <c r="N1035" s="165"/>
      <c r="O1035" s="165"/>
      <c r="P1035" s="165"/>
      <c r="Q1035" s="165"/>
      <c r="R1035" s="165"/>
      <c r="S1035" s="165"/>
      <c r="T1035" s="165"/>
      <c r="U1035" s="165"/>
      <c r="V1035" s="165"/>
      <c r="W1035" s="165"/>
      <c r="X1035" s="165"/>
      <c r="Y1035" s="165"/>
      <c r="Z1035" s="165"/>
      <c r="AA1035" s="165"/>
      <c r="AB1035" s="165"/>
    </row>
    <row r="1036">
      <c r="A1036" s="165"/>
      <c r="B1036" s="165"/>
      <c r="C1036" s="165"/>
      <c r="D1036" s="165"/>
      <c r="E1036" s="165"/>
      <c r="F1036" s="165"/>
      <c r="G1036" s="165"/>
      <c r="H1036" s="165"/>
      <c r="I1036" s="165"/>
      <c r="J1036" s="165"/>
      <c r="K1036" s="165"/>
      <c r="L1036" s="165"/>
      <c r="M1036" s="165"/>
      <c r="N1036" s="165"/>
      <c r="O1036" s="165"/>
      <c r="P1036" s="165"/>
      <c r="Q1036" s="165"/>
      <c r="R1036" s="165"/>
      <c r="S1036" s="165"/>
      <c r="T1036" s="165"/>
      <c r="U1036" s="165"/>
      <c r="V1036" s="165"/>
      <c r="W1036" s="165"/>
      <c r="X1036" s="165"/>
      <c r="Y1036" s="165"/>
      <c r="Z1036" s="165"/>
      <c r="AA1036" s="165"/>
      <c r="AB1036" s="165"/>
    </row>
    <row r="1037">
      <c r="A1037" s="165"/>
      <c r="B1037" s="165"/>
      <c r="C1037" s="165"/>
      <c r="D1037" s="165"/>
      <c r="E1037" s="165"/>
      <c r="F1037" s="165"/>
      <c r="G1037" s="165"/>
      <c r="H1037" s="165"/>
      <c r="I1037" s="165"/>
      <c r="J1037" s="165"/>
      <c r="K1037" s="165"/>
      <c r="L1037" s="165"/>
      <c r="M1037" s="165"/>
      <c r="N1037" s="165"/>
      <c r="O1037" s="165"/>
      <c r="P1037" s="165"/>
      <c r="Q1037" s="165"/>
      <c r="R1037" s="165"/>
      <c r="S1037" s="165"/>
      <c r="T1037" s="165"/>
      <c r="U1037" s="165"/>
      <c r="V1037" s="165"/>
      <c r="W1037" s="165"/>
      <c r="X1037" s="165"/>
      <c r="Y1037" s="165"/>
      <c r="Z1037" s="165"/>
      <c r="AA1037" s="165"/>
      <c r="AB1037" s="165"/>
    </row>
  </sheetData>
  <autoFilter ref="$B$5:$N$74">
    <filterColumn colId="9">
      <filters>
        <filter val="No"/>
      </filters>
    </filterColumn>
  </autoFilter>
  <mergeCells count="2">
    <mergeCell ref="B2:C2"/>
    <mergeCell ref="C74:L74"/>
  </mergeCells>
  <hyperlinks>
    <hyperlink r:id="rId1" ref="I6"/>
    <hyperlink r:id="rId2" ref="I7"/>
    <hyperlink r:id="rId3" ref="I8"/>
    <hyperlink r:id="rId4" ref="I9"/>
    <hyperlink r:id="rId5" ref="I10"/>
    <hyperlink r:id="rId6" ref="I11"/>
    <hyperlink r:id="rId7" ref="I12"/>
    <hyperlink r:id="rId8" ref="I13"/>
    <hyperlink r:id="rId9" ref="I14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location="drillmenu" ref="H25"/>
    <hyperlink r:id="rId20" ref="I25"/>
    <hyperlink r:id="rId21" ref="I26"/>
    <hyperlink r:id="rId22" ref="I29"/>
    <hyperlink r:id="rId23" ref="I33"/>
    <hyperlink r:id="rId24" ref="I36"/>
    <hyperlink r:id="rId25" ref="I37"/>
    <hyperlink r:id="rId26" ref="I39"/>
    <hyperlink r:id="rId27" ref="I40"/>
    <hyperlink r:id="rId28" ref="E42"/>
    <hyperlink r:id="rId29" location="drillmenu" ref="E43"/>
    <hyperlink r:id="rId30" ref="I43"/>
    <hyperlink r:id="rId31" location="drillmenu" ref="E44"/>
    <hyperlink r:id="rId32" ref="I44"/>
    <hyperlink r:id="rId33" ref="I45"/>
    <hyperlink r:id="rId34" ref="I46"/>
    <hyperlink r:id="rId35" ref="I48"/>
    <hyperlink r:id="rId36" ref="I51"/>
    <hyperlink r:id="rId37" ref="I53"/>
    <hyperlink r:id="rId38" location="drillmenu" ref="H58"/>
    <hyperlink r:id="rId39" ref="I61"/>
    <hyperlink r:id="rId40" ref="I62"/>
    <hyperlink r:id="rId41" ref="I73"/>
    <hyperlink r:id="rId42" location="gid=648457307" ref="C74"/>
  </hyperlinks>
  <printOptions/>
  <pageMargins bottom="0.75" footer="0.0" header="0.0" left="0.7" right="0.7" top="0.75"/>
  <pageSetup orientation="landscape"/>
  <drawing r:id="rId4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3" max="3" width="43.25"/>
    <col customWidth="1" min="4" max="4" width="29.13"/>
    <col customWidth="1" min="5" max="5" width="32.63"/>
    <col customWidth="1" min="6" max="6" width="48.13"/>
    <col customWidth="1" min="7" max="7" width="36.75"/>
    <col customWidth="1" min="9" max="9" width="37.0"/>
    <col customWidth="1" min="12" max="12" width="20.25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>
      <c r="A2" s="98"/>
      <c r="B2" s="698" t="s">
        <v>2627</v>
      </c>
      <c r="C2" s="11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15.0" customHeight="1">
      <c r="A4" s="98"/>
      <c r="B4" s="701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>
      <c r="A5" s="98"/>
      <c r="B5" s="788" t="s">
        <v>34</v>
      </c>
      <c r="C5" s="789" t="s">
        <v>2449</v>
      </c>
      <c r="D5" s="789" t="s">
        <v>921</v>
      </c>
      <c r="E5" s="789" t="s">
        <v>35</v>
      </c>
      <c r="F5" s="789" t="s">
        <v>2450</v>
      </c>
      <c r="G5" s="789" t="s">
        <v>2451</v>
      </c>
      <c r="H5" s="789" t="s">
        <v>2452</v>
      </c>
      <c r="I5" s="789" t="s">
        <v>960</v>
      </c>
      <c r="J5" s="789" t="s">
        <v>961</v>
      </c>
      <c r="K5" s="789" t="s">
        <v>2453</v>
      </c>
      <c r="L5" s="789" t="s">
        <v>2454</v>
      </c>
      <c r="M5" s="716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98"/>
      <c r="B6" s="703">
        <v>45737.0</v>
      </c>
      <c r="C6" s="704" t="s">
        <v>2628</v>
      </c>
      <c r="D6" s="790" t="s">
        <v>965</v>
      </c>
      <c r="E6" s="706" t="s">
        <v>2629</v>
      </c>
      <c r="F6" s="704" t="s">
        <v>2630</v>
      </c>
      <c r="G6" s="704"/>
      <c r="H6" s="791" t="s">
        <v>95</v>
      </c>
      <c r="I6" s="704" t="s">
        <v>95</v>
      </c>
      <c r="J6" s="707">
        <v>1.25</v>
      </c>
      <c r="K6" s="790" t="s">
        <v>2404</v>
      </c>
      <c r="L6" s="709">
        <v>45741.0</v>
      </c>
      <c r="M6" s="716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>
      <c r="A7" s="98"/>
      <c r="B7" s="703">
        <v>45814.0</v>
      </c>
      <c r="C7" s="704" t="s">
        <v>2631</v>
      </c>
      <c r="D7" s="790"/>
      <c r="E7" s="706"/>
      <c r="F7" s="704" t="s">
        <v>2632</v>
      </c>
      <c r="G7" s="704"/>
      <c r="H7" s="791" t="s">
        <v>95</v>
      </c>
      <c r="I7" s="704" t="s">
        <v>95</v>
      </c>
      <c r="J7" s="707">
        <v>2.25</v>
      </c>
      <c r="K7" s="790" t="s">
        <v>2407</v>
      </c>
      <c r="L7" s="709"/>
      <c r="M7" s="716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>
      <c r="A8" s="98"/>
      <c r="B8" s="703">
        <v>45815.0</v>
      </c>
      <c r="C8" s="704" t="s">
        <v>2633</v>
      </c>
      <c r="D8" s="790"/>
      <c r="E8" s="706"/>
      <c r="F8" s="704" t="s">
        <v>2634</v>
      </c>
      <c r="G8" s="704"/>
      <c r="H8" s="791" t="s">
        <v>95</v>
      </c>
      <c r="I8" s="704" t="s">
        <v>95</v>
      </c>
      <c r="J8" s="707">
        <v>0.8</v>
      </c>
      <c r="K8" s="790" t="s">
        <v>2407</v>
      </c>
      <c r="L8" s="709"/>
      <c r="M8" s="716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>
      <c r="A9" s="98"/>
      <c r="B9" s="703">
        <v>45820.0</v>
      </c>
      <c r="C9" s="704" t="s">
        <v>2633</v>
      </c>
      <c r="D9" s="790"/>
      <c r="E9" s="706"/>
      <c r="F9" s="704" t="s">
        <v>2634</v>
      </c>
      <c r="G9" s="704"/>
      <c r="H9" s="791" t="s">
        <v>95</v>
      </c>
      <c r="I9" s="704" t="s">
        <v>95</v>
      </c>
      <c r="J9" s="707">
        <v>0.5</v>
      </c>
      <c r="K9" s="790" t="s">
        <v>2407</v>
      </c>
      <c r="L9" s="704"/>
      <c r="M9" s="716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>
      <c r="A10" s="98"/>
      <c r="B10" s="703">
        <v>45819.0</v>
      </c>
      <c r="C10" s="704" t="s">
        <v>2633</v>
      </c>
      <c r="D10" s="790"/>
      <c r="E10" s="706"/>
      <c r="F10" s="704" t="s">
        <v>2634</v>
      </c>
      <c r="G10" s="704"/>
      <c r="H10" s="791" t="s">
        <v>95</v>
      </c>
      <c r="I10" s="704" t="s">
        <v>95</v>
      </c>
      <c r="J10" s="707">
        <v>233.45</v>
      </c>
      <c r="K10" s="790" t="s">
        <v>2407</v>
      </c>
      <c r="L10" s="709"/>
      <c r="M10" s="716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>
      <c r="A11" s="98"/>
      <c r="B11" s="703">
        <v>45825.0</v>
      </c>
      <c r="C11" s="704" t="s">
        <v>2635</v>
      </c>
      <c r="D11" s="790"/>
      <c r="E11" s="706"/>
      <c r="F11" s="704" t="s">
        <v>2636</v>
      </c>
      <c r="G11" s="704"/>
      <c r="H11" s="791" t="s">
        <v>95</v>
      </c>
      <c r="I11" s="704" t="s">
        <v>95</v>
      </c>
      <c r="J11" s="707">
        <v>13350.2</v>
      </c>
      <c r="K11" s="790" t="s">
        <v>2404</v>
      </c>
      <c r="L11" s="709">
        <v>45849.0</v>
      </c>
      <c r="M11" s="716" t="s">
        <v>2637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>
      <c r="A12" s="98"/>
      <c r="B12" s="703">
        <v>45849.0</v>
      </c>
      <c r="C12" s="704" t="s">
        <v>2638</v>
      </c>
      <c r="D12" s="790"/>
      <c r="E12" s="706"/>
      <c r="F12" s="704" t="s">
        <v>2634</v>
      </c>
      <c r="G12" s="704"/>
      <c r="H12" s="791" t="s">
        <v>95</v>
      </c>
      <c r="I12" s="704" t="s">
        <v>95</v>
      </c>
      <c r="J12" s="707">
        <v>23945.98</v>
      </c>
      <c r="K12" s="790" t="s">
        <v>2407</v>
      </c>
      <c r="L12" s="709"/>
      <c r="M12" s="716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>
      <c r="A13" s="98"/>
      <c r="B13" s="703">
        <v>45854.0</v>
      </c>
      <c r="C13" s="704" t="s">
        <v>2639</v>
      </c>
      <c r="D13" s="790"/>
      <c r="E13" s="706"/>
      <c r="F13" s="704" t="s">
        <v>2636</v>
      </c>
      <c r="G13" s="704"/>
      <c r="H13" s="791" t="s">
        <v>95</v>
      </c>
      <c r="I13" s="704" t="s">
        <v>95</v>
      </c>
      <c r="J13" s="707">
        <v>60179.83999999985</v>
      </c>
      <c r="K13" s="790" t="s">
        <v>2407</v>
      </c>
      <c r="L13" s="709"/>
      <c r="M13" s="716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>
      <c r="A14" s="98"/>
      <c r="B14" s="703">
        <v>45856.0</v>
      </c>
      <c r="C14" s="704" t="s">
        <v>2640</v>
      </c>
      <c r="D14" s="790"/>
      <c r="E14" s="706"/>
      <c r="F14" s="704" t="s">
        <v>2634</v>
      </c>
      <c r="G14" s="704"/>
      <c r="H14" s="791" t="s">
        <v>95</v>
      </c>
      <c r="I14" s="704" t="s">
        <v>95</v>
      </c>
      <c r="J14" s="707">
        <v>33635.88</v>
      </c>
      <c r="K14" s="790" t="s">
        <v>2407</v>
      </c>
      <c r="L14" s="709"/>
      <c r="M14" s="716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>
      <c r="B15" s="703">
        <v>45857.0</v>
      </c>
      <c r="C15" s="704" t="s">
        <v>2641</v>
      </c>
      <c r="D15" s="790"/>
      <c r="E15" s="706"/>
      <c r="F15" s="704" t="s">
        <v>2634</v>
      </c>
      <c r="G15" s="704"/>
      <c r="H15" s="791" t="s">
        <v>95</v>
      </c>
      <c r="I15" s="704" t="s">
        <v>95</v>
      </c>
      <c r="J15" s="707">
        <v>1912.66</v>
      </c>
      <c r="K15" s="790" t="s">
        <v>2407</v>
      </c>
      <c r="L15" s="709"/>
      <c r="M15" s="792"/>
    </row>
    <row r="16">
      <c r="A16" s="98"/>
      <c r="B16" s="703">
        <v>45867.0</v>
      </c>
      <c r="C16" s="704" t="s">
        <v>2635</v>
      </c>
      <c r="D16" s="790"/>
      <c r="E16" s="706"/>
      <c r="F16" s="704" t="s">
        <v>2636</v>
      </c>
      <c r="G16" s="704"/>
      <c r="H16" s="791" t="s">
        <v>95</v>
      </c>
      <c r="I16" s="704" t="s">
        <v>95</v>
      </c>
      <c r="J16" s="707">
        <v>4.54</v>
      </c>
      <c r="K16" s="790" t="s">
        <v>2407</v>
      </c>
      <c r="L16" s="709"/>
      <c r="M16" s="716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>
      <c r="A17" s="98"/>
      <c r="B17" s="703">
        <v>45868.0</v>
      </c>
      <c r="C17" s="704" t="s">
        <v>2641</v>
      </c>
      <c r="D17" s="790"/>
      <c r="E17" s="706"/>
      <c r="F17" s="704" t="s">
        <v>2634</v>
      </c>
      <c r="G17" s="704"/>
      <c r="H17" s="791" t="s">
        <v>95</v>
      </c>
      <c r="I17" s="704" t="s">
        <v>95</v>
      </c>
      <c r="J17" s="707">
        <v>1.45</v>
      </c>
      <c r="K17" s="790" t="s">
        <v>2407</v>
      </c>
      <c r="L17" s="709"/>
      <c r="M17" s="716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>
      <c r="A18" s="98"/>
      <c r="B18" s="703">
        <v>45890.0</v>
      </c>
      <c r="C18" s="793" t="s">
        <v>2435</v>
      </c>
      <c r="D18" s="5"/>
      <c r="E18" s="5"/>
      <c r="F18" s="5"/>
      <c r="G18" s="5"/>
      <c r="H18" s="5"/>
      <c r="I18" s="5"/>
      <c r="J18" s="5"/>
      <c r="K18" s="5"/>
      <c r="L18" s="6"/>
      <c r="M18" s="716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ht="15.7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ht="15.75" customHeight="1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ht="15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ht="15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ht="15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ht="15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</row>
    <row r="42" ht="15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</row>
    <row r="44" ht="15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</row>
    <row r="45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</row>
    <row r="53" ht="15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B$5:$M$7"/>
  <mergeCells count="2">
    <mergeCell ref="B2:C2"/>
    <mergeCell ref="C18:L18"/>
  </mergeCells>
  <hyperlinks>
    <hyperlink r:id="rId1" location="gid=648457307" ref="C18"/>
  </hyperlinks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7.88"/>
    <col customWidth="1" min="3" max="3" width="13.88"/>
    <col customWidth="1" min="4" max="4" width="47.5"/>
    <col customWidth="1" min="5" max="5" width="15.75"/>
    <col customWidth="1" min="6" max="6" width="9.88"/>
    <col customWidth="1" min="7" max="7" width="9.13"/>
    <col customWidth="1" min="8" max="8" width="35.5"/>
    <col customWidth="1" min="9" max="9" width="12.25"/>
    <col customWidth="1" min="10" max="10" width="43.5"/>
    <col customWidth="1" min="12" max="12" width="41.25"/>
    <col customWidth="1" min="13" max="26" width="8.63"/>
  </cols>
  <sheetData>
    <row r="1" ht="12.75" customHeight="1">
      <c r="B1" s="14"/>
      <c r="C1" s="1"/>
    </row>
    <row r="2" ht="12.75" customHeight="1">
      <c r="B2" s="794"/>
      <c r="C2" s="795" t="s">
        <v>2642</v>
      </c>
      <c r="D2" s="796" t="s">
        <v>2643</v>
      </c>
    </row>
    <row r="3" ht="12.75" customHeight="1"/>
    <row r="4">
      <c r="B4" s="797" t="s">
        <v>91</v>
      </c>
      <c r="C4" s="357"/>
      <c r="D4" s="357"/>
    </row>
    <row r="5" ht="18.0" customHeight="1">
      <c r="C5" s="798" t="s">
        <v>55</v>
      </c>
      <c r="D5" s="798" t="s">
        <v>2644</v>
      </c>
      <c r="E5" s="798" t="s">
        <v>2645</v>
      </c>
      <c r="F5" s="798" t="s">
        <v>2646</v>
      </c>
      <c r="G5" s="798" t="s">
        <v>2647</v>
      </c>
      <c r="H5" s="799" t="s">
        <v>2648</v>
      </c>
      <c r="I5" s="6"/>
      <c r="J5" s="800" t="s">
        <v>2649</v>
      </c>
      <c r="K5" s="801"/>
      <c r="L5" s="798" t="s">
        <v>2650</v>
      </c>
    </row>
    <row r="6" ht="12.75" customHeight="1">
      <c r="C6" s="802" t="s">
        <v>2651</v>
      </c>
      <c r="D6" s="802" t="s">
        <v>2652</v>
      </c>
      <c r="E6" s="802">
        <v>1.4747801E7</v>
      </c>
      <c r="F6" s="802">
        <v>185008.0</v>
      </c>
      <c r="G6" s="802" t="s">
        <v>2653</v>
      </c>
      <c r="H6" s="803" t="s">
        <v>2654</v>
      </c>
      <c r="I6" s="804">
        <v>1.4747755E7</v>
      </c>
      <c r="J6" s="803" t="s">
        <v>2655</v>
      </c>
      <c r="K6" s="804">
        <v>1.5566223E7</v>
      </c>
      <c r="L6" s="805" t="s">
        <v>2656</v>
      </c>
    </row>
    <row r="7" ht="12.75" customHeight="1">
      <c r="C7" s="802" t="s">
        <v>2651</v>
      </c>
      <c r="D7" s="802" t="s">
        <v>2657</v>
      </c>
      <c r="E7" s="802">
        <v>1.4747763E7</v>
      </c>
      <c r="F7" s="802">
        <v>185008.0</v>
      </c>
      <c r="G7" s="802" t="s">
        <v>2658</v>
      </c>
      <c r="H7" s="803" t="s">
        <v>2659</v>
      </c>
      <c r="I7" s="804">
        <v>1.4747747E7</v>
      </c>
      <c r="J7" s="803" t="s">
        <v>95</v>
      </c>
      <c r="K7" s="804" t="s">
        <v>95</v>
      </c>
      <c r="L7" s="805" t="s">
        <v>95</v>
      </c>
    </row>
    <row r="8" ht="12.75" customHeight="1">
      <c r="C8" s="802" t="s">
        <v>977</v>
      </c>
      <c r="D8" s="802" t="s">
        <v>2660</v>
      </c>
      <c r="E8" s="802">
        <v>2.755146E7</v>
      </c>
      <c r="F8" s="802">
        <v>308012.0</v>
      </c>
      <c r="G8" s="802" t="s">
        <v>2653</v>
      </c>
      <c r="H8" s="803" t="s">
        <v>2661</v>
      </c>
      <c r="I8" s="804">
        <v>2.754356E7</v>
      </c>
      <c r="J8" s="803" t="s">
        <v>2662</v>
      </c>
      <c r="K8" s="804">
        <v>2.7635368E7</v>
      </c>
      <c r="L8" s="805" t="s">
        <v>2663</v>
      </c>
    </row>
    <row r="9" ht="12.75" customHeight="1">
      <c r="C9" s="802" t="s">
        <v>977</v>
      </c>
      <c r="D9" s="802" t="s">
        <v>2664</v>
      </c>
      <c r="E9" s="802">
        <v>2.7571468E7</v>
      </c>
      <c r="F9" s="802">
        <v>308012.0</v>
      </c>
      <c r="G9" s="802" t="s">
        <v>2653</v>
      </c>
      <c r="H9" s="803" t="s">
        <v>2661</v>
      </c>
      <c r="I9" s="804">
        <v>2.754356E7</v>
      </c>
      <c r="J9" s="803" t="s">
        <v>2662</v>
      </c>
      <c r="K9" s="804">
        <v>2.7635368E7</v>
      </c>
      <c r="L9" s="804" t="s">
        <v>2665</v>
      </c>
    </row>
    <row r="10" ht="12.75" customHeight="1">
      <c r="C10" s="802" t="s">
        <v>980</v>
      </c>
      <c r="D10" s="802" t="s">
        <v>2666</v>
      </c>
      <c r="E10" s="802">
        <v>9.3017702E7</v>
      </c>
      <c r="F10" s="802">
        <v>401177.0</v>
      </c>
      <c r="G10" s="802" t="s">
        <v>2653</v>
      </c>
      <c r="H10" s="803" t="s">
        <v>95</v>
      </c>
      <c r="I10" s="804" t="s">
        <v>95</v>
      </c>
      <c r="J10" s="803" t="s">
        <v>95</v>
      </c>
      <c r="K10" s="804" t="s">
        <v>95</v>
      </c>
      <c r="L10" s="804" t="s">
        <v>95</v>
      </c>
    </row>
    <row r="11" ht="12.75" customHeight="1">
      <c r="C11" s="802" t="s">
        <v>2667</v>
      </c>
      <c r="D11" s="802" t="s">
        <v>2668</v>
      </c>
      <c r="E11" s="802">
        <v>9.3432858E7</v>
      </c>
      <c r="F11" s="802">
        <v>203253.0</v>
      </c>
      <c r="G11" s="802" t="s">
        <v>2653</v>
      </c>
      <c r="H11" s="803" t="s">
        <v>95</v>
      </c>
      <c r="I11" s="804" t="s">
        <v>95</v>
      </c>
      <c r="J11" s="803" t="s">
        <v>95</v>
      </c>
      <c r="K11" s="804" t="s">
        <v>95</v>
      </c>
      <c r="L11" s="804" t="s">
        <v>95</v>
      </c>
    </row>
    <row r="12" ht="12.75" customHeight="1">
      <c r="C12" s="802" t="s">
        <v>981</v>
      </c>
      <c r="D12" s="802" t="s">
        <v>2669</v>
      </c>
      <c r="E12" s="802" t="s">
        <v>2670</v>
      </c>
      <c r="F12" s="802" t="s">
        <v>95</v>
      </c>
      <c r="G12" s="802" t="s">
        <v>95</v>
      </c>
      <c r="H12" s="803" t="s">
        <v>95</v>
      </c>
      <c r="I12" s="804" t="s">
        <v>95</v>
      </c>
      <c r="J12" s="803" t="s">
        <v>95</v>
      </c>
      <c r="K12" s="804" t="s">
        <v>95</v>
      </c>
      <c r="L12" s="804" t="s">
        <v>95</v>
      </c>
    </row>
    <row r="13" ht="12.75" customHeight="1"/>
    <row r="14">
      <c r="B14" s="797" t="s">
        <v>92</v>
      </c>
      <c r="C14" s="357"/>
      <c r="D14" s="357"/>
    </row>
    <row r="15" ht="21.0" customHeight="1">
      <c r="C15" s="806" t="s">
        <v>55</v>
      </c>
      <c r="D15" s="806" t="s">
        <v>2644</v>
      </c>
      <c r="E15" s="806" t="s">
        <v>2645</v>
      </c>
      <c r="F15" s="807" t="s">
        <v>2646</v>
      </c>
      <c r="G15" s="806" t="s">
        <v>2647</v>
      </c>
      <c r="H15" s="800" t="s">
        <v>2648</v>
      </c>
      <c r="I15" s="801"/>
      <c r="J15" s="800" t="s">
        <v>2649</v>
      </c>
      <c r="K15" s="801"/>
      <c r="L15" s="800" t="s">
        <v>2650</v>
      </c>
    </row>
    <row r="16" ht="12.75" customHeight="1">
      <c r="C16" s="808" t="s">
        <v>2651</v>
      </c>
      <c r="D16" s="808" t="s">
        <v>2671</v>
      </c>
      <c r="E16" s="802">
        <v>1.5242487E7</v>
      </c>
      <c r="F16" s="802">
        <v>185008.0</v>
      </c>
      <c r="G16" s="808" t="s">
        <v>2653</v>
      </c>
      <c r="H16" s="803" t="s">
        <v>2654</v>
      </c>
      <c r="I16" s="804">
        <v>1.4747755E7</v>
      </c>
      <c r="J16" s="803" t="s">
        <v>2672</v>
      </c>
      <c r="K16" s="804">
        <v>1.5566231E7</v>
      </c>
      <c r="L16" s="809" t="s">
        <v>2673</v>
      </c>
    </row>
    <row r="17" ht="12.75" customHeight="1">
      <c r="C17" s="802" t="s">
        <v>977</v>
      </c>
      <c r="D17" s="802" t="s">
        <v>2674</v>
      </c>
      <c r="E17" s="802">
        <v>2.756126E7</v>
      </c>
      <c r="F17" s="802">
        <v>308012.0</v>
      </c>
      <c r="G17" s="802" t="s">
        <v>2653</v>
      </c>
      <c r="H17" s="803" t="s">
        <v>2661</v>
      </c>
      <c r="I17" s="804">
        <v>2.754356E7</v>
      </c>
      <c r="J17" s="803" t="s">
        <v>2675</v>
      </c>
      <c r="K17" s="804">
        <v>2.763646E7</v>
      </c>
      <c r="L17" s="805" t="s">
        <v>2676</v>
      </c>
    </row>
    <row r="18" ht="12.75" customHeight="1">
      <c r="C18" s="802" t="s">
        <v>977</v>
      </c>
      <c r="D18" s="802" t="s">
        <v>2677</v>
      </c>
      <c r="E18" s="802">
        <v>2.757106E7</v>
      </c>
      <c r="F18" s="802">
        <v>308012.0</v>
      </c>
      <c r="G18" s="802" t="s">
        <v>2653</v>
      </c>
      <c r="H18" s="803" t="s">
        <v>2661</v>
      </c>
      <c r="I18" s="804">
        <v>2.754356E7</v>
      </c>
      <c r="J18" s="803" t="s">
        <v>2675</v>
      </c>
      <c r="K18" s="804">
        <v>2.763646E7</v>
      </c>
      <c r="L18" s="804" t="s">
        <v>2678</v>
      </c>
    </row>
    <row r="19" ht="12.75" customHeight="1">
      <c r="C19" s="802" t="s">
        <v>980</v>
      </c>
      <c r="D19" s="802" t="s">
        <v>2679</v>
      </c>
      <c r="E19" s="802">
        <v>9.3017702E7</v>
      </c>
      <c r="F19" s="802">
        <v>401177.0</v>
      </c>
      <c r="G19" s="802" t="s">
        <v>2653</v>
      </c>
      <c r="H19" s="803" t="s">
        <v>95</v>
      </c>
      <c r="I19" s="804" t="s">
        <v>95</v>
      </c>
      <c r="J19" s="803" t="s">
        <v>95</v>
      </c>
      <c r="K19" s="804" t="s">
        <v>95</v>
      </c>
      <c r="L19" s="804" t="s">
        <v>95</v>
      </c>
    </row>
    <row r="20" ht="12.75" customHeight="1">
      <c r="C20" s="802" t="s">
        <v>981</v>
      </c>
      <c r="D20" s="802" t="s">
        <v>2680</v>
      </c>
      <c r="E20" s="802" t="s">
        <v>2670</v>
      </c>
      <c r="F20" s="802" t="s">
        <v>95</v>
      </c>
      <c r="G20" s="802" t="s">
        <v>95</v>
      </c>
      <c r="H20" s="803" t="s">
        <v>95</v>
      </c>
      <c r="I20" s="804" t="s">
        <v>95</v>
      </c>
      <c r="J20" s="803" t="s">
        <v>95</v>
      </c>
      <c r="K20" s="804" t="s">
        <v>95</v>
      </c>
      <c r="L20" s="804" t="s">
        <v>95</v>
      </c>
    </row>
    <row r="21" ht="18.0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4">
    <mergeCell ref="H5:I5"/>
    <mergeCell ref="J5:K5"/>
    <mergeCell ref="H15:I15"/>
    <mergeCell ref="J15:K15"/>
  </mergeCells>
  <hyperlinks>
    <hyperlink r:id="rId1" ref="D2"/>
  </hyperlinks>
  <printOptions/>
  <pageMargins bottom="0.75" footer="0.0" header="0.0" left="0.7" right="0.7" top="0.75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4" width="10.75"/>
    <col customWidth="1" min="5" max="5" width="12.75"/>
    <col customWidth="1" min="6" max="7" width="10.75"/>
    <col customWidth="1" min="8" max="8" width="7.25"/>
  </cols>
  <sheetData>
    <row r="2">
      <c r="B2" s="810" t="s">
        <v>2681</v>
      </c>
      <c r="C2" s="5"/>
      <c r="D2" s="5"/>
      <c r="E2" s="5"/>
      <c r="F2" s="5"/>
      <c r="G2" s="6"/>
    </row>
    <row r="4">
      <c r="B4" s="811"/>
      <c r="C4" s="812"/>
      <c r="D4" s="812"/>
      <c r="E4" s="812"/>
      <c r="F4" s="812"/>
      <c r="G4" s="813"/>
    </row>
    <row r="5">
      <c r="B5" s="814"/>
      <c r="G5" s="815"/>
    </row>
    <row r="6">
      <c r="B6" s="816"/>
      <c r="C6" s="817"/>
      <c r="G6" s="815"/>
    </row>
    <row r="7">
      <c r="B7" s="814"/>
      <c r="C7" s="817"/>
      <c r="G7" s="815"/>
    </row>
    <row r="8">
      <c r="B8" s="818">
        <v>1.0</v>
      </c>
      <c r="C8" s="817" t="s">
        <v>2682</v>
      </c>
      <c r="G8" s="815"/>
    </row>
    <row r="9">
      <c r="B9" s="814"/>
      <c r="G9" s="815"/>
    </row>
    <row r="10">
      <c r="B10" s="814"/>
      <c r="G10" s="815"/>
    </row>
    <row r="11">
      <c r="B11" s="814"/>
      <c r="G11" s="815"/>
    </row>
    <row r="12">
      <c r="B12" s="818">
        <v>2.0</v>
      </c>
      <c r="C12" s="819" t="s">
        <v>2683</v>
      </c>
      <c r="G12" s="815"/>
    </row>
    <row r="13">
      <c r="B13" s="814"/>
      <c r="G13" s="815"/>
    </row>
    <row r="14">
      <c r="B14" s="814"/>
      <c r="G14" s="815"/>
    </row>
    <row r="15">
      <c r="B15" s="814"/>
      <c r="G15" s="815"/>
    </row>
    <row r="16">
      <c r="B16" s="814"/>
      <c r="G16" s="815"/>
    </row>
    <row r="17">
      <c r="B17" s="818">
        <v>3.0</v>
      </c>
      <c r="C17" s="819" t="s">
        <v>2684</v>
      </c>
      <c r="G17" s="815"/>
    </row>
    <row r="18">
      <c r="B18" s="814"/>
      <c r="G18" s="815"/>
    </row>
    <row r="19">
      <c r="B19" s="814"/>
      <c r="G19" s="815"/>
    </row>
    <row r="20">
      <c r="B20" s="814"/>
      <c r="G20" s="815"/>
    </row>
    <row r="21">
      <c r="B21" s="814"/>
      <c r="G21" s="815"/>
    </row>
    <row r="22">
      <c r="B22" s="814"/>
      <c r="G22" s="815"/>
    </row>
    <row r="23">
      <c r="B23" s="818">
        <v>4.0</v>
      </c>
      <c r="C23" s="820" t="s">
        <v>2685</v>
      </c>
      <c r="G23" s="815"/>
    </row>
    <row r="24">
      <c r="B24" s="814"/>
      <c r="G24" s="815"/>
    </row>
    <row r="25">
      <c r="B25" s="814"/>
      <c r="G25" s="815"/>
    </row>
    <row r="26">
      <c r="B26" s="814"/>
      <c r="G26" s="815"/>
    </row>
    <row r="27">
      <c r="B27" s="814"/>
      <c r="G27" s="815"/>
    </row>
    <row r="28">
      <c r="B28" s="814"/>
      <c r="G28" s="815"/>
    </row>
    <row r="29">
      <c r="B29" s="814"/>
      <c r="G29" s="815"/>
    </row>
    <row r="30">
      <c r="B30" s="818">
        <v>5.0</v>
      </c>
      <c r="C30" s="820" t="s">
        <v>2686</v>
      </c>
      <c r="G30" s="815"/>
    </row>
    <row r="31">
      <c r="B31" s="814"/>
      <c r="G31" s="815"/>
    </row>
    <row r="32">
      <c r="B32" s="814"/>
      <c r="G32" s="815"/>
    </row>
    <row r="33">
      <c r="B33" s="814"/>
      <c r="G33" s="815"/>
    </row>
    <row r="34">
      <c r="B34" s="814"/>
      <c r="C34" s="624"/>
      <c r="D34" s="396"/>
      <c r="E34" s="396"/>
      <c r="G34" s="815"/>
    </row>
    <row r="35">
      <c r="B35" s="814"/>
      <c r="C35" s="624"/>
      <c r="D35" s="396"/>
      <c r="E35" s="396"/>
      <c r="G35" s="815"/>
    </row>
    <row r="36">
      <c r="B36" s="818">
        <v>6.0</v>
      </c>
      <c r="C36" s="820" t="s">
        <v>2687</v>
      </c>
      <c r="G36" s="815"/>
    </row>
    <row r="37">
      <c r="B37" s="814"/>
      <c r="G37" s="815"/>
    </row>
    <row r="38">
      <c r="B38" s="814"/>
      <c r="G38" s="815"/>
    </row>
    <row r="39">
      <c r="B39" s="814"/>
      <c r="D39" s="821"/>
      <c r="E39" s="821"/>
      <c r="G39" s="815"/>
    </row>
    <row r="40">
      <c r="B40" s="814"/>
      <c r="C40" s="624"/>
      <c r="D40" s="821"/>
      <c r="E40" s="821"/>
      <c r="G40" s="815"/>
    </row>
    <row r="41">
      <c r="B41" s="818">
        <v>7.0</v>
      </c>
      <c r="C41" s="820" t="s">
        <v>2688</v>
      </c>
      <c r="G41" s="815"/>
    </row>
    <row r="42">
      <c r="B42" s="814"/>
      <c r="G42" s="815"/>
    </row>
    <row r="43">
      <c r="B43" s="814"/>
      <c r="G43" s="815"/>
    </row>
    <row r="44">
      <c r="B44" s="814"/>
      <c r="D44" s="821"/>
      <c r="E44" s="821"/>
      <c r="G44" s="815"/>
    </row>
    <row r="45">
      <c r="B45" s="814"/>
      <c r="C45" s="624"/>
      <c r="D45" s="821"/>
      <c r="E45" s="821"/>
      <c r="G45" s="815"/>
    </row>
    <row r="46">
      <c r="B46" s="814"/>
      <c r="G46" s="815"/>
    </row>
    <row r="47">
      <c r="B47" s="818">
        <v>8.0</v>
      </c>
      <c r="C47" s="820" t="s">
        <v>2689</v>
      </c>
      <c r="G47" s="815"/>
    </row>
    <row r="48">
      <c r="B48" s="814"/>
      <c r="G48" s="815"/>
    </row>
    <row r="49">
      <c r="B49" s="814"/>
      <c r="G49" s="815"/>
    </row>
    <row r="50">
      <c r="B50" s="814"/>
      <c r="G50" s="815"/>
    </row>
    <row r="51">
      <c r="B51" s="814"/>
      <c r="G51" s="815"/>
    </row>
    <row r="52">
      <c r="B52" s="818">
        <v>9.0</v>
      </c>
      <c r="C52" s="820" t="s">
        <v>2690</v>
      </c>
      <c r="G52" s="815"/>
    </row>
    <row r="53">
      <c r="B53" s="814"/>
      <c r="G53" s="815"/>
    </row>
    <row r="54">
      <c r="B54" s="814"/>
      <c r="G54" s="815"/>
    </row>
    <row r="55">
      <c r="B55" s="814"/>
      <c r="G55" s="815"/>
    </row>
    <row r="56">
      <c r="B56" s="814"/>
      <c r="G56" s="815"/>
    </row>
    <row r="57">
      <c r="B57" s="814"/>
      <c r="G57" s="815"/>
    </row>
    <row r="58">
      <c r="B58" s="818">
        <v>10.0</v>
      </c>
      <c r="C58" s="820" t="s">
        <v>2691</v>
      </c>
      <c r="G58" s="815"/>
    </row>
    <row r="59">
      <c r="B59" s="814"/>
      <c r="C59" s="624"/>
      <c r="D59" s="821"/>
      <c r="E59" s="821"/>
      <c r="G59" s="815"/>
    </row>
    <row r="60">
      <c r="B60" s="814"/>
      <c r="G60" s="815"/>
    </row>
    <row r="61">
      <c r="B61" s="822"/>
      <c r="C61" s="823"/>
      <c r="D61" s="823"/>
      <c r="E61" s="823"/>
      <c r="F61" s="823"/>
      <c r="G61" s="824"/>
    </row>
  </sheetData>
  <mergeCells count="10">
    <mergeCell ref="C47:E47"/>
    <mergeCell ref="C52:E52"/>
    <mergeCell ref="C58:E58"/>
    <mergeCell ref="B2:G2"/>
    <mergeCell ref="C12:E12"/>
    <mergeCell ref="C17:E17"/>
    <mergeCell ref="C23:E23"/>
    <mergeCell ref="C30:E30"/>
    <mergeCell ref="C36:E36"/>
    <mergeCell ref="C41:E41"/>
  </mergeCells>
  <drawing r:id="rId1"/>
</worksheet>
</file>